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defaultThemeVersion="124226"/>
  <mc:AlternateContent xmlns:mc="http://schemas.openxmlformats.org/markup-compatibility/2006">
    <mc:Choice Requires="x15">
      <x15ac:absPath xmlns:x15ac="http://schemas.microsoft.com/office/spreadsheetml/2010/11/ac" url="C:\Users\jonmo\Google Drive\00000 EXCEL Sheets\! Valve Sizing w IEC noise\Sizing Final\REV 0 For Web Site\"/>
    </mc:Choice>
  </mc:AlternateContent>
  <xr:revisionPtr revIDLastSave="0" documentId="13_ncr:1_{E75C9CA2-F4CA-4774-8927-B88123886F7A}" xr6:coauthVersionLast="47" xr6:coauthVersionMax="47" xr10:uidLastSave="{00000000-0000-0000-0000-000000000000}"/>
  <bookViews>
    <workbookView xWindow="1464" yWindow="1464" windowWidth="21168" windowHeight="10812" tabRatio="599" xr2:uid="{BDD84698-F4EF-41F6-B57E-E7551C5AA9FD}"/>
  </bookViews>
  <sheets>
    <sheet name="Instructions" sheetId="15" r:id="rId1"/>
    <sheet name="Valve Sizing" sheetId="1" r:id="rId2"/>
    <sheet name="Installed Flow" sheetId="2" r:id="rId3"/>
    <sheet name="Installed Gain" sheetId="3" r:id="rId4"/>
    <sheet name="xT Fd AEta Stp" sheetId="12" r:id="rId5"/>
    <sheet name="Mol Mass" sheetId="5" r:id="rId6"/>
    <sheet name="SPL Conv" sheetId="6" r:id="rId7"/>
    <sheet name="SPL Calcs" sheetId="7" r:id="rId8"/>
    <sheet name="Valve Travel" sheetId="10" r:id="rId9"/>
    <sheet name="Wall Thck." sheetId="14" r:id="rId10"/>
  </sheets>
  <definedNames>
    <definedName name="A">'Valve Sizing'!$T$473</definedName>
    <definedName name="A_ETA">'Valve Sizing'!$D$12</definedName>
    <definedName name="A_ETA..1">'SPL Conv'!$D$15</definedName>
    <definedName name="A_ETA..D">'SPL Calcs'!$D$16</definedName>
    <definedName name="A_ETA..S">'SPL Conv'!$S$15</definedName>
    <definedName name="ALPHA..K">'SPL Calcs'!$K$11</definedName>
    <definedName name="BALL_FP">'Valve Travel'!$I$30:$S$45</definedName>
    <definedName name="BALL_RP">'Valve Travel'!$I$52:$S$66</definedName>
    <definedName name="BALL_SEG">'Valve Travel'!$I$78:$S$93</definedName>
    <definedName name="BETA">'Valve Sizing'!$D$19</definedName>
    <definedName name="BETA..1">'SPL Conv'!$D$24</definedName>
    <definedName name="BETA..D">'SPL Calcs'!$D$25</definedName>
    <definedName name="BETA..S">'SPL Conv'!$S$24</definedName>
    <definedName name="C_">'Valve Sizing'!$D$21</definedName>
    <definedName name="C_..1">'SPL Conv'!$D$12</definedName>
    <definedName name="C_..2" localSheetId="6">'SPL Conv'!$E$12</definedName>
    <definedName name="C_..3">'SPL Conv'!$F$12</definedName>
    <definedName name="C_..4">'SPL Conv'!$G$12</definedName>
    <definedName name="C_..D">'SPL Calcs'!$D$14</definedName>
    <definedName name="C_..S">'SPL Conv'!$S$12</definedName>
    <definedName name="c_2..K">'SPL Calcs'!$K$29</definedName>
    <definedName name="c_a..D">'SPL Calcs'!$D$28</definedName>
    <definedName name="c_a..S">'SPL Conv'!$S$25</definedName>
    <definedName name="C_Ch" localSheetId="2">'Installed Flow'!$R$41</definedName>
    <definedName name="C_Ch">'Valve Sizing'!$T$11</definedName>
    <definedName name="C_Ch_W_Reducers">'Valve Sizing'!$T$31</definedName>
    <definedName name="C_h">'Installed Flow'!$R$23</definedName>
    <definedName name="C_i" localSheetId="2">'Installed Flow'!$R$43</definedName>
    <definedName name="C_i">'Valve Sizing'!$T$26</definedName>
    <definedName name="C_N_Ch">'Installed Flow'!$R$40</definedName>
    <definedName name="C_NonCh">'Valve Sizing'!$T$10</definedName>
    <definedName name="C_NonCh_W_Reducers">'Valve Sizing'!$T$30</definedName>
    <definedName name="C_S..D">'SPL Calcs'!$D$23</definedName>
    <definedName name="C_S..S">'SPL Conv'!$S$22</definedName>
    <definedName name="C_v" localSheetId="4">'xT Fd AEta Stp'!$O$6</definedName>
    <definedName name="c_vc..K">'SPL Calcs'!$K$22</definedName>
    <definedName name="c_vcc">'SPL Calcs'!$K$23</definedName>
    <definedName name="Calc_Flow_From_Final__Calc_C">'Valve Sizing'!$T$574</definedName>
    <definedName name="CH_x">'Valve Sizing'!$T$12</definedName>
    <definedName name="CH_x_W_Reducers">'Valve Sizing'!$T$32</definedName>
    <definedName name="Cv_over_d_Sq" localSheetId="4">'xT Fd AEta Stp'!$O$8</definedName>
    <definedName name="Cv_Table">'Valve Sizing'!$D$17</definedName>
    <definedName name="d">'Valve Sizing'!$D$16</definedName>
    <definedName name="D_1">'Valve Sizing'!$D$14</definedName>
    <definedName name="D_1..1">'SPL Conv'!$D$19</definedName>
    <definedName name="D_1..S">'SPL Conv'!$S$19</definedName>
    <definedName name="D_2">'Valve Sizing'!$D$15</definedName>
    <definedName name="D_2..1">'SPL Conv'!$D$20</definedName>
    <definedName name="D_2..D">'SPL Calcs'!$D$19</definedName>
    <definedName name="D_2..S">'SPL Conv'!$S$20</definedName>
    <definedName name="d_in" localSheetId="4">'xT Fd AEta Stp'!$O$7</definedName>
    <definedName name="D_j..K">'SPL Calcs'!$K$16</definedName>
    <definedName name="D_Vi..1">'SPL Conv'!$D$17</definedName>
    <definedName name="D_Vi..s">'SPL Conv'!$S$17</definedName>
    <definedName name="D_ViS..D">'SPL Calcs'!$D$27</definedName>
    <definedName name="D_Vo..1">'SPL Conv'!$D$18</definedName>
    <definedName name="D_Vo..D">'SPL Calcs'!$D$18</definedName>
    <definedName name="D_Vo..S">'SPL Conv'!$S$18</definedName>
    <definedName name="DATA1">'Valve Sizing'!$B$44</definedName>
    <definedName name="DATA2">'Valve Sizing'!$C$44</definedName>
    <definedName name="DATA3">'Valve Sizing'!$D$44</definedName>
    <definedName name="DATA4">'Valve Sizing'!$E$44</definedName>
    <definedName name="DELTA_P">'Valve Sizing'!$D$5</definedName>
    <definedName name="DELTA_P..1">'SPL Conv'!$D$7</definedName>
    <definedName name="DELTA_P..2">'SPL Conv'!$E$7</definedName>
    <definedName name="DELTA_P..3">'SPL Conv'!$F$7</definedName>
    <definedName name="DELTA_P..4">'SPL Conv'!$G$7</definedName>
    <definedName name="DELTA_P..S">'SPL Conv'!$S$7</definedName>
    <definedName name="DELTA_P_minQ">'Installed Flow'!$R$10</definedName>
    <definedName name="DELTA_P_Qi">'Installed Flow'!$R$37</definedName>
    <definedName name="DeltaLp">'Valve Sizing'!$D$19</definedName>
    <definedName name="DeltaTL..K">'SPL Calcs'!$K$244</definedName>
    <definedName name="DENS">'Mol Mass'!$L$11</definedName>
    <definedName name="dp_dn">'Installed Flow'!$R$16</definedName>
    <definedName name="dp_up">'Installed Flow'!$R$14</definedName>
    <definedName name="dpdn_minQ">'Installed Flow'!$R$19</definedName>
    <definedName name="dpup_minQ">'Installed Flow'!$R$18</definedName>
    <definedName name="etta_r..K">'SPL Calcs'!$K$73</definedName>
    <definedName name="F_D">'Valve Sizing'!$D$11</definedName>
    <definedName name="F_D..1">'SPL Conv'!$D$14</definedName>
    <definedName name="F_D..2" localSheetId="6">'SPL Conv'!$E$14</definedName>
    <definedName name="F_D..3">'SPL Conv'!$F$14</definedName>
    <definedName name="F_D..4">'SPL Conv'!$G$14</definedName>
    <definedName name="F_D..D">'SPL Calcs'!$D$15</definedName>
    <definedName name="F_d..K">'SPL Calcs'!$K$15</definedName>
    <definedName name="F_D..S">'SPL Conv'!$S$14</definedName>
    <definedName name="f_g..K">'SPL Calcs'!$K$144</definedName>
    <definedName name="F_GAMMA">'Valve Sizing'!$T$5</definedName>
    <definedName name="F_L">'Valve Sizing'!$D$10</definedName>
    <definedName name="F_L..1">'SPL Conv'!$D$13</definedName>
    <definedName name="F_L..2">'SPL Conv'!$E$13</definedName>
    <definedName name="F_L..3">'SPL Conv'!$F$13</definedName>
    <definedName name="F_L..4">'SPL Conv'!$G$13</definedName>
    <definedName name="F_L..S">'SPL Conv'!$S$13</definedName>
    <definedName name="F_L..T">'SPL Conv'!$T$13</definedName>
    <definedName name="F_L..U">'SPL Conv'!$U$13</definedName>
    <definedName name="F_L..V">'SPL Conv'!$V$13</definedName>
    <definedName name="F_LP..AA">'SPL Conv'!$AA$15</definedName>
    <definedName name="F_LP..D">'SPL Calcs'!$D$30</definedName>
    <definedName name="f_o..K">'SPL Calcs'!$K$143</definedName>
    <definedName name="F_P">'Valve Sizing'!$T$27</definedName>
    <definedName name="F_P..AA">'SPL Conv'!$AA$13</definedName>
    <definedName name="F_P..D">'SPL Calcs'!$D$31</definedName>
    <definedName name="f_p..K">'SPL Calcs'!$K$25</definedName>
    <definedName name="F_P_h">'Installed Flow'!$R$27</definedName>
    <definedName name="f_pR..K">'SPL Calcs'!$K$71</definedName>
    <definedName name="f_r..K">'SPL Calcs'!$K$142</definedName>
    <definedName name="f_s..D">'SPL Calcs'!$D$36</definedName>
    <definedName name="Final_Calculated_C">'Valve Sizing'!$T$567</definedName>
    <definedName name="Final_CH_x_W_Reducers">'Valve Sizing'!$T$573</definedName>
    <definedName name="Final_F_P">'Valve Sizing'!$T$568</definedName>
    <definedName name="Final_Flow_Ch_W_Reducers">'Valve Sizing'!$T$572</definedName>
    <definedName name="Final_Flow_NonCh_W_Reducers">'Valve Sizing'!$T$571</definedName>
    <definedName name="Final_x_TP">'Valve Sizing'!$T$569</definedName>
    <definedName name="Final_Y_W_Reducers">'Valve Sizing'!$T$570</definedName>
    <definedName name="FLAG_A">'Valve Sizing'!$B$57</definedName>
    <definedName name="G_">'Mol Mass'!$E$8</definedName>
    <definedName name="G_x_f_i">'SPL Calcs'!$K$145</definedName>
    <definedName name="G_y_f_i">'SPL Calcs'!$K$178</definedName>
    <definedName name="GAMMA">'Valve Sizing'!$D$7</definedName>
    <definedName name="GAMMA..1">'SPL Conv'!$D$10</definedName>
    <definedName name="GAMMA..D">'SPL Calcs'!$D$12</definedName>
    <definedName name="GAMMA..S">'SPL Conv'!$S$10</definedName>
    <definedName name="GC_EQ">'Valve Travel'!$I$170:$S$217</definedName>
    <definedName name="GC_LIN">'Valve Travel'!$I$226:$S$273</definedName>
    <definedName name="GP_EQ">'Valve Travel'!$I$281:$S$324</definedName>
    <definedName name="GP_LIN">'Valve Travel'!$I$332:$S$375</definedName>
    <definedName name="HPBF_150">'Valve Travel'!$I$102:$S$124</definedName>
    <definedName name="HPBF_300">'Valve Travel'!$I$131:$S$142</definedName>
    <definedName name="HPBF_600">'Valve Travel'!$I$151:$S$161</definedName>
    <definedName name="IEC_1">'SPL Conv'!$C$39</definedName>
    <definedName name="IEC_2">'SPL Conv'!$C$40</definedName>
    <definedName name="IEC_3">'SPL Conv'!$C$41</definedName>
    <definedName name="IEC_4">'SPL Conv'!$C$42</definedName>
    <definedName name="IEC_5">'SPL Conv'!$C$43</definedName>
    <definedName name="IEC_6">'SPL Conv'!$C$44</definedName>
    <definedName name="Input_Test">'Mol Mass'!$C$20</definedName>
    <definedName name="L_g..K">'SPL Calcs'!$K$32</definedName>
    <definedName name="L_pAe_1m..K">'SPL Calcs'!$K$344</definedName>
    <definedName name="L_pe_1m_f_i">'SPL Calcs'!$K$278</definedName>
    <definedName name="L_pe_fi_plus_delta_LA_fi">'SPL Calcs'!$K$311</definedName>
    <definedName name="L_pi">'Valve Sizing'!$T$474</definedName>
    <definedName name="L_pi..K">'SPL Calcs'!$K$33</definedName>
    <definedName name="L_pi_f_i">'SPL Calcs'!$K$34</definedName>
    <definedName name="L_piR..K">'SPL Calcs'!$K$75</definedName>
    <definedName name="L_piR_f_i">'SPL Calcs'!$K$76</definedName>
    <definedName name="L_piS_f_i">'SPL Calcs'!$K$109</definedName>
    <definedName name="lbm_h_to_scfh">'Valve Sizing'!$T$418</definedName>
    <definedName name="M">'Valve Sizing'!$D$6</definedName>
    <definedName name="M_..1">'SPL Conv'!$D$9</definedName>
    <definedName name="M_..D">'SPL Calcs'!$D$11</definedName>
    <definedName name="M_..S">'SPL Conv'!$S$9</definedName>
    <definedName name="M_2..K">'SPL Calcs'!$K$31</definedName>
    <definedName name="m_dot..D">'SPL Calcs'!$D$6</definedName>
    <definedName name="m_dot..S">'SPL Conv'!$S$4</definedName>
    <definedName name="m_dot_m3h">'SPL Conv'!$S$29</definedName>
    <definedName name="m_dot_scfh">'SPL Conv'!$S$30</definedName>
    <definedName name="M_j..K">'SPL Calcs'!$K$18</definedName>
    <definedName name="M_j5..K">'SPL Calcs'!$K$19</definedName>
    <definedName name="M_o..K">'SPL Calcs'!$K$30</definedName>
    <definedName name="M_R..K">'SPL Calcs'!$K$72</definedName>
    <definedName name="M_vc..K">'SPL Calcs'!$K$17</definedName>
    <definedName name="MW">'Valve Sizing'!$T$443</definedName>
    <definedName name="N_14">'SPL Conv'!$C$49</definedName>
    <definedName name="N_16">'SPL Conv'!$C$50</definedName>
    <definedName name="N_2">'Valve Sizing'!$B$53</definedName>
    <definedName name="N_5">'Valve Sizing'!$B$54</definedName>
    <definedName name="N_9">'Valve Sizing'!$B$55</definedName>
    <definedName name="N_DAT1">'Valve Sizing'!$B$46</definedName>
    <definedName name="N_DAT2">'Valve Sizing'!$C$46</definedName>
    <definedName name="N_DAT3">'Valve Sizing'!$D$46</definedName>
    <definedName name="N_DAT4">'Valve Sizing'!$E$46</definedName>
    <definedName name="N14..D">'SPL Calcs'!$D$33</definedName>
    <definedName name="P_1">'Valve Sizing'!$D$3</definedName>
    <definedName name="P_1..1">'SPL Conv'!$D$5</definedName>
    <definedName name="P_1..2">'SPL Conv'!$E$5</definedName>
    <definedName name="P_1..3">'SPL Conv'!$F$5</definedName>
    <definedName name="P_1..4">'SPL Conv'!$G$5</definedName>
    <definedName name="P_1..D">'SPL Calcs'!$D$7</definedName>
    <definedName name="P_1..L">'Mol Mass'!$L$8</definedName>
    <definedName name="P_1..S">'SPL Conv'!$S$5</definedName>
    <definedName name="P_1_maxQ">'Installed Flow'!$R$9</definedName>
    <definedName name="P_1_minQ">'Installed Flow'!$R$8</definedName>
    <definedName name="P_2..D">'SPL Calcs'!$D$9</definedName>
    <definedName name="P_2_maxQ">'Installed Flow'!$R$13</definedName>
    <definedName name="P_2_minQ">'Installed Flow'!$R$12</definedName>
    <definedName name="p_a">'Valve Sizing'!$D$20</definedName>
    <definedName name="p_a..1">'SPL Conv'!$D$25</definedName>
    <definedName name="p_a..D">'SPL Calcs'!$D$29</definedName>
    <definedName name="p_a..S">'SPL Conv'!$S$26</definedName>
    <definedName name="p_s..D">'SPL Calcs'!$D$37</definedName>
    <definedName name="p_vc..K">'SPL Calcs'!$K$8</definedName>
    <definedName name="P1_Qi">'Installed Flow'!$R$35</definedName>
    <definedName name="P2_Qi">'Installed Flow'!$R$36</definedName>
    <definedName name="_xlnm.Print_Area" localSheetId="2">'Installed Flow'!$A$8:$K$32</definedName>
    <definedName name="_xlnm.Print_Area" localSheetId="3">'Installed Gain'!$A$4:$K$33</definedName>
    <definedName name="_xlnm.Print_Area" localSheetId="6">'SPL Conv'!$A$1:$G$32</definedName>
    <definedName name="_xlnm.Print_Area" localSheetId="1">'Valve Sizing'!$A$1:$H$26</definedName>
    <definedName name="_xlnm.Print_Area" localSheetId="4">'xT Fd AEta Stp'!$B$47:$F$69</definedName>
    <definedName name="Q">'Valve Sizing'!$D$2</definedName>
    <definedName name="Q_i">'Installed Flow'!$R$33</definedName>
    <definedName name="Q_max">'Installed Flow'!$R$7</definedName>
    <definedName name="Q_min">'Installed Flow'!$R$6</definedName>
    <definedName name="Q_S..1">'SPL Conv'!$D$4</definedName>
    <definedName name="Q_S..2">'SPL Conv'!$E$4</definedName>
    <definedName name="Q_S..3">'SPL Conv'!$F$4</definedName>
    <definedName name="Q_S..4">'SPL Conv'!$G$4</definedName>
    <definedName name="Qf">'Installed Flow'!$I$16</definedName>
    <definedName name="R_..D">'SPL Calcs'!$D$32</definedName>
    <definedName name="R_dn">'Installed Flow'!$R$17</definedName>
    <definedName name="R_REN">'SPL Conv'!$C$52</definedName>
    <definedName name="R_up">'Installed Flow'!$R$15</definedName>
    <definedName name="REF_T">'SPL Conv'!$C$46</definedName>
    <definedName name="Regime..K">'SPL Calcs'!$K$14</definedName>
    <definedName name="RHO_1..D">'SPL Calcs'!$D$10</definedName>
    <definedName name="RHO_1..S">'SPL Conv'!$S$8</definedName>
    <definedName name="RHO_2..K">'SPL Calcs'!$K$28</definedName>
    <definedName name="RHO_air_kg_m3_0">'SPL Conv'!$S$37</definedName>
    <definedName name="RHO_air_kg_m3_15">'SPL Conv'!$S$36</definedName>
    <definedName name="RHO_air_lb_ft3_0">'SPL Conv'!$S$39</definedName>
    <definedName name="RHO_air_lb_ft3_15">'SPL Conv'!$S$38</definedName>
    <definedName name="RHO_lb_ft3">'Valve Sizing'!$T$417</definedName>
    <definedName name="RHO_S..D">'SPL Calcs'!$D$24</definedName>
    <definedName name="RHO_S..S">'SPL Conv'!$S$23</definedName>
    <definedName name="ROT_PLUG">'Valve Travel'!$J$383:$T$398</definedName>
    <definedName name="Select_C_Non_or_C_Ch">'Valve Sizing'!$T$13</definedName>
    <definedName name="Selected_scfh">'Valve Sizing'!$T$419</definedName>
    <definedName name="SIGMA_ZETA">'Valve Sizing'!$T$22</definedName>
    <definedName name="SIGMA_ZETA_1">'Valve Sizing'!$T$23</definedName>
    <definedName name="SIGMA_ZETA_1_REN">'SPL Conv'!$AA$12</definedName>
    <definedName name="SIGMA_ZETA_REN">'SPL Conv'!$AA$11</definedName>
    <definedName name="St_P">'Valve Sizing'!$D$13</definedName>
    <definedName name="St_P..1">'SPL Conv'!$D$16</definedName>
    <definedName name="St_P..D">'SPL Calcs'!$D$17</definedName>
    <definedName name="St_P..S">'SPL Conv'!$S$16</definedName>
    <definedName name="T_1">'Valve Sizing'!$D$4</definedName>
    <definedName name="T_1..1">'SPL Conv'!$D$6</definedName>
    <definedName name="T_1..2" localSheetId="6">'SPL Conv'!$E$6</definedName>
    <definedName name="T_1..2">'SPL Conv'!$E$6</definedName>
    <definedName name="T_1..3">'SPL Conv'!$F$6</definedName>
    <definedName name="T_1..4">'SPL Conv'!$G$6</definedName>
    <definedName name="T_1..D">'SPL Calcs'!$D$8</definedName>
    <definedName name="T_1..L">'Mol Mass'!$L$10</definedName>
    <definedName name="T_1..S">'SPL Conv'!$S$6</definedName>
    <definedName name="T_2..D">'SPL Calcs'!$D$26</definedName>
    <definedName name="T_abs">'Valve Sizing'!$T$6</definedName>
    <definedName name="T_S">'Valve Sizing'!$D$18</definedName>
    <definedName name="T_S..1">'SPL Conv'!$D$21</definedName>
    <definedName name="T_S..D">'SPL Calcs'!$D$22</definedName>
    <definedName name="T_S..S">'SPL Conv'!$S$21</definedName>
    <definedName name="T_vc..K">'SPL Calcs'!$K$20</definedName>
    <definedName name="T_vcc..K">'SPL Calcs'!$K$21</definedName>
    <definedName name="Table_5">'SPL Calcs'!$R$38:$S$70</definedName>
    <definedName name="Table_7">'SPL Calcs'!$U$38:$V$70</definedName>
    <definedName name="Tabs_RorK">'Mol Mass'!$L$9</definedName>
    <definedName name="tabtest">'Valve Travel'!$I$48:$S$55</definedName>
    <definedName name="TAG">'Valve Sizing'!$D$1</definedName>
    <definedName name="TL_f_i">'SPL Calcs'!$K$245</definedName>
    <definedName name="TRAVEL_1">'Valve Travel'!$C$8</definedName>
    <definedName name="TRAVEL_2">'Valve Travel'!$D$8</definedName>
    <definedName name="TRAVEL_3">'Valve Travel'!$E$8</definedName>
    <definedName name="TRAVEL_4">'Valve Travel'!$F$8</definedName>
    <definedName name="U_p..K">'SPL Calcs'!$K$68</definedName>
    <definedName name="U_R">'SPL Calcs'!$K$69</definedName>
    <definedName name="VCAP_CV">'Valve Travel'!$L$5</definedName>
    <definedName name="VS_IN">'Valve Travel'!$L$4</definedName>
    <definedName name="VSC">'Valve Sizing'!$D$18</definedName>
    <definedName name="W">'Valve Sizing'!$D$3</definedName>
    <definedName name="W_a..K">'SPL Calcs'!$K$27</definedName>
    <definedName name="W_Ar..K">'SPL Calcs'!$K$74</definedName>
    <definedName name="W_m..K">'SPL Calcs'!$K$26</definedName>
    <definedName name="W_mR..K">'SPL Calcs'!$K$70</definedName>
    <definedName name="W_to_lbm_h">'Valve Sizing'!$T$416</definedName>
    <definedName name="x">'Valve Sizing'!$T$4</definedName>
    <definedName name="x_B..K">'SPL Calcs'!$K$12</definedName>
    <definedName name="x_c..K">'SPL Calcs'!$K$10</definedName>
    <definedName name="x_CE..K">'SPL Calcs'!$K$13</definedName>
    <definedName name="x_Qi">'Installed Flow'!$R$38</definedName>
    <definedName name="x_REN">'SPL Calcs'!$K$7</definedName>
    <definedName name="x_T">'Valve Sizing'!$D$9</definedName>
    <definedName name="x_TP">'Valve Sizing'!$T$28</definedName>
    <definedName name="x_TP_h">'Installed Flow'!$R$29</definedName>
    <definedName name="x_vcc..K">'SPL Calcs'!$K$9</definedName>
    <definedName name="Y">'Valve Sizing'!$T$9</definedName>
    <definedName name="Y_C_h">'Installed Flow'!$R$39</definedName>
    <definedName name="Y_W_Reducers">'Valve Sizing'!$T$29</definedName>
    <definedName name="Z">'Valve Sizing'!$D$8</definedName>
    <definedName name="ZETA_1">'Valve Sizing'!$T$18</definedName>
    <definedName name="ZETA_1_REN">'SPL Conv'!$AA$7</definedName>
    <definedName name="ZETA_2">'Valve Sizing'!$T$20</definedName>
    <definedName name="ZETA_2_REN">'SPL Conv'!$AA$9</definedName>
    <definedName name="ZETA_B1">'Valve Sizing'!$T$19</definedName>
    <definedName name="ZETA_B1_REN">'SPL Conv'!$AA$8</definedName>
    <definedName name="ZETA_B2">'Valve Sizing'!$T$21</definedName>
    <definedName name="ZETA_B2_REN">'SPL Conv'!$AA$10</definedName>
    <definedName name="η_s_f_i">'SPL Calcs'!$K$211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 i="12" l="1"/>
  <c r="C27" i="12"/>
  <c r="C42" i="12"/>
  <c r="D85" i="12" l="1"/>
  <c r="D13" i="1" s="1"/>
  <c r="C85" i="12"/>
  <c r="D12" i="1" s="1"/>
  <c r="H13" i="3" l="1"/>
  <c r="H13" i="2"/>
  <c r="B3" i="2"/>
  <c r="B54" i="1" l="1"/>
  <c r="B53" i="1" l="1"/>
  <c r="H11" i="3" l="1"/>
  <c r="H11" i="2"/>
  <c r="C12" i="10" l="1"/>
  <c r="B20" i="1" l="1"/>
  <c r="E44" i="1" l="1"/>
  <c r="D44" i="1"/>
  <c r="C44" i="1"/>
  <c r="C20" i="5"/>
  <c r="L11" i="5"/>
  <c r="L9" i="5" l="1"/>
  <c r="L10" i="5" s="1"/>
  <c r="L8" i="5"/>
  <c r="E17" i="5" l="1"/>
  <c r="C16" i="5"/>
  <c r="B4" i="1"/>
  <c r="C15" i="5"/>
  <c r="C14" i="5"/>
  <c r="D25" i="6" l="1"/>
  <c r="D24" i="6"/>
  <c r="B5" i="1"/>
  <c r="D20" i="6"/>
  <c r="D19" i="6"/>
  <c r="D18" i="6"/>
  <c r="D17" i="6"/>
  <c r="D16" i="6"/>
  <c r="D15" i="6"/>
  <c r="B18" i="1"/>
  <c r="B16" i="1"/>
  <c r="D21" i="6"/>
  <c r="D10" i="6" l="1"/>
  <c r="D9" i="6"/>
  <c r="G7" i="6"/>
  <c r="F7" i="6"/>
  <c r="E7" i="6"/>
  <c r="D7" i="6"/>
  <c r="G6" i="6"/>
  <c r="F6" i="6"/>
  <c r="E6" i="6"/>
  <c r="D6" i="6"/>
  <c r="G5" i="6"/>
  <c r="F5" i="6"/>
  <c r="E5" i="6"/>
  <c r="D5" i="6"/>
  <c r="F4" i="6"/>
  <c r="G4" i="6"/>
  <c r="E4" i="6"/>
  <c r="D4" i="6"/>
  <c r="C43" i="6"/>
  <c r="O7" i="12" s="1"/>
  <c r="B15" i="1"/>
  <c r="B14" i="1"/>
  <c r="C46" i="6"/>
  <c r="L4" i="10" l="1"/>
  <c r="C44" i="6"/>
  <c r="C42" i="6"/>
  <c r="C41" i="6"/>
  <c r="S6" i="6" s="1"/>
  <c r="D8" i="7" s="1"/>
  <c r="D26" i="7" s="1"/>
  <c r="C40" i="6"/>
  <c r="B5" i="6" s="1"/>
  <c r="C39" i="6"/>
  <c r="B4" i="6" s="1"/>
  <c r="D28" i="7"/>
  <c r="E28" i="7"/>
  <c r="F28" i="7"/>
  <c r="G28" i="7"/>
  <c r="D32" i="7"/>
  <c r="E32" i="7"/>
  <c r="F32" i="7"/>
  <c r="G32" i="7"/>
  <c r="K211" i="7"/>
  <c r="L211" i="7"/>
  <c r="M211" i="7"/>
  <c r="N211" i="7"/>
  <c r="K212" i="7"/>
  <c r="L212" i="7"/>
  <c r="M212" i="7"/>
  <c r="N212" i="7"/>
  <c r="K213" i="7"/>
  <c r="L213" i="7"/>
  <c r="M213" i="7"/>
  <c r="N213" i="7"/>
  <c r="K214" i="7"/>
  <c r="L214" i="7"/>
  <c r="M214" i="7"/>
  <c r="N214" i="7"/>
  <c r="K215" i="7"/>
  <c r="L215" i="7"/>
  <c r="M215" i="7"/>
  <c r="N215" i="7"/>
  <c r="K216" i="7"/>
  <c r="L216" i="7"/>
  <c r="M216" i="7"/>
  <c r="N216" i="7"/>
  <c r="K217" i="7"/>
  <c r="L217" i="7"/>
  <c r="M217" i="7"/>
  <c r="N217" i="7"/>
  <c r="K218" i="7"/>
  <c r="L218" i="7"/>
  <c r="M218" i="7"/>
  <c r="N218" i="7"/>
  <c r="K219" i="7"/>
  <c r="L219" i="7"/>
  <c r="M219" i="7"/>
  <c r="N219" i="7"/>
  <c r="K220" i="7"/>
  <c r="L220" i="7"/>
  <c r="M220" i="7"/>
  <c r="N220" i="7"/>
  <c r="K221" i="7"/>
  <c r="L221" i="7"/>
  <c r="M221" i="7"/>
  <c r="N221" i="7"/>
  <c r="K222" i="7"/>
  <c r="L222" i="7"/>
  <c r="M222" i="7"/>
  <c r="N222" i="7"/>
  <c r="K223" i="7"/>
  <c r="L223" i="7"/>
  <c r="M223" i="7"/>
  <c r="N223" i="7"/>
  <c r="K224" i="7"/>
  <c r="L224" i="7"/>
  <c r="M224" i="7"/>
  <c r="N224" i="7"/>
  <c r="K225" i="7"/>
  <c r="L225" i="7"/>
  <c r="M225" i="7"/>
  <c r="N225" i="7"/>
  <c r="K226" i="7"/>
  <c r="L226" i="7"/>
  <c r="M226" i="7"/>
  <c r="N226" i="7"/>
  <c r="K227" i="7"/>
  <c r="L227" i="7"/>
  <c r="M227" i="7"/>
  <c r="N227" i="7"/>
  <c r="K228" i="7"/>
  <c r="L228" i="7"/>
  <c r="M228" i="7"/>
  <c r="N228" i="7"/>
  <c r="K229" i="7"/>
  <c r="L229" i="7"/>
  <c r="M229" i="7"/>
  <c r="N229" i="7"/>
  <c r="K230" i="7"/>
  <c r="L230" i="7"/>
  <c r="M230" i="7"/>
  <c r="N230" i="7"/>
  <c r="K231" i="7"/>
  <c r="L231" i="7"/>
  <c r="M231" i="7"/>
  <c r="N231" i="7"/>
  <c r="K232" i="7"/>
  <c r="L232" i="7"/>
  <c r="M232" i="7"/>
  <c r="N232" i="7"/>
  <c r="K233" i="7"/>
  <c r="L233" i="7"/>
  <c r="M233" i="7"/>
  <c r="N233" i="7"/>
  <c r="K234" i="7"/>
  <c r="L234" i="7"/>
  <c r="M234" i="7"/>
  <c r="N234" i="7"/>
  <c r="K235" i="7"/>
  <c r="L235" i="7"/>
  <c r="M235" i="7"/>
  <c r="N235" i="7"/>
  <c r="K236" i="7"/>
  <c r="L236" i="7"/>
  <c r="M236" i="7"/>
  <c r="N236" i="7"/>
  <c r="K237" i="7"/>
  <c r="L237" i="7"/>
  <c r="M237" i="7"/>
  <c r="N237" i="7"/>
  <c r="K238" i="7"/>
  <c r="L238" i="7"/>
  <c r="M238" i="7"/>
  <c r="N238" i="7"/>
  <c r="K239" i="7"/>
  <c r="L239" i="7"/>
  <c r="M239" i="7"/>
  <c r="N239" i="7"/>
  <c r="K240" i="7"/>
  <c r="L240" i="7"/>
  <c r="M240" i="7"/>
  <c r="N240" i="7"/>
  <c r="K241" i="7"/>
  <c r="L241" i="7"/>
  <c r="M241" i="7"/>
  <c r="N241" i="7"/>
  <c r="K242" i="7"/>
  <c r="L242" i="7"/>
  <c r="M242" i="7"/>
  <c r="N242" i="7"/>
  <c r="K243" i="7"/>
  <c r="L243" i="7"/>
  <c r="M243" i="7"/>
  <c r="N243" i="7"/>
  <c r="S9" i="6"/>
  <c r="D11" i="7" s="1"/>
  <c r="T9" i="6"/>
  <c r="E11" i="7" s="1"/>
  <c r="U9" i="6"/>
  <c r="F11" i="7" s="1"/>
  <c r="V9" i="6"/>
  <c r="G11" i="7" s="1"/>
  <c r="S10" i="6"/>
  <c r="D12" i="7" s="1"/>
  <c r="T10" i="6"/>
  <c r="E12" i="7" s="1"/>
  <c r="U10" i="6"/>
  <c r="F12" i="7" s="1"/>
  <c r="V10" i="6"/>
  <c r="G12" i="7" s="1"/>
  <c r="S15" i="6"/>
  <c r="D16" i="7" s="1"/>
  <c r="T15" i="6"/>
  <c r="E16" i="7" s="1"/>
  <c r="U15" i="6"/>
  <c r="F16" i="7" s="1"/>
  <c r="V15" i="6"/>
  <c r="G16" i="7" s="1"/>
  <c r="S16" i="6"/>
  <c r="D17" i="7" s="1"/>
  <c r="T16" i="6"/>
  <c r="E17" i="7" s="1"/>
  <c r="U16" i="6"/>
  <c r="F17" i="7" s="1"/>
  <c r="V16" i="6"/>
  <c r="G17" i="7" s="1"/>
  <c r="B17" i="6"/>
  <c r="S17" i="6"/>
  <c r="T17" i="6"/>
  <c r="U17" i="6"/>
  <c r="V17" i="6"/>
  <c r="B18" i="6"/>
  <c r="S18" i="6"/>
  <c r="D18" i="7" s="1"/>
  <c r="T18" i="6"/>
  <c r="E18" i="7" s="1"/>
  <c r="U18" i="6"/>
  <c r="F18" i="7" s="1"/>
  <c r="V18" i="6"/>
  <c r="G18" i="7" s="1"/>
  <c r="B19" i="6"/>
  <c r="S19" i="6"/>
  <c r="T19" i="6"/>
  <c r="U19" i="6"/>
  <c r="V19" i="6"/>
  <c r="B20" i="6"/>
  <c r="S20" i="6"/>
  <c r="D19" i="7" s="1"/>
  <c r="T20" i="6"/>
  <c r="E19" i="7" s="1"/>
  <c r="U20" i="6"/>
  <c r="F19" i="7" s="1"/>
  <c r="V20" i="6"/>
  <c r="G19" i="7" s="1"/>
  <c r="B21" i="6"/>
  <c r="S21" i="6"/>
  <c r="D22" i="7" s="1"/>
  <c r="T21" i="6"/>
  <c r="E22" i="7" s="1"/>
  <c r="U21" i="6"/>
  <c r="F22" i="7" s="1"/>
  <c r="V21" i="6"/>
  <c r="G22" i="7" s="1"/>
  <c r="D23" i="7"/>
  <c r="E23" i="7"/>
  <c r="F23" i="7"/>
  <c r="G23" i="7"/>
  <c r="S24" i="6"/>
  <c r="D25" i="7" s="1"/>
  <c r="T24" i="6"/>
  <c r="E25" i="7" s="1"/>
  <c r="U24" i="6"/>
  <c r="F25" i="7" s="1"/>
  <c r="V24" i="6"/>
  <c r="G25" i="7" s="1"/>
  <c r="BI17" i="10"/>
  <c r="BA17" i="10"/>
  <c r="R17" i="10"/>
  <c r="AM17" i="10"/>
  <c r="AR17" i="10"/>
  <c r="O17" i="10"/>
  <c r="AQ17" i="10"/>
  <c r="AC17" i="10"/>
  <c r="AA17" i="10"/>
  <c r="AP17" i="10"/>
  <c r="G6" i="2"/>
  <c r="BF17" i="10"/>
  <c r="BB17" i="10"/>
  <c r="F6" i="2"/>
  <c r="Q17" i="10"/>
  <c r="BE17" i="10"/>
  <c r="BG17" i="10"/>
  <c r="H6" i="2"/>
  <c r="I6" i="2"/>
  <c r="S17" i="10"/>
  <c r="B6" i="2"/>
  <c r="AD17" i="10"/>
  <c r="C6" i="2"/>
  <c r="M17" i="10"/>
  <c r="N17" i="10"/>
  <c r="AT17" i="10"/>
  <c r="AG17" i="10"/>
  <c r="K17" i="10"/>
  <c r="BJ17" i="10"/>
  <c r="AO17" i="10"/>
  <c r="AU17" i="10"/>
  <c r="AV17" i="10"/>
  <c r="E6" i="2"/>
  <c r="BC17" i="10"/>
  <c r="BD17" i="10"/>
  <c r="BH17" i="10"/>
  <c r="D6" i="2"/>
  <c r="P17" i="10"/>
  <c r="AN17" i="10"/>
  <c r="K6" i="2"/>
  <c r="AB17" i="10"/>
  <c r="AH17" i="10"/>
  <c r="AF17" i="10"/>
  <c r="AE17" i="10"/>
  <c r="Z17" i="10"/>
  <c r="J6" i="2"/>
  <c r="T17" i="10"/>
  <c r="L17" i="10"/>
  <c r="Y17" i="10"/>
  <c r="AS17" i="10"/>
  <c r="C49" i="6" l="1"/>
  <c r="B81" i="2"/>
  <c r="B77" i="2"/>
  <c r="B80" i="2"/>
  <c r="B79" i="2"/>
  <c r="B78" i="2"/>
  <c r="B4" i="2"/>
  <c r="B76" i="2"/>
  <c r="I81" i="2"/>
  <c r="F81" i="2"/>
  <c r="J81" i="2"/>
  <c r="K81" i="2"/>
  <c r="E81" i="2"/>
  <c r="G81" i="2"/>
  <c r="D81" i="2"/>
  <c r="H81" i="2"/>
  <c r="C81" i="2"/>
  <c r="I80" i="2"/>
  <c r="F80" i="2"/>
  <c r="J80" i="2"/>
  <c r="K80" i="2"/>
  <c r="E80" i="2"/>
  <c r="G80" i="2"/>
  <c r="D80" i="2"/>
  <c r="H80" i="2"/>
  <c r="C80" i="2"/>
  <c r="I79" i="2"/>
  <c r="F79" i="2"/>
  <c r="J79" i="2"/>
  <c r="K79" i="2"/>
  <c r="E79" i="2"/>
  <c r="G79" i="2"/>
  <c r="D79" i="2"/>
  <c r="H79" i="2"/>
  <c r="C79" i="2"/>
  <c r="I78" i="2"/>
  <c r="F78" i="2"/>
  <c r="J78" i="2"/>
  <c r="K78" i="2"/>
  <c r="E78" i="2"/>
  <c r="G78" i="2"/>
  <c r="D78" i="2"/>
  <c r="H78" i="2"/>
  <c r="C78" i="2"/>
  <c r="I77" i="2"/>
  <c r="F77" i="2"/>
  <c r="J77" i="2"/>
  <c r="K77" i="2"/>
  <c r="E77" i="2"/>
  <c r="G77" i="2"/>
  <c r="D77" i="2"/>
  <c r="H77" i="2"/>
  <c r="C77" i="2"/>
  <c r="I76" i="2"/>
  <c r="F76" i="2"/>
  <c r="J76" i="2"/>
  <c r="K76" i="2"/>
  <c r="E76" i="2"/>
  <c r="G76" i="2"/>
  <c r="D76" i="2"/>
  <c r="H76" i="2"/>
  <c r="C76" i="2"/>
  <c r="AJ23" i="2"/>
  <c r="R23" i="2"/>
  <c r="AG23" i="2"/>
  <c r="AD23" i="2"/>
  <c r="AA23" i="2"/>
  <c r="AP23" i="2"/>
  <c r="X23" i="2"/>
  <c r="AS23" i="2"/>
  <c r="U23" i="2"/>
  <c r="AM23" i="2"/>
  <c r="C5" i="10"/>
  <c r="BH51" i="10"/>
  <c r="AO51" i="10"/>
  <c r="AD51" i="10"/>
  <c r="M19" i="10"/>
  <c r="BG51" i="10"/>
  <c r="AV51" i="10"/>
  <c r="AN51" i="10"/>
  <c r="AC51" i="10"/>
  <c r="BF51" i="10"/>
  <c r="AU51" i="10"/>
  <c r="AM51" i="10"/>
  <c r="AL53" i="10" s="1"/>
  <c r="AB51" i="10"/>
  <c r="K19" i="10"/>
  <c r="BE51" i="10"/>
  <c r="AT51" i="10"/>
  <c r="AA51" i="10"/>
  <c r="BD51" i="10"/>
  <c r="AS51" i="10"/>
  <c r="AH51" i="10"/>
  <c r="Z51" i="10"/>
  <c r="BC51" i="10"/>
  <c r="AR51" i="10"/>
  <c r="AG51" i="10"/>
  <c r="Y51" i="10"/>
  <c r="X53" i="10" s="1"/>
  <c r="BJ51" i="10"/>
  <c r="BB51" i="10"/>
  <c r="AQ51" i="10"/>
  <c r="AF51" i="10"/>
  <c r="BI51" i="10"/>
  <c r="BA51" i="10"/>
  <c r="AZ53" i="10" s="1"/>
  <c r="AP51" i="10"/>
  <c r="AE51" i="10"/>
  <c r="AL19" i="10"/>
  <c r="J19" i="10"/>
  <c r="X19" i="10"/>
  <c r="AZ19" i="10"/>
  <c r="V29" i="6"/>
  <c r="U29" i="6"/>
  <c r="S30" i="6"/>
  <c r="S4" i="6" s="1"/>
  <c r="D6" i="7" s="1"/>
  <c r="M144" i="7"/>
  <c r="S29" i="6"/>
  <c r="K142" i="7"/>
  <c r="N144" i="7"/>
  <c r="V30" i="6"/>
  <c r="V4" i="6" s="1"/>
  <c r="G6" i="7" s="1"/>
  <c r="U30" i="6"/>
  <c r="U4" i="6" s="1"/>
  <c r="F6" i="7" s="1"/>
  <c r="AC7" i="6"/>
  <c r="Q12" i="6"/>
  <c r="B14" i="7"/>
  <c r="B12" i="6"/>
  <c r="C50" i="6"/>
  <c r="F34" i="7" s="1"/>
  <c r="B6" i="6"/>
  <c r="G24" i="7"/>
  <c r="F24" i="7"/>
  <c r="E24" i="7"/>
  <c r="D24" i="7"/>
  <c r="V6" i="6"/>
  <c r="G8" i="7" s="1"/>
  <c r="G26" i="7" s="1"/>
  <c r="N29" i="7" s="1"/>
  <c r="U6" i="6"/>
  <c r="F8" i="7" s="1"/>
  <c r="F26" i="7" s="1"/>
  <c r="M29" i="7" s="1"/>
  <c r="T6" i="6"/>
  <c r="E8" i="7" s="1"/>
  <c r="E26" i="7" s="1"/>
  <c r="L29" i="7" s="1"/>
  <c r="V7" i="6"/>
  <c r="V26" i="6"/>
  <c r="G29" i="7" s="1"/>
  <c r="U7" i="6"/>
  <c r="V5" i="6"/>
  <c r="U26" i="6"/>
  <c r="F29" i="7" s="1"/>
  <c r="T26" i="6"/>
  <c r="E29" i="7" s="1"/>
  <c r="S7" i="6"/>
  <c r="U5" i="6"/>
  <c r="T7" i="6"/>
  <c r="S26" i="6"/>
  <c r="D29" i="7" s="1"/>
  <c r="B7" i="6"/>
  <c r="T5" i="6"/>
  <c r="B25" i="6"/>
  <c r="S5" i="6"/>
  <c r="T29" i="6"/>
  <c r="AD8" i="6"/>
  <c r="AB7" i="6"/>
  <c r="T30" i="6"/>
  <c r="T4" i="6" s="1"/>
  <c r="E6" i="7" s="1"/>
  <c r="AA7" i="6"/>
  <c r="L144" i="7"/>
  <c r="F27" i="7"/>
  <c r="M244" i="7"/>
  <c r="AC10" i="6"/>
  <c r="AC9" i="6"/>
  <c r="AC8" i="6"/>
  <c r="AD7" i="6"/>
  <c r="N142" i="7"/>
  <c r="K144" i="7"/>
  <c r="E27" i="7"/>
  <c r="L244" i="7"/>
  <c r="AB10" i="6"/>
  <c r="AB9" i="6"/>
  <c r="AB8" i="6"/>
  <c r="D33" i="7"/>
  <c r="E33" i="7"/>
  <c r="F33" i="7"/>
  <c r="G33" i="7"/>
  <c r="M142" i="7"/>
  <c r="D27" i="7"/>
  <c r="K244" i="7"/>
  <c r="AA10" i="6"/>
  <c r="AA9" i="6"/>
  <c r="AA8" i="6"/>
  <c r="L142" i="7"/>
  <c r="N9" i="7"/>
  <c r="M9" i="7"/>
  <c r="L9" i="7"/>
  <c r="K29" i="7"/>
  <c r="K9" i="7"/>
  <c r="G27" i="7"/>
  <c r="N244" i="7"/>
  <c r="AD10" i="6"/>
  <c r="AD9" i="6"/>
  <c r="B7" i="2" l="1"/>
  <c r="H7" i="2"/>
  <c r="D7" i="2"/>
  <c r="G7" i="2"/>
  <c r="E7" i="2"/>
  <c r="K7" i="2"/>
  <c r="J7" i="2"/>
  <c r="F7" i="2"/>
  <c r="C7" i="2"/>
  <c r="I7" i="2"/>
  <c r="BG19" i="10"/>
  <c r="AO53" i="10"/>
  <c r="AQ19" i="10"/>
  <c r="BH53" i="10"/>
  <c r="Z19" i="10"/>
  <c r="BD19" i="10"/>
  <c r="AD53" i="10"/>
  <c r="BB19" i="10"/>
  <c r="AA19" i="10"/>
  <c r="AT19" i="10"/>
  <c r="AE19" i="10"/>
  <c r="AF53" i="10"/>
  <c r="AO19" i="10"/>
  <c r="BC53" i="10"/>
  <c r="AA53" i="10"/>
  <c r="AU53" i="10"/>
  <c r="BI19" i="10"/>
  <c r="O19" i="10"/>
  <c r="AS19" i="10"/>
  <c r="AC19" i="10"/>
  <c r="BG53" i="10"/>
  <c r="AM53" i="10"/>
  <c r="AQ53" i="10"/>
  <c r="BF53" i="10"/>
  <c r="AE53" i="10"/>
  <c r="BB53" i="10"/>
  <c r="AT53" i="10"/>
  <c r="AP53" i="10"/>
  <c r="Z53" i="10"/>
  <c r="BE53" i="10"/>
  <c r="BA53" i="10"/>
  <c r="Y53" i="10"/>
  <c r="AS53" i="10"/>
  <c r="AC53" i="10"/>
  <c r="R19" i="10"/>
  <c r="BI53" i="10"/>
  <c r="AG53" i="10"/>
  <c r="BD53" i="10"/>
  <c r="AN53" i="10"/>
  <c r="AR53" i="10"/>
  <c r="AB53" i="10"/>
  <c r="AM19" i="10"/>
  <c r="P19" i="10"/>
  <c r="BE19" i="10"/>
  <c r="S19" i="10"/>
  <c r="AG19" i="10"/>
  <c r="L19" i="10"/>
  <c r="N19" i="10"/>
  <c r="AB19" i="10"/>
  <c r="AR19" i="10"/>
  <c r="AD19" i="10"/>
  <c r="AP19" i="10"/>
  <c r="AN19" i="10"/>
  <c r="BA19" i="10"/>
  <c r="Q19" i="10"/>
  <c r="BF19" i="10"/>
  <c r="AU19" i="10"/>
  <c r="BC19" i="10"/>
  <c r="BH19" i="10"/>
  <c r="AF19" i="10"/>
  <c r="Y19" i="10"/>
  <c r="T8" i="6"/>
  <c r="V8" i="6"/>
  <c r="S8" i="6"/>
  <c r="F7" i="7"/>
  <c r="U8" i="6"/>
  <c r="AC12" i="6"/>
  <c r="AB12" i="6"/>
  <c r="AA12" i="6"/>
  <c r="AA11" i="6"/>
  <c r="E34" i="7"/>
  <c r="D34" i="7"/>
  <c r="G34" i="7"/>
  <c r="F9" i="7"/>
  <c r="E7" i="7"/>
  <c r="G7" i="7"/>
  <c r="N143" i="7"/>
  <c r="N152" i="7" s="1"/>
  <c r="G9" i="7"/>
  <c r="D7" i="7"/>
  <c r="D9" i="7"/>
  <c r="E9" i="7"/>
  <c r="M143" i="7"/>
  <c r="M153" i="7" s="1"/>
  <c r="AC11" i="6"/>
  <c r="AB11" i="6"/>
  <c r="L143" i="7"/>
  <c r="K143" i="7"/>
  <c r="AD11" i="6"/>
  <c r="AD12" i="6"/>
  <c r="E10" i="7" l="1"/>
  <c r="L28" i="7" s="1"/>
  <c r="L30" i="7" s="1"/>
  <c r="F10" i="7"/>
  <c r="M28" i="7" s="1"/>
  <c r="D10" i="7"/>
  <c r="K28" i="7" s="1"/>
  <c r="K31" i="7" s="1"/>
  <c r="K32" i="7" s="1"/>
  <c r="G10" i="7"/>
  <c r="N28" i="7" s="1"/>
  <c r="N31" i="7" s="1"/>
  <c r="N32" i="7" s="1"/>
  <c r="N149" i="7"/>
  <c r="M7" i="7"/>
  <c r="L7" i="7"/>
  <c r="M146" i="7"/>
  <c r="N7" i="7"/>
  <c r="M160" i="7"/>
  <c r="M159" i="7"/>
  <c r="N154" i="7"/>
  <c r="M168" i="7"/>
  <c r="M174" i="7"/>
  <c r="M158" i="7"/>
  <c r="N160" i="7"/>
  <c r="N145" i="7"/>
  <c r="N179" i="7" s="1"/>
  <c r="M164" i="7"/>
  <c r="M149" i="7"/>
  <c r="M148" i="7"/>
  <c r="N157" i="7"/>
  <c r="N147" i="7"/>
  <c r="M162" i="7"/>
  <c r="M154" i="7"/>
  <c r="M177" i="7"/>
  <c r="N171" i="7"/>
  <c r="N163" i="7"/>
  <c r="N150" i="7"/>
  <c r="M151" i="7"/>
  <c r="M147" i="7"/>
  <c r="M175" i="7"/>
  <c r="N158" i="7"/>
  <c r="N172" i="7"/>
  <c r="M176" i="7"/>
  <c r="M167" i="7"/>
  <c r="N164" i="7"/>
  <c r="N178" i="7"/>
  <c r="M165" i="7"/>
  <c r="N161" i="7"/>
  <c r="N175" i="7"/>
  <c r="M152" i="7"/>
  <c r="M187" i="7" s="1"/>
  <c r="M166" i="7"/>
  <c r="M161" i="7"/>
  <c r="N167" i="7"/>
  <c r="N159" i="7"/>
  <c r="M150" i="7"/>
  <c r="M145" i="7"/>
  <c r="M179" i="7" s="1"/>
  <c r="M163" i="7"/>
  <c r="N174" i="7"/>
  <c r="N170" i="7"/>
  <c r="N205" i="7" s="1"/>
  <c r="N166" i="7"/>
  <c r="N162" i="7"/>
  <c r="N146" i="7"/>
  <c r="M170" i="7"/>
  <c r="M172" i="7"/>
  <c r="M173" i="7"/>
  <c r="M157" i="7"/>
  <c r="N155" i="7"/>
  <c r="N151" i="7"/>
  <c r="N186" i="7" s="1"/>
  <c r="N169" i="7"/>
  <c r="N168" i="7"/>
  <c r="M156" i="7"/>
  <c r="M171" i="7"/>
  <c r="M155" i="7"/>
  <c r="N148" i="7"/>
  <c r="N176" i="7"/>
  <c r="N156" i="7"/>
  <c r="N165" i="7"/>
  <c r="M178" i="7"/>
  <c r="M169" i="7"/>
  <c r="M204" i="7" s="1"/>
  <c r="N177" i="7"/>
  <c r="N173" i="7"/>
  <c r="N153" i="7"/>
  <c r="N187" i="7" s="1"/>
  <c r="K7" i="7"/>
  <c r="K145" i="7"/>
  <c r="K147" i="7"/>
  <c r="K149" i="7"/>
  <c r="K151" i="7"/>
  <c r="K153" i="7"/>
  <c r="K155" i="7"/>
  <c r="K157" i="7"/>
  <c r="K159" i="7"/>
  <c r="K161" i="7"/>
  <c r="K163" i="7"/>
  <c r="K165" i="7"/>
  <c r="K167" i="7"/>
  <c r="K169" i="7"/>
  <c r="K171" i="7"/>
  <c r="K173" i="7"/>
  <c r="K175" i="7"/>
  <c r="K177" i="7"/>
  <c r="K179" i="7"/>
  <c r="K181" i="7"/>
  <c r="K183" i="7"/>
  <c r="K150" i="7"/>
  <c r="K156" i="7"/>
  <c r="K172" i="7"/>
  <c r="K146" i="7"/>
  <c r="K166" i="7"/>
  <c r="K182" i="7"/>
  <c r="K187" i="7"/>
  <c r="K189" i="7"/>
  <c r="K191" i="7"/>
  <c r="K193" i="7"/>
  <c r="K195" i="7"/>
  <c r="K197" i="7"/>
  <c r="K199" i="7"/>
  <c r="K201" i="7"/>
  <c r="K203" i="7"/>
  <c r="K205" i="7"/>
  <c r="K207" i="7"/>
  <c r="K209" i="7"/>
  <c r="K160" i="7"/>
  <c r="K176" i="7"/>
  <c r="K185" i="7"/>
  <c r="K154" i="7"/>
  <c r="K170" i="7"/>
  <c r="K164" i="7"/>
  <c r="K180" i="7"/>
  <c r="K148" i="7"/>
  <c r="K158" i="7"/>
  <c r="K174" i="7"/>
  <c r="K188" i="7"/>
  <c r="K190" i="7"/>
  <c r="K192" i="7"/>
  <c r="K194" i="7"/>
  <c r="K196" i="7"/>
  <c r="K198" i="7"/>
  <c r="K200" i="7"/>
  <c r="K202" i="7"/>
  <c r="K204" i="7"/>
  <c r="K206" i="7"/>
  <c r="K208" i="7"/>
  <c r="K210" i="7"/>
  <c r="K152" i="7"/>
  <c r="K168" i="7"/>
  <c r="K186" i="7"/>
  <c r="K162" i="7"/>
  <c r="K178" i="7"/>
  <c r="K184" i="7"/>
  <c r="L146" i="7"/>
  <c r="L149" i="7"/>
  <c r="L152" i="7"/>
  <c r="L154" i="7"/>
  <c r="L156" i="7"/>
  <c r="L158" i="7"/>
  <c r="L160" i="7"/>
  <c r="L162" i="7"/>
  <c r="L164" i="7"/>
  <c r="L166" i="7"/>
  <c r="L168" i="7"/>
  <c r="L170" i="7"/>
  <c r="L172" i="7"/>
  <c r="L174" i="7"/>
  <c r="L176" i="7"/>
  <c r="L178" i="7"/>
  <c r="L180" i="7"/>
  <c r="L182" i="7"/>
  <c r="L184" i="7"/>
  <c r="L186" i="7"/>
  <c r="L159" i="7"/>
  <c r="L175" i="7"/>
  <c r="L153" i="7"/>
  <c r="L169" i="7"/>
  <c r="L150" i="7"/>
  <c r="L163" i="7"/>
  <c r="L179" i="7"/>
  <c r="L187" i="7"/>
  <c r="L189" i="7"/>
  <c r="L191" i="7"/>
  <c r="L193" i="7"/>
  <c r="L195" i="7"/>
  <c r="L197" i="7"/>
  <c r="L199" i="7"/>
  <c r="L201" i="7"/>
  <c r="L203" i="7"/>
  <c r="L205" i="7"/>
  <c r="L207" i="7"/>
  <c r="L209" i="7"/>
  <c r="L147" i="7"/>
  <c r="L157" i="7"/>
  <c r="L173" i="7"/>
  <c r="L185" i="7"/>
  <c r="L151" i="7"/>
  <c r="L167" i="7"/>
  <c r="L183" i="7"/>
  <c r="L161" i="7"/>
  <c r="L177" i="7"/>
  <c r="L148" i="7"/>
  <c r="L155" i="7"/>
  <c r="L171" i="7"/>
  <c r="L188" i="7"/>
  <c r="L190" i="7"/>
  <c r="L192" i="7"/>
  <c r="L194" i="7"/>
  <c r="L196" i="7"/>
  <c r="L198" i="7"/>
  <c r="L200" i="7"/>
  <c r="L202" i="7"/>
  <c r="L204" i="7"/>
  <c r="L206" i="7"/>
  <c r="L208" i="7"/>
  <c r="L210" i="7"/>
  <c r="L145" i="7"/>
  <c r="L165" i="7"/>
  <c r="L181" i="7"/>
  <c r="N183" i="7" l="1"/>
  <c r="M31" i="7"/>
  <c r="M32" i="7" s="1"/>
  <c r="M30" i="7"/>
  <c r="N202" i="7"/>
  <c r="M206" i="7"/>
  <c r="N184" i="7"/>
  <c r="N189" i="7"/>
  <c r="M180" i="7"/>
  <c r="M196" i="7"/>
  <c r="M181" i="7"/>
  <c r="M193" i="7"/>
  <c r="M251" i="7"/>
  <c r="N201" i="7"/>
  <c r="N198" i="7"/>
  <c r="M183" i="7"/>
  <c r="L277" i="7"/>
  <c r="L247" i="7"/>
  <c r="L269" i="7"/>
  <c r="L245" i="7"/>
  <c r="M195" i="7"/>
  <c r="N185" i="7"/>
  <c r="M249" i="7"/>
  <c r="L265" i="7"/>
  <c r="N191" i="7"/>
  <c r="M202" i="7"/>
  <c r="M192" i="7"/>
  <c r="M208" i="7"/>
  <c r="M265" i="7"/>
  <c r="M209" i="7"/>
  <c r="N181" i="7"/>
  <c r="N207" i="7"/>
  <c r="M190" i="7"/>
  <c r="N193" i="7"/>
  <c r="L248" i="7"/>
  <c r="L257" i="7"/>
  <c r="N203" i="7"/>
  <c r="M194" i="7"/>
  <c r="N180" i="7"/>
  <c r="M201" i="7"/>
  <c r="N208" i="7"/>
  <c r="N209" i="7"/>
  <c r="N195" i="7"/>
  <c r="M191" i="7"/>
  <c r="N188" i="7"/>
  <c r="N182" i="7"/>
  <c r="M186" i="7"/>
  <c r="M203" i="7"/>
  <c r="L31" i="7"/>
  <c r="L32" i="7" s="1"/>
  <c r="M184" i="7"/>
  <c r="N190" i="7"/>
  <c r="N206" i="7"/>
  <c r="M199" i="7"/>
  <c r="N194" i="7"/>
  <c r="M198" i="7"/>
  <c r="N210" i="7"/>
  <c r="M189" i="7"/>
  <c r="M207" i="7"/>
  <c r="M245" i="7"/>
  <c r="N196" i="7"/>
  <c r="M210" i="7"/>
  <c r="M197" i="7"/>
  <c r="L250" i="7"/>
  <c r="M188" i="7"/>
  <c r="M269" i="7"/>
  <c r="M205" i="7"/>
  <c r="M185" i="7"/>
  <c r="M200" i="7"/>
  <c r="M182" i="7"/>
  <c r="N192" i="7"/>
  <c r="N200" i="7"/>
  <c r="N204" i="7"/>
  <c r="N197" i="7"/>
  <c r="N199" i="7"/>
  <c r="M258" i="7"/>
  <c r="M254" i="7"/>
  <c r="N276" i="7"/>
  <c r="M259" i="7"/>
  <c r="M263" i="7"/>
  <c r="L275" i="7"/>
  <c r="L274" i="7"/>
  <c r="L258" i="7"/>
  <c r="M250" i="7"/>
  <c r="M253" i="7"/>
  <c r="N251" i="7"/>
  <c r="M275" i="7"/>
  <c r="M276" i="7"/>
  <c r="M264" i="7"/>
  <c r="L267" i="7"/>
  <c r="L259" i="7"/>
  <c r="L272" i="7"/>
  <c r="M266" i="7"/>
  <c r="N255" i="7"/>
  <c r="M257" i="7"/>
  <c r="N248" i="7"/>
  <c r="M270" i="7"/>
  <c r="L251" i="7"/>
  <c r="L270" i="7"/>
  <c r="M252" i="7"/>
  <c r="M273" i="7"/>
  <c r="N264" i="7"/>
  <c r="M261" i="7"/>
  <c r="M268" i="7"/>
  <c r="M256" i="7"/>
  <c r="N272" i="7"/>
  <c r="M248" i="7"/>
  <c r="M267" i="7"/>
  <c r="L255" i="7"/>
  <c r="L273" i="7"/>
  <c r="M255" i="7"/>
  <c r="M272" i="7"/>
  <c r="N263" i="7"/>
  <c r="L264" i="7"/>
  <c r="L246" i="7"/>
  <c r="M271" i="7"/>
  <c r="L271" i="7"/>
  <c r="M274" i="7"/>
  <c r="M277" i="7"/>
  <c r="M262" i="7"/>
  <c r="L263" i="7"/>
  <c r="L266" i="7"/>
  <c r="L249" i="7"/>
  <c r="M260" i="7"/>
  <c r="M247" i="7"/>
  <c r="L261" i="7"/>
  <c r="L253" i="7"/>
  <c r="M246" i="7"/>
  <c r="N273" i="7"/>
  <c r="N257" i="7"/>
  <c r="N265" i="7"/>
  <c r="N268" i="7"/>
  <c r="N269" i="7"/>
  <c r="N277" i="7"/>
  <c r="N254" i="7"/>
  <c r="N246" i="7"/>
  <c r="N270" i="7"/>
  <c r="N259" i="7"/>
  <c r="N260" i="7"/>
  <c r="N245" i="7"/>
  <c r="N271" i="7"/>
  <c r="N252" i="7"/>
  <c r="N30" i="7"/>
  <c r="K252" i="7"/>
  <c r="N247" i="7"/>
  <c r="N253" i="7"/>
  <c r="N258" i="7"/>
  <c r="N261" i="7"/>
  <c r="N275" i="7"/>
  <c r="N267" i="7"/>
  <c r="N262" i="7"/>
  <c r="N250" i="7"/>
  <c r="N256" i="7"/>
  <c r="N249" i="7"/>
  <c r="N266" i="7"/>
  <c r="N274" i="7"/>
  <c r="K264" i="7"/>
  <c r="K270" i="7"/>
  <c r="K254" i="7"/>
  <c r="K262" i="7"/>
  <c r="K30" i="7"/>
  <c r="K268" i="7"/>
  <c r="K248" i="7"/>
  <c r="K271" i="7"/>
  <c r="L254" i="7"/>
  <c r="K274" i="7"/>
  <c r="K246" i="7"/>
  <c r="K258" i="7"/>
  <c r="K267" i="7"/>
  <c r="K251" i="7"/>
  <c r="L276" i="7"/>
  <c r="K265" i="7"/>
  <c r="K249" i="7"/>
  <c r="L262" i="7"/>
  <c r="K263" i="7"/>
  <c r="K247" i="7"/>
  <c r="L260" i="7"/>
  <c r="K266" i="7"/>
  <c r="K277" i="7"/>
  <c r="K261" i="7"/>
  <c r="K245" i="7"/>
  <c r="K276" i="7"/>
  <c r="K275" i="7"/>
  <c r="K259" i="7"/>
  <c r="L256" i="7"/>
  <c r="K260" i="7"/>
  <c r="K272" i="7"/>
  <c r="K273" i="7"/>
  <c r="K257" i="7"/>
  <c r="L68" i="7"/>
  <c r="L69" i="7" s="1"/>
  <c r="K256" i="7"/>
  <c r="K255" i="7"/>
  <c r="L268" i="7"/>
  <c r="L252" i="7"/>
  <c r="K250" i="7"/>
  <c r="K269" i="7"/>
  <c r="K253" i="7"/>
  <c r="M68" i="7" l="1"/>
  <c r="M69" i="7" s="1"/>
  <c r="M72" i="7" s="1"/>
  <c r="M73" i="7" s="1"/>
  <c r="N68" i="7"/>
  <c r="N69" i="7" s="1"/>
  <c r="K68" i="7"/>
  <c r="K69" i="7" s="1"/>
  <c r="L72" i="7"/>
  <c r="L73" i="7" s="1"/>
  <c r="L70" i="7"/>
  <c r="L71" i="7"/>
  <c r="M71" i="7" l="1"/>
  <c r="M70" i="7"/>
  <c r="M74" i="7" s="1"/>
  <c r="M75" i="7" s="1"/>
  <c r="N71" i="7"/>
  <c r="N72" i="7"/>
  <c r="N73" i="7" s="1"/>
  <c r="N70" i="7"/>
  <c r="K71" i="7"/>
  <c r="K72" i="7"/>
  <c r="K73" i="7" s="1"/>
  <c r="K70" i="7"/>
  <c r="L74" i="7"/>
  <c r="L75" i="7" s="1"/>
  <c r="L79" i="7" s="1"/>
  <c r="W5" i="1"/>
  <c r="V5" i="1"/>
  <c r="E9" i="5"/>
  <c r="M107" i="7" l="1"/>
  <c r="M83" i="7"/>
  <c r="M80" i="7"/>
  <c r="M84" i="7"/>
  <c r="M91" i="7"/>
  <c r="M97" i="7"/>
  <c r="M77" i="7"/>
  <c r="M92" i="7"/>
  <c r="M94" i="7"/>
  <c r="M78" i="7"/>
  <c r="M88" i="7"/>
  <c r="M102" i="7"/>
  <c r="M101" i="7"/>
  <c r="M104" i="7"/>
  <c r="M90" i="7"/>
  <c r="M96" i="7"/>
  <c r="M79" i="7"/>
  <c r="M108" i="7"/>
  <c r="M89" i="7"/>
  <c r="M100" i="7"/>
  <c r="M86" i="7"/>
  <c r="M85" i="7"/>
  <c r="M82" i="7"/>
  <c r="M93" i="7"/>
  <c r="M95" i="7"/>
  <c r="M106" i="7"/>
  <c r="M98" i="7"/>
  <c r="M76" i="7"/>
  <c r="M105" i="7"/>
  <c r="M81" i="7"/>
  <c r="M99" i="7"/>
  <c r="M103" i="7"/>
  <c r="M87" i="7"/>
  <c r="N74" i="7"/>
  <c r="N75" i="7" s="1"/>
  <c r="N103" i="7" s="1"/>
  <c r="K74" i="7"/>
  <c r="K75" i="7" s="1"/>
  <c r="L91" i="7"/>
  <c r="L100" i="7"/>
  <c r="L86" i="7"/>
  <c r="L99" i="7"/>
  <c r="L104" i="7"/>
  <c r="L95" i="7"/>
  <c r="L102" i="7"/>
  <c r="L78" i="7"/>
  <c r="L83" i="7"/>
  <c r="L108" i="7"/>
  <c r="L106" i="7"/>
  <c r="L76" i="7"/>
  <c r="L93" i="7"/>
  <c r="L88" i="7"/>
  <c r="L84" i="7"/>
  <c r="L101" i="7"/>
  <c r="L105" i="7"/>
  <c r="L103" i="7"/>
  <c r="L85" i="7"/>
  <c r="L98" i="7"/>
  <c r="L87" i="7"/>
  <c r="L80" i="7"/>
  <c r="L90" i="7"/>
  <c r="L77" i="7"/>
  <c r="L97" i="7"/>
  <c r="L107" i="7"/>
  <c r="L94" i="7"/>
  <c r="L89" i="7"/>
  <c r="L96" i="7"/>
  <c r="L92" i="7"/>
  <c r="L82" i="7"/>
  <c r="L81" i="7"/>
  <c r="N87" i="7" l="1"/>
  <c r="N101" i="7"/>
  <c r="N80" i="7"/>
  <c r="N84" i="7"/>
  <c r="N81" i="7"/>
  <c r="N98" i="7"/>
  <c r="N97" i="7"/>
  <c r="N91" i="7"/>
  <c r="N79" i="7"/>
  <c r="N89" i="7"/>
  <c r="N83" i="7"/>
  <c r="N99" i="7"/>
  <c r="N107" i="7"/>
  <c r="N82" i="7"/>
  <c r="N92" i="7"/>
  <c r="N105" i="7"/>
  <c r="N94" i="7"/>
  <c r="N93" i="7"/>
  <c r="N108" i="7"/>
  <c r="N104" i="7"/>
  <c r="N78" i="7"/>
  <c r="N95" i="7"/>
  <c r="N86" i="7"/>
  <c r="N88" i="7"/>
  <c r="N96" i="7"/>
  <c r="N102" i="7"/>
  <c r="N76" i="7"/>
  <c r="N77" i="7"/>
  <c r="N90" i="7"/>
  <c r="N85" i="7"/>
  <c r="N106" i="7"/>
  <c r="N100" i="7"/>
  <c r="K104" i="7"/>
  <c r="K103" i="7"/>
  <c r="K83" i="7"/>
  <c r="K101" i="7"/>
  <c r="K107" i="7"/>
  <c r="K77" i="7"/>
  <c r="K99" i="7"/>
  <c r="K92" i="7"/>
  <c r="K94" i="7"/>
  <c r="K79" i="7"/>
  <c r="K76" i="7"/>
  <c r="K102" i="7"/>
  <c r="K90" i="7"/>
  <c r="K95" i="7"/>
  <c r="K98" i="7"/>
  <c r="K89" i="7"/>
  <c r="K86" i="7"/>
  <c r="K87" i="7"/>
  <c r="K82" i="7"/>
  <c r="K84" i="7"/>
  <c r="K88" i="7"/>
  <c r="K80" i="7"/>
  <c r="K105" i="7"/>
  <c r="K93" i="7"/>
  <c r="K85" i="7"/>
  <c r="K106" i="7"/>
  <c r="K81" i="7"/>
  <c r="K78" i="7"/>
  <c r="K108" i="7"/>
  <c r="K96" i="7"/>
  <c r="K100" i="7"/>
  <c r="K97" i="7"/>
  <c r="K91" i="7"/>
  <c r="B3" i="1" l="1"/>
  <c r="D55" i="1" l="1"/>
  <c r="C55" i="1"/>
  <c r="B55" i="1" l="1"/>
  <c r="B57" i="1" l="1"/>
  <c r="W6" i="1" l="1"/>
  <c r="V6" i="1"/>
  <c r="U6" i="1"/>
  <c r="T6" i="1"/>
  <c r="B22" i="1"/>
  <c r="B21" i="1"/>
  <c r="B2" i="1"/>
  <c r="J29" i="3" l="1"/>
  <c r="J29" i="2" l="1"/>
  <c r="H12" i="3" l="1"/>
  <c r="H12" i="2" l="1"/>
  <c r="R11" i="2" l="1"/>
  <c r="R10" i="2"/>
  <c r="R9" i="2"/>
  <c r="R8" i="2"/>
  <c r="R7" i="2"/>
  <c r="R6" i="2"/>
  <c r="G23" i="1"/>
  <c r="F23" i="1"/>
  <c r="E23" i="1"/>
  <c r="J21" i="3" l="1"/>
  <c r="M17" i="2"/>
  <c r="M18" i="2"/>
  <c r="J25" i="3"/>
  <c r="J21" i="2"/>
  <c r="R33" i="2"/>
  <c r="J26" i="2"/>
  <c r="R13" i="2"/>
  <c r="R14" i="2"/>
  <c r="R15" i="2" s="1"/>
  <c r="R18" i="2" s="1"/>
  <c r="R12" i="2"/>
  <c r="M19" i="2" l="1"/>
  <c r="Y40" i="3" s="1"/>
  <c r="Z40" i="3" s="1"/>
  <c r="R46" i="2"/>
  <c r="R48" i="2" s="1"/>
  <c r="T44" i="2"/>
  <c r="R16" i="2"/>
  <c r="R17" i="2" s="1"/>
  <c r="R19" i="2" s="1"/>
  <c r="R35" i="2"/>
  <c r="C45" i="3" l="1"/>
  <c r="W40" i="3"/>
  <c r="X40" i="3" s="1"/>
  <c r="R60" i="2"/>
  <c r="R74" i="2" s="1"/>
  <c r="T57" i="2"/>
  <c r="R36" i="2"/>
  <c r="R37" i="2" s="1"/>
  <c r="R49" i="2"/>
  <c r="R45" i="3" l="1"/>
  <c r="N45" i="3"/>
  <c r="J45" i="3"/>
  <c r="F45" i="3"/>
  <c r="P45" i="3"/>
  <c r="H45" i="3"/>
  <c r="S45" i="3"/>
  <c r="O45" i="3"/>
  <c r="K45" i="3"/>
  <c r="G45" i="3"/>
  <c r="U45" i="3"/>
  <c r="Q45" i="3"/>
  <c r="M45" i="3"/>
  <c r="I45" i="3"/>
  <c r="E45" i="3"/>
  <c r="T45" i="3"/>
  <c r="L45" i="3"/>
  <c r="D45" i="3"/>
  <c r="T71" i="2"/>
  <c r="R62" i="2"/>
  <c r="R63" i="2"/>
  <c r="R76" i="2"/>
  <c r="R88" i="2"/>
  <c r="T85" i="2"/>
  <c r="R77" i="2"/>
  <c r="R50" i="2"/>
  <c r="R51" i="2" s="1"/>
  <c r="R38" i="2"/>
  <c r="R64" i="2" l="1"/>
  <c r="R65" i="2" s="1"/>
  <c r="R78" i="2"/>
  <c r="R79" i="2" s="1"/>
  <c r="R90" i="2"/>
  <c r="R102" i="2"/>
  <c r="R91" i="2"/>
  <c r="T99" i="2"/>
  <c r="T20" i="1"/>
  <c r="T4" i="1"/>
  <c r="U4" i="1"/>
  <c r="V4" i="1"/>
  <c r="W4" i="1"/>
  <c r="T5" i="1"/>
  <c r="U5" i="1"/>
  <c r="T18" i="1"/>
  <c r="T19" i="1"/>
  <c r="T21" i="1"/>
  <c r="R92" i="2" l="1"/>
  <c r="R93" i="2" s="1"/>
  <c r="T113" i="2"/>
  <c r="R116" i="2"/>
  <c r="R105" i="2"/>
  <c r="R104" i="2"/>
  <c r="V11" i="1"/>
  <c r="W11" i="1"/>
  <c r="W9" i="1"/>
  <c r="W10" i="1" s="1"/>
  <c r="U11" i="1"/>
  <c r="T22" i="1"/>
  <c r="T23" i="1"/>
  <c r="U12" i="1"/>
  <c r="U9" i="1"/>
  <c r="U10" i="1" s="1"/>
  <c r="V12" i="1"/>
  <c r="V9" i="1"/>
  <c r="V10" i="1" s="1"/>
  <c r="W12" i="1"/>
  <c r="R106" i="2" l="1"/>
  <c r="R107" i="2" s="1"/>
  <c r="R118" i="2"/>
  <c r="R130" i="2"/>
  <c r="T127" i="2"/>
  <c r="R119" i="2"/>
  <c r="R27" i="2"/>
  <c r="X27" i="2"/>
  <c r="X29" i="2" s="1"/>
  <c r="AA27" i="2"/>
  <c r="AA29" i="2" s="1"/>
  <c r="AJ27" i="2"/>
  <c r="AJ29" i="2" s="1"/>
  <c r="AG27" i="2"/>
  <c r="AG29" i="2" s="1"/>
  <c r="AS27" i="2"/>
  <c r="AS29" i="2" s="1"/>
  <c r="AP27" i="2"/>
  <c r="AP29" i="2" s="1"/>
  <c r="AM27" i="2"/>
  <c r="AM29" i="2" s="1"/>
  <c r="U27" i="2"/>
  <c r="U29" i="2" s="1"/>
  <c r="AD27" i="2"/>
  <c r="AD29" i="2" s="1"/>
  <c r="W13" i="1"/>
  <c r="W26" i="1" s="1"/>
  <c r="W27" i="1" s="1"/>
  <c r="U13" i="1"/>
  <c r="U26" i="1" s="1"/>
  <c r="U27" i="1" s="1"/>
  <c r="V13" i="1"/>
  <c r="V26" i="1" s="1"/>
  <c r="AM4619" i="2" l="1"/>
  <c r="AM4563" i="2"/>
  <c r="AM4507" i="2"/>
  <c r="AM4451" i="2"/>
  <c r="AM4395" i="2"/>
  <c r="AM4339" i="2"/>
  <c r="AM4283" i="2"/>
  <c r="AM4227" i="2"/>
  <c r="AM4171" i="2"/>
  <c r="AM4115" i="2"/>
  <c r="AM4059" i="2"/>
  <c r="AM4003" i="2"/>
  <c r="AM3947" i="2"/>
  <c r="AM3891" i="2"/>
  <c r="AM3835" i="2"/>
  <c r="AM3779" i="2"/>
  <c r="AM3723" i="2"/>
  <c r="AM3667" i="2"/>
  <c r="AM3611" i="2"/>
  <c r="AM3555" i="2"/>
  <c r="AM3499" i="2"/>
  <c r="AM3443" i="2"/>
  <c r="AM3387" i="2"/>
  <c r="AM3331" i="2"/>
  <c r="AM3275" i="2"/>
  <c r="AM3219" i="2"/>
  <c r="AM3163" i="2"/>
  <c r="AM3107" i="2"/>
  <c r="AM3051" i="2"/>
  <c r="AM2995" i="2"/>
  <c r="AM2939" i="2"/>
  <c r="AM2883" i="2"/>
  <c r="AM2827" i="2"/>
  <c r="AM2771" i="2"/>
  <c r="AM2715" i="2"/>
  <c r="AM2659" i="2"/>
  <c r="AM2603" i="2"/>
  <c r="AM2547" i="2"/>
  <c r="AM2491" i="2"/>
  <c r="AM2435" i="2"/>
  <c r="AM2379" i="2"/>
  <c r="AM2323" i="2"/>
  <c r="AM2267" i="2"/>
  <c r="AM2211" i="2"/>
  <c r="AM2155" i="2"/>
  <c r="AM2099" i="2"/>
  <c r="AM2043" i="2"/>
  <c r="AM1987" i="2"/>
  <c r="AM1931" i="2"/>
  <c r="AM1875" i="2"/>
  <c r="AM1819" i="2"/>
  <c r="AM1763" i="2"/>
  <c r="AM1707" i="2"/>
  <c r="AM1651" i="2"/>
  <c r="AM1595" i="2"/>
  <c r="AM1539" i="2"/>
  <c r="AM1483" i="2"/>
  <c r="AM1427" i="2"/>
  <c r="AM1371" i="2"/>
  <c r="AM1315" i="2"/>
  <c r="AM1259" i="2"/>
  <c r="AM1203" i="2"/>
  <c r="AM1147" i="2"/>
  <c r="AM1091" i="2"/>
  <c r="AM1035" i="2"/>
  <c r="AM979" i="2"/>
  <c r="AM923" i="2"/>
  <c r="AM867" i="2"/>
  <c r="AM811" i="2"/>
  <c r="AM755" i="2"/>
  <c r="AM699" i="2"/>
  <c r="AM643" i="2"/>
  <c r="AM587" i="2"/>
  <c r="AM531" i="2"/>
  <c r="AM475" i="2"/>
  <c r="AM419" i="2"/>
  <c r="AM363" i="2"/>
  <c r="AM307" i="2"/>
  <c r="AM251" i="2"/>
  <c r="AM195" i="2"/>
  <c r="AM139" i="2"/>
  <c r="AM83" i="2"/>
  <c r="AM4633" i="2"/>
  <c r="AM4577" i="2"/>
  <c r="AM4521" i="2"/>
  <c r="AM4465" i="2"/>
  <c r="AM4409" i="2"/>
  <c r="AM4353" i="2"/>
  <c r="AM4297" i="2"/>
  <c r="AM4241" i="2"/>
  <c r="AM4185" i="2"/>
  <c r="AM4129" i="2"/>
  <c r="AM4073" i="2"/>
  <c r="AM4017" i="2"/>
  <c r="AM3961" i="2"/>
  <c r="AM3905" i="2"/>
  <c r="AM3849" i="2"/>
  <c r="AM3793" i="2"/>
  <c r="AM3737" i="2"/>
  <c r="AM3681" i="2"/>
  <c r="AM3625" i="2"/>
  <c r="AM3569" i="2"/>
  <c r="AM3513" i="2"/>
  <c r="AM3457" i="2"/>
  <c r="AM3401" i="2"/>
  <c r="AM3345" i="2"/>
  <c r="AM3289" i="2"/>
  <c r="AM3233" i="2"/>
  <c r="AM3177" i="2"/>
  <c r="AM3121" i="2"/>
  <c r="AM3065" i="2"/>
  <c r="AM3009" i="2"/>
  <c r="AM2953" i="2"/>
  <c r="AM2897" i="2"/>
  <c r="AM2841" i="2"/>
  <c r="AM2785" i="2"/>
  <c r="AM2729" i="2"/>
  <c r="AM2673" i="2"/>
  <c r="AM2617" i="2"/>
  <c r="AM2561" i="2"/>
  <c r="AM2505" i="2"/>
  <c r="AM2449" i="2"/>
  <c r="AM2393" i="2"/>
  <c r="AM2337" i="2"/>
  <c r="AM2281" i="2"/>
  <c r="AM2225" i="2"/>
  <c r="AM2169" i="2"/>
  <c r="AM2113" i="2"/>
  <c r="AM2057" i="2"/>
  <c r="AM2001" i="2"/>
  <c r="AM1945" i="2"/>
  <c r="AM1889" i="2"/>
  <c r="AM1833" i="2"/>
  <c r="AM1777" i="2"/>
  <c r="AM1721" i="2"/>
  <c r="AM1665" i="2"/>
  <c r="AM1609" i="2"/>
  <c r="AM1553" i="2"/>
  <c r="AM1497" i="2"/>
  <c r="AM1441" i="2"/>
  <c r="AM1385" i="2"/>
  <c r="AM1329" i="2"/>
  <c r="AM1273" i="2"/>
  <c r="AM1217" i="2"/>
  <c r="AM1161" i="2"/>
  <c r="AM1105" i="2"/>
  <c r="AM1049" i="2"/>
  <c r="AM993" i="2"/>
  <c r="AM937" i="2"/>
  <c r="AM881" i="2"/>
  <c r="AM825" i="2"/>
  <c r="AM769" i="2"/>
  <c r="AM713" i="2"/>
  <c r="AM657" i="2"/>
  <c r="AM601" i="2"/>
  <c r="AM545" i="2"/>
  <c r="AM489" i="2"/>
  <c r="AM433" i="2"/>
  <c r="AM377" i="2"/>
  <c r="AM321" i="2"/>
  <c r="AM265" i="2"/>
  <c r="AM209" i="2"/>
  <c r="AM153" i="2"/>
  <c r="AM97" i="2"/>
  <c r="AM42" i="2"/>
  <c r="AM4661" i="2"/>
  <c r="AM4605" i="2"/>
  <c r="AM4549" i="2"/>
  <c r="AM4493" i="2"/>
  <c r="AM4437" i="2"/>
  <c r="AM4381" i="2"/>
  <c r="AM4325" i="2"/>
  <c r="AM4269" i="2"/>
  <c r="AM4213" i="2"/>
  <c r="AM4157" i="2"/>
  <c r="AM4101" i="2"/>
  <c r="AM4045" i="2"/>
  <c r="AM3989" i="2"/>
  <c r="AM3933" i="2"/>
  <c r="AM3877" i="2"/>
  <c r="AM3821" i="2"/>
  <c r="AM3765" i="2"/>
  <c r="AM3709" i="2"/>
  <c r="AM3653" i="2"/>
  <c r="AM3597" i="2"/>
  <c r="AM3541" i="2"/>
  <c r="AM3485" i="2"/>
  <c r="AM3429" i="2"/>
  <c r="AM3373" i="2"/>
  <c r="AM3317" i="2"/>
  <c r="AM3261" i="2"/>
  <c r="AM3205" i="2"/>
  <c r="AM3149" i="2"/>
  <c r="AM3093" i="2"/>
  <c r="AM3037" i="2"/>
  <c r="AM2981" i="2"/>
  <c r="AM2925" i="2"/>
  <c r="AM2869" i="2"/>
  <c r="AM2813" i="2"/>
  <c r="AM2757" i="2"/>
  <c r="AM2701" i="2"/>
  <c r="AM2645" i="2"/>
  <c r="AM2589" i="2"/>
  <c r="AM2533" i="2"/>
  <c r="AM2477" i="2"/>
  <c r="AM2421" i="2"/>
  <c r="AM2365" i="2"/>
  <c r="AM2309" i="2"/>
  <c r="AM2253" i="2"/>
  <c r="AM2197" i="2"/>
  <c r="AM2141" i="2"/>
  <c r="AM2085" i="2"/>
  <c r="AM2029" i="2"/>
  <c r="AM1973" i="2"/>
  <c r="AM1917" i="2"/>
  <c r="AM1861" i="2"/>
  <c r="AM1805" i="2"/>
  <c r="AM1749" i="2"/>
  <c r="AM1693" i="2"/>
  <c r="AM1637" i="2"/>
  <c r="AM1581" i="2"/>
  <c r="AM1525" i="2"/>
  <c r="AM1469" i="2"/>
  <c r="AM1413" i="2"/>
  <c r="AM1357" i="2"/>
  <c r="AM1301" i="2"/>
  <c r="AM1245" i="2"/>
  <c r="AM1189" i="2"/>
  <c r="AM1133" i="2"/>
  <c r="AM1077" i="2"/>
  <c r="AM1021" i="2"/>
  <c r="AM965" i="2"/>
  <c r="AM909" i="2"/>
  <c r="AM853" i="2"/>
  <c r="AM797" i="2"/>
  <c r="AM741" i="2"/>
  <c r="AM685" i="2"/>
  <c r="AM629" i="2"/>
  <c r="AM573" i="2"/>
  <c r="AM517" i="2"/>
  <c r="AM461" i="2"/>
  <c r="AM405" i="2"/>
  <c r="AM349" i="2"/>
  <c r="AM293" i="2"/>
  <c r="AM237" i="2"/>
  <c r="AM181" i="2"/>
  <c r="AM125" i="2"/>
  <c r="AM69" i="2"/>
  <c r="AM4647" i="2"/>
  <c r="AM4423" i="2"/>
  <c r="AM4199" i="2"/>
  <c r="AM3975" i="2"/>
  <c r="AM3751" i="2"/>
  <c r="AM3527" i="2"/>
  <c r="AM3303" i="2"/>
  <c r="AM3079" i="2"/>
  <c r="AM2855" i="2"/>
  <c r="AM2631" i="2"/>
  <c r="AM2407" i="2"/>
  <c r="AM2183" i="2"/>
  <c r="AM1959" i="2"/>
  <c r="AM1735" i="2"/>
  <c r="AM1511" i="2"/>
  <c r="AM1287" i="2"/>
  <c r="AM1063" i="2"/>
  <c r="AM839" i="2"/>
  <c r="AM615" i="2"/>
  <c r="AM391" i="2"/>
  <c r="AM167" i="2"/>
  <c r="AM4479" i="2"/>
  <c r="AM4255" i="2"/>
  <c r="AM4031" i="2"/>
  <c r="AM3807" i="2"/>
  <c r="AM3583" i="2"/>
  <c r="AM3359" i="2"/>
  <c r="AM3135" i="2"/>
  <c r="AM2911" i="2"/>
  <c r="AM2687" i="2"/>
  <c r="AM2463" i="2"/>
  <c r="AM2239" i="2"/>
  <c r="AM2015" i="2"/>
  <c r="AM1791" i="2"/>
  <c r="AM1567" i="2"/>
  <c r="AM1343" i="2"/>
  <c r="AM1119" i="2"/>
  <c r="AM895" i="2"/>
  <c r="AM671" i="2"/>
  <c r="AM447" i="2"/>
  <c r="AM223" i="2"/>
  <c r="AM4311" i="2"/>
  <c r="AM3863" i="2"/>
  <c r="AM3415" i="2"/>
  <c r="AM2967" i="2"/>
  <c r="AM2519" i="2"/>
  <c r="AM2071" i="2"/>
  <c r="AM1623" i="2"/>
  <c r="AM1175" i="2"/>
  <c r="AM727" i="2"/>
  <c r="AM279" i="2"/>
  <c r="AM4367" i="2"/>
  <c r="AM3919" i="2"/>
  <c r="AM3471" i="2"/>
  <c r="AM3023" i="2"/>
  <c r="AM2575" i="2"/>
  <c r="AM2127" i="2"/>
  <c r="AM1679" i="2"/>
  <c r="AM1231" i="2"/>
  <c r="AM783" i="2"/>
  <c r="AM335" i="2"/>
  <c r="AM4535" i="2"/>
  <c r="AM4087" i="2"/>
  <c r="AM3639" i="2"/>
  <c r="AM3191" i="2"/>
  <c r="AM2743" i="2"/>
  <c r="AM2295" i="2"/>
  <c r="AM1847" i="2"/>
  <c r="AM1399" i="2"/>
  <c r="AM951" i="2"/>
  <c r="AM503" i="2"/>
  <c r="AM55" i="2"/>
  <c r="AM4143" i="2"/>
  <c r="AM2351" i="2"/>
  <c r="AM559" i="2"/>
  <c r="AM4591" i="2"/>
  <c r="AM2799" i="2"/>
  <c r="AM1007" i="2"/>
  <c r="AM3247" i="2"/>
  <c r="AM1455" i="2"/>
  <c r="AM3695" i="2"/>
  <c r="AM1903" i="2"/>
  <c r="AM111" i="2"/>
  <c r="U4647" i="2"/>
  <c r="U4591" i="2"/>
  <c r="U4535" i="2"/>
  <c r="U4479" i="2"/>
  <c r="U4423" i="2"/>
  <c r="U4367" i="2"/>
  <c r="U4311" i="2"/>
  <c r="U4255" i="2"/>
  <c r="U4199" i="2"/>
  <c r="U4143" i="2"/>
  <c r="U4087" i="2"/>
  <c r="U4031" i="2"/>
  <c r="U3975" i="2"/>
  <c r="U3919" i="2"/>
  <c r="U3863" i="2"/>
  <c r="U3807" i="2"/>
  <c r="U3751" i="2"/>
  <c r="U3695" i="2"/>
  <c r="U3639" i="2"/>
  <c r="U3583" i="2"/>
  <c r="U3527" i="2"/>
  <c r="U3471" i="2"/>
  <c r="U3415" i="2"/>
  <c r="U3359" i="2"/>
  <c r="U3303" i="2"/>
  <c r="U3247" i="2"/>
  <c r="U3191" i="2"/>
  <c r="U3135" i="2"/>
  <c r="U3079" i="2"/>
  <c r="U3023" i="2"/>
  <c r="U2967" i="2"/>
  <c r="U2911" i="2"/>
  <c r="U2855" i="2"/>
  <c r="U2799" i="2"/>
  <c r="U2743" i="2"/>
  <c r="U2687" i="2"/>
  <c r="U2631" i="2"/>
  <c r="U2575" i="2"/>
  <c r="U2519" i="2"/>
  <c r="U2463" i="2"/>
  <c r="U2407" i="2"/>
  <c r="U2351" i="2"/>
  <c r="U4661" i="2"/>
  <c r="U4605" i="2"/>
  <c r="U4549" i="2"/>
  <c r="U4493" i="2"/>
  <c r="U4437" i="2"/>
  <c r="U4381" i="2"/>
  <c r="U4325" i="2"/>
  <c r="U4269" i="2"/>
  <c r="U4213" i="2"/>
  <c r="U4157" i="2"/>
  <c r="U4101" i="2"/>
  <c r="U4045" i="2"/>
  <c r="U3989" i="2"/>
  <c r="U3933" i="2"/>
  <c r="U3877" i="2"/>
  <c r="U3821" i="2"/>
  <c r="U3765" i="2"/>
  <c r="U3709" i="2"/>
  <c r="U3653" i="2"/>
  <c r="U3597" i="2"/>
  <c r="U3541" i="2"/>
  <c r="U3485" i="2"/>
  <c r="U3429" i="2"/>
  <c r="U3373" i="2"/>
  <c r="U3317" i="2"/>
  <c r="U3261" i="2"/>
  <c r="U3205" i="2"/>
  <c r="U3149" i="2"/>
  <c r="U3093" i="2"/>
  <c r="U3037" i="2"/>
  <c r="U2981" i="2"/>
  <c r="U2925" i="2"/>
  <c r="U2869" i="2"/>
  <c r="U4563" i="2"/>
  <c r="U4451" i="2"/>
  <c r="U4339" i="2"/>
  <c r="U4227" i="2"/>
  <c r="U4115" i="2"/>
  <c r="U4003" i="2"/>
  <c r="U3891" i="2"/>
  <c r="U3779" i="2"/>
  <c r="U3667" i="2"/>
  <c r="U3555" i="2"/>
  <c r="U3443" i="2"/>
  <c r="U3331" i="2"/>
  <c r="U3219" i="2"/>
  <c r="U3107" i="2"/>
  <c r="U2995" i="2"/>
  <c r="U2883" i="2"/>
  <c r="U2785" i="2"/>
  <c r="U2715" i="2"/>
  <c r="U2645" i="2"/>
  <c r="U2561" i="2"/>
  <c r="U2491" i="2"/>
  <c r="U4619" i="2"/>
  <c r="U4465" i="2"/>
  <c r="U4297" i="2"/>
  <c r="U4171" i="2"/>
  <c r="U4017" i="2"/>
  <c r="U3849" i="2"/>
  <c r="U3723" i="2"/>
  <c r="U3569" i="2"/>
  <c r="U3401" i="2"/>
  <c r="U3275" i="2"/>
  <c r="U3121" i="2"/>
  <c r="U2953" i="2"/>
  <c r="U2827" i="2"/>
  <c r="U2729" i="2"/>
  <c r="U2617" i="2"/>
  <c r="U2533" i="2"/>
  <c r="U2435" i="2"/>
  <c r="U2365" i="2"/>
  <c r="U2295" i="2"/>
  <c r="U2239" i="2"/>
  <c r="U2183" i="2"/>
  <c r="U2127" i="2"/>
  <c r="U2071" i="2"/>
  <c r="U2015" i="2"/>
  <c r="U1959" i="2"/>
  <c r="U1903" i="2"/>
  <c r="U1847" i="2"/>
  <c r="U1791" i="2"/>
  <c r="U1735" i="2"/>
  <c r="U1679" i="2"/>
  <c r="U1623" i="2"/>
  <c r="U1567" i="2"/>
  <c r="U1511" i="2"/>
  <c r="U1455" i="2"/>
  <c r="U1399" i="2"/>
  <c r="U1343" i="2"/>
  <c r="U1287" i="2"/>
  <c r="U1231" i="2"/>
  <c r="U1175" i="2"/>
  <c r="U1119" i="2"/>
  <c r="U1063" i="2"/>
  <c r="U1007" i="2"/>
  <c r="U951" i="2"/>
  <c r="U895" i="2"/>
  <c r="U839" i="2"/>
  <c r="U783" i="2"/>
  <c r="U727" i="2"/>
  <c r="U671" i="2"/>
  <c r="U615" i="2"/>
  <c r="U559" i="2"/>
  <c r="U503" i="2"/>
  <c r="U447" i="2"/>
  <c r="U391" i="2"/>
  <c r="U335" i="2"/>
  <c r="U279" i="2"/>
  <c r="U223" i="2"/>
  <c r="U167" i="2"/>
  <c r="U111" i="2"/>
  <c r="U4577" i="2"/>
  <c r="U4283" i="2"/>
  <c r="U3835" i="2"/>
  <c r="U3513" i="2"/>
  <c r="U3065" i="2"/>
  <c r="U2813" i="2"/>
  <c r="U2505" i="2"/>
  <c r="U2337" i="2"/>
  <c r="U2169" i="2"/>
  <c r="U2113" i="2"/>
  <c r="U1945" i="2"/>
  <c r="U1833" i="2"/>
  <c r="U1665" i="2"/>
  <c r="U1553" i="2"/>
  <c r="U1385" i="2"/>
  <c r="U1273" i="2"/>
  <c r="U1105" i="2"/>
  <c r="U993" i="2"/>
  <c r="U825" i="2"/>
  <c r="U713" i="2"/>
  <c r="U545" i="2"/>
  <c r="U433" i="2"/>
  <c r="U209" i="2"/>
  <c r="U4633" i="2"/>
  <c r="U4507" i="2"/>
  <c r="U4353" i="2"/>
  <c r="U4185" i="2"/>
  <c r="U4059" i="2"/>
  <c r="U3905" i="2"/>
  <c r="U3737" i="2"/>
  <c r="U3611" i="2"/>
  <c r="U3457" i="2"/>
  <c r="U3289" i="2"/>
  <c r="U3163" i="2"/>
  <c r="U3009" i="2"/>
  <c r="U2841" i="2"/>
  <c r="U2757" i="2"/>
  <c r="U2659" i="2"/>
  <c r="U2547" i="2"/>
  <c r="U2449" i="2"/>
  <c r="U2379" i="2"/>
  <c r="U2309" i="2"/>
  <c r="U2253" i="2"/>
  <c r="U2197" i="2"/>
  <c r="U2141" i="2"/>
  <c r="U2085" i="2"/>
  <c r="U2029" i="2"/>
  <c r="U1973" i="2"/>
  <c r="U1917" i="2"/>
  <c r="U1861" i="2"/>
  <c r="U1805" i="2"/>
  <c r="U1749" i="2"/>
  <c r="U1693" i="2"/>
  <c r="U1637" i="2"/>
  <c r="U1581" i="2"/>
  <c r="U1525" i="2"/>
  <c r="U1469" i="2"/>
  <c r="U1413" i="2"/>
  <c r="U1357" i="2"/>
  <c r="U1301" i="2"/>
  <c r="U1245" i="2"/>
  <c r="U1189" i="2"/>
  <c r="U1133" i="2"/>
  <c r="U1077" i="2"/>
  <c r="U1021" i="2"/>
  <c r="U965" i="2"/>
  <c r="U909" i="2"/>
  <c r="U853" i="2"/>
  <c r="U797" i="2"/>
  <c r="U741" i="2"/>
  <c r="U685" i="2"/>
  <c r="U629" i="2"/>
  <c r="U573" i="2"/>
  <c r="U517" i="2"/>
  <c r="U461" i="2"/>
  <c r="U405" i="2"/>
  <c r="U349" i="2"/>
  <c r="U293" i="2"/>
  <c r="U237" i="2"/>
  <c r="U181" i="2"/>
  <c r="U125" i="2"/>
  <c r="U4409" i="2"/>
  <c r="U3961" i="2"/>
  <c r="U3681" i="2"/>
  <c r="U3233" i="2"/>
  <c r="U2939" i="2"/>
  <c r="U2603" i="2"/>
  <c r="U2421" i="2"/>
  <c r="U2225" i="2"/>
  <c r="U2057" i="2"/>
  <c r="U1889" i="2"/>
  <c r="U1777" i="2"/>
  <c r="U1609" i="2"/>
  <c r="U1497" i="2"/>
  <c r="U1329" i="2"/>
  <c r="U1217" i="2"/>
  <c r="U1049" i="2"/>
  <c r="U937" i="2"/>
  <c r="U769" i="2"/>
  <c r="U657" i="2"/>
  <c r="U489" i="2"/>
  <c r="U377" i="2"/>
  <c r="U265" i="2"/>
  <c r="U153" i="2"/>
  <c r="U4521" i="2"/>
  <c r="U4395" i="2"/>
  <c r="U4241" i="2"/>
  <c r="U4073" i="2"/>
  <c r="U3947" i="2"/>
  <c r="U3793" i="2"/>
  <c r="U3625" i="2"/>
  <c r="U3499" i="2"/>
  <c r="U3345" i="2"/>
  <c r="U3177" i="2"/>
  <c r="U3051" i="2"/>
  <c r="U2897" i="2"/>
  <c r="U2771" i="2"/>
  <c r="U2673" i="2"/>
  <c r="U2589" i="2"/>
  <c r="U2477" i="2"/>
  <c r="U2393" i="2"/>
  <c r="U2323" i="2"/>
  <c r="U2267" i="2"/>
  <c r="U2211" i="2"/>
  <c r="U2155" i="2"/>
  <c r="U2099" i="2"/>
  <c r="U2043" i="2"/>
  <c r="U1987" i="2"/>
  <c r="U1931" i="2"/>
  <c r="U1875" i="2"/>
  <c r="U1819" i="2"/>
  <c r="U1763" i="2"/>
  <c r="U1707" i="2"/>
  <c r="U1651" i="2"/>
  <c r="U1595" i="2"/>
  <c r="U1539" i="2"/>
  <c r="U1483" i="2"/>
  <c r="U1427" i="2"/>
  <c r="U1371" i="2"/>
  <c r="U1315" i="2"/>
  <c r="U1259" i="2"/>
  <c r="U1203" i="2"/>
  <c r="U1147" i="2"/>
  <c r="U1091" i="2"/>
  <c r="U1035" i="2"/>
  <c r="U979" i="2"/>
  <c r="U923" i="2"/>
  <c r="U867" i="2"/>
  <c r="U811" i="2"/>
  <c r="U755" i="2"/>
  <c r="U699" i="2"/>
  <c r="U643" i="2"/>
  <c r="U587" i="2"/>
  <c r="U531" i="2"/>
  <c r="U475" i="2"/>
  <c r="U419" i="2"/>
  <c r="U363" i="2"/>
  <c r="U307" i="2"/>
  <c r="U251" i="2"/>
  <c r="U195" i="2"/>
  <c r="U139" i="2"/>
  <c r="U4129" i="2"/>
  <c r="U3387" i="2"/>
  <c r="U2701" i="2"/>
  <c r="U2281" i="2"/>
  <c r="U2001" i="2"/>
  <c r="U1721" i="2"/>
  <c r="U1441" i="2"/>
  <c r="U1161" i="2"/>
  <c r="U881" i="2"/>
  <c r="U601" i="2"/>
  <c r="U321" i="2"/>
  <c r="U97" i="2"/>
  <c r="AD4633" i="2"/>
  <c r="AD4577" i="2"/>
  <c r="AD4521" i="2"/>
  <c r="AD4465" i="2"/>
  <c r="AD4409" i="2"/>
  <c r="AD4353" i="2"/>
  <c r="AD4297" i="2"/>
  <c r="AD4241" i="2"/>
  <c r="AD4185" i="2"/>
  <c r="AD4129" i="2"/>
  <c r="AD4073" i="2"/>
  <c r="AD4017" i="2"/>
  <c r="AD3961" i="2"/>
  <c r="AD3905" i="2"/>
  <c r="AD3849" i="2"/>
  <c r="AD3793" i="2"/>
  <c r="AD3737" i="2"/>
  <c r="AD3681" i="2"/>
  <c r="AD3625" i="2"/>
  <c r="AD3569" i="2"/>
  <c r="AD3513" i="2"/>
  <c r="AD3457" i="2"/>
  <c r="AD3401" i="2"/>
  <c r="AD3345" i="2"/>
  <c r="AD3289" i="2"/>
  <c r="AD3233" i="2"/>
  <c r="AD3177" i="2"/>
  <c r="AD3121" i="2"/>
  <c r="AD3065" i="2"/>
  <c r="AD3009" i="2"/>
  <c r="AD2953" i="2"/>
  <c r="AD2897" i="2"/>
  <c r="AD2841" i="2"/>
  <c r="AD2785" i="2"/>
  <c r="AD2729" i="2"/>
  <c r="AD2673" i="2"/>
  <c r="AD2617" i="2"/>
  <c r="AD2561" i="2"/>
  <c r="AD2505" i="2"/>
  <c r="AD2449" i="2"/>
  <c r="AD2393" i="2"/>
  <c r="AD2337" i="2"/>
  <c r="AD2281" i="2"/>
  <c r="AD2225" i="2"/>
  <c r="AD2169" i="2"/>
  <c r="AD2113" i="2"/>
  <c r="AD2057" i="2"/>
  <c r="AD2001" i="2"/>
  <c r="AD1945" i="2"/>
  <c r="AD1889" i="2"/>
  <c r="AD1833" i="2"/>
  <c r="AD1777" i="2"/>
  <c r="AD1721" i="2"/>
  <c r="AD1665" i="2"/>
  <c r="AD1609" i="2"/>
  <c r="AD1553" i="2"/>
  <c r="AD1497" i="2"/>
  <c r="AD1441" i="2"/>
  <c r="AD1385" i="2"/>
  <c r="AD1329" i="2"/>
  <c r="AD1273" i="2"/>
  <c r="AD1217" i="2"/>
  <c r="AD1161" i="2"/>
  <c r="AD1105" i="2"/>
  <c r="AD1049" i="2"/>
  <c r="AD993" i="2"/>
  <c r="AD937" i="2"/>
  <c r="AD881" i="2"/>
  <c r="AD825" i="2"/>
  <c r="AD769" i="2"/>
  <c r="AD713" i="2"/>
  <c r="AD657" i="2"/>
  <c r="AD601" i="2"/>
  <c r="AD545" i="2"/>
  <c r="AD489" i="2"/>
  <c r="AD433" i="2"/>
  <c r="AD377" i="2"/>
  <c r="AD321" i="2"/>
  <c r="AD265" i="2"/>
  <c r="AD209" i="2"/>
  <c r="AD153" i="2"/>
  <c r="AD97" i="2"/>
  <c r="AD42" i="2"/>
  <c r="AD4647" i="2"/>
  <c r="AD4591" i="2"/>
  <c r="AD4535" i="2"/>
  <c r="AD4479" i="2"/>
  <c r="AD4423" i="2"/>
  <c r="AD4367" i="2"/>
  <c r="AD4311" i="2"/>
  <c r="AD4255" i="2"/>
  <c r="AD4199" i="2"/>
  <c r="AD4143" i="2"/>
  <c r="AD4087" i="2"/>
  <c r="AD4031" i="2"/>
  <c r="AD3975" i="2"/>
  <c r="AD3919" i="2"/>
  <c r="AD3863" i="2"/>
  <c r="AD3807" i="2"/>
  <c r="AD3751" i="2"/>
  <c r="AD3695" i="2"/>
  <c r="AD3639" i="2"/>
  <c r="AD3583" i="2"/>
  <c r="AD3527" i="2"/>
  <c r="AD3471" i="2"/>
  <c r="AD3415" i="2"/>
  <c r="AD3359" i="2"/>
  <c r="AD3303" i="2"/>
  <c r="AD3247" i="2"/>
  <c r="AD3191" i="2"/>
  <c r="AD3135" i="2"/>
  <c r="AD3079" i="2"/>
  <c r="AD3023" i="2"/>
  <c r="AD2967" i="2"/>
  <c r="AD2911" i="2"/>
  <c r="AD2855" i="2"/>
  <c r="AD2799" i="2"/>
  <c r="AD2743" i="2"/>
  <c r="AD2687" i="2"/>
  <c r="AD2631" i="2"/>
  <c r="AD2575" i="2"/>
  <c r="AD2519" i="2"/>
  <c r="AD2463" i="2"/>
  <c r="AD2407" i="2"/>
  <c r="AD2351" i="2"/>
  <c r="AD2295" i="2"/>
  <c r="AD2239" i="2"/>
  <c r="AD2183" i="2"/>
  <c r="AD2127" i="2"/>
  <c r="AD2071" i="2"/>
  <c r="AD2015" i="2"/>
  <c r="AD1959" i="2"/>
  <c r="AD1903" i="2"/>
  <c r="AD1847" i="2"/>
  <c r="AD1791" i="2"/>
  <c r="AD1735" i="2"/>
  <c r="AD1679" i="2"/>
  <c r="AD1623" i="2"/>
  <c r="AD1567" i="2"/>
  <c r="AD1511" i="2"/>
  <c r="AD1455" i="2"/>
  <c r="AD1399" i="2"/>
  <c r="AD1343" i="2"/>
  <c r="AD1287" i="2"/>
  <c r="AD1231" i="2"/>
  <c r="AD1175" i="2"/>
  <c r="AD1119" i="2"/>
  <c r="AD1063" i="2"/>
  <c r="AD1007" i="2"/>
  <c r="AD951" i="2"/>
  <c r="AD895" i="2"/>
  <c r="AD839" i="2"/>
  <c r="AD783" i="2"/>
  <c r="AD727" i="2"/>
  <c r="AD671" i="2"/>
  <c r="AD615" i="2"/>
  <c r="AD559" i="2"/>
  <c r="AD503" i="2"/>
  <c r="AD447" i="2"/>
  <c r="AD391" i="2"/>
  <c r="AD335" i="2"/>
  <c r="AD279" i="2"/>
  <c r="AD223" i="2"/>
  <c r="AD167" i="2"/>
  <c r="AD111" i="2"/>
  <c r="AD55" i="2"/>
  <c r="AD4605" i="2"/>
  <c r="AD4493" i="2"/>
  <c r="AD4381" i="2"/>
  <c r="AD4269" i="2"/>
  <c r="AD4157" i="2"/>
  <c r="AD4045" i="2"/>
  <c r="AD3933" i="2"/>
  <c r="AD3821" i="2"/>
  <c r="AD3709" i="2"/>
  <c r="AD3597" i="2"/>
  <c r="AD3485" i="2"/>
  <c r="AD3373" i="2"/>
  <c r="AD3261" i="2"/>
  <c r="AD3149" i="2"/>
  <c r="AD3037" i="2"/>
  <c r="AD4619" i="2"/>
  <c r="AD4507" i="2"/>
  <c r="AD4395" i="2"/>
  <c r="AD4283" i="2"/>
  <c r="AD4171" i="2"/>
  <c r="AD4059" i="2"/>
  <c r="AD3947" i="2"/>
  <c r="AD3835" i="2"/>
  <c r="AD3723" i="2"/>
  <c r="AD3611" i="2"/>
  <c r="AD3499" i="2"/>
  <c r="AD3387" i="2"/>
  <c r="AD3275" i="2"/>
  <c r="AD3163" i="2"/>
  <c r="AD3051" i="2"/>
  <c r="AD2939" i="2"/>
  <c r="AD4661" i="2"/>
  <c r="AD4549" i="2"/>
  <c r="AD4437" i="2"/>
  <c r="AD4325" i="2"/>
  <c r="AD4213" i="2"/>
  <c r="AD4101" i="2"/>
  <c r="AD3989" i="2"/>
  <c r="AD3877" i="2"/>
  <c r="AD3765" i="2"/>
  <c r="AD3653" i="2"/>
  <c r="AD3541" i="2"/>
  <c r="AD3429" i="2"/>
  <c r="AD3317" i="2"/>
  <c r="AD3205" i="2"/>
  <c r="AD3093" i="2"/>
  <c r="AD2981" i="2"/>
  <c r="AD2869" i="2"/>
  <c r="AD2757" i="2"/>
  <c r="AD2645" i="2"/>
  <c r="AD2533" i="2"/>
  <c r="AD2421" i="2"/>
  <c r="AD2309" i="2"/>
  <c r="AD2197" i="2"/>
  <c r="AD2085" i="2"/>
  <c r="AD1973" i="2"/>
  <c r="AD1861" i="2"/>
  <c r="AD1749" i="2"/>
  <c r="AD1637" i="2"/>
  <c r="AD1525" i="2"/>
  <c r="AD1413" i="2"/>
  <c r="AD1301" i="2"/>
  <c r="AD1189" i="2"/>
  <c r="AD1077" i="2"/>
  <c r="AD965" i="2"/>
  <c r="AD853" i="2"/>
  <c r="AD741" i="2"/>
  <c r="AD629" i="2"/>
  <c r="AD517" i="2"/>
  <c r="AD405" i="2"/>
  <c r="AD293" i="2"/>
  <c r="AD181" i="2"/>
  <c r="AD69" i="2"/>
  <c r="AD4339" i="2"/>
  <c r="AD3891" i="2"/>
  <c r="AD3443" i="2"/>
  <c r="AD2995" i="2"/>
  <c r="AD2813" i="2"/>
  <c r="AD2659" i="2"/>
  <c r="AD2491" i="2"/>
  <c r="AD2365" i="2"/>
  <c r="AD2211" i="2"/>
  <c r="AD2043" i="2"/>
  <c r="AD1917" i="2"/>
  <c r="AD1763" i="2"/>
  <c r="AD1595" i="2"/>
  <c r="AD1469" i="2"/>
  <c r="AD1315" i="2"/>
  <c r="AD1147" i="2"/>
  <c r="AD1021" i="2"/>
  <c r="AD867" i="2"/>
  <c r="AD699" i="2"/>
  <c r="AD573" i="2"/>
  <c r="AD419" i="2"/>
  <c r="AD251" i="2"/>
  <c r="AD125" i="2"/>
  <c r="AD4451" i="2"/>
  <c r="AD4003" i="2"/>
  <c r="AD3555" i="2"/>
  <c r="AD3107" i="2"/>
  <c r="AD2827" i="2"/>
  <c r="AD2701" i="2"/>
  <c r="AD2547" i="2"/>
  <c r="AD2379" i="2"/>
  <c r="AD2253" i="2"/>
  <c r="AD2099" i="2"/>
  <c r="AD1931" i="2"/>
  <c r="AD1805" i="2"/>
  <c r="AD1651" i="2"/>
  <c r="AD1483" i="2"/>
  <c r="AD1357" i="2"/>
  <c r="AD1203" i="2"/>
  <c r="AD1035" i="2"/>
  <c r="AD909" i="2"/>
  <c r="AD755" i="2"/>
  <c r="AD587" i="2"/>
  <c r="AD461" i="2"/>
  <c r="AD307" i="2"/>
  <c r="AD139" i="2"/>
  <c r="AD4563" i="2"/>
  <c r="AD4115" i="2"/>
  <c r="AD3667" i="2"/>
  <c r="AD3219" i="2"/>
  <c r="AD2883" i="2"/>
  <c r="AD2715" i="2"/>
  <c r="AD2589" i="2"/>
  <c r="AD2435" i="2"/>
  <c r="AD2267" i="2"/>
  <c r="AD2141" i="2"/>
  <c r="AD1987" i="2"/>
  <c r="AD1819" i="2"/>
  <c r="AD1693" i="2"/>
  <c r="AD1539" i="2"/>
  <c r="AD1371" i="2"/>
  <c r="AD1245" i="2"/>
  <c r="AD1091" i="2"/>
  <c r="AD923" i="2"/>
  <c r="AD797" i="2"/>
  <c r="AD643" i="2"/>
  <c r="AD475" i="2"/>
  <c r="AD349" i="2"/>
  <c r="AD195" i="2"/>
  <c r="AD4227" i="2"/>
  <c r="AD3779" i="2"/>
  <c r="AD3331" i="2"/>
  <c r="AD2925" i="2"/>
  <c r="AD2771" i="2"/>
  <c r="AD2603" i="2"/>
  <c r="AD2477" i="2"/>
  <c r="AD2323" i="2"/>
  <c r="AD2155" i="2"/>
  <c r="AD2029" i="2"/>
  <c r="AD1875" i="2"/>
  <c r="AD1707" i="2"/>
  <c r="AD1581" i="2"/>
  <c r="AD1427" i="2"/>
  <c r="AD1259" i="2"/>
  <c r="AD1133" i="2"/>
  <c r="AD979" i="2"/>
  <c r="AD811" i="2"/>
  <c r="AD685" i="2"/>
  <c r="AD531" i="2"/>
  <c r="AD363" i="2"/>
  <c r="AD237" i="2"/>
  <c r="AD83" i="2"/>
  <c r="AS4647" i="2"/>
  <c r="AS4591" i="2"/>
  <c r="AS4535" i="2"/>
  <c r="AS4479" i="2"/>
  <c r="AS4423" i="2"/>
  <c r="AS4367" i="2"/>
  <c r="AS4311" i="2"/>
  <c r="AS4255" i="2"/>
  <c r="AS4199" i="2"/>
  <c r="AS4143" i="2"/>
  <c r="AS4087" i="2"/>
  <c r="AS4031" i="2"/>
  <c r="AS3975" i="2"/>
  <c r="AS3919" i="2"/>
  <c r="AS3863" i="2"/>
  <c r="AS3807" i="2"/>
  <c r="AS3751" i="2"/>
  <c r="AS3695" i="2"/>
  <c r="AS3639" i="2"/>
  <c r="AS3583" i="2"/>
  <c r="AS3527" i="2"/>
  <c r="AS3471" i="2"/>
  <c r="AS3415" i="2"/>
  <c r="AS3359" i="2"/>
  <c r="AS3303" i="2"/>
  <c r="AS3247" i="2"/>
  <c r="AS3191" i="2"/>
  <c r="AS3135" i="2"/>
  <c r="AS3079" i="2"/>
  <c r="AS3023" i="2"/>
  <c r="AS2967" i="2"/>
  <c r="AS2911" i="2"/>
  <c r="AS2855" i="2"/>
  <c r="AS2799" i="2"/>
  <c r="AS2743" i="2"/>
  <c r="AS2687" i="2"/>
  <c r="AS2631" i="2"/>
  <c r="AS2575" i="2"/>
  <c r="AS2519" i="2"/>
  <c r="AS2463" i="2"/>
  <c r="AS2407" i="2"/>
  <c r="AS2351" i="2"/>
  <c r="AS2295" i="2"/>
  <c r="AS2239" i="2"/>
  <c r="AS2183" i="2"/>
  <c r="AS2127" i="2"/>
  <c r="AS2071" i="2"/>
  <c r="AS2015" i="2"/>
  <c r="AS1959" i="2"/>
  <c r="AS1903" i="2"/>
  <c r="AS1847" i="2"/>
  <c r="AS1791" i="2"/>
  <c r="AS1735" i="2"/>
  <c r="AS1679" i="2"/>
  <c r="AS1623" i="2"/>
  <c r="AS1567" i="2"/>
  <c r="AS1511" i="2"/>
  <c r="AS1455" i="2"/>
  <c r="AS1399" i="2"/>
  <c r="AS1343" i="2"/>
  <c r="AS1287" i="2"/>
  <c r="AS1231" i="2"/>
  <c r="AS1175" i="2"/>
  <c r="AS1119" i="2"/>
  <c r="AS1063" i="2"/>
  <c r="AS1007" i="2"/>
  <c r="AS951" i="2"/>
  <c r="AS895" i="2"/>
  <c r="AS839" i="2"/>
  <c r="AS783" i="2"/>
  <c r="AS727" i="2"/>
  <c r="AS671" i="2"/>
  <c r="AS615" i="2"/>
  <c r="AS559" i="2"/>
  <c r="AS503" i="2"/>
  <c r="AS447" i="2"/>
  <c r="AS391" i="2"/>
  <c r="AS335" i="2"/>
  <c r="AS279" i="2"/>
  <c r="AS223" i="2"/>
  <c r="AS167" i="2"/>
  <c r="AS111" i="2"/>
  <c r="AS55" i="2"/>
  <c r="AS4661" i="2"/>
  <c r="AS4605" i="2"/>
  <c r="AS4549" i="2"/>
  <c r="AS4493" i="2"/>
  <c r="AS4437" i="2"/>
  <c r="AS4381" i="2"/>
  <c r="AS4325" i="2"/>
  <c r="AS4269" i="2"/>
  <c r="AS4213" i="2"/>
  <c r="AS4157" i="2"/>
  <c r="AS4101" i="2"/>
  <c r="AS4045" i="2"/>
  <c r="AS3989" i="2"/>
  <c r="AS3933" i="2"/>
  <c r="AS3877" i="2"/>
  <c r="AS3821" i="2"/>
  <c r="AS3765" i="2"/>
  <c r="AS3709" i="2"/>
  <c r="AS3653" i="2"/>
  <c r="AS3597" i="2"/>
  <c r="AS3541" i="2"/>
  <c r="AS3485" i="2"/>
  <c r="AS3429" i="2"/>
  <c r="AS3373" i="2"/>
  <c r="AS3317" i="2"/>
  <c r="AS3261" i="2"/>
  <c r="AS3205" i="2"/>
  <c r="AS3149" i="2"/>
  <c r="AS3093" i="2"/>
  <c r="AS3037" i="2"/>
  <c r="AS2981" i="2"/>
  <c r="AS2925" i="2"/>
  <c r="AS2869" i="2"/>
  <c r="AS2813" i="2"/>
  <c r="AS2757" i="2"/>
  <c r="AS2701" i="2"/>
  <c r="AS2645" i="2"/>
  <c r="AS2589" i="2"/>
  <c r="AS2533" i="2"/>
  <c r="AS2477" i="2"/>
  <c r="AS2421" i="2"/>
  <c r="AS2365" i="2"/>
  <c r="AS2309" i="2"/>
  <c r="AS2253" i="2"/>
  <c r="AS2197" i="2"/>
  <c r="AS2141" i="2"/>
  <c r="AS2085" i="2"/>
  <c r="AS2029" i="2"/>
  <c r="AS1973" i="2"/>
  <c r="AS1917" i="2"/>
  <c r="AS1861" i="2"/>
  <c r="AS1805" i="2"/>
  <c r="AS1749" i="2"/>
  <c r="AS1693" i="2"/>
  <c r="AS1637" i="2"/>
  <c r="AS1581" i="2"/>
  <c r="AS1525" i="2"/>
  <c r="AS1469" i="2"/>
  <c r="AS1413" i="2"/>
  <c r="AS1357" i="2"/>
  <c r="AS1301" i="2"/>
  <c r="AS1245" i="2"/>
  <c r="AS1189" i="2"/>
  <c r="AS1133" i="2"/>
  <c r="AS1077" i="2"/>
  <c r="AS1021" i="2"/>
  <c r="AS965" i="2"/>
  <c r="AS909" i="2"/>
  <c r="AS853" i="2"/>
  <c r="AS797" i="2"/>
  <c r="AS741" i="2"/>
  <c r="AS685" i="2"/>
  <c r="AS629" i="2"/>
  <c r="AS573" i="2"/>
  <c r="AS517" i="2"/>
  <c r="AS461" i="2"/>
  <c r="AS405" i="2"/>
  <c r="AS349" i="2"/>
  <c r="AS293" i="2"/>
  <c r="AS237" i="2"/>
  <c r="AS181" i="2"/>
  <c r="AS125" i="2"/>
  <c r="AS69" i="2"/>
  <c r="AS4633" i="2"/>
  <c r="AS4577" i="2"/>
  <c r="AS4521" i="2"/>
  <c r="AS4465" i="2"/>
  <c r="AS4409" i="2"/>
  <c r="AS4353" i="2"/>
  <c r="AS4297" i="2"/>
  <c r="AS4241" i="2"/>
  <c r="AS4185" i="2"/>
  <c r="AS4129" i="2"/>
  <c r="AS4073" i="2"/>
  <c r="AS4017" i="2"/>
  <c r="AS3961" i="2"/>
  <c r="AS3905" i="2"/>
  <c r="AS3849" i="2"/>
  <c r="AS3793" i="2"/>
  <c r="AS3737" i="2"/>
  <c r="AS3681" i="2"/>
  <c r="AS3625" i="2"/>
  <c r="AS3569" i="2"/>
  <c r="AS3513" i="2"/>
  <c r="AS3457" i="2"/>
  <c r="AS3401" i="2"/>
  <c r="AS3345" i="2"/>
  <c r="AS3289" i="2"/>
  <c r="AS3233" i="2"/>
  <c r="AS3177" i="2"/>
  <c r="AS3121" i="2"/>
  <c r="AS3065" i="2"/>
  <c r="AS3009" i="2"/>
  <c r="AS2953" i="2"/>
  <c r="AS2897" i="2"/>
  <c r="AS2841" i="2"/>
  <c r="AS2785" i="2"/>
  <c r="AS2729" i="2"/>
  <c r="AS2673" i="2"/>
  <c r="AS2617" i="2"/>
  <c r="AS2561" i="2"/>
  <c r="AS2505" i="2"/>
  <c r="AS2449" i="2"/>
  <c r="AS2393" i="2"/>
  <c r="AS2337" i="2"/>
  <c r="AS2281" i="2"/>
  <c r="AS2225" i="2"/>
  <c r="AS2169" i="2"/>
  <c r="AS2113" i="2"/>
  <c r="AS2057" i="2"/>
  <c r="AS2001" i="2"/>
  <c r="AS1945" i="2"/>
  <c r="AS1889" i="2"/>
  <c r="AS1833" i="2"/>
  <c r="AS1777" i="2"/>
  <c r="AS1721" i="2"/>
  <c r="AS1665" i="2"/>
  <c r="AS1609" i="2"/>
  <c r="AS1553" i="2"/>
  <c r="AS1497" i="2"/>
  <c r="AS1441" i="2"/>
  <c r="AS1385" i="2"/>
  <c r="AS1329" i="2"/>
  <c r="AS1273" i="2"/>
  <c r="AS1217" i="2"/>
  <c r="AS1161" i="2"/>
  <c r="AS1105" i="2"/>
  <c r="AS1049" i="2"/>
  <c r="AS993" i="2"/>
  <c r="AS937" i="2"/>
  <c r="AS881" i="2"/>
  <c r="AS825" i="2"/>
  <c r="AS769" i="2"/>
  <c r="AS713" i="2"/>
  <c r="AS657" i="2"/>
  <c r="AS601" i="2"/>
  <c r="AS545" i="2"/>
  <c r="AS489" i="2"/>
  <c r="AS433" i="2"/>
  <c r="AS377" i="2"/>
  <c r="AS321" i="2"/>
  <c r="AS265" i="2"/>
  <c r="AS209" i="2"/>
  <c r="AS153" i="2"/>
  <c r="AS97" i="2"/>
  <c r="AS42" i="2"/>
  <c r="AS4563" i="2"/>
  <c r="AS4339" i="2"/>
  <c r="AS4115" i="2"/>
  <c r="AS3891" i="2"/>
  <c r="AS3667" i="2"/>
  <c r="AS3443" i="2"/>
  <c r="AS3219" i="2"/>
  <c r="AS2995" i="2"/>
  <c r="AS2771" i="2"/>
  <c r="AS2547" i="2"/>
  <c r="AS2323" i="2"/>
  <c r="AS2099" i="2"/>
  <c r="AS1875" i="2"/>
  <c r="AS1651" i="2"/>
  <c r="AS1427" i="2"/>
  <c r="AS1203" i="2"/>
  <c r="AS979" i="2"/>
  <c r="AS755" i="2"/>
  <c r="AS531" i="2"/>
  <c r="AS307" i="2"/>
  <c r="AS83" i="2"/>
  <c r="AS4619" i="2"/>
  <c r="AS4395" i="2"/>
  <c r="AS4171" i="2"/>
  <c r="AS3947" i="2"/>
  <c r="AS3723" i="2"/>
  <c r="AS3499" i="2"/>
  <c r="AS3275" i="2"/>
  <c r="AS3051" i="2"/>
  <c r="AS2827" i="2"/>
  <c r="AS2603" i="2"/>
  <c r="AS2379" i="2"/>
  <c r="AS2155" i="2"/>
  <c r="AS1931" i="2"/>
  <c r="AS1707" i="2"/>
  <c r="AS1483" i="2"/>
  <c r="AS1259" i="2"/>
  <c r="AS1035" i="2"/>
  <c r="AS811" i="2"/>
  <c r="AS587" i="2"/>
  <c r="AS363" i="2"/>
  <c r="AS139" i="2"/>
  <c r="AS4451" i="2"/>
  <c r="AS4003" i="2"/>
  <c r="AS3555" i="2"/>
  <c r="AS3107" i="2"/>
  <c r="AS2659" i="2"/>
  <c r="AS2211" i="2"/>
  <c r="AS1763" i="2"/>
  <c r="AS1315" i="2"/>
  <c r="AS867" i="2"/>
  <c r="AS419" i="2"/>
  <c r="AS4507" i="2"/>
  <c r="AS4059" i="2"/>
  <c r="AS3611" i="2"/>
  <c r="AS3163" i="2"/>
  <c r="AS2715" i="2"/>
  <c r="AS2267" i="2"/>
  <c r="AS1819" i="2"/>
  <c r="AS1371" i="2"/>
  <c r="AS923" i="2"/>
  <c r="AS475" i="2"/>
  <c r="AS4227" i="2"/>
  <c r="AS3779" i="2"/>
  <c r="AS3331" i="2"/>
  <c r="AS2883" i="2"/>
  <c r="AS2435" i="2"/>
  <c r="AS1987" i="2"/>
  <c r="AS1539" i="2"/>
  <c r="AS1091" i="2"/>
  <c r="AS643" i="2"/>
  <c r="AS195" i="2"/>
  <c r="AS3835" i="2"/>
  <c r="AS2043" i="2"/>
  <c r="AS251" i="2"/>
  <c r="AS4283" i="2"/>
  <c r="AS2491" i="2"/>
  <c r="AS699" i="2"/>
  <c r="AS2939" i="2"/>
  <c r="AS1147" i="2"/>
  <c r="AS3387" i="2"/>
  <c r="AS1595" i="2"/>
  <c r="X4661" i="2"/>
  <c r="X4605" i="2"/>
  <c r="X4549" i="2"/>
  <c r="X4493" i="2"/>
  <c r="X4437" i="2"/>
  <c r="X4381" i="2"/>
  <c r="X4325" i="2"/>
  <c r="X4269" i="2"/>
  <c r="X4213" i="2"/>
  <c r="X4157" i="2"/>
  <c r="X4101" i="2"/>
  <c r="X4045" i="2"/>
  <c r="X3989" i="2"/>
  <c r="X3933" i="2"/>
  <c r="X3877" i="2"/>
  <c r="X3821" i="2"/>
  <c r="X3765" i="2"/>
  <c r="X3709" i="2"/>
  <c r="X3653" i="2"/>
  <c r="X3597" i="2"/>
  <c r="X3541" i="2"/>
  <c r="X3485" i="2"/>
  <c r="X3429" i="2"/>
  <c r="X3373" i="2"/>
  <c r="X3317" i="2"/>
  <c r="X3261" i="2"/>
  <c r="X3205" i="2"/>
  <c r="X3149" i="2"/>
  <c r="X3093" i="2"/>
  <c r="X3037" i="2"/>
  <c r="X2981" i="2"/>
  <c r="X2925" i="2"/>
  <c r="X2869" i="2"/>
  <c r="X2813" i="2"/>
  <c r="X2757" i="2"/>
  <c r="X2701" i="2"/>
  <c r="X2645" i="2"/>
  <c r="X2589" i="2"/>
  <c r="X2533" i="2"/>
  <c r="X2477" i="2"/>
  <c r="X2421" i="2"/>
  <c r="X2365" i="2"/>
  <c r="X2309" i="2"/>
  <c r="X2253" i="2"/>
  <c r="X2197" i="2"/>
  <c r="X2141" i="2"/>
  <c r="X2085" i="2"/>
  <c r="X2029" i="2"/>
  <c r="X1973" i="2"/>
  <c r="X1917" i="2"/>
  <c r="X1861" i="2"/>
  <c r="X1805" i="2"/>
  <c r="X1749" i="2"/>
  <c r="X1693" i="2"/>
  <c r="X1637" i="2"/>
  <c r="X1581" i="2"/>
  <c r="X1525" i="2"/>
  <c r="X1469" i="2"/>
  <c r="X1413" i="2"/>
  <c r="X1357" i="2"/>
  <c r="X1301" i="2"/>
  <c r="X1245" i="2"/>
  <c r="X1189" i="2"/>
  <c r="X1133" i="2"/>
  <c r="X1077" i="2"/>
  <c r="X1021" i="2"/>
  <c r="X965" i="2"/>
  <c r="X909" i="2"/>
  <c r="X853" i="2"/>
  <c r="X797" i="2"/>
  <c r="X741" i="2"/>
  <c r="X685" i="2"/>
  <c r="X629" i="2"/>
  <c r="X573" i="2"/>
  <c r="X517" i="2"/>
  <c r="X461" i="2"/>
  <c r="X405" i="2"/>
  <c r="X349" i="2"/>
  <c r="X293" i="2"/>
  <c r="X237" i="2"/>
  <c r="X181" i="2"/>
  <c r="X125" i="2"/>
  <c r="X69" i="2"/>
  <c r="X4619" i="2"/>
  <c r="X4563" i="2"/>
  <c r="X4507" i="2"/>
  <c r="X4451" i="2"/>
  <c r="X4395" i="2"/>
  <c r="X4339" i="2"/>
  <c r="X4283" i="2"/>
  <c r="X4227" i="2"/>
  <c r="X4171" i="2"/>
  <c r="X4115" i="2"/>
  <c r="X4059" i="2"/>
  <c r="X4003" i="2"/>
  <c r="X3947" i="2"/>
  <c r="X3891" i="2"/>
  <c r="X3835" i="2"/>
  <c r="X3779" i="2"/>
  <c r="X3723" i="2"/>
  <c r="X3667" i="2"/>
  <c r="X3611" i="2"/>
  <c r="X3555" i="2"/>
  <c r="X3499" i="2"/>
  <c r="X3443" i="2"/>
  <c r="X3387" i="2"/>
  <c r="X3331" i="2"/>
  <c r="X3275" i="2"/>
  <c r="X3219" i="2"/>
  <c r="X3163" i="2"/>
  <c r="X3107" i="2"/>
  <c r="X3051" i="2"/>
  <c r="X2995" i="2"/>
  <c r="X2939" i="2"/>
  <c r="X2883" i="2"/>
  <c r="X2827" i="2"/>
  <c r="X2771" i="2"/>
  <c r="X2715" i="2"/>
  <c r="X2659" i="2"/>
  <c r="X2603" i="2"/>
  <c r="X2547" i="2"/>
  <c r="X2491" i="2"/>
  <c r="X2435" i="2"/>
  <c r="X2379" i="2"/>
  <c r="X2323" i="2"/>
  <c r="X2267" i="2"/>
  <c r="X2211" i="2"/>
  <c r="X2155" i="2"/>
  <c r="X2099" i="2"/>
  <c r="X2043" i="2"/>
  <c r="X1987" i="2"/>
  <c r="X1931" i="2"/>
  <c r="X1875" i="2"/>
  <c r="X1819" i="2"/>
  <c r="X1763" i="2"/>
  <c r="X1707" i="2"/>
  <c r="X1651" i="2"/>
  <c r="X1595" i="2"/>
  <c r="X1539" i="2"/>
  <c r="X1483" i="2"/>
  <c r="X1427" i="2"/>
  <c r="X1371" i="2"/>
  <c r="X1315" i="2"/>
  <c r="X1259" i="2"/>
  <c r="X1203" i="2"/>
  <c r="X1147" i="2"/>
  <c r="X1091" i="2"/>
  <c r="X1035" i="2"/>
  <c r="X979" i="2"/>
  <c r="X923" i="2"/>
  <c r="X867" i="2"/>
  <c r="X811" i="2"/>
  <c r="X755" i="2"/>
  <c r="X699" i="2"/>
  <c r="X643" i="2"/>
  <c r="X587" i="2"/>
  <c r="X531" i="2"/>
  <c r="X475" i="2"/>
  <c r="X419" i="2"/>
  <c r="X363" i="2"/>
  <c r="X307" i="2"/>
  <c r="X251" i="2"/>
  <c r="X195" i="2"/>
  <c r="X139" i="2"/>
  <c r="X83" i="2"/>
  <c r="X4633" i="2"/>
  <c r="X4521" i="2"/>
  <c r="X4409" i="2"/>
  <c r="X4297" i="2"/>
  <c r="X4185" i="2"/>
  <c r="X4073" i="2"/>
  <c r="X3961" i="2"/>
  <c r="X3849" i="2"/>
  <c r="X3737" i="2"/>
  <c r="X3625" i="2"/>
  <c r="X3513" i="2"/>
  <c r="X3401" i="2"/>
  <c r="X3289" i="2"/>
  <c r="X3177" i="2"/>
  <c r="X3065" i="2"/>
  <c r="X2953" i="2"/>
  <c r="X2841" i="2"/>
  <c r="X2729" i="2"/>
  <c r="X2617" i="2"/>
  <c r="X2505" i="2"/>
  <c r="X2393" i="2"/>
  <c r="X2281" i="2"/>
  <c r="X2169" i="2"/>
  <c r="X2057" i="2"/>
  <c r="X1945" i="2"/>
  <c r="X1833" i="2"/>
  <c r="X1721" i="2"/>
  <c r="X1609" i="2"/>
  <c r="X1497" i="2"/>
  <c r="X1385" i="2"/>
  <c r="X1273" i="2"/>
  <c r="X1161" i="2"/>
  <c r="X1049" i="2"/>
  <c r="X937" i="2"/>
  <c r="X825" i="2"/>
  <c r="X713" i="2"/>
  <c r="X601" i="2"/>
  <c r="X489" i="2"/>
  <c r="X377" i="2"/>
  <c r="X265" i="2"/>
  <c r="X153" i="2"/>
  <c r="X42" i="2"/>
  <c r="X4591" i="2"/>
  <c r="X4465" i="2"/>
  <c r="X4311" i="2"/>
  <c r="X4143" i="2"/>
  <c r="X4017" i="2"/>
  <c r="X3863" i="2"/>
  <c r="X3695" i="2"/>
  <c r="X3569" i="2"/>
  <c r="X3415" i="2"/>
  <c r="X3247" i="2"/>
  <c r="X3121" i="2"/>
  <c r="X2967" i="2"/>
  <c r="X2799" i="2"/>
  <c r="X2673" i="2"/>
  <c r="X2519" i="2"/>
  <c r="X2351" i="2"/>
  <c r="X2225" i="2"/>
  <c r="X2071" i="2"/>
  <c r="X1903" i="2"/>
  <c r="X1777" i="2"/>
  <c r="X1623" i="2"/>
  <c r="X1455" i="2"/>
  <c r="X1329" i="2"/>
  <c r="X1175" i="2"/>
  <c r="X1007" i="2"/>
  <c r="X881" i="2"/>
  <c r="X727" i="2"/>
  <c r="X559" i="2"/>
  <c r="X433" i="2"/>
  <c r="X279" i="2"/>
  <c r="X111" i="2"/>
  <c r="X3975" i="2"/>
  <c r="X1889" i="2"/>
  <c r="X1441" i="2"/>
  <c r="X993" i="2"/>
  <c r="X671" i="2"/>
  <c r="X223" i="2"/>
  <c r="X4647" i="2"/>
  <c r="X4479" i="2"/>
  <c r="X4353" i="2"/>
  <c r="X4199" i="2"/>
  <c r="X4031" i="2"/>
  <c r="X3905" i="2"/>
  <c r="X3751" i="2"/>
  <c r="X3583" i="2"/>
  <c r="X3457" i="2"/>
  <c r="X3303" i="2"/>
  <c r="X3135" i="2"/>
  <c r="X3009" i="2"/>
  <c r="X2855" i="2"/>
  <c r="X2687" i="2"/>
  <c r="X2561" i="2"/>
  <c r="X2407" i="2"/>
  <c r="X2239" i="2"/>
  <c r="X2113" i="2"/>
  <c r="X1959" i="2"/>
  <c r="X1791" i="2"/>
  <c r="X1665" i="2"/>
  <c r="X1511" i="2"/>
  <c r="X1343" i="2"/>
  <c r="X1217" i="2"/>
  <c r="X1063" i="2"/>
  <c r="X895" i="2"/>
  <c r="X769" i="2"/>
  <c r="X615" i="2"/>
  <c r="X447" i="2"/>
  <c r="X321" i="2"/>
  <c r="X167" i="2"/>
  <c r="X4129" i="2"/>
  <c r="X2015" i="2"/>
  <c r="X1287" i="2"/>
  <c r="X839" i="2"/>
  <c r="X545" i="2"/>
  <c r="X97" i="2"/>
  <c r="X4535" i="2"/>
  <c r="X4367" i="2"/>
  <c r="X4241" i="2"/>
  <c r="X4087" i="2"/>
  <c r="X3919" i="2"/>
  <c r="X3793" i="2"/>
  <c r="X3639" i="2"/>
  <c r="X3471" i="2"/>
  <c r="X3345" i="2"/>
  <c r="X3191" i="2"/>
  <c r="X3023" i="2"/>
  <c r="X2897" i="2"/>
  <c r="X2743" i="2"/>
  <c r="X2575" i="2"/>
  <c r="X2449" i="2"/>
  <c r="X2295" i="2"/>
  <c r="X2127" i="2"/>
  <c r="X2001" i="2"/>
  <c r="X1847" i="2"/>
  <c r="X1679" i="2"/>
  <c r="X1553" i="2"/>
  <c r="X1399" i="2"/>
  <c r="X1231" i="2"/>
  <c r="X1105" i="2"/>
  <c r="X951" i="2"/>
  <c r="X783" i="2"/>
  <c r="X657" i="2"/>
  <c r="X503" i="2"/>
  <c r="X335" i="2"/>
  <c r="X209" i="2"/>
  <c r="X55" i="2"/>
  <c r="X4577" i="2"/>
  <c r="X4423" i="2"/>
  <c r="X4255" i="2"/>
  <c r="X3807" i="2"/>
  <c r="X3681" i="2"/>
  <c r="X3527" i="2"/>
  <c r="X3359" i="2"/>
  <c r="X3233" i="2"/>
  <c r="X3079" i="2"/>
  <c r="X2911" i="2"/>
  <c r="X2785" i="2"/>
  <c r="X2631" i="2"/>
  <c r="X2463" i="2"/>
  <c r="X2337" i="2"/>
  <c r="X2183" i="2"/>
  <c r="X1735" i="2"/>
  <c r="X1567" i="2"/>
  <c r="X1119" i="2"/>
  <c r="X391" i="2"/>
  <c r="AJ4661" i="2"/>
  <c r="AJ4605" i="2"/>
  <c r="AJ4549" i="2"/>
  <c r="AJ4493" i="2"/>
  <c r="AJ4437" i="2"/>
  <c r="AJ4381" i="2"/>
  <c r="AJ4325" i="2"/>
  <c r="AJ4269" i="2"/>
  <c r="AJ4619" i="2"/>
  <c r="AJ4563" i="2"/>
  <c r="AJ4507" i="2"/>
  <c r="AJ4451" i="2"/>
  <c r="AJ4395" i="2"/>
  <c r="AJ4339" i="2"/>
  <c r="AJ4283" i="2"/>
  <c r="AJ4647" i="2"/>
  <c r="AJ4591" i="2"/>
  <c r="AJ4535" i="2"/>
  <c r="AJ4479" i="2"/>
  <c r="AJ4423" i="2"/>
  <c r="AJ4367" i="2"/>
  <c r="AJ4311" i="2"/>
  <c r="AJ4255" i="2"/>
  <c r="AJ4577" i="2"/>
  <c r="AJ4353" i="2"/>
  <c r="AJ4213" i="2"/>
  <c r="AJ4157" i="2"/>
  <c r="AJ4101" i="2"/>
  <c r="AJ4045" i="2"/>
  <c r="AJ3989" i="2"/>
  <c r="AJ3933" i="2"/>
  <c r="AJ3877" i="2"/>
  <c r="AJ3821" i="2"/>
  <c r="AJ3765" i="2"/>
  <c r="AJ3709" i="2"/>
  <c r="AJ3653" i="2"/>
  <c r="AJ3597" i="2"/>
  <c r="AJ3541" i="2"/>
  <c r="AJ3485" i="2"/>
  <c r="AJ3429" i="2"/>
  <c r="AJ3373" i="2"/>
  <c r="AJ3317" i="2"/>
  <c r="AJ3261" i="2"/>
  <c r="AJ3205" i="2"/>
  <c r="AJ3149" i="2"/>
  <c r="AJ3093" i="2"/>
  <c r="AJ3037" i="2"/>
  <c r="AJ2981" i="2"/>
  <c r="AJ2925" i="2"/>
  <c r="AJ2869" i="2"/>
  <c r="AJ2813" i="2"/>
  <c r="AJ2757" i="2"/>
  <c r="AJ2701" i="2"/>
  <c r="AJ2645" i="2"/>
  <c r="AJ2589" i="2"/>
  <c r="AJ2533" i="2"/>
  <c r="AJ2477" i="2"/>
  <c r="AJ2421" i="2"/>
  <c r="AJ2365" i="2"/>
  <c r="AJ2309" i="2"/>
  <c r="AJ2253" i="2"/>
  <c r="AJ2197" i="2"/>
  <c r="AJ2141" i="2"/>
  <c r="AJ2085" i="2"/>
  <c r="AJ2029" i="2"/>
  <c r="AJ1973" i="2"/>
  <c r="AJ1917" i="2"/>
  <c r="AJ1861" i="2"/>
  <c r="AJ1805" i="2"/>
  <c r="AJ1749" i="2"/>
  <c r="AJ1693" i="2"/>
  <c r="AJ1637" i="2"/>
  <c r="AJ1581" i="2"/>
  <c r="AJ1525" i="2"/>
  <c r="AJ1469" i="2"/>
  <c r="AJ1413" i="2"/>
  <c r="AJ1357" i="2"/>
  <c r="AJ1301" i="2"/>
  <c r="AJ1245" i="2"/>
  <c r="AJ1189" i="2"/>
  <c r="AJ1133" i="2"/>
  <c r="AJ1077" i="2"/>
  <c r="AJ1021" i="2"/>
  <c r="AJ965" i="2"/>
  <c r="AJ909" i="2"/>
  <c r="AJ853" i="2"/>
  <c r="AJ797" i="2"/>
  <c r="AJ741" i="2"/>
  <c r="AJ685" i="2"/>
  <c r="AJ629" i="2"/>
  <c r="AJ573" i="2"/>
  <c r="AJ517" i="2"/>
  <c r="AJ461" i="2"/>
  <c r="AJ405" i="2"/>
  <c r="AJ349" i="2"/>
  <c r="AJ293" i="2"/>
  <c r="AJ237" i="2"/>
  <c r="AJ181" i="2"/>
  <c r="AJ125" i="2"/>
  <c r="AJ69" i="2"/>
  <c r="AJ4633" i="2"/>
  <c r="AJ4409" i="2"/>
  <c r="AJ4227" i="2"/>
  <c r="AJ4171" i="2"/>
  <c r="AJ4115" i="2"/>
  <c r="AJ4059" i="2"/>
  <c r="AJ4003" i="2"/>
  <c r="AJ3947" i="2"/>
  <c r="AJ3891" i="2"/>
  <c r="AJ3835" i="2"/>
  <c r="AJ3779" i="2"/>
  <c r="AJ3723" i="2"/>
  <c r="AJ3667" i="2"/>
  <c r="AJ3611" i="2"/>
  <c r="AJ3555" i="2"/>
  <c r="AJ3499" i="2"/>
  <c r="AJ3443" i="2"/>
  <c r="AJ3387" i="2"/>
  <c r="AJ3331" i="2"/>
  <c r="AJ3275" i="2"/>
  <c r="AJ3219" i="2"/>
  <c r="AJ3163" i="2"/>
  <c r="AJ3107" i="2"/>
  <c r="AJ3051" i="2"/>
  <c r="AJ2995" i="2"/>
  <c r="AJ2939" i="2"/>
  <c r="AJ2883" i="2"/>
  <c r="AJ2827" i="2"/>
  <c r="AJ2771" i="2"/>
  <c r="AJ2715" i="2"/>
  <c r="AJ2659" i="2"/>
  <c r="AJ2603" i="2"/>
  <c r="AJ2547" i="2"/>
  <c r="AJ2491" i="2"/>
  <c r="AJ2435" i="2"/>
  <c r="AJ2379" i="2"/>
  <c r="AJ2323" i="2"/>
  <c r="AJ2267" i="2"/>
  <c r="AJ2211" i="2"/>
  <c r="AJ2155" i="2"/>
  <c r="AJ2099" i="2"/>
  <c r="AJ2043" i="2"/>
  <c r="AJ1987" i="2"/>
  <c r="AJ1931" i="2"/>
  <c r="AJ1875" i="2"/>
  <c r="AJ1819" i="2"/>
  <c r="AJ1763" i="2"/>
  <c r="AJ1707" i="2"/>
  <c r="AJ1651" i="2"/>
  <c r="AJ1595" i="2"/>
  <c r="AJ1539" i="2"/>
  <c r="AJ1483" i="2"/>
  <c r="AJ1427" i="2"/>
  <c r="AJ1371" i="2"/>
  <c r="AJ1315" i="2"/>
  <c r="AJ1259" i="2"/>
  <c r="AJ1203" i="2"/>
  <c r="AJ1147" i="2"/>
  <c r="AJ1091" i="2"/>
  <c r="AJ1035" i="2"/>
  <c r="AJ979" i="2"/>
  <c r="AJ923" i="2"/>
  <c r="AJ867" i="2"/>
  <c r="AJ811" i="2"/>
  <c r="AJ755" i="2"/>
  <c r="AJ699" i="2"/>
  <c r="AJ643" i="2"/>
  <c r="AJ587" i="2"/>
  <c r="AJ531" i="2"/>
  <c r="AJ475" i="2"/>
  <c r="AJ419" i="2"/>
  <c r="AJ363" i="2"/>
  <c r="AJ307" i="2"/>
  <c r="AJ251" i="2"/>
  <c r="AJ195" i="2"/>
  <c r="AJ139" i="2"/>
  <c r="AJ83" i="2"/>
  <c r="AJ4465" i="2"/>
  <c r="AJ4185" i="2"/>
  <c r="AJ4073" i="2"/>
  <c r="AJ3961" i="2"/>
  <c r="AJ3849" i="2"/>
  <c r="AJ3737" i="2"/>
  <c r="AJ3625" i="2"/>
  <c r="AJ3513" i="2"/>
  <c r="AJ3401" i="2"/>
  <c r="AJ3289" i="2"/>
  <c r="AJ3177" i="2"/>
  <c r="AJ3065" i="2"/>
  <c r="AJ2953" i="2"/>
  <c r="AJ2841" i="2"/>
  <c r="AJ2729" i="2"/>
  <c r="AJ2617" i="2"/>
  <c r="AJ2505" i="2"/>
  <c r="AJ2393" i="2"/>
  <c r="AJ2281" i="2"/>
  <c r="AJ2169" i="2"/>
  <c r="AJ2057" i="2"/>
  <c r="AJ1945" i="2"/>
  <c r="AJ1833" i="2"/>
  <c r="AJ1721" i="2"/>
  <c r="AJ1609" i="2"/>
  <c r="AJ1497" i="2"/>
  <c r="AJ1385" i="2"/>
  <c r="AJ1273" i="2"/>
  <c r="AJ1161" i="2"/>
  <c r="AJ1049" i="2"/>
  <c r="AJ937" i="2"/>
  <c r="AJ825" i="2"/>
  <c r="AJ713" i="2"/>
  <c r="AJ601" i="2"/>
  <c r="AJ489" i="2"/>
  <c r="AJ377" i="2"/>
  <c r="AJ265" i="2"/>
  <c r="AJ153" i="2"/>
  <c r="AJ42" i="2"/>
  <c r="AJ4521" i="2"/>
  <c r="AJ4199" i="2"/>
  <c r="AJ4087" i="2"/>
  <c r="AJ3975" i="2"/>
  <c r="AJ3863" i="2"/>
  <c r="AJ3751" i="2"/>
  <c r="AJ3639" i="2"/>
  <c r="AJ3527" i="2"/>
  <c r="AJ3415" i="2"/>
  <c r="AJ3303" i="2"/>
  <c r="AJ3191" i="2"/>
  <c r="AJ3079" i="2"/>
  <c r="AJ2967" i="2"/>
  <c r="AJ2855" i="2"/>
  <c r="AJ2743" i="2"/>
  <c r="AJ2631" i="2"/>
  <c r="AJ2519" i="2"/>
  <c r="AJ2407" i="2"/>
  <c r="AJ2295" i="2"/>
  <c r="AJ2183" i="2"/>
  <c r="AJ2071" i="2"/>
  <c r="AJ1959" i="2"/>
  <c r="AJ1847" i="2"/>
  <c r="AJ1735" i="2"/>
  <c r="AJ1623" i="2"/>
  <c r="AJ1511" i="2"/>
  <c r="AJ1399" i="2"/>
  <c r="AJ1287" i="2"/>
  <c r="AJ1175" i="2"/>
  <c r="AJ1063" i="2"/>
  <c r="AJ951" i="2"/>
  <c r="AJ839" i="2"/>
  <c r="AJ727" i="2"/>
  <c r="AJ615" i="2"/>
  <c r="AJ503" i="2"/>
  <c r="AJ391" i="2"/>
  <c r="AJ279" i="2"/>
  <c r="AJ167" i="2"/>
  <c r="AJ55" i="2"/>
  <c r="AJ4241" i="2"/>
  <c r="AJ4129" i="2"/>
  <c r="AJ4017" i="2"/>
  <c r="AJ3905" i="2"/>
  <c r="AJ3793" i="2"/>
  <c r="AJ3681" i="2"/>
  <c r="AJ3569" i="2"/>
  <c r="AJ3457" i="2"/>
  <c r="AJ3345" i="2"/>
  <c r="AJ3233" i="2"/>
  <c r="AJ3121" i="2"/>
  <c r="AJ3009" i="2"/>
  <c r="AJ2897" i="2"/>
  <c r="AJ2785" i="2"/>
  <c r="AJ2673" i="2"/>
  <c r="AJ2561" i="2"/>
  <c r="AJ2449" i="2"/>
  <c r="AJ2337" i="2"/>
  <c r="AJ2225" i="2"/>
  <c r="AJ2113" i="2"/>
  <c r="AJ2001" i="2"/>
  <c r="AJ1889" i="2"/>
  <c r="AJ1777" i="2"/>
  <c r="AJ1665" i="2"/>
  <c r="AJ1553" i="2"/>
  <c r="AJ1441" i="2"/>
  <c r="AJ1329" i="2"/>
  <c r="AJ1217" i="2"/>
  <c r="AJ1105" i="2"/>
  <c r="AJ993" i="2"/>
  <c r="AJ881" i="2"/>
  <c r="AJ769" i="2"/>
  <c r="AJ657" i="2"/>
  <c r="AJ545" i="2"/>
  <c r="AJ433" i="2"/>
  <c r="AJ321" i="2"/>
  <c r="AJ209" i="2"/>
  <c r="AJ97" i="2"/>
  <c r="AJ4031" i="2"/>
  <c r="AJ3583" i="2"/>
  <c r="AJ3135" i="2"/>
  <c r="AJ2687" i="2"/>
  <c r="AJ2239" i="2"/>
  <c r="AJ1791" i="2"/>
  <c r="AJ1343" i="2"/>
  <c r="AJ895" i="2"/>
  <c r="AJ447" i="2"/>
  <c r="AJ4143" i="2"/>
  <c r="AJ3695" i="2"/>
  <c r="AJ3247" i="2"/>
  <c r="AJ2799" i="2"/>
  <c r="AJ2351" i="2"/>
  <c r="AJ1903" i="2"/>
  <c r="AJ1455" i="2"/>
  <c r="AJ1007" i="2"/>
  <c r="AJ559" i="2"/>
  <c r="AJ111" i="2"/>
  <c r="AJ4297" i="2"/>
  <c r="AJ3807" i="2"/>
  <c r="AJ3359" i="2"/>
  <c r="AJ2911" i="2"/>
  <c r="AJ2463" i="2"/>
  <c r="AJ2015" i="2"/>
  <c r="AJ1567" i="2"/>
  <c r="AJ1119" i="2"/>
  <c r="AJ671" i="2"/>
  <c r="AJ223" i="2"/>
  <c r="AJ3919" i="2"/>
  <c r="AJ3471" i="2"/>
  <c r="AJ3023" i="2"/>
  <c r="AJ2575" i="2"/>
  <c r="AJ2127" i="2"/>
  <c r="AJ1679" i="2"/>
  <c r="AJ1231" i="2"/>
  <c r="AJ783" i="2"/>
  <c r="AJ335" i="2"/>
  <c r="AG4647" i="2"/>
  <c r="AG4591" i="2"/>
  <c r="AG4535" i="2"/>
  <c r="AG4479" i="2"/>
  <c r="AG4423" i="2"/>
  <c r="AG4367" i="2"/>
  <c r="AG4311" i="2"/>
  <c r="AG4255" i="2"/>
  <c r="AG4199" i="2"/>
  <c r="AG4143" i="2"/>
  <c r="AG4087" i="2"/>
  <c r="AG4031" i="2"/>
  <c r="AG3975" i="2"/>
  <c r="AG3919" i="2"/>
  <c r="AG3863" i="2"/>
  <c r="AG3807" i="2"/>
  <c r="AG3751" i="2"/>
  <c r="AG3695" i="2"/>
  <c r="AG3639" i="2"/>
  <c r="AG3583" i="2"/>
  <c r="AG3527" i="2"/>
  <c r="AG3471" i="2"/>
  <c r="AG3415" i="2"/>
  <c r="AG3359" i="2"/>
  <c r="AG3303" i="2"/>
  <c r="AG3247" i="2"/>
  <c r="AG3191" i="2"/>
  <c r="AG3135" i="2"/>
  <c r="AG3079" i="2"/>
  <c r="AG3023" i="2"/>
  <c r="AG2967" i="2"/>
  <c r="AG2911" i="2"/>
  <c r="AG2855" i="2"/>
  <c r="AG2799" i="2"/>
  <c r="AG2743" i="2"/>
  <c r="AG2687" i="2"/>
  <c r="AG2631" i="2"/>
  <c r="AG2575" i="2"/>
  <c r="AG2519" i="2"/>
  <c r="AG2463" i="2"/>
  <c r="AG2407" i="2"/>
  <c r="AG2351" i="2"/>
  <c r="AG2295" i="2"/>
  <c r="AG2239" i="2"/>
  <c r="AG2183" i="2"/>
  <c r="AG2127" i="2"/>
  <c r="AG2071" i="2"/>
  <c r="AG2015" i="2"/>
  <c r="AG1959" i="2"/>
  <c r="AG1903" i="2"/>
  <c r="AG1847" i="2"/>
  <c r="AG1791" i="2"/>
  <c r="AG1735" i="2"/>
  <c r="AG1679" i="2"/>
  <c r="AG1623" i="2"/>
  <c r="AG1567" i="2"/>
  <c r="AG1511" i="2"/>
  <c r="AG1455" i="2"/>
  <c r="AG1399" i="2"/>
  <c r="AG1343" i="2"/>
  <c r="AG1287" i="2"/>
  <c r="AG1231" i="2"/>
  <c r="AG1175" i="2"/>
  <c r="AG1119" i="2"/>
  <c r="AG1063" i="2"/>
  <c r="AG1007" i="2"/>
  <c r="AG951" i="2"/>
  <c r="AG895" i="2"/>
  <c r="AG839" i="2"/>
  <c r="AG783" i="2"/>
  <c r="AG727" i="2"/>
  <c r="AG671" i="2"/>
  <c r="AG615" i="2"/>
  <c r="AG559" i="2"/>
  <c r="AG503" i="2"/>
  <c r="AG447" i="2"/>
  <c r="AG391" i="2"/>
  <c r="AG335" i="2"/>
  <c r="AG279" i="2"/>
  <c r="AG223" i="2"/>
  <c r="AG167" i="2"/>
  <c r="AG111" i="2"/>
  <c r="AG55" i="2"/>
  <c r="AG4661" i="2"/>
  <c r="AG4605" i="2"/>
  <c r="AG4549" i="2"/>
  <c r="AG4493" i="2"/>
  <c r="AG4437" i="2"/>
  <c r="AG4381" i="2"/>
  <c r="AG4325" i="2"/>
  <c r="AG4269" i="2"/>
  <c r="AG4213" i="2"/>
  <c r="AG4157" i="2"/>
  <c r="AG4101" i="2"/>
  <c r="AG4045" i="2"/>
  <c r="AG3989" i="2"/>
  <c r="AG3933" i="2"/>
  <c r="AG3877" i="2"/>
  <c r="AG3821" i="2"/>
  <c r="AG3765" i="2"/>
  <c r="AG3709" i="2"/>
  <c r="AG3653" i="2"/>
  <c r="AG3597" i="2"/>
  <c r="AG3541" i="2"/>
  <c r="AG3485" i="2"/>
  <c r="AG3429" i="2"/>
  <c r="AG3373" i="2"/>
  <c r="AG3317" i="2"/>
  <c r="AG3261" i="2"/>
  <c r="AG3205" i="2"/>
  <c r="AG3149" i="2"/>
  <c r="AG3093" i="2"/>
  <c r="AG3037" i="2"/>
  <c r="AG2981" i="2"/>
  <c r="AG2925" i="2"/>
  <c r="AG2869" i="2"/>
  <c r="AG2813" i="2"/>
  <c r="AG2757" i="2"/>
  <c r="AG2701" i="2"/>
  <c r="AG2645" i="2"/>
  <c r="AG2589" i="2"/>
  <c r="AG2533" i="2"/>
  <c r="AG2477" i="2"/>
  <c r="AG2421" i="2"/>
  <c r="AG2365" i="2"/>
  <c r="AG2309" i="2"/>
  <c r="AG2253" i="2"/>
  <c r="AG2197" i="2"/>
  <c r="AG2141" i="2"/>
  <c r="AG2085" i="2"/>
  <c r="AG2029" i="2"/>
  <c r="AG1973" i="2"/>
  <c r="AG1917" i="2"/>
  <c r="AG1861" i="2"/>
  <c r="AG1805" i="2"/>
  <c r="AG1749" i="2"/>
  <c r="AG1693" i="2"/>
  <c r="AG1637" i="2"/>
  <c r="AG1581" i="2"/>
  <c r="AG1525" i="2"/>
  <c r="AG1469" i="2"/>
  <c r="AG1413" i="2"/>
  <c r="AG1357" i="2"/>
  <c r="AG1301" i="2"/>
  <c r="AG1245" i="2"/>
  <c r="AG1189" i="2"/>
  <c r="AG1133" i="2"/>
  <c r="AG1077" i="2"/>
  <c r="AG1021" i="2"/>
  <c r="AG965" i="2"/>
  <c r="AG909" i="2"/>
  <c r="AG853" i="2"/>
  <c r="AG797" i="2"/>
  <c r="AG741" i="2"/>
  <c r="AG685" i="2"/>
  <c r="AG629" i="2"/>
  <c r="AG573" i="2"/>
  <c r="AG517" i="2"/>
  <c r="AG461" i="2"/>
  <c r="AG405" i="2"/>
  <c r="AG349" i="2"/>
  <c r="AG293" i="2"/>
  <c r="AG237" i="2"/>
  <c r="AG181" i="2"/>
  <c r="AG125" i="2"/>
  <c r="AG69" i="2"/>
  <c r="AG4563" i="2"/>
  <c r="AG4451" i="2"/>
  <c r="AG4339" i="2"/>
  <c r="AG4227" i="2"/>
  <c r="AG4115" i="2"/>
  <c r="AG4003" i="2"/>
  <c r="AG3891" i="2"/>
  <c r="AG3779" i="2"/>
  <c r="AG3667" i="2"/>
  <c r="AG3555" i="2"/>
  <c r="AG3443" i="2"/>
  <c r="AG3331" i="2"/>
  <c r="AG3219" i="2"/>
  <c r="AG3107" i="2"/>
  <c r="AG2995" i="2"/>
  <c r="AG2883" i="2"/>
  <c r="AG2771" i="2"/>
  <c r="AG2659" i="2"/>
  <c r="AG2547" i="2"/>
  <c r="AG2435" i="2"/>
  <c r="AG2323" i="2"/>
  <c r="AG2211" i="2"/>
  <c r="AG2099" i="2"/>
  <c r="AG1987" i="2"/>
  <c r="AG1875" i="2"/>
  <c r="AG1763" i="2"/>
  <c r="AG1651" i="2"/>
  <c r="AG1539" i="2"/>
  <c r="AG1427" i="2"/>
  <c r="AG1315" i="2"/>
  <c r="AG1203" i="2"/>
  <c r="AG1091" i="2"/>
  <c r="AG979" i="2"/>
  <c r="AG867" i="2"/>
  <c r="AG755" i="2"/>
  <c r="AG643" i="2"/>
  <c r="AG531" i="2"/>
  <c r="AG419" i="2"/>
  <c r="AG307" i="2"/>
  <c r="AG195" i="2"/>
  <c r="AG83" i="2"/>
  <c r="AG4577" i="2"/>
  <c r="AG4465" i="2"/>
  <c r="AG4353" i="2"/>
  <c r="AG4241" i="2"/>
  <c r="AG4129" i="2"/>
  <c r="AG4017" i="2"/>
  <c r="AG3905" i="2"/>
  <c r="AG3793" i="2"/>
  <c r="AG3681" i="2"/>
  <c r="AG3569" i="2"/>
  <c r="AG3457" i="2"/>
  <c r="AG3345" i="2"/>
  <c r="AG3233" i="2"/>
  <c r="AG3121" i="2"/>
  <c r="AG3009" i="2"/>
  <c r="AG2897" i="2"/>
  <c r="AG2785" i="2"/>
  <c r="AG2673" i="2"/>
  <c r="AG2561" i="2"/>
  <c r="AG2449" i="2"/>
  <c r="AG2337" i="2"/>
  <c r="AG2225" i="2"/>
  <c r="AG2113" i="2"/>
  <c r="AG2001" i="2"/>
  <c r="AG1889" i="2"/>
  <c r="AG1777" i="2"/>
  <c r="AG1665" i="2"/>
  <c r="AG1553" i="2"/>
  <c r="AG1441" i="2"/>
  <c r="AG1329" i="2"/>
  <c r="AG1217" i="2"/>
  <c r="AG1105" i="2"/>
  <c r="AG993" i="2"/>
  <c r="AG881" i="2"/>
  <c r="AG769" i="2"/>
  <c r="AG657" i="2"/>
  <c r="AG545" i="2"/>
  <c r="AG433" i="2"/>
  <c r="AG321" i="2"/>
  <c r="AG209" i="2"/>
  <c r="AG97" i="2"/>
  <c r="AG4619" i="2"/>
  <c r="AG4507" i="2"/>
  <c r="AG4395" i="2"/>
  <c r="AG4283" i="2"/>
  <c r="AG4171" i="2"/>
  <c r="AG4059" i="2"/>
  <c r="AG3947" i="2"/>
  <c r="AG3835" i="2"/>
  <c r="AG3723" i="2"/>
  <c r="AG3611" i="2"/>
  <c r="AG3499" i="2"/>
  <c r="AG3387" i="2"/>
  <c r="AG3275" i="2"/>
  <c r="AG3163" i="2"/>
  <c r="AG3051" i="2"/>
  <c r="AG2939" i="2"/>
  <c r="AG2827" i="2"/>
  <c r="AG2715" i="2"/>
  <c r="AG2603" i="2"/>
  <c r="AG2491" i="2"/>
  <c r="AG2379" i="2"/>
  <c r="AG2267" i="2"/>
  <c r="AG2155" i="2"/>
  <c r="AG2043" i="2"/>
  <c r="AG1931" i="2"/>
  <c r="AG1819" i="2"/>
  <c r="AG1707" i="2"/>
  <c r="AG1595" i="2"/>
  <c r="AG1483" i="2"/>
  <c r="AG1371" i="2"/>
  <c r="AG1259" i="2"/>
  <c r="AG1147" i="2"/>
  <c r="AG1035" i="2"/>
  <c r="AG923" i="2"/>
  <c r="AG811" i="2"/>
  <c r="AG699" i="2"/>
  <c r="AG587" i="2"/>
  <c r="AG475" i="2"/>
  <c r="AG363" i="2"/>
  <c r="AG251" i="2"/>
  <c r="AG139" i="2"/>
  <c r="AG4633" i="2"/>
  <c r="AG4185" i="2"/>
  <c r="AG3737" i="2"/>
  <c r="AG3289" i="2"/>
  <c r="AG2841" i="2"/>
  <c r="AG2393" i="2"/>
  <c r="AG1945" i="2"/>
  <c r="AG1497" i="2"/>
  <c r="AG1049" i="2"/>
  <c r="AG601" i="2"/>
  <c r="AG153" i="2"/>
  <c r="AG4297" i="2"/>
  <c r="AG3849" i="2"/>
  <c r="AG3401" i="2"/>
  <c r="AG2953" i="2"/>
  <c r="AG2505" i="2"/>
  <c r="AG2057" i="2"/>
  <c r="AG1609" i="2"/>
  <c r="AG1161" i="2"/>
  <c r="AG713" i="2"/>
  <c r="AG265" i="2"/>
  <c r="AG4409" i="2"/>
  <c r="AG3961" i="2"/>
  <c r="AG3513" i="2"/>
  <c r="AG3065" i="2"/>
  <c r="AG2617" i="2"/>
  <c r="AG2169" i="2"/>
  <c r="AG1721" i="2"/>
  <c r="AG1273" i="2"/>
  <c r="AG825" i="2"/>
  <c r="AG377" i="2"/>
  <c r="AG4521" i="2"/>
  <c r="AG4073" i="2"/>
  <c r="AG3625" i="2"/>
  <c r="AG3177" i="2"/>
  <c r="AG2729" i="2"/>
  <c r="AG2281" i="2"/>
  <c r="AG1833" i="2"/>
  <c r="AG1385" i="2"/>
  <c r="AG937" i="2"/>
  <c r="AG489" i="2"/>
  <c r="AG42" i="2"/>
  <c r="AP4633" i="2"/>
  <c r="AP4577" i="2"/>
  <c r="AP4521" i="2"/>
  <c r="AP4465" i="2"/>
  <c r="AP4409" i="2"/>
  <c r="AP4353" i="2"/>
  <c r="AP4297" i="2"/>
  <c r="AP4241" i="2"/>
  <c r="AP4185" i="2"/>
  <c r="AP4129" i="2"/>
  <c r="AP4073" i="2"/>
  <c r="AP4017" i="2"/>
  <c r="AP3961" i="2"/>
  <c r="AP3905" i="2"/>
  <c r="AP3849" i="2"/>
  <c r="AP3793" i="2"/>
  <c r="AP3737" i="2"/>
  <c r="AP3681" i="2"/>
  <c r="AP3625" i="2"/>
  <c r="AP3569" i="2"/>
  <c r="AP3513" i="2"/>
  <c r="AP3457" i="2"/>
  <c r="AP3401" i="2"/>
  <c r="AP3345" i="2"/>
  <c r="AP3289" i="2"/>
  <c r="AP3233" i="2"/>
  <c r="AP3177" i="2"/>
  <c r="AP3121" i="2"/>
  <c r="AP3065" i="2"/>
  <c r="AP3009" i="2"/>
  <c r="AP2953" i="2"/>
  <c r="AP2897" i="2"/>
  <c r="AP2841" i="2"/>
  <c r="AP2785" i="2"/>
  <c r="AP2729" i="2"/>
  <c r="AP2673" i="2"/>
  <c r="AP2617" i="2"/>
  <c r="AP2561" i="2"/>
  <c r="AP2505" i="2"/>
  <c r="AP2449" i="2"/>
  <c r="AP2393" i="2"/>
  <c r="AP2337" i="2"/>
  <c r="AP2281" i="2"/>
  <c r="AP2225" i="2"/>
  <c r="AP2169" i="2"/>
  <c r="AP2113" i="2"/>
  <c r="AP2057" i="2"/>
  <c r="AP2001" i="2"/>
  <c r="AP1945" i="2"/>
  <c r="AP1889" i="2"/>
  <c r="AP1833" i="2"/>
  <c r="AP1777" i="2"/>
  <c r="AP1721" i="2"/>
  <c r="AP1665" i="2"/>
  <c r="AP1609" i="2"/>
  <c r="AP1553" i="2"/>
  <c r="AP1497" i="2"/>
  <c r="AP1441" i="2"/>
  <c r="AP1385" i="2"/>
  <c r="AP1329" i="2"/>
  <c r="AP1273" i="2"/>
  <c r="AP1217" i="2"/>
  <c r="AP1161" i="2"/>
  <c r="AP1105" i="2"/>
  <c r="AP1049" i="2"/>
  <c r="AP993" i="2"/>
  <c r="AP937" i="2"/>
  <c r="AP881" i="2"/>
  <c r="AP825" i="2"/>
  <c r="AP769" i="2"/>
  <c r="AP713" i="2"/>
  <c r="AP657" i="2"/>
  <c r="AP601" i="2"/>
  <c r="AP545" i="2"/>
  <c r="AP489" i="2"/>
  <c r="AP433" i="2"/>
  <c r="AP377" i="2"/>
  <c r="AP321" i="2"/>
  <c r="AP265" i="2"/>
  <c r="AP209" i="2"/>
  <c r="AP153" i="2"/>
  <c r="AP97" i="2"/>
  <c r="AP42" i="2"/>
  <c r="AP4647" i="2"/>
  <c r="AP4591" i="2"/>
  <c r="AP4535" i="2"/>
  <c r="AP4479" i="2"/>
  <c r="AP4423" i="2"/>
  <c r="AP4367" i="2"/>
  <c r="AP4311" i="2"/>
  <c r="AP4255" i="2"/>
  <c r="AP4199" i="2"/>
  <c r="AP4143" i="2"/>
  <c r="AP4087" i="2"/>
  <c r="AP4031" i="2"/>
  <c r="AP3975" i="2"/>
  <c r="AP3919" i="2"/>
  <c r="AP3863" i="2"/>
  <c r="AP3807" i="2"/>
  <c r="AP3751" i="2"/>
  <c r="AP3695" i="2"/>
  <c r="AP3639" i="2"/>
  <c r="AP3583" i="2"/>
  <c r="AP3527" i="2"/>
  <c r="AP3471" i="2"/>
  <c r="AP3415" i="2"/>
  <c r="AP3359" i="2"/>
  <c r="AP3303" i="2"/>
  <c r="AP3247" i="2"/>
  <c r="AP3191" i="2"/>
  <c r="AP3135" i="2"/>
  <c r="AP3079" i="2"/>
  <c r="AP3023" i="2"/>
  <c r="AP2967" i="2"/>
  <c r="AP2911" i="2"/>
  <c r="AP2855" i="2"/>
  <c r="AP2799" i="2"/>
  <c r="AP2743" i="2"/>
  <c r="AP2687" i="2"/>
  <c r="AP2631" i="2"/>
  <c r="AP2575" i="2"/>
  <c r="AP2519" i="2"/>
  <c r="AP2463" i="2"/>
  <c r="AP2407" i="2"/>
  <c r="AP2351" i="2"/>
  <c r="AP2295" i="2"/>
  <c r="AP2239" i="2"/>
  <c r="AP2183" i="2"/>
  <c r="AP2127" i="2"/>
  <c r="AP2071" i="2"/>
  <c r="AP2015" i="2"/>
  <c r="AP1959" i="2"/>
  <c r="AP1903" i="2"/>
  <c r="AP1847" i="2"/>
  <c r="AP1791" i="2"/>
  <c r="AP1735" i="2"/>
  <c r="AP1679" i="2"/>
  <c r="AP1623" i="2"/>
  <c r="AP1567" i="2"/>
  <c r="AP1511" i="2"/>
  <c r="AP1455" i="2"/>
  <c r="AP1399" i="2"/>
  <c r="AP1343" i="2"/>
  <c r="AP1287" i="2"/>
  <c r="AP1231" i="2"/>
  <c r="AP1175" i="2"/>
  <c r="AP1119" i="2"/>
  <c r="AP1063" i="2"/>
  <c r="AP1007" i="2"/>
  <c r="AP951" i="2"/>
  <c r="AP895" i="2"/>
  <c r="AP839" i="2"/>
  <c r="AP783" i="2"/>
  <c r="AP727" i="2"/>
  <c r="AP671" i="2"/>
  <c r="AP615" i="2"/>
  <c r="AP559" i="2"/>
  <c r="AP503" i="2"/>
  <c r="AP447" i="2"/>
  <c r="AP391" i="2"/>
  <c r="AP335" i="2"/>
  <c r="AP279" i="2"/>
  <c r="AP223" i="2"/>
  <c r="AP167" i="2"/>
  <c r="AP111" i="2"/>
  <c r="AP55" i="2"/>
  <c r="AP4619" i="2"/>
  <c r="AP4563" i="2"/>
  <c r="AP4507" i="2"/>
  <c r="AP4451" i="2"/>
  <c r="AP4395" i="2"/>
  <c r="AP4339" i="2"/>
  <c r="AP4283" i="2"/>
  <c r="AP4227" i="2"/>
  <c r="AP4171" i="2"/>
  <c r="AP4115" i="2"/>
  <c r="AP4059" i="2"/>
  <c r="AP4003" i="2"/>
  <c r="AP3947" i="2"/>
  <c r="AP3891" i="2"/>
  <c r="AP3835" i="2"/>
  <c r="AP3779" i="2"/>
  <c r="AP3723" i="2"/>
  <c r="AP3667" i="2"/>
  <c r="AP3611" i="2"/>
  <c r="AP3555" i="2"/>
  <c r="AP3499" i="2"/>
  <c r="AP3443" i="2"/>
  <c r="AP3387" i="2"/>
  <c r="AP3331" i="2"/>
  <c r="AP3275" i="2"/>
  <c r="AP3219" i="2"/>
  <c r="AP3163" i="2"/>
  <c r="AP3107" i="2"/>
  <c r="AP3051" i="2"/>
  <c r="AP2995" i="2"/>
  <c r="AP2939" i="2"/>
  <c r="AP2883" i="2"/>
  <c r="AP2827" i="2"/>
  <c r="AP2771" i="2"/>
  <c r="AP2715" i="2"/>
  <c r="AP2659" i="2"/>
  <c r="AP2603" i="2"/>
  <c r="AP2547" i="2"/>
  <c r="AP2491" i="2"/>
  <c r="AP2435" i="2"/>
  <c r="AP2379" i="2"/>
  <c r="AP2323" i="2"/>
  <c r="AP2267" i="2"/>
  <c r="AP2211" i="2"/>
  <c r="AP2155" i="2"/>
  <c r="AP2099" i="2"/>
  <c r="AP2043" i="2"/>
  <c r="AP1987" i="2"/>
  <c r="AP1931" i="2"/>
  <c r="AP1875" i="2"/>
  <c r="AP1819" i="2"/>
  <c r="AP1763" i="2"/>
  <c r="AP1707" i="2"/>
  <c r="AP1651" i="2"/>
  <c r="AP1595" i="2"/>
  <c r="AP1539" i="2"/>
  <c r="AP1483" i="2"/>
  <c r="AP1427" i="2"/>
  <c r="AP1371" i="2"/>
  <c r="AP1315" i="2"/>
  <c r="AP1259" i="2"/>
  <c r="AP1203" i="2"/>
  <c r="AP1147" i="2"/>
  <c r="AP1091" i="2"/>
  <c r="AP1035" i="2"/>
  <c r="AP979" i="2"/>
  <c r="AP923" i="2"/>
  <c r="AP867" i="2"/>
  <c r="AP811" i="2"/>
  <c r="AP755" i="2"/>
  <c r="AP699" i="2"/>
  <c r="AP643" i="2"/>
  <c r="AP587" i="2"/>
  <c r="AP531" i="2"/>
  <c r="AP475" i="2"/>
  <c r="AP419" i="2"/>
  <c r="AP363" i="2"/>
  <c r="AP307" i="2"/>
  <c r="AP251" i="2"/>
  <c r="AP195" i="2"/>
  <c r="AP139" i="2"/>
  <c r="AP83" i="2"/>
  <c r="AP4493" i="2"/>
  <c r="AP4269" i="2"/>
  <c r="AP4045" i="2"/>
  <c r="AP3821" i="2"/>
  <c r="AP3597" i="2"/>
  <c r="AP3373" i="2"/>
  <c r="AP3149" i="2"/>
  <c r="AP2925" i="2"/>
  <c r="AP2701" i="2"/>
  <c r="AP2477" i="2"/>
  <c r="AP2253" i="2"/>
  <c r="AP2029" i="2"/>
  <c r="AP1805" i="2"/>
  <c r="AP1581" i="2"/>
  <c r="AP1357" i="2"/>
  <c r="AP1133" i="2"/>
  <c r="AP909" i="2"/>
  <c r="AP685" i="2"/>
  <c r="AP461" i="2"/>
  <c r="AP237" i="2"/>
  <c r="AP4549" i="2"/>
  <c r="AP4325" i="2"/>
  <c r="AP4101" i="2"/>
  <c r="AP3877" i="2"/>
  <c r="AP3653" i="2"/>
  <c r="AP3429" i="2"/>
  <c r="AP3205" i="2"/>
  <c r="AP2981" i="2"/>
  <c r="AP2757" i="2"/>
  <c r="AP2533" i="2"/>
  <c r="AP2309" i="2"/>
  <c r="AP2085" i="2"/>
  <c r="AP1861" i="2"/>
  <c r="AP1637" i="2"/>
  <c r="AP1413" i="2"/>
  <c r="AP1189" i="2"/>
  <c r="AP965" i="2"/>
  <c r="AP741" i="2"/>
  <c r="AP517" i="2"/>
  <c r="AP293" i="2"/>
  <c r="AP69" i="2"/>
  <c r="AP4605" i="2"/>
  <c r="AP4157" i="2"/>
  <c r="AP3709" i="2"/>
  <c r="AP3261" i="2"/>
  <c r="AP2813" i="2"/>
  <c r="AP2365" i="2"/>
  <c r="AP1917" i="2"/>
  <c r="AP1469" i="2"/>
  <c r="AP1021" i="2"/>
  <c r="AP573" i="2"/>
  <c r="AP125" i="2"/>
  <c r="AP4661" i="2"/>
  <c r="AP4213" i="2"/>
  <c r="AP3765" i="2"/>
  <c r="AP3317" i="2"/>
  <c r="AP2869" i="2"/>
  <c r="AP2421" i="2"/>
  <c r="AP1973" i="2"/>
  <c r="AP1525" i="2"/>
  <c r="AP1077" i="2"/>
  <c r="AP629" i="2"/>
  <c r="AP181" i="2"/>
  <c r="AP4381" i="2"/>
  <c r="AP3933" i="2"/>
  <c r="AP3485" i="2"/>
  <c r="AP3037" i="2"/>
  <c r="AP2589" i="2"/>
  <c r="AP2141" i="2"/>
  <c r="AP1693" i="2"/>
  <c r="AP1245" i="2"/>
  <c r="AP797" i="2"/>
  <c r="AP349" i="2"/>
  <c r="AP3093" i="2"/>
  <c r="AP1301" i="2"/>
  <c r="AP3541" i="2"/>
  <c r="AP1749" i="2"/>
  <c r="AP3989" i="2"/>
  <c r="AP2197" i="2"/>
  <c r="AP405" i="2"/>
  <c r="AP4437" i="2"/>
  <c r="AP2645" i="2"/>
  <c r="AP853" i="2"/>
  <c r="AA4619" i="2"/>
  <c r="AA4563" i="2"/>
  <c r="AA4507" i="2"/>
  <c r="AA4451" i="2"/>
  <c r="AA4395" i="2"/>
  <c r="AA4339" i="2"/>
  <c r="AA4283" i="2"/>
  <c r="AA4227" i="2"/>
  <c r="AA4171" i="2"/>
  <c r="AA4115" i="2"/>
  <c r="AA4059" i="2"/>
  <c r="AA4003" i="2"/>
  <c r="AA3947" i="2"/>
  <c r="AA3891" i="2"/>
  <c r="AA3835" i="2"/>
  <c r="AA3779" i="2"/>
  <c r="AA3723" i="2"/>
  <c r="AA3667" i="2"/>
  <c r="AA3611" i="2"/>
  <c r="AA3555" i="2"/>
  <c r="AA3499" i="2"/>
  <c r="AA3443" i="2"/>
  <c r="AA3387" i="2"/>
  <c r="AA3331" i="2"/>
  <c r="AA3275" i="2"/>
  <c r="AA3219" i="2"/>
  <c r="AA3163" i="2"/>
  <c r="AA3107" i="2"/>
  <c r="AA3051" i="2"/>
  <c r="AA2995" i="2"/>
  <c r="AA2939" i="2"/>
  <c r="AA2883" i="2"/>
  <c r="AA2827" i="2"/>
  <c r="AA2771" i="2"/>
  <c r="AA2715" i="2"/>
  <c r="AA2659" i="2"/>
  <c r="AA2603" i="2"/>
  <c r="AA2547" i="2"/>
  <c r="AA2491" i="2"/>
  <c r="AA2435" i="2"/>
  <c r="AA2379" i="2"/>
  <c r="AA2323" i="2"/>
  <c r="AA2267" i="2"/>
  <c r="AA2211" i="2"/>
  <c r="AA2155" i="2"/>
  <c r="AA2099" i="2"/>
  <c r="AA2043" i="2"/>
  <c r="AA1987" i="2"/>
  <c r="AA1931" i="2"/>
  <c r="AA1875" i="2"/>
  <c r="AA1819" i="2"/>
  <c r="AA1763" i="2"/>
  <c r="AA1707" i="2"/>
  <c r="AA1651" i="2"/>
  <c r="AA1595" i="2"/>
  <c r="AA1539" i="2"/>
  <c r="AA1483" i="2"/>
  <c r="AA1427" i="2"/>
  <c r="AA1371" i="2"/>
  <c r="AA1315" i="2"/>
  <c r="AA1259" i="2"/>
  <c r="AA1203" i="2"/>
  <c r="AA1147" i="2"/>
  <c r="AA1091" i="2"/>
  <c r="AA1035" i="2"/>
  <c r="AA979" i="2"/>
  <c r="AA923" i="2"/>
  <c r="AA867" i="2"/>
  <c r="AA811" i="2"/>
  <c r="AA755" i="2"/>
  <c r="AA699" i="2"/>
  <c r="AA643" i="2"/>
  <c r="AA587" i="2"/>
  <c r="AA531" i="2"/>
  <c r="AA475" i="2"/>
  <c r="AA419" i="2"/>
  <c r="AA363" i="2"/>
  <c r="AA307" i="2"/>
  <c r="AA251" i="2"/>
  <c r="AA195" i="2"/>
  <c r="AA139" i="2"/>
  <c r="AA83" i="2"/>
  <c r="AA4633" i="2"/>
  <c r="AA4577" i="2"/>
  <c r="AA4521" i="2"/>
  <c r="AA4465" i="2"/>
  <c r="AA4409" i="2"/>
  <c r="AA4353" i="2"/>
  <c r="AA4297" i="2"/>
  <c r="AA4241" i="2"/>
  <c r="AA4185" i="2"/>
  <c r="AA4129" i="2"/>
  <c r="AA4073" i="2"/>
  <c r="AA4017" i="2"/>
  <c r="AA3961" i="2"/>
  <c r="AA3905" i="2"/>
  <c r="AA3849" i="2"/>
  <c r="AA3793" i="2"/>
  <c r="AA3737" i="2"/>
  <c r="AA3681" i="2"/>
  <c r="AA3625" i="2"/>
  <c r="AA3569" i="2"/>
  <c r="AA3513" i="2"/>
  <c r="AA3457" i="2"/>
  <c r="AA3401" i="2"/>
  <c r="AA3345" i="2"/>
  <c r="AA3289" i="2"/>
  <c r="AA3233" i="2"/>
  <c r="AA3177" i="2"/>
  <c r="AA3121" i="2"/>
  <c r="AA3065" i="2"/>
  <c r="AA3009" i="2"/>
  <c r="AA2953" i="2"/>
  <c r="AA2897" i="2"/>
  <c r="AA2841" i="2"/>
  <c r="AA2785" i="2"/>
  <c r="AA2729" i="2"/>
  <c r="AA2673" i="2"/>
  <c r="AA2617" i="2"/>
  <c r="AA2561" i="2"/>
  <c r="AA2505" i="2"/>
  <c r="AA2449" i="2"/>
  <c r="AA2393" i="2"/>
  <c r="AA2337" i="2"/>
  <c r="AA2281" i="2"/>
  <c r="AA2225" i="2"/>
  <c r="AA2169" i="2"/>
  <c r="AA2113" i="2"/>
  <c r="AA2057" i="2"/>
  <c r="AA2001" i="2"/>
  <c r="AA1945" i="2"/>
  <c r="AA1889" i="2"/>
  <c r="AA1833" i="2"/>
  <c r="AA1777" i="2"/>
  <c r="AA1721" i="2"/>
  <c r="AA1665" i="2"/>
  <c r="AA1609" i="2"/>
  <c r="AA1553" i="2"/>
  <c r="AA1497" i="2"/>
  <c r="AA1441" i="2"/>
  <c r="AA1385" i="2"/>
  <c r="AA1329" i="2"/>
  <c r="AA1273" i="2"/>
  <c r="AA1217" i="2"/>
  <c r="AA1161" i="2"/>
  <c r="AA1105" i="2"/>
  <c r="AA1049" i="2"/>
  <c r="AA993" i="2"/>
  <c r="AA937" i="2"/>
  <c r="AA881" i="2"/>
  <c r="AA825" i="2"/>
  <c r="AA769" i="2"/>
  <c r="AA713" i="2"/>
  <c r="AA657" i="2"/>
  <c r="AA601" i="2"/>
  <c r="AA545" i="2"/>
  <c r="AA489" i="2"/>
  <c r="AA433" i="2"/>
  <c r="AA377" i="2"/>
  <c r="AA321" i="2"/>
  <c r="AA265" i="2"/>
  <c r="AA209" i="2"/>
  <c r="AA153" i="2"/>
  <c r="AA97" i="2"/>
  <c r="AA42" i="2"/>
  <c r="AA4591" i="2"/>
  <c r="AA4479" i="2"/>
  <c r="AA4367" i="2"/>
  <c r="AA4255" i="2"/>
  <c r="AA4143" i="2"/>
  <c r="AA4031" i="2"/>
  <c r="AA3919" i="2"/>
  <c r="AA3807" i="2"/>
  <c r="AA3695" i="2"/>
  <c r="AA3583" i="2"/>
  <c r="AA3471" i="2"/>
  <c r="AA3359" i="2"/>
  <c r="AA3247" i="2"/>
  <c r="AA3135" i="2"/>
  <c r="AA3023" i="2"/>
  <c r="AA2911" i="2"/>
  <c r="AA2799" i="2"/>
  <c r="AA2687" i="2"/>
  <c r="AA2575" i="2"/>
  <c r="AA2463" i="2"/>
  <c r="AA2351" i="2"/>
  <c r="AA2239" i="2"/>
  <c r="AA2127" i="2"/>
  <c r="AA2015" i="2"/>
  <c r="AA1903" i="2"/>
  <c r="AA1791" i="2"/>
  <c r="AA1679" i="2"/>
  <c r="AA1567" i="2"/>
  <c r="AA1455" i="2"/>
  <c r="AA1343" i="2"/>
  <c r="AA1231" i="2"/>
  <c r="AA1119" i="2"/>
  <c r="AA1007" i="2"/>
  <c r="AA895" i="2"/>
  <c r="AA783" i="2"/>
  <c r="AA671" i="2"/>
  <c r="AA559" i="2"/>
  <c r="AA447" i="2"/>
  <c r="AA335" i="2"/>
  <c r="AA223" i="2"/>
  <c r="AA111" i="2"/>
  <c r="AA4605" i="2"/>
  <c r="AA4437" i="2"/>
  <c r="AA4311" i="2"/>
  <c r="AA4157" i="2"/>
  <c r="AA3989" i="2"/>
  <c r="AA3863" i="2"/>
  <c r="AA3709" i="2"/>
  <c r="AA3541" i="2"/>
  <c r="AA3415" i="2"/>
  <c r="AA3261" i="2"/>
  <c r="AA3093" i="2"/>
  <c r="AA2967" i="2"/>
  <c r="AA2813" i="2"/>
  <c r="AA2645" i="2"/>
  <c r="AA2519" i="2"/>
  <c r="AA2365" i="2"/>
  <c r="AA2197" i="2"/>
  <c r="AA2071" i="2"/>
  <c r="AA1917" i="2"/>
  <c r="AA1749" i="2"/>
  <c r="AA1623" i="2"/>
  <c r="AA1469" i="2"/>
  <c r="AA1301" i="2"/>
  <c r="AA1175" i="2"/>
  <c r="AA1021" i="2"/>
  <c r="AA853" i="2"/>
  <c r="AA727" i="2"/>
  <c r="AA573" i="2"/>
  <c r="AA405" i="2"/>
  <c r="AA279" i="2"/>
  <c r="AA125" i="2"/>
  <c r="AA4647" i="2"/>
  <c r="AA4493" i="2"/>
  <c r="AA4325" i="2"/>
  <c r="AA4199" i="2"/>
  <c r="AA4045" i="2"/>
  <c r="AA3877" i="2"/>
  <c r="AA3751" i="2"/>
  <c r="AA3597" i="2"/>
  <c r="AA3429" i="2"/>
  <c r="AA3303" i="2"/>
  <c r="AA3149" i="2"/>
  <c r="AA2981" i="2"/>
  <c r="AA2855" i="2"/>
  <c r="AA2701" i="2"/>
  <c r="AA2533" i="2"/>
  <c r="AA2407" i="2"/>
  <c r="AA2253" i="2"/>
  <c r="AA2085" i="2"/>
  <c r="AA1959" i="2"/>
  <c r="AA1805" i="2"/>
  <c r="AA1637" i="2"/>
  <c r="AA1511" i="2"/>
  <c r="AA1357" i="2"/>
  <c r="AA1189" i="2"/>
  <c r="AA1063" i="2"/>
  <c r="AA909" i="2"/>
  <c r="AA741" i="2"/>
  <c r="AA615" i="2"/>
  <c r="AA461" i="2"/>
  <c r="AA293" i="2"/>
  <c r="AA167" i="2"/>
  <c r="AA4661" i="2"/>
  <c r="AA4535" i="2"/>
  <c r="AA4381" i="2"/>
  <c r="AA4213" i="2"/>
  <c r="AA4087" i="2"/>
  <c r="AA3933" i="2"/>
  <c r="AA3765" i="2"/>
  <c r="AA3639" i="2"/>
  <c r="AA3485" i="2"/>
  <c r="AA3317" i="2"/>
  <c r="AA3191" i="2"/>
  <c r="AA3037" i="2"/>
  <c r="AA2869" i="2"/>
  <c r="AA2743" i="2"/>
  <c r="AA2589" i="2"/>
  <c r="AA2421" i="2"/>
  <c r="AA2295" i="2"/>
  <c r="AA2141" i="2"/>
  <c r="AA1973" i="2"/>
  <c r="AA1847" i="2"/>
  <c r="AA1693" i="2"/>
  <c r="AA1525" i="2"/>
  <c r="AA1399" i="2"/>
  <c r="AA1245" i="2"/>
  <c r="AA1077" i="2"/>
  <c r="AA951" i="2"/>
  <c r="AA797" i="2"/>
  <c r="AA629" i="2"/>
  <c r="AA503" i="2"/>
  <c r="AA349" i="2"/>
  <c r="AA181" i="2"/>
  <c r="AA55" i="2"/>
  <c r="AA4549" i="2"/>
  <c r="AA4423" i="2"/>
  <c r="AA4269" i="2"/>
  <c r="AA4101" i="2"/>
  <c r="AA3975" i="2"/>
  <c r="AA3821" i="2"/>
  <c r="AA3653" i="2"/>
  <c r="AA3527" i="2"/>
  <c r="AA3373" i="2"/>
  <c r="AA3205" i="2"/>
  <c r="AA3079" i="2"/>
  <c r="AA2925" i="2"/>
  <c r="AA2757" i="2"/>
  <c r="AA2631" i="2"/>
  <c r="AA2477" i="2"/>
  <c r="AA2309" i="2"/>
  <c r="AA2183" i="2"/>
  <c r="AA2029" i="2"/>
  <c r="AA1861" i="2"/>
  <c r="AA1735" i="2"/>
  <c r="AA1581" i="2"/>
  <c r="AA1413" i="2"/>
  <c r="AA1287" i="2"/>
  <c r="AA1133" i="2"/>
  <c r="AA965" i="2"/>
  <c r="AA839" i="2"/>
  <c r="AA685" i="2"/>
  <c r="AA517" i="2"/>
  <c r="AA391" i="2"/>
  <c r="AA237" i="2"/>
  <c r="AA69" i="2"/>
  <c r="R29" i="2"/>
  <c r="R108" i="2" s="1"/>
  <c r="R109" i="2" s="1"/>
  <c r="R120" i="2"/>
  <c r="R121" i="2" s="1"/>
  <c r="R132" i="2"/>
  <c r="R144" i="2"/>
  <c r="T141" i="2"/>
  <c r="R133" i="2"/>
  <c r="U69" i="2"/>
  <c r="U55" i="2"/>
  <c r="U42" i="2"/>
  <c r="U83" i="2"/>
  <c r="W28" i="1"/>
  <c r="V27" i="1"/>
  <c r="U28" i="1"/>
  <c r="R122" i="2" l="1"/>
  <c r="R123" i="2" s="1"/>
  <c r="R5067" i="2"/>
  <c r="R5011" i="2"/>
  <c r="R4955" i="2"/>
  <c r="R4899" i="2"/>
  <c r="R4843" i="2"/>
  <c r="R4787" i="2"/>
  <c r="R4731" i="2"/>
  <c r="R4675" i="2"/>
  <c r="R4619" i="2"/>
  <c r="R4563" i="2"/>
  <c r="R4507" i="2"/>
  <c r="R4451" i="2"/>
  <c r="R4395" i="2"/>
  <c r="R4339" i="2"/>
  <c r="R4283" i="2"/>
  <c r="R4227" i="2"/>
  <c r="R4171" i="2"/>
  <c r="R4115" i="2"/>
  <c r="R4059" i="2"/>
  <c r="R4003" i="2"/>
  <c r="R3947" i="2"/>
  <c r="R3891" i="2"/>
  <c r="R3835" i="2"/>
  <c r="R3779" i="2"/>
  <c r="R3723" i="2"/>
  <c r="R3667" i="2"/>
  <c r="R3611" i="2"/>
  <c r="R3555" i="2"/>
  <c r="R3499" i="2"/>
  <c r="R3443" i="2"/>
  <c r="R3387" i="2"/>
  <c r="R3331" i="2"/>
  <c r="R3275" i="2"/>
  <c r="R3219" i="2"/>
  <c r="R3163" i="2"/>
  <c r="R3107" i="2"/>
  <c r="R3051" i="2"/>
  <c r="R2995" i="2"/>
  <c r="R2939" i="2"/>
  <c r="R2883" i="2"/>
  <c r="R2827" i="2"/>
  <c r="R2771" i="2"/>
  <c r="R2715" i="2"/>
  <c r="R2659" i="2"/>
  <c r="R2603" i="2"/>
  <c r="R2547" i="2"/>
  <c r="R2491" i="2"/>
  <c r="R2435" i="2"/>
  <c r="R2379" i="2"/>
  <c r="R2323" i="2"/>
  <c r="R2267" i="2"/>
  <c r="R2211" i="2"/>
  <c r="R2155" i="2"/>
  <c r="R2099" i="2"/>
  <c r="R2043" i="2"/>
  <c r="R1987" i="2"/>
  <c r="R1931" i="2"/>
  <c r="R1875" i="2"/>
  <c r="R1819" i="2"/>
  <c r="R1763" i="2"/>
  <c r="R1707" i="2"/>
  <c r="R1651" i="2"/>
  <c r="R1595" i="2"/>
  <c r="R1539" i="2"/>
  <c r="R1483" i="2"/>
  <c r="R1427" i="2"/>
  <c r="R1371" i="2"/>
  <c r="R1315" i="2"/>
  <c r="R1259" i="2"/>
  <c r="R1203" i="2"/>
  <c r="R1147" i="2"/>
  <c r="R1091" i="2"/>
  <c r="R1035" i="2"/>
  <c r="R979" i="2"/>
  <c r="R923" i="2"/>
  <c r="R867" i="2"/>
  <c r="R811" i="2"/>
  <c r="R755" i="2"/>
  <c r="R699" i="2"/>
  <c r="R643" i="2"/>
  <c r="R587" i="2"/>
  <c r="R531" i="2"/>
  <c r="R475" i="2"/>
  <c r="R419" i="2"/>
  <c r="R363" i="2"/>
  <c r="R307" i="2"/>
  <c r="R251" i="2"/>
  <c r="R195" i="2"/>
  <c r="R139" i="2"/>
  <c r="R138" i="2" s="1"/>
  <c r="R83" i="2"/>
  <c r="R5081" i="2"/>
  <c r="R4969" i="2"/>
  <c r="R4857" i="2"/>
  <c r="R4745" i="2"/>
  <c r="R4633" i="2"/>
  <c r="R4521" i="2"/>
  <c r="R4465" i="2"/>
  <c r="R4353" i="2"/>
  <c r="R4241" i="2"/>
  <c r="R4129" i="2"/>
  <c r="R4073" i="2"/>
  <c r="R3961" i="2"/>
  <c r="R3849" i="2"/>
  <c r="R3737" i="2"/>
  <c r="R3625" i="2"/>
  <c r="R3513" i="2"/>
  <c r="R3401" i="2"/>
  <c r="R3289" i="2"/>
  <c r="R3177" i="2"/>
  <c r="R3065" i="2"/>
  <c r="R3009" i="2"/>
  <c r="R2897" i="2"/>
  <c r="R2785" i="2"/>
  <c r="R2673" i="2"/>
  <c r="R2561" i="2"/>
  <c r="R2449" i="2"/>
  <c r="R2337" i="2"/>
  <c r="R2225" i="2"/>
  <c r="R2113" i="2"/>
  <c r="R2001" i="2"/>
  <c r="R1889" i="2"/>
  <c r="R1777" i="2"/>
  <c r="R1665" i="2"/>
  <c r="R1609" i="2"/>
  <c r="R1497" i="2"/>
  <c r="R1385" i="2"/>
  <c r="R1273" i="2"/>
  <c r="R1217" i="2"/>
  <c r="R1105" i="2"/>
  <c r="R993" i="2"/>
  <c r="R881" i="2"/>
  <c r="R769" i="2"/>
  <c r="R657" i="2"/>
  <c r="R545" i="2"/>
  <c r="R433" i="2"/>
  <c r="R321" i="2"/>
  <c r="R209" i="2"/>
  <c r="R97" i="2"/>
  <c r="R96" i="2" s="1"/>
  <c r="R5039" i="2"/>
  <c r="R4983" i="2"/>
  <c r="R4927" i="2"/>
  <c r="R4871" i="2"/>
  <c r="R4759" i="2"/>
  <c r="R4703" i="2"/>
  <c r="R4647" i="2"/>
  <c r="R4535" i="2"/>
  <c r="R4423" i="2"/>
  <c r="R4311" i="2"/>
  <c r="R4199" i="2"/>
  <c r="R4087" i="2"/>
  <c r="R3975" i="2"/>
  <c r="R3863" i="2"/>
  <c r="R3751" i="2"/>
  <c r="R3639" i="2"/>
  <c r="R3527" i="2"/>
  <c r="R3415" i="2"/>
  <c r="R3303" i="2"/>
  <c r="R3191" i="2"/>
  <c r="R3079" i="2"/>
  <c r="R3023" i="2"/>
  <c r="R2911" i="2"/>
  <c r="R2799" i="2"/>
  <c r="R2687" i="2"/>
  <c r="R2575" i="2"/>
  <c r="R2463" i="2"/>
  <c r="R2351" i="2"/>
  <c r="R2239" i="2"/>
  <c r="R2127" i="2"/>
  <c r="R2015" i="2"/>
  <c r="R1903" i="2"/>
  <c r="R1791" i="2"/>
  <c r="R1679" i="2"/>
  <c r="R1567" i="2"/>
  <c r="R1455" i="2"/>
  <c r="R1343" i="2"/>
  <c r="R1231" i="2"/>
  <c r="R1119" i="2"/>
  <c r="R1007" i="2"/>
  <c r="R839" i="2"/>
  <c r="R727" i="2"/>
  <c r="R615" i="2"/>
  <c r="R503" i="2"/>
  <c r="R391" i="2"/>
  <c r="R279" i="2"/>
  <c r="R167" i="2"/>
  <c r="R5053" i="2"/>
  <c r="R4997" i="2"/>
  <c r="R4941" i="2"/>
  <c r="R4885" i="2"/>
  <c r="R4829" i="2"/>
  <c r="R4773" i="2"/>
  <c r="R4717" i="2"/>
  <c r="R4661" i="2"/>
  <c r="R4605" i="2"/>
  <c r="R4549" i="2"/>
  <c r="R4493" i="2"/>
  <c r="R4437" i="2"/>
  <c r="R4381" i="2"/>
  <c r="R4325" i="2"/>
  <c r="R4269" i="2"/>
  <c r="R4213" i="2"/>
  <c r="R4157" i="2"/>
  <c r="R4101" i="2"/>
  <c r="R4045" i="2"/>
  <c r="R3989" i="2"/>
  <c r="R3933" i="2"/>
  <c r="R3877" i="2"/>
  <c r="R3821" i="2"/>
  <c r="R3765" i="2"/>
  <c r="R3709" i="2"/>
  <c r="R3653" i="2"/>
  <c r="R3597" i="2"/>
  <c r="R3541" i="2"/>
  <c r="R3485" i="2"/>
  <c r="R3429" i="2"/>
  <c r="R3373" i="2"/>
  <c r="R3317" i="2"/>
  <c r="R3261" i="2"/>
  <c r="R3205" i="2"/>
  <c r="R3149" i="2"/>
  <c r="R3093" i="2"/>
  <c r="R3037" i="2"/>
  <c r="R2981" i="2"/>
  <c r="R2925" i="2"/>
  <c r="R2869" i="2"/>
  <c r="R2813" i="2"/>
  <c r="R2757" i="2"/>
  <c r="R2701" i="2"/>
  <c r="R2645" i="2"/>
  <c r="R2589" i="2"/>
  <c r="R2533" i="2"/>
  <c r="R2477" i="2"/>
  <c r="R2421" i="2"/>
  <c r="R2365" i="2"/>
  <c r="R2309" i="2"/>
  <c r="R2253" i="2"/>
  <c r="R2197" i="2"/>
  <c r="R2141" i="2"/>
  <c r="R2085" i="2"/>
  <c r="R2029" i="2"/>
  <c r="R1973" i="2"/>
  <c r="R1917" i="2"/>
  <c r="R1861" i="2"/>
  <c r="R1805" i="2"/>
  <c r="R1749" i="2"/>
  <c r="R1693" i="2"/>
  <c r="R1637" i="2"/>
  <c r="R1581" i="2"/>
  <c r="R1525" i="2"/>
  <c r="R1469" i="2"/>
  <c r="R1413" i="2"/>
  <c r="R1357" i="2"/>
  <c r="R1301" i="2"/>
  <c r="R1245" i="2"/>
  <c r="R1189" i="2"/>
  <c r="R1133" i="2"/>
  <c r="R1077" i="2"/>
  <c r="R1021" i="2"/>
  <c r="R965" i="2"/>
  <c r="R909" i="2"/>
  <c r="R853" i="2"/>
  <c r="R797" i="2"/>
  <c r="R741" i="2"/>
  <c r="R685" i="2"/>
  <c r="R629" i="2"/>
  <c r="R573" i="2"/>
  <c r="R517" i="2"/>
  <c r="R461" i="2"/>
  <c r="R405" i="2"/>
  <c r="R349" i="2"/>
  <c r="R293" i="2"/>
  <c r="R237" i="2"/>
  <c r="R181" i="2"/>
  <c r="R125" i="2"/>
  <c r="R124" i="2" s="1"/>
  <c r="R5025" i="2"/>
  <c r="R4913" i="2"/>
  <c r="R4801" i="2"/>
  <c r="R4689" i="2"/>
  <c r="R4577" i="2"/>
  <c r="R4409" i="2"/>
  <c r="R4297" i="2"/>
  <c r="R4185" i="2"/>
  <c r="R4017" i="2"/>
  <c r="R3905" i="2"/>
  <c r="R3793" i="2"/>
  <c r="R3681" i="2"/>
  <c r="R3569" i="2"/>
  <c r="R3457" i="2"/>
  <c r="R3345" i="2"/>
  <c r="R3233" i="2"/>
  <c r="R3121" i="2"/>
  <c r="R2953" i="2"/>
  <c r="R2841" i="2"/>
  <c r="R2729" i="2"/>
  <c r="R2617" i="2"/>
  <c r="R2505" i="2"/>
  <c r="R2393" i="2"/>
  <c r="R2281" i="2"/>
  <c r="R2169" i="2"/>
  <c r="R2057" i="2"/>
  <c r="R1945" i="2"/>
  <c r="R1833" i="2"/>
  <c r="R1721" i="2"/>
  <c r="R1553" i="2"/>
  <c r="R1441" i="2"/>
  <c r="R1329" i="2"/>
  <c r="R1161" i="2"/>
  <c r="R1049" i="2"/>
  <c r="R937" i="2"/>
  <c r="R825" i="2"/>
  <c r="R713" i="2"/>
  <c r="R601" i="2"/>
  <c r="R489" i="2"/>
  <c r="R377" i="2"/>
  <c r="R265" i="2"/>
  <c r="R153" i="2"/>
  <c r="R5095" i="2"/>
  <c r="R4815" i="2"/>
  <c r="R4591" i="2"/>
  <c r="R4479" i="2"/>
  <c r="R4367" i="2"/>
  <c r="R4255" i="2"/>
  <c r="R4143" i="2"/>
  <c r="R4031" i="2"/>
  <c r="R3919" i="2"/>
  <c r="R3807" i="2"/>
  <c r="R3695" i="2"/>
  <c r="R3583" i="2"/>
  <c r="R3471" i="2"/>
  <c r="R3359" i="2"/>
  <c r="R3247" i="2"/>
  <c r="R3135" i="2"/>
  <c r="R2967" i="2"/>
  <c r="R2855" i="2"/>
  <c r="R2743" i="2"/>
  <c r="R2631" i="2"/>
  <c r="R2519" i="2"/>
  <c r="R2407" i="2"/>
  <c r="R2295" i="2"/>
  <c r="R2183" i="2"/>
  <c r="R2071" i="2"/>
  <c r="R1959" i="2"/>
  <c r="R1847" i="2"/>
  <c r="R1735" i="2"/>
  <c r="R1623" i="2"/>
  <c r="R1511" i="2"/>
  <c r="R1399" i="2"/>
  <c r="R1287" i="2"/>
  <c r="R1175" i="2"/>
  <c r="R1063" i="2"/>
  <c r="R951" i="2"/>
  <c r="R895" i="2"/>
  <c r="R783" i="2"/>
  <c r="R671" i="2"/>
  <c r="R559" i="2"/>
  <c r="R447" i="2"/>
  <c r="R335" i="2"/>
  <c r="R223" i="2"/>
  <c r="R111" i="2"/>
  <c r="R110" i="2" s="1"/>
  <c r="R80" i="2"/>
  <c r="R81" i="2" s="1"/>
  <c r="R94" i="2"/>
  <c r="R95" i="2" s="1"/>
  <c r="R134" i="2"/>
  <c r="R135" i="2" s="1"/>
  <c r="R136" i="2" s="1"/>
  <c r="R137" i="2" s="1"/>
  <c r="R146" i="2"/>
  <c r="R158" i="2"/>
  <c r="T155" i="2"/>
  <c r="R147" i="2"/>
  <c r="R39" i="2"/>
  <c r="R40" i="2" s="1"/>
  <c r="R69" i="2"/>
  <c r="R68" i="2" s="1"/>
  <c r="R66" i="2"/>
  <c r="R67" i="2" s="1"/>
  <c r="R42" i="2"/>
  <c r="R41" i="2" s="1"/>
  <c r="R52" i="2"/>
  <c r="R53" i="2" s="1"/>
  <c r="R55" i="2"/>
  <c r="R54" i="2" s="1"/>
  <c r="U29" i="1"/>
  <c r="U30" i="1" s="1"/>
  <c r="U32" i="1"/>
  <c r="V28" i="1"/>
  <c r="W29" i="1"/>
  <c r="W30" i="1" s="1"/>
  <c r="W32" i="1"/>
  <c r="W31" i="1" s="1"/>
  <c r="R98" i="2" l="1"/>
  <c r="S99" i="2" s="1"/>
  <c r="R152" i="2"/>
  <c r="R112" i="2"/>
  <c r="S113" i="2" s="1"/>
  <c r="R140" i="2"/>
  <c r="S141" i="2" s="1"/>
  <c r="R82" i="2"/>
  <c r="R84" i="2" s="1"/>
  <c r="S85" i="2" s="1"/>
  <c r="R126" i="2"/>
  <c r="S127" i="2" s="1"/>
  <c r="R148" i="2"/>
  <c r="R149" i="2" s="1"/>
  <c r="R150" i="2" s="1"/>
  <c r="R151" i="2" s="1"/>
  <c r="R160" i="2"/>
  <c r="R166" i="2" s="1"/>
  <c r="R172" i="2"/>
  <c r="R161" i="2"/>
  <c r="T169" i="2"/>
  <c r="R56" i="2"/>
  <c r="S57" i="2" s="1"/>
  <c r="R70" i="2"/>
  <c r="S71" i="2" s="1"/>
  <c r="R43" i="2"/>
  <c r="S44" i="2" s="1"/>
  <c r="U31" i="1"/>
  <c r="U33" i="1" s="1"/>
  <c r="U35" i="1" s="1"/>
  <c r="V29" i="1"/>
  <c r="V30" i="1" s="1"/>
  <c r="V32" i="1"/>
  <c r="V31" i="1" s="1"/>
  <c r="W33" i="1"/>
  <c r="W35" i="1" s="1"/>
  <c r="R154" i="2" l="1"/>
  <c r="S155" i="2" s="1"/>
  <c r="R162" i="2"/>
  <c r="R163" i="2" s="1"/>
  <c r="R164" i="2" s="1"/>
  <c r="R165" i="2" s="1"/>
  <c r="R174" i="2"/>
  <c r="R180" i="2" s="1"/>
  <c r="R186" i="2"/>
  <c r="T183" i="2"/>
  <c r="R175" i="2"/>
  <c r="W36" i="1"/>
  <c r="U36" i="1"/>
  <c r="V33" i="1"/>
  <c r="V35" i="1" s="1"/>
  <c r="R168" i="2" l="1"/>
  <c r="S169" i="2" s="1"/>
  <c r="R176" i="2"/>
  <c r="R177" i="2" s="1"/>
  <c r="R178" i="2" s="1"/>
  <c r="R179" i="2" s="1"/>
  <c r="R182" i="2" s="1"/>
  <c r="S183" i="2" s="1"/>
  <c r="R188" i="2"/>
  <c r="R194" i="2" s="1"/>
  <c r="R200" i="2"/>
  <c r="R189" i="2"/>
  <c r="T197" i="2"/>
  <c r="U37" i="1"/>
  <c r="W37" i="1"/>
  <c r="V36" i="1"/>
  <c r="R202" i="2" l="1"/>
  <c r="R208" i="2" s="1"/>
  <c r="R214" i="2"/>
  <c r="T211" i="2"/>
  <c r="R203" i="2"/>
  <c r="R190" i="2"/>
  <c r="R191" i="2" s="1"/>
  <c r="W38" i="1"/>
  <c r="W39" i="1" s="1"/>
  <c r="W41" i="1"/>
  <c r="W40" i="1" s="1"/>
  <c r="V37" i="1"/>
  <c r="U38" i="1"/>
  <c r="U39" i="1" s="1"/>
  <c r="U41" i="1"/>
  <c r="U40" i="1" s="1"/>
  <c r="R204" i="2" l="1"/>
  <c r="R205" i="2" s="1"/>
  <c r="R206" i="2" s="1"/>
  <c r="R207" i="2" s="1"/>
  <c r="R210" i="2" s="1"/>
  <c r="S211" i="2" s="1"/>
  <c r="R192" i="2"/>
  <c r="R193" i="2" s="1"/>
  <c r="R196" i="2" s="1"/>
  <c r="S197" i="2" s="1"/>
  <c r="T225" i="2"/>
  <c r="R217" i="2"/>
  <c r="R216" i="2"/>
  <c r="R228" i="2"/>
  <c r="U42" i="1"/>
  <c r="U44" i="1" s="1"/>
  <c r="U45" i="1" s="1"/>
  <c r="W42" i="1"/>
  <c r="W44" i="1" s="1"/>
  <c r="W45" i="1" s="1"/>
  <c r="V41" i="1"/>
  <c r="V40" i="1" s="1"/>
  <c r="V38" i="1"/>
  <c r="V39" i="1" s="1"/>
  <c r="R218" i="2" l="1"/>
  <c r="R219" i="2" s="1"/>
  <c r="R220" i="2" s="1"/>
  <c r="R221" i="2" s="1"/>
  <c r="R222" i="2"/>
  <c r="T239" i="2"/>
  <c r="R230" i="2"/>
  <c r="R242" i="2"/>
  <c r="R231" i="2"/>
  <c r="W46" i="1"/>
  <c r="V42" i="1"/>
  <c r="U46" i="1"/>
  <c r="R224" i="2" l="1"/>
  <c r="S225" i="2" s="1"/>
  <c r="R232" i="2"/>
  <c r="R233" i="2" s="1"/>
  <c r="R244" i="2"/>
  <c r="R250" i="2" s="1"/>
  <c r="R256" i="2"/>
  <c r="R245" i="2"/>
  <c r="T253" i="2"/>
  <c r="R236" i="2"/>
  <c r="U47" i="1"/>
  <c r="U48" i="1" s="1"/>
  <c r="U50" i="1"/>
  <c r="V44" i="1"/>
  <c r="W50" i="1"/>
  <c r="W47" i="1"/>
  <c r="W48" i="1" s="1"/>
  <c r="R234" i="2" l="1"/>
  <c r="R235" i="2" s="1"/>
  <c r="R238" i="2" s="1"/>
  <c r="S239" i="2" s="1"/>
  <c r="R258" i="2"/>
  <c r="R264" i="2" s="1"/>
  <c r="R270" i="2"/>
  <c r="T267" i="2"/>
  <c r="R259" i="2"/>
  <c r="R246" i="2"/>
  <c r="R247" i="2" s="1"/>
  <c r="R248" i="2" s="1"/>
  <c r="R249" i="2" s="1"/>
  <c r="R252" i="2" s="1"/>
  <c r="S253" i="2" s="1"/>
  <c r="U49" i="1"/>
  <c r="U51" i="1" s="1"/>
  <c r="W49" i="1"/>
  <c r="W51" i="1" s="1"/>
  <c r="V45" i="1"/>
  <c r="R272" i="2" l="1"/>
  <c r="R284" i="2"/>
  <c r="R273" i="2"/>
  <c r="T281" i="2"/>
  <c r="R260" i="2"/>
  <c r="R261" i="2" s="1"/>
  <c r="R262" i="2" s="1"/>
  <c r="R263" i="2" s="1"/>
  <c r="R266" i="2" s="1"/>
  <c r="S267" i="2" s="1"/>
  <c r="W53" i="1"/>
  <c r="W54" i="1" s="1"/>
  <c r="U53" i="1"/>
  <c r="U54" i="1" s="1"/>
  <c r="V46" i="1"/>
  <c r="R274" i="2" l="1"/>
  <c r="R275" i="2" s="1"/>
  <c r="R276" i="2" s="1"/>
  <c r="R277" i="2" s="1"/>
  <c r="R286" i="2"/>
  <c r="R292" i="2" s="1"/>
  <c r="R298" i="2"/>
  <c r="T295" i="2"/>
  <c r="R287" i="2"/>
  <c r="R278" i="2"/>
  <c r="W55" i="1"/>
  <c r="V47" i="1"/>
  <c r="V48" i="1" s="1"/>
  <c r="V50" i="1"/>
  <c r="U55" i="1"/>
  <c r="R280" i="2" l="1"/>
  <c r="S281" i="2" s="1"/>
  <c r="R288" i="2"/>
  <c r="R289" i="2" s="1"/>
  <c r="R290" i="2" s="1"/>
  <c r="R291" i="2" s="1"/>
  <c r="R294" i="2" s="1"/>
  <c r="S295" i="2" s="1"/>
  <c r="T309" i="2"/>
  <c r="R301" i="2"/>
  <c r="R312" i="2"/>
  <c r="R300" i="2"/>
  <c r="V49" i="1"/>
  <c r="V51" i="1" s="1"/>
  <c r="U56" i="1"/>
  <c r="U57" i="1" s="1"/>
  <c r="U59" i="1"/>
  <c r="W56" i="1"/>
  <c r="W57" i="1" s="1"/>
  <c r="W59" i="1"/>
  <c r="R302" i="2" l="1"/>
  <c r="R303" i="2" s="1"/>
  <c r="R304" i="2" s="1"/>
  <c r="R305" i="2" s="1"/>
  <c r="R306" i="2"/>
  <c r="R314" i="2"/>
  <c r="R326" i="2"/>
  <c r="R315" i="2"/>
  <c r="T323" i="2"/>
  <c r="U58" i="1"/>
  <c r="U60" i="1" s="1"/>
  <c r="W58" i="1"/>
  <c r="W60" i="1" s="1"/>
  <c r="V53" i="1"/>
  <c r="V54" i="1" s="1"/>
  <c r="R308" i="2" l="1"/>
  <c r="S309" i="2" s="1"/>
  <c r="R316" i="2"/>
  <c r="R317" i="2" s="1"/>
  <c r="R318" i="2" s="1"/>
  <c r="R319" i="2" s="1"/>
  <c r="R320" i="2"/>
  <c r="R328" i="2"/>
  <c r="R334" i="2" s="1"/>
  <c r="R340" i="2"/>
  <c r="T337" i="2"/>
  <c r="R329" i="2"/>
  <c r="W62" i="1"/>
  <c r="W63" i="1" s="1"/>
  <c r="V55" i="1"/>
  <c r="U62" i="1"/>
  <c r="U63" i="1" s="1"/>
  <c r="R322" i="2" l="1"/>
  <c r="S323" i="2" s="1"/>
  <c r="T351" i="2"/>
  <c r="R354" i="2"/>
  <c r="R343" i="2"/>
  <c r="R342" i="2"/>
  <c r="R330" i="2"/>
  <c r="R331" i="2" s="1"/>
  <c r="R332" i="2" s="1"/>
  <c r="R333" i="2" s="1"/>
  <c r="R336" i="2" s="1"/>
  <c r="S337" i="2" s="1"/>
  <c r="V56" i="1"/>
  <c r="V57" i="1" s="1"/>
  <c r="V59" i="1"/>
  <c r="W64" i="1"/>
  <c r="U64" i="1"/>
  <c r="R344" i="2" l="1"/>
  <c r="R345" i="2" s="1"/>
  <c r="R346" i="2" s="1"/>
  <c r="R347" i="2" s="1"/>
  <c r="R348" i="2"/>
  <c r="T365" i="2"/>
  <c r="R368" i="2"/>
  <c r="R356" i="2"/>
  <c r="R362" i="2" s="1"/>
  <c r="R357" i="2"/>
  <c r="V58" i="1"/>
  <c r="V60" i="1" s="1"/>
  <c r="U68" i="1"/>
  <c r="U65" i="1"/>
  <c r="U66" i="1" s="1"/>
  <c r="W65" i="1"/>
  <c r="W66" i="1" s="1"/>
  <c r="W68" i="1"/>
  <c r="R350" i="2" l="1"/>
  <c r="S351" i="2" s="1"/>
  <c r="R370" i="2"/>
  <c r="R376" i="2" s="1"/>
  <c r="R382" i="2"/>
  <c r="R371" i="2"/>
  <c r="T379" i="2"/>
  <c r="R358" i="2"/>
  <c r="R359" i="2" s="1"/>
  <c r="R360" i="2" s="1"/>
  <c r="R361" i="2" s="1"/>
  <c r="R364" i="2" s="1"/>
  <c r="S365" i="2" s="1"/>
  <c r="V62" i="1"/>
  <c r="V63" i="1" s="1"/>
  <c r="W67" i="1"/>
  <c r="W69" i="1" s="1"/>
  <c r="U67" i="1"/>
  <c r="U69" i="1" s="1"/>
  <c r="T393" i="2" l="1"/>
  <c r="R385" i="2"/>
  <c r="R384" i="2"/>
  <c r="R390" i="2" s="1"/>
  <c r="R396" i="2"/>
  <c r="R372" i="2"/>
  <c r="R373" i="2" s="1"/>
  <c r="V64" i="1"/>
  <c r="W71" i="1"/>
  <c r="W72" i="1" s="1"/>
  <c r="U71" i="1"/>
  <c r="U72" i="1" s="1"/>
  <c r="R374" i="2" l="1"/>
  <c r="R375" i="2" s="1"/>
  <c r="R378" i="2" s="1"/>
  <c r="S379" i="2" s="1"/>
  <c r="R386" i="2"/>
  <c r="R387" i="2" s="1"/>
  <c r="R398" i="2"/>
  <c r="R404" i="2" s="1"/>
  <c r="R410" i="2"/>
  <c r="T407" i="2"/>
  <c r="R399" i="2"/>
  <c r="U73" i="1"/>
  <c r="V68" i="1"/>
  <c r="V65" i="1"/>
  <c r="V66" i="1" s="1"/>
  <c r="W73" i="1"/>
  <c r="R412" i="2" l="1"/>
  <c r="R424" i="2"/>
  <c r="R413" i="2"/>
  <c r="T421" i="2"/>
  <c r="R388" i="2"/>
  <c r="R389" i="2" s="1"/>
  <c r="R392" i="2" s="1"/>
  <c r="S393" i="2" s="1"/>
  <c r="R400" i="2"/>
  <c r="R401" i="2" s="1"/>
  <c r="W74" i="1"/>
  <c r="W75" i="1" s="1"/>
  <c r="W77" i="1"/>
  <c r="U77" i="1"/>
  <c r="U74" i="1"/>
  <c r="U75" i="1" s="1"/>
  <c r="V67" i="1"/>
  <c r="V69" i="1" s="1"/>
  <c r="R402" i="2" l="1"/>
  <c r="R403" i="2" s="1"/>
  <c r="R406" i="2" s="1"/>
  <c r="S407" i="2" s="1"/>
  <c r="R414" i="2"/>
  <c r="R415" i="2" s="1"/>
  <c r="T435" i="2"/>
  <c r="R427" i="2"/>
  <c r="R438" i="2"/>
  <c r="R426" i="2"/>
  <c r="R432" i="2" s="1"/>
  <c r="R418" i="2"/>
  <c r="W76" i="1"/>
  <c r="W78" i="1" s="1"/>
  <c r="V71" i="1"/>
  <c r="V72" i="1" s="1"/>
  <c r="U76" i="1"/>
  <c r="U78" i="1" s="1"/>
  <c r="R452" i="2" l="1"/>
  <c r="R440" i="2"/>
  <c r="T449" i="2"/>
  <c r="R441" i="2"/>
  <c r="R416" i="2"/>
  <c r="R417" i="2" s="1"/>
  <c r="R420" i="2" s="1"/>
  <c r="S421" i="2" s="1"/>
  <c r="R428" i="2"/>
  <c r="R429" i="2" s="1"/>
  <c r="R430" i="2" s="1"/>
  <c r="R431" i="2" s="1"/>
  <c r="R434" i="2" s="1"/>
  <c r="S435" i="2" s="1"/>
  <c r="W80" i="1"/>
  <c r="W81" i="1" s="1"/>
  <c r="V73" i="1"/>
  <c r="U80" i="1"/>
  <c r="U81" i="1" s="1"/>
  <c r="T463" i="2" l="1"/>
  <c r="R466" i="2"/>
  <c r="R455" i="2"/>
  <c r="R454" i="2"/>
  <c r="R446" i="2"/>
  <c r="R442" i="2"/>
  <c r="R443" i="2" s="1"/>
  <c r="U82" i="1"/>
  <c r="W82" i="1"/>
  <c r="V74" i="1"/>
  <c r="V75" i="1" s="1"/>
  <c r="V77" i="1"/>
  <c r="R456" i="2" l="1"/>
  <c r="R457" i="2" s="1"/>
  <c r="R458" i="2" s="1"/>
  <c r="R459" i="2" s="1"/>
  <c r="R460" i="2"/>
  <c r="R480" i="2"/>
  <c r="R469" i="2"/>
  <c r="T477" i="2"/>
  <c r="R468" i="2"/>
  <c r="R444" i="2"/>
  <c r="R445" i="2" s="1"/>
  <c r="R448" i="2" s="1"/>
  <c r="S449" i="2" s="1"/>
  <c r="V76" i="1"/>
  <c r="V78" i="1" s="1"/>
  <c r="U83" i="1"/>
  <c r="U84" i="1" s="1"/>
  <c r="U86" i="1"/>
  <c r="W86" i="1"/>
  <c r="W83" i="1"/>
  <c r="W84" i="1" s="1"/>
  <c r="R470" i="2" l="1"/>
  <c r="R471" i="2" s="1"/>
  <c r="R472" i="2" s="1"/>
  <c r="R473" i="2" s="1"/>
  <c r="R462" i="2"/>
  <c r="S463" i="2" s="1"/>
  <c r="R474" i="2"/>
  <c r="R494" i="2"/>
  <c r="R482" i="2"/>
  <c r="T491" i="2"/>
  <c r="R483" i="2"/>
  <c r="V80" i="1"/>
  <c r="V81" i="1" s="1"/>
  <c r="U85" i="1"/>
  <c r="U87" i="1" s="1"/>
  <c r="W85" i="1"/>
  <c r="W87" i="1" s="1"/>
  <c r="R476" i="2" l="1"/>
  <c r="S477" i="2" s="1"/>
  <c r="R484" i="2"/>
  <c r="R485" i="2" s="1"/>
  <c r="R486" i="2" s="1"/>
  <c r="R487" i="2" s="1"/>
  <c r="R488" i="2"/>
  <c r="T505" i="2"/>
  <c r="R508" i="2"/>
  <c r="R496" i="2"/>
  <c r="R497" i="2"/>
  <c r="V82" i="1"/>
  <c r="W89" i="1"/>
  <c r="W90" i="1" s="1"/>
  <c r="U89" i="1"/>
  <c r="U90" i="1" s="1"/>
  <c r="R490" i="2" l="1"/>
  <c r="S491" i="2" s="1"/>
  <c r="R498" i="2"/>
  <c r="R499" i="2" s="1"/>
  <c r="R500" i="2" s="1"/>
  <c r="R501" i="2" s="1"/>
  <c r="R502" i="2"/>
  <c r="R522" i="2"/>
  <c r="R511" i="2"/>
  <c r="R510" i="2"/>
  <c r="T519" i="2"/>
  <c r="U91" i="1"/>
  <c r="W91" i="1"/>
  <c r="V83" i="1"/>
  <c r="V84" i="1" s="1"/>
  <c r="V86" i="1"/>
  <c r="R504" i="2" l="1"/>
  <c r="S505" i="2" s="1"/>
  <c r="R512" i="2"/>
  <c r="R513" i="2" s="1"/>
  <c r="R514" i="2" s="1"/>
  <c r="R515" i="2" s="1"/>
  <c r="R525" i="2"/>
  <c r="R536" i="2"/>
  <c r="R524" i="2"/>
  <c r="T533" i="2"/>
  <c r="R516" i="2"/>
  <c r="V85" i="1"/>
  <c r="V87" i="1" s="1"/>
  <c r="W95" i="1"/>
  <c r="W92" i="1"/>
  <c r="W93" i="1" s="1"/>
  <c r="U92" i="1"/>
  <c r="U93" i="1" s="1"/>
  <c r="U95" i="1"/>
  <c r="R518" i="2" l="1"/>
  <c r="S519" i="2" s="1"/>
  <c r="R526" i="2"/>
  <c r="R527" i="2" s="1"/>
  <c r="R528" i="2" s="1"/>
  <c r="R529" i="2" s="1"/>
  <c r="T547" i="2"/>
  <c r="R550" i="2"/>
  <c r="R539" i="2"/>
  <c r="R538" i="2"/>
  <c r="R530" i="2"/>
  <c r="U94" i="1"/>
  <c r="U96" i="1" s="1"/>
  <c r="W94" i="1"/>
  <c r="W96" i="1" s="1"/>
  <c r="V89" i="1"/>
  <c r="V90" i="1" s="1"/>
  <c r="R532" i="2" l="1"/>
  <c r="S533" i="2" s="1"/>
  <c r="R540" i="2"/>
  <c r="R541" i="2" s="1"/>
  <c r="R544" i="2"/>
  <c r="T561" i="2"/>
  <c r="R553" i="2"/>
  <c r="R564" i="2"/>
  <c r="R552" i="2"/>
  <c r="U98" i="1"/>
  <c r="U99" i="1" s="1"/>
  <c r="V91" i="1"/>
  <c r="W98" i="1"/>
  <c r="W99" i="1" s="1"/>
  <c r="R554" i="2" l="1"/>
  <c r="R555" i="2" s="1"/>
  <c r="R556" i="2" s="1"/>
  <c r="R557" i="2" s="1"/>
  <c r="R558" i="2"/>
  <c r="R566" i="2"/>
  <c r="R578" i="2"/>
  <c r="T575" i="2"/>
  <c r="R567" i="2"/>
  <c r="R542" i="2"/>
  <c r="R543" i="2" s="1"/>
  <c r="R546" i="2" s="1"/>
  <c r="S547" i="2" s="1"/>
  <c r="W100" i="1"/>
  <c r="U100" i="1"/>
  <c r="V95" i="1"/>
  <c r="V92" i="1"/>
  <c r="V93" i="1" s="1"/>
  <c r="R560" i="2" l="1"/>
  <c r="S561" i="2" s="1"/>
  <c r="R592" i="2"/>
  <c r="R580" i="2"/>
  <c r="T589" i="2"/>
  <c r="R581" i="2"/>
  <c r="R568" i="2"/>
  <c r="R569" i="2" s="1"/>
  <c r="R570" i="2" s="1"/>
  <c r="R571" i="2" s="1"/>
  <c r="R572" i="2"/>
  <c r="W101" i="1"/>
  <c r="W102" i="1" s="1"/>
  <c r="W104" i="1"/>
  <c r="V94" i="1"/>
  <c r="V96" i="1" s="1"/>
  <c r="U104" i="1"/>
  <c r="U101" i="1"/>
  <c r="U102" i="1" s="1"/>
  <c r="R574" i="2" l="1"/>
  <c r="S575" i="2" s="1"/>
  <c r="R586" i="2"/>
  <c r="R582" i="2"/>
  <c r="R583" i="2" s="1"/>
  <c r="R594" i="2"/>
  <c r="R600" i="2" s="1"/>
  <c r="R606" i="2"/>
  <c r="T603" i="2"/>
  <c r="R595" i="2"/>
  <c r="W103" i="1"/>
  <c r="W105" i="1" s="1"/>
  <c r="V98" i="1"/>
  <c r="V99" i="1" s="1"/>
  <c r="U103" i="1"/>
  <c r="U105" i="1" s="1"/>
  <c r="R609" i="2" l="1"/>
  <c r="R620" i="2"/>
  <c r="R608" i="2"/>
  <c r="R614" i="2" s="1"/>
  <c r="T617" i="2"/>
  <c r="R584" i="2"/>
  <c r="R585" i="2" s="1"/>
  <c r="R588" i="2" s="1"/>
  <c r="S589" i="2" s="1"/>
  <c r="R596" i="2"/>
  <c r="R597" i="2" s="1"/>
  <c r="U107" i="1"/>
  <c r="U108" i="1" s="1"/>
  <c r="V100" i="1"/>
  <c r="W107" i="1"/>
  <c r="W108" i="1" s="1"/>
  <c r="T631" i="2" l="1"/>
  <c r="R623" i="2"/>
  <c r="R622" i="2"/>
  <c r="R628" i="2" s="1"/>
  <c r="R634" i="2"/>
  <c r="R598" i="2"/>
  <c r="R599" i="2" s="1"/>
  <c r="R602" i="2" s="1"/>
  <c r="S603" i="2" s="1"/>
  <c r="R610" i="2"/>
  <c r="R611" i="2" s="1"/>
  <c r="R612" i="2" s="1"/>
  <c r="R613" i="2" s="1"/>
  <c r="R616" i="2" s="1"/>
  <c r="S617" i="2" s="1"/>
  <c r="U109" i="1"/>
  <c r="W109" i="1"/>
  <c r="V101" i="1"/>
  <c r="V102" i="1" s="1"/>
  <c r="V104" i="1"/>
  <c r="R624" i="2" l="1"/>
  <c r="R625" i="2" s="1"/>
  <c r="R626" i="2" s="1"/>
  <c r="R627" i="2" s="1"/>
  <c r="R630" i="2" s="1"/>
  <c r="S631" i="2" s="1"/>
  <c r="R637" i="2"/>
  <c r="R636" i="2"/>
  <c r="R642" i="2" s="1"/>
  <c r="T645" i="2"/>
  <c r="R648" i="2"/>
  <c r="U110" i="1"/>
  <c r="U111" i="1" s="1"/>
  <c r="U113" i="1"/>
  <c r="V103" i="1"/>
  <c r="V105" i="1" s="1"/>
  <c r="W113" i="1"/>
  <c r="W110" i="1"/>
  <c r="W111" i="1" s="1"/>
  <c r="R638" i="2" l="1"/>
  <c r="R639" i="2" s="1"/>
  <c r="R662" i="2"/>
  <c r="R650" i="2"/>
  <c r="R656" i="2" s="1"/>
  <c r="T659" i="2"/>
  <c r="R651" i="2"/>
  <c r="U112" i="1"/>
  <c r="U114" i="1" s="1"/>
  <c r="W112" i="1"/>
  <c r="W114" i="1" s="1"/>
  <c r="V107" i="1"/>
  <c r="V108" i="1" s="1"/>
  <c r="R676" i="2" l="1"/>
  <c r="R664" i="2"/>
  <c r="T673" i="2"/>
  <c r="R665" i="2"/>
  <c r="R640" i="2"/>
  <c r="R641" i="2" s="1"/>
  <c r="R644" i="2" s="1"/>
  <c r="S645" i="2" s="1"/>
  <c r="R652" i="2"/>
  <c r="R653" i="2" s="1"/>
  <c r="V109" i="1"/>
  <c r="U116" i="1"/>
  <c r="U117" i="1" s="1"/>
  <c r="W116" i="1"/>
  <c r="W117" i="1" s="1"/>
  <c r="R666" i="2" l="1"/>
  <c r="R667" i="2" s="1"/>
  <c r="R668" i="2" s="1"/>
  <c r="R669" i="2" s="1"/>
  <c r="R654" i="2"/>
  <c r="R655" i="2" s="1"/>
  <c r="R658" i="2" s="1"/>
  <c r="S659" i="2" s="1"/>
  <c r="R678" i="2"/>
  <c r="R684" i="2" s="1"/>
  <c r="T687" i="2"/>
  <c r="R679" i="2"/>
  <c r="R690" i="2"/>
  <c r="R670" i="2"/>
  <c r="U118" i="1"/>
  <c r="W118" i="1"/>
  <c r="V110" i="1"/>
  <c r="V111" i="1" s="1"/>
  <c r="V113" i="1"/>
  <c r="R672" i="2" l="1"/>
  <c r="S673" i="2" s="1"/>
  <c r="R692" i="2"/>
  <c r="R698" i="2" s="1"/>
  <c r="R704" i="2"/>
  <c r="T701" i="2"/>
  <c r="R693" i="2"/>
  <c r="R680" i="2"/>
  <c r="R681" i="2" s="1"/>
  <c r="R682" i="2" s="1"/>
  <c r="R683" i="2" s="1"/>
  <c r="R686" i="2" s="1"/>
  <c r="S687" i="2" s="1"/>
  <c r="V112" i="1"/>
  <c r="V114" i="1" s="1"/>
  <c r="W122" i="1"/>
  <c r="W119" i="1"/>
  <c r="W120" i="1" s="1"/>
  <c r="U122" i="1"/>
  <c r="U119" i="1"/>
  <c r="U120" i="1" s="1"/>
  <c r="R694" i="2" l="1"/>
  <c r="R695" i="2" s="1"/>
  <c r="R696" i="2" s="1"/>
  <c r="R697" i="2" s="1"/>
  <c r="R700" i="2" s="1"/>
  <c r="S701" i="2" s="1"/>
  <c r="T715" i="2"/>
  <c r="R706" i="2"/>
  <c r="R712" i="2" s="1"/>
  <c r="R718" i="2"/>
  <c r="R707" i="2"/>
  <c r="U121" i="1"/>
  <c r="U123" i="1" s="1"/>
  <c r="V116" i="1"/>
  <c r="V117" i="1" s="1"/>
  <c r="W121" i="1"/>
  <c r="W123" i="1" s="1"/>
  <c r="R732" i="2" l="1"/>
  <c r="R720" i="2"/>
  <c r="R726" i="2" s="1"/>
  <c r="T729" i="2"/>
  <c r="R721" i="2"/>
  <c r="R708" i="2"/>
  <c r="R709" i="2" s="1"/>
  <c r="V118" i="1"/>
  <c r="U125" i="1"/>
  <c r="U126" i="1" s="1"/>
  <c r="W125" i="1"/>
  <c r="W126" i="1" s="1"/>
  <c r="R735" i="2" l="1"/>
  <c r="R746" i="2"/>
  <c r="T743" i="2"/>
  <c r="R734" i="2"/>
  <c r="R710" i="2"/>
  <c r="R711" i="2" s="1"/>
  <c r="R714" i="2" s="1"/>
  <c r="S715" i="2" s="1"/>
  <c r="R722" i="2"/>
  <c r="R723" i="2" s="1"/>
  <c r="R724" i="2" s="1"/>
  <c r="R725" i="2" s="1"/>
  <c r="R728" i="2" s="1"/>
  <c r="S729" i="2" s="1"/>
  <c r="W127" i="1"/>
  <c r="U127" i="1"/>
  <c r="V122" i="1"/>
  <c r="V119" i="1"/>
  <c r="V120" i="1" s="1"/>
  <c r="R736" i="2" l="1"/>
  <c r="R737" i="2" s="1"/>
  <c r="R738" i="2" s="1"/>
  <c r="R739" i="2" s="1"/>
  <c r="R740" i="2"/>
  <c r="R760" i="2"/>
  <c r="R748" i="2"/>
  <c r="R749" i="2"/>
  <c r="T757" i="2"/>
  <c r="W128" i="1"/>
  <c r="W129" i="1" s="1"/>
  <c r="W131" i="1"/>
  <c r="V121" i="1"/>
  <c r="V123" i="1" s="1"/>
  <c r="U131" i="1"/>
  <c r="U128" i="1"/>
  <c r="U129" i="1" s="1"/>
  <c r="R742" i="2" l="1"/>
  <c r="S743" i="2" s="1"/>
  <c r="R750" i="2"/>
  <c r="R751" i="2" s="1"/>
  <c r="R752" i="2" s="1"/>
  <c r="R753" i="2" s="1"/>
  <c r="R754" i="2"/>
  <c r="R763" i="2"/>
  <c r="R762" i="2"/>
  <c r="R768" i="2" s="1"/>
  <c r="R774" i="2"/>
  <c r="T771" i="2"/>
  <c r="W130" i="1"/>
  <c r="W132" i="1" s="1"/>
  <c r="U130" i="1"/>
  <c r="U132" i="1" s="1"/>
  <c r="V125" i="1"/>
  <c r="V126" i="1" s="1"/>
  <c r="R756" i="2" l="1"/>
  <c r="S757" i="2" s="1"/>
  <c r="R788" i="2"/>
  <c r="T785" i="2"/>
  <c r="R777" i="2"/>
  <c r="R776" i="2"/>
  <c r="R764" i="2"/>
  <c r="R765" i="2" s="1"/>
  <c r="V127" i="1"/>
  <c r="W134" i="1"/>
  <c r="W135" i="1" s="1"/>
  <c r="U134" i="1"/>
  <c r="U135" i="1" s="1"/>
  <c r="R778" i="2" l="1"/>
  <c r="R779" i="2" s="1"/>
  <c r="R780" i="2" s="1"/>
  <c r="R781" i="2" s="1"/>
  <c r="T799" i="2"/>
  <c r="R791" i="2"/>
  <c r="R790" i="2"/>
  <c r="R796" i="2" s="1"/>
  <c r="R802" i="2"/>
  <c r="R782" i="2"/>
  <c r="R766" i="2"/>
  <c r="R767" i="2" s="1"/>
  <c r="R770" i="2" s="1"/>
  <c r="S771" i="2" s="1"/>
  <c r="U136" i="1"/>
  <c r="W136" i="1"/>
  <c r="V131" i="1"/>
  <c r="V128" i="1"/>
  <c r="V129" i="1" s="1"/>
  <c r="R784" i="2" l="1"/>
  <c r="S785" i="2" s="1"/>
  <c r="R792" i="2"/>
  <c r="R793" i="2" s="1"/>
  <c r="R816" i="2"/>
  <c r="R804" i="2"/>
  <c r="R810" i="2" s="1"/>
  <c r="R805" i="2"/>
  <c r="T813" i="2"/>
  <c r="W137" i="1"/>
  <c r="W138" i="1" s="1"/>
  <c r="W140" i="1"/>
  <c r="U140" i="1"/>
  <c r="U137" i="1"/>
  <c r="U138" i="1" s="1"/>
  <c r="V130" i="1"/>
  <c r="V132" i="1" s="1"/>
  <c r="R806" i="2" l="1"/>
  <c r="R807" i="2" s="1"/>
  <c r="R794" i="2"/>
  <c r="R795" i="2" s="1"/>
  <c r="R798" i="2" s="1"/>
  <c r="S799" i="2" s="1"/>
  <c r="T827" i="2"/>
  <c r="R819" i="2"/>
  <c r="R818" i="2"/>
  <c r="R830" i="2"/>
  <c r="W139" i="1"/>
  <c r="W141" i="1" s="1"/>
  <c r="V134" i="1"/>
  <c r="V135" i="1" s="1"/>
  <c r="U139" i="1"/>
  <c r="U141" i="1" s="1"/>
  <c r="R808" i="2" l="1"/>
  <c r="R809" i="2" s="1"/>
  <c r="R812" i="2" s="1"/>
  <c r="S813" i="2" s="1"/>
  <c r="R832" i="2"/>
  <c r="R844" i="2"/>
  <c r="T841" i="2"/>
  <c r="R833" i="2"/>
  <c r="R820" i="2"/>
  <c r="R821" i="2" s="1"/>
  <c r="R824" i="2"/>
  <c r="V136" i="1"/>
  <c r="W143" i="1"/>
  <c r="W144" i="1" s="1"/>
  <c r="U143" i="1"/>
  <c r="U144" i="1" s="1"/>
  <c r="R834" i="2" l="1"/>
  <c r="R835" i="2" s="1"/>
  <c r="R836" i="2" s="1"/>
  <c r="R837" i="2" s="1"/>
  <c r="R838" i="2"/>
  <c r="R847" i="2"/>
  <c r="T855" i="2"/>
  <c r="R858" i="2"/>
  <c r="R846" i="2"/>
  <c r="R822" i="2"/>
  <c r="R823" i="2" s="1"/>
  <c r="R826" i="2" s="1"/>
  <c r="S827" i="2" s="1"/>
  <c r="U145" i="1"/>
  <c r="V137" i="1"/>
  <c r="V138" i="1" s="1"/>
  <c r="V140" i="1"/>
  <c r="W145" i="1"/>
  <c r="R840" i="2" l="1"/>
  <c r="S841" i="2" s="1"/>
  <c r="R848" i="2"/>
  <c r="R849" i="2" s="1"/>
  <c r="R850" i="2" s="1"/>
  <c r="R851" i="2" s="1"/>
  <c r="R852" i="2"/>
  <c r="R860" i="2"/>
  <c r="R866" i="2" s="1"/>
  <c r="T869" i="2"/>
  <c r="R872" i="2"/>
  <c r="R861" i="2"/>
  <c r="V139" i="1"/>
  <c r="V141" i="1" s="1"/>
  <c r="W146" i="1"/>
  <c r="W147" i="1" s="1"/>
  <c r="W149" i="1"/>
  <c r="U149" i="1"/>
  <c r="U146" i="1"/>
  <c r="U147" i="1" s="1"/>
  <c r="R854" i="2" l="1"/>
  <c r="S855" i="2" s="1"/>
  <c r="R886" i="2"/>
  <c r="T883" i="2"/>
  <c r="R875" i="2"/>
  <c r="R874" i="2"/>
  <c r="R862" i="2"/>
  <c r="R863" i="2" s="1"/>
  <c r="W148" i="1"/>
  <c r="W150" i="1" s="1"/>
  <c r="U148" i="1"/>
  <c r="U150" i="1" s="1"/>
  <c r="V143" i="1"/>
  <c r="V144" i="1" s="1"/>
  <c r="R876" i="2" l="1"/>
  <c r="R877" i="2" s="1"/>
  <c r="R878" i="2" s="1"/>
  <c r="R879" i="2" s="1"/>
  <c r="R864" i="2"/>
  <c r="R865" i="2" s="1"/>
  <c r="R868" i="2" s="1"/>
  <c r="S869" i="2" s="1"/>
  <c r="T897" i="2"/>
  <c r="R900" i="2"/>
  <c r="R889" i="2"/>
  <c r="R888" i="2"/>
  <c r="R880" i="2"/>
  <c r="V145" i="1"/>
  <c r="U152" i="1"/>
  <c r="U153" i="1" s="1"/>
  <c r="W152" i="1"/>
  <c r="W153" i="1" s="1"/>
  <c r="R882" i="2" l="1"/>
  <c r="S883" i="2" s="1"/>
  <c r="R890" i="2"/>
  <c r="R891" i="2" s="1"/>
  <c r="R892" i="2" s="1"/>
  <c r="R893" i="2" s="1"/>
  <c r="R894" i="2"/>
  <c r="T911" i="2"/>
  <c r="R914" i="2"/>
  <c r="R903" i="2"/>
  <c r="R902" i="2"/>
  <c r="W154" i="1"/>
  <c r="V146" i="1"/>
  <c r="V147" i="1" s="1"/>
  <c r="V149" i="1"/>
  <c r="U154" i="1"/>
  <c r="R896" i="2" l="1"/>
  <c r="S897" i="2" s="1"/>
  <c r="R904" i="2"/>
  <c r="R905" i="2" s="1"/>
  <c r="R908" i="2"/>
  <c r="R917" i="2"/>
  <c r="T925" i="2"/>
  <c r="R916" i="2"/>
  <c r="R922" i="2" s="1"/>
  <c r="R928" i="2"/>
  <c r="V148" i="1"/>
  <c r="V150" i="1" s="1"/>
  <c r="U158" i="1"/>
  <c r="U155" i="1"/>
  <c r="U156" i="1" s="1"/>
  <c r="W158" i="1"/>
  <c r="W155" i="1"/>
  <c r="W156" i="1" s="1"/>
  <c r="R906" i="2" l="1"/>
  <c r="R907" i="2" s="1"/>
  <c r="R910" i="2" s="1"/>
  <c r="S911" i="2" s="1"/>
  <c r="T939" i="2"/>
  <c r="R930" i="2"/>
  <c r="R936" i="2" s="1"/>
  <c r="R942" i="2"/>
  <c r="R931" i="2"/>
  <c r="R918" i="2"/>
  <c r="R919" i="2" s="1"/>
  <c r="W157" i="1"/>
  <c r="W159" i="1" s="1"/>
  <c r="V152" i="1"/>
  <c r="V153" i="1" s="1"/>
  <c r="U157" i="1"/>
  <c r="U159" i="1" s="1"/>
  <c r="R920" i="2" l="1"/>
  <c r="R921" i="2" s="1"/>
  <c r="R924" i="2" s="1"/>
  <c r="S925" i="2" s="1"/>
  <c r="T953" i="2"/>
  <c r="R945" i="2"/>
  <c r="R944" i="2"/>
  <c r="R956" i="2"/>
  <c r="R932" i="2"/>
  <c r="R933" i="2" s="1"/>
  <c r="R934" i="2" s="1"/>
  <c r="R935" i="2" s="1"/>
  <c r="R938" i="2" s="1"/>
  <c r="S939" i="2" s="1"/>
  <c r="V154" i="1"/>
  <c r="W161" i="1"/>
  <c r="U161" i="1"/>
  <c r="R946" i="2" l="1"/>
  <c r="R947" i="2" s="1"/>
  <c r="R970" i="2"/>
  <c r="R959" i="2"/>
  <c r="R958" i="2"/>
  <c r="R964" i="2" s="1"/>
  <c r="T967" i="2"/>
  <c r="R950" i="2"/>
  <c r="U162" i="1"/>
  <c r="W162" i="1"/>
  <c r="V155" i="1"/>
  <c r="V156" i="1" s="1"/>
  <c r="V158" i="1"/>
  <c r="R960" i="2" l="1"/>
  <c r="R961" i="2" s="1"/>
  <c r="R962" i="2" s="1"/>
  <c r="R963" i="2" s="1"/>
  <c r="R966" i="2" s="1"/>
  <c r="S967" i="2" s="1"/>
  <c r="R948" i="2"/>
  <c r="R949" i="2" s="1"/>
  <c r="R952" i="2" s="1"/>
  <c r="S953" i="2" s="1"/>
  <c r="R973" i="2"/>
  <c r="T981" i="2"/>
  <c r="R972" i="2"/>
  <c r="R984" i="2"/>
  <c r="V157" i="1"/>
  <c r="V159" i="1" s="1"/>
  <c r="W163" i="1"/>
  <c r="U163" i="1"/>
  <c r="R974" i="2" l="1"/>
  <c r="R975" i="2" s="1"/>
  <c r="R976" i="2" s="1"/>
  <c r="R977" i="2" s="1"/>
  <c r="R998" i="2"/>
  <c r="R986" i="2"/>
  <c r="R992" i="2" s="1"/>
  <c r="R987" i="2"/>
  <c r="T995" i="2"/>
  <c r="R978" i="2"/>
  <c r="U164" i="1"/>
  <c r="U165" i="1" s="1"/>
  <c r="U167" i="1"/>
  <c r="V161" i="1"/>
  <c r="W167" i="1"/>
  <c r="W164" i="1"/>
  <c r="W165" i="1" s="1"/>
  <c r="R980" i="2" l="1"/>
  <c r="S981" i="2" s="1"/>
  <c r="R1012" i="2"/>
  <c r="R1001" i="2"/>
  <c r="T1009" i="2"/>
  <c r="R1000" i="2"/>
  <c r="R1006" i="2" s="1"/>
  <c r="R988" i="2"/>
  <c r="R989" i="2" s="1"/>
  <c r="U166" i="1"/>
  <c r="U168" i="1" s="1"/>
  <c r="V162" i="1"/>
  <c r="W166" i="1"/>
  <c r="W168" i="1" s="1"/>
  <c r="R1026" i="2" l="1"/>
  <c r="T1023" i="2"/>
  <c r="R1015" i="2"/>
  <c r="R1014" i="2"/>
  <c r="R1002" i="2"/>
  <c r="R1003" i="2" s="1"/>
  <c r="R990" i="2"/>
  <c r="R991" i="2" s="1"/>
  <c r="R994" i="2" s="1"/>
  <c r="S995" i="2" s="1"/>
  <c r="V163" i="1"/>
  <c r="U170" i="1"/>
  <c r="U171" i="1" s="1"/>
  <c r="W170" i="1"/>
  <c r="W171" i="1" s="1"/>
  <c r="R1016" i="2" l="1"/>
  <c r="R1017" i="2" s="1"/>
  <c r="R1018" i="2" s="1"/>
  <c r="R1019" i="2" s="1"/>
  <c r="R1004" i="2"/>
  <c r="R1005" i="2" s="1"/>
  <c r="R1008" i="2" s="1"/>
  <c r="S1009" i="2" s="1"/>
  <c r="R1029" i="2"/>
  <c r="T1037" i="2"/>
  <c r="R1028" i="2"/>
  <c r="R1034" i="2" s="1"/>
  <c r="R1040" i="2"/>
  <c r="R1020" i="2"/>
  <c r="V167" i="1"/>
  <c r="V164" i="1"/>
  <c r="V165" i="1" s="1"/>
  <c r="U172" i="1"/>
  <c r="W172" i="1"/>
  <c r="R1022" i="2" l="1"/>
  <c r="S1023" i="2" s="1"/>
  <c r="T1051" i="2"/>
  <c r="R1043" i="2"/>
  <c r="R1054" i="2"/>
  <c r="R1042" i="2"/>
  <c r="R1048" i="2" s="1"/>
  <c r="R1030" i="2"/>
  <c r="R1031" i="2" s="1"/>
  <c r="V166" i="1"/>
  <c r="V168" i="1" s="1"/>
  <c r="U176" i="1"/>
  <c r="U173" i="1"/>
  <c r="U174" i="1" s="1"/>
  <c r="W173" i="1"/>
  <c r="W174" i="1" s="1"/>
  <c r="W176" i="1"/>
  <c r="R1032" i="2" l="1"/>
  <c r="R1033" i="2" s="1"/>
  <c r="R1036" i="2" s="1"/>
  <c r="S1037" i="2" s="1"/>
  <c r="R1056" i="2"/>
  <c r="R1068" i="2"/>
  <c r="T1065" i="2"/>
  <c r="R1057" i="2"/>
  <c r="R1044" i="2"/>
  <c r="R1045" i="2" s="1"/>
  <c r="R1046" i="2" s="1"/>
  <c r="R1047" i="2" s="1"/>
  <c r="R1050" i="2" s="1"/>
  <c r="S1051" i="2" s="1"/>
  <c r="U175" i="1"/>
  <c r="U177" i="1" s="1"/>
  <c r="V170" i="1"/>
  <c r="V171" i="1" s="1"/>
  <c r="W175" i="1"/>
  <c r="W177" i="1" s="1"/>
  <c r="R1058" i="2" l="1"/>
  <c r="R1059" i="2" s="1"/>
  <c r="R1060" i="2" s="1"/>
  <c r="R1061" i="2" s="1"/>
  <c r="R1082" i="2"/>
  <c r="T1079" i="2"/>
  <c r="R1071" i="2"/>
  <c r="R1070" i="2"/>
  <c r="R1076" i="2" s="1"/>
  <c r="R1062" i="2"/>
  <c r="V172" i="1"/>
  <c r="U179" i="1"/>
  <c r="U180" i="1" s="1"/>
  <c r="W179" i="1"/>
  <c r="W180" i="1" s="1"/>
  <c r="R1064" i="2" l="1"/>
  <c r="S1065" i="2" s="1"/>
  <c r="R1072" i="2"/>
  <c r="R1073" i="2" s="1"/>
  <c r="R1074" i="2" s="1"/>
  <c r="R1075" i="2" s="1"/>
  <c r="R1078" i="2" s="1"/>
  <c r="S1079" i="2" s="1"/>
  <c r="T1093" i="2"/>
  <c r="R1096" i="2"/>
  <c r="R1084" i="2"/>
  <c r="R1090" i="2" s="1"/>
  <c r="R1085" i="2"/>
  <c r="U181" i="1"/>
  <c r="V173" i="1"/>
  <c r="V174" i="1" s="1"/>
  <c r="V176" i="1"/>
  <c r="W181" i="1"/>
  <c r="T1107" i="2" l="1"/>
  <c r="R1098" i="2"/>
  <c r="R1110" i="2"/>
  <c r="R1099" i="2"/>
  <c r="R1086" i="2"/>
  <c r="R1087" i="2" s="1"/>
  <c r="R1088" i="2" s="1"/>
  <c r="R1089" i="2" s="1"/>
  <c r="R1092" i="2" s="1"/>
  <c r="S1093" i="2" s="1"/>
  <c r="U182" i="1"/>
  <c r="U183" i="1" s="1"/>
  <c r="U185" i="1"/>
  <c r="W182" i="1"/>
  <c r="W183" i="1" s="1"/>
  <c r="W185" i="1"/>
  <c r="V175" i="1"/>
  <c r="V177" i="1" s="1"/>
  <c r="R1100" i="2" l="1"/>
  <c r="R1101" i="2" s="1"/>
  <c r="R1102" i="2" s="1"/>
  <c r="R1103" i="2" s="1"/>
  <c r="R1104" i="2"/>
  <c r="R1124" i="2"/>
  <c r="R1112" i="2"/>
  <c r="R1118" i="2" s="1"/>
  <c r="T1121" i="2"/>
  <c r="R1113" i="2"/>
  <c r="W184" i="1"/>
  <c r="W186" i="1" s="1"/>
  <c r="U184" i="1"/>
  <c r="U186" i="1" s="1"/>
  <c r="V179" i="1"/>
  <c r="V180" i="1" s="1"/>
  <c r="R1106" i="2" l="1"/>
  <c r="S1107" i="2" s="1"/>
  <c r="R1114" i="2"/>
  <c r="R1115" i="2" s="1"/>
  <c r="R1116" i="2" s="1"/>
  <c r="R1117" i="2" s="1"/>
  <c r="R1120" i="2" s="1"/>
  <c r="S1121" i="2" s="1"/>
  <c r="R1138" i="2"/>
  <c r="T1135" i="2"/>
  <c r="R1127" i="2"/>
  <c r="R1126" i="2"/>
  <c r="W188" i="1"/>
  <c r="U188" i="1"/>
  <c r="V181" i="1"/>
  <c r="R1140" i="2" l="1"/>
  <c r="R1141" i="2"/>
  <c r="R1152" i="2"/>
  <c r="T1149" i="2"/>
  <c r="R1128" i="2"/>
  <c r="R1129" i="2" s="1"/>
  <c r="R1132" i="2"/>
  <c r="U189" i="1"/>
  <c r="W189" i="1"/>
  <c r="V182" i="1"/>
  <c r="V183" i="1" s="1"/>
  <c r="V185" i="1"/>
  <c r="R1142" i="2" l="1"/>
  <c r="R1143" i="2" s="1"/>
  <c r="R1144" i="2" s="1"/>
  <c r="R1145" i="2" s="1"/>
  <c r="R1146" i="2"/>
  <c r="R1130" i="2"/>
  <c r="R1131" i="2" s="1"/>
  <c r="R1134" i="2" s="1"/>
  <c r="S1135" i="2" s="1"/>
  <c r="R1166" i="2"/>
  <c r="R1155" i="2"/>
  <c r="R1154" i="2"/>
  <c r="T1163" i="2"/>
  <c r="U190" i="1"/>
  <c r="V184" i="1"/>
  <c r="V186" i="1" s="1"/>
  <c r="W190" i="1"/>
  <c r="R1148" i="2" l="1"/>
  <c r="S1149" i="2" s="1"/>
  <c r="R1156" i="2"/>
  <c r="R1157" i="2" s="1"/>
  <c r="R1180" i="2"/>
  <c r="T1177" i="2"/>
  <c r="R1169" i="2"/>
  <c r="R1168" i="2"/>
  <c r="R1160" i="2"/>
  <c r="U194" i="1"/>
  <c r="U191" i="1"/>
  <c r="U192" i="1" s="1"/>
  <c r="W191" i="1"/>
  <c r="W192" i="1" s="1"/>
  <c r="W194" i="1"/>
  <c r="V188" i="1"/>
  <c r="R1194" i="2" l="1"/>
  <c r="R1182" i="2"/>
  <c r="R1188" i="2" s="1"/>
  <c r="T1191" i="2"/>
  <c r="R1183" i="2"/>
  <c r="R1170" i="2"/>
  <c r="R1171" i="2" s="1"/>
  <c r="R1172" i="2" s="1"/>
  <c r="R1173" i="2" s="1"/>
  <c r="R1174" i="2"/>
  <c r="R1158" i="2"/>
  <c r="R1159" i="2" s="1"/>
  <c r="R1162" i="2" s="1"/>
  <c r="S1163" i="2" s="1"/>
  <c r="U193" i="1"/>
  <c r="U195" i="1" s="1"/>
  <c r="V189" i="1"/>
  <c r="W193" i="1"/>
  <c r="W195" i="1" s="1"/>
  <c r="R1176" i="2" l="1"/>
  <c r="S1177" i="2" s="1"/>
  <c r="R1208" i="2"/>
  <c r="R1197" i="2"/>
  <c r="T1205" i="2"/>
  <c r="R1196" i="2"/>
  <c r="R1202" i="2" s="1"/>
  <c r="R1184" i="2"/>
  <c r="R1185" i="2" s="1"/>
  <c r="R1186" i="2" s="1"/>
  <c r="R1187" i="2" s="1"/>
  <c r="R1190" i="2" s="1"/>
  <c r="S1191" i="2" s="1"/>
  <c r="V190" i="1"/>
  <c r="W197" i="1"/>
  <c r="W198" i="1" s="1"/>
  <c r="U197" i="1"/>
  <c r="U198" i="1" s="1"/>
  <c r="R1198" i="2" l="1"/>
  <c r="R1199" i="2" s="1"/>
  <c r="R1200" i="2" s="1"/>
  <c r="R1201" i="2" s="1"/>
  <c r="R1204" i="2" s="1"/>
  <c r="S1205" i="2" s="1"/>
  <c r="T1219" i="2"/>
  <c r="R1222" i="2"/>
  <c r="R1211" i="2"/>
  <c r="R1210" i="2"/>
  <c r="V191" i="1"/>
  <c r="V192" i="1" s="1"/>
  <c r="V194" i="1"/>
  <c r="W199" i="1"/>
  <c r="U199" i="1"/>
  <c r="R1212" i="2" l="1"/>
  <c r="R1213" i="2" s="1"/>
  <c r="R1214" i="2" s="1"/>
  <c r="R1215" i="2" s="1"/>
  <c r="R1216" i="2"/>
  <c r="R1236" i="2"/>
  <c r="R1224" i="2"/>
  <c r="R1230" i="2" s="1"/>
  <c r="T1233" i="2"/>
  <c r="R1225" i="2"/>
  <c r="V193" i="1"/>
  <c r="V195" i="1" s="1"/>
  <c r="W203" i="1"/>
  <c r="W200" i="1"/>
  <c r="W201" i="1" s="1"/>
  <c r="U200" i="1"/>
  <c r="U201" i="1" s="1"/>
  <c r="U203" i="1"/>
  <c r="R1218" i="2" l="1"/>
  <c r="S1219" i="2" s="1"/>
  <c r="R1226" i="2"/>
  <c r="R1227" i="2" s="1"/>
  <c r="R1228" i="2" s="1"/>
  <c r="R1229" i="2" s="1"/>
  <c r="R1232" i="2" s="1"/>
  <c r="S1233" i="2" s="1"/>
  <c r="R1250" i="2"/>
  <c r="R1238" i="2"/>
  <c r="R1244" i="2" s="1"/>
  <c r="T1247" i="2"/>
  <c r="R1239" i="2"/>
  <c r="W202" i="1"/>
  <c r="W204" i="1" s="1"/>
  <c r="V197" i="1"/>
  <c r="V198" i="1" s="1"/>
  <c r="U202" i="1"/>
  <c r="U204" i="1" s="1"/>
  <c r="R1264" i="2" l="1"/>
  <c r="R1253" i="2"/>
  <c r="T1261" i="2"/>
  <c r="R1252" i="2"/>
  <c r="R1240" i="2"/>
  <c r="R1241" i="2" s="1"/>
  <c r="U206" i="1"/>
  <c r="U207" i="1" s="1"/>
  <c r="W206" i="1"/>
  <c r="W207" i="1" s="1"/>
  <c r="V199" i="1"/>
  <c r="R1254" i="2" l="1"/>
  <c r="R1255" i="2" s="1"/>
  <c r="R1256" i="2" s="1"/>
  <c r="R1257" i="2" s="1"/>
  <c r="R1242" i="2"/>
  <c r="R1243" i="2" s="1"/>
  <c r="R1246" i="2" s="1"/>
  <c r="S1247" i="2" s="1"/>
  <c r="T1275" i="2"/>
  <c r="R1267" i="2"/>
  <c r="R1278" i="2"/>
  <c r="R1266" i="2"/>
  <c r="R1272" i="2" s="1"/>
  <c r="R1258" i="2"/>
  <c r="W208" i="1"/>
  <c r="V200" i="1"/>
  <c r="V201" i="1" s="1"/>
  <c r="V203" i="1"/>
  <c r="U208" i="1"/>
  <c r="R1260" i="2" l="1"/>
  <c r="S1261" i="2" s="1"/>
  <c r="R1268" i="2"/>
  <c r="R1269" i="2" s="1"/>
  <c r="R1270" i="2" s="1"/>
  <c r="R1271" i="2" s="1"/>
  <c r="R1274" i="2" s="1"/>
  <c r="S1275" i="2" s="1"/>
  <c r="R1280" i="2"/>
  <c r="R1286" i="2" s="1"/>
  <c r="R1292" i="2"/>
  <c r="T1289" i="2"/>
  <c r="R1281" i="2"/>
  <c r="W212" i="1"/>
  <c r="W209" i="1"/>
  <c r="W210" i="1" s="1"/>
  <c r="U212" i="1"/>
  <c r="U209" i="1"/>
  <c r="U210" i="1" s="1"/>
  <c r="V202" i="1"/>
  <c r="V204" i="1" s="1"/>
  <c r="R1282" i="2" l="1"/>
  <c r="R1283" i="2" s="1"/>
  <c r="R1284" i="2" s="1"/>
  <c r="R1285" i="2" s="1"/>
  <c r="R1288" i="2" s="1"/>
  <c r="S1289" i="2" s="1"/>
  <c r="R1295" i="2"/>
  <c r="R1294" i="2"/>
  <c r="R1300" i="2" s="1"/>
  <c r="R1306" i="2"/>
  <c r="T1303" i="2"/>
  <c r="W211" i="1"/>
  <c r="W213" i="1" s="1"/>
  <c r="U211" i="1"/>
  <c r="U213" i="1" s="1"/>
  <c r="V206" i="1"/>
  <c r="V207" i="1" s="1"/>
  <c r="R1296" i="2" l="1"/>
  <c r="R1297" i="2" s="1"/>
  <c r="R1298" i="2" s="1"/>
  <c r="R1299" i="2" s="1"/>
  <c r="R1302" i="2" s="1"/>
  <c r="S1303" i="2" s="1"/>
  <c r="R1309" i="2"/>
  <c r="R1320" i="2"/>
  <c r="T1317" i="2"/>
  <c r="R1308" i="2"/>
  <c r="R1314" i="2" s="1"/>
  <c r="U215" i="1"/>
  <c r="U216" i="1" s="1"/>
  <c r="W215" i="1"/>
  <c r="W216" i="1" s="1"/>
  <c r="V208" i="1"/>
  <c r="R1323" i="2" l="1"/>
  <c r="R1322" i="2"/>
  <c r="R1334" i="2"/>
  <c r="T1331" i="2"/>
  <c r="R1310" i="2"/>
  <c r="R1311" i="2" s="1"/>
  <c r="U217" i="1"/>
  <c r="W217" i="1"/>
  <c r="V209" i="1"/>
  <c r="V210" i="1" s="1"/>
  <c r="V212" i="1"/>
  <c r="R1324" i="2" l="1"/>
  <c r="R1325" i="2" s="1"/>
  <c r="R1328" i="2"/>
  <c r="R1312" i="2"/>
  <c r="R1313" i="2" s="1"/>
  <c r="R1316" i="2" s="1"/>
  <c r="S1317" i="2" s="1"/>
  <c r="R1337" i="2"/>
  <c r="R1348" i="2"/>
  <c r="T1345" i="2"/>
  <c r="R1336" i="2"/>
  <c r="U221" i="1"/>
  <c r="U218" i="1"/>
  <c r="U219" i="1" s="1"/>
  <c r="V211" i="1"/>
  <c r="V213" i="1" s="1"/>
  <c r="W221" i="1"/>
  <c r="W218" i="1"/>
  <c r="W219" i="1" s="1"/>
  <c r="R1338" i="2" l="1"/>
  <c r="R1339" i="2" s="1"/>
  <c r="R1340" i="2" s="1"/>
  <c r="R1341" i="2" s="1"/>
  <c r="R1326" i="2"/>
  <c r="R1327" i="2" s="1"/>
  <c r="R1330" i="2" s="1"/>
  <c r="S1331" i="2" s="1"/>
  <c r="R1350" i="2"/>
  <c r="R1356" i="2" s="1"/>
  <c r="R1351" i="2"/>
  <c r="T1359" i="2"/>
  <c r="R1362" i="2"/>
  <c r="R1342" i="2"/>
  <c r="V215" i="1"/>
  <c r="V216" i="1" s="1"/>
  <c r="W220" i="1"/>
  <c r="W222" i="1" s="1"/>
  <c r="U220" i="1"/>
  <c r="U222" i="1" s="1"/>
  <c r="R1344" i="2" l="1"/>
  <c r="S1345" i="2" s="1"/>
  <c r="R1376" i="2"/>
  <c r="R1365" i="2"/>
  <c r="R1364" i="2"/>
  <c r="R1370" i="2" s="1"/>
  <c r="T1373" i="2"/>
  <c r="R1352" i="2"/>
  <c r="R1353" i="2" s="1"/>
  <c r="W224" i="1"/>
  <c r="W225" i="1" s="1"/>
  <c r="V217" i="1"/>
  <c r="U224" i="1"/>
  <c r="U225" i="1" s="1"/>
  <c r="R1354" i="2" l="1"/>
  <c r="R1355" i="2" s="1"/>
  <c r="R1358" i="2" s="1"/>
  <c r="S1359" i="2" s="1"/>
  <c r="R1366" i="2"/>
  <c r="R1367" i="2" s="1"/>
  <c r="R1368" i="2" s="1"/>
  <c r="R1369" i="2" s="1"/>
  <c r="R1372" i="2" s="1"/>
  <c r="S1373" i="2" s="1"/>
  <c r="T1387" i="2"/>
  <c r="R1378" i="2"/>
  <c r="R1379" i="2"/>
  <c r="R1390" i="2"/>
  <c r="U226" i="1"/>
  <c r="W226" i="1"/>
  <c r="V221" i="1"/>
  <c r="V218" i="1"/>
  <c r="V219" i="1" s="1"/>
  <c r="R1380" i="2" l="1"/>
  <c r="R1381" i="2" s="1"/>
  <c r="R1384" i="2"/>
  <c r="R1393" i="2"/>
  <c r="R1392" i="2"/>
  <c r="R1398" i="2" s="1"/>
  <c r="R1404" i="2"/>
  <c r="T1401" i="2"/>
  <c r="V220" i="1"/>
  <c r="V222" i="1" s="1"/>
  <c r="U227" i="1"/>
  <c r="U228" i="1" s="1"/>
  <c r="U230" i="1"/>
  <c r="W227" i="1"/>
  <c r="W228" i="1" s="1"/>
  <c r="W230" i="1"/>
  <c r="R1394" i="2" l="1"/>
  <c r="R1395" i="2" s="1"/>
  <c r="R1396" i="2" s="1"/>
  <c r="R1397" i="2" s="1"/>
  <c r="R1400" i="2" s="1"/>
  <c r="S1401" i="2" s="1"/>
  <c r="R1382" i="2"/>
  <c r="R1383" i="2" s="1"/>
  <c r="R1386" i="2" s="1"/>
  <c r="S1387" i="2" s="1"/>
  <c r="R1418" i="2"/>
  <c r="T1415" i="2"/>
  <c r="R1407" i="2"/>
  <c r="R1406" i="2"/>
  <c r="V224" i="1"/>
  <c r="V225" i="1" s="1"/>
  <c r="W229" i="1"/>
  <c r="W231" i="1" s="1"/>
  <c r="U229" i="1"/>
  <c r="U231" i="1" s="1"/>
  <c r="R1420" i="2" l="1"/>
  <c r="T1429" i="2"/>
  <c r="R1432" i="2"/>
  <c r="R1421" i="2"/>
  <c r="R1408" i="2"/>
  <c r="R1409" i="2" s="1"/>
  <c r="R1412" i="2"/>
  <c r="V226" i="1"/>
  <c r="U233" i="1"/>
  <c r="U234" i="1" s="1"/>
  <c r="W233" i="1"/>
  <c r="W234" i="1" s="1"/>
  <c r="R1422" i="2" l="1"/>
  <c r="R1423" i="2" s="1"/>
  <c r="R1424" i="2" s="1"/>
  <c r="R1425" i="2" s="1"/>
  <c r="R1446" i="2"/>
  <c r="R1435" i="2"/>
  <c r="R1434" i="2"/>
  <c r="R1440" i="2" s="1"/>
  <c r="T1443" i="2"/>
  <c r="R1410" i="2"/>
  <c r="R1411" i="2" s="1"/>
  <c r="R1414" i="2" s="1"/>
  <c r="S1415" i="2" s="1"/>
  <c r="R1426" i="2"/>
  <c r="V227" i="1"/>
  <c r="V228" i="1" s="1"/>
  <c r="V230" i="1"/>
  <c r="W235" i="1"/>
  <c r="U235" i="1"/>
  <c r="R1428" i="2" l="1"/>
  <c r="S1429" i="2" s="1"/>
  <c r="R1436" i="2"/>
  <c r="R1437" i="2" s="1"/>
  <c r="R1438" i="2" s="1"/>
  <c r="R1439" i="2" s="1"/>
  <c r="R1442" i="2" s="1"/>
  <c r="S1443" i="2" s="1"/>
  <c r="T1457" i="2"/>
  <c r="R1448" i="2"/>
  <c r="R1454" i="2" s="1"/>
  <c r="R1460" i="2"/>
  <c r="R1449" i="2"/>
  <c r="V229" i="1"/>
  <c r="V231" i="1" s="1"/>
  <c r="W239" i="1"/>
  <c r="W236" i="1"/>
  <c r="W237" i="1" s="1"/>
  <c r="U239" i="1"/>
  <c r="U236" i="1"/>
  <c r="U237" i="1" s="1"/>
  <c r="R1450" i="2" l="1"/>
  <c r="R1451" i="2" s="1"/>
  <c r="R1452" i="2" s="1"/>
  <c r="R1453" i="2" s="1"/>
  <c r="R1456" i="2" s="1"/>
  <c r="S1457" i="2" s="1"/>
  <c r="R1474" i="2"/>
  <c r="T1471" i="2"/>
  <c r="R1463" i="2"/>
  <c r="R1462" i="2"/>
  <c r="U238" i="1"/>
  <c r="U240" i="1" s="1"/>
  <c r="W238" i="1"/>
  <c r="W240" i="1" s="1"/>
  <c r="V233" i="1"/>
  <c r="V234" i="1" s="1"/>
  <c r="R1464" i="2" l="1"/>
  <c r="R1465" i="2" s="1"/>
  <c r="R1466" i="2" s="1"/>
  <c r="R1467" i="2" s="1"/>
  <c r="R1468" i="2"/>
  <c r="R1476" i="2"/>
  <c r="R1488" i="2"/>
  <c r="T1485" i="2"/>
  <c r="R1477" i="2"/>
  <c r="U242" i="1"/>
  <c r="W242" i="1"/>
  <c r="V235" i="1"/>
  <c r="R1470" i="2" l="1"/>
  <c r="S1471" i="2" s="1"/>
  <c r="T1499" i="2"/>
  <c r="R1491" i="2"/>
  <c r="R1490" i="2"/>
  <c r="R1502" i="2"/>
  <c r="R1478" i="2"/>
  <c r="R1479" i="2" s="1"/>
  <c r="R1482" i="2"/>
  <c r="U243" i="1"/>
  <c r="V236" i="1"/>
  <c r="V237" i="1" s="1"/>
  <c r="V239" i="1"/>
  <c r="W243" i="1"/>
  <c r="R1492" i="2" l="1"/>
  <c r="R1493" i="2" s="1"/>
  <c r="R1494" i="2" s="1"/>
  <c r="R1495" i="2" s="1"/>
  <c r="R1496" i="2"/>
  <c r="R1505" i="2"/>
  <c r="R1516" i="2"/>
  <c r="T1513" i="2"/>
  <c r="R1504" i="2"/>
  <c r="R1480" i="2"/>
  <c r="R1481" i="2" s="1"/>
  <c r="R1484" i="2" s="1"/>
  <c r="S1485" i="2" s="1"/>
  <c r="U244" i="1"/>
  <c r="W244" i="1"/>
  <c r="V238" i="1"/>
  <c r="V240" i="1" s="1"/>
  <c r="R1506" i="2" l="1"/>
  <c r="R1507" i="2" s="1"/>
  <c r="R1508" i="2" s="1"/>
  <c r="R1509" i="2" s="1"/>
  <c r="R1498" i="2"/>
  <c r="S1499" i="2" s="1"/>
  <c r="R1510" i="2"/>
  <c r="T1527" i="2"/>
  <c r="R1530" i="2"/>
  <c r="R1519" i="2"/>
  <c r="R1518" i="2"/>
  <c r="V242" i="1"/>
  <c r="W248" i="1"/>
  <c r="W245" i="1"/>
  <c r="W246" i="1" s="1"/>
  <c r="U248" i="1"/>
  <c r="U245" i="1"/>
  <c r="U246" i="1" s="1"/>
  <c r="R1512" i="2" l="1"/>
  <c r="S1513" i="2" s="1"/>
  <c r="R1520" i="2"/>
  <c r="R1521" i="2" s="1"/>
  <c r="R1522" i="2" s="1"/>
  <c r="R1523" i="2" s="1"/>
  <c r="R1533" i="2"/>
  <c r="R1532" i="2"/>
  <c r="R1538" i="2" s="1"/>
  <c r="R1544" i="2"/>
  <c r="T1541" i="2"/>
  <c r="R1524" i="2"/>
  <c r="V243" i="1"/>
  <c r="U247" i="1"/>
  <c r="U249" i="1" s="1"/>
  <c r="W247" i="1"/>
  <c r="W249" i="1" s="1"/>
  <c r="R1526" i="2" l="1"/>
  <c r="S1527" i="2" s="1"/>
  <c r="R1558" i="2"/>
  <c r="T1555" i="2"/>
  <c r="R1547" i="2"/>
  <c r="R1546" i="2"/>
  <c r="R1534" i="2"/>
  <c r="R1535" i="2" s="1"/>
  <c r="R1536" i="2" s="1"/>
  <c r="R1537" i="2" s="1"/>
  <c r="R1540" i="2" s="1"/>
  <c r="S1541" i="2" s="1"/>
  <c r="U251" i="1"/>
  <c r="W251" i="1"/>
  <c r="V244" i="1"/>
  <c r="R1548" i="2" l="1"/>
  <c r="R1549" i="2" s="1"/>
  <c r="R1550" i="2" s="1"/>
  <c r="R1551" i="2" s="1"/>
  <c r="R1552" i="2"/>
  <c r="R1572" i="2"/>
  <c r="T1569" i="2"/>
  <c r="R1560" i="2"/>
  <c r="R1561" i="2"/>
  <c r="W252" i="1"/>
  <c r="U252" i="1"/>
  <c r="V245" i="1"/>
  <c r="V246" i="1" s="1"/>
  <c r="V248" i="1"/>
  <c r="R1554" i="2" l="1"/>
  <c r="S1555" i="2" s="1"/>
  <c r="R1562" i="2"/>
  <c r="R1563" i="2" s="1"/>
  <c r="R1564" i="2" s="1"/>
  <c r="R1565" i="2" s="1"/>
  <c r="R1566" i="2"/>
  <c r="T1583" i="2"/>
  <c r="R1575" i="2"/>
  <c r="R1574" i="2"/>
  <c r="R1586" i="2"/>
  <c r="W253" i="1"/>
  <c r="V247" i="1"/>
  <c r="V249" i="1" s="1"/>
  <c r="U253" i="1"/>
  <c r="R1576" i="2" l="1"/>
  <c r="R1577" i="2" s="1"/>
  <c r="R1578" i="2" s="1"/>
  <c r="R1579" i="2" s="1"/>
  <c r="R1568" i="2"/>
  <c r="S1569" i="2" s="1"/>
  <c r="R1588" i="2"/>
  <c r="R1594" i="2" s="1"/>
  <c r="R1589" i="2"/>
  <c r="R1600" i="2"/>
  <c r="T1597" i="2"/>
  <c r="R1580" i="2"/>
  <c r="V251" i="1"/>
  <c r="U257" i="1"/>
  <c r="U254" i="1"/>
  <c r="U255" i="1" s="1"/>
  <c r="W257" i="1"/>
  <c r="W254" i="1"/>
  <c r="W255" i="1" s="1"/>
  <c r="R1582" i="2" l="1"/>
  <c r="S1583" i="2" s="1"/>
  <c r="R1590" i="2"/>
  <c r="R1591" i="2" s="1"/>
  <c r="R1602" i="2"/>
  <c r="T1611" i="2"/>
  <c r="R1614" i="2"/>
  <c r="R1603" i="2"/>
  <c r="U256" i="1"/>
  <c r="U258" i="1" s="1"/>
  <c r="W256" i="1"/>
  <c r="W258" i="1" s="1"/>
  <c r="V252" i="1"/>
  <c r="R1592" i="2" l="1"/>
  <c r="R1593" i="2" s="1"/>
  <c r="R1596" i="2" s="1"/>
  <c r="S1597" i="2" s="1"/>
  <c r="R1604" i="2"/>
  <c r="R1605" i="2" s="1"/>
  <c r="R1606" i="2" s="1"/>
  <c r="R1607" i="2" s="1"/>
  <c r="R1608" i="2"/>
  <c r="R1616" i="2"/>
  <c r="R1622" i="2" s="1"/>
  <c r="R1617" i="2"/>
  <c r="R1628" i="2"/>
  <c r="T1625" i="2"/>
  <c r="W260" i="1"/>
  <c r="W261" i="1" s="1"/>
  <c r="U260" i="1"/>
  <c r="U261" i="1" s="1"/>
  <c r="V253" i="1"/>
  <c r="R1610" i="2" l="1"/>
  <c r="S1611" i="2" s="1"/>
  <c r="R1618" i="2"/>
  <c r="R1619" i="2" s="1"/>
  <c r="R1620" i="2" s="1"/>
  <c r="R1621" i="2" s="1"/>
  <c r="R1624" i="2" s="1"/>
  <c r="S1625" i="2" s="1"/>
  <c r="R1630" i="2"/>
  <c r="R1636" i="2" s="1"/>
  <c r="R1642" i="2"/>
  <c r="T1639" i="2"/>
  <c r="R1631" i="2"/>
  <c r="V257" i="1"/>
  <c r="V254" i="1"/>
  <c r="V255" i="1" s="1"/>
  <c r="W262" i="1"/>
  <c r="U262" i="1"/>
  <c r="R1632" i="2" l="1"/>
  <c r="R1633" i="2" s="1"/>
  <c r="R1634" i="2" s="1"/>
  <c r="R1635" i="2" s="1"/>
  <c r="R1638" i="2" s="1"/>
  <c r="S1639" i="2" s="1"/>
  <c r="R1656" i="2"/>
  <c r="R1644" i="2"/>
  <c r="R1650" i="2" s="1"/>
  <c r="T1653" i="2"/>
  <c r="R1645" i="2"/>
  <c r="W266" i="1"/>
  <c r="W263" i="1"/>
  <c r="W264" i="1" s="1"/>
  <c r="U266" i="1"/>
  <c r="U263" i="1"/>
  <c r="U264" i="1" s="1"/>
  <c r="V256" i="1"/>
  <c r="V258" i="1" s="1"/>
  <c r="R1658" i="2" l="1"/>
  <c r="R1664" i="2" s="1"/>
  <c r="R1659" i="2"/>
  <c r="T1667" i="2"/>
  <c r="R1670" i="2"/>
  <c r="R1646" i="2"/>
  <c r="R1647" i="2" s="1"/>
  <c r="W265" i="1"/>
  <c r="W267" i="1" s="1"/>
  <c r="U265" i="1"/>
  <c r="U267" i="1" s="1"/>
  <c r="V260" i="1"/>
  <c r="V261" i="1" s="1"/>
  <c r="R1660" i="2" l="1"/>
  <c r="R1661" i="2" s="1"/>
  <c r="R1662" i="2" s="1"/>
  <c r="R1663" i="2" s="1"/>
  <c r="R1666" i="2" s="1"/>
  <c r="S1667" i="2" s="1"/>
  <c r="R1648" i="2"/>
  <c r="R1649" i="2" s="1"/>
  <c r="R1652" i="2" s="1"/>
  <c r="S1653" i="2" s="1"/>
  <c r="R1673" i="2"/>
  <c r="R1672" i="2"/>
  <c r="T1681" i="2"/>
  <c r="R1684" i="2"/>
  <c r="U269" i="1"/>
  <c r="U270" i="1" s="1"/>
  <c r="W269" i="1"/>
  <c r="W270" i="1" s="1"/>
  <c r="V262" i="1"/>
  <c r="R1698" i="2" l="1"/>
  <c r="R1687" i="2"/>
  <c r="T1695" i="2"/>
  <c r="R1686" i="2"/>
  <c r="R1674" i="2"/>
  <c r="R1675" i="2" s="1"/>
  <c r="R1676" i="2" s="1"/>
  <c r="R1677" i="2" s="1"/>
  <c r="R1678" i="2"/>
  <c r="U271" i="1"/>
  <c r="V266" i="1"/>
  <c r="V263" i="1"/>
  <c r="V264" i="1" s="1"/>
  <c r="W271" i="1"/>
  <c r="R1680" i="2" l="1"/>
  <c r="S1681" i="2" s="1"/>
  <c r="R1688" i="2"/>
  <c r="R1689" i="2" s="1"/>
  <c r="R1690" i="2" s="1"/>
  <c r="R1691" i="2" s="1"/>
  <c r="T1709" i="2"/>
  <c r="R1700" i="2"/>
  <c r="R1701" i="2"/>
  <c r="R1712" i="2"/>
  <c r="R1692" i="2"/>
  <c r="U272" i="1"/>
  <c r="U273" i="1" s="1"/>
  <c r="U275" i="1"/>
  <c r="W275" i="1"/>
  <c r="W272" i="1"/>
  <c r="W273" i="1" s="1"/>
  <c r="V265" i="1"/>
  <c r="V267" i="1" s="1"/>
  <c r="R1694" i="2" l="1"/>
  <c r="S1695" i="2" s="1"/>
  <c r="R1702" i="2"/>
  <c r="R1703" i="2" s="1"/>
  <c r="R1704" i="2" s="1"/>
  <c r="R1705" i="2" s="1"/>
  <c r="R1714" i="2"/>
  <c r="R1715" i="2"/>
  <c r="T1723" i="2"/>
  <c r="R1726" i="2"/>
  <c r="R1706" i="2"/>
  <c r="V269" i="1"/>
  <c r="V270" i="1" s="1"/>
  <c r="U274" i="1"/>
  <c r="U276" i="1" s="1"/>
  <c r="W274" i="1"/>
  <c r="W276" i="1" s="1"/>
  <c r="R1708" i="2" l="1"/>
  <c r="S1709" i="2" s="1"/>
  <c r="R1716" i="2"/>
  <c r="R1717" i="2" s="1"/>
  <c r="R1718" i="2" s="1"/>
  <c r="R1719" i="2" s="1"/>
  <c r="R1720" i="2"/>
  <c r="R1740" i="2"/>
  <c r="R1728" i="2"/>
  <c r="T1737" i="2"/>
  <c r="R1729" i="2"/>
  <c r="V271" i="1"/>
  <c r="W278" i="1"/>
  <c r="W279" i="1" s="1"/>
  <c r="U278" i="1"/>
  <c r="U279" i="1" s="1"/>
  <c r="R1722" i="2" l="1"/>
  <c r="S1723" i="2" s="1"/>
  <c r="R1743" i="2"/>
  <c r="T1751" i="2"/>
  <c r="R1742" i="2"/>
  <c r="R1748" i="2" s="1"/>
  <c r="R1754" i="2"/>
  <c r="R1730" i="2"/>
  <c r="R1731" i="2" s="1"/>
  <c r="R1732" i="2" s="1"/>
  <c r="R1733" i="2" s="1"/>
  <c r="R1734" i="2"/>
  <c r="V272" i="1"/>
  <c r="V273" i="1" s="1"/>
  <c r="V275" i="1"/>
  <c r="U280" i="1"/>
  <c r="W280" i="1"/>
  <c r="R1736" i="2" l="1"/>
  <c r="S1737" i="2" s="1"/>
  <c r="R1744" i="2"/>
  <c r="R1745" i="2" s="1"/>
  <c r="R1746" i="2" s="1"/>
  <c r="R1747" i="2" s="1"/>
  <c r="R1750" i="2" s="1"/>
  <c r="S1751" i="2" s="1"/>
  <c r="R1756" i="2"/>
  <c r="R1762" i="2" s="1"/>
  <c r="T1765" i="2"/>
  <c r="R1757" i="2"/>
  <c r="R1768" i="2"/>
  <c r="V274" i="1"/>
  <c r="V276" i="1" s="1"/>
  <c r="U281" i="1"/>
  <c r="U282" i="1" s="1"/>
  <c r="U284" i="1"/>
  <c r="W281" i="1"/>
  <c r="W282" i="1" s="1"/>
  <c r="W284" i="1"/>
  <c r="R1770" i="2" l="1"/>
  <c r="R1776" i="2" s="1"/>
  <c r="R1782" i="2"/>
  <c r="T1779" i="2"/>
  <c r="R1771" i="2"/>
  <c r="R1758" i="2"/>
  <c r="R1759" i="2" s="1"/>
  <c r="R1760" i="2" s="1"/>
  <c r="R1761" i="2" s="1"/>
  <c r="R1764" i="2" s="1"/>
  <c r="S1765" i="2" s="1"/>
  <c r="V278" i="1"/>
  <c r="V279" i="1" s="1"/>
  <c r="W283" i="1"/>
  <c r="W285" i="1" s="1"/>
  <c r="U283" i="1"/>
  <c r="U285" i="1" s="1"/>
  <c r="R1772" i="2" l="1"/>
  <c r="R1773" i="2" s="1"/>
  <c r="R1774" i="2" s="1"/>
  <c r="R1775" i="2" s="1"/>
  <c r="R1778" i="2" s="1"/>
  <c r="S1779" i="2" s="1"/>
  <c r="R1785" i="2"/>
  <c r="R1796" i="2"/>
  <c r="T1793" i="2"/>
  <c r="R1784" i="2"/>
  <c r="V280" i="1"/>
  <c r="U287" i="1"/>
  <c r="U288" i="1" s="1"/>
  <c r="W287" i="1"/>
  <c r="W288" i="1" s="1"/>
  <c r="R1786" i="2" l="1"/>
  <c r="R1787" i="2" s="1"/>
  <c r="R1788" i="2" s="1"/>
  <c r="R1789" i="2" s="1"/>
  <c r="R1799" i="2"/>
  <c r="T1807" i="2"/>
  <c r="R1810" i="2"/>
  <c r="R1798" i="2"/>
  <c r="R1790" i="2"/>
  <c r="U289" i="1"/>
  <c r="V281" i="1"/>
  <c r="V282" i="1" s="1"/>
  <c r="V284" i="1"/>
  <c r="W289" i="1"/>
  <c r="R1800" i="2" l="1"/>
  <c r="R1801" i="2" s="1"/>
  <c r="R1802" i="2" s="1"/>
  <c r="R1803" i="2" s="1"/>
  <c r="R1792" i="2"/>
  <c r="S1793" i="2" s="1"/>
  <c r="R1812" i="2"/>
  <c r="R1818" i="2" s="1"/>
  <c r="T1821" i="2"/>
  <c r="R1813" i="2"/>
  <c r="R1824" i="2"/>
  <c r="R1804" i="2"/>
  <c r="U290" i="1"/>
  <c r="U291" i="1" s="1"/>
  <c r="U293" i="1"/>
  <c r="V283" i="1"/>
  <c r="V285" i="1" s="1"/>
  <c r="W290" i="1"/>
  <c r="W291" i="1" s="1"/>
  <c r="W293" i="1"/>
  <c r="R1806" i="2" l="1"/>
  <c r="S1807" i="2" s="1"/>
  <c r="R1814" i="2"/>
  <c r="R1815" i="2" s="1"/>
  <c r="R1816" i="2" s="1"/>
  <c r="R1817" i="2" s="1"/>
  <c r="R1820" i="2" s="1"/>
  <c r="S1821" i="2" s="1"/>
  <c r="T1835" i="2"/>
  <c r="R1826" i="2"/>
  <c r="R1838" i="2"/>
  <c r="R1827" i="2"/>
  <c r="W292" i="1"/>
  <c r="W294" i="1" s="1"/>
  <c r="W296" i="1" s="1"/>
  <c r="W297" i="1" s="1"/>
  <c r="U292" i="1"/>
  <c r="U294" i="1" s="1"/>
  <c r="U296" i="1" s="1"/>
  <c r="U297" i="1" s="1"/>
  <c r="V287" i="1"/>
  <c r="V288" i="1" s="1"/>
  <c r="R1828" i="2" l="1"/>
  <c r="R1829" i="2" s="1"/>
  <c r="R1830" i="2" s="1"/>
  <c r="R1831" i="2" s="1"/>
  <c r="R1832" i="2"/>
  <c r="T1849" i="2"/>
  <c r="R1841" i="2"/>
  <c r="R1840" i="2"/>
  <c r="R1846" i="2" s="1"/>
  <c r="R1852" i="2"/>
  <c r="U298" i="1"/>
  <c r="W298" i="1"/>
  <c r="V289" i="1"/>
  <c r="R1834" i="2" l="1"/>
  <c r="S1835" i="2" s="1"/>
  <c r="R1842" i="2"/>
  <c r="R1843" i="2" s="1"/>
  <c r="R1844" i="2" s="1"/>
  <c r="R1845" i="2" s="1"/>
  <c r="R1848" i="2" s="1"/>
  <c r="S1849" i="2" s="1"/>
  <c r="R1855" i="2"/>
  <c r="R1854" i="2"/>
  <c r="R1860" i="2" s="1"/>
  <c r="T1863" i="2"/>
  <c r="R1866" i="2"/>
  <c r="W302" i="1"/>
  <c r="W299" i="1"/>
  <c r="W300" i="1" s="1"/>
  <c r="U302" i="1"/>
  <c r="U301" i="1" s="1"/>
  <c r="U299" i="1"/>
  <c r="U300" i="1" s="1"/>
  <c r="V290" i="1"/>
  <c r="V291" i="1" s="1"/>
  <c r="V293" i="1"/>
  <c r="R1856" i="2" l="1"/>
  <c r="R1857" i="2" s="1"/>
  <c r="R1858" i="2" s="1"/>
  <c r="R1859" i="2" s="1"/>
  <c r="R1862" i="2" s="1"/>
  <c r="S1863" i="2" s="1"/>
  <c r="R1880" i="2"/>
  <c r="R1868" i="2"/>
  <c r="R1869" i="2"/>
  <c r="T1877" i="2"/>
  <c r="U303" i="1"/>
  <c r="U305" i="1" s="1"/>
  <c r="U306" i="1" s="1"/>
  <c r="U307" i="1" s="1"/>
  <c r="W301" i="1"/>
  <c r="W303" i="1" s="1"/>
  <c r="W305" i="1" s="1"/>
  <c r="W306" i="1" s="1"/>
  <c r="V292" i="1"/>
  <c r="V294" i="1" s="1"/>
  <c r="V296" i="1" s="1"/>
  <c r="V297" i="1" s="1"/>
  <c r="R1870" i="2" l="1"/>
  <c r="R1871" i="2" s="1"/>
  <c r="R1872" i="2" s="1"/>
  <c r="R1873" i="2" s="1"/>
  <c r="R1894" i="2"/>
  <c r="R1883" i="2"/>
  <c r="T1891" i="2"/>
  <c r="R1882" i="2"/>
  <c r="R1874" i="2"/>
  <c r="V298" i="1"/>
  <c r="W307" i="1"/>
  <c r="U311" i="1"/>
  <c r="U308" i="1"/>
  <c r="U309" i="1" s="1"/>
  <c r="R1876" i="2" l="1"/>
  <c r="S1877" i="2" s="1"/>
  <c r="R1884" i="2"/>
  <c r="R1885" i="2" s="1"/>
  <c r="R1886" i="2" s="1"/>
  <c r="R1887" i="2" s="1"/>
  <c r="R1888" i="2"/>
  <c r="R1896" i="2"/>
  <c r="T1905" i="2"/>
  <c r="R1897" i="2"/>
  <c r="R1908" i="2"/>
  <c r="U310" i="1"/>
  <c r="U312" i="1" s="1"/>
  <c r="U314" i="1" s="1"/>
  <c r="U315" i="1" s="1"/>
  <c r="V302" i="1"/>
  <c r="V301" i="1" s="1"/>
  <c r="V299" i="1"/>
  <c r="V300" i="1" s="1"/>
  <c r="W308" i="1"/>
  <c r="W309" i="1" s="1"/>
  <c r="W311" i="1"/>
  <c r="W310" i="1" s="1"/>
  <c r="R1890" i="2" l="1"/>
  <c r="S1891" i="2" s="1"/>
  <c r="R1911" i="2"/>
  <c r="R1910" i="2"/>
  <c r="T1919" i="2"/>
  <c r="R1922" i="2"/>
  <c r="R1898" i="2"/>
  <c r="R1899" i="2" s="1"/>
  <c r="R1902" i="2"/>
  <c r="V303" i="1"/>
  <c r="V305" i="1" s="1"/>
  <c r="V306" i="1" s="1"/>
  <c r="V307" i="1" s="1"/>
  <c r="W312" i="1"/>
  <c r="W314" i="1" s="1"/>
  <c r="W315" i="1" s="1"/>
  <c r="W316" i="1" s="1"/>
  <c r="U316" i="1"/>
  <c r="R1912" i="2" l="1"/>
  <c r="R1913" i="2" s="1"/>
  <c r="R1914" i="2" s="1"/>
  <c r="R1915" i="2" s="1"/>
  <c r="R1900" i="2"/>
  <c r="R1901" i="2" s="1"/>
  <c r="R1904" i="2" s="1"/>
  <c r="S1905" i="2" s="1"/>
  <c r="R1936" i="2"/>
  <c r="R1924" i="2"/>
  <c r="R1930" i="2" s="1"/>
  <c r="T1933" i="2"/>
  <c r="R1925" i="2"/>
  <c r="R1916" i="2"/>
  <c r="V308" i="1"/>
  <c r="V309" i="1" s="1"/>
  <c r="V311" i="1"/>
  <c r="V310" i="1" s="1"/>
  <c r="U320" i="1"/>
  <c r="U317" i="1"/>
  <c r="U318" i="1" s="1"/>
  <c r="W317" i="1"/>
  <c r="W318" i="1" s="1"/>
  <c r="W320" i="1"/>
  <c r="R1918" i="2" l="1"/>
  <c r="S1919" i="2" s="1"/>
  <c r="R1950" i="2"/>
  <c r="R1938" i="2"/>
  <c r="R1944" i="2" s="1"/>
  <c r="T1947" i="2"/>
  <c r="R1939" i="2"/>
  <c r="R1926" i="2"/>
  <c r="R1927" i="2" s="1"/>
  <c r="R1928" i="2" s="1"/>
  <c r="R1929" i="2" s="1"/>
  <c r="R1932" i="2" s="1"/>
  <c r="S1933" i="2" s="1"/>
  <c r="W319" i="1"/>
  <c r="W321" i="1" s="1"/>
  <c r="W323" i="1" s="1"/>
  <c r="W324" i="1" s="1"/>
  <c r="U319" i="1"/>
  <c r="U321" i="1" s="1"/>
  <c r="U323" i="1" s="1"/>
  <c r="U324" i="1" s="1"/>
  <c r="V312" i="1"/>
  <c r="V314" i="1" s="1"/>
  <c r="V315" i="1" s="1"/>
  <c r="R1964" i="2" l="1"/>
  <c r="T1961" i="2"/>
  <c r="R1953" i="2"/>
  <c r="R1952" i="2"/>
  <c r="R1940" i="2"/>
  <c r="R1941" i="2" s="1"/>
  <c r="R1942" i="2" s="1"/>
  <c r="R1943" i="2" s="1"/>
  <c r="R1946" i="2" s="1"/>
  <c r="S1947" i="2" s="1"/>
  <c r="U325" i="1"/>
  <c r="V316" i="1"/>
  <c r="W325" i="1"/>
  <c r="R1954" i="2" l="1"/>
  <c r="R1955" i="2" s="1"/>
  <c r="R1978" i="2"/>
  <c r="T1975" i="2"/>
  <c r="R1966" i="2"/>
  <c r="R1967" i="2"/>
  <c r="R1958" i="2"/>
  <c r="W329" i="1"/>
  <c r="W326" i="1"/>
  <c r="W327" i="1" s="1"/>
  <c r="U326" i="1"/>
  <c r="U327" i="1" s="1"/>
  <c r="U329" i="1"/>
  <c r="V317" i="1"/>
  <c r="V318" i="1" s="1"/>
  <c r="V320" i="1"/>
  <c r="R1968" i="2" l="1"/>
  <c r="R1969" i="2" s="1"/>
  <c r="R1970" i="2" s="1"/>
  <c r="R1971" i="2" s="1"/>
  <c r="R1972" i="2"/>
  <c r="R1956" i="2"/>
  <c r="R1957" i="2" s="1"/>
  <c r="R1960" i="2" s="1"/>
  <c r="S1961" i="2" s="1"/>
  <c r="R1981" i="2"/>
  <c r="R1980" i="2"/>
  <c r="R1986" i="2" s="1"/>
  <c r="R1992" i="2"/>
  <c r="T1989" i="2"/>
  <c r="V319" i="1"/>
  <c r="V321" i="1" s="1"/>
  <c r="V323" i="1" s="1"/>
  <c r="V324" i="1" s="1"/>
  <c r="W328" i="1"/>
  <c r="W330" i="1" s="1"/>
  <c r="W332" i="1" s="1"/>
  <c r="W333" i="1" s="1"/>
  <c r="U328" i="1"/>
  <c r="U330" i="1" s="1"/>
  <c r="U332" i="1" s="1"/>
  <c r="U333" i="1" s="1"/>
  <c r="R1974" i="2" l="1"/>
  <c r="S1975" i="2" s="1"/>
  <c r="R1994" i="2"/>
  <c r="R1995" i="2"/>
  <c r="T2003" i="2"/>
  <c r="R2006" i="2"/>
  <c r="R1982" i="2"/>
  <c r="R1983" i="2" s="1"/>
  <c r="U334" i="1"/>
  <c r="V325" i="1"/>
  <c r="W334" i="1"/>
  <c r="R2020" i="2" l="1"/>
  <c r="R2008" i="2"/>
  <c r="R2009" i="2"/>
  <c r="T2017" i="2"/>
  <c r="R1996" i="2"/>
  <c r="R1997" i="2" s="1"/>
  <c r="R1984" i="2"/>
  <c r="R1985" i="2" s="1"/>
  <c r="R1988" i="2" s="1"/>
  <c r="S1989" i="2" s="1"/>
  <c r="R2000" i="2"/>
  <c r="V329" i="1"/>
  <c r="V326" i="1"/>
  <c r="V327" i="1" s="1"/>
  <c r="W338" i="1"/>
  <c r="W335" i="1"/>
  <c r="W336" i="1" s="1"/>
  <c r="U335" i="1"/>
  <c r="U336" i="1" s="1"/>
  <c r="U338" i="1"/>
  <c r="R2010" i="2" l="1"/>
  <c r="R2011" i="2" s="1"/>
  <c r="R2012" i="2" s="1"/>
  <c r="R2013" i="2" s="1"/>
  <c r="R1998" i="2"/>
  <c r="R1999" i="2" s="1"/>
  <c r="R2002" i="2" s="1"/>
  <c r="S2003" i="2" s="1"/>
  <c r="R2022" i="2"/>
  <c r="T2031" i="2"/>
  <c r="R2023" i="2"/>
  <c r="R2034" i="2"/>
  <c r="R2014" i="2"/>
  <c r="U337" i="1"/>
  <c r="U339" i="1" s="1"/>
  <c r="U341" i="1" s="1"/>
  <c r="U342" i="1" s="1"/>
  <c r="V328" i="1"/>
  <c r="V330" i="1" s="1"/>
  <c r="V332" i="1" s="1"/>
  <c r="V333" i="1" s="1"/>
  <c r="W337" i="1"/>
  <c r="W339" i="1" s="1"/>
  <c r="W341" i="1" s="1"/>
  <c r="W342" i="1" s="1"/>
  <c r="R2016" i="2" l="1"/>
  <c r="S2017" i="2" s="1"/>
  <c r="R2024" i="2"/>
  <c r="R2025" i="2" s="1"/>
  <c r="R2026" i="2" s="1"/>
  <c r="R2027" i="2" s="1"/>
  <c r="T2045" i="2"/>
  <c r="R2048" i="2"/>
  <c r="R2036" i="2"/>
  <c r="R2042" i="2" s="1"/>
  <c r="R2037" i="2"/>
  <c r="R2028" i="2"/>
  <c r="W343" i="1"/>
  <c r="U343" i="1"/>
  <c r="V334" i="1"/>
  <c r="R2030" i="2" l="1"/>
  <c r="S2031" i="2" s="1"/>
  <c r="R2038" i="2"/>
  <c r="R2039" i="2" s="1"/>
  <c r="R2040" i="2" s="1"/>
  <c r="R2041" i="2" s="1"/>
  <c r="R2044" i="2" s="1"/>
  <c r="S2045" i="2" s="1"/>
  <c r="T2059" i="2"/>
  <c r="R2051" i="2"/>
  <c r="R2062" i="2"/>
  <c r="R2050" i="2"/>
  <c r="U344" i="1"/>
  <c r="U345" i="1" s="1"/>
  <c r="U347" i="1"/>
  <c r="V335" i="1"/>
  <c r="V336" i="1" s="1"/>
  <c r="V338" i="1"/>
  <c r="W347" i="1"/>
  <c r="W344" i="1"/>
  <c r="W345" i="1" s="1"/>
  <c r="R2052" i="2" l="1"/>
  <c r="R2053" i="2" s="1"/>
  <c r="R2054" i="2" s="1"/>
  <c r="R2055" i="2" s="1"/>
  <c r="R2056" i="2"/>
  <c r="R2065" i="2"/>
  <c r="T2073" i="2"/>
  <c r="R2076" i="2"/>
  <c r="R2064" i="2"/>
  <c r="U346" i="1"/>
  <c r="U348" i="1" s="1"/>
  <c r="U350" i="1" s="1"/>
  <c r="U351" i="1" s="1"/>
  <c r="W346" i="1"/>
  <c r="W348" i="1" s="1"/>
  <c r="W350" i="1" s="1"/>
  <c r="W351" i="1" s="1"/>
  <c r="V337" i="1"/>
  <c r="V339" i="1" s="1"/>
  <c r="V341" i="1" s="1"/>
  <c r="V342" i="1" s="1"/>
  <c r="R2058" i="2" l="1"/>
  <c r="S2059" i="2" s="1"/>
  <c r="R2066" i="2"/>
  <c r="R2067" i="2" s="1"/>
  <c r="R2068" i="2" s="1"/>
  <c r="R2069" i="2" s="1"/>
  <c r="R2070" i="2"/>
  <c r="R2090" i="2"/>
  <c r="R2078" i="2"/>
  <c r="R2084" i="2" s="1"/>
  <c r="R2079" i="2"/>
  <c r="T2087" i="2"/>
  <c r="V343" i="1"/>
  <c r="U352" i="1"/>
  <c r="W352" i="1"/>
  <c r="R2072" i="2" l="1"/>
  <c r="S2073" i="2" s="1"/>
  <c r="R2104" i="2"/>
  <c r="T2101" i="2"/>
  <c r="R2093" i="2"/>
  <c r="R2092" i="2"/>
  <c r="R2080" i="2"/>
  <c r="R2081" i="2" s="1"/>
  <c r="R2082" i="2" s="1"/>
  <c r="R2083" i="2" s="1"/>
  <c r="R2086" i="2" s="1"/>
  <c r="S2087" i="2" s="1"/>
  <c r="U356" i="1"/>
  <c r="U353" i="1"/>
  <c r="U354" i="1" s="1"/>
  <c r="W353" i="1"/>
  <c r="W354" i="1" s="1"/>
  <c r="W356" i="1"/>
  <c r="V344" i="1"/>
  <c r="V345" i="1" s="1"/>
  <c r="V347" i="1"/>
  <c r="R2094" i="2" l="1"/>
  <c r="R2095" i="2" s="1"/>
  <c r="R2096" i="2" s="1"/>
  <c r="R2097" i="2" s="1"/>
  <c r="R2098" i="2"/>
  <c r="R2107" i="2"/>
  <c r="R2118" i="2"/>
  <c r="R2106" i="2"/>
  <c r="T2115" i="2"/>
  <c r="V346" i="1"/>
  <c r="V348" i="1" s="1"/>
  <c r="V350" i="1" s="1"/>
  <c r="V351" i="1" s="1"/>
  <c r="U355" i="1"/>
  <c r="U357" i="1" s="1"/>
  <c r="U359" i="1" s="1"/>
  <c r="U360" i="1" s="1"/>
  <c r="W355" i="1"/>
  <c r="W357" i="1" s="1"/>
  <c r="W359" i="1" s="1"/>
  <c r="W360" i="1" s="1"/>
  <c r="R2100" i="2" l="1"/>
  <c r="S2101" i="2" s="1"/>
  <c r="R2108" i="2"/>
  <c r="R2109" i="2" s="1"/>
  <c r="R2110" i="2" s="1"/>
  <c r="R2111" i="2" s="1"/>
  <c r="R2112" i="2"/>
  <c r="R2132" i="2"/>
  <c r="R2121" i="2"/>
  <c r="R2120" i="2"/>
  <c r="T2129" i="2"/>
  <c r="W361" i="1"/>
  <c r="V352" i="1"/>
  <c r="U361" i="1"/>
  <c r="R2114" i="2" l="1"/>
  <c r="S2115" i="2" s="1"/>
  <c r="R2122" i="2"/>
  <c r="R2123" i="2" s="1"/>
  <c r="R2124" i="2" s="1"/>
  <c r="R2125" i="2" s="1"/>
  <c r="R2135" i="2"/>
  <c r="T2143" i="2"/>
  <c r="R2146" i="2"/>
  <c r="R2134" i="2"/>
  <c r="R2126" i="2"/>
  <c r="U362" i="1"/>
  <c r="U363" i="1" s="1"/>
  <c r="U365" i="1"/>
  <c r="W365" i="1"/>
  <c r="W362" i="1"/>
  <c r="W363" i="1" s="1"/>
  <c r="V356" i="1"/>
  <c r="V353" i="1"/>
  <c r="V354" i="1" s="1"/>
  <c r="R2136" i="2" l="1"/>
  <c r="R2137" i="2" s="1"/>
  <c r="R2138" i="2" s="1"/>
  <c r="R2139" i="2" s="1"/>
  <c r="R2128" i="2"/>
  <c r="S2129" i="2" s="1"/>
  <c r="R2140" i="2"/>
  <c r="T2157" i="2"/>
  <c r="R2149" i="2"/>
  <c r="R2148" i="2"/>
  <c r="R2154" i="2" s="1"/>
  <c r="R2160" i="2"/>
  <c r="U364" i="1"/>
  <c r="U366" i="1" s="1"/>
  <c r="U368" i="1" s="1"/>
  <c r="U369" i="1" s="1"/>
  <c r="W364" i="1"/>
  <c r="W366" i="1" s="1"/>
  <c r="W368" i="1" s="1"/>
  <c r="W369" i="1" s="1"/>
  <c r="V355" i="1"/>
  <c r="V357" i="1" s="1"/>
  <c r="V359" i="1" s="1"/>
  <c r="V360" i="1" s="1"/>
  <c r="R2142" i="2" l="1"/>
  <c r="S2143" i="2" s="1"/>
  <c r="R2162" i="2"/>
  <c r="T2171" i="2"/>
  <c r="R2174" i="2"/>
  <c r="R2163" i="2"/>
  <c r="R2150" i="2"/>
  <c r="R2151" i="2" s="1"/>
  <c r="R2152" i="2" s="1"/>
  <c r="R2153" i="2" s="1"/>
  <c r="R2156" i="2" s="1"/>
  <c r="S2157" i="2" s="1"/>
  <c r="V361" i="1"/>
  <c r="U370" i="1"/>
  <c r="W370" i="1"/>
  <c r="R2164" i="2" l="1"/>
  <c r="R2165" i="2" s="1"/>
  <c r="R2168" i="2"/>
  <c r="R2188" i="2"/>
  <c r="T2185" i="2"/>
  <c r="R2176" i="2"/>
  <c r="R2177" i="2"/>
  <c r="W374" i="1"/>
  <c r="W371" i="1"/>
  <c r="W372" i="1" s="1"/>
  <c r="V362" i="1"/>
  <c r="V363" i="1" s="1"/>
  <c r="V365" i="1"/>
  <c r="U374" i="1"/>
  <c r="U371" i="1"/>
  <c r="U372" i="1" s="1"/>
  <c r="R2178" i="2" l="1"/>
  <c r="R2179" i="2" s="1"/>
  <c r="R2180" i="2" s="1"/>
  <c r="R2181" i="2" s="1"/>
  <c r="T2199" i="2"/>
  <c r="R2190" i="2"/>
  <c r="R2191" i="2"/>
  <c r="R2202" i="2"/>
  <c r="R2182" i="2"/>
  <c r="R2166" i="2"/>
  <c r="R2167" i="2" s="1"/>
  <c r="R2170" i="2" s="1"/>
  <c r="S2171" i="2" s="1"/>
  <c r="U373" i="1"/>
  <c r="U375" i="1" s="1"/>
  <c r="U377" i="1" s="1"/>
  <c r="U378" i="1" s="1"/>
  <c r="W373" i="1"/>
  <c r="W375" i="1" s="1"/>
  <c r="W377" i="1" s="1"/>
  <c r="W378" i="1" s="1"/>
  <c r="V364" i="1"/>
  <c r="V366" i="1" s="1"/>
  <c r="V368" i="1" s="1"/>
  <c r="V369" i="1" s="1"/>
  <c r="R2184" i="2" l="1"/>
  <c r="S2185" i="2" s="1"/>
  <c r="R2192" i="2"/>
  <c r="R2193" i="2" s="1"/>
  <c r="R2194" i="2" s="1"/>
  <c r="R2195" i="2" s="1"/>
  <c r="R2205" i="2"/>
  <c r="R2216" i="2"/>
  <c r="T2213" i="2"/>
  <c r="R2204" i="2"/>
  <c r="R2196" i="2"/>
  <c r="V370" i="1"/>
  <c r="U379" i="1"/>
  <c r="W379" i="1"/>
  <c r="R2198" i="2" l="1"/>
  <c r="S2199" i="2" s="1"/>
  <c r="R2206" i="2"/>
  <c r="R2207" i="2" s="1"/>
  <c r="R2208" i="2" s="1"/>
  <c r="R2209" i="2" s="1"/>
  <c r="R2230" i="2"/>
  <c r="R2219" i="2"/>
  <c r="T2227" i="2"/>
  <c r="R2218" i="2"/>
  <c r="R2210" i="2"/>
  <c r="W380" i="1"/>
  <c r="W381" i="1" s="1"/>
  <c r="W383" i="1"/>
  <c r="V371" i="1"/>
  <c r="V372" i="1" s="1"/>
  <c r="V374" i="1"/>
  <c r="U380" i="1"/>
  <c r="U381" i="1" s="1"/>
  <c r="U383" i="1"/>
  <c r="R2212" i="2" l="1"/>
  <c r="S2213" i="2" s="1"/>
  <c r="R2220" i="2"/>
  <c r="R2221" i="2" s="1"/>
  <c r="R2222" i="2" s="1"/>
  <c r="R2223" i="2" s="1"/>
  <c r="R2224" i="2"/>
  <c r="R2233" i="2"/>
  <c r="R2244" i="2"/>
  <c r="R2232" i="2"/>
  <c r="T2241" i="2"/>
  <c r="U382" i="1"/>
  <c r="U384" i="1" s="1"/>
  <c r="W382" i="1"/>
  <c r="W384" i="1" s="1"/>
  <c r="V373" i="1"/>
  <c r="V375" i="1" s="1"/>
  <c r="V377" i="1" s="1"/>
  <c r="V378" i="1" s="1"/>
  <c r="R2226" i="2" l="1"/>
  <c r="S2227" i="2" s="1"/>
  <c r="R2234" i="2"/>
  <c r="R2235" i="2" s="1"/>
  <c r="R2236" i="2" s="1"/>
  <c r="R2237" i="2" s="1"/>
  <c r="R2238" i="2"/>
  <c r="R2247" i="2"/>
  <c r="R2246" i="2"/>
  <c r="R2252" i="2" s="1"/>
  <c r="T2255" i="2"/>
  <c r="R2258" i="2"/>
  <c r="U386" i="1"/>
  <c r="U387" i="1" s="1"/>
  <c r="W386" i="1"/>
  <c r="W387" i="1" s="1"/>
  <c r="V379" i="1"/>
  <c r="R2240" i="2" l="1"/>
  <c r="S2241" i="2" s="1"/>
  <c r="R2272" i="2"/>
  <c r="T2269" i="2"/>
  <c r="R2261" i="2"/>
  <c r="R2260" i="2"/>
  <c r="R2248" i="2"/>
  <c r="R2249" i="2" s="1"/>
  <c r="R2250" i="2" s="1"/>
  <c r="R2251" i="2" s="1"/>
  <c r="R2254" i="2" s="1"/>
  <c r="S2255" i="2" s="1"/>
  <c r="W388" i="1"/>
  <c r="U388" i="1"/>
  <c r="V383" i="1"/>
  <c r="V380" i="1"/>
  <c r="V381" i="1" s="1"/>
  <c r="R2262" i="2" l="1"/>
  <c r="R2263" i="2" s="1"/>
  <c r="R2264" i="2" s="1"/>
  <c r="R2265" i="2" s="1"/>
  <c r="R2286" i="2"/>
  <c r="R2275" i="2"/>
  <c r="T2283" i="2"/>
  <c r="R2274" i="2"/>
  <c r="R2266" i="2"/>
  <c r="W389" i="1"/>
  <c r="W390" i="1" s="1"/>
  <c r="W392" i="1"/>
  <c r="U389" i="1"/>
  <c r="U390" i="1" s="1"/>
  <c r="U392" i="1"/>
  <c r="V382" i="1"/>
  <c r="V384" i="1" s="1"/>
  <c r="R2268" i="2" l="1"/>
  <c r="S2269" i="2" s="1"/>
  <c r="R2289" i="2"/>
  <c r="R2300" i="2"/>
  <c r="R2288" i="2"/>
  <c r="R2294" i="2" s="1"/>
  <c r="T2297" i="2"/>
  <c r="R2276" i="2"/>
  <c r="R2277" i="2" s="1"/>
  <c r="R2280" i="2"/>
  <c r="W391" i="1"/>
  <c r="W393" i="1" s="1"/>
  <c r="W395" i="1" s="1"/>
  <c r="W396" i="1" s="1"/>
  <c r="V386" i="1"/>
  <c r="V387" i="1" s="1"/>
  <c r="U391" i="1"/>
  <c r="U393" i="1" s="1"/>
  <c r="U395" i="1" s="1"/>
  <c r="U396" i="1" s="1"/>
  <c r="R2278" i="2" l="1"/>
  <c r="R2279" i="2" s="1"/>
  <c r="R2282" i="2" s="1"/>
  <c r="S2283" i="2" s="1"/>
  <c r="R2302" i="2"/>
  <c r="R2308" i="2" s="1"/>
  <c r="R2303" i="2"/>
  <c r="T2311" i="2"/>
  <c r="R2314" i="2"/>
  <c r="R2290" i="2"/>
  <c r="R2291" i="2" s="1"/>
  <c r="R2292" i="2" s="1"/>
  <c r="R2293" i="2" s="1"/>
  <c r="R2296" i="2" s="1"/>
  <c r="S2297" i="2" s="1"/>
  <c r="W397" i="1"/>
  <c r="V388" i="1"/>
  <c r="U397" i="1"/>
  <c r="T2325" i="2" l="1"/>
  <c r="R2317" i="2"/>
  <c r="R2316" i="2"/>
  <c r="R2322" i="2" s="1"/>
  <c r="R2328" i="2"/>
  <c r="R2304" i="2"/>
  <c r="R2305" i="2" s="1"/>
  <c r="R2306" i="2" s="1"/>
  <c r="R2307" i="2" s="1"/>
  <c r="R2310" i="2" s="1"/>
  <c r="S2311" i="2" s="1"/>
  <c r="V389" i="1"/>
  <c r="V390" i="1" s="1"/>
  <c r="V392" i="1"/>
  <c r="W401" i="1"/>
  <c r="W398" i="1"/>
  <c r="W399" i="1" s="1"/>
  <c r="U398" i="1"/>
  <c r="U399" i="1" s="1"/>
  <c r="U401" i="1"/>
  <c r="R2318" i="2" l="1"/>
  <c r="R2319" i="2" s="1"/>
  <c r="R2331" i="2"/>
  <c r="R2330" i="2"/>
  <c r="R2336" i="2" s="1"/>
  <c r="T2339" i="2"/>
  <c r="R2342" i="2"/>
  <c r="V391" i="1"/>
  <c r="V393" i="1" s="1"/>
  <c r="V395" i="1" s="1"/>
  <c r="V396" i="1" s="1"/>
  <c r="W400" i="1"/>
  <c r="W402" i="1" s="1"/>
  <c r="W404" i="1" s="1"/>
  <c r="W405" i="1" s="1"/>
  <c r="U400" i="1"/>
  <c r="U402" i="1" s="1"/>
  <c r="U404" i="1" s="1"/>
  <c r="U405" i="1" s="1"/>
  <c r="R2356" i="2" l="1"/>
  <c r="R2344" i="2"/>
  <c r="R2345" i="2"/>
  <c r="T2353" i="2"/>
  <c r="R2320" i="2"/>
  <c r="R2321" i="2" s="1"/>
  <c r="R2324" i="2" s="1"/>
  <c r="S2325" i="2" s="1"/>
  <c r="R2332" i="2"/>
  <c r="R2333" i="2" s="1"/>
  <c r="W406" i="1"/>
  <c r="V397" i="1"/>
  <c r="U406" i="1"/>
  <c r="R2346" i="2" l="1"/>
  <c r="R2347" i="2" s="1"/>
  <c r="R2348" i="2" s="1"/>
  <c r="R2349" i="2" s="1"/>
  <c r="R2350" i="2"/>
  <c r="T2367" i="2"/>
  <c r="R2358" i="2"/>
  <c r="R2370" i="2"/>
  <c r="R2359" i="2"/>
  <c r="R2334" i="2"/>
  <c r="R2335" i="2" s="1"/>
  <c r="R2338" i="2" s="1"/>
  <c r="S2339" i="2" s="1"/>
  <c r="W407" i="1"/>
  <c r="W408" i="1" s="1"/>
  <c r="W410" i="1"/>
  <c r="V401" i="1"/>
  <c r="V398" i="1"/>
  <c r="V399" i="1" s="1"/>
  <c r="U410" i="1"/>
  <c r="U407" i="1"/>
  <c r="U408" i="1" s="1"/>
  <c r="R2352" i="2" l="1"/>
  <c r="S2353" i="2" s="1"/>
  <c r="R2360" i="2"/>
  <c r="R2361" i="2" s="1"/>
  <c r="R2362" i="2" s="1"/>
  <c r="R2363" i="2" s="1"/>
  <c r="R2364" i="2"/>
  <c r="T2381" i="2"/>
  <c r="R2373" i="2"/>
  <c r="R2372" i="2"/>
  <c r="R2378" i="2" s="1"/>
  <c r="R2384" i="2"/>
  <c r="W409" i="1"/>
  <c r="W411" i="1" s="1"/>
  <c r="W413" i="1" s="1"/>
  <c r="W414" i="1" s="1"/>
  <c r="U409" i="1"/>
  <c r="U411" i="1" s="1"/>
  <c r="U413" i="1" s="1"/>
  <c r="U414" i="1" s="1"/>
  <c r="V400" i="1"/>
  <c r="V402" i="1" s="1"/>
  <c r="V404" i="1" s="1"/>
  <c r="V405" i="1" s="1"/>
  <c r="R2366" i="2" l="1"/>
  <c r="S2367" i="2" s="1"/>
  <c r="R2374" i="2"/>
  <c r="R2375" i="2" s="1"/>
  <c r="R2376" i="2" s="1"/>
  <c r="R2377" i="2" s="1"/>
  <c r="R2380" i="2" s="1"/>
  <c r="S2381" i="2" s="1"/>
  <c r="T2395" i="2"/>
  <c r="R2387" i="2"/>
  <c r="R2386" i="2"/>
  <c r="R2392" i="2" s="1"/>
  <c r="R2398" i="2"/>
  <c r="U415" i="1"/>
  <c r="V406" i="1"/>
  <c r="W415" i="1"/>
  <c r="R2388" i="2" l="1"/>
  <c r="R2389" i="2" s="1"/>
  <c r="R2401" i="2"/>
  <c r="T2409" i="2"/>
  <c r="R2412" i="2"/>
  <c r="R2400" i="2"/>
  <c r="V410" i="1"/>
  <c r="V407" i="1"/>
  <c r="V408" i="1" s="1"/>
  <c r="U416" i="1"/>
  <c r="U417" i="1" s="1"/>
  <c r="U419" i="1"/>
  <c r="W416" i="1"/>
  <c r="W417" i="1" s="1"/>
  <c r="W419" i="1"/>
  <c r="R2402" i="2" l="1"/>
  <c r="R2403" i="2" s="1"/>
  <c r="R2404" i="2" s="1"/>
  <c r="R2405" i="2" s="1"/>
  <c r="R2415" i="2"/>
  <c r="R2426" i="2"/>
  <c r="T2423" i="2"/>
  <c r="R2414" i="2"/>
  <c r="R2390" i="2"/>
  <c r="R2391" i="2" s="1"/>
  <c r="R2394" i="2" s="1"/>
  <c r="S2395" i="2" s="1"/>
  <c r="R2406" i="2"/>
  <c r="V409" i="1"/>
  <c r="V411" i="1" s="1"/>
  <c r="V413" i="1" s="1"/>
  <c r="V414" i="1" s="1"/>
  <c r="U418" i="1"/>
  <c r="U420" i="1" s="1"/>
  <c r="U422" i="1" s="1"/>
  <c r="U423" i="1" s="1"/>
  <c r="W418" i="1"/>
  <c r="W420" i="1" s="1"/>
  <c r="W422" i="1" s="1"/>
  <c r="W423" i="1" s="1"/>
  <c r="R2408" i="2" l="1"/>
  <c r="S2409" i="2" s="1"/>
  <c r="R2416" i="2"/>
  <c r="R2417" i="2" s="1"/>
  <c r="R2418" i="2" s="1"/>
  <c r="R2419" i="2" s="1"/>
  <c r="R2428" i="2"/>
  <c r="R2434" i="2" s="1"/>
  <c r="R2440" i="2"/>
  <c r="T2437" i="2"/>
  <c r="R2429" i="2"/>
  <c r="R2420" i="2"/>
  <c r="W424" i="1"/>
  <c r="U424" i="1"/>
  <c r="V415" i="1"/>
  <c r="R2422" i="2" l="1"/>
  <c r="S2423" i="2" s="1"/>
  <c r="R2454" i="2"/>
  <c r="T2451" i="2"/>
  <c r="R2443" i="2"/>
  <c r="R2442" i="2"/>
  <c r="R2430" i="2"/>
  <c r="R2431" i="2" s="1"/>
  <c r="U428" i="1"/>
  <c r="U425" i="1"/>
  <c r="U426" i="1" s="1"/>
  <c r="V416" i="1"/>
  <c r="V417" i="1" s="1"/>
  <c r="V419" i="1"/>
  <c r="W425" i="1"/>
  <c r="W426" i="1" s="1"/>
  <c r="W428" i="1"/>
  <c r="R2444" i="2" l="1"/>
  <c r="R2445" i="2" s="1"/>
  <c r="R2446" i="2" s="1"/>
  <c r="R2447" i="2" s="1"/>
  <c r="R2432" i="2"/>
  <c r="R2433" i="2" s="1"/>
  <c r="R2436" i="2" s="1"/>
  <c r="S2437" i="2" s="1"/>
  <c r="R2448" i="2"/>
  <c r="R2456" i="2"/>
  <c r="R2462" i="2" s="1"/>
  <c r="R2457" i="2"/>
  <c r="T2465" i="2"/>
  <c r="R2468" i="2"/>
  <c r="W427" i="1"/>
  <c r="W429" i="1" s="1"/>
  <c r="W431" i="1" s="1"/>
  <c r="W432" i="1" s="1"/>
  <c r="U427" i="1"/>
  <c r="U429" i="1" s="1"/>
  <c r="U431" i="1" s="1"/>
  <c r="U432" i="1" s="1"/>
  <c r="V418" i="1"/>
  <c r="V420" i="1" s="1"/>
  <c r="V422" i="1" s="1"/>
  <c r="V423" i="1" s="1"/>
  <c r="R2450" i="2" l="1"/>
  <c r="S2451" i="2" s="1"/>
  <c r="R2458" i="2"/>
  <c r="R2459" i="2" s="1"/>
  <c r="R2460" i="2" s="1"/>
  <c r="R2461" i="2" s="1"/>
  <c r="R2464" i="2" s="1"/>
  <c r="S2465" i="2" s="1"/>
  <c r="R2470" i="2"/>
  <c r="R2471" i="2"/>
  <c r="T2479" i="2"/>
  <c r="R2482" i="2"/>
  <c r="W433" i="1"/>
  <c r="U433" i="1"/>
  <c r="V424" i="1"/>
  <c r="R2472" i="2" l="1"/>
  <c r="R2473" i="2" s="1"/>
  <c r="R2474" i="2" s="1"/>
  <c r="R2475" i="2" s="1"/>
  <c r="R2476" i="2"/>
  <c r="R2496" i="2"/>
  <c r="T2493" i="2"/>
  <c r="R2485" i="2"/>
  <c r="R2484" i="2"/>
  <c r="V425" i="1"/>
  <c r="V426" i="1" s="1"/>
  <c r="V428" i="1"/>
  <c r="U434" i="1"/>
  <c r="U435" i="1" s="1"/>
  <c r="U437" i="1"/>
  <c r="W437" i="1"/>
  <c r="W434" i="1"/>
  <c r="W435" i="1" s="1"/>
  <c r="R2478" i="2" l="1"/>
  <c r="S2479" i="2" s="1"/>
  <c r="R2486" i="2"/>
  <c r="R2487" i="2" s="1"/>
  <c r="R2488" i="2" s="1"/>
  <c r="R2489" i="2" s="1"/>
  <c r="R2490" i="2"/>
  <c r="R2498" i="2"/>
  <c r="R2504" i="2" s="1"/>
  <c r="T2507" i="2"/>
  <c r="R2510" i="2"/>
  <c r="R2499" i="2"/>
  <c r="U436" i="1"/>
  <c r="U438" i="1" s="1"/>
  <c r="U440" i="1" s="1"/>
  <c r="U441" i="1" s="1"/>
  <c r="W436" i="1"/>
  <c r="W438" i="1" s="1"/>
  <c r="W440" i="1" s="1"/>
  <c r="W441" i="1" s="1"/>
  <c r="V427" i="1"/>
  <c r="V429" i="1" s="1"/>
  <c r="V431" i="1" s="1"/>
  <c r="V432" i="1" s="1"/>
  <c r="R2492" i="2" l="1"/>
  <c r="S2493" i="2" s="1"/>
  <c r="R2500" i="2"/>
  <c r="R2501" i="2" s="1"/>
  <c r="R2502" i="2" s="1"/>
  <c r="R2503" i="2" s="1"/>
  <c r="R2506" i="2" s="1"/>
  <c r="S2507" i="2" s="1"/>
  <c r="T2521" i="2"/>
  <c r="R2524" i="2"/>
  <c r="R2513" i="2"/>
  <c r="R2512" i="2"/>
  <c r="R2518" i="2" s="1"/>
  <c r="W442" i="1"/>
  <c r="U442" i="1"/>
  <c r="V433" i="1"/>
  <c r="R2526" i="2" l="1"/>
  <c r="R2538" i="2"/>
  <c r="R2527" i="2"/>
  <c r="T2535" i="2"/>
  <c r="R2514" i="2"/>
  <c r="R2515" i="2" s="1"/>
  <c r="W446" i="1"/>
  <c r="W443" i="1"/>
  <c r="W444" i="1" s="1"/>
  <c r="V434" i="1"/>
  <c r="V435" i="1" s="1"/>
  <c r="V437" i="1"/>
  <c r="U443" i="1"/>
  <c r="U444" i="1" s="1"/>
  <c r="U446" i="1"/>
  <c r="R2528" i="2" l="1"/>
  <c r="R2529" i="2" s="1"/>
  <c r="R2530" i="2" s="1"/>
  <c r="R2531" i="2" s="1"/>
  <c r="R2532" i="2"/>
  <c r="R2516" i="2"/>
  <c r="R2517" i="2" s="1"/>
  <c r="R2520" i="2" s="1"/>
  <c r="S2521" i="2" s="1"/>
  <c r="R2540" i="2"/>
  <c r="R2546" i="2" s="1"/>
  <c r="R2541" i="2"/>
  <c r="R2552" i="2"/>
  <c r="T2549" i="2"/>
  <c r="W445" i="1"/>
  <c r="W447" i="1" s="1"/>
  <c r="W449" i="1" s="1"/>
  <c r="W450" i="1" s="1"/>
  <c r="U445" i="1"/>
  <c r="U447" i="1" s="1"/>
  <c r="U449" i="1" s="1"/>
  <c r="U450" i="1" s="1"/>
  <c r="V436" i="1"/>
  <c r="V438" i="1" s="1"/>
  <c r="V440" i="1" s="1"/>
  <c r="V441" i="1" s="1"/>
  <c r="R2534" i="2" l="1"/>
  <c r="S2535" i="2" s="1"/>
  <c r="T2563" i="2"/>
  <c r="R2566" i="2"/>
  <c r="R2555" i="2"/>
  <c r="R2554" i="2"/>
  <c r="R2560" i="2" s="1"/>
  <c r="R2542" i="2"/>
  <c r="R2543" i="2" s="1"/>
  <c r="W451" i="1"/>
  <c r="U451" i="1"/>
  <c r="V442" i="1"/>
  <c r="R2556" i="2" l="1"/>
  <c r="R2557" i="2" s="1"/>
  <c r="R2558" i="2" s="1"/>
  <c r="R2559" i="2" s="1"/>
  <c r="R2562" i="2" s="1"/>
  <c r="S2563" i="2" s="1"/>
  <c r="R2544" i="2"/>
  <c r="R2545" i="2" s="1"/>
  <c r="R2548" i="2" s="1"/>
  <c r="S2549" i="2" s="1"/>
  <c r="T2577" i="2"/>
  <c r="R2568" i="2"/>
  <c r="R2569" i="2"/>
  <c r="R2580" i="2"/>
  <c r="U455" i="1"/>
  <c r="U452" i="1"/>
  <c r="U453" i="1" s="1"/>
  <c r="W455" i="1"/>
  <c r="W452" i="1"/>
  <c r="W453" i="1" s="1"/>
  <c r="V443" i="1"/>
  <c r="V444" i="1" s="1"/>
  <c r="V446" i="1"/>
  <c r="R2570" i="2" l="1"/>
  <c r="R2571" i="2" s="1"/>
  <c r="R2572" i="2" s="1"/>
  <c r="R2573" i="2" s="1"/>
  <c r="R2594" i="2"/>
  <c r="T2591" i="2"/>
  <c r="R2583" i="2"/>
  <c r="R2582" i="2"/>
  <c r="R2574" i="2"/>
  <c r="W454" i="1"/>
  <c r="W456" i="1" s="1"/>
  <c r="W458" i="1" s="1"/>
  <c r="W459" i="1" s="1"/>
  <c r="U454" i="1"/>
  <c r="U456" i="1" s="1"/>
  <c r="U458" i="1" s="1"/>
  <c r="U459" i="1" s="1"/>
  <c r="V445" i="1"/>
  <c r="V447" i="1" s="1"/>
  <c r="V449" i="1" s="1"/>
  <c r="V450" i="1" s="1"/>
  <c r="R2576" i="2" l="1"/>
  <c r="S2577" i="2" s="1"/>
  <c r="R2596" i="2"/>
  <c r="T2605" i="2"/>
  <c r="R2597" i="2"/>
  <c r="R2608" i="2"/>
  <c r="R2584" i="2"/>
  <c r="R2585" i="2" s="1"/>
  <c r="R2586" i="2" s="1"/>
  <c r="R2587" i="2" s="1"/>
  <c r="R2588" i="2"/>
  <c r="V451" i="1"/>
  <c r="W460" i="1"/>
  <c r="U460" i="1"/>
  <c r="R2590" i="2" l="1"/>
  <c r="S2591" i="2" s="1"/>
  <c r="R2598" i="2"/>
  <c r="R2599" i="2" s="1"/>
  <c r="R2600" i="2" s="1"/>
  <c r="R2601" i="2" s="1"/>
  <c r="R2611" i="2"/>
  <c r="R2622" i="2"/>
  <c r="R2610" i="2"/>
  <c r="T2619" i="2"/>
  <c r="R2602" i="2"/>
  <c r="U461" i="1"/>
  <c r="U462" i="1" s="1"/>
  <c r="U464" i="1"/>
  <c r="V452" i="1"/>
  <c r="V453" i="1" s="1"/>
  <c r="V455" i="1"/>
  <c r="W464" i="1"/>
  <c r="W461" i="1"/>
  <c r="W462" i="1" s="1"/>
  <c r="R2604" i="2" l="1"/>
  <c r="S2605" i="2" s="1"/>
  <c r="R2612" i="2"/>
  <c r="R2613" i="2" s="1"/>
  <c r="R2614" i="2" s="1"/>
  <c r="R2615" i="2" s="1"/>
  <c r="R2636" i="2"/>
  <c r="R2625" i="2"/>
  <c r="R2624" i="2"/>
  <c r="R2630" i="2" s="1"/>
  <c r="T2633" i="2"/>
  <c r="R2616" i="2"/>
  <c r="U463" i="1"/>
  <c r="U465" i="1" s="1"/>
  <c r="U467" i="1" s="1"/>
  <c r="U468" i="1" s="1"/>
  <c r="W463" i="1"/>
  <c r="W465" i="1" s="1"/>
  <c r="W467" i="1" s="1"/>
  <c r="W468" i="1" s="1"/>
  <c r="V454" i="1"/>
  <c r="V456" i="1" s="1"/>
  <c r="V458" i="1" s="1"/>
  <c r="V459" i="1" s="1"/>
  <c r="R2618" i="2" l="1"/>
  <c r="S2619" i="2" s="1"/>
  <c r="R2650" i="2"/>
  <c r="T2647" i="2"/>
  <c r="R2639" i="2"/>
  <c r="R2638" i="2"/>
  <c r="R2644" i="2" s="1"/>
  <c r="R2626" i="2"/>
  <c r="R2627" i="2" s="1"/>
  <c r="W469" i="1"/>
  <c r="V460" i="1"/>
  <c r="U469" i="1"/>
  <c r="R2640" i="2" l="1"/>
  <c r="R2641" i="2" s="1"/>
  <c r="R2642" i="2" s="1"/>
  <c r="R2643" i="2" s="1"/>
  <c r="R2646" i="2" s="1"/>
  <c r="S2647" i="2" s="1"/>
  <c r="R2653" i="2"/>
  <c r="R2652" i="2"/>
  <c r="T2661" i="2"/>
  <c r="R2664" i="2"/>
  <c r="R2628" i="2"/>
  <c r="R2629" i="2" s="1"/>
  <c r="R2632" i="2" s="1"/>
  <c r="S2633" i="2" s="1"/>
  <c r="V461" i="1"/>
  <c r="V462" i="1" s="1"/>
  <c r="V464" i="1"/>
  <c r="W473" i="1"/>
  <c r="W470" i="1"/>
  <c r="W471" i="1" s="1"/>
  <c r="U470" i="1"/>
  <c r="U471" i="1" s="1"/>
  <c r="U473" i="1"/>
  <c r="R2654" i="2" l="1"/>
  <c r="R2655" i="2" s="1"/>
  <c r="R2656" i="2" s="1"/>
  <c r="R2657" i="2" s="1"/>
  <c r="R2667" i="2"/>
  <c r="R2666" i="2"/>
  <c r="T2675" i="2"/>
  <c r="R2678" i="2"/>
  <c r="R2658" i="2"/>
  <c r="U472" i="1"/>
  <c r="U474" i="1" s="1"/>
  <c r="U476" i="1" s="1"/>
  <c r="U477" i="1" s="1"/>
  <c r="V463" i="1"/>
  <c r="V465" i="1" s="1"/>
  <c r="V467" i="1" s="1"/>
  <c r="V468" i="1" s="1"/>
  <c r="W472" i="1"/>
  <c r="W474" i="1" s="1"/>
  <c r="W476" i="1" s="1"/>
  <c r="W477" i="1" s="1"/>
  <c r="R2668" i="2" l="1"/>
  <c r="R2669" i="2" s="1"/>
  <c r="R2670" i="2" s="1"/>
  <c r="R2671" i="2" s="1"/>
  <c r="R2660" i="2"/>
  <c r="S2661" i="2" s="1"/>
  <c r="R2672" i="2"/>
  <c r="R2681" i="2"/>
  <c r="T2689" i="2"/>
  <c r="R2680" i="2"/>
  <c r="R2686" i="2" s="1"/>
  <c r="R2692" i="2"/>
  <c r="W478" i="1"/>
  <c r="U478" i="1"/>
  <c r="V469" i="1"/>
  <c r="R2674" i="2" l="1"/>
  <c r="S2675" i="2" s="1"/>
  <c r="T2703" i="2"/>
  <c r="R2695" i="2"/>
  <c r="R2694" i="2"/>
  <c r="R2700" i="2" s="1"/>
  <c r="R2706" i="2"/>
  <c r="R2682" i="2"/>
  <c r="R2683" i="2" s="1"/>
  <c r="U479" i="1"/>
  <c r="U480" i="1" s="1"/>
  <c r="U482" i="1"/>
  <c r="V470" i="1"/>
  <c r="V471" i="1" s="1"/>
  <c r="V473" i="1"/>
  <c r="W482" i="1"/>
  <c r="W479" i="1"/>
  <c r="W480" i="1" s="1"/>
  <c r="R2696" i="2" l="1"/>
  <c r="R2697" i="2" s="1"/>
  <c r="R2684" i="2"/>
  <c r="R2685" i="2" s="1"/>
  <c r="R2688" i="2" s="1"/>
  <c r="S2689" i="2" s="1"/>
  <c r="R2720" i="2"/>
  <c r="T2717" i="2"/>
  <c r="R2708" i="2"/>
  <c r="R2709" i="2"/>
  <c r="V472" i="1"/>
  <c r="V474" i="1" s="1"/>
  <c r="V476" i="1" s="1"/>
  <c r="V477" i="1" s="1"/>
  <c r="U481" i="1"/>
  <c r="U483" i="1" s="1"/>
  <c r="U485" i="1" s="1"/>
  <c r="U486" i="1" s="1"/>
  <c r="W481" i="1"/>
  <c r="W483" i="1" s="1"/>
  <c r="W485" i="1" s="1"/>
  <c r="W486" i="1" s="1"/>
  <c r="R2710" i="2" l="1"/>
  <c r="R2711" i="2" s="1"/>
  <c r="R2712" i="2" s="1"/>
  <c r="R2713" i="2" s="1"/>
  <c r="R2698" i="2"/>
  <c r="R2699" i="2" s="1"/>
  <c r="R2702" i="2" s="1"/>
  <c r="S2703" i="2" s="1"/>
  <c r="R2723" i="2"/>
  <c r="T2731" i="2"/>
  <c r="R2722" i="2"/>
  <c r="R2728" i="2" s="1"/>
  <c r="R2734" i="2"/>
  <c r="R2714" i="2"/>
  <c r="W487" i="1"/>
  <c r="V478" i="1"/>
  <c r="U487" i="1"/>
  <c r="R2716" i="2" l="1"/>
  <c r="S2717" i="2" s="1"/>
  <c r="R2724" i="2"/>
  <c r="R2725" i="2" s="1"/>
  <c r="R2726" i="2" s="1"/>
  <c r="R2727" i="2" s="1"/>
  <c r="R2730" i="2" s="1"/>
  <c r="S2731" i="2" s="1"/>
  <c r="R2748" i="2"/>
  <c r="R2737" i="2"/>
  <c r="T2745" i="2"/>
  <c r="R2736" i="2"/>
  <c r="W488" i="1"/>
  <c r="W489" i="1" s="1"/>
  <c r="W491" i="1"/>
  <c r="U491" i="1"/>
  <c r="U488" i="1"/>
  <c r="U489" i="1" s="1"/>
  <c r="V479" i="1"/>
  <c r="V480" i="1" s="1"/>
  <c r="V482" i="1"/>
  <c r="R2738" i="2" l="1"/>
  <c r="R2739" i="2" s="1"/>
  <c r="R2740" i="2" s="1"/>
  <c r="R2741" i="2" s="1"/>
  <c r="R2751" i="2"/>
  <c r="T2759" i="2"/>
  <c r="R2750" i="2"/>
  <c r="R2756" i="2" s="1"/>
  <c r="R2762" i="2"/>
  <c r="R2742" i="2"/>
  <c r="V481" i="1"/>
  <c r="V483" i="1" s="1"/>
  <c r="V485" i="1" s="1"/>
  <c r="V486" i="1" s="1"/>
  <c r="W490" i="1"/>
  <c r="W492" i="1" s="1"/>
  <c r="W494" i="1" s="1"/>
  <c r="W495" i="1" s="1"/>
  <c r="U490" i="1"/>
  <c r="U492" i="1" s="1"/>
  <c r="U494" i="1" s="1"/>
  <c r="U495" i="1" s="1"/>
  <c r="R2744" i="2" l="1"/>
  <c r="S2745" i="2" s="1"/>
  <c r="R2752" i="2"/>
  <c r="R2753" i="2" s="1"/>
  <c r="R2764" i="2"/>
  <c r="R2765" i="2"/>
  <c r="T2773" i="2"/>
  <c r="R2776" i="2"/>
  <c r="V487" i="1"/>
  <c r="W496" i="1"/>
  <c r="U496" i="1"/>
  <c r="R2766" i="2" l="1"/>
  <c r="R2767" i="2" s="1"/>
  <c r="R2768" i="2" s="1"/>
  <c r="R2769" i="2" s="1"/>
  <c r="R2770" i="2"/>
  <c r="R2779" i="2"/>
  <c r="T2787" i="2"/>
  <c r="R2778" i="2"/>
  <c r="R2784" i="2" s="1"/>
  <c r="R2790" i="2"/>
  <c r="R2754" i="2"/>
  <c r="R2755" i="2" s="1"/>
  <c r="R2758" i="2" s="1"/>
  <c r="S2759" i="2" s="1"/>
  <c r="U497" i="1"/>
  <c r="U498" i="1" s="1"/>
  <c r="U500" i="1"/>
  <c r="W500" i="1"/>
  <c r="W497" i="1"/>
  <c r="W498" i="1" s="1"/>
  <c r="V488" i="1"/>
  <c r="V489" i="1" s="1"/>
  <c r="V491" i="1"/>
  <c r="R2772" i="2" l="1"/>
  <c r="S2773" i="2" s="1"/>
  <c r="R2780" i="2"/>
  <c r="R2781" i="2" s="1"/>
  <c r="R2782" i="2" s="1"/>
  <c r="R2783" i="2" s="1"/>
  <c r="R2786" i="2" s="1"/>
  <c r="S2787" i="2" s="1"/>
  <c r="R2792" i="2"/>
  <c r="R2798" i="2" s="1"/>
  <c r="R2804" i="2"/>
  <c r="T2801" i="2"/>
  <c r="R2793" i="2"/>
  <c r="V490" i="1"/>
  <c r="V492" i="1" s="1"/>
  <c r="V494" i="1" s="1"/>
  <c r="V495" i="1" s="1"/>
  <c r="U499" i="1"/>
  <c r="U501" i="1" s="1"/>
  <c r="U503" i="1" s="1"/>
  <c r="U504" i="1" s="1"/>
  <c r="W499" i="1"/>
  <c r="W501" i="1" s="1"/>
  <c r="W503" i="1" s="1"/>
  <c r="W504" i="1" s="1"/>
  <c r="R2807" i="2" l="1"/>
  <c r="R2806" i="2"/>
  <c r="R2812" i="2" s="1"/>
  <c r="R2818" i="2"/>
  <c r="T2815" i="2"/>
  <c r="R2794" i="2"/>
  <c r="R2795" i="2" s="1"/>
  <c r="R2796" i="2" s="1"/>
  <c r="R2797" i="2" s="1"/>
  <c r="R2800" i="2" s="1"/>
  <c r="S2801" i="2" s="1"/>
  <c r="V496" i="1"/>
  <c r="W505" i="1"/>
  <c r="U505" i="1"/>
  <c r="R2821" i="2" l="1"/>
  <c r="R2820" i="2"/>
  <c r="R2826" i="2" s="1"/>
  <c r="R2832" i="2"/>
  <c r="T2829" i="2"/>
  <c r="R2808" i="2"/>
  <c r="R2809" i="2" s="1"/>
  <c r="W506" i="1"/>
  <c r="W507" i="1" s="1"/>
  <c r="W509" i="1"/>
  <c r="U506" i="1"/>
  <c r="U507" i="1" s="1"/>
  <c r="U509" i="1"/>
  <c r="V497" i="1"/>
  <c r="V498" i="1" s="1"/>
  <c r="V500" i="1"/>
  <c r="T2843" i="2" l="1"/>
  <c r="R2846" i="2"/>
  <c r="R2835" i="2"/>
  <c r="R2834" i="2"/>
  <c r="R2840" i="2" s="1"/>
  <c r="R2822" i="2"/>
  <c r="R2823" i="2" s="1"/>
  <c r="R2824" i="2" s="1"/>
  <c r="R2825" i="2" s="1"/>
  <c r="R2828" i="2" s="1"/>
  <c r="S2829" i="2" s="1"/>
  <c r="R2810" i="2"/>
  <c r="R2811" i="2" s="1"/>
  <c r="R2814" i="2" s="1"/>
  <c r="S2815" i="2" s="1"/>
  <c r="U508" i="1"/>
  <c r="U510" i="1" s="1"/>
  <c r="U512" i="1" s="1"/>
  <c r="U513" i="1" s="1"/>
  <c r="W508" i="1"/>
  <c r="W510" i="1" s="1"/>
  <c r="W512" i="1" s="1"/>
  <c r="W513" i="1" s="1"/>
  <c r="V499" i="1"/>
  <c r="V501" i="1" s="1"/>
  <c r="V503" i="1" s="1"/>
  <c r="V504" i="1" s="1"/>
  <c r="R2836" i="2" l="1"/>
  <c r="R2837" i="2" s="1"/>
  <c r="R2838" i="2" s="1"/>
  <c r="R2839" i="2" s="1"/>
  <c r="R2842" i="2" s="1"/>
  <c r="S2843" i="2" s="1"/>
  <c r="T2857" i="2"/>
  <c r="R2848" i="2"/>
  <c r="R2854" i="2" s="1"/>
  <c r="R2860" i="2"/>
  <c r="R2849" i="2"/>
  <c r="W514" i="1"/>
  <c r="V505" i="1"/>
  <c r="U514" i="1"/>
  <c r="R2850" i="2" l="1"/>
  <c r="R2851" i="2" s="1"/>
  <c r="R2852" i="2" s="1"/>
  <c r="R2853" i="2" s="1"/>
  <c r="R2856" i="2" s="1"/>
  <c r="S2857" i="2" s="1"/>
  <c r="R2874" i="2"/>
  <c r="R2863" i="2"/>
  <c r="R2862" i="2"/>
  <c r="R2868" i="2" s="1"/>
  <c r="T2871" i="2"/>
  <c r="U515" i="1"/>
  <c r="U516" i="1" s="1"/>
  <c r="U518" i="1"/>
  <c r="W518" i="1"/>
  <c r="W515" i="1"/>
  <c r="W516" i="1" s="1"/>
  <c r="V506" i="1"/>
  <c r="V507" i="1" s="1"/>
  <c r="V509" i="1"/>
  <c r="R2876" i="2" l="1"/>
  <c r="R2882" i="2" s="1"/>
  <c r="R2888" i="2"/>
  <c r="R2877" i="2"/>
  <c r="T2885" i="2"/>
  <c r="R2864" i="2"/>
  <c r="R2865" i="2" s="1"/>
  <c r="R2866" i="2" s="1"/>
  <c r="R2867" i="2" s="1"/>
  <c r="R2870" i="2" s="1"/>
  <c r="S2871" i="2" s="1"/>
  <c r="W517" i="1"/>
  <c r="W519" i="1" s="1"/>
  <c r="W521" i="1" s="1"/>
  <c r="W522" i="1" s="1"/>
  <c r="V508" i="1"/>
  <c r="V510" i="1" s="1"/>
  <c r="V512" i="1" s="1"/>
  <c r="V513" i="1" s="1"/>
  <c r="U517" i="1"/>
  <c r="U519" i="1" s="1"/>
  <c r="U521" i="1" s="1"/>
  <c r="U522" i="1" s="1"/>
  <c r="R2878" i="2" l="1"/>
  <c r="R2879" i="2" s="1"/>
  <c r="R2880" i="2" s="1"/>
  <c r="R2881" i="2" s="1"/>
  <c r="R2884" i="2" s="1"/>
  <c r="S2885" i="2" s="1"/>
  <c r="T2899" i="2"/>
  <c r="R2890" i="2"/>
  <c r="R2902" i="2"/>
  <c r="R2891" i="2"/>
  <c r="W523" i="1"/>
  <c r="V514" i="1"/>
  <c r="U523" i="1"/>
  <c r="R2892" i="2" l="1"/>
  <c r="R2893" i="2" s="1"/>
  <c r="R2894" i="2" s="1"/>
  <c r="R2895" i="2" s="1"/>
  <c r="R2896" i="2"/>
  <c r="T2913" i="2"/>
  <c r="R2904" i="2"/>
  <c r="R2910" i="2" s="1"/>
  <c r="R2916" i="2"/>
  <c r="R2905" i="2"/>
  <c r="V515" i="1"/>
  <c r="V516" i="1" s="1"/>
  <c r="V518" i="1"/>
  <c r="W527" i="1"/>
  <c r="W524" i="1"/>
  <c r="W525" i="1" s="1"/>
  <c r="U524" i="1"/>
  <c r="U525" i="1" s="1"/>
  <c r="U527" i="1"/>
  <c r="R2898" i="2" l="1"/>
  <c r="S2899" i="2" s="1"/>
  <c r="R2906" i="2"/>
  <c r="R2907" i="2" s="1"/>
  <c r="R2908" i="2" s="1"/>
  <c r="R2909" i="2" s="1"/>
  <c r="R2912" i="2" s="1"/>
  <c r="S2913" i="2" s="1"/>
  <c r="R2930" i="2"/>
  <c r="R2919" i="2"/>
  <c r="R2918" i="2"/>
  <c r="R2924" i="2" s="1"/>
  <c r="T2927" i="2"/>
  <c r="W526" i="1"/>
  <c r="W528" i="1" s="1"/>
  <c r="W530" i="1" s="1"/>
  <c r="W531" i="1" s="1"/>
  <c r="U526" i="1"/>
  <c r="U528" i="1" s="1"/>
  <c r="U530" i="1" s="1"/>
  <c r="U531" i="1" s="1"/>
  <c r="V517" i="1"/>
  <c r="V519" i="1" s="1"/>
  <c r="V521" i="1" s="1"/>
  <c r="V522" i="1" s="1"/>
  <c r="R2920" i="2" l="1"/>
  <c r="R2921" i="2" s="1"/>
  <c r="R2933" i="2"/>
  <c r="T2941" i="2"/>
  <c r="R2932" i="2"/>
  <c r="R2938" i="2" s="1"/>
  <c r="R2944" i="2"/>
  <c r="U532" i="1"/>
  <c r="W532" i="1"/>
  <c r="V523" i="1"/>
  <c r="R2934" i="2" l="1"/>
  <c r="R2935" i="2" s="1"/>
  <c r="R2936" i="2" s="1"/>
  <c r="R2937" i="2" s="1"/>
  <c r="R2940" i="2" s="1"/>
  <c r="S2941" i="2" s="1"/>
  <c r="T2955" i="2"/>
  <c r="R2946" i="2"/>
  <c r="R2947" i="2"/>
  <c r="R2958" i="2"/>
  <c r="R2922" i="2"/>
  <c r="R2923" i="2" s="1"/>
  <c r="R2926" i="2" s="1"/>
  <c r="S2927" i="2" s="1"/>
  <c r="V527" i="1"/>
  <c r="V524" i="1"/>
  <c r="V525" i="1" s="1"/>
  <c r="W533" i="1"/>
  <c r="W534" i="1" s="1"/>
  <c r="W536" i="1"/>
  <c r="U533" i="1"/>
  <c r="U534" i="1" s="1"/>
  <c r="U536" i="1"/>
  <c r="R2948" i="2" l="1"/>
  <c r="R2949" i="2" s="1"/>
  <c r="R2950" i="2" s="1"/>
  <c r="R2951" i="2" s="1"/>
  <c r="T2969" i="2"/>
  <c r="R2972" i="2"/>
  <c r="R2961" i="2"/>
  <c r="R2960" i="2"/>
  <c r="R2966" i="2" s="1"/>
  <c r="R2952" i="2"/>
  <c r="V526" i="1"/>
  <c r="V528" i="1" s="1"/>
  <c r="V530" i="1" s="1"/>
  <c r="V531" i="1" s="1"/>
  <c r="U535" i="1"/>
  <c r="U537" i="1" s="1"/>
  <c r="U539" i="1" s="1"/>
  <c r="U540" i="1" s="1"/>
  <c r="W535" i="1"/>
  <c r="W537" i="1" s="1"/>
  <c r="W539" i="1" s="1"/>
  <c r="W540" i="1" s="1"/>
  <c r="R2954" i="2" l="1"/>
  <c r="S2955" i="2" s="1"/>
  <c r="R2962" i="2"/>
  <c r="R2963" i="2" s="1"/>
  <c r="R2964" i="2" s="1"/>
  <c r="R2965" i="2" s="1"/>
  <c r="R2968" i="2" s="1"/>
  <c r="S2969" i="2" s="1"/>
  <c r="R2986" i="2"/>
  <c r="R2974" i="2"/>
  <c r="R2980" i="2" s="1"/>
  <c r="T2983" i="2"/>
  <c r="R2975" i="2"/>
  <c r="V532" i="1"/>
  <c r="U541" i="1"/>
  <c r="W541" i="1"/>
  <c r="R2976" i="2" l="1"/>
  <c r="R2977" i="2" s="1"/>
  <c r="R2978" i="2" s="1"/>
  <c r="R2979" i="2" s="1"/>
  <c r="R2982" i="2" s="1"/>
  <c r="S2983" i="2" s="1"/>
  <c r="R2989" i="2"/>
  <c r="R2988" i="2"/>
  <c r="R3000" i="2"/>
  <c r="T2997" i="2"/>
  <c r="U542" i="1"/>
  <c r="U543" i="1" s="1"/>
  <c r="U545" i="1"/>
  <c r="V533" i="1"/>
  <c r="V534" i="1" s="1"/>
  <c r="V536" i="1"/>
  <c r="W542" i="1"/>
  <c r="W543" i="1" s="1"/>
  <c r="W545" i="1"/>
  <c r="R2990" i="2" l="1"/>
  <c r="R2991" i="2" s="1"/>
  <c r="R2992" i="2" s="1"/>
  <c r="R2993" i="2" s="1"/>
  <c r="R2994" i="2"/>
  <c r="R3014" i="2"/>
  <c r="T3011" i="2"/>
  <c r="R3003" i="2"/>
  <c r="R3002" i="2"/>
  <c r="V535" i="1"/>
  <c r="V537" i="1" s="1"/>
  <c r="V539" i="1" s="1"/>
  <c r="V540" i="1" s="1"/>
  <c r="U544" i="1"/>
  <c r="U546" i="1" s="1"/>
  <c r="U548" i="1" s="1"/>
  <c r="U549" i="1" s="1"/>
  <c r="W544" i="1"/>
  <c r="W546" i="1" s="1"/>
  <c r="W548" i="1" s="1"/>
  <c r="W549" i="1" s="1"/>
  <c r="R2996" i="2" l="1"/>
  <c r="S2997" i="2" s="1"/>
  <c r="R3004" i="2"/>
  <c r="R3005" i="2" s="1"/>
  <c r="R3006" i="2" s="1"/>
  <c r="R3007" i="2" s="1"/>
  <c r="R3017" i="2"/>
  <c r="R3028" i="2"/>
  <c r="T3025" i="2"/>
  <c r="R3016" i="2"/>
  <c r="R3008" i="2"/>
  <c r="V541" i="1"/>
  <c r="W550" i="1"/>
  <c r="U550" i="1"/>
  <c r="R3010" i="2" l="1"/>
  <c r="S3011" i="2" s="1"/>
  <c r="R3018" i="2"/>
  <c r="R3019" i="2" s="1"/>
  <c r="R3020" i="2" s="1"/>
  <c r="R3021" i="2" s="1"/>
  <c r="R3022" i="2"/>
  <c r="R3042" i="2"/>
  <c r="T3039" i="2"/>
  <c r="R3031" i="2"/>
  <c r="R3030" i="2"/>
  <c r="R3036" i="2" s="1"/>
  <c r="V542" i="1"/>
  <c r="V543" i="1" s="1"/>
  <c r="V545" i="1"/>
  <c r="W551" i="1"/>
  <c r="W552" i="1" s="1"/>
  <c r="W554" i="1"/>
  <c r="U551" i="1"/>
  <c r="U552" i="1" s="1"/>
  <c r="U554" i="1"/>
  <c r="R3024" i="2" l="1"/>
  <c r="S3025" i="2" s="1"/>
  <c r="T3053" i="2"/>
  <c r="R3056" i="2"/>
  <c r="R3044" i="2"/>
  <c r="R3050" i="2" s="1"/>
  <c r="R3045" i="2"/>
  <c r="R3032" i="2"/>
  <c r="R3033" i="2" s="1"/>
  <c r="R3034" i="2" s="1"/>
  <c r="R3035" i="2" s="1"/>
  <c r="R3038" i="2" s="1"/>
  <c r="S3039" i="2" s="1"/>
  <c r="U553" i="1"/>
  <c r="U555" i="1" s="1"/>
  <c r="U557" i="1" s="1"/>
  <c r="U558" i="1" s="1"/>
  <c r="V544" i="1"/>
  <c r="V546" i="1" s="1"/>
  <c r="V548" i="1" s="1"/>
  <c r="V549" i="1" s="1"/>
  <c r="W553" i="1"/>
  <c r="W555" i="1" s="1"/>
  <c r="W557" i="1" s="1"/>
  <c r="W558" i="1" s="1"/>
  <c r="R3070" i="2" l="1"/>
  <c r="T3067" i="2"/>
  <c r="R3058" i="2"/>
  <c r="R3064" i="2" s="1"/>
  <c r="R3059" i="2"/>
  <c r="R3046" i="2"/>
  <c r="R3047" i="2" s="1"/>
  <c r="R3048" i="2" s="1"/>
  <c r="R3049" i="2" s="1"/>
  <c r="R3052" i="2" s="1"/>
  <c r="S3053" i="2" s="1"/>
  <c r="U559" i="1"/>
  <c r="W559" i="1"/>
  <c r="V550" i="1"/>
  <c r="T3081" i="2" l="1"/>
  <c r="R3073" i="2"/>
  <c r="R3072" i="2"/>
  <c r="R3084" i="2"/>
  <c r="R3060" i="2"/>
  <c r="R3061" i="2" s="1"/>
  <c r="W560" i="1"/>
  <c r="W561" i="1" s="1"/>
  <c r="W563" i="1"/>
  <c r="V551" i="1"/>
  <c r="V552" i="1" s="1"/>
  <c r="V554" i="1"/>
  <c r="U560" i="1"/>
  <c r="U561" i="1" s="1"/>
  <c r="U563" i="1"/>
  <c r="R3074" i="2" l="1"/>
  <c r="R3075" i="2" s="1"/>
  <c r="R3076" i="2" s="1"/>
  <c r="R3077" i="2" s="1"/>
  <c r="R3086" i="2"/>
  <c r="T3095" i="2"/>
  <c r="R3098" i="2"/>
  <c r="R3087" i="2"/>
  <c r="R3078" i="2"/>
  <c r="R3062" i="2"/>
  <c r="R3063" i="2" s="1"/>
  <c r="R3066" i="2" s="1"/>
  <c r="S3067" i="2" s="1"/>
  <c r="V553" i="1"/>
  <c r="V555" i="1" s="1"/>
  <c r="V557" i="1" s="1"/>
  <c r="V558" i="1" s="1"/>
  <c r="W562" i="1"/>
  <c r="W564" i="1" s="1"/>
  <c r="G21" i="1" s="1"/>
  <c r="R6" i="12" s="1"/>
  <c r="R8" i="12" s="1"/>
  <c r="U562" i="1"/>
  <c r="U564" i="1" s="1"/>
  <c r="E21" i="1" s="1"/>
  <c r="P6" i="12" s="1"/>
  <c r="P8" i="12" s="1"/>
  <c r="D30" i="12" l="1"/>
  <c r="D14" i="12"/>
  <c r="F30" i="12"/>
  <c r="F14" i="12"/>
  <c r="F36" i="12"/>
  <c r="D38" i="12"/>
  <c r="D18" i="12"/>
  <c r="D12" i="12"/>
  <c r="D40" i="12"/>
  <c r="D20" i="12"/>
  <c r="D10" i="12"/>
  <c r="D16" i="12"/>
  <c r="D36" i="12"/>
  <c r="D43" i="12" s="1"/>
  <c r="E10" i="1" s="1"/>
  <c r="D32" i="12"/>
  <c r="D34" i="12"/>
  <c r="F16" i="12"/>
  <c r="F18" i="12"/>
  <c r="F34" i="12"/>
  <c r="F12" i="12"/>
  <c r="F32" i="12"/>
  <c r="F10" i="12"/>
  <c r="F43" i="12"/>
  <c r="G10" i="1" s="1"/>
  <c r="F20" i="12"/>
  <c r="F38" i="12"/>
  <c r="F40" i="12"/>
  <c r="M5" i="10"/>
  <c r="O5" i="10"/>
  <c r="E12" i="6"/>
  <c r="G12" i="6"/>
  <c r="R3080" i="2"/>
  <c r="S3081" i="2" s="1"/>
  <c r="R3101" i="2"/>
  <c r="R3112" i="2"/>
  <c r="T3109" i="2"/>
  <c r="R3100" i="2"/>
  <c r="R3106" i="2" s="1"/>
  <c r="R3088" i="2"/>
  <c r="R3089" i="2" s="1"/>
  <c r="R3090" i="2" s="1"/>
  <c r="R3091" i="2" s="1"/>
  <c r="R3092" i="2"/>
  <c r="U567" i="1"/>
  <c r="W567" i="1"/>
  <c r="W568" i="1" s="1"/>
  <c r="W569" i="1" s="1"/>
  <c r="V559" i="1"/>
  <c r="D6" i="10" l="1"/>
  <c r="F6" i="10"/>
  <c r="R3094" i="2"/>
  <c r="S3095" i="2" s="1"/>
  <c r="V12" i="6"/>
  <c r="T12" i="6"/>
  <c r="R3126" i="2"/>
  <c r="R3114" i="2"/>
  <c r="R3115" i="2"/>
  <c r="T3123" i="2"/>
  <c r="R3102" i="2"/>
  <c r="R3103" i="2" s="1"/>
  <c r="R3104" i="2" s="1"/>
  <c r="R3105" i="2" s="1"/>
  <c r="R3108" i="2" s="1"/>
  <c r="S3109" i="2" s="1"/>
  <c r="U568" i="1"/>
  <c r="U569" i="1" s="1"/>
  <c r="W573" i="1"/>
  <c r="W572" i="1" s="1"/>
  <c r="W570" i="1"/>
  <c r="W571" i="1" s="1"/>
  <c r="V560" i="1"/>
  <c r="V561" i="1" s="1"/>
  <c r="V563" i="1"/>
  <c r="E13" i="6" l="1"/>
  <c r="AZ16" i="10"/>
  <c r="BE20" i="10" s="1"/>
  <c r="AZ50" i="10"/>
  <c r="X16" i="10"/>
  <c r="Y20" i="10" s="1"/>
  <c r="X50" i="10"/>
  <c r="E14" i="7"/>
  <c r="AB13" i="6"/>
  <c r="E31" i="7" s="1"/>
  <c r="G14" i="7"/>
  <c r="AD13" i="6"/>
  <c r="G31" i="7" s="1"/>
  <c r="R3116" i="2"/>
  <c r="R3117" i="2" s="1"/>
  <c r="R3118" i="2" s="1"/>
  <c r="R3119" i="2" s="1"/>
  <c r="R3128" i="2"/>
  <c r="R3134" i="2" s="1"/>
  <c r="R3140" i="2"/>
  <c r="T3137" i="2"/>
  <c r="R3129" i="2"/>
  <c r="R3120" i="2"/>
  <c r="U570" i="1"/>
  <c r="U571" i="1" s="1"/>
  <c r="U573" i="1"/>
  <c r="W574" i="1"/>
  <c r="G22" i="1" s="1"/>
  <c r="V562" i="1"/>
  <c r="V564" i="1" s="1"/>
  <c r="F21" i="1" s="1"/>
  <c r="Q6" i="12" s="1"/>
  <c r="Q8" i="12" s="1"/>
  <c r="E30" i="12" l="1"/>
  <c r="E14" i="12"/>
  <c r="E18" i="12"/>
  <c r="E32" i="12"/>
  <c r="E36" i="12"/>
  <c r="E43" i="12" s="1"/>
  <c r="F10" i="1" s="1"/>
  <c r="E10" i="12"/>
  <c r="E38" i="12"/>
  <c r="E16" i="12"/>
  <c r="E20" i="12"/>
  <c r="E34" i="12"/>
  <c r="E40" i="12"/>
  <c r="E12" i="12"/>
  <c r="N5" i="10"/>
  <c r="G13" i="6"/>
  <c r="V13" i="6" s="1"/>
  <c r="AD15" i="6" s="1"/>
  <c r="AF20" i="10"/>
  <c r="X20" i="10"/>
  <c r="AE20" i="10"/>
  <c r="T13" i="6"/>
  <c r="AB15" i="6" s="1"/>
  <c r="BH20" i="10"/>
  <c r="AA20" i="10"/>
  <c r="AZ20" i="10"/>
  <c r="BI20" i="10"/>
  <c r="BD20" i="10"/>
  <c r="BB20" i="10"/>
  <c r="BC20" i="10"/>
  <c r="BF20" i="10"/>
  <c r="BA20" i="10"/>
  <c r="BG20" i="10"/>
  <c r="AG20" i="10"/>
  <c r="Z20" i="10"/>
  <c r="AD20" i="10"/>
  <c r="AC20" i="10"/>
  <c r="AB20" i="10"/>
  <c r="AE54" i="10"/>
  <c r="X54" i="10"/>
  <c r="AF54" i="10"/>
  <c r="Y54" i="10"/>
  <c r="AC54" i="10"/>
  <c r="AD54" i="10"/>
  <c r="AA54" i="10"/>
  <c r="AG54" i="10"/>
  <c r="AB54" i="10"/>
  <c r="Z54" i="10"/>
  <c r="BE54" i="10"/>
  <c r="BC54" i="10"/>
  <c r="BD54" i="10"/>
  <c r="BB54" i="10"/>
  <c r="BF54" i="10"/>
  <c r="BG54" i="10"/>
  <c r="AZ54" i="10"/>
  <c r="BH54" i="10"/>
  <c r="BA54" i="10"/>
  <c r="BI54" i="10"/>
  <c r="F12" i="6"/>
  <c r="R3122" i="2"/>
  <c r="S3123" i="2" s="1"/>
  <c r="R3154" i="2"/>
  <c r="T3151" i="2"/>
  <c r="R3143" i="2"/>
  <c r="R3142" i="2"/>
  <c r="R3130" i="2"/>
  <c r="R3131" i="2" s="1"/>
  <c r="U572" i="1"/>
  <c r="U574" i="1" s="1"/>
  <c r="E22" i="1" s="1"/>
  <c r="V567" i="1"/>
  <c r="V568" i="1" s="1"/>
  <c r="V569" i="1" s="1"/>
  <c r="X21" i="10" l="1"/>
  <c r="D8" i="10" s="1"/>
  <c r="P49" i="12" s="1"/>
  <c r="AZ55" i="10"/>
  <c r="AZ21" i="10"/>
  <c r="F8" i="10" s="1"/>
  <c r="R49" i="12" s="1"/>
  <c r="X55" i="10"/>
  <c r="E6" i="10"/>
  <c r="U12" i="6"/>
  <c r="R3132" i="2"/>
  <c r="R3133" i="2" s="1"/>
  <c r="R3136" i="2" s="1"/>
  <c r="S3137" i="2" s="1"/>
  <c r="R3157" i="2"/>
  <c r="T3165" i="2"/>
  <c r="R3156" i="2"/>
  <c r="R3162" i="2" s="1"/>
  <c r="R3168" i="2"/>
  <c r="R3144" i="2"/>
  <c r="R3145" i="2" s="1"/>
  <c r="R3148" i="2"/>
  <c r="V570" i="1"/>
  <c r="V571" i="1" s="1"/>
  <c r="V573" i="1"/>
  <c r="R50" i="12" l="1"/>
  <c r="P50" i="12"/>
  <c r="G25" i="1"/>
  <c r="E25" i="1"/>
  <c r="F13" i="6"/>
  <c r="AL16" i="10"/>
  <c r="AN20" i="10" s="1"/>
  <c r="AL50" i="10"/>
  <c r="F14" i="7"/>
  <c r="AC13" i="6"/>
  <c r="F31" i="7" s="1"/>
  <c r="R3182" i="2"/>
  <c r="T3179" i="2"/>
  <c r="R3171" i="2"/>
  <c r="R3170" i="2"/>
  <c r="R3176" i="2" s="1"/>
  <c r="R3158" i="2"/>
  <c r="R3159" i="2" s="1"/>
  <c r="R3146" i="2"/>
  <c r="R3147" i="2" s="1"/>
  <c r="R3150" i="2" s="1"/>
  <c r="S3151" i="2" s="1"/>
  <c r="V572" i="1"/>
  <c r="V574" i="1" s="1"/>
  <c r="F22" i="1" s="1"/>
  <c r="P62" i="12" l="1"/>
  <c r="P63" i="12" s="1"/>
  <c r="D54" i="12" s="1"/>
  <c r="P67" i="12"/>
  <c r="P68" i="12" s="1"/>
  <c r="P72" i="12"/>
  <c r="P73" i="12" s="1"/>
  <c r="D58" i="12" s="1"/>
  <c r="P78" i="12"/>
  <c r="P79" i="12" s="1"/>
  <c r="D60" i="12" s="1"/>
  <c r="P93" i="12"/>
  <c r="P94" i="12" s="1"/>
  <c r="D66" i="12" s="1"/>
  <c r="P57" i="12"/>
  <c r="P58" i="12" s="1"/>
  <c r="D52" i="12" s="1"/>
  <c r="P98" i="12"/>
  <c r="P99" i="12" s="1"/>
  <c r="D68" i="12" s="1"/>
  <c r="P83" i="12"/>
  <c r="P84" i="12" s="1"/>
  <c r="D62" i="12" s="1"/>
  <c r="D71" i="12" s="1"/>
  <c r="E11" i="1" s="1"/>
  <c r="P88" i="12"/>
  <c r="P89" i="12" s="1"/>
  <c r="D64" i="12" s="1"/>
  <c r="R57" i="12"/>
  <c r="R58" i="12" s="1"/>
  <c r="F52" i="12" s="1"/>
  <c r="R98" i="12"/>
  <c r="R99" i="12" s="1"/>
  <c r="F68" i="12" s="1"/>
  <c r="R88" i="12"/>
  <c r="R89" i="12" s="1"/>
  <c r="F64" i="12" s="1"/>
  <c r="R67" i="12"/>
  <c r="R68" i="12" s="1"/>
  <c r="R78" i="12"/>
  <c r="R79" i="12" s="1"/>
  <c r="F60" i="12" s="1"/>
  <c r="R72" i="12"/>
  <c r="R73" i="12" s="1"/>
  <c r="F58" i="12" s="1"/>
  <c r="R93" i="12"/>
  <c r="R94" i="12" s="1"/>
  <c r="F66" i="12" s="1"/>
  <c r="R62" i="12"/>
  <c r="R63" i="12" s="1"/>
  <c r="F54" i="12" s="1"/>
  <c r="R83" i="12"/>
  <c r="R84" i="12" s="1"/>
  <c r="F62" i="12" s="1"/>
  <c r="U13" i="6"/>
  <c r="AC15" i="6" s="1"/>
  <c r="AL20" i="10"/>
  <c r="AR20" i="10"/>
  <c r="AS20" i="10"/>
  <c r="AO20" i="10"/>
  <c r="AT20" i="10"/>
  <c r="AP20" i="10"/>
  <c r="AU20" i="10"/>
  <c r="AQ20" i="10"/>
  <c r="AM20" i="10"/>
  <c r="AT54" i="10"/>
  <c r="AM54" i="10"/>
  <c r="AO54" i="10"/>
  <c r="AU54" i="10"/>
  <c r="AN54" i="10"/>
  <c r="AS54" i="10"/>
  <c r="AP54" i="10"/>
  <c r="AQ54" i="10"/>
  <c r="AL54" i="10"/>
  <c r="AR54" i="10"/>
  <c r="R3160" i="2"/>
  <c r="R3161" i="2" s="1"/>
  <c r="R3164" i="2" s="1"/>
  <c r="S3165" i="2" s="1"/>
  <c r="T3193" i="2"/>
  <c r="R3184" i="2"/>
  <c r="R3190" i="2" s="1"/>
  <c r="R3196" i="2"/>
  <c r="R3185" i="2"/>
  <c r="R3172" i="2"/>
  <c r="R3173" i="2" s="1"/>
  <c r="R3174" i="2" s="1"/>
  <c r="R3175" i="2" s="1"/>
  <c r="R3178" i="2" s="1"/>
  <c r="S3179" i="2" s="1"/>
  <c r="F71" i="12" l="1"/>
  <c r="G11" i="1" s="1"/>
  <c r="F56" i="12"/>
  <c r="D56" i="12"/>
  <c r="AL21" i="10"/>
  <c r="E8" i="10" s="1"/>
  <c r="Q49" i="12" s="1"/>
  <c r="AL55" i="10"/>
  <c r="T3207" i="2"/>
  <c r="R3198" i="2"/>
  <c r="R3204" i="2" s="1"/>
  <c r="R3210" i="2"/>
  <c r="R3199" i="2"/>
  <c r="R3186" i="2"/>
  <c r="R3187" i="2" s="1"/>
  <c r="Q50" i="12" l="1"/>
  <c r="F25" i="1"/>
  <c r="R3188" i="2"/>
  <c r="R3189" i="2" s="1"/>
  <c r="R3192" i="2" s="1"/>
  <c r="S3193" i="2" s="1"/>
  <c r="R3213" i="2"/>
  <c r="R3224" i="2"/>
  <c r="T3221" i="2"/>
  <c r="R3212" i="2"/>
  <c r="R3200" i="2"/>
  <c r="R3201" i="2" s="1"/>
  <c r="R3202" i="2" s="1"/>
  <c r="R3203" i="2" s="1"/>
  <c r="R3206" i="2" s="1"/>
  <c r="S3207" i="2" s="1"/>
  <c r="Q57" i="12" l="1"/>
  <c r="Q58" i="12" s="1"/>
  <c r="E52" i="12" s="1"/>
  <c r="Q98" i="12"/>
  <c r="Q99" i="12" s="1"/>
  <c r="E68" i="12" s="1"/>
  <c r="Q62" i="12"/>
  <c r="Q63" i="12" s="1"/>
  <c r="E54" i="12" s="1"/>
  <c r="Q67" i="12"/>
  <c r="Q68" i="12" s="1"/>
  <c r="Q72" i="12"/>
  <c r="Q73" i="12" s="1"/>
  <c r="E58" i="12" s="1"/>
  <c r="Q93" i="12"/>
  <c r="Q94" i="12" s="1"/>
  <c r="E66" i="12" s="1"/>
  <c r="Q83" i="12"/>
  <c r="Q84" i="12" s="1"/>
  <c r="E62" i="12" s="1"/>
  <c r="E71" i="12" s="1"/>
  <c r="F11" i="1" s="1"/>
  <c r="Q78" i="12"/>
  <c r="Q79" i="12" s="1"/>
  <c r="E60" i="12" s="1"/>
  <c r="Q88" i="12"/>
  <c r="Q89" i="12" s="1"/>
  <c r="E64" i="12" s="1"/>
  <c r="R3214" i="2"/>
  <c r="R3215" i="2" s="1"/>
  <c r="R3216" i="2" s="1"/>
  <c r="R3217" i="2" s="1"/>
  <c r="R3218" i="2"/>
  <c r="R3238" i="2"/>
  <c r="R3227" i="2"/>
  <c r="T3235" i="2"/>
  <c r="R3226" i="2"/>
  <c r="E56" i="12" l="1"/>
  <c r="G14" i="6"/>
  <c r="V14" i="6" s="1"/>
  <c r="E46" i="1"/>
  <c r="C46" i="1"/>
  <c r="E14" i="6"/>
  <c r="R3220" i="2"/>
  <c r="S3221" i="2" s="1"/>
  <c r="R3228" i="2"/>
  <c r="R3229" i="2" s="1"/>
  <c r="R3230" i="2" s="1"/>
  <c r="R3231" i="2" s="1"/>
  <c r="R3252" i="2"/>
  <c r="R3240" i="2"/>
  <c r="R3241" i="2"/>
  <c r="T3249" i="2"/>
  <c r="R3232" i="2"/>
  <c r="G15" i="7" l="1"/>
  <c r="N15" i="7" s="1"/>
  <c r="T14" i="6"/>
  <c r="R3234" i="2"/>
  <c r="S3235" i="2" s="1"/>
  <c r="R3255" i="2"/>
  <c r="T3263" i="2"/>
  <c r="R3254" i="2"/>
  <c r="R3260" i="2" s="1"/>
  <c r="R3266" i="2"/>
  <c r="R3242" i="2"/>
  <c r="R3243" i="2" s="1"/>
  <c r="R3244" i="2" s="1"/>
  <c r="R3245" i="2" s="1"/>
  <c r="R3246" i="2"/>
  <c r="F14" i="6" l="1"/>
  <c r="U14" i="6" s="1"/>
  <c r="E15" i="7"/>
  <c r="L15" i="7" s="1"/>
  <c r="R3248" i="2"/>
  <c r="S3249" i="2" s="1"/>
  <c r="R3256" i="2"/>
  <c r="R3257" i="2" s="1"/>
  <c r="R3258" i="2" s="1"/>
  <c r="R3259" i="2" s="1"/>
  <c r="R3262" i="2" s="1"/>
  <c r="S3263" i="2" s="1"/>
  <c r="R3280" i="2"/>
  <c r="R3269" i="2"/>
  <c r="T3277" i="2"/>
  <c r="R3268" i="2"/>
  <c r="D46" i="1" l="1"/>
  <c r="F15" i="7"/>
  <c r="M15" i="7" s="1"/>
  <c r="R3283" i="2"/>
  <c r="T3291" i="2"/>
  <c r="R3282" i="2"/>
  <c r="R3294" i="2"/>
  <c r="R3270" i="2"/>
  <c r="R3271" i="2" s="1"/>
  <c r="R3272" i="2" s="1"/>
  <c r="R3273" i="2" s="1"/>
  <c r="R3274" i="2"/>
  <c r="R3276" i="2" l="1"/>
  <c r="S3277" i="2" s="1"/>
  <c r="R3308" i="2"/>
  <c r="R3296" i="2"/>
  <c r="R3302" i="2" s="1"/>
  <c r="T3305" i="2"/>
  <c r="R3297" i="2"/>
  <c r="R3288" i="2"/>
  <c r="R3284" i="2"/>
  <c r="R3285" i="2" s="1"/>
  <c r="R3286" i="2" s="1"/>
  <c r="R3287" i="2" s="1"/>
  <c r="R3290" i="2" l="1"/>
  <c r="S3291" i="2" s="1"/>
  <c r="T3319" i="2"/>
  <c r="R3322" i="2"/>
  <c r="R3310" i="2"/>
  <c r="R3316" i="2" s="1"/>
  <c r="R3311" i="2"/>
  <c r="R3298" i="2"/>
  <c r="R3299" i="2" s="1"/>
  <c r="R3300" i="2" l="1"/>
  <c r="R3301" i="2" s="1"/>
  <c r="R3304" i="2" s="1"/>
  <c r="S3305" i="2" s="1"/>
  <c r="T3333" i="2"/>
  <c r="R3336" i="2"/>
  <c r="R3325" i="2"/>
  <c r="R3324" i="2"/>
  <c r="R3312" i="2"/>
  <c r="R3313" i="2" s="1"/>
  <c r="R3326" i="2" l="1"/>
  <c r="R3327" i="2" s="1"/>
  <c r="R3328" i="2" s="1"/>
  <c r="R3329" i="2" s="1"/>
  <c r="R3314" i="2"/>
  <c r="R3315" i="2" s="1"/>
  <c r="R3318" i="2" s="1"/>
  <c r="S3319" i="2" s="1"/>
  <c r="R3338" i="2"/>
  <c r="T3347" i="2"/>
  <c r="R3350" i="2"/>
  <c r="R3339" i="2"/>
  <c r="R3330" i="2"/>
  <c r="R3332" i="2" l="1"/>
  <c r="S3333" i="2" s="1"/>
  <c r="R3344" i="2"/>
  <c r="R3340" i="2"/>
  <c r="R3341" i="2" s="1"/>
  <c r="R3342" i="2" s="1"/>
  <c r="R3343" i="2" s="1"/>
  <c r="R3352" i="2"/>
  <c r="R3358" i="2" s="1"/>
  <c r="R3353" i="2"/>
  <c r="T3361" i="2"/>
  <c r="R3364" i="2"/>
  <c r="R3346" i="2" l="1"/>
  <c r="S3347" i="2" s="1"/>
  <c r="R3378" i="2"/>
  <c r="R3366" i="2"/>
  <c r="T3375" i="2"/>
  <c r="R3367" i="2"/>
  <c r="R3354" i="2"/>
  <c r="R3355" i="2" s="1"/>
  <c r="R3368" i="2" l="1"/>
  <c r="R3369" i="2" s="1"/>
  <c r="R3370" i="2" s="1"/>
  <c r="R3371" i="2" s="1"/>
  <c r="R3372" i="2"/>
  <c r="R3356" i="2"/>
  <c r="R3357" i="2" s="1"/>
  <c r="R3360" i="2" s="1"/>
  <c r="S3361" i="2" s="1"/>
  <c r="T3389" i="2"/>
  <c r="R3381" i="2"/>
  <c r="R3380" i="2"/>
  <c r="R3392" i="2"/>
  <c r="R3374" i="2" l="1"/>
  <c r="S3375" i="2" s="1"/>
  <c r="R3382" i="2"/>
  <c r="R3383" i="2" s="1"/>
  <c r="R3384" i="2" s="1"/>
  <c r="R3385" i="2" s="1"/>
  <c r="R3406" i="2"/>
  <c r="T3403" i="2"/>
  <c r="R3395" i="2"/>
  <c r="R3394" i="2"/>
  <c r="R3400" i="2" s="1"/>
  <c r="R3386" i="2"/>
  <c r="R3388" i="2" l="1"/>
  <c r="S3389" i="2" s="1"/>
  <c r="R3420" i="2"/>
  <c r="R3408" i="2"/>
  <c r="R3409" i="2"/>
  <c r="T3417" i="2"/>
  <c r="R3396" i="2"/>
  <c r="R3397" i="2" s="1"/>
  <c r="R3410" i="2" l="1"/>
  <c r="R3411" i="2" s="1"/>
  <c r="R3412" i="2" s="1"/>
  <c r="R3413" i="2" s="1"/>
  <c r="R3434" i="2"/>
  <c r="T3431" i="2"/>
  <c r="R3422" i="2"/>
  <c r="R3423" i="2"/>
  <c r="R3398" i="2"/>
  <c r="R3399" i="2" s="1"/>
  <c r="R3402" i="2" s="1"/>
  <c r="S3403" i="2" s="1"/>
  <c r="R3414" i="2"/>
  <c r="R3416" i="2" l="1"/>
  <c r="S3417" i="2" s="1"/>
  <c r="R3437" i="2"/>
  <c r="T3445" i="2"/>
  <c r="R3448" i="2"/>
  <c r="R3436" i="2"/>
  <c r="R3442" i="2" s="1"/>
  <c r="R3428" i="2"/>
  <c r="R3424" i="2"/>
  <c r="R3425" i="2" s="1"/>
  <c r="R3426" i="2" s="1"/>
  <c r="R3427" i="2" s="1"/>
  <c r="R3430" i="2" l="1"/>
  <c r="S3431" i="2" s="1"/>
  <c r="T3459" i="2"/>
  <c r="R3451" i="2"/>
  <c r="R3450" i="2"/>
  <c r="R3456" i="2" s="1"/>
  <c r="R3462" i="2"/>
  <c r="R3438" i="2"/>
  <c r="R3439" i="2" s="1"/>
  <c r="R3440" i="2" l="1"/>
  <c r="R3441" i="2" s="1"/>
  <c r="R3444" i="2" s="1"/>
  <c r="S3445" i="2" s="1"/>
  <c r="R3465" i="2"/>
  <c r="T3473" i="2"/>
  <c r="R3464" i="2"/>
  <c r="R3476" i="2"/>
  <c r="R3452" i="2"/>
  <c r="R3453" i="2" s="1"/>
  <c r="R3466" i="2" l="1"/>
  <c r="R3467" i="2" s="1"/>
  <c r="R3468" i="2" s="1"/>
  <c r="R3469" i="2" s="1"/>
  <c r="R3490" i="2"/>
  <c r="T3487" i="2"/>
  <c r="R3478" i="2"/>
  <c r="R3484" i="2" s="1"/>
  <c r="R3479" i="2"/>
  <c r="R3470" i="2"/>
  <c r="R3454" i="2"/>
  <c r="R3455" i="2" s="1"/>
  <c r="R3458" i="2" s="1"/>
  <c r="S3459" i="2" s="1"/>
  <c r="R3472" i="2" l="1"/>
  <c r="S3473" i="2" s="1"/>
  <c r="R3504" i="2"/>
  <c r="R3493" i="2"/>
  <c r="R3492" i="2"/>
  <c r="R3498" i="2" s="1"/>
  <c r="T3501" i="2"/>
  <c r="R3480" i="2"/>
  <c r="R3481" i="2" s="1"/>
  <c r="R3482" i="2" s="1"/>
  <c r="R3483" i="2" s="1"/>
  <c r="R3486" i="2" s="1"/>
  <c r="S3487" i="2" s="1"/>
  <c r="R3506" i="2" l="1"/>
  <c r="T3515" i="2"/>
  <c r="R3518" i="2"/>
  <c r="R3507" i="2"/>
  <c r="R3494" i="2"/>
  <c r="R3495" i="2" s="1"/>
  <c r="R3508" i="2" l="1"/>
  <c r="R3509" i="2" s="1"/>
  <c r="R3496" i="2"/>
  <c r="R3497" i="2" s="1"/>
  <c r="R3500" i="2" s="1"/>
  <c r="S3501" i="2" s="1"/>
  <c r="T3529" i="2"/>
  <c r="R3532" i="2"/>
  <c r="R3520" i="2"/>
  <c r="R3521" i="2"/>
  <c r="R3512" i="2"/>
  <c r="R3522" i="2" l="1"/>
  <c r="R3523" i="2" s="1"/>
  <c r="R3524" i="2" s="1"/>
  <c r="R3525" i="2" s="1"/>
  <c r="R3546" i="2"/>
  <c r="R3535" i="2"/>
  <c r="T3543" i="2"/>
  <c r="R3534" i="2"/>
  <c r="R3540" i="2" s="1"/>
  <c r="R3510" i="2"/>
  <c r="R3511" i="2" s="1"/>
  <c r="R3514" i="2" s="1"/>
  <c r="S3515" i="2" s="1"/>
  <c r="R3526" i="2"/>
  <c r="R3528" i="2" l="1"/>
  <c r="S3529" i="2" s="1"/>
  <c r="T3557" i="2"/>
  <c r="R3549" i="2"/>
  <c r="R3548" i="2"/>
  <c r="R3554" i="2" s="1"/>
  <c r="R3560" i="2"/>
  <c r="R3536" i="2"/>
  <c r="R3537" i="2" s="1"/>
  <c r="R3538" i="2" s="1"/>
  <c r="R3539" i="2" s="1"/>
  <c r="R3542" i="2" s="1"/>
  <c r="S3543" i="2" s="1"/>
  <c r="R3563" i="2" l="1"/>
  <c r="R3562" i="2"/>
  <c r="R3568" i="2" s="1"/>
  <c r="T3571" i="2"/>
  <c r="R3574" i="2"/>
  <c r="R3550" i="2"/>
  <c r="R3551" i="2" s="1"/>
  <c r="R3552" i="2" s="1"/>
  <c r="R3553" i="2" s="1"/>
  <c r="R3556" i="2" s="1"/>
  <c r="S3557" i="2" s="1"/>
  <c r="R3576" i="2" l="1"/>
  <c r="T3585" i="2"/>
  <c r="R3588" i="2"/>
  <c r="R3577" i="2"/>
  <c r="R3564" i="2"/>
  <c r="R3565" i="2" s="1"/>
  <c r="R3566" i="2" s="1"/>
  <c r="R3567" i="2" s="1"/>
  <c r="R3570" i="2" s="1"/>
  <c r="S3571" i="2" s="1"/>
  <c r="R3578" i="2" l="1"/>
  <c r="R3579" i="2" s="1"/>
  <c r="R3580" i="2" s="1"/>
  <c r="R3581" i="2" s="1"/>
  <c r="R3582" i="2"/>
  <c r="T3599" i="2"/>
  <c r="R3590" i="2"/>
  <c r="R3596" i="2" s="1"/>
  <c r="R3591" i="2"/>
  <c r="R3602" i="2"/>
  <c r="R3584" i="2" l="1"/>
  <c r="S3585" i="2" s="1"/>
  <c r="R3592" i="2"/>
  <c r="R3593" i="2" s="1"/>
  <c r="R3594" i="2" s="1"/>
  <c r="R3595" i="2" s="1"/>
  <c r="R3598" i="2" s="1"/>
  <c r="S3599" i="2" s="1"/>
  <c r="T3613" i="2"/>
  <c r="R3605" i="2"/>
  <c r="R3604" i="2"/>
  <c r="R3610" i="2" s="1"/>
  <c r="R3616" i="2"/>
  <c r="R3618" i="2" l="1"/>
  <c r="R3624" i="2" s="1"/>
  <c r="R3630" i="2"/>
  <c r="T3627" i="2"/>
  <c r="R3619" i="2"/>
  <c r="R3606" i="2"/>
  <c r="R3607" i="2" s="1"/>
  <c r="R3608" i="2" s="1"/>
  <c r="R3609" i="2" s="1"/>
  <c r="R3612" i="2" s="1"/>
  <c r="S3613" i="2" s="1"/>
  <c r="R3620" i="2" l="1"/>
  <c r="R3621" i="2" s="1"/>
  <c r="R3622" i="2" s="1"/>
  <c r="R3623" i="2" s="1"/>
  <c r="R3626" i="2" s="1"/>
  <c r="S3627" i="2" s="1"/>
  <c r="R3644" i="2"/>
  <c r="R3632" i="2"/>
  <c r="R3638" i="2" s="1"/>
  <c r="R3633" i="2"/>
  <c r="T3641" i="2"/>
  <c r="T3655" i="2" l="1"/>
  <c r="R3658" i="2"/>
  <c r="R3646" i="2"/>
  <c r="R3652" i="2" s="1"/>
  <c r="R3647" i="2"/>
  <c r="R3634" i="2"/>
  <c r="R3635" i="2" s="1"/>
  <c r="R3636" i="2" s="1"/>
  <c r="R3637" i="2" s="1"/>
  <c r="R3640" i="2" s="1"/>
  <c r="S3641" i="2" s="1"/>
  <c r="R3648" i="2" l="1"/>
  <c r="R3649" i="2" s="1"/>
  <c r="R3650" i="2" s="1"/>
  <c r="R3651" i="2" s="1"/>
  <c r="R3654" i="2" s="1"/>
  <c r="S3655" i="2" s="1"/>
  <c r="R3672" i="2"/>
  <c r="T3669" i="2"/>
  <c r="R3661" i="2"/>
  <c r="R3660" i="2"/>
  <c r="R3666" i="2" s="1"/>
  <c r="T3683" i="2" l="1"/>
  <c r="R3675" i="2"/>
  <c r="R3674" i="2"/>
  <c r="R3680" i="2" s="1"/>
  <c r="R3686" i="2"/>
  <c r="R3662" i="2"/>
  <c r="R3663" i="2" s="1"/>
  <c r="R3664" i="2" s="1"/>
  <c r="R3665" i="2" s="1"/>
  <c r="R3668" i="2" s="1"/>
  <c r="S3669" i="2" s="1"/>
  <c r="R3676" i="2" l="1"/>
  <c r="R3677" i="2" s="1"/>
  <c r="R3689" i="2"/>
  <c r="R3700" i="2"/>
  <c r="T3697" i="2"/>
  <c r="R3688" i="2"/>
  <c r="R3690" i="2" l="1"/>
  <c r="R3691" i="2" s="1"/>
  <c r="R3692" i="2" s="1"/>
  <c r="R3693" i="2" s="1"/>
  <c r="R3694" i="2"/>
  <c r="R3678" i="2"/>
  <c r="R3679" i="2" s="1"/>
  <c r="R3682" i="2" s="1"/>
  <c r="S3683" i="2" s="1"/>
  <c r="R3703" i="2"/>
  <c r="T3711" i="2"/>
  <c r="R3714" i="2"/>
  <c r="R3702" i="2"/>
  <c r="R3696" i="2" l="1"/>
  <c r="S3697" i="2" s="1"/>
  <c r="R3704" i="2"/>
  <c r="R3705" i="2" s="1"/>
  <c r="R3706" i="2" s="1"/>
  <c r="R3707" i="2" s="1"/>
  <c r="T3725" i="2"/>
  <c r="R3728" i="2"/>
  <c r="R3717" i="2"/>
  <c r="R3716" i="2"/>
  <c r="R3708" i="2"/>
  <c r="R3710" i="2" l="1"/>
  <c r="S3711" i="2" s="1"/>
  <c r="R3718" i="2"/>
  <c r="R3719" i="2" s="1"/>
  <c r="R3720" i="2" s="1"/>
  <c r="R3721" i="2" s="1"/>
  <c r="T3739" i="2"/>
  <c r="R3730" i="2"/>
  <c r="R3736" i="2" s="1"/>
  <c r="R3742" i="2"/>
  <c r="R3731" i="2"/>
  <c r="R3722" i="2"/>
  <c r="R3724" i="2" l="1"/>
  <c r="S3725" i="2" s="1"/>
  <c r="R3756" i="2"/>
  <c r="R3745" i="2"/>
  <c r="R3744" i="2"/>
  <c r="R3750" i="2" s="1"/>
  <c r="T3753" i="2"/>
  <c r="R3732" i="2"/>
  <c r="R3733" i="2" s="1"/>
  <c r="R3734" i="2" s="1"/>
  <c r="R3735" i="2" s="1"/>
  <c r="R3738" i="2" s="1"/>
  <c r="S3739" i="2" s="1"/>
  <c r="R3746" i="2" l="1"/>
  <c r="R3747" i="2" s="1"/>
  <c r="R3770" i="2"/>
  <c r="R3758" i="2"/>
  <c r="R3764" i="2" s="1"/>
  <c r="R3759" i="2"/>
  <c r="T3767" i="2"/>
  <c r="R3748" i="2" l="1"/>
  <c r="R3749" i="2" s="1"/>
  <c r="R3752" i="2" s="1"/>
  <c r="S3753" i="2" s="1"/>
  <c r="R3784" i="2"/>
  <c r="R3773" i="2"/>
  <c r="T3781" i="2"/>
  <c r="R3772" i="2"/>
  <c r="R3760" i="2"/>
  <c r="R3761" i="2" s="1"/>
  <c r="R3762" i="2" s="1"/>
  <c r="R3763" i="2" s="1"/>
  <c r="R3766" i="2" s="1"/>
  <c r="S3767" i="2" s="1"/>
  <c r="R3774" i="2" l="1"/>
  <c r="R3775" i="2" s="1"/>
  <c r="R3776" i="2" s="1"/>
  <c r="R3777" i="2" s="1"/>
  <c r="R3798" i="2"/>
  <c r="R3786" i="2"/>
  <c r="R3792" i="2" s="1"/>
  <c r="T3795" i="2"/>
  <c r="R3787" i="2"/>
  <c r="R3778" i="2"/>
  <c r="R3780" i="2" l="1"/>
  <c r="S3781" i="2" s="1"/>
  <c r="R3801" i="2"/>
  <c r="T3809" i="2"/>
  <c r="R3800" i="2"/>
  <c r="R3806" i="2" s="1"/>
  <c r="R3812" i="2"/>
  <c r="R3788" i="2"/>
  <c r="R3789" i="2" s="1"/>
  <c r="R3790" i="2" s="1"/>
  <c r="R3791" i="2" s="1"/>
  <c r="R3794" i="2" s="1"/>
  <c r="S3795" i="2" s="1"/>
  <c r="R3802" i="2" l="1"/>
  <c r="R3803" i="2" s="1"/>
  <c r="R3804" i="2" s="1"/>
  <c r="R3805" i="2" s="1"/>
  <c r="R3808" i="2" s="1"/>
  <c r="S3809" i="2" s="1"/>
  <c r="R3815" i="2"/>
  <c r="T3823" i="2"/>
  <c r="R3826" i="2"/>
  <c r="R3814" i="2"/>
  <c r="R3816" i="2" l="1"/>
  <c r="R3817" i="2" s="1"/>
  <c r="R3818" i="2" s="1"/>
  <c r="R3819" i="2" s="1"/>
  <c r="R3840" i="2"/>
  <c r="T3837" i="2"/>
  <c r="R3829" i="2"/>
  <c r="R3828" i="2"/>
  <c r="R3834" i="2" s="1"/>
  <c r="R3820" i="2"/>
  <c r="R3822" i="2" l="1"/>
  <c r="S3823" i="2" s="1"/>
  <c r="R3842" i="2"/>
  <c r="R3848" i="2" s="1"/>
  <c r="T3851" i="2"/>
  <c r="R3854" i="2"/>
  <c r="R3843" i="2"/>
  <c r="R3830" i="2"/>
  <c r="R3831" i="2" s="1"/>
  <c r="R3832" i="2" s="1"/>
  <c r="R3833" i="2" s="1"/>
  <c r="R3836" i="2" s="1"/>
  <c r="S3837" i="2" s="1"/>
  <c r="R3868" i="2" l="1"/>
  <c r="R3856" i="2"/>
  <c r="T3865" i="2"/>
  <c r="R3857" i="2"/>
  <c r="R3844" i="2"/>
  <c r="R3845" i="2" s="1"/>
  <c r="R3858" i="2" l="1"/>
  <c r="R3859" i="2" s="1"/>
  <c r="R3860" i="2" s="1"/>
  <c r="R3861" i="2" s="1"/>
  <c r="R3862" i="2"/>
  <c r="R3870" i="2"/>
  <c r="R3876" i="2" s="1"/>
  <c r="T3879" i="2"/>
  <c r="R3871" i="2"/>
  <c r="R3882" i="2"/>
  <c r="R3846" i="2"/>
  <c r="R3847" i="2" s="1"/>
  <c r="R3850" i="2" s="1"/>
  <c r="S3851" i="2" s="1"/>
  <c r="R3864" i="2" l="1"/>
  <c r="S3865" i="2" s="1"/>
  <c r="R3872" i="2"/>
  <c r="R3873" i="2" s="1"/>
  <c r="R3874" i="2" s="1"/>
  <c r="R3875" i="2" s="1"/>
  <c r="R3878" i="2" s="1"/>
  <c r="S3879" i="2" s="1"/>
  <c r="T3893" i="2"/>
  <c r="R3885" i="2"/>
  <c r="R3884" i="2"/>
  <c r="R3890" i="2" s="1"/>
  <c r="R3896" i="2"/>
  <c r="R3899" i="2" l="1"/>
  <c r="R3910" i="2"/>
  <c r="T3907" i="2"/>
  <c r="R3898" i="2"/>
  <c r="R3904" i="2" s="1"/>
  <c r="R3886" i="2"/>
  <c r="R3887" i="2" s="1"/>
  <c r="R3888" i="2" s="1"/>
  <c r="R3889" i="2" s="1"/>
  <c r="R3892" i="2" s="1"/>
  <c r="S3893" i="2" s="1"/>
  <c r="T3921" i="2" l="1"/>
  <c r="R3913" i="2"/>
  <c r="R3912" i="2"/>
  <c r="R3918" i="2" s="1"/>
  <c r="R3924" i="2"/>
  <c r="R3900" i="2"/>
  <c r="R3901" i="2" s="1"/>
  <c r="R3902" i="2" s="1"/>
  <c r="R3903" i="2" s="1"/>
  <c r="R3906" i="2" s="1"/>
  <c r="S3907" i="2" s="1"/>
  <c r="R3926" i="2" l="1"/>
  <c r="R3938" i="2"/>
  <c r="T3935" i="2"/>
  <c r="R3927" i="2"/>
  <c r="R3914" i="2"/>
  <c r="R3915" i="2" s="1"/>
  <c r="R3916" i="2" s="1"/>
  <c r="R3917" i="2" s="1"/>
  <c r="R3920" i="2" s="1"/>
  <c r="S3921" i="2" s="1"/>
  <c r="R3928" i="2" l="1"/>
  <c r="R3929" i="2" s="1"/>
  <c r="R3930" i="2" s="1"/>
  <c r="R3931" i="2" s="1"/>
  <c r="R3940" i="2"/>
  <c r="R3946" i="2" s="1"/>
  <c r="T3949" i="2"/>
  <c r="R3952" i="2"/>
  <c r="R3941" i="2"/>
  <c r="R3932" i="2"/>
  <c r="R3934" i="2" l="1"/>
  <c r="S3935" i="2" s="1"/>
  <c r="R3942" i="2"/>
  <c r="R3943" i="2" s="1"/>
  <c r="T3963" i="2"/>
  <c r="R3966" i="2"/>
  <c r="R3955" i="2"/>
  <c r="R3954" i="2"/>
  <c r="R3956" i="2" l="1"/>
  <c r="R3957" i="2" s="1"/>
  <c r="R3958" i="2" s="1"/>
  <c r="R3959" i="2" s="1"/>
  <c r="R3944" i="2"/>
  <c r="R3945" i="2" s="1"/>
  <c r="R3948" i="2" s="1"/>
  <c r="S3949" i="2" s="1"/>
  <c r="R3969" i="2"/>
  <c r="R3980" i="2"/>
  <c r="T3977" i="2"/>
  <c r="R3968" i="2"/>
  <c r="R3960" i="2"/>
  <c r="R3962" i="2" l="1"/>
  <c r="S3963" i="2" s="1"/>
  <c r="R3970" i="2"/>
  <c r="R3971" i="2" s="1"/>
  <c r="R3972" i="2" s="1"/>
  <c r="R3973" i="2" s="1"/>
  <c r="R3982" i="2"/>
  <c r="T3991" i="2"/>
  <c r="R3994" i="2"/>
  <c r="R3983" i="2"/>
  <c r="R3974" i="2"/>
  <c r="R3976" i="2" l="1"/>
  <c r="S3977" i="2" s="1"/>
  <c r="R3984" i="2"/>
  <c r="R3985" i="2" s="1"/>
  <c r="R3997" i="2"/>
  <c r="R4008" i="2"/>
  <c r="T4005" i="2"/>
  <c r="R3996" i="2"/>
  <c r="R3988" i="2"/>
  <c r="R3998" i="2" l="1"/>
  <c r="R3999" i="2" s="1"/>
  <c r="R4000" i="2" s="1"/>
  <c r="R4001" i="2" s="1"/>
  <c r="R4002" i="2"/>
  <c r="R3986" i="2"/>
  <c r="R3987" i="2" s="1"/>
  <c r="R3990" i="2" s="1"/>
  <c r="S3991" i="2" s="1"/>
  <c r="R4022" i="2"/>
  <c r="R4010" i="2"/>
  <c r="R4011" i="2"/>
  <c r="T4019" i="2"/>
  <c r="R4004" i="2" l="1"/>
  <c r="S4005" i="2" s="1"/>
  <c r="R4012" i="2"/>
  <c r="R4013" i="2" s="1"/>
  <c r="R4014" i="2" s="1"/>
  <c r="R4015" i="2" s="1"/>
  <c r="R4016" i="2"/>
  <c r="R4024" i="2"/>
  <c r="R4030" i="2" s="1"/>
  <c r="R4025" i="2"/>
  <c r="R4036" i="2"/>
  <c r="T4033" i="2"/>
  <c r="R4018" i="2" l="1"/>
  <c r="S4019" i="2" s="1"/>
  <c r="R4026" i="2"/>
  <c r="R4027" i="2" s="1"/>
  <c r="R4028" i="2" s="1"/>
  <c r="R4029" i="2" s="1"/>
  <c r="R4032" i="2" s="1"/>
  <c r="S4033" i="2" s="1"/>
  <c r="R4038" i="2"/>
  <c r="R4044" i="2" s="1"/>
  <c r="T4047" i="2"/>
  <c r="R4050" i="2"/>
  <c r="R4039" i="2"/>
  <c r="R4052" i="2" l="1"/>
  <c r="R4058" i="2" s="1"/>
  <c r="T4061" i="2"/>
  <c r="R4064" i="2"/>
  <c r="R4053" i="2"/>
  <c r="R4040" i="2"/>
  <c r="R4041" i="2" s="1"/>
  <c r="R4054" i="2" l="1"/>
  <c r="R4055" i="2" s="1"/>
  <c r="R4056" i="2" s="1"/>
  <c r="R4057" i="2" s="1"/>
  <c r="R4060" i="2" s="1"/>
  <c r="S4061" i="2" s="1"/>
  <c r="R4042" i="2"/>
  <c r="R4043" i="2" s="1"/>
  <c r="R4046" i="2" s="1"/>
  <c r="S4047" i="2" s="1"/>
  <c r="R4066" i="2"/>
  <c r="R4072" i="2" s="1"/>
  <c r="R4067" i="2"/>
  <c r="T4075" i="2"/>
  <c r="R4078" i="2"/>
  <c r="R4081" i="2" l="1"/>
  <c r="R4080" i="2"/>
  <c r="R4086" i="2" s="1"/>
  <c r="R4092" i="2"/>
  <c r="T4089" i="2"/>
  <c r="R4068" i="2"/>
  <c r="R4069" i="2" s="1"/>
  <c r="R4070" i="2" s="1"/>
  <c r="R4071" i="2" s="1"/>
  <c r="R4074" i="2" s="1"/>
  <c r="S4075" i="2" s="1"/>
  <c r="R4106" i="2" l="1"/>
  <c r="T4103" i="2"/>
  <c r="R4094" i="2"/>
  <c r="R4100" i="2" s="1"/>
  <c r="R4095" i="2"/>
  <c r="R4082" i="2"/>
  <c r="R4083" i="2" s="1"/>
  <c r="R4084" i="2" s="1"/>
  <c r="R4085" i="2" s="1"/>
  <c r="R4088" i="2" s="1"/>
  <c r="S4089" i="2" s="1"/>
  <c r="R4108" i="2" l="1"/>
  <c r="R4114" i="2" s="1"/>
  <c r="T4117" i="2"/>
  <c r="R4120" i="2"/>
  <c r="R4109" i="2"/>
  <c r="R4096" i="2"/>
  <c r="R4097" i="2" s="1"/>
  <c r="R4098" i="2" s="1"/>
  <c r="R4099" i="2" s="1"/>
  <c r="R4102" i="2" s="1"/>
  <c r="S4103" i="2" s="1"/>
  <c r="R4110" i="2" l="1"/>
  <c r="R4111" i="2" s="1"/>
  <c r="R4112" i="2" s="1"/>
  <c r="R4113" i="2" s="1"/>
  <c r="R4116" i="2" s="1"/>
  <c r="S4117" i="2" s="1"/>
  <c r="R4122" i="2"/>
  <c r="R4134" i="2"/>
  <c r="R4123" i="2"/>
  <c r="T4131" i="2"/>
  <c r="R4124" i="2" l="1"/>
  <c r="R4125" i="2" s="1"/>
  <c r="R4126" i="2" s="1"/>
  <c r="R4127" i="2" s="1"/>
  <c r="R4137" i="2"/>
  <c r="T4145" i="2"/>
  <c r="R4136" i="2"/>
  <c r="R4142" i="2" s="1"/>
  <c r="R4148" i="2"/>
  <c r="R4128" i="2"/>
  <c r="R4130" i="2" l="1"/>
  <c r="S4131" i="2" s="1"/>
  <c r="T4159" i="2"/>
  <c r="R4151" i="2"/>
  <c r="R4150" i="2"/>
  <c r="R4156" i="2" s="1"/>
  <c r="R4162" i="2"/>
  <c r="R4138" i="2"/>
  <c r="R4139" i="2" s="1"/>
  <c r="R4165" i="2" l="1"/>
  <c r="T4173" i="2"/>
  <c r="R4164" i="2"/>
  <c r="R4176" i="2"/>
  <c r="R4140" i="2"/>
  <c r="R4141" i="2" s="1"/>
  <c r="R4144" i="2" s="1"/>
  <c r="S4145" i="2" s="1"/>
  <c r="R4152" i="2"/>
  <c r="R4153" i="2" s="1"/>
  <c r="R4154" i="2" s="1"/>
  <c r="R4155" i="2" s="1"/>
  <c r="R4158" i="2" s="1"/>
  <c r="S4159" i="2" s="1"/>
  <c r="R4166" i="2" l="1"/>
  <c r="R4167" i="2" s="1"/>
  <c r="R4168" i="2" s="1"/>
  <c r="R4169" i="2" s="1"/>
  <c r="R4170" i="2"/>
  <c r="T4187" i="2"/>
  <c r="R4179" i="2"/>
  <c r="R4178" i="2"/>
  <c r="R4184" i="2" s="1"/>
  <c r="R4190" i="2"/>
  <c r="R4172" i="2" l="1"/>
  <c r="S4173" i="2" s="1"/>
  <c r="R4193" i="2"/>
  <c r="R4192" i="2"/>
  <c r="R4204" i="2"/>
  <c r="T4201" i="2"/>
  <c r="R4180" i="2"/>
  <c r="R4181" i="2" s="1"/>
  <c r="R4182" i="2" s="1"/>
  <c r="R4183" i="2" s="1"/>
  <c r="R4186" i="2" s="1"/>
  <c r="S4187" i="2" s="1"/>
  <c r="R4194" i="2" l="1"/>
  <c r="R4195" i="2" s="1"/>
  <c r="R4196" i="2" s="1"/>
  <c r="R4197" i="2" s="1"/>
  <c r="R4207" i="2"/>
  <c r="R4206" i="2"/>
  <c r="R4218" i="2"/>
  <c r="T4215" i="2"/>
  <c r="R4198" i="2"/>
  <c r="R4200" i="2" l="1"/>
  <c r="S4201" i="2" s="1"/>
  <c r="R4220" i="2"/>
  <c r="R4232" i="2"/>
  <c r="R4221" i="2"/>
  <c r="T4229" i="2"/>
  <c r="R4208" i="2"/>
  <c r="R4209" i="2" s="1"/>
  <c r="R4212" i="2"/>
  <c r="R4222" i="2" l="1"/>
  <c r="R4223" i="2" s="1"/>
  <c r="R4224" i="2" s="1"/>
  <c r="R4225" i="2" s="1"/>
  <c r="R4210" i="2"/>
  <c r="R4211" i="2" s="1"/>
  <c r="R4214" i="2" s="1"/>
  <c r="S4215" i="2" s="1"/>
  <c r="R4246" i="2"/>
  <c r="R4235" i="2"/>
  <c r="T4243" i="2"/>
  <c r="R4234" i="2"/>
  <c r="R4226" i="2"/>
  <c r="R4228" i="2" l="1"/>
  <c r="S4229" i="2" s="1"/>
  <c r="R4236" i="2"/>
  <c r="R4237" i="2" s="1"/>
  <c r="R4238" i="2" s="1"/>
  <c r="R4239" i="2" s="1"/>
  <c r="R4249" i="2"/>
  <c r="T4257" i="2"/>
  <c r="R4248" i="2"/>
  <c r="R4260" i="2"/>
  <c r="R4240" i="2"/>
  <c r="R4242" i="2" l="1"/>
  <c r="S4243" i="2" s="1"/>
  <c r="R4250" i="2"/>
  <c r="R4251" i="2" s="1"/>
  <c r="R4252" i="2" s="1"/>
  <c r="R4253" i="2" s="1"/>
  <c r="R4254" i="2"/>
  <c r="R4262" i="2"/>
  <c r="R4268" i="2" s="1"/>
  <c r="R4263" i="2"/>
  <c r="T4271" i="2"/>
  <c r="R4274" i="2"/>
  <c r="R4256" i="2" l="1"/>
  <c r="S4257" i="2" s="1"/>
  <c r="R4264" i="2"/>
  <c r="R4265" i="2" s="1"/>
  <c r="R4266" i="2" s="1"/>
  <c r="R4267" i="2" s="1"/>
  <c r="R4270" i="2" s="1"/>
  <c r="S4271" i="2" s="1"/>
  <c r="T4285" i="2"/>
  <c r="R4277" i="2"/>
  <c r="R4288" i="2"/>
  <c r="R4276" i="2"/>
  <c r="R4282" i="2" s="1"/>
  <c r="R4291" i="2" l="1"/>
  <c r="R4302" i="2"/>
  <c r="R4290" i="2"/>
  <c r="R4296" i="2" s="1"/>
  <c r="T4299" i="2"/>
  <c r="R4278" i="2"/>
  <c r="R4279" i="2" s="1"/>
  <c r="R4280" i="2" l="1"/>
  <c r="R4281" i="2" s="1"/>
  <c r="R4284" i="2" s="1"/>
  <c r="S4285" i="2" s="1"/>
  <c r="R4316" i="2"/>
  <c r="R4305" i="2"/>
  <c r="T4313" i="2"/>
  <c r="R4304" i="2"/>
  <c r="R4292" i="2"/>
  <c r="R4293" i="2" s="1"/>
  <c r="R4294" i="2" s="1"/>
  <c r="R4295" i="2" s="1"/>
  <c r="R4298" i="2" s="1"/>
  <c r="S4299" i="2" s="1"/>
  <c r="R4306" i="2" l="1"/>
  <c r="R4307" i="2" s="1"/>
  <c r="R4308" i="2" s="1"/>
  <c r="R4309" i="2" s="1"/>
  <c r="R4310" i="2"/>
  <c r="R4318" i="2"/>
  <c r="R4324" i="2" s="1"/>
  <c r="R4319" i="2"/>
  <c r="R4330" i="2"/>
  <c r="T4327" i="2"/>
  <c r="R4312" i="2" l="1"/>
  <c r="S4313" i="2" s="1"/>
  <c r="R4320" i="2"/>
  <c r="R4321" i="2" s="1"/>
  <c r="R4322" i="2" s="1"/>
  <c r="R4323" i="2" s="1"/>
  <c r="R4326" i="2" s="1"/>
  <c r="S4327" i="2" s="1"/>
  <c r="T4341" i="2"/>
  <c r="R4332" i="2"/>
  <c r="R4338" i="2" s="1"/>
  <c r="R4344" i="2"/>
  <c r="R4333" i="2"/>
  <c r="R4346" i="2" l="1"/>
  <c r="R4347" i="2"/>
  <c r="T4355" i="2"/>
  <c r="R4358" i="2"/>
  <c r="R4334" i="2"/>
  <c r="R4335" i="2" s="1"/>
  <c r="R4336" i="2" s="1"/>
  <c r="R4337" i="2" s="1"/>
  <c r="R4340" i="2" s="1"/>
  <c r="S4341" i="2" s="1"/>
  <c r="R4348" i="2" l="1"/>
  <c r="R4349" i="2" s="1"/>
  <c r="R4350" i="2" s="1"/>
  <c r="R4351" i="2" s="1"/>
  <c r="T4369" i="2"/>
  <c r="R4372" i="2"/>
  <c r="R4360" i="2"/>
  <c r="R4366" i="2" s="1"/>
  <c r="R4361" i="2"/>
  <c r="R4352" i="2"/>
  <c r="R4354" i="2" l="1"/>
  <c r="S4355" i="2" s="1"/>
  <c r="R4362" i="2"/>
  <c r="R4363" i="2" s="1"/>
  <c r="R4364" i="2" s="1"/>
  <c r="R4365" i="2" s="1"/>
  <c r="R4368" i="2" s="1"/>
  <c r="S4369" i="2" s="1"/>
  <c r="R4375" i="2"/>
  <c r="R4386" i="2"/>
  <c r="T4383" i="2"/>
  <c r="R4374" i="2"/>
  <c r="R4376" i="2" l="1"/>
  <c r="R4377" i="2" s="1"/>
  <c r="R4378" i="2" s="1"/>
  <c r="R4379" i="2" s="1"/>
  <c r="R4380" i="2"/>
  <c r="T4397" i="2"/>
  <c r="R4400" i="2"/>
  <c r="R4388" i="2"/>
  <c r="R4389" i="2"/>
  <c r="R4382" i="2" l="1"/>
  <c r="S4383" i="2" s="1"/>
  <c r="R4390" i="2"/>
  <c r="R4391" i="2" s="1"/>
  <c r="R4392" i="2" s="1"/>
  <c r="R4393" i="2" s="1"/>
  <c r="T4411" i="2"/>
  <c r="R4402" i="2"/>
  <c r="R4408" i="2" s="1"/>
  <c r="R4403" i="2"/>
  <c r="R4414" i="2"/>
  <c r="R4394" i="2"/>
  <c r="R4396" i="2" l="1"/>
  <c r="S4397" i="2" s="1"/>
  <c r="R4404" i="2"/>
  <c r="R4405" i="2" s="1"/>
  <c r="R4406" i="2" s="1"/>
  <c r="R4407" i="2" s="1"/>
  <c r="R4410" i="2" s="1"/>
  <c r="S4411" i="2" s="1"/>
  <c r="R4417" i="2"/>
  <c r="T4425" i="2"/>
  <c r="R4416" i="2"/>
  <c r="R4422" i="2" s="1"/>
  <c r="R4428" i="2"/>
  <c r="R4442" i="2" l="1"/>
  <c r="R4430" i="2"/>
  <c r="R4436" i="2" s="1"/>
  <c r="T4439" i="2"/>
  <c r="R4431" i="2"/>
  <c r="R4418" i="2"/>
  <c r="R4419" i="2" s="1"/>
  <c r="R4420" i="2" l="1"/>
  <c r="R4421" i="2" s="1"/>
  <c r="R4424" i="2" s="1"/>
  <c r="S4425" i="2" s="1"/>
  <c r="R4456" i="2"/>
  <c r="R4445" i="2"/>
  <c r="T4453" i="2"/>
  <c r="R4444" i="2"/>
  <c r="R4432" i="2"/>
  <c r="R4433" i="2" s="1"/>
  <c r="R4434" i="2" s="1"/>
  <c r="R4435" i="2" s="1"/>
  <c r="R4438" i="2" s="1"/>
  <c r="S4439" i="2" s="1"/>
  <c r="R4446" i="2" l="1"/>
  <c r="R4447" i="2" s="1"/>
  <c r="R4448" i="2" s="1"/>
  <c r="R4449" i="2" s="1"/>
  <c r="R4450" i="2"/>
  <c r="R4459" i="2"/>
  <c r="T4467" i="2"/>
  <c r="R4470" i="2"/>
  <c r="R4458" i="2"/>
  <c r="R4452" i="2" l="1"/>
  <c r="S4453" i="2" s="1"/>
  <c r="R4460" i="2"/>
  <c r="R4461" i="2" s="1"/>
  <c r="R4462" i="2" s="1"/>
  <c r="R4463" i="2" s="1"/>
  <c r="R4484" i="2"/>
  <c r="T4481" i="2"/>
  <c r="R4473" i="2"/>
  <c r="R4472" i="2"/>
  <c r="R4464" i="2"/>
  <c r="R4466" i="2" l="1"/>
  <c r="S4467" i="2" s="1"/>
  <c r="T4495" i="2"/>
  <c r="R4486" i="2"/>
  <c r="R4487" i="2"/>
  <c r="R4498" i="2"/>
  <c r="R4478" i="2"/>
  <c r="R4474" i="2"/>
  <c r="R4475" i="2" s="1"/>
  <c r="R4476" i="2" s="1"/>
  <c r="R4477" i="2" s="1"/>
  <c r="R4480" i="2" l="1"/>
  <c r="S4481" i="2" s="1"/>
  <c r="R4488" i="2"/>
  <c r="R4489" i="2" s="1"/>
  <c r="R4490" i="2" s="1"/>
  <c r="R4491" i="2" s="1"/>
  <c r="R4492" i="2"/>
  <c r="T4509" i="2"/>
  <c r="R4512" i="2"/>
  <c r="R4500" i="2"/>
  <c r="R4506" i="2" s="1"/>
  <c r="R4501" i="2"/>
  <c r="R4494" i="2" l="1"/>
  <c r="S4495" i="2" s="1"/>
  <c r="T4523" i="2"/>
  <c r="R4526" i="2"/>
  <c r="R4514" i="2"/>
  <c r="R4515" i="2"/>
  <c r="R4502" i="2"/>
  <c r="R4503" i="2" s="1"/>
  <c r="R4516" i="2" l="1"/>
  <c r="R4517" i="2" s="1"/>
  <c r="R4518" i="2" s="1"/>
  <c r="R4519" i="2" s="1"/>
  <c r="R4504" i="2"/>
  <c r="R4505" i="2" s="1"/>
  <c r="R4508" i="2" s="1"/>
  <c r="S4509" i="2" s="1"/>
  <c r="R4540" i="2"/>
  <c r="R4529" i="2"/>
  <c r="T4537" i="2"/>
  <c r="R4528" i="2"/>
  <c r="R4534" i="2" s="1"/>
  <c r="R4520" i="2"/>
  <c r="R4522" i="2" l="1"/>
  <c r="S4523" i="2" s="1"/>
  <c r="R4530" i="2"/>
  <c r="R4531" i="2" s="1"/>
  <c r="R4532" i="2" s="1"/>
  <c r="R4533" i="2" s="1"/>
  <c r="R4536" i="2" s="1"/>
  <c r="S4537" i="2" s="1"/>
  <c r="R4554" i="2"/>
  <c r="R4542" i="2"/>
  <c r="T4551" i="2"/>
  <c r="R4543" i="2"/>
  <c r="R4544" i="2" l="1"/>
  <c r="R4545" i="2" s="1"/>
  <c r="R4546" i="2" s="1"/>
  <c r="R4547" i="2" s="1"/>
  <c r="R4557" i="2"/>
  <c r="R4568" i="2"/>
  <c r="T4565" i="2"/>
  <c r="R4556" i="2"/>
  <c r="R4548" i="2"/>
  <c r="R4550" i="2" l="1"/>
  <c r="S4551" i="2" s="1"/>
  <c r="R4571" i="2"/>
  <c r="T4579" i="2"/>
  <c r="R4582" i="2"/>
  <c r="R4570" i="2"/>
  <c r="R4562" i="2"/>
  <c r="R4558" i="2"/>
  <c r="R4559" i="2" s="1"/>
  <c r="R4560" i="2" s="1"/>
  <c r="R4561" i="2" s="1"/>
  <c r="R4564" i="2" l="1"/>
  <c r="S4565" i="2" s="1"/>
  <c r="R4572" i="2"/>
  <c r="R4573" i="2" s="1"/>
  <c r="R4576" i="2"/>
  <c r="R4596" i="2"/>
  <c r="T4593" i="2"/>
  <c r="R4584" i="2"/>
  <c r="R4585" i="2"/>
  <c r="R4586" i="2" l="1"/>
  <c r="R4587" i="2" s="1"/>
  <c r="R4588" i="2" s="1"/>
  <c r="R4589" i="2" s="1"/>
  <c r="R4574" i="2"/>
  <c r="R4575" i="2" s="1"/>
  <c r="R4578" i="2" s="1"/>
  <c r="S4579" i="2" s="1"/>
  <c r="R4599" i="2"/>
  <c r="R4610" i="2"/>
  <c r="R4598" i="2"/>
  <c r="R4604" i="2" s="1"/>
  <c r="T4607" i="2"/>
  <c r="R4590" i="2"/>
  <c r="R4592" i="2" l="1"/>
  <c r="S4593" i="2" s="1"/>
  <c r="R4613" i="2"/>
  <c r="R4612" i="2"/>
  <c r="R4618" i="2" s="1"/>
  <c r="T4621" i="2"/>
  <c r="R4624" i="2"/>
  <c r="R4600" i="2"/>
  <c r="R4601" i="2" s="1"/>
  <c r="R4602" i="2" s="1"/>
  <c r="R4603" i="2" s="1"/>
  <c r="R4606" i="2" s="1"/>
  <c r="S4607" i="2" s="1"/>
  <c r="R4627" i="2" l="1"/>
  <c r="R4626" i="2"/>
  <c r="R4638" i="2"/>
  <c r="T4635" i="2"/>
  <c r="R4614" i="2"/>
  <c r="R4615" i="2" s="1"/>
  <c r="R4628" i="2" l="1"/>
  <c r="R4629" i="2" s="1"/>
  <c r="R4630" i="2" s="1"/>
  <c r="R4631" i="2" s="1"/>
  <c r="R4616" i="2"/>
  <c r="R4617" i="2" s="1"/>
  <c r="R4620" i="2" s="1"/>
  <c r="S4621" i="2" s="1"/>
  <c r="R4640" i="2"/>
  <c r="R4652" i="2"/>
  <c r="R4641" i="2"/>
  <c r="T4649" i="2"/>
  <c r="R4632" i="2"/>
  <c r="R4634" i="2" l="1"/>
  <c r="S4635" i="2" s="1"/>
  <c r="R4642" i="2"/>
  <c r="R4643" i="2" s="1"/>
  <c r="R4644" i="2" s="1"/>
  <c r="R4645" i="2" s="1"/>
  <c r="R4646" i="2"/>
  <c r="R4654" i="2"/>
  <c r="R4655" i="2"/>
  <c r="R4666" i="2"/>
  <c r="T4663" i="2"/>
  <c r="R4648" i="2" l="1"/>
  <c r="S4649" i="2" s="1"/>
  <c r="R4656" i="2"/>
  <c r="R4657" i="2" s="1"/>
  <c r="R4658" i="2" s="1"/>
  <c r="R4659" i="2" s="1"/>
  <c r="T4677" i="2"/>
  <c r="R4668" i="2"/>
  <c r="R4674" i="2" s="1"/>
  <c r="R4680" i="2"/>
  <c r="R4669" i="2"/>
  <c r="R4660" i="2"/>
  <c r="R4662" i="2" l="1"/>
  <c r="S4663" i="2" s="1"/>
  <c r="T4691" i="2"/>
  <c r="R4682" i="2"/>
  <c r="R4694" i="2"/>
  <c r="R4683" i="2"/>
  <c r="R4670" i="2"/>
  <c r="R4671" i="2" s="1"/>
  <c r="R4672" i="2" l="1"/>
  <c r="R4673" i="2" s="1"/>
  <c r="R4676" i="2" s="1"/>
  <c r="S4677" i="2" s="1"/>
  <c r="R4688" i="2"/>
  <c r="R4684" i="2"/>
  <c r="R4685" i="2" s="1"/>
  <c r="R4697" i="2"/>
  <c r="R4696" i="2"/>
  <c r="R4708" i="2"/>
  <c r="T4705" i="2"/>
  <c r="R4702" i="2" l="1"/>
  <c r="R4698" i="2"/>
  <c r="R4699" i="2" s="1"/>
  <c r="R4700" i="2" s="1"/>
  <c r="R4701" i="2" s="1"/>
  <c r="R4711" i="2"/>
  <c r="R4722" i="2"/>
  <c r="R4710" i="2"/>
  <c r="T4719" i="2"/>
  <c r="R4686" i="2"/>
  <c r="R4687" i="2" s="1"/>
  <c r="R4690" i="2" s="1"/>
  <c r="S4691" i="2" s="1"/>
  <c r="R4712" i="2" l="1"/>
  <c r="R4713" i="2" s="1"/>
  <c r="R4714" i="2" s="1"/>
  <c r="R4715" i="2" s="1"/>
  <c r="R4704" i="2"/>
  <c r="S4705" i="2" s="1"/>
  <c r="R4736" i="2"/>
  <c r="T4733" i="2"/>
  <c r="R4724" i="2"/>
  <c r="R4730" i="2" s="1"/>
  <c r="R4725" i="2"/>
  <c r="R4716" i="2"/>
  <c r="R4718" i="2" l="1"/>
  <c r="S4719" i="2" s="1"/>
  <c r="T4747" i="2"/>
  <c r="R4739" i="2"/>
  <c r="R4738" i="2"/>
  <c r="R4744" i="2" s="1"/>
  <c r="R4750" i="2"/>
  <c r="R4726" i="2"/>
  <c r="R4727" i="2" s="1"/>
  <c r="R4728" i="2" s="1"/>
  <c r="R4729" i="2" s="1"/>
  <c r="R4732" i="2" s="1"/>
  <c r="S4733" i="2" s="1"/>
  <c r="R4764" i="2" l="1"/>
  <c r="R4753" i="2"/>
  <c r="T4761" i="2"/>
  <c r="R4752" i="2"/>
  <c r="R4758" i="2" s="1"/>
  <c r="R4740" i="2"/>
  <c r="R4741" i="2" s="1"/>
  <c r="R4742" i="2" s="1"/>
  <c r="R4743" i="2" s="1"/>
  <c r="R4746" i="2" s="1"/>
  <c r="S4747" i="2" s="1"/>
  <c r="T4775" i="2" l="1"/>
  <c r="R4778" i="2"/>
  <c r="R4766" i="2"/>
  <c r="R4772" i="2" s="1"/>
  <c r="R4767" i="2"/>
  <c r="R4754" i="2"/>
  <c r="R4755" i="2" s="1"/>
  <c r="R4756" i="2" s="1"/>
  <c r="R4757" i="2" s="1"/>
  <c r="R4760" i="2" s="1"/>
  <c r="S4761" i="2" s="1"/>
  <c r="R4768" i="2" l="1"/>
  <c r="R4769" i="2" s="1"/>
  <c r="R4770" i="2" s="1"/>
  <c r="R4771" i="2" s="1"/>
  <c r="R4774" i="2" s="1"/>
  <c r="S4775" i="2" s="1"/>
  <c r="R4780" i="2"/>
  <c r="R4786" i="2" s="1"/>
  <c r="T4789" i="2"/>
  <c r="R4792" i="2"/>
  <c r="R4781" i="2"/>
  <c r="R4782" i="2" l="1"/>
  <c r="R4783" i="2" s="1"/>
  <c r="R4784" i="2" s="1"/>
  <c r="R4785" i="2" s="1"/>
  <c r="R4788" i="2" s="1"/>
  <c r="S4789" i="2" s="1"/>
  <c r="R4795" i="2"/>
  <c r="R4794" i="2"/>
  <c r="T4803" i="2"/>
  <c r="R4806" i="2"/>
  <c r="R4796" i="2" l="1"/>
  <c r="R4797" i="2" s="1"/>
  <c r="R4798" i="2" s="1"/>
  <c r="R4799" i="2" s="1"/>
  <c r="R4820" i="2"/>
  <c r="R4809" i="2"/>
  <c r="T4817" i="2"/>
  <c r="R4808" i="2"/>
  <c r="R4800" i="2"/>
  <c r="R4802" i="2" l="1"/>
  <c r="S4803" i="2" s="1"/>
  <c r="T4831" i="2"/>
  <c r="R4822" i="2"/>
  <c r="R4834" i="2"/>
  <c r="R4823" i="2"/>
  <c r="R4810" i="2"/>
  <c r="R4811" i="2" s="1"/>
  <c r="R4814" i="2"/>
  <c r="R4812" i="2" l="1"/>
  <c r="R4813" i="2" s="1"/>
  <c r="R4816" i="2" s="1"/>
  <c r="S4817" i="2" s="1"/>
  <c r="R4828" i="2"/>
  <c r="R4824" i="2"/>
  <c r="R4825" i="2" s="1"/>
  <c r="R4826" i="2" s="1"/>
  <c r="R4827" i="2" s="1"/>
  <c r="R4836" i="2"/>
  <c r="R4842" i="2" s="1"/>
  <c r="R4837" i="2"/>
  <c r="R4848" i="2"/>
  <c r="T4845" i="2"/>
  <c r="R4830" i="2" l="1"/>
  <c r="S4831" i="2" s="1"/>
  <c r="R4838" i="2"/>
  <c r="R4839" i="2" s="1"/>
  <c r="R4840" i="2" s="1"/>
  <c r="R4841" i="2" s="1"/>
  <c r="R4844" i="2" s="1"/>
  <c r="S4845" i="2" s="1"/>
  <c r="R4862" i="2"/>
  <c r="R4851" i="2"/>
  <c r="R4850" i="2"/>
  <c r="T4859" i="2"/>
  <c r="R4852" i="2" l="1"/>
  <c r="R4853" i="2" s="1"/>
  <c r="R4854" i="2" s="1"/>
  <c r="R4855" i="2" s="1"/>
  <c r="R4876" i="2"/>
  <c r="R4865" i="2"/>
  <c r="T4873" i="2"/>
  <c r="R4864" i="2"/>
  <c r="R4856" i="2"/>
  <c r="R4858" i="2" l="1"/>
  <c r="S4859" i="2" s="1"/>
  <c r="R4866" i="2"/>
  <c r="R4867" i="2" s="1"/>
  <c r="R4868" i="2" s="1"/>
  <c r="R4869" i="2" s="1"/>
  <c r="R4870" i="2"/>
  <c r="T4887" i="2"/>
  <c r="R4890" i="2"/>
  <c r="R4879" i="2"/>
  <c r="R4878" i="2"/>
  <c r="R4872" i="2" l="1"/>
  <c r="S4873" i="2" s="1"/>
  <c r="T4901" i="2"/>
  <c r="R4904" i="2"/>
  <c r="R4892" i="2"/>
  <c r="R4893" i="2"/>
  <c r="R4880" i="2"/>
  <c r="R4881" i="2" s="1"/>
  <c r="R4884" i="2"/>
  <c r="R4882" i="2" l="1"/>
  <c r="R4883" i="2" s="1"/>
  <c r="R4886" i="2" s="1"/>
  <c r="S4887" i="2" s="1"/>
  <c r="R4906" i="2"/>
  <c r="R4907" i="2"/>
  <c r="T4915" i="2"/>
  <c r="R4918" i="2"/>
  <c r="R4898" i="2"/>
  <c r="R4894" i="2"/>
  <c r="R4895" i="2" s="1"/>
  <c r="R4896" i="2" s="1"/>
  <c r="R4897" i="2" s="1"/>
  <c r="R4900" i="2" l="1"/>
  <c r="S4901" i="2" s="1"/>
  <c r="R4932" i="2"/>
  <c r="R4921" i="2"/>
  <c r="T4929" i="2"/>
  <c r="R4920" i="2"/>
  <c r="R4908" i="2"/>
  <c r="R4912" i="2"/>
  <c r="R4922" i="2" l="1"/>
  <c r="R4935" i="2"/>
  <c r="R4946" i="2"/>
  <c r="T4943" i="2"/>
  <c r="R4934" i="2"/>
  <c r="R4909" i="2"/>
  <c r="R4910" i="2" s="1"/>
  <c r="R4911" i="2" s="1"/>
  <c r="R4914" i="2" s="1"/>
  <c r="S4915" i="2" s="1"/>
  <c r="R4926" i="2"/>
  <c r="R4923" i="2" l="1"/>
  <c r="R4924" i="2" s="1"/>
  <c r="R4925" i="2" s="1"/>
  <c r="R4928" i="2" s="1"/>
  <c r="S4929" i="2" s="1"/>
  <c r="R4936" i="2"/>
  <c r="R4937" i="2" s="1"/>
  <c r="R4938" i="2" s="1"/>
  <c r="R4939" i="2" s="1"/>
  <c r="T4957" i="2"/>
  <c r="R4960" i="2"/>
  <c r="R4948" i="2"/>
  <c r="R4954" i="2" s="1"/>
  <c r="R4949" i="2"/>
  <c r="R4940" i="2"/>
  <c r="R4942" i="2" l="1"/>
  <c r="S4943" i="2" s="1"/>
  <c r="R4963" i="2"/>
  <c r="R4962" i="2"/>
  <c r="R4968" i="2" s="1"/>
  <c r="R4974" i="2"/>
  <c r="T4971" i="2"/>
  <c r="R4950" i="2"/>
  <c r="R4951" i="2" l="1"/>
  <c r="R4952" i="2" s="1"/>
  <c r="R4953" i="2" s="1"/>
  <c r="R4956" i="2" s="1"/>
  <c r="S4957" i="2" s="1"/>
  <c r="R4988" i="2"/>
  <c r="T4985" i="2"/>
  <c r="R4977" i="2"/>
  <c r="R4976" i="2"/>
  <c r="R4964" i="2"/>
  <c r="T4999" i="2" l="1"/>
  <c r="R5002" i="2"/>
  <c r="R4991" i="2"/>
  <c r="R4990" i="2"/>
  <c r="R4996" i="2" s="1"/>
  <c r="R4965" i="2"/>
  <c r="R4978" i="2"/>
  <c r="R4982" i="2"/>
  <c r="R4966" i="2" l="1"/>
  <c r="R4967" i="2" s="1"/>
  <c r="R4970" i="2" s="1"/>
  <c r="S4971" i="2" s="1"/>
  <c r="T5013" i="2"/>
  <c r="R5004" i="2"/>
  <c r="R5016" i="2"/>
  <c r="R5005" i="2"/>
  <c r="R4979" i="2"/>
  <c r="R4980" i="2" s="1"/>
  <c r="R4981" i="2" s="1"/>
  <c r="R4984" i="2" s="1"/>
  <c r="S4985" i="2" s="1"/>
  <c r="R4992" i="2"/>
  <c r="R5018" i="2" l="1"/>
  <c r="R5024" i="2" s="1"/>
  <c r="T5027" i="2"/>
  <c r="R5030" i="2"/>
  <c r="R5019" i="2"/>
  <c r="R5006" i="2"/>
  <c r="R4993" i="2"/>
  <c r="R4994" i="2" s="1"/>
  <c r="R4995" i="2" s="1"/>
  <c r="R4998" i="2" s="1"/>
  <c r="S4999" i="2" s="1"/>
  <c r="R5010" i="2"/>
  <c r="R5020" i="2" l="1"/>
  <c r="R5007" i="2"/>
  <c r="T5041" i="2"/>
  <c r="R5032" i="2"/>
  <c r="R5044" i="2"/>
  <c r="R5033" i="2"/>
  <c r="R5034" i="2" l="1"/>
  <c r="R5035" i="2" s="1"/>
  <c r="R5036" i="2" s="1"/>
  <c r="R5037" i="2" s="1"/>
  <c r="R5047" i="2"/>
  <c r="R5058" i="2"/>
  <c r="T5055" i="2"/>
  <c r="R5046" i="2"/>
  <c r="R5021" i="2"/>
  <c r="R5022" i="2" s="1"/>
  <c r="R5023" i="2" s="1"/>
  <c r="R5026" i="2" s="1"/>
  <c r="S5027" i="2" s="1"/>
  <c r="R5008" i="2"/>
  <c r="R5009" i="2" s="1"/>
  <c r="R5012" i="2" s="1"/>
  <c r="S5013" i="2" s="1"/>
  <c r="R5038" i="2"/>
  <c r="R5040" i="2" l="1"/>
  <c r="S5041" i="2" s="1"/>
  <c r="R5048" i="2"/>
  <c r="R5052" i="2"/>
  <c r="R5061" i="2"/>
  <c r="T5069" i="2"/>
  <c r="R5060" i="2"/>
  <c r="R5072" i="2"/>
  <c r="R5049" i="2" l="1"/>
  <c r="R5050" i="2" s="1"/>
  <c r="R5051" i="2" s="1"/>
  <c r="R5054" i="2" s="1"/>
  <c r="S5055" i="2" s="1"/>
  <c r="R5075" i="2"/>
  <c r="R5074" i="2"/>
  <c r="R5080" i="2" s="1"/>
  <c r="T5083" i="2"/>
  <c r="R5086" i="2"/>
  <c r="R5062" i="2"/>
  <c r="R5066" i="2"/>
  <c r="R5076" i="2" l="1"/>
  <c r="R5063" i="2"/>
  <c r="R5064" i="2" s="1"/>
  <c r="R5065" i="2" s="1"/>
  <c r="R5068" i="2" s="1"/>
  <c r="S5069" i="2" s="1"/>
  <c r="T5097" i="2"/>
  <c r="R5088" i="2"/>
  <c r="R5089" i="2"/>
  <c r="R5077" i="2" l="1"/>
  <c r="R5078" i="2" s="1"/>
  <c r="R5079" i="2" s="1"/>
  <c r="R5082" i="2" s="1"/>
  <c r="S5083" i="2" s="1"/>
  <c r="R5090" i="2"/>
  <c r="R5094" i="2"/>
  <c r="R5091" i="2" l="1"/>
  <c r="R5092" i="2" s="1"/>
  <c r="R5093" i="2" s="1"/>
  <c r="R5096" i="2" s="1"/>
  <c r="S5097" i="2" s="1"/>
  <c r="T18" i="2" s="1"/>
  <c r="T19" i="2" l="1"/>
  <c r="D40" i="3" s="1"/>
  <c r="T20" i="2"/>
  <c r="C44" i="3" l="1"/>
  <c r="C41" i="3" s="1"/>
  <c r="C40" i="3"/>
  <c r="U33" i="2"/>
  <c r="U35" i="2" l="1"/>
  <c r="U41" i="2" s="1"/>
  <c r="U36" i="2"/>
  <c r="W44" i="2"/>
  <c r="U46" i="2"/>
  <c r="U49" i="2" l="1"/>
  <c r="U48" i="2"/>
  <c r="U54" i="2" s="1"/>
  <c r="W57" i="2"/>
  <c r="U60" i="2"/>
  <c r="U37" i="2"/>
  <c r="U38" i="2" s="1"/>
  <c r="U39" i="2" l="1"/>
  <c r="U40" i="2" s="1"/>
  <c r="U43" i="2" s="1"/>
  <c r="V44" i="2" s="1"/>
  <c r="U62" i="2"/>
  <c r="U63" i="2"/>
  <c r="W71" i="2"/>
  <c r="U74" i="2"/>
  <c r="U50" i="2"/>
  <c r="U51" i="2" s="1"/>
  <c r="U52" i="2" s="1"/>
  <c r="U68" i="2" l="1"/>
  <c r="U64" i="2"/>
  <c r="U65" i="2" s="1"/>
  <c r="U66" i="2" s="1"/>
  <c r="U67" i="2" s="1"/>
  <c r="U53" i="2"/>
  <c r="U56" i="2" s="1"/>
  <c r="V57" i="2" s="1"/>
  <c r="W85" i="2"/>
  <c r="U88" i="2"/>
  <c r="U76" i="2"/>
  <c r="U82" i="2" s="1"/>
  <c r="U77" i="2"/>
  <c r="U70" i="2" l="1"/>
  <c r="V71" i="2" s="1"/>
  <c r="U102" i="2"/>
  <c r="U91" i="2"/>
  <c r="U90" i="2"/>
  <c r="W99" i="2"/>
  <c r="U78" i="2"/>
  <c r="U79" i="2" s="1"/>
  <c r="U80" i="2" s="1"/>
  <c r="U92" i="2" l="1"/>
  <c r="U93" i="2" s="1"/>
  <c r="U116" i="2"/>
  <c r="U105" i="2"/>
  <c r="U104" i="2"/>
  <c r="W113" i="2"/>
  <c r="U81" i="2"/>
  <c r="U84" i="2" s="1"/>
  <c r="V85" i="2" s="1"/>
  <c r="U96" i="2"/>
  <c r="U106" i="2" l="1"/>
  <c r="U107" i="2" s="1"/>
  <c r="U108" i="2" s="1"/>
  <c r="U109" i="2" s="1"/>
  <c r="U110" i="2"/>
  <c r="U130" i="2"/>
  <c r="U119" i="2"/>
  <c r="W127" i="2"/>
  <c r="U118" i="2"/>
  <c r="U94" i="2"/>
  <c r="U95" i="2" s="1"/>
  <c r="U98" i="2" s="1"/>
  <c r="V99" i="2" s="1"/>
  <c r="U112" i="2" l="1"/>
  <c r="V113" i="2" s="1"/>
  <c r="U120" i="2"/>
  <c r="U121" i="2" s="1"/>
  <c r="U122" i="2" s="1"/>
  <c r="U123" i="2" s="1"/>
  <c r="U144" i="2"/>
  <c r="U132" i="2"/>
  <c r="U138" i="2" s="1"/>
  <c r="U133" i="2"/>
  <c r="W141" i="2"/>
  <c r="U124" i="2"/>
  <c r="U126" i="2" l="1"/>
  <c r="V127" i="2" s="1"/>
  <c r="U158" i="2"/>
  <c r="W155" i="2"/>
  <c r="U146" i="2"/>
  <c r="U152" i="2" s="1"/>
  <c r="U147" i="2"/>
  <c r="U134" i="2"/>
  <c r="U135" i="2" s="1"/>
  <c r="U136" i="2" s="1"/>
  <c r="U137" i="2" s="1"/>
  <c r="U140" i="2" s="1"/>
  <c r="V141" i="2" s="1"/>
  <c r="U172" i="2" l="1"/>
  <c r="U161" i="2"/>
  <c r="U160" i="2"/>
  <c r="W169" i="2"/>
  <c r="U148" i="2"/>
  <c r="U149" i="2" s="1"/>
  <c r="U186" i="2" l="1"/>
  <c r="U175" i="2"/>
  <c r="W183" i="2"/>
  <c r="U174" i="2"/>
  <c r="U180" i="2" s="1"/>
  <c r="U150" i="2"/>
  <c r="U151" i="2" s="1"/>
  <c r="U154" i="2" s="1"/>
  <c r="V155" i="2" s="1"/>
  <c r="U162" i="2"/>
  <c r="U163" i="2" s="1"/>
  <c r="U166" i="2"/>
  <c r="U200" i="2" l="1"/>
  <c r="U189" i="2"/>
  <c r="W197" i="2"/>
  <c r="U188" i="2"/>
  <c r="U194" i="2" s="1"/>
  <c r="U164" i="2"/>
  <c r="U165" i="2" s="1"/>
  <c r="U168" i="2" s="1"/>
  <c r="V169" i="2" s="1"/>
  <c r="U176" i="2"/>
  <c r="U177" i="2" s="1"/>
  <c r="U178" i="2" s="1"/>
  <c r="U179" i="2" s="1"/>
  <c r="U182" i="2" s="1"/>
  <c r="V183" i="2" s="1"/>
  <c r="U214" i="2" l="1"/>
  <c r="U202" i="2"/>
  <c r="W211" i="2"/>
  <c r="U203" i="2"/>
  <c r="U190" i="2"/>
  <c r="U191" i="2" s="1"/>
  <c r="U204" i="2" l="1"/>
  <c r="U205" i="2" s="1"/>
  <c r="U228" i="2"/>
  <c r="U216" i="2"/>
  <c r="U222" i="2" s="1"/>
  <c r="W225" i="2"/>
  <c r="U217" i="2"/>
  <c r="U192" i="2"/>
  <c r="U193" i="2" s="1"/>
  <c r="U196" i="2" s="1"/>
  <c r="V197" i="2" s="1"/>
  <c r="U208" i="2"/>
  <c r="W239" i="2" l="1"/>
  <c r="U231" i="2"/>
  <c r="U230" i="2"/>
  <c r="U236" i="2" s="1"/>
  <c r="U242" i="2"/>
  <c r="U218" i="2"/>
  <c r="U219" i="2" s="1"/>
  <c r="U220" i="2" s="1"/>
  <c r="U221" i="2" s="1"/>
  <c r="U224" i="2" s="1"/>
  <c r="V225" i="2" s="1"/>
  <c r="U206" i="2"/>
  <c r="U207" i="2" s="1"/>
  <c r="U210" i="2" s="1"/>
  <c r="V211" i="2" s="1"/>
  <c r="U245" i="2" l="1"/>
  <c r="U244" i="2"/>
  <c r="U256" i="2"/>
  <c r="W253" i="2"/>
  <c r="U232" i="2"/>
  <c r="U233" i="2" s="1"/>
  <c r="U246" i="2" l="1"/>
  <c r="U247" i="2" s="1"/>
  <c r="U248" i="2" s="1"/>
  <c r="U249" i="2" s="1"/>
  <c r="U234" i="2"/>
  <c r="U235" i="2" s="1"/>
  <c r="U238" i="2" s="1"/>
  <c r="V239" i="2" s="1"/>
  <c r="U259" i="2"/>
  <c r="U258" i="2"/>
  <c r="U270" i="2"/>
  <c r="W267" i="2"/>
  <c r="U250" i="2"/>
  <c r="U252" i="2" l="1"/>
  <c r="V253" i="2" s="1"/>
  <c r="U260" i="2"/>
  <c r="U261" i="2" s="1"/>
  <c r="U262" i="2" s="1"/>
  <c r="U263" i="2" s="1"/>
  <c r="U273" i="2"/>
  <c r="U272" i="2"/>
  <c r="U278" i="2" s="1"/>
  <c r="U284" i="2"/>
  <c r="W281" i="2"/>
  <c r="U264" i="2"/>
  <c r="U266" i="2" l="1"/>
  <c r="V267" i="2" s="1"/>
  <c r="U286" i="2"/>
  <c r="U287" i="2"/>
  <c r="U298" i="2"/>
  <c r="W295" i="2"/>
  <c r="U274" i="2"/>
  <c r="U275" i="2" s="1"/>
  <c r="U288" i="2" l="1"/>
  <c r="U289" i="2" s="1"/>
  <c r="U290" i="2" s="1"/>
  <c r="U291" i="2" s="1"/>
  <c r="U276" i="2"/>
  <c r="U277" i="2" s="1"/>
  <c r="U280" i="2" s="1"/>
  <c r="V281" i="2" s="1"/>
  <c r="U300" i="2"/>
  <c r="U306" i="2" s="1"/>
  <c r="U312" i="2"/>
  <c r="W309" i="2"/>
  <c r="U301" i="2"/>
  <c r="U292" i="2"/>
  <c r="U294" i="2" l="1"/>
  <c r="V295" i="2" s="1"/>
  <c r="U326" i="2"/>
  <c r="U315" i="2"/>
  <c r="W323" i="2"/>
  <c r="U314" i="2"/>
  <c r="U320" i="2" s="1"/>
  <c r="U302" i="2"/>
  <c r="U303" i="2" s="1"/>
  <c r="U304" i="2" l="1"/>
  <c r="U305" i="2" s="1"/>
  <c r="U308" i="2" s="1"/>
  <c r="V309" i="2" s="1"/>
  <c r="U340" i="2"/>
  <c r="U329" i="2"/>
  <c r="W337" i="2"/>
  <c r="U328" i="2"/>
  <c r="U316" i="2"/>
  <c r="U317" i="2" s="1"/>
  <c r="U318" i="2" s="1"/>
  <c r="U319" i="2" s="1"/>
  <c r="U322" i="2" s="1"/>
  <c r="V323" i="2" s="1"/>
  <c r="U330" i="2" l="1"/>
  <c r="U331" i="2" s="1"/>
  <c r="U332" i="2" s="1"/>
  <c r="U333" i="2" s="1"/>
  <c r="U342" i="2"/>
  <c r="U354" i="2"/>
  <c r="W351" i="2"/>
  <c r="U343" i="2"/>
  <c r="U334" i="2"/>
  <c r="U336" i="2" l="1"/>
  <c r="V337" i="2" s="1"/>
  <c r="U344" i="2"/>
  <c r="U345" i="2" s="1"/>
  <c r="U346" i="2" s="1"/>
  <c r="U347" i="2" s="1"/>
  <c r="U356" i="2"/>
  <c r="U362" i="2" s="1"/>
  <c r="U357" i="2"/>
  <c r="U368" i="2"/>
  <c r="W365" i="2"/>
  <c r="U348" i="2"/>
  <c r="U350" i="2" l="1"/>
  <c r="V351" i="2" s="1"/>
  <c r="U358" i="2"/>
  <c r="U359" i="2" s="1"/>
  <c r="U360" i="2" s="1"/>
  <c r="U361" i="2" s="1"/>
  <c r="U364" i="2" s="1"/>
  <c r="V365" i="2" s="1"/>
  <c r="U370" i="2"/>
  <c r="W379" i="2"/>
  <c r="U382" i="2"/>
  <c r="U371" i="2"/>
  <c r="U372" i="2" l="1"/>
  <c r="U373" i="2" s="1"/>
  <c r="U396" i="2"/>
  <c r="U385" i="2"/>
  <c r="U384" i="2"/>
  <c r="W393" i="2"/>
  <c r="U376" i="2"/>
  <c r="U386" i="2" l="1"/>
  <c r="U387" i="2" s="1"/>
  <c r="U388" i="2" s="1"/>
  <c r="U389" i="2" s="1"/>
  <c r="U374" i="2"/>
  <c r="U375" i="2" s="1"/>
  <c r="U378" i="2" s="1"/>
  <c r="V379" i="2" s="1"/>
  <c r="U399" i="2"/>
  <c r="U398" i="2"/>
  <c r="U404" i="2" s="1"/>
  <c r="U410" i="2"/>
  <c r="W407" i="2"/>
  <c r="U390" i="2"/>
  <c r="U392" i="2" l="1"/>
  <c r="V393" i="2" s="1"/>
  <c r="U412" i="2"/>
  <c r="U418" i="2" s="1"/>
  <c r="U424" i="2"/>
  <c r="W421" i="2"/>
  <c r="U413" i="2"/>
  <c r="U400" i="2"/>
  <c r="U401" i="2" s="1"/>
  <c r="U402" i="2" s="1"/>
  <c r="U403" i="2" s="1"/>
  <c r="U406" i="2" s="1"/>
  <c r="V407" i="2" s="1"/>
  <c r="U414" i="2" l="1"/>
  <c r="U415" i="2" s="1"/>
  <c r="U416" i="2" s="1"/>
  <c r="U417" i="2" s="1"/>
  <c r="U420" i="2" s="1"/>
  <c r="V421" i="2" s="1"/>
  <c r="W435" i="2"/>
  <c r="U426" i="2"/>
  <c r="U427" i="2"/>
  <c r="U438" i="2"/>
  <c r="U428" i="2" l="1"/>
  <c r="U429" i="2" s="1"/>
  <c r="U430" i="2" s="1"/>
  <c r="U431" i="2" s="1"/>
  <c r="U432" i="2"/>
  <c r="U452" i="2"/>
  <c r="W449" i="2"/>
  <c r="U441" i="2"/>
  <c r="U440" i="2"/>
  <c r="U434" i="2" l="1"/>
  <c r="V435" i="2" s="1"/>
  <c r="U442" i="2"/>
  <c r="U443" i="2" s="1"/>
  <c r="U444" i="2" s="1"/>
  <c r="U445" i="2" s="1"/>
  <c r="U466" i="2"/>
  <c r="W463" i="2"/>
  <c r="U455" i="2"/>
  <c r="U454" i="2"/>
  <c r="U460" i="2" s="1"/>
  <c r="U446" i="2"/>
  <c r="U448" i="2" l="1"/>
  <c r="V449" i="2" s="1"/>
  <c r="U480" i="2"/>
  <c r="W477" i="2"/>
  <c r="U469" i="2"/>
  <c r="U468" i="2"/>
  <c r="U456" i="2"/>
  <c r="U457" i="2" s="1"/>
  <c r="U470" i="2" l="1"/>
  <c r="U471" i="2" s="1"/>
  <c r="U472" i="2" s="1"/>
  <c r="U473" i="2" s="1"/>
  <c r="W491" i="2"/>
  <c r="U482" i="2"/>
  <c r="U488" i="2" s="1"/>
  <c r="U494" i="2"/>
  <c r="U483" i="2"/>
  <c r="U458" i="2"/>
  <c r="U459" i="2" s="1"/>
  <c r="U462" i="2" s="1"/>
  <c r="V463" i="2" s="1"/>
  <c r="U474" i="2"/>
  <c r="U476" i="2" l="1"/>
  <c r="V477" i="2" s="1"/>
  <c r="U496" i="2"/>
  <c r="U508" i="2"/>
  <c r="U497" i="2"/>
  <c r="W505" i="2"/>
  <c r="U484" i="2"/>
  <c r="U485" i="2" s="1"/>
  <c r="U486" i="2" l="1"/>
  <c r="U487" i="2" s="1"/>
  <c r="U490" i="2" s="1"/>
  <c r="V491" i="2" s="1"/>
  <c r="U510" i="2"/>
  <c r="U511" i="2"/>
  <c r="W519" i="2"/>
  <c r="U522" i="2"/>
  <c r="U498" i="2"/>
  <c r="U499" i="2" s="1"/>
  <c r="U502" i="2"/>
  <c r="U512" i="2" l="1"/>
  <c r="U513" i="2" s="1"/>
  <c r="U514" i="2" s="1"/>
  <c r="U515" i="2" s="1"/>
  <c r="U516" i="2"/>
  <c r="U500" i="2"/>
  <c r="U501" i="2" s="1"/>
  <c r="U504" i="2" s="1"/>
  <c r="V505" i="2" s="1"/>
  <c r="W533" i="2"/>
  <c r="U525" i="2"/>
  <c r="U536" i="2"/>
  <c r="U524" i="2"/>
  <c r="U518" i="2" l="1"/>
  <c r="V519" i="2" s="1"/>
  <c r="U526" i="2"/>
  <c r="U527" i="2" s="1"/>
  <c r="U528" i="2" s="1"/>
  <c r="U529" i="2" s="1"/>
  <c r="U539" i="2"/>
  <c r="U538" i="2"/>
  <c r="U544" i="2" s="1"/>
  <c r="U550" i="2"/>
  <c r="W547" i="2"/>
  <c r="U530" i="2"/>
  <c r="U532" i="2" l="1"/>
  <c r="V533" i="2" s="1"/>
  <c r="W561" i="2"/>
  <c r="U552" i="2"/>
  <c r="U558" i="2" s="1"/>
  <c r="U553" i="2"/>
  <c r="U564" i="2"/>
  <c r="U540" i="2"/>
  <c r="U541" i="2" s="1"/>
  <c r="U554" i="2" l="1"/>
  <c r="U555" i="2" s="1"/>
  <c r="U556" i="2" s="1"/>
  <c r="U557" i="2" s="1"/>
  <c r="U560" i="2" s="1"/>
  <c r="V561" i="2" s="1"/>
  <c r="U566" i="2"/>
  <c r="U572" i="2" s="1"/>
  <c r="W575" i="2"/>
  <c r="U567" i="2"/>
  <c r="U578" i="2"/>
  <c r="U542" i="2"/>
  <c r="U543" i="2" s="1"/>
  <c r="U546" i="2" s="1"/>
  <c r="V547" i="2" s="1"/>
  <c r="U592" i="2" l="1"/>
  <c r="W589" i="2"/>
  <c r="U580" i="2"/>
  <c r="U581" i="2"/>
  <c r="U568" i="2"/>
  <c r="U569" i="2" s="1"/>
  <c r="U570" i="2" s="1"/>
  <c r="U571" i="2" s="1"/>
  <c r="U574" i="2" s="1"/>
  <c r="V575" i="2" s="1"/>
  <c r="U582" i="2" l="1"/>
  <c r="U583" i="2" s="1"/>
  <c r="U584" i="2" s="1"/>
  <c r="U585" i="2" s="1"/>
  <c r="W603" i="2"/>
  <c r="U594" i="2"/>
  <c r="U600" i="2" s="1"/>
  <c r="U595" i="2"/>
  <c r="U606" i="2"/>
  <c r="U586" i="2"/>
  <c r="U588" i="2" l="1"/>
  <c r="V589" i="2" s="1"/>
  <c r="U620" i="2"/>
  <c r="U608" i="2"/>
  <c r="W617" i="2"/>
  <c r="U609" i="2"/>
  <c r="U596" i="2"/>
  <c r="U597" i="2" s="1"/>
  <c r="U610" i="2" l="1"/>
  <c r="U611" i="2" s="1"/>
  <c r="U612" i="2" s="1"/>
  <c r="U613" i="2" s="1"/>
  <c r="W631" i="2"/>
  <c r="U623" i="2"/>
  <c r="U634" i="2"/>
  <c r="U622" i="2"/>
  <c r="U598" i="2"/>
  <c r="U599" i="2" s="1"/>
  <c r="U602" i="2" s="1"/>
  <c r="V603" i="2" s="1"/>
  <c r="U614" i="2"/>
  <c r="U616" i="2" l="1"/>
  <c r="V617" i="2" s="1"/>
  <c r="U624" i="2"/>
  <c r="U625" i="2" s="1"/>
  <c r="U626" i="2" s="1"/>
  <c r="U627" i="2" s="1"/>
  <c r="U636" i="2"/>
  <c r="U648" i="2"/>
  <c r="U637" i="2"/>
  <c r="W645" i="2"/>
  <c r="U628" i="2"/>
  <c r="U630" i="2" l="1"/>
  <c r="V631" i="2" s="1"/>
  <c r="U650" i="2"/>
  <c r="U656" i="2" s="1"/>
  <c r="W659" i="2"/>
  <c r="U662" i="2"/>
  <c r="U651" i="2"/>
  <c r="U638" i="2"/>
  <c r="U639" i="2" s="1"/>
  <c r="U642" i="2"/>
  <c r="U664" i="2" l="1"/>
  <c r="W673" i="2"/>
  <c r="U665" i="2"/>
  <c r="U676" i="2"/>
  <c r="U640" i="2"/>
  <c r="U641" i="2" s="1"/>
  <c r="U644" i="2" s="1"/>
  <c r="V645" i="2" s="1"/>
  <c r="U652" i="2"/>
  <c r="U653" i="2" s="1"/>
  <c r="U654" i="2" s="1"/>
  <c r="U655" i="2" s="1"/>
  <c r="U658" i="2" s="1"/>
  <c r="V659" i="2" s="1"/>
  <c r="U679" i="2" l="1"/>
  <c r="U678" i="2"/>
  <c r="U690" i="2"/>
  <c r="W687" i="2"/>
  <c r="U666" i="2"/>
  <c r="U667" i="2" s="1"/>
  <c r="U668" i="2" s="1"/>
  <c r="U669" i="2" s="1"/>
  <c r="U672" i="2" s="1"/>
  <c r="V673" i="2" s="1"/>
  <c r="U670" i="2"/>
  <c r="U692" i="2" l="1"/>
  <c r="U698" i="2" s="1"/>
  <c r="W701" i="2"/>
  <c r="U693" i="2"/>
  <c r="U704" i="2"/>
  <c r="U680" i="2"/>
  <c r="U681" i="2" s="1"/>
  <c r="U684" i="2"/>
  <c r="U718" i="2" l="1"/>
  <c r="W715" i="2"/>
  <c r="U706" i="2"/>
  <c r="U712" i="2" s="1"/>
  <c r="U707" i="2"/>
  <c r="U682" i="2"/>
  <c r="U683" i="2" s="1"/>
  <c r="U686" i="2" s="1"/>
  <c r="V687" i="2" s="1"/>
  <c r="U694" i="2"/>
  <c r="U695" i="2" s="1"/>
  <c r="U696" i="2" s="1"/>
  <c r="U697" i="2" s="1"/>
  <c r="U700" i="2" s="1"/>
  <c r="V701" i="2" s="1"/>
  <c r="U720" i="2" l="1"/>
  <c r="U726" i="2" s="1"/>
  <c r="W729" i="2"/>
  <c r="U721" i="2"/>
  <c r="U732" i="2"/>
  <c r="U708" i="2"/>
  <c r="U709" i="2" s="1"/>
  <c r="U710" i="2" s="1"/>
  <c r="U711" i="2" s="1"/>
  <c r="U714" i="2" s="1"/>
  <c r="V715" i="2" s="1"/>
  <c r="U746" i="2" l="1"/>
  <c r="U734" i="2"/>
  <c r="U740" i="2" s="1"/>
  <c r="W743" i="2"/>
  <c r="U735" i="2"/>
  <c r="U722" i="2"/>
  <c r="U723" i="2" s="1"/>
  <c r="U749" i="2" l="1"/>
  <c r="U748" i="2"/>
  <c r="U760" i="2"/>
  <c r="W757" i="2"/>
  <c r="U724" i="2"/>
  <c r="U725" i="2" s="1"/>
  <c r="U728" i="2" s="1"/>
  <c r="V729" i="2" s="1"/>
  <c r="U736" i="2"/>
  <c r="U737" i="2" s="1"/>
  <c r="U738" i="2" s="1"/>
  <c r="U739" i="2" s="1"/>
  <c r="U742" i="2" s="1"/>
  <c r="V743" i="2" s="1"/>
  <c r="U750" i="2" l="1"/>
  <c r="U751" i="2" s="1"/>
  <c r="U752" i="2" s="1"/>
  <c r="U753" i="2" s="1"/>
  <c r="W771" i="2"/>
  <c r="U763" i="2"/>
  <c r="U762" i="2"/>
  <c r="U768" i="2" s="1"/>
  <c r="U774" i="2"/>
  <c r="U754" i="2"/>
  <c r="U756" i="2" l="1"/>
  <c r="V757" i="2" s="1"/>
  <c r="U788" i="2"/>
  <c r="W785" i="2"/>
  <c r="U777" i="2"/>
  <c r="U776" i="2"/>
  <c r="U764" i="2"/>
  <c r="U765" i="2" s="1"/>
  <c r="U766" i="2" s="1"/>
  <c r="U767" i="2" s="1"/>
  <c r="U770" i="2" s="1"/>
  <c r="V771" i="2" s="1"/>
  <c r="W799" i="2" l="1"/>
  <c r="U790" i="2"/>
  <c r="U796" i="2" s="1"/>
  <c r="U802" i="2"/>
  <c r="U791" i="2"/>
  <c r="U778" i="2"/>
  <c r="U779" i="2" s="1"/>
  <c r="U782" i="2"/>
  <c r="U780" i="2" l="1"/>
  <c r="U781" i="2" s="1"/>
  <c r="U784" i="2" s="1"/>
  <c r="V785" i="2" s="1"/>
  <c r="U804" i="2"/>
  <c r="U810" i="2" s="1"/>
  <c r="U816" i="2"/>
  <c r="W813" i="2"/>
  <c r="U805" i="2"/>
  <c r="U792" i="2"/>
  <c r="U793" i="2" s="1"/>
  <c r="U806" i="2" l="1"/>
  <c r="U807" i="2" s="1"/>
  <c r="U808" i="2" s="1"/>
  <c r="U809" i="2" s="1"/>
  <c r="U794" i="2"/>
  <c r="U795" i="2" s="1"/>
  <c r="U798" i="2" s="1"/>
  <c r="V799" i="2" s="1"/>
  <c r="U830" i="2"/>
  <c r="U819" i="2"/>
  <c r="U818" i="2"/>
  <c r="W827" i="2"/>
  <c r="U812" i="2" l="1"/>
  <c r="V813" i="2" s="1"/>
  <c r="U844" i="2"/>
  <c r="U832" i="2"/>
  <c r="U838" i="2" s="1"/>
  <c r="U833" i="2"/>
  <c r="W841" i="2"/>
  <c r="U820" i="2"/>
  <c r="U821" i="2" s="1"/>
  <c r="U822" i="2" s="1"/>
  <c r="U823" i="2" s="1"/>
  <c r="U824" i="2"/>
  <c r="U826" i="2" l="1"/>
  <c r="V827" i="2" s="1"/>
  <c r="U858" i="2"/>
  <c r="U846" i="2"/>
  <c r="U852" i="2" s="1"/>
  <c r="W855" i="2"/>
  <c r="U847" i="2"/>
  <c r="U834" i="2"/>
  <c r="U835" i="2" s="1"/>
  <c r="U836" i="2" s="1"/>
  <c r="U837" i="2" s="1"/>
  <c r="U840" i="2" s="1"/>
  <c r="V841" i="2" s="1"/>
  <c r="W869" i="2" l="1"/>
  <c r="U861" i="2"/>
  <c r="U872" i="2"/>
  <c r="U860" i="2"/>
  <c r="U848" i="2"/>
  <c r="U849" i="2" s="1"/>
  <c r="U850" i="2" s="1"/>
  <c r="U851" i="2" s="1"/>
  <c r="U854" i="2" s="1"/>
  <c r="V855" i="2" s="1"/>
  <c r="U886" i="2" l="1"/>
  <c r="U875" i="2"/>
  <c r="W883" i="2"/>
  <c r="U874" i="2"/>
  <c r="U862" i="2"/>
  <c r="U863" i="2" s="1"/>
  <c r="U864" i="2" s="1"/>
  <c r="U865" i="2" s="1"/>
  <c r="U866" i="2"/>
  <c r="U868" i="2" l="1"/>
  <c r="V869" i="2" s="1"/>
  <c r="U876" i="2"/>
  <c r="U877" i="2" s="1"/>
  <c r="U878" i="2" s="1"/>
  <c r="U879" i="2" s="1"/>
  <c r="W897" i="2"/>
  <c r="U889" i="2"/>
  <c r="U900" i="2"/>
  <c r="U888" i="2"/>
  <c r="U880" i="2"/>
  <c r="U882" i="2" l="1"/>
  <c r="V883" i="2" s="1"/>
  <c r="U903" i="2"/>
  <c r="W911" i="2"/>
  <c r="U902" i="2"/>
  <c r="U914" i="2"/>
  <c r="U890" i="2"/>
  <c r="U891" i="2" s="1"/>
  <c r="U892" i="2" s="1"/>
  <c r="U893" i="2" s="1"/>
  <c r="U896" i="2" s="1"/>
  <c r="V897" i="2" s="1"/>
  <c r="U894" i="2"/>
  <c r="U904" i="2" l="1"/>
  <c r="U905" i="2" s="1"/>
  <c r="U906" i="2" s="1"/>
  <c r="U907" i="2" s="1"/>
  <c r="W925" i="2"/>
  <c r="U917" i="2"/>
  <c r="U928" i="2"/>
  <c r="U916" i="2"/>
  <c r="U922" i="2" s="1"/>
  <c r="U908" i="2"/>
  <c r="U910" i="2" l="1"/>
  <c r="V911" i="2" s="1"/>
  <c r="U931" i="2"/>
  <c r="U930" i="2"/>
  <c r="W939" i="2"/>
  <c r="U942" i="2"/>
  <c r="U918" i="2"/>
  <c r="U919" i="2" s="1"/>
  <c r="U945" i="2" l="1"/>
  <c r="W953" i="2"/>
  <c r="U944" i="2"/>
  <c r="U950" i="2" s="1"/>
  <c r="U956" i="2"/>
  <c r="U920" i="2"/>
  <c r="U921" i="2" s="1"/>
  <c r="U924" i="2" s="1"/>
  <c r="V925" i="2" s="1"/>
  <c r="U936" i="2"/>
  <c r="U932" i="2"/>
  <c r="U933" i="2" s="1"/>
  <c r="U958" i="2" l="1"/>
  <c r="U964" i="2" s="1"/>
  <c r="U970" i="2"/>
  <c r="W967" i="2"/>
  <c r="U959" i="2"/>
  <c r="U934" i="2"/>
  <c r="U935" i="2" s="1"/>
  <c r="U938" i="2" s="1"/>
  <c r="V939" i="2" s="1"/>
  <c r="U946" i="2"/>
  <c r="U947" i="2" s="1"/>
  <c r="U948" i="2" l="1"/>
  <c r="U949" i="2" s="1"/>
  <c r="U952" i="2" s="1"/>
  <c r="V953" i="2" s="1"/>
  <c r="U973" i="2"/>
  <c r="U972" i="2"/>
  <c r="U978" i="2" s="1"/>
  <c r="U984" i="2"/>
  <c r="W981" i="2"/>
  <c r="U960" i="2"/>
  <c r="U961" i="2" s="1"/>
  <c r="U962" i="2" s="1"/>
  <c r="U963" i="2" s="1"/>
  <c r="U966" i="2" s="1"/>
  <c r="V967" i="2" s="1"/>
  <c r="W995" i="2" l="1"/>
  <c r="U986" i="2"/>
  <c r="U992" i="2" s="1"/>
  <c r="U998" i="2"/>
  <c r="U987" i="2"/>
  <c r="U974" i="2"/>
  <c r="U975" i="2" s="1"/>
  <c r="U976" i="2" s="1"/>
  <c r="U977" i="2" s="1"/>
  <c r="U980" i="2" s="1"/>
  <c r="V981" i="2" s="1"/>
  <c r="U988" i="2" l="1"/>
  <c r="U989" i="2" s="1"/>
  <c r="U990" i="2" s="1"/>
  <c r="U991" i="2" s="1"/>
  <c r="U994" i="2" s="1"/>
  <c r="V995" i="2" s="1"/>
  <c r="U1000" i="2"/>
  <c r="U1001" i="2"/>
  <c r="U1012" i="2"/>
  <c r="W1009" i="2"/>
  <c r="U1002" i="2" l="1"/>
  <c r="U1003" i="2" s="1"/>
  <c r="U1015" i="2"/>
  <c r="U1014" i="2"/>
  <c r="U1020" i="2" s="1"/>
  <c r="U1026" i="2"/>
  <c r="W1023" i="2"/>
  <c r="U1006" i="2"/>
  <c r="U1004" i="2" l="1"/>
  <c r="U1005" i="2" s="1"/>
  <c r="U1008" i="2" s="1"/>
  <c r="V1009" i="2" s="1"/>
  <c r="U1040" i="2"/>
  <c r="U1029" i="2"/>
  <c r="U1028" i="2"/>
  <c r="W1037" i="2"/>
  <c r="U1016" i="2"/>
  <c r="U1017" i="2" s="1"/>
  <c r="U1018" i="2" s="1"/>
  <c r="U1019" i="2" s="1"/>
  <c r="U1022" i="2" s="1"/>
  <c r="V1023" i="2" s="1"/>
  <c r="U1030" i="2" l="1"/>
  <c r="U1031" i="2" s="1"/>
  <c r="U1032" i="2" s="1"/>
  <c r="U1033" i="2" s="1"/>
  <c r="U1054" i="2"/>
  <c r="W1051" i="2"/>
  <c r="U1043" i="2"/>
  <c r="U1042" i="2"/>
  <c r="U1048" i="2" s="1"/>
  <c r="U1034" i="2"/>
  <c r="U1036" i="2" l="1"/>
  <c r="V1037" i="2" s="1"/>
  <c r="U1068" i="2"/>
  <c r="U1057" i="2"/>
  <c r="W1065" i="2"/>
  <c r="U1056" i="2"/>
  <c r="U1062" i="2" s="1"/>
  <c r="U1044" i="2"/>
  <c r="U1045" i="2" s="1"/>
  <c r="U1046" i="2" s="1"/>
  <c r="U1047" i="2" s="1"/>
  <c r="U1050" i="2" s="1"/>
  <c r="V1051" i="2" s="1"/>
  <c r="W1079" i="2" l="1"/>
  <c r="U1082" i="2"/>
  <c r="U1071" i="2"/>
  <c r="U1070" i="2"/>
  <c r="U1076" i="2" s="1"/>
  <c r="U1058" i="2"/>
  <c r="U1059" i="2" s="1"/>
  <c r="U1060" i="2" s="1"/>
  <c r="U1061" i="2" s="1"/>
  <c r="U1064" i="2" s="1"/>
  <c r="V1065" i="2" s="1"/>
  <c r="U1096" i="2" l="1"/>
  <c r="U1085" i="2"/>
  <c r="W1093" i="2"/>
  <c r="U1084" i="2"/>
  <c r="U1072" i="2"/>
  <c r="U1073" i="2" s="1"/>
  <c r="U1074" i="2" s="1"/>
  <c r="U1075" i="2" s="1"/>
  <c r="U1078" i="2" s="1"/>
  <c r="V1079" i="2" s="1"/>
  <c r="U1086" i="2" l="1"/>
  <c r="U1087" i="2" s="1"/>
  <c r="U1088" i="2" s="1"/>
  <c r="U1089" i="2" s="1"/>
  <c r="U1090" i="2"/>
  <c r="U1098" i="2"/>
  <c r="U1104" i="2" s="1"/>
  <c r="U1099" i="2"/>
  <c r="W1107" i="2"/>
  <c r="U1110" i="2"/>
  <c r="U1092" i="2" l="1"/>
  <c r="V1093" i="2" s="1"/>
  <c r="U1124" i="2"/>
  <c r="W1121" i="2"/>
  <c r="U1113" i="2"/>
  <c r="U1112" i="2"/>
  <c r="U1100" i="2"/>
  <c r="U1101" i="2" s="1"/>
  <c r="U1138" i="2" l="1"/>
  <c r="U1127" i="2"/>
  <c r="W1135" i="2"/>
  <c r="U1126" i="2"/>
  <c r="U1102" i="2"/>
  <c r="U1103" i="2" s="1"/>
  <c r="U1106" i="2" s="1"/>
  <c r="V1107" i="2" s="1"/>
  <c r="U1114" i="2"/>
  <c r="U1115" i="2" s="1"/>
  <c r="U1118" i="2"/>
  <c r="U1128" i="2" l="1"/>
  <c r="U1129" i="2" s="1"/>
  <c r="U1130" i="2" s="1"/>
  <c r="U1131" i="2" s="1"/>
  <c r="U1116" i="2"/>
  <c r="U1117" i="2" s="1"/>
  <c r="U1120" i="2" s="1"/>
  <c r="V1121" i="2" s="1"/>
  <c r="U1152" i="2"/>
  <c r="W1149" i="2"/>
  <c r="U1141" i="2"/>
  <c r="U1140" i="2"/>
  <c r="U1132" i="2"/>
  <c r="U1134" i="2" l="1"/>
  <c r="V1135" i="2" s="1"/>
  <c r="U1142" i="2"/>
  <c r="U1143" i="2" s="1"/>
  <c r="W1163" i="2"/>
  <c r="U1166" i="2"/>
  <c r="U1155" i="2"/>
  <c r="U1154" i="2"/>
  <c r="U1146" i="2"/>
  <c r="U1156" i="2" l="1"/>
  <c r="U1157" i="2" s="1"/>
  <c r="U1158" i="2" s="1"/>
  <c r="U1159" i="2" s="1"/>
  <c r="U1160" i="2"/>
  <c r="U1144" i="2"/>
  <c r="U1145" i="2" s="1"/>
  <c r="U1148" i="2" s="1"/>
  <c r="V1149" i="2" s="1"/>
  <c r="U1168" i="2"/>
  <c r="U1174" i="2" s="1"/>
  <c r="W1177" i="2"/>
  <c r="U1180" i="2"/>
  <c r="U1169" i="2"/>
  <c r="U1162" i="2" l="1"/>
  <c r="V1163" i="2" s="1"/>
  <c r="U1170" i="2"/>
  <c r="U1171" i="2" s="1"/>
  <c r="U1172" i="2" s="1"/>
  <c r="U1173" i="2" s="1"/>
  <c r="U1182" i="2"/>
  <c r="U1188" i="2" s="1"/>
  <c r="W1191" i="2"/>
  <c r="U1194" i="2"/>
  <c r="U1183" i="2"/>
  <c r="U1184" i="2" l="1"/>
  <c r="U1185" i="2" s="1"/>
  <c r="U1186" i="2" s="1"/>
  <c r="U1187" i="2" s="1"/>
  <c r="U1190" i="2" s="1"/>
  <c r="V1191" i="2" s="1"/>
  <c r="U1176" i="2"/>
  <c r="V1177" i="2" s="1"/>
  <c r="U1208" i="2"/>
  <c r="U1196" i="2"/>
  <c r="W1205" i="2"/>
  <c r="U1197" i="2"/>
  <c r="U1198" i="2" l="1"/>
  <c r="U1199" i="2" s="1"/>
  <c r="U1200" i="2" s="1"/>
  <c r="U1201" i="2" s="1"/>
  <c r="U1222" i="2"/>
  <c r="W1219" i="2"/>
  <c r="U1211" i="2"/>
  <c r="U1210" i="2"/>
  <c r="U1216" i="2" s="1"/>
  <c r="U1202" i="2"/>
  <c r="U1204" i="2" l="1"/>
  <c r="V1205" i="2" s="1"/>
  <c r="W1233" i="2"/>
  <c r="U1225" i="2"/>
  <c r="U1236" i="2"/>
  <c r="U1224" i="2"/>
  <c r="U1212" i="2"/>
  <c r="U1213" i="2" s="1"/>
  <c r="U1226" i="2" l="1"/>
  <c r="U1227" i="2" s="1"/>
  <c r="U1228" i="2" s="1"/>
  <c r="U1229" i="2" s="1"/>
  <c r="U1214" i="2"/>
  <c r="U1215" i="2" s="1"/>
  <c r="U1218" i="2" s="1"/>
  <c r="V1219" i="2" s="1"/>
  <c r="U1238" i="2"/>
  <c r="U1244" i="2" s="1"/>
  <c r="U1250" i="2"/>
  <c r="W1247" i="2"/>
  <c r="U1239" i="2"/>
  <c r="U1230" i="2"/>
  <c r="U1232" i="2" l="1"/>
  <c r="V1233" i="2" s="1"/>
  <c r="U1253" i="2"/>
  <c r="W1261" i="2"/>
  <c r="U1264" i="2"/>
  <c r="U1252" i="2"/>
  <c r="U1258" i="2" s="1"/>
  <c r="U1240" i="2"/>
  <c r="U1241" i="2" s="1"/>
  <c r="U1242" i="2" l="1"/>
  <c r="U1243" i="2" s="1"/>
  <c r="U1246" i="2" s="1"/>
  <c r="V1247" i="2" s="1"/>
  <c r="U1278" i="2"/>
  <c r="W1275" i="2"/>
  <c r="U1267" i="2"/>
  <c r="U1266" i="2"/>
  <c r="U1254" i="2"/>
  <c r="U1255" i="2" s="1"/>
  <c r="U1256" i="2" s="1"/>
  <c r="U1257" i="2" s="1"/>
  <c r="U1260" i="2" s="1"/>
  <c r="V1261" i="2" s="1"/>
  <c r="U1281" i="2" l="1"/>
  <c r="U1280" i="2"/>
  <c r="U1292" i="2"/>
  <c r="W1289" i="2"/>
  <c r="U1268" i="2"/>
  <c r="U1269" i="2" s="1"/>
  <c r="U1272" i="2"/>
  <c r="U1294" i="2" l="1"/>
  <c r="W1303" i="2"/>
  <c r="U1306" i="2"/>
  <c r="U1295" i="2"/>
  <c r="U1282" i="2"/>
  <c r="U1283" i="2" s="1"/>
  <c r="U1284" i="2" s="1"/>
  <c r="U1285" i="2" s="1"/>
  <c r="U1270" i="2"/>
  <c r="U1271" i="2" s="1"/>
  <c r="U1274" i="2" s="1"/>
  <c r="V1275" i="2" s="1"/>
  <c r="U1286" i="2"/>
  <c r="U1288" i="2" l="1"/>
  <c r="V1289" i="2" s="1"/>
  <c r="U1308" i="2"/>
  <c r="U1314" i="2" s="1"/>
  <c r="U1309" i="2"/>
  <c r="U1320" i="2"/>
  <c r="W1317" i="2"/>
  <c r="U1296" i="2"/>
  <c r="U1297" i="2" s="1"/>
  <c r="U1300" i="2"/>
  <c r="U1310" i="2" l="1"/>
  <c r="U1311" i="2" s="1"/>
  <c r="U1312" i="2" s="1"/>
  <c r="U1313" i="2" s="1"/>
  <c r="U1316" i="2" s="1"/>
  <c r="V1317" i="2" s="1"/>
  <c r="U1298" i="2"/>
  <c r="U1299" i="2" s="1"/>
  <c r="U1302" i="2" s="1"/>
  <c r="V1303" i="2" s="1"/>
  <c r="W1331" i="2"/>
  <c r="U1323" i="2"/>
  <c r="U1334" i="2"/>
  <c r="U1322" i="2"/>
  <c r="U1328" i="2" s="1"/>
  <c r="U1336" i="2" l="1"/>
  <c r="W1345" i="2"/>
  <c r="U1348" i="2"/>
  <c r="U1337" i="2"/>
  <c r="U1324" i="2"/>
  <c r="U1325" i="2" s="1"/>
  <c r="U1326" i="2" s="1"/>
  <c r="U1327" i="2" s="1"/>
  <c r="U1330" i="2" s="1"/>
  <c r="V1331" i="2" s="1"/>
  <c r="U1338" i="2" l="1"/>
  <c r="U1339" i="2" s="1"/>
  <c r="U1340" i="2" s="1"/>
  <c r="U1341" i="2" s="1"/>
  <c r="U1342" i="2"/>
  <c r="U1351" i="2"/>
  <c r="W1359" i="2"/>
  <c r="U1362" i="2"/>
  <c r="U1350" i="2"/>
  <c r="U1356" i="2" s="1"/>
  <c r="U1344" i="2" l="1"/>
  <c r="V1345" i="2" s="1"/>
  <c r="W1373" i="2"/>
  <c r="U1364" i="2"/>
  <c r="U1365" i="2"/>
  <c r="U1376" i="2"/>
  <c r="U1352" i="2"/>
  <c r="U1353" i="2" s="1"/>
  <c r="U1366" i="2" l="1"/>
  <c r="U1367" i="2" s="1"/>
  <c r="U1368" i="2" s="1"/>
  <c r="U1369" i="2" s="1"/>
  <c r="U1370" i="2"/>
  <c r="U1354" i="2"/>
  <c r="U1355" i="2" s="1"/>
  <c r="U1358" i="2" s="1"/>
  <c r="V1359" i="2" s="1"/>
  <c r="U1379" i="2"/>
  <c r="U1378" i="2"/>
  <c r="U1384" i="2" s="1"/>
  <c r="W1387" i="2"/>
  <c r="U1390" i="2"/>
  <c r="U1372" i="2" l="1"/>
  <c r="V1373" i="2" s="1"/>
  <c r="U1392" i="2"/>
  <c r="U1393" i="2"/>
  <c r="U1404" i="2"/>
  <c r="W1401" i="2"/>
  <c r="U1380" i="2"/>
  <c r="U1381" i="2" s="1"/>
  <c r="U1394" i="2" l="1"/>
  <c r="U1395" i="2" s="1"/>
  <c r="U1396" i="2" s="1"/>
  <c r="U1397" i="2" s="1"/>
  <c r="U1382" i="2"/>
  <c r="U1383" i="2" s="1"/>
  <c r="U1386" i="2" s="1"/>
  <c r="V1387" i="2" s="1"/>
  <c r="U1398" i="2"/>
  <c r="U1407" i="2"/>
  <c r="U1406" i="2"/>
  <c r="W1415" i="2"/>
  <c r="U1418" i="2"/>
  <c r="U1400" i="2" l="1"/>
  <c r="V1401" i="2" s="1"/>
  <c r="U1408" i="2"/>
  <c r="U1409" i="2" s="1"/>
  <c r="U1410" i="2" s="1"/>
  <c r="U1411" i="2" s="1"/>
  <c r="W1429" i="2"/>
  <c r="U1432" i="2"/>
  <c r="U1421" i="2"/>
  <c r="U1420" i="2"/>
  <c r="U1412" i="2"/>
  <c r="U1414" i="2" l="1"/>
  <c r="V1415" i="2" s="1"/>
  <c r="U1422" i="2"/>
  <c r="U1423" i="2" s="1"/>
  <c r="U1424" i="2" s="1"/>
  <c r="U1425" i="2" s="1"/>
  <c r="U1435" i="2"/>
  <c r="U1434" i="2"/>
  <c r="U1440" i="2" s="1"/>
  <c r="W1443" i="2"/>
  <c r="U1446" i="2"/>
  <c r="U1426" i="2"/>
  <c r="U1428" i="2" l="1"/>
  <c r="V1429" i="2" s="1"/>
  <c r="U1449" i="2"/>
  <c r="U1448" i="2"/>
  <c r="U1460" i="2"/>
  <c r="W1457" i="2"/>
  <c r="U1436" i="2"/>
  <c r="U1437" i="2" s="1"/>
  <c r="U1438" i="2" s="1"/>
  <c r="U1439" i="2" s="1"/>
  <c r="U1442" i="2" s="1"/>
  <c r="V1443" i="2" s="1"/>
  <c r="U1462" i="2" l="1"/>
  <c r="U1474" i="2"/>
  <c r="W1471" i="2"/>
  <c r="U1463" i="2"/>
  <c r="U1450" i="2"/>
  <c r="U1451" i="2" s="1"/>
  <c r="U1454" i="2"/>
  <c r="U1452" i="2" l="1"/>
  <c r="U1453" i="2" s="1"/>
  <c r="U1456" i="2" s="1"/>
  <c r="V1457" i="2" s="1"/>
  <c r="W1485" i="2"/>
  <c r="U1488" i="2"/>
  <c r="U1477" i="2"/>
  <c r="U1476" i="2"/>
  <c r="U1464" i="2"/>
  <c r="U1465" i="2" s="1"/>
  <c r="U1468" i="2"/>
  <c r="U1478" i="2" l="1"/>
  <c r="U1479" i="2" s="1"/>
  <c r="U1480" i="2" s="1"/>
  <c r="U1481" i="2" s="1"/>
  <c r="U1466" i="2"/>
  <c r="U1467" i="2" s="1"/>
  <c r="U1470" i="2" s="1"/>
  <c r="V1471" i="2" s="1"/>
  <c r="U1490" i="2"/>
  <c r="W1499" i="2"/>
  <c r="U1491" i="2"/>
  <c r="U1502" i="2"/>
  <c r="U1482" i="2"/>
  <c r="U1484" i="2" l="1"/>
  <c r="V1485" i="2" s="1"/>
  <c r="U1492" i="2"/>
  <c r="U1493" i="2" s="1"/>
  <c r="U1494" i="2" s="1"/>
  <c r="U1495" i="2" s="1"/>
  <c r="U1496" i="2"/>
  <c r="U1505" i="2"/>
  <c r="U1516" i="2"/>
  <c r="U1504" i="2"/>
  <c r="U1510" i="2" s="1"/>
  <c r="W1513" i="2"/>
  <c r="U1498" i="2" l="1"/>
  <c r="V1499" i="2" s="1"/>
  <c r="W1527" i="2"/>
  <c r="U1518" i="2"/>
  <c r="U1524" i="2" s="1"/>
  <c r="U1530" i="2"/>
  <c r="U1519" i="2"/>
  <c r="U1506" i="2"/>
  <c r="U1507" i="2" s="1"/>
  <c r="U1508" i="2" s="1"/>
  <c r="U1509" i="2" s="1"/>
  <c r="U1512" i="2" s="1"/>
  <c r="V1513" i="2" s="1"/>
  <c r="U1520" i="2" l="1"/>
  <c r="U1521" i="2" s="1"/>
  <c r="U1522" i="2" s="1"/>
  <c r="U1523" i="2" s="1"/>
  <c r="U1526" i="2" s="1"/>
  <c r="V1527" i="2" s="1"/>
  <c r="U1532" i="2"/>
  <c r="U1538" i="2" s="1"/>
  <c r="U1544" i="2"/>
  <c r="W1541" i="2"/>
  <c r="U1533" i="2"/>
  <c r="U1558" i="2" l="1"/>
  <c r="U1547" i="2"/>
  <c r="U1546" i="2"/>
  <c r="U1552" i="2" s="1"/>
  <c r="W1555" i="2"/>
  <c r="U1534" i="2"/>
  <c r="U1535" i="2" s="1"/>
  <c r="U1536" i="2" s="1"/>
  <c r="U1537" i="2" s="1"/>
  <c r="U1540" i="2" s="1"/>
  <c r="V1541" i="2" s="1"/>
  <c r="U1572" i="2" l="1"/>
  <c r="W1569" i="2"/>
  <c r="U1561" i="2"/>
  <c r="U1560" i="2"/>
  <c r="U1566" i="2" s="1"/>
  <c r="U1548" i="2"/>
  <c r="U1549" i="2" s="1"/>
  <c r="U1550" i="2" s="1"/>
  <c r="U1551" i="2" s="1"/>
  <c r="U1554" i="2" s="1"/>
  <c r="V1555" i="2" s="1"/>
  <c r="U1586" i="2" l="1"/>
  <c r="U1574" i="2"/>
  <c r="U1580" i="2" s="1"/>
  <c r="W1583" i="2"/>
  <c r="U1575" i="2"/>
  <c r="U1562" i="2"/>
  <c r="U1563" i="2" s="1"/>
  <c r="U1576" i="2" l="1"/>
  <c r="U1577" i="2" s="1"/>
  <c r="U1578" i="2" s="1"/>
  <c r="U1579" i="2" s="1"/>
  <c r="U1582" i="2" s="1"/>
  <c r="V1583" i="2" s="1"/>
  <c r="U1600" i="2"/>
  <c r="W1597" i="2"/>
  <c r="U1589" i="2"/>
  <c r="U1588" i="2"/>
  <c r="U1594" i="2" s="1"/>
  <c r="U1564" i="2"/>
  <c r="U1565" i="2" s="1"/>
  <c r="U1568" i="2" s="1"/>
  <c r="V1569" i="2" s="1"/>
  <c r="U1614" i="2" l="1"/>
  <c r="W1611" i="2"/>
  <c r="U1602" i="2"/>
  <c r="U1608" i="2" s="1"/>
  <c r="U1603" i="2"/>
  <c r="U1590" i="2"/>
  <c r="U1591" i="2" s="1"/>
  <c r="U1592" i="2" s="1"/>
  <c r="U1593" i="2" s="1"/>
  <c r="U1596" i="2" s="1"/>
  <c r="V1597" i="2" s="1"/>
  <c r="W1625" i="2" l="1"/>
  <c r="U1617" i="2"/>
  <c r="U1616" i="2"/>
  <c r="U1622" i="2" s="1"/>
  <c r="U1628" i="2"/>
  <c r="U1604" i="2"/>
  <c r="U1605" i="2" s="1"/>
  <c r="U1606" i="2" l="1"/>
  <c r="U1607" i="2" s="1"/>
  <c r="U1610" i="2" s="1"/>
  <c r="V1611" i="2" s="1"/>
  <c r="U1642" i="2"/>
  <c r="W1639" i="2"/>
  <c r="U1630" i="2"/>
  <c r="U1631" i="2"/>
  <c r="U1618" i="2"/>
  <c r="U1619" i="2" s="1"/>
  <c r="U1620" i="2" s="1"/>
  <c r="U1621" i="2" s="1"/>
  <c r="U1624" i="2" s="1"/>
  <c r="V1625" i="2" s="1"/>
  <c r="U1632" i="2" l="1"/>
  <c r="U1633" i="2" s="1"/>
  <c r="U1634" i="2" s="1"/>
  <c r="U1635" i="2" s="1"/>
  <c r="U1645" i="2"/>
  <c r="U1656" i="2"/>
  <c r="U1644" i="2"/>
  <c r="U1650" i="2" s="1"/>
  <c r="W1653" i="2"/>
  <c r="U1636" i="2"/>
  <c r="U1638" i="2" l="1"/>
  <c r="V1639" i="2" s="1"/>
  <c r="U1658" i="2"/>
  <c r="U1670" i="2"/>
  <c r="U1659" i="2"/>
  <c r="W1667" i="2"/>
  <c r="U1646" i="2"/>
  <c r="U1647" i="2" s="1"/>
  <c r="U1660" i="2" l="1"/>
  <c r="U1661" i="2" s="1"/>
  <c r="U1662" i="2" s="1"/>
  <c r="U1663" i="2" s="1"/>
  <c r="U1648" i="2"/>
  <c r="U1649" i="2" s="1"/>
  <c r="U1652" i="2" s="1"/>
  <c r="V1653" i="2" s="1"/>
  <c r="U1684" i="2"/>
  <c r="W1681" i="2"/>
  <c r="U1673" i="2"/>
  <c r="U1672" i="2"/>
  <c r="U1664" i="2"/>
  <c r="U1666" i="2" l="1"/>
  <c r="V1667" i="2" s="1"/>
  <c r="U1687" i="2"/>
  <c r="W1695" i="2"/>
  <c r="U1686" i="2"/>
  <c r="U1692" i="2" s="1"/>
  <c r="U1698" i="2"/>
  <c r="U1674" i="2"/>
  <c r="U1675" i="2" s="1"/>
  <c r="U1678" i="2"/>
  <c r="U1676" i="2" l="1"/>
  <c r="U1677" i="2" s="1"/>
  <c r="U1680" i="2" s="1"/>
  <c r="V1681" i="2" s="1"/>
  <c r="U1701" i="2"/>
  <c r="U1712" i="2"/>
  <c r="U1700" i="2"/>
  <c r="W1709" i="2"/>
  <c r="U1688" i="2"/>
  <c r="U1689" i="2" s="1"/>
  <c r="U1690" i="2" s="1"/>
  <c r="U1691" i="2" s="1"/>
  <c r="U1694" i="2" s="1"/>
  <c r="V1695" i="2" s="1"/>
  <c r="U1702" i="2" l="1"/>
  <c r="U1703" i="2" s="1"/>
  <c r="U1706" i="2"/>
  <c r="U1715" i="2"/>
  <c r="U1726" i="2"/>
  <c r="W1723" i="2"/>
  <c r="U1714" i="2"/>
  <c r="U1716" i="2" l="1"/>
  <c r="U1717" i="2" s="1"/>
  <c r="U1718" i="2" s="1"/>
  <c r="U1719" i="2" s="1"/>
  <c r="U1704" i="2"/>
  <c r="U1705" i="2" s="1"/>
  <c r="U1708" i="2" s="1"/>
  <c r="V1709" i="2" s="1"/>
  <c r="U1728" i="2"/>
  <c r="U1734" i="2" s="1"/>
  <c r="W1737" i="2"/>
  <c r="U1729" i="2"/>
  <c r="U1740" i="2"/>
  <c r="U1720" i="2"/>
  <c r="U1722" i="2" l="1"/>
  <c r="V1723" i="2" s="1"/>
  <c r="U1743" i="2"/>
  <c r="U1742" i="2"/>
  <c r="U1748" i="2" s="1"/>
  <c r="W1751" i="2"/>
  <c r="U1754" i="2"/>
  <c r="U1730" i="2"/>
  <c r="U1731" i="2" s="1"/>
  <c r="U1732" i="2" l="1"/>
  <c r="U1733" i="2" s="1"/>
  <c r="U1736" i="2" s="1"/>
  <c r="V1737" i="2" s="1"/>
  <c r="U1756" i="2"/>
  <c r="U1762" i="2" s="1"/>
  <c r="W1765" i="2"/>
  <c r="U1757" i="2"/>
  <c r="U1768" i="2"/>
  <c r="U1744" i="2"/>
  <c r="U1745" i="2" s="1"/>
  <c r="U1771" i="2" l="1"/>
  <c r="W1779" i="2"/>
  <c r="U1782" i="2"/>
  <c r="U1770" i="2"/>
  <c r="U1746" i="2"/>
  <c r="U1747" i="2" s="1"/>
  <c r="U1750" i="2" s="1"/>
  <c r="V1751" i="2" s="1"/>
  <c r="U1758" i="2"/>
  <c r="U1759" i="2" s="1"/>
  <c r="U1760" i="2" s="1"/>
  <c r="U1761" i="2" s="1"/>
  <c r="U1764" i="2" s="1"/>
  <c r="V1765" i="2" s="1"/>
  <c r="U1772" i="2" l="1"/>
  <c r="U1773" i="2" s="1"/>
  <c r="U1774" i="2" s="1"/>
  <c r="U1775" i="2" s="1"/>
  <c r="U1784" i="2"/>
  <c r="U1785" i="2"/>
  <c r="U1796" i="2"/>
  <c r="W1793" i="2"/>
  <c r="U1776" i="2"/>
  <c r="U1778" i="2" l="1"/>
  <c r="V1779" i="2" s="1"/>
  <c r="U1786" i="2"/>
  <c r="U1787" i="2" s="1"/>
  <c r="U1788" i="2" s="1"/>
  <c r="U1789" i="2" s="1"/>
  <c r="U1810" i="2"/>
  <c r="U1798" i="2"/>
  <c r="W1807" i="2"/>
  <c r="U1799" i="2"/>
  <c r="U1790" i="2"/>
  <c r="U1792" i="2" l="1"/>
  <c r="V1793" i="2" s="1"/>
  <c r="U1800" i="2"/>
  <c r="U1801" i="2" s="1"/>
  <c r="U1802" i="2" s="1"/>
  <c r="U1803" i="2" s="1"/>
  <c r="U1812" i="2"/>
  <c r="U1813" i="2"/>
  <c r="W1821" i="2"/>
  <c r="U1824" i="2"/>
  <c r="U1804" i="2"/>
  <c r="U1806" i="2" l="1"/>
  <c r="V1807" i="2" s="1"/>
  <c r="U1814" i="2"/>
  <c r="U1815" i="2" s="1"/>
  <c r="U1816" i="2" s="1"/>
  <c r="U1817" i="2" s="1"/>
  <c r="U1827" i="2"/>
  <c r="U1826" i="2"/>
  <c r="U1832" i="2" s="1"/>
  <c r="U1838" i="2"/>
  <c r="W1835" i="2"/>
  <c r="U1818" i="2"/>
  <c r="U1820" i="2" l="1"/>
  <c r="V1821" i="2" s="1"/>
  <c r="W1849" i="2"/>
  <c r="U1841" i="2"/>
  <c r="U1840" i="2"/>
  <c r="U1852" i="2"/>
  <c r="U1828" i="2"/>
  <c r="U1829" i="2" s="1"/>
  <c r="U1842" i="2" l="1"/>
  <c r="U1843" i="2" s="1"/>
  <c r="U1844" i="2" s="1"/>
  <c r="U1845" i="2" s="1"/>
  <c r="U1854" i="2"/>
  <c r="U1860" i="2" s="1"/>
  <c r="W1863" i="2"/>
  <c r="U1866" i="2"/>
  <c r="U1855" i="2"/>
  <c r="U1830" i="2"/>
  <c r="U1831" i="2" s="1"/>
  <c r="U1834" i="2" s="1"/>
  <c r="V1835" i="2" s="1"/>
  <c r="U1846" i="2"/>
  <c r="U1848" i="2" l="1"/>
  <c r="V1849" i="2" s="1"/>
  <c r="U1856" i="2"/>
  <c r="U1857" i="2" s="1"/>
  <c r="U1858" i="2" s="1"/>
  <c r="U1859" i="2" s="1"/>
  <c r="U1862" i="2" s="1"/>
  <c r="V1863" i="2" s="1"/>
  <c r="U1868" i="2"/>
  <c r="U1874" i="2" s="1"/>
  <c r="W1877" i="2"/>
  <c r="U1869" i="2"/>
  <c r="U1880" i="2"/>
  <c r="U1882" i="2" l="1"/>
  <c r="U1888" i="2" s="1"/>
  <c r="W1891" i="2"/>
  <c r="U1883" i="2"/>
  <c r="U1894" i="2"/>
  <c r="U1870" i="2"/>
  <c r="U1871" i="2" s="1"/>
  <c r="U1872" i="2" s="1"/>
  <c r="U1873" i="2" s="1"/>
  <c r="U1876" i="2" s="1"/>
  <c r="V1877" i="2" s="1"/>
  <c r="U1897" i="2" l="1"/>
  <c r="U1908" i="2"/>
  <c r="U1896" i="2"/>
  <c r="U1902" i="2" s="1"/>
  <c r="W1905" i="2"/>
  <c r="U1884" i="2"/>
  <c r="U1885" i="2" s="1"/>
  <c r="U1910" i="2" l="1"/>
  <c r="U1922" i="2"/>
  <c r="W1919" i="2"/>
  <c r="U1911" i="2"/>
  <c r="U1898" i="2"/>
  <c r="U1899" i="2" s="1"/>
  <c r="U1886" i="2"/>
  <c r="U1887" i="2" s="1"/>
  <c r="U1890" i="2" s="1"/>
  <c r="V1891" i="2" s="1"/>
  <c r="U1912" i="2" l="1"/>
  <c r="U1913" i="2" s="1"/>
  <c r="U1914" i="2" s="1"/>
  <c r="U1915" i="2" s="1"/>
  <c r="U1900" i="2"/>
  <c r="U1901" i="2" s="1"/>
  <c r="U1904" i="2" s="1"/>
  <c r="V1905" i="2" s="1"/>
  <c r="W1933" i="2"/>
  <c r="U1924" i="2"/>
  <c r="U1936" i="2"/>
  <c r="U1925" i="2"/>
  <c r="U1916" i="2"/>
  <c r="U1918" i="2" l="1"/>
  <c r="V1919" i="2" s="1"/>
  <c r="U1926" i="2"/>
  <c r="U1927" i="2" s="1"/>
  <c r="U1928" i="2" s="1"/>
  <c r="U1929" i="2" s="1"/>
  <c r="U1950" i="2"/>
  <c r="W1947" i="2"/>
  <c r="U1939" i="2"/>
  <c r="U1938" i="2"/>
  <c r="U1930" i="2"/>
  <c r="U1932" i="2" l="1"/>
  <c r="V1933" i="2" s="1"/>
  <c r="U1940" i="2"/>
  <c r="U1941" i="2" s="1"/>
  <c r="U1942" i="2" s="1"/>
  <c r="U1943" i="2" s="1"/>
  <c r="U1944" i="2"/>
  <c r="U1964" i="2"/>
  <c r="U1952" i="2"/>
  <c r="W1961" i="2"/>
  <c r="U1953" i="2"/>
  <c r="U1946" i="2" l="1"/>
  <c r="V1947" i="2" s="1"/>
  <c r="U1954" i="2"/>
  <c r="U1955" i="2" s="1"/>
  <c r="U1956" i="2" s="1"/>
  <c r="U1957" i="2" s="1"/>
  <c r="U1978" i="2"/>
  <c r="W1975" i="2"/>
  <c r="U1967" i="2"/>
  <c r="U1966" i="2"/>
  <c r="U1958" i="2"/>
  <c r="U1960" i="2" l="1"/>
  <c r="V1961" i="2" s="1"/>
  <c r="W1989" i="2"/>
  <c r="U1981" i="2"/>
  <c r="U1992" i="2"/>
  <c r="U1980" i="2"/>
  <c r="U1968" i="2"/>
  <c r="U1969" i="2" s="1"/>
  <c r="U1972" i="2"/>
  <c r="U1982" i="2" l="1"/>
  <c r="U1983" i="2" s="1"/>
  <c r="U1984" i="2" s="1"/>
  <c r="U1985" i="2" s="1"/>
  <c r="U1970" i="2"/>
  <c r="U1971" i="2" s="1"/>
  <c r="U1974" i="2" s="1"/>
  <c r="V1975" i="2" s="1"/>
  <c r="U2006" i="2"/>
  <c r="W2003" i="2"/>
  <c r="U1995" i="2"/>
  <c r="U1994" i="2"/>
  <c r="U1986" i="2"/>
  <c r="U1988" i="2" l="1"/>
  <c r="V1989" i="2" s="1"/>
  <c r="U2009" i="2"/>
  <c r="U2008" i="2"/>
  <c r="U2020" i="2"/>
  <c r="W2017" i="2"/>
  <c r="U2000" i="2"/>
  <c r="U1996" i="2"/>
  <c r="U1997" i="2" s="1"/>
  <c r="U1998" i="2" s="1"/>
  <c r="U1999" i="2" s="1"/>
  <c r="U2002" i="2" l="1"/>
  <c r="V2003" i="2" s="1"/>
  <c r="U2014" i="2"/>
  <c r="U2010" i="2"/>
  <c r="U2011" i="2" s="1"/>
  <c r="U2012" i="2" s="1"/>
  <c r="U2013" i="2" s="1"/>
  <c r="U2034" i="2"/>
  <c r="U2022" i="2"/>
  <c r="W2031" i="2"/>
  <c r="U2023" i="2"/>
  <c r="U2016" i="2" l="1"/>
  <c r="V2017" i="2" s="1"/>
  <c r="U2024" i="2"/>
  <c r="U2025" i="2" s="1"/>
  <c r="U2026" i="2" s="1"/>
  <c r="U2027" i="2" s="1"/>
  <c r="U2048" i="2"/>
  <c r="W2045" i="2"/>
  <c r="U2037" i="2"/>
  <c r="U2036" i="2"/>
  <c r="U2028" i="2"/>
  <c r="U2030" i="2" l="1"/>
  <c r="V2031" i="2" s="1"/>
  <c r="U2038" i="2"/>
  <c r="U2039" i="2" s="1"/>
  <c r="U2040" i="2" s="1"/>
  <c r="U2041" i="2" s="1"/>
  <c r="U2042" i="2"/>
  <c r="U2051" i="2"/>
  <c r="U2062" i="2"/>
  <c r="W2059" i="2"/>
  <c r="U2050" i="2"/>
  <c r="U2044" i="2" l="1"/>
  <c r="V2045" i="2" s="1"/>
  <c r="U2052" i="2"/>
  <c r="U2053" i="2" s="1"/>
  <c r="U2054" i="2" s="1"/>
  <c r="U2055" i="2" s="1"/>
  <c r="U2056" i="2"/>
  <c r="U2065" i="2"/>
  <c r="U2076" i="2"/>
  <c r="W2073" i="2"/>
  <c r="U2064" i="2"/>
  <c r="U2058" i="2" l="1"/>
  <c r="V2059" i="2" s="1"/>
  <c r="U2066" i="2"/>
  <c r="U2067" i="2" s="1"/>
  <c r="U2068" i="2" s="1"/>
  <c r="U2069" i="2" s="1"/>
  <c r="U2079" i="2"/>
  <c r="U2078" i="2"/>
  <c r="U2084" i="2" s="1"/>
  <c r="U2090" i="2"/>
  <c r="W2087" i="2"/>
  <c r="U2070" i="2"/>
  <c r="U2072" i="2" l="1"/>
  <c r="V2073" i="2" s="1"/>
  <c r="U2080" i="2"/>
  <c r="U2081" i="2" s="1"/>
  <c r="U2082" i="2" s="1"/>
  <c r="U2083" i="2" s="1"/>
  <c r="U2086" i="2" s="1"/>
  <c r="V2087" i="2" s="1"/>
  <c r="W2101" i="2"/>
  <c r="U2093" i="2"/>
  <c r="U2104" i="2"/>
  <c r="U2092" i="2"/>
  <c r="U2094" i="2" l="1"/>
  <c r="U2095" i="2" s="1"/>
  <c r="U2096" i="2" s="1"/>
  <c r="U2097" i="2" s="1"/>
  <c r="U2098" i="2"/>
  <c r="W2115" i="2"/>
  <c r="U2106" i="2"/>
  <c r="U2112" i="2" s="1"/>
  <c r="U2118" i="2"/>
  <c r="U2107" i="2"/>
  <c r="U2100" i="2" l="1"/>
  <c r="V2101" i="2" s="1"/>
  <c r="U2132" i="2"/>
  <c r="W2129" i="2"/>
  <c r="U2121" i="2"/>
  <c r="U2120" i="2"/>
  <c r="U2126" i="2" s="1"/>
  <c r="U2108" i="2"/>
  <c r="U2109" i="2" s="1"/>
  <c r="U2122" i="2" l="1"/>
  <c r="U2123" i="2" s="1"/>
  <c r="U2124" i="2" s="1"/>
  <c r="U2125" i="2" s="1"/>
  <c r="U2128" i="2" s="1"/>
  <c r="V2129" i="2" s="1"/>
  <c r="U2135" i="2"/>
  <c r="U2146" i="2"/>
  <c r="U2134" i="2"/>
  <c r="W2143" i="2"/>
  <c r="U2110" i="2"/>
  <c r="U2111" i="2" s="1"/>
  <c r="U2114" i="2" s="1"/>
  <c r="V2115" i="2" s="1"/>
  <c r="U2136" i="2" l="1"/>
  <c r="U2137" i="2" s="1"/>
  <c r="U2138" i="2" s="1"/>
  <c r="U2139" i="2" s="1"/>
  <c r="U2148" i="2"/>
  <c r="U2149" i="2"/>
  <c r="U2160" i="2"/>
  <c r="W2157" i="2"/>
  <c r="U2140" i="2"/>
  <c r="U2142" i="2" l="1"/>
  <c r="V2143" i="2" s="1"/>
  <c r="U2150" i="2"/>
  <c r="U2151" i="2" s="1"/>
  <c r="U2152" i="2" s="1"/>
  <c r="U2153" i="2" s="1"/>
  <c r="W2171" i="2"/>
  <c r="U2174" i="2"/>
  <c r="U2162" i="2"/>
  <c r="U2168" i="2" s="1"/>
  <c r="U2163" i="2"/>
  <c r="U2154" i="2"/>
  <c r="U2156" i="2" l="1"/>
  <c r="V2157" i="2" s="1"/>
  <c r="U2176" i="2"/>
  <c r="U2182" i="2" s="1"/>
  <c r="U2177" i="2"/>
  <c r="W2185" i="2"/>
  <c r="U2188" i="2"/>
  <c r="U2164" i="2"/>
  <c r="U2165" i="2" s="1"/>
  <c r="U2178" i="2" l="1"/>
  <c r="U2179" i="2" s="1"/>
  <c r="U2180" i="2" s="1"/>
  <c r="U2181" i="2" s="1"/>
  <c r="U2184" i="2" s="1"/>
  <c r="V2185" i="2" s="1"/>
  <c r="U2190" i="2"/>
  <c r="U2196" i="2" s="1"/>
  <c r="U2202" i="2"/>
  <c r="W2199" i="2"/>
  <c r="U2191" i="2"/>
  <c r="U2166" i="2"/>
  <c r="U2167" i="2" s="1"/>
  <c r="U2170" i="2" s="1"/>
  <c r="V2171" i="2" s="1"/>
  <c r="U2192" i="2" l="1"/>
  <c r="U2193" i="2" s="1"/>
  <c r="U2194" i="2" s="1"/>
  <c r="U2195" i="2" s="1"/>
  <c r="U2198" i="2" s="1"/>
  <c r="V2199" i="2" s="1"/>
  <c r="U2216" i="2"/>
  <c r="U2205" i="2"/>
  <c r="U2204" i="2"/>
  <c r="W2213" i="2"/>
  <c r="U2219" i="2" l="1"/>
  <c r="W2227" i="2"/>
  <c r="U2230" i="2"/>
  <c r="U2218" i="2"/>
  <c r="U2224" i="2" s="1"/>
  <c r="U2206" i="2"/>
  <c r="U2207" i="2" s="1"/>
  <c r="U2208" i="2" s="1"/>
  <c r="U2209" i="2" s="1"/>
  <c r="U2210" i="2"/>
  <c r="U2212" i="2" l="1"/>
  <c r="V2213" i="2" s="1"/>
  <c r="W2241" i="2"/>
  <c r="U2244" i="2"/>
  <c r="U2233" i="2"/>
  <c r="U2232" i="2"/>
  <c r="U2220" i="2"/>
  <c r="U2221" i="2" s="1"/>
  <c r="U2234" i="2" l="1"/>
  <c r="U2235" i="2" s="1"/>
  <c r="U2236" i="2" s="1"/>
  <c r="U2237" i="2" s="1"/>
  <c r="U2238" i="2"/>
  <c r="U2222" i="2"/>
  <c r="U2223" i="2" s="1"/>
  <c r="U2226" i="2" s="1"/>
  <c r="V2227" i="2" s="1"/>
  <c r="U2258" i="2"/>
  <c r="U2247" i="2"/>
  <c r="U2246" i="2"/>
  <c r="W2255" i="2"/>
  <c r="U2240" i="2" l="1"/>
  <c r="V2241" i="2" s="1"/>
  <c r="U2248" i="2"/>
  <c r="U2249" i="2" s="1"/>
  <c r="U2250" i="2" s="1"/>
  <c r="U2251" i="2" s="1"/>
  <c r="U2254" i="2" s="1"/>
  <c r="V2255" i="2" s="1"/>
  <c r="U2252" i="2"/>
  <c r="U2261" i="2"/>
  <c r="U2272" i="2"/>
  <c r="U2260" i="2"/>
  <c r="W2269" i="2"/>
  <c r="U2262" i="2" l="1"/>
  <c r="U2263" i="2" s="1"/>
  <c r="U2264" i="2" s="1"/>
  <c r="U2265" i="2" s="1"/>
  <c r="U2286" i="2"/>
  <c r="W2283" i="2"/>
  <c r="U2275" i="2"/>
  <c r="U2274" i="2"/>
  <c r="U2266" i="2"/>
  <c r="U2268" i="2" l="1"/>
  <c r="V2269" i="2" s="1"/>
  <c r="U2276" i="2"/>
  <c r="U2277" i="2" s="1"/>
  <c r="U2278" i="2" s="1"/>
  <c r="U2279" i="2" s="1"/>
  <c r="U2280" i="2"/>
  <c r="U2300" i="2"/>
  <c r="W2297" i="2"/>
  <c r="U2289" i="2"/>
  <c r="U2288" i="2"/>
  <c r="U2282" i="2" l="1"/>
  <c r="V2283" i="2" s="1"/>
  <c r="U2290" i="2"/>
  <c r="U2291" i="2" s="1"/>
  <c r="U2292" i="2" s="1"/>
  <c r="U2293" i="2" s="1"/>
  <c r="U2302" i="2"/>
  <c r="U2308" i="2" s="1"/>
  <c r="U2314" i="2"/>
  <c r="W2311" i="2"/>
  <c r="U2303" i="2"/>
  <c r="U2294" i="2"/>
  <c r="U2296" i="2" l="1"/>
  <c r="V2297" i="2" s="1"/>
  <c r="U2304" i="2"/>
  <c r="U2305" i="2" s="1"/>
  <c r="U2306" i="2" s="1"/>
  <c r="U2307" i="2" s="1"/>
  <c r="U2310" i="2" s="1"/>
  <c r="V2311" i="2" s="1"/>
  <c r="U2317" i="2"/>
  <c r="U2328" i="2"/>
  <c r="W2325" i="2"/>
  <c r="U2316" i="2"/>
  <c r="U2318" i="2" l="1"/>
  <c r="U2319" i="2" s="1"/>
  <c r="U2320" i="2" s="1"/>
  <c r="U2321" i="2" s="1"/>
  <c r="U2322" i="2"/>
  <c r="U2342" i="2"/>
  <c r="U2331" i="2"/>
  <c r="U2330" i="2"/>
  <c r="U2336" i="2" s="1"/>
  <c r="W2339" i="2"/>
  <c r="U2324" i="2" l="1"/>
  <c r="V2325" i="2" s="1"/>
  <c r="U2356" i="2"/>
  <c r="U2345" i="2"/>
  <c r="W2353" i="2"/>
  <c r="U2344" i="2"/>
  <c r="U2332" i="2"/>
  <c r="U2333" i="2" s="1"/>
  <c r="U2334" i="2" s="1"/>
  <c r="U2335" i="2" s="1"/>
  <c r="U2338" i="2" s="1"/>
  <c r="V2339" i="2" s="1"/>
  <c r="U2346" i="2" l="1"/>
  <c r="U2347" i="2" s="1"/>
  <c r="U2348" i="2" s="1"/>
  <c r="U2349" i="2" s="1"/>
  <c r="U2370" i="2"/>
  <c r="U2359" i="2"/>
  <c r="U2358" i="2"/>
  <c r="U2364" i="2" s="1"/>
  <c r="W2367" i="2"/>
  <c r="U2350" i="2"/>
  <c r="U2352" i="2" l="1"/>
  <c r="V2353" i="2" s="1"/>
  <c r="U2360" i="2"/>
  <c r="U2361" i="2" s="1"/>
  <c r="U2362" i="2" s="1"/>
  <c r="U2363" i="2" s="1"/>
  <c r="U2366" i="2" s="1"/>
  <c r="V2367" i="2" s="1"/>
  <c r="U2384" i="2"/>
  <c r="W2381" i="2"/>
  <c r="U2373" i="2"/>
  <c r="U2372" i="2"/>
  <c r="U2374" i="2" l="1"/>
  <c r="U2375" i="2" s="1"/>
  <c r="U2376" i="2" s="1"/>
  <c r="U2377" i="2" s="1"/>
  <c r="U2387" i="2"/>
  <c r="W2395" i="2"/>
  <c r="U2386" i="2"/>
  <c r="U2392" i="2" s="1"/>
  <c r="U2398" i="2"/>
  <c r="U2378" i="2"/>
  <c r="U2380" i="2" l="1"/>
  <c r="V2381" i="2" s="1"/>
  <c r="U2388" i="2"/>
  <c r="U2389" i="2" s="1"/>
  <c r="U2390" i="2" s="1"/>
  <c r="U2391" i="2" s="1"/>
  <c r="U2394" i="2" s="1"/>
  <c r="V2395" i="2" s="1"/>
  <c r="W2409" i="2"/>
  <c r="U2412" i="2"/>
  <c r="U2400" i="2"/>
  <c r="U2401" i="2"/>
  <c r="U2402" i="2" l="1"/>
  <c r="U2403" i="2" s="1"/>
  <c r="U2404" i="2" s="1"/>
  <c r="U2405" i="2" s="1"/>
  <c r="U2415" i="2"/>
  <c r="U2414" i="2"/>
  <c r="U2420" i="2" s="1"/>
  <c r="W2423" i="2"/>
  <c r="U2426" i="2"/>
  <c r="U2406" i="2"/>
  <c r="U2408" i="2" l="1"/>
  <c r="V2409" i="2" s="1"/>
  <c r="U2429" i="2"/>
  <c r="U2440" i="2"/>
  <c r="W2437" i="2"/>
  <c r="U2428" i="2"/>
  <c r="U2416" i="2"/>
  <c r="U2417" i="2" s="1"/>
  <c r="U2418" i="2" s="1"/>
  <c r="U2419" i="2" s="1"/>
  <c r="U2422" i="2" s="1"/>
  <c r="V2423" i="2" s="1"/>
  <c r="U2430" i="2" l="1"/>
  <c r="U2431" i="2" s="1"/>
  <c r="U2432" i="2" s="1"/>
  <c r="U2433" i="2" s="1"/>
  <c r="W2451" i="2"/>
  <c r="U2442" i="2"/>
  <c r="U2448" i="2" s="1"/>
  <c r="U2454" i="2"/>
  <c r="U2443" i="2"/>
  <c r="U2434" i="2"/>
  <c r="U2436" i="2" l="1"/>
  <c r="V2437" i="2" s="1"/>
  <c r="U2444" i="2"/>
  <c r="U2445" i="2" s="1"/>
  <c r="U2446" i="2" s="1"/>
  <c r="U2447" i="2" s="1"/>
  <c r="U2450" i="2" s="1"/>
  <c r="V2451" i="2" s="1"/>
  <c r="U2456" i="2"/>
  <c r="U2462" i="2" s="1"/>
  <c r="U2468" i="2"/>
  <c r="W2465" i="2"/>
  <c r="U2457" i="2"/>
  <c r="U2470" i="2" l="1"/>
  <c r="U2476" i="2" s="1"/>
  <c r="U2482" i="2"/>
  <c r="W2479" i="2"/>
  <c r="U2471" i="2"/>
  <c r="U2458" i="2"/>
  <c r="U2459" i="2" s="1"/>
  <c r="U2460" i="2" l="1"/>
  <c r="U2461" i="2" s="1"/>
  <c r="U2464" i="2" s="1"/>
  <c r="V2465" i="2" s="1"/>
  <c r="U2484" i="2"/>
  <c r="U2490" i="2" s="1"/>
  <c r="W2493" i="2"/>
  <c r="U2485" i="2"/>
  <c r="U2496" i="2"/>
  <c r="U2472" i="2"/>
  <c r="U2473" i="2" s="1"/>
  <c r="U2474" i="2" s="1"/>
  <c r="U2475" i="2" s="1"/>
  <c r="U2478" i="2" s="1"/>
  <c r="V2479" i="2" s="1"/>
  <c r="U2498" i="2" l="1"/>
  <c r="U2510" i="2"/>
  <c r="W2507" i="2"/>
  <c r="U2499" i="2"/>
  <c r="U2486" i="2"/>
  <c r="U2487" i="2" s="1"/>
  <c r="U2488" i="2" s="1"/>
  <c r="U2489" i="2" s="1"/>
  <c r="U2492" i="2" s="1"/>
  <c r="V2493" i="2" s="1"/>
  <c r="U2500" i="2" l="1"/>
  <c r="U2501" i="2" s="1"/>
  <c r="U2524" i="2"/>
  <c r="W2521" i="2"/>
  <c r="U2512" i="2"/>
  <c r="U2513" i="2"/>
  <c r="U2504" i="2"/>
  <c r="U2514" i="2" l="1"/>
  <c r="U2515" i="2" s="1"/>
  <c r="U2516" i="2" s="1"/>
  <c r="U2517" i="2" s="1"/>
  <c r="U2502" i="2"/>
  <c r="U2503" i="2" s="1"/>
  <c r="U2506" i="2" s="1"/>
  <c r="V2507" i="2" s="1"/>
  <c r="U2538" i="2"/>
  <c r="U2526" i="2"/>
  <c r="W2535" i="2"/>
  <c r="U2527" i="2"/>
  <c r="U2518" i="2"/>
  <c r="U2520" i="2" l="1"/>
  <c r="V2521" i="2" s="1"/>
  <c r="U2528" i="2"/>
  <c r="U2529" i="2" s="1"/>
  <c r="U2530" i="2" s="1"/>
  <c r="U2531" i="2" s="1"/>
  <c r="U2540" i="2"/>
  <c r="U2546" i="2" s="1"/>
  <c r="U2552" i="2"/>
  <c r="W2549" i="2"/>
  <c r="U2541" i="2"/>
  <c r="U2532" i="2"/>
  <c r="U2534" i="2" l="1"/>
  <c r="V2535" i="2" s="1"/>
  <c r="U2542" i="2"/>
  <c r="U2543" i="2" s="1"/>
  <c r="U2544" i="2" s="1"/>
  <c r="U2545" i="2" s="1"/>
  <c r="U2548" i="2" s="1"/>
  <c r="V2549" i="2" s="1"/>
  <c r="U2554" i="2"/>
  <c r="U2560" i="2" s="1"/>
  <c r="U2566" i="2"/>
  <c r="W2563" i="2"/>
  <c r="U2555" i="2"/>
  <c r="U2580" i="2" l="1"/>
  <c r="U2569" i="2"/>
  <c r="W2577" i="2"/>
  <c r="U2568" i="2"/>
  <c r="U2556" i="2"/>
  <c r="U2557" i="2" s="1"/>
  <c r="U2558" i="2" s="1"/>
  <c r="U2559" i="2" s="1"/>
  <c r="U2562" i="2" s="1"/>
  <c r="V2563" i="2" s="1"/>
  <c r="U2570" i="2" l="1"/>
  <c r="U2571" i="2" s="1"/>
  <c r="U2572" i="2" s="1"/>
  <c r="U2573" i="2" s="1"/>
  <c r="U2594" i="2"/>
  <c r="U2583" i="2"/>
  <c r="U2582" i="2"/>
  <c r="U2588" i="2" s="1"/>
  <c r="W2591" i="2"/>
  <c r="U2574" i="2"/>
  <c r="U2576" i="2" l="1"/>
  <c r="V2577" i="2" s="1"/>
  <c r="U2597" i="2"/>
  <c r="U2608" i="2"/>
  <c r="W2605" i="2"/>
  <c r="U2596" i="2"/>
  <c r="U2584" i="2"/>
  <c r="U2585" i="2" s="1"/>
  <c r="U2598" i="2" l="1"/>
  <c r="U2599" i="2" s="1"/>
  <c r="U2600" i="2" s="1"/>
  <c r="U2601" i="2" s="1"/>
  <c r="U2602" i="2"/>
  <c r="U2586" i="2"/>
  <c r="U2587" i="2" s="1"/>
  <c r="U2590" i="2" s="1"/>
  <c r="V2591" i="2" s="1"/>
  <c r="U2610" i="2"/>
  <c r="U2616" i="2" s="1"/>
  <c r="W2619" i="2"/>
  <c r="U2622" i="2"/>
  <c r="U2611" i="2"/>
  <c r="U2604" i="2" l="1"/>
  <c r="V2605" i="2" s="1"/>
  <c r="U2624" i="2"/>
  <c r="U2630" i="2" s="1"/>
  <c r="U2625" i="2"/>
  <c r="U2636" i="2"/>
  <c r="W2633" i="2"/>
  <c r="U2612" i="2"/>
  <c r="U2613" i="2" s="1"/>
  <c r="U2614" i="2" s="1"/>
  <c r="U2615" i="2" s="1"/>
  <c r="U2618" i="2" s="1"/>
  <c r="V2619" i="2" s="1"/>
  <c r="U2626" i="2" l="1"/>
  <c r="U2627" i="2" s="1"/>
  <c r="U2628" i="2" s="1"/>
  <c r="U2629" i="2" s="1"/>
  <c r="U2632" i="2" s="1"/>
  <c r="V2633" i="2" s="1"/>
  <c r="U2639" i="2"/>
  <c r="U2638" i="2"/>
  <c r="U2644" i="2" s="1"/>
  <c r="U2650" i="2"/>
  <c r="W2647" i="2"/>
  <c r="U2664" i="2" l="1"/>
  <c r="W2661" i="2"/>
  <c r="U2653" i="2"/>
  <c r="U2652" i="2"/>
  <c r="U2640" i="2"/>
  <c r="U2641" i="2" s="1"/>
  <c r="U2654" i="2" l="1"/>
  <c r="U2655" i="2" s="1"/>
  <c r="U2656" i="2" s="1"/>
  <c r="U2657" i="2" s="1"/>
  <c r="U2666" i="2"/>
  <c r="W2675" i="2"/>
  <c r="U2667" i="2"/>
  <c r="U2678" i="2"/>
  <c r="U2658" i="2"/>
  <c r="U2642" i="2"/>
  <c r="U2643" i="2" s="1"/>
  <c r="U2646" i="2" s="1"/>
  <c r="V2647" i="2" s="1"/>
  <c r="U2660" i="2" l="1"/>
  <c r="V2661" i="2" s="1"/>
  <c r="U2668" i="2"/>
  <c r="U2669" i="2" s="1"/>
  <c r="U2670" i="2" s="1"/>
  <c r="U2671" i="2" s="1"/>
  <c r="U2672" i="2"/>
  <c r="W2689" i="2"/>
  <c r="U2680" i="2"/>
  <c r="U2686" i="2" s="1"/>
  <c r="U2692" i="2"/>
  <c r="U2681" i="2"/>
  <c r="U2674" i="2" l="1"/>
  <c r="V2675" i="2" s="1"/>
  <c r="U2695" i="2"/>
  <c r="U2706" i="2"/>
  <c r="W2703" i="2"/>
  <c r="U2694" i="2"/>
  <c r="U2682" i="2"/>
  <c r="U2683" i="2" s="1"/>
  <c r="U2684" i="2" s="1"/>
  <c r="U2685" i="2" s="1"/>
  <c r="U2688" i="2" s="1"/>
  <c r="V2689" i="2" s="1"/>
  <c r="U2696" i="2" l="1"/>
  <c r="U2697" i="2" s="1"/>
  <c r="U2698" i="2" s="1"/>
  <c r="U2699" i="2" s="1"/>
  <c r="U2720" i="2"/>
  <c r="U2708" i="2"/>
  <c r="U2714" i="2" s="1"/>
  <c r="W2717" i="2"/>
  <c r="U2709" i="2"/>
  <c r="U2700" i="2"/>
  <c r="U2702" i="2" l="1"/>
  <c r="V2703" i="2" s="1"/>
  <c r="U2734" i="2"/>
  <c r="U2723" i="2"/>
  <c r="W2731" i="2"/>
  <c r="U2722" i="2"/>
  <c r="U2728" i="2" s="1"/>
  <c r="U2710" i="2"/>
  <c r="U2711" i="2" s="1"/>
  <c r="U2724" i="2" l="1"/>
  <c r="U2725" i="2" s="1"/>
  <c r="U2726" i="2" s="1"/>
  <c r="U2727" i="2" s="1"/>
  <c r="U2730" i="2" s="1"/>
  <c r="V2731" i="2" s="1"/>
  <c r="U2737" i="2"/>
  <c r="U2748" i="2"/>
  <c r="U2736" i="2"/>
  <c r="U2742" i="2" s="1"/>
  <c r="W2745" i="2"/>
  <c r="U2712" i="2"/>
  <c r="U2713" i="2" s="1"/>
  <c r="U2716" i="2" s="1"/>
  <c r="V2717" i="2" s="1"/>
  <c r="U2751" i="2" l="1"/>
  <c r="U2762" i="2"/>
  <c r="U2750" i="2"/>
  <c r="U2756" i="2" s="1"/>
  <c r="W2759" i="2"/>
  <c r="U2738" i="2"/>
  <c r="U2739" i="2" s="1"/>
  <c r="U2740" i="2" l="1"/>
  <c r="U2741" i="2" s="1"/>
  <c r="U2744" i="2" s="1"/>
  <c r="V2745" i="2" s="1"/>
  <c r="U2765" i="2"/>
  <c r="U2764" i="2"/>
  <c r="U2770" i="2" s="1"/>
  <c r="U2776" i="2"/>
  <c r="W2773" i="2"/>
  <c r="U2752" i="2"/>
  <c r="U2753" i="2" s="1"/>
  <c r="U2754" i="2" s="1"/>
  <c r="U2755" i="2" s="1"/>
  <c r="U2758" i="2" s="1"/>
  <c r="V2759" i="2" s="1"/>
  <c r="U2778" i="2" l="1"/>
  <c r="U2784" i="2" s="1"/>
  <c r="W2787" i="2"/>
  <c r="U2779" i="2"/>
  <c r="U2790" i="2"/>
  <c r="U2766" i="2"/>
  <c r="U2767" i="2" s="1"/>
  <c r="U2780" i="2" l="1"/>
  <c r="U2781" i="2" s="1"/>
  <c r="U2782" i="2" s="1"/>
  <c r="U2783" i="2" s="1"/>
  <c r="U2786" i="2" s="1"/>
  <c r="V2787" i="2" s="1"/>
  <c r="U2768" i="2"/>
  <c r="U2769" i="2" s="1"/>
  <c r="U2772" i="2" s="1"/>
  <c r="V2773" i="2" s="1"/>
  <c r="U2804" i="2"/>
  <c r="W2801" i="2"/>
  <c r="U2793" i="2"/>
  <c r="U2792" i="2"/>
  <c r="U2794" i="2" l="1"/>
  <c r="U2795" i="2" s="1"/>
  <c r="U2796" i="2" s="1"/>
  <c r="U2797" i="2" s="1"/>
  <c r="U2818" i="2"/>
  <c r="W2815" i="2"/>
  <c r="U2807" i="2"/>
  <c r="U2806" i="2"/>
  <c r="U2798" i="2"/>
  <c r="U2800" i="2" l="1"/>
  <c r="V2801" i="2" s="1"/>
  <c r="U2808" i="2"/>
  <c r="U2809" i="2" s="1"/>
  <c r="U2810" i="2" s="1"/>
  <c r="U2811" i="2" s="1"/>
  <c r="W2829" i="2"/>
  <c r="U2820" i="2"/>
  <c r="U2826" i="2" s="1"/>
  <c r="U2832" i="2"/>
  <c r="U2821" i="2"/>
  <c r="U2812" i="2"/>
  <c r="U2814" i="2" l="1"/>
  <c r="V2815" i="2" s="1"/>
  <c r="U2822" i="2"/>
  <c r="U2823" i="2" s="1"/>
  <c r="U2824" i="2" s="1"/>
  <c r="U2825" i="2" s="1"/>
  <c r="U2828" i="2" s="1"/>
  <c r="V2829" i="2" s="1"/>
  <c r="U2834" i="2"/>
  <c r="U2840" i="2" s="1"/>
  <c r="U2846" i="2"/>
  <c r="W2843" i="2"/>
  <c r="U2835" i="2"/>
  <c r="U2860" i="2" l="1"/>
  <c r="W2857" i="2"/>
  <c r="U2849" i="2"/>
  <c r="U2848" i="2"/>
  <c r="U2854" i="2" s="1"/>
  <c r="U2836" i="2"/>
  <c r="U2837" i="2" s="1"/>
  <c r="U2838" i="2" s="1"/>
  <c r="U2839" i="2" s="1"/>
  <c r="U2842" i="2" s="1"/>
  <c r="V2843" i="2" s="1"/>
  <c r="U2862" i="2" l="1"/>
  <c r="U2863" i="2"/>
  <c r="W2871" i="2"/>
  <c r="U2874" i="2"/>
  <c r="U2850" i="2"/>
  <c r="U2851" i="2" s="1"/>
  <c r="U2852" i="2" s="1"/>
  <c r="U2853" i="2" s="1"/>
  <c r="U2856" i="2" s="1"/>
  <c r="V2857" i="2" s="1"/>
  <c r="U2864" i="2" l="1"/>
  <c r="U2865" i="2" s="1"/>
  <c r="U2866" i="2" s="1"/>
  <c r="U2867" i="2" s="1"/>
  <c r="U2868" i="2"/>
  <c r="U2888" i="2"/>
  <c r="U2877" i="2"/>
  <c r="U2876" i="2"/>
  <c r="U2882" i="2" s="1"/>
  <c r="W2885" i="2"/>
  <c r="U2870" i="2" l="1"/>
  <c r="V2871" i="2" s="1"/>
  <c r="U2902" i="2"/>
  <c r="W2899" i="2"/>
  <c r="U2891" i="2"/>
  <c r="U2890" i="2"/>
  <c r="U2896" i="2" s="1"/>
  <c r="U2878" i="2"/>
  <c r="U2879" i="2" s="1"/>
  <c r="U2880" i="2" s="1"/>
  <c r="U2881" i="2" s="1"/>
  <c r="U2884" i="2" s="1"/>
  <c r="V2885" i="2" s="1"/>
  <c r="W2913" i="2" l="1"/>
  <c r="U2904" i="2"/>
  <c r="U2910" i="2" s="1"/>
  <c r="U2916" i="2"/>
  <c r="U2905" i="2"/>
  <c r="U2892" i="2"/>
  <c r="U2893" i="2" s="1"/>
  <c r="U2906" i="2" l="1"/>
  <c r="U2907" i="2" s="1"/>
  <c r="U2908" i="2" s="1"/>
  <c r="U2909" i="2" s="1"/>
  <c r="U2912" i="2" s="1"/>
  <c r="V2913" i="2" s="1"/>
  <c r="U2894" i="2"/>
  <c r="U2895" i="2" s="1"/>
  <c r="U2898" i="2" s="1"/>
  <c r="V2899" i="2" s="1"/>
  <c r="U2919" i="2"/>
  <c r="W2927" i="2"/>
  <c r="U2918" i="2"/>
  <c r="U2930" i="2"/>
  <c r="U2920" i="2" l="1"/>
  <c r="U2921" i="2" s="1"/>
  <c r="U2922" i="2" s="1"/>
  <c r="U2923" i="2" s="1"/>
  <c r="W2941" i="2"/>
  <c r="U2932" i="2"/>
  <c r="U2938" i="2" s="1"/>
  <c r="U2944" i="2"/>
  <c r="U2933" i="2"/>
  <c r="U2924" i="2"/>
  <c r="U2926" i="2" l="1"/>
  <c r="V2927" i="2" s="1"/>
  <c r="U2934" i="2"/>
  <c r="U2935" i="2" s="1"/>
  <c r="U2936" i="2" s="1"/>
  <c r="U2937" i="2" s="1"/>
  <c r="U2940" i="2" s="1"/>
  <c r="V2941" i="2" s="1"/>
  <c r="U2958" i="2"/>
  <c r="W2955" i="2"/>
  <c r="U2947" i="2"/>
  <c r="U2946" i="2"/>
  <c r="U2952" i="2" l="1"/>
  <c r="U2948" i="2"/>
  <c r="U2949" i="2" s="1"/>
  <c r="W2969" i="2"/>
  <c r="U2972" i="2"/>
  <c r="U2961" i="2"/>
  <c r="U2960" i="2"/>
  <c r="U2966" i="2" l="1"/>
  <c r="U2962" i="2"/>
  <c r="U2963" i="2" s="1"/>
  <c r="U2950" i="2"/>
  <c r="U2951" i="2" s="1"/>
  <c r="U2954" i="2" s="1"/>
  <c r="V2955" i="2" s="1"/>
  <c r="U2986" i="2"/>
  <c r="U2975" i="2"/>
  <c r="U2974" i="2"/>
  <c r="W2983" i="2"/>
  <c r="U2988" i="2" l="1"/>
  <c r="U2994" i="2" s="1"/>
  <c r="W2997" i="2"/>
  <c r="U3000" i="2"/>
  <c r="U2989" i="2"/>
  <c r="U2964" i="2"/>
  <c r="U2965" i="2" s="1"/>
  <c r="U2968" i="2" s="1"/>
  <c r="V2969" i="2" s="1"/>
  <c r="U2976" i="2"/>
  <c r="U2977" i="2" s="1"/>
  <c r="U2980" i="2"/>
  <c r="U2990" i="2" l="1"/>
  <c r="U2991" i="2" s="1"/>
  <c r="U2992" i="2" s="1"/>
  <c r="U2993" i="2" s="1"/>
  <c r="U2996" i="2" s="1"/>
  <c r="V2997" i="2" s="1"/>
  <c r="U3014" i="2"/>
  <c r="U3003" i="2"/>
  <c r="W3011" i="2"/>
  <c r="U3002" i="2"/>
  <c r="U2978" i="2"/>
  <c r="U2979" i="2" s="1"/>
  <c r="U2982" i="2" s="1"/>
  <c r="V2983" i="2" s="1"/>
  <c r="U3004" i="2" l="1"/>
  <c r="U3005" i="2" s="1"/>
  <c r="U3006" i="2" s="1"/>
  <c r="U3007" i="2" s="1"/>
  <c r="U3017" i="2"/>
  <c r="U3028" i="2"/>
  <c r="W3025" i="2"/>
  <c r="U3016" i="2"/>
  <c r="U3008" i="2"/>
  <c r="U3018" i="2" l="1"/>
  <c r="U3019" i="2" s="1"/>
  <c r="U3020" i="2" s="1"/>
  <c r="U3021" i="2" s="1"/>
  <c r="U3010" i="2"/>
  <c r="V3011" i="2" s="1"/>
  <c r="U3030" i="2"/>
  <c r="U3036" i="2" s="1"/>
  <c r="U3042" i="2"/>
  <c r="W3039" i="2"/>
  <c r="U3031" i="2"/>
  <c r="U3022" i="2"/>
  <c r="U3024" i="2" l="1"/>
  <c r="V3025" i="2" s="1"/>
  <c r="U3045" i="2"/>
  <c r="U3056" i="2"/>
  <c r="U3044" i="2"/>
  <c r="U3050" i="2" s="1"/>
  <c r="W3053" i="2"/>
  <c r="U3032" i="2"/>
  <c r="U3033" i="2" s="1"/>
  <c r="U3034" i="2" l="1"/>
  <c r="U3035" i="2" s="1"/>
  <c r="U3038" i="2" s="1"/>
  <c r="V3039" i="2" s="1"/>
  <c r="U3058" i="2"/>
  <c r="W3067" i="2"/>
  <c r="U3059" i="2"/>
  <c r="U3070" i="2"/>
  <c r="U3046" i="2"/>
  <c r="U3047" i="2" s="1"/>
  <c r="U3048" i="2" s="1"/>
  <c r="U3049" i="2" s="1"/>
  <c r="U3052" i="2" s="1"/>
  <c r="V3053" i="2" s="1"/>
  <c r="W3081" i="2" l="1"/>
  <c r="U3073" i="2"/>
  <c r="U3072" i="2"/>
  <c r="U3078" i="2" s="1"/>
  <c r="U3084" i="2"/>
  <c r="U3060" i="2"/>
  <c r="U3061" i="2" s="1"/>
  <c r="U3064" i="2"/>
  <c r="U3062" i="2" l="1"/>
  <c r="U3063" i="2" s="1"/>
  <c r="U3066" i="2" s="1"/>
  <c r="V3067" i="2" s="1"/>
  <c r="U3098" i="2"/>
  <c r="W3095" i="2"/>
  <c r="U3087" i="2"/>
  <c r="U3086" i="2"/>
  <c r="U3074" i="2"/>
  <c r="U3075" i="2" s="1"/>
  <c r="U3076" i="2" s="1"/>
  <c r="U3077" i="2" s="1"/>
  <c r="U3080" i="2" s="1"/>
  <c r="V3081" i="2" s="1"/>
  <c r="U3088" i="2" l="1"/>
  <c r="U3089" i="2" s="1"/>
  <c r="U3090" i="2" s="1"/>
  <c r="U3091" i="2" s="1"/>
  <c r="U3112" i="2"/>
  <c r="U3100" i="2"/>
  <c r="U3101" i="2"/>
  <c r="W3109" i="2"/>
  <c r="U3092" i="2"/>
  <c r="U3094" i="2" l="1"/>
  <c r="V3095" i="2" s="1"/>
  <c r="U3102" i="2"/>
  <c r="U3103" i="2" s="1"/>
  <c r="U3104" i="2" s="1"/>
  <c r="U3105" i="2" s="1"/>
  <c r="U3106" i="2"/>
  <c r="W3123" i="2"/>
  <c r="U3115" i="2"/>
  <c r="U3114" i="2"/>
  <c r="U3126" i="2"/>
  <c r="U3108" i="2" l="1"/>
  <c r="V3109" i="2" s="1"/>
  <c r="U3128" i="2"/>
  <c r="U3140" i="2"/>
  <c r="W3137" i="2"/>
  <c r="U3129" i="2"/>
  <c r="U3120" i="2"/>
  <c r="U3116" i="2"/>
  <c r="U3117" i="2" s="1"/>
  <c r="U3118" i="2" s="1"/>
  <c r="U3119" i="2" s="1"/>
  <c r="U3122" i="2" s="1"/>
  <c r="V3123" i="2" s="1"/>
  <c r="U3142" i="2" l="1"/>
  <c r="W3151" i="2"/>
  <c r="U3154" i="2"/>
  <c r="U3143" i="2"/>
  <c r="U3130" i="2"/>
  <c r="U3131" i="2" s="1"/>
  <c r="U3134" i="2"/>
  <c r="U3144" i="2" l="1"/>
  <c r="U3145" i="2" s="1"/>
  <c r="U3146" i="2" s="1"/>
  <c r="U3147" i="2" s="1"/>
  <c r="U3132" i="2"/>
  <c r="U3133" i="2" s="1"/>
  <c r="U3136" i="2" s="1"/>
  <c r="V3137" i="2" s="1"/>
  <c r="U3156" i="2"/>
  <c r="U3162" i="2" s="1"/>
  <c r="U3157" i="2"/>
  <c r="U3168" i="2"/>
  <c r="W3165" i="2"/>
  <c r="U3148" i="2"/>
  <c r="U3150" i="2" l="1"/>
  <c r="V3151" i="2" s="1"/>
  <c r="U3171" i="2"/>
  <c r="U3182" i="2"/>
  <c r="W3179" i="2"/>
  <c r="U3170" i="2"/>
  <c r="U3158" i="2"/>
  <c r="U3159" i="2" s="1"/>
  <c r="U3160" i="2" s="1"/>
  <c r="U3161" i="2" s="1"/>
  <c r="U3164" i="2" s="1"/>
  <c r="V3165" i="2" s="1"/>
  <c r="U3172" i="2" l="1"/>
  <c r="U3173" i="2" s="1"/>
  <c r="U3174" i="2" s="1"/>
  <c r="U3175" i="2" s="1"/>
  <c r="U3176" i="2"/>
  <c r="U3196" i="2"/>
  <c r="W3193" i="2"/>
  <c r="U3185" i="2"/>
  <c r="U3184" i="2"/>
  <c r="U3178" i="2" l="1"/>
  <c r="V3179" i="2" s="1"/>
  <c r="U3186" i="2"/>
  <c r="U3187" i="2" s="1"/>
  <c r="U3210" i="2"/>
  <c r="W3207" i="2"/>
  <c r="U3198" i="2"/>
  <c r="U3204" i="2" s="1"/>
  <c r="U3199" i="2"/>
  <c r="U3190" i="2"/>
  <c r="U3188" i="2" l="1"/>
  <c r="U3189" i="2" s="1"/>
  <c r="U3192" i="2" s="1"/>
  <c r="V3193" i="2" s="1"/>
  <c r="U3213" i="2"/>
  <c r="W3221" i="2"/>
  <c r="U3212" i="2"/>
  <c r="U3224" i="2"/>
  <c r="U3200" i="2"/>
  <c r="U3201" i="2" s="1"/>
  <c r="U3214" i="2" l="1"/>
  <c r="U3215" i="2" s="1"/>
  <c r="U3216" i="2" s="1"/>
  <c r="U3217" i="2" s="1"/>
  <c r="U3227" i="2"/>
  <c r="U3226" i="2"/>
  <c r="W3235" i="2"/>
  <c r="U3238" i="2"/>
  <c r="U3218" i="2"/>
  <c r="U3202" i="2"/>
  <c r="U3203" i="2" s="1"/>
  <c r="U3206" i="2" s="1"/>
  <c r="V3207" i="2" s="1"/>
  <c r="U3228" i="2" l="1"/>
  <c r="U3229" i="2" s="1"/>
  <c r="U3230" i="2" s="1"/>
  <c r="U3231" i="2" s="1"/>
  <c r="U3220" i="2"/>
  <c r="V3221" i="2" s="1"/>
  <c r="U3232" i="2"/>
  <c r="U3241" i="2"/>
  <c r="W3249" i="2"/>
  <c r="U3240" i="2"/>
  <c r="U3246" i="2" s="1"/>
  <c r="U3252" i="2"/>
  <c r="U3234" i="2" l="1"/>
  <c r="V3235" i="2" s="1"/>
  <c r="U3254" i="2"/>
  <c r="U3260" i="2" s="1"/>
  <c r="U3255" i="2"/>
  <c r="W3263" i="2"/>
  <c r="U3266" i="2"/>
  <c r="U3242" i="2"/>
  <c r="U3243" i="2" s="1"/>
  <c r="U3244" i="2" s="1"/>
  <c r="U3245" i="2" s="1"/>
  <c r="U3248" i="2" s="1"/>
  <c r="V3249" i="2" s="1"/>
  <c r="U3256" i="2" l="1"/>
  <c r="U3257" i="2" s="1"/>
  <c r="U3258" i="2" s="1"/>
  <c r="U3259" i="2" s="1"/>
  <c r="U3262" i="2" s="1"/>
  <c r="V3263" i="2" s="1"/>
  <c r="U3269" i="2"/>
  <c r="W3277" i="2"/>
  <c r="U3268" i="2"/>
  <c r="U3274" i="2" s="1"/>
  <c r="U3280" i="2"/>
  <c r="U3270" i="2" l="1"/>
  <c r="U3271" i="2" s="1"/>
  <c r="U3272" i="2" s="1"/>
  <c r="U3273" i="2" s="1"/>
  <c r="U3276" i="2" s="1"/>
  <c r="V3277" i="2" s="1"/>
  <c r="W3291" i="2"/>
  <c r="U3294" i="2"/>
  <c r="U3283" i="2"/>
  <c r="U3282" i="2"/>
  <c r="U3296" i="2" l="1"/>
  <c r="U3297" i="2"/>
  <c r="U3308" i="2"/>
  <c r="W3305" i="2"/>
  <c r="U3284" i="2"/>
  <c r="U3285" i="2" s="1"/>
  <c r="U3286" i="2" s="1"/>
  <c r="U3287" i="2" s="1"/>
  <c r="U3288" i="2"/>
  <c r="U3290" i="2" l="1"/>
  <c r="V3291" i="2" s="1"/>
  <c r="U3298" i="2"/>
  <c r="U3299" i="2" s="1"/>
  <c r="U3300" i="2" s="1"/>
  <c r="U3301" i="2" s="1"/>
  <c r="U3322" i="2"/>
  <c r="U3311" i="2"/>
  <c r="W3319" i="2"/>
  <c r="U3310" i="2"/>
  <c r="U3316" i="2" s="1"/>
  <c r="U3302" i="2"/>
  <c r="U3304" i="2" l="1"/>
  <c r="V3305" i="2" s="1"/>
  <c r="U3325" i="2"/>
  <c r="U3336" i="2"/>
  <c r="U3324" i="2"/>
  <c r="U3330" i="2" s="1"/>
  <c r="W3333" i="2"/>
  <c r="U3312" i="2"/>
  <c r="U3313" i="2" s="1"/>
  <c r="U3314" i="2" l="1"/>
  <c r="U3315" i="2" s="1"/>
  <c r="U3318" i="2" s="1"/>
  <c r="V3319" i="2" s="1"/>
  <c r="U3339" i="2"/>
  <c r="U3338" i="2"/>
  <c r="U3344" i="2" s="1"/>
  <c r="U3350" i="2"/>
  <c r="W3347" i="2"/>
  <c r="U3326" i="2"/>
  <c r="U3327" i="2" s="1"/>
  <c r="U3328" i="2" s="1"/>
  <c r="U3329" i="2" s="1"/>
  <c r="U3332" i="2" s="1"/>
  <c r="V3333" i="2" s="1"/>
  <c r="U3364" i="2" l="1"/>
  <c r="U3352" i="2"/>
  <c r="W3361" i="2"/>
  <c r="U3353" i="2"/>
  <c r="U3340" i="2"/>
  <c r="U3341" i="2" s="1"/>
  <c r="U3354" i="2" l="1"/>
  <c r="U3355" i="2" s="1"/>
  <c r="U3356" i="2" s="1"/>
  <c r="U3357" i="2" s="1"/>
  <c r="U3342" i="2"/>
  <c r="U3343" i="2" s="1"/>
  <c r="U3346" i="2" s="1"/>
  <c r="V3347" i="2" s="1"/>
  <c r="U3378" i="2"/>
  <c r="U3367" i="2"/>
  <c r="W3375" i="2"/>
  <c r="U3366" i="2"/>
  <c r="U3358" i="2"/>
  <c r="U3360" i="2" l="1"/>
  <c r="V3361" i="2" s="1"/>
  <c r="U3368" i="2"/>
  <c r="U3369" i="2" s="1"/>
  <c r="U3370" i="2" s="1"/>
  <c r="U3371" i="2" s="1"/>
  <c r="U3372" i="2"/>
  <c r="U3381" i="2"/>
  <c r="U3380" i="2"/>
  <c r="U3386" i="2" s="1"/>
  <c r="W3389" i="2"/>
  <c r="U3392" i="2"/>
  <c r="U3374" i="2" l="1"/>
  <c r="V3375" i="2" s="1"/>
  <c r="U3406" i="2"/>
  <c r="U3395" i="2"/>
  <c r="W3403" i="2"/>
  <c r="U3394" i="2"/>
  <c r="U3382" i="2"/>
  <c r="U3383" i="2" s="1"/>
  <c r="U3384" i="2" s="1"/>
  <c r="U3385" i="2" s="1"/>
  <c r="U3388" i="2" s="1"/>
  <c r="V3389" i="2" s="1"/>
  <c r="W3417" i="2" l="1"/>
  <c r="U3420" i="2"/>
  <c r="U3409" i="2"/>
  <c r="U3408" i="2"/>
  <c r="U3400" i="2"/>
  <c r="U3396" i="2"/>
  <c r="U3397" i="2" s="1"/>
  <c r="U3398" i="2" s="1"/>
  <c r="U3399" i="2" s="1"/>
  <c r="U3402" i="2" l="1"/>
  <c r="V3403" i="2" s="1"/>
  <c r="U3410" i="2"/>
  <c r="U3411" i="2" s="1"/>
  <c r="U3412" i="2" s="1"/>
  <c r="U3413" i="2" s="1"/>
  <c r="U3434" i="2"/>
  <c r="U3423" i="2"/>
  <c r="W3431" i="2"/>
  <c r="U3422" i="2"/>
  <c r="U3428" i="2" s="1"/>
  <c r="U3414" i="2"/>
  <c r="U3416" i="2" l="1"/>
  <c r="V3417" i="2" s="1"/>
  <c r="U3448" i="2"/>
  <c r="U3437" i="2"/>
  <c r="U3436" i="2"/>
  <c r="W3445" i="2"/>
  <c r="U3424" i="2"/>
  <c r="U3425" i="2" s="1"/>
  <c r="U3426" i="2" l="1"/>
  <c r="U3427" i="2" s="1"/>
  <c r="U3430" i="2" s="1"/>
  <c r="V3431" i="2" s="1"/>
  <c r="U3451" i="2"/>
  <c r="W3459" i="2"/>
  <c r="U3462" i="2"/>
  <c r="U3450" i="2"/>
  <c r="U3438" i="2"/>
  <c r="U3439" i="2" s="1"/>
  <c r="U3442" i="2"/>
  <c r="U3452" i="2" l="1"/>
  <c r="U3453" i="2" s="1"/>
  <c r="U3454" i="2" s="1"/>
  <c r="U3455" i="2" s="1"/>
  <c r="U3476" i="2"/>
  <c r="U3464" i="2"/>
  <c r="W3473" i="2"/>
  <c r="U3465" i="2"/>
  <c r="U3440" i="2"/>
  <c r="U3441" i="2" s="1"/>
  <c r="U3444" i="2" s="1"/>
  <c r="V3445" i="2" s="1"/>
  <c r="U3456" i="2"/>
  <c r="U3458" i="2" l="1"/>
  <c r="V3459" i="2" s="1"/>
  <c r="U3466" i="2"/>
  <c r="U3467" i="2" s="1"/>
  <c r="U3468" i="2" s="1"/>
  <c r="U3469" i="2" s="1"/>
  <c r="U3490" i="2"/>
  <c r="U3479" i="2"/>
  <c r="W3487" i="2"/>
  <c r="U3478" i="2"/>
  <c r="U3470" i="2"/>
  <c r="U3472" i="2" l="1"/>
  <c r="V3473" i="2" s="1"/>
  <c r="U3493" i="2"/>
  <c r="U3492" i="2"/>
  <c r="U3504" i="2"/>
  <c r="W3501" i="2"/>
  <c r="U3480" i="2"/>
  <c r="U3481" i="2" s="1"/>
  <c r="U3482" i="2" s="1"/>
  <c r="U3483" i="2" s="1"/>
  <c r="U3484" i="2"/>
  <c r="U3486" i="2" l="1"/>
  <c r="V3487" i="2" s="1"/>
  <c r="U3494" i="2"/>
  <c r="U3495" i="2" s="1"/>
  <c r="U3496" i="2" s="1"/>
  <c r="U3497" i="2" s="1"/>
  <c r="U3518" i="2"/>
  <c r="W3515" i="2"/>
  <c r="U3506" i="2"/>
  <c r="U3507" i="2"/>
  <c r="U3498" i="2"/>
  <c r="U3500" i="2" l="1"/>
  <c r="V3501" i="2" s="1"/>
  <c r="U3508" i="2"/>
  <c r="U3509" i="2" s="1"/>
  <c r="U3510" i="2" s="1"/>
  <c r="U3511" i="2" s="1"/>
  <c r="U3532" i="2"/>
  <c r="W3529" i="2"/>
  <c r="U3521" i="2"/>
  <c r="U3520" i="2"/>
  <c r="U3512" i="2"/>
  <c r="U3514" i="2" l="1"/>
  <c r="V3515" i="2" s="1"/>
  <c r="U3522" i="2"/>
  <c r="U3523" i="2" s="1"/>
  <c r="U3524" i="2" s="1"/>
  <c r="U3525" i="2" s="1"/>
  <c r="U3526" i="2"/>
  <c r="U3546" i="2"/>
  <c r="W3543" i="2"/>
  <c r="U3535" i="2"/>
  <c r="U3534" i="2"/>
  <c r="U3540" i="2" s="1"/>
  <c r="U3528" i="2" l="1"/>
  <c r="V3529" i="2" s="1"/>
  <c r="U3560" i="2"/>
  <c r="W3557" i="2"/>
  <c r="U3548" i="2"/>
  <c r="U3554" i="2" s="1"/>
  <c r="U3549" i="2"/>
  <c r="U3536" i="2"/>
  <c r="U3537" i="2" s="1"/>
  <c r="U3538" i="2" s="1"/>
  <c r="U3539" i="2" s="1"/>
  <c r="U3542" i="2" s="1"/>
  <c r="V3543" i="2" s="1"/>
  <c r="U3550" i="2" l="1"/>
  <c r="U3551" i="2" s="1"/>
  <c r="U3552" i="2" s="1"/>
  <c r="U3553" i="2" s="1"/>
  <c r="U3556" i="2" s="1"/>
  <c r="V3557" i="2" s="1"/>
  <c r="U3574" i="2"/>
  <c r="U3563" i="2"/>
  <c r="U3562" i="2"/>
  <c r="W3571" i="2"/>
  <c r="U3564" i="2" l="1"/>
  <c r="U3565" i="2" s="1"/>
  <c r="U3566" i="2" s="1"/>
  <c r="U3567" i="2" s="1"/>
  <c r="U3576" i="2"/>
  <c r="U3582" i="2" s="1"/>
  <c r="U3577" i="2"/>
  <c r="W3585" i="2"/>
  <c r="U3588" i="2"/>
  <c r="U3568" i="2"/>
  <c r="U3570" i="2" l="1"/>
  <c r="V3571" i="2" s="1"/>
  <c r="U3591" i="2"/>
  <c r="W3599" i="2"/>
  <c r="U3590" i="2"/>
  <c r="U3602" i="2"/>
  <c r="U3578" i="2"/>
  <c r="U3579" i="2" s="1"/>
  <c r="U3592" i="2" l="1"/>
  <c r="U3593" i="2" s="1"/>
  <c r="U3594" i="2" s="1"/>
  <c r="U3595" i="2" s="1"/>
  <c r="U3580" i="2"/>
  <c r="U3581" i="2" s="1"/>
  <c r="U3584" i="2" s="1"/>
  <c r="V3585" i="2" s="1"/>
  <c r="U3616" i="2"/>
  <c r="U3604" i="2"/>
  <c r="W3613" i="2"/>
  <c r="U3605" i="2"/>
  <c r="U3596" i="2"/>
  <c r="U3598" i="2" l="1"/>
  <c r="V3599" i="2" s="1"/>
  <c r="U3606" i="2"/>
  <c r="U3607" i="2" s="1"/>
  <c r="U3608" i="2" s="1"/>
  <c r="U3609" i="2" s="1"/>
  <c r="U3610" i="2"/>
  <c r="U3619" i="2"/>
  <c r="W3627" i="2"/>
  <c r="U3618" i="2"/>
  <c r="U3630" i="2"/>
  <c r="U3612" i="2" l="1"/>
  <c r="V3613" i="2" s="1"/>
  <c r="U3624" i="2"/>
  <c r="U3620" i="2"/>
  <c r="U3621" i="2" s="1"/>
  <c r="W3641" i="2"/>
  <c r="U3632" i="2"/>
  <c r="U3638" i="2" s="1"/>
  <c r="U3633" i="2"/>
  <c r="U3644" i="2"/>
  <c r="U3634" i="2" l="1"/>
  <c r="U3635" i="2" s="1"/>
  <c r="U3636" i="2" s="1"/>
  <c r="U3637" i="2" s="1"/>
  <c r="U3640" i="2" s="1"/>
  <c r="V3641" i="2" s="1"/>
  <c r="U3647" i="2"/>
  <c r="U3646" i="2"/>
  <c r="U3658" i="2"/>
  <c r="W3655" i="2"/>
  <c r="U3622" i="2"/>
  <c r="U3623" i="2" s="1"/>
  <c r="U3626" i="2" s="1"/>
  <c r="V3627" i="2" s="1"/>
  <c r="U3652" i="2" l="1"/>
  <c r="U3648" i="2"/>
  <c r="U3649" i="2" s="1"/>
  <c r="U3650" i="2" s="1"/>
  <c r="U3651" i="2" s="1"/>
  <c r="U3661" i="2"/>
  <c r="U3660" i="2"/>
  <c r="W3669" i="2"/>
  <c r="U3672" i="2"/>
  <c r="U3654" i="2" l="1"/>
  <c r="V3655" i="2" s="1"/>
  <c r="W3683" i="2"/>
  <c r="U3686" i="2"/>
  <c r="U3675" i="2"/>
  <c r="U3674" i="2"/>
  <c r="U3662" i="2"/>
  <c r="U3663" i="2" s="1"/>
  <c r="U3666" i="2"/>
  <c r="U3680" i="2" l="1"/>
  <c r="U3676" i="2"/>
  <c r="U3677" i="2" s="1"/>
  <c r="U3664" i="2"/>
  <c r="U3665" i="2" s="1"/>
  <c r="U3668" i="2" s="1"/>
  <c r="V3669" i="2" s="1"/>
  <c r="U3700" i="2"/>
  <c r="W3697" i="2"/>
  <c r="U3688" i="2"/>
  <c r="U3689" i="2"/>
  <c r="U3690" i="2" l="1"/>
  <c r="U3691" i="2" s="1"/>
  <c r="U3692" i="2" s="1"/>
  <c r="U3693" i="2" s="1"/>
  <c r="W3711" i="2"/>
  <c r="U3714" i="2"/>
  <c r="U3703" i="2"/>
  <c r="U3702" i="2"/>
  <c r="U3678" i="2"/>
  <c r="U3679" i="2" s="1"/>
  <c r="U3682" i="2" s="1"/>
  <c r="V3683" i="2" s="1"/>
  <c r="U3694" i="2"/>
  <c r="U3696" i="2" l="1"/>
  <c r="V3697" i="2" s="1"/>
  <c r="U3717" i="2"/>
  <c r="U3716" i="2"/>
  <c r="U3722" i="2" s="1"/>
  <c r="U3728" i="2"/>
  <c r="W3725" i="2"/>
  <c r="U3708" i="2"/>
  <c r="U3704" i="2"/>
  <c r="U3705" i="2" s="1"/>
  <c r="U3706" i="2" l="1"/>
  <c r="U3707" i="2" s="1"/>
  <c r="U3710" i="2" s="1"/>
  <c r="V3711" i="2" s="1"/>
  <c r="U3731" i="2"/>
  <c r="U3742" i="2"/>
  <c r="U3730" i="2"/>
  <c r="W3739" i="2"/>
  <c r="U3718" i="2"/>
  <c r="U3719" i="2" s="1"/>
  <c r="U3732" i="2" l="1"/>
  <c r="U3733" i="2" s="1"/>
  <c r="U3734" i="2" s="1"/>
  <c r="U3735" i="2" s="1"/>
  <c r="U3720" i="2"/>
  <c r="U3721" i="2" s="1"/>
  <c r="U3724" i="2" s="1"/>
  <c r="V3725" i="2" s="1"/>
  <c r="W3753" i="2"/>
  <c r="U3744" i="2"/>
  <c r="U3756" i="2"/>
  <c r="U3745" i="2"/>
  <c r="U3736" i="2"/>
  <c r="U3738" i="2" l="1"/>
  <c r="V3739" i="2" s="1"/>
  <c r="U3746" i="2"/>
  <c r="U3747" i="2" s="1"/>
  <c r="U3748" i="2" s="1"/>
  <c r="U3749" i="2" s="1"/>
  <c r="W3767" i="2"/>
  <c r="U3759" i="2"/>
  <c r="U3758" i="2"/>
  <c r="U3770" i="2"/>
  <c r="U3750" i="2"/>
  <c r="U3752" i="2" l="1"/>
  <c r="V3753" i="2" s="1"/>
  <c r="U3760" i="2"/>
  <c r="U3761" i="2" s="1"/>
  <c r="U3762" i="2" s="1"/>
  <c r="U3763" i="2" s="1"/>
  <c r="U3764" i="2"/>
  <c r="U3772" i="2"/>
  <c r="U3784" i="2"/>
  <c r="W3781" i="2"/>
  <c r="U3773" i="2"/>
  <c r="U3766" i="2" l="1"/>
  <c r="V3767" i="2" s="1"/>
  <c r="U3798" i="2"/>
  <c r="U3786" i="2"/>
  <c r="U3792" i="2" s="1"/>
  <c r="W3795" i="2"/>
  <c r="U3787" i="2"/>
  <c r="U3774" i="2"/>
  <c r="U3775" i="2" s="1"/>
  <c r="U3776" i="2" s="1"/>
  <c r="U3777" i="2" s="1"/>
  <c r="U3778" i="2"/>
  <c r="U3780" i="2" l="1"/>
  <c r="V3781" i="2" s="1"/>
  <c r="U3800" i="2"/>
  <c r="U3812" i="2"/>
  <c r="W3809" i="2"/>
  <c r="U3801" i="2"/>
  <c r="U3788" i="2"/>
  <c r="U3789" i="2" s="1"/>
  <c r="U3790" i="2" s="1"/>
  <c r="U3791" i="2" s="1"/>
  <c r="U3794" i="2" s="1"/>
  <c r="V3795" i="2" s="1"/>
  <c r="U3802" i="2" l="1"/>
  <c r="U3803" i="2" s="1"/>
  <c r="U3804" i="2" s="1"/>
  <c r="U3805" i="2" s="1"/>
  <c r="U3806" i="2"/>
  <c r="W3823" i="2"/>
  <c r="U3815" i="2"/>
  <c r="U3814" i="2"/>
  <c r="U3826" i="2"/>
  <c r="U3808" i="2" l="1"/>
  <c r="V3809" i="2" s="1"/>
  <c r="U3816" i="2"/>
  <c r="U3817" i="2" s="1"/>
  <c r="U3818" i="2" s="1"/>
  <c r="U3819" i="2" s="1"/>
  <c r="U3829" i="2"/>
  <c r="U3828" i="2"/>
  <c r="U3834" i="2" s="1"/>
  <c r="U3840" i="2"/>
  <c r="W3837" i="2"/>
  <c r="U3820" i="2"/>
  <c r="U3822" i="2" l="1"/>
  <c r="V3823" i="2" s="1"/>
  <c r="U3854" i="2"/>
  <c r="W3851" i="2"/>
  <c r="U3842" i="2"/>
  <c r="U3843" i="2"/>
  <c r="U3830" i="2"/>
  <c r="U3831" i="2" s="1"/>
  <c r="U3844" i="2" l="1"/>
  <c r="U3845" i="2" s="1"/>
  <c r="U3846" i="2" s="1"/>
  <c r="U3847" i="2" s="1"/>
  <c r="U3832" i="2"/>
  <c r="U3833" i="2" s="1"/>
  <c r="U3836" i="2" s="1"/>
  <c r="V3837" i="2" s="1"/>
  <c r="U3868" i="2"/>
  <c r="U3856" i="2"/>
  <c r="U3862" i="2" s="1"/>
  <c r="U3857" i="2"/>
  <c r="W3865" i="2"/>
  <c r="U3848" i="2"/>
  <c r="U3850" i="2" l="1"/>
  <c r="V3851" i="2" s="1"/>
  <c r="U3871" i="2"/>
  <c r="U3882" i="2"/>
  <c r="U3870" i="2"/>
  <c r="W3879" i="2"/>
  <c r="U3858" i="2"/>
  <c r="U3859" i="2" s="1"/>
  <c r="U3860" i="2" s="1"/>
  <c r="U3861" i="2" s="1"/>
  <c r="U3864" i="2" s="1"/>
  <c r="V3865" i="2" s="1"/>
  <c r="W3893" i="2" l="1"/>
  <c r="U3896" i="2"/>
  <c r="U3885" i="2"/>
  <c r="U3884" i="2"/>
  <c r="U3890" i="2" s="1"/>
  <c r="U3876" i="2"/>
  <c r="U3872" i="2"/>
  <c r="U3873" i="2" s="1"/>
  <c r="W3907" i="2" l="1"/>
  <c r="U3910" i="2"/>
  <c r="U3898" i="2"/>
  <c r="U3904" i="2" s="1"/>
  <c r="U3899" i="2"/>
  <c r="U3874" i="2"/>
  <c r="U3875" i="2" s="1"/>
  <c r="U3878" i="2" s="1"/>
  <c r="V3879" i="2" s="1"/>
  <c r="U3886" i="2"/>
  <c r="U3887" i="2" s="1"/>
  <c r="W3921" i="2" l="1"/>
  <c r="U3924" i="2"/>
  <c r="U3912" i="2"/>
  <c r="U3918" i="2" s="1"/>
  <c r="U3913" i="2"/>
  <c r="U3888" i="2"/>
  <c r="U3889" i="2" s="1"/>
  <c r="U3892" i="2" s="1"/>
  <c r="V3893" i="2" s="1"/>
  <c r="U3900" i="2"/>
  <c r="U3901" i="2" s="1"/>
  <c r="U3914" i="2" l="1"/>
  <c r="U3915" i="2" s="1"/>
  <c r="U3916" i="2" s="1"/>
  <c r="U3917" i="2" s="1"/>
  <c r="U3920" i="2" s="1"/>
  <c r="V3921" i="2" s="1"/>
  <c r="U3938" i="2"/>
  <c r="U3927" i="2"/>
  <c r="U3926" i="2"/>
  <c r="U3932" i="2" s="1"/>
  <c r="W3935" i="2"/>
  <c r="U3902" i="2"/>
  <c r="U3903" i="2" s="1"/>
  <c r="U3906" i="2" s="1"/>
  <c r="V3907" i="2" s="1"/>
  <c r="W3949" i="2" l="1"/>
  <c r="U3952" i="2"/>
  <c r="U3941" i="2"/>
  <c r="U3940" i="2"/>
  <c r="U3928" i="2"/>
  <c r="U3929" i="2" s="1"/>
  <c r="U3930" i="2" s="1"/>
  <c r="U3931" i="2" s="1"/>
  <c r="U3934" i="2" s="1"/>
  <c r="V3935" i="2" s="1"/>
  <c r="U3942" i="2" l="1"/>
  <c r="U3943" i="2" s="1"/>
  <c r="U3944" i="2" s="1"/>
  <c r="U3945" i="2" s="1"/>
  <c r="U3946" i="2"/>
  <c r="U3954" i="2"/>
  <c r="U3960" i="2" s="1"/>
  <c r="W3963" i="2"/>
  <c r="U3955" i="2"/>
  <c r="U3966" i="2"/>
  <c r="U3948" i="2" l="1"/>
  <c r="V3949" i="2" s="1"/>
  <c r="U3956" i="2"/>
  <c r="U3957" i="2" s="1"/>
  <c r="U3958" i="2" s="1"/>
  <c r="U3959" i="2" s="1"/>
  <c r="U3962" i="2" s="1"/>
  <c r="V3963" i="2" s="1"/>
  <c r="U3969" i="2"/>
  <c r="W3977" i="2"/>
  <c r="U3980" i="2"/>
  <c r="U3968" i="2"/>
  <c r="U3970" i="2" l="1"/>
  <c r="U3971" i="2" s="1"/>
  <c r="U3972" i="2" s="1"/>
  <c r="U3973" i="2" s="1"/>
  <c r="U3974" i="2"/>
  <c r="U3983" i="2"/>
  <c r="U3982" i="2"/>
  <c r="U3988" i="2" s="1"/>
  <c r="W3991" i="2"/>
  <c r="U3994" i="2"/>
  <c r="U3976" i="2" l="1"/>
  <c r="V3977" i="2" s="1"/>
  <c r="W4005" i="2"/>
  <c r="U4008" i="2"/>
  <c r="U3997" i="2"/>
  <c r="U3996" i="2"/>
  <c r="U3984" i="2"/>
  <c r="U3985" i="2" s="1"/>
  <c r="U3986" i="2" s="1"/>
  <c r="U3987" i="2" s="1"/>
  <c r="U3990" i="2" s="1"/>
  <c r="V3991" i="2" s="1"/>
  <c r="U3998" i="2" l="1"/>
  <c r="U3999" i="2" s="1"/>
  <c r="U4000" i="2" s="1"/>
  <c r="U4001" i="2" s="1"/>
  <c r="U4011" i="2"/>
  <c r="W4019" i="2"/>
  <c r="U4022" i="2"/>
  <c r="U4010" i="2"/>
  <c r="U4002" i="2"/>
  <c r="U4004" i="2" l="1"/>
  <c r="V4005" i="2" s="1"/>
  <c r="U4012" i="2"/>
  <c r="U4013" i="2" s="1"/>
  <c r="U4014" i="2" s="1"/>
  <c r="U4015" i="2" s="1"/>
  <c r="W4033" i="2"/>
  <c r="U4024" i="2"/>
  <c r="U4025" i="2"/>
  <c r="U4036" i="2"/>
  <c r="U4016" i="2"/>
  <c r="U4018" i="2" l="1"/>
  <c r="V4019" i="2" s="1"/>
  <c r="U4026" i="2"/>
  <c r="U4027" i="2" s="1"/>
  <c r="U4028" i="2" s="1"/>
  <c r="U4029" i="2" s="1"/>
  <c r="U4030" i="2"/>
  <c r="U4038" i="2"/>
  <c r="U4039" i="2"/>
  <c r="W4047" i="2"/>
  <c r="U4050" i="2"/>
  <c r="U4032" i="2" l="1"/>
  <c r="V4033" i="2" s="1"/>
  <c r="U4040" i="2"/>
  <c r="U4041" i="2" s="1"/>
  <c r="U4042" i="2" s="1"/>
  <c r="U4043" i="2" s="1"/>
  <c r="W4061" i="2"/>
  <c r="U4064" i="2"/>
  <c r="U4053" i="2"/>
  <c r="U4052" i="2"/>
  <c r="U4058" i="2" s="1"/>
  <c r="U4044" i="2"/>
  <c r="U4046" i="2" l="1"/>
  <c r="V4047" i="2" s="1"/>
  <c r="U4067" i="2"/>
  <c r="U4066" i="2"/>
  <c r="W4075" i="2"/>
  <c r="U4078" i="2"/>
  <c r="U4054" i="2"/>
  <c r="U4055" i="2" s="1"/>
  <c r="U4068" i="2" l="1"/>
  <c r="U4069" i="2" s="1"/>
  <c r="U4056" i="2"/>
  <c r="U4057" i="2" s="1"/>
  <c r="U4060" i="2" s="1"/>
  <c r="V4061" i="2" s="1"/>
  <c r="U4080" i="2"/>
  <c r="U4086" i="2" s="1"/>
  <c r="U4081" i="2"/>
  <c r="W4089" i="2"/>
  <c r="U4092" i="2"/>
  <c r="U4072" i="2"/>
  <c r="U4070" i="2" l="1"/>
  <c r="U4071" i="2" s="1"/>
  <c r="U4074" i="2" s="1"/>
  <c r="V4075" i="2" s="1"/>
  <c r="U4082" i="2"/>
  <c r="U4083" i="2" s="1"/>
  <c r="U4084" i="2" s="1"/>
  <c r="U4085" i="2" s="1"/>
  <c r="U4088" i="2" s="1"/>
  <c r="V4089" i="2" s="1"/>
  <c r="W4103" i="2"/>
  <c r="U4106" i="2"/>
  <c r="U4095" i="2"/>
  <c r="U4094" i="2"/>
  <c r="U4100" i="2" s="1"/>
  <c r="U4108" i="2" l="1"/>
  <c r="U4120" i="2"/>
  <c r="U4109" i="2"/>
  <c r="W4117" i="2"/>
  <c r="U4096" i="2"/>
  <c r="U4097" i="2" s="1"/>
  <c r="U4110" i="2" l="1"/>
  <c r="U4111" i="2" s="1"/>
  <c r="U4112" i="2" s="1"/>
  <c r="U4113" i="2" s="1"/>
  <c r="U4114" i="2"/>
  <c r="U4098" i="2"/>
  <c r="U4099" i="2" s="1"/>
  <c r="U4102" i="2" s="1"/>
  <c r="V4103" i="2" s="1"/>
  <c r="U4122" i="2"/>
  <c r="U4128" i="2" s="1"/>
  <c r="U4134" i="2"/>
  <c r="W4131" i="2"/>
  <c r="U4123" i="2"/>
  <c r="U4116" i="2" l="1"/>
  <c r="V4117" i="2" s="1"/>
  <c r="W4145" i="2"/>
  <c r="U4136" i="2"/>
  <c r="U4148" i="2"/>
  <c r="U4137" i="2"/>
  <c r="U4124" i="2"/>
  <c r="U4125" i="2" s="1"/>
  <c r="U4138" i="2" l="1"/>
  <c r="U4139" i="2" s="1"/>
  <c r="U4126" i="2"/>
  <c r="U4127" i="2" s="1"/>
  <c r="U4130" i="2" s="1"/>
  <c r="V4131" i="2" s="1"/>
  <c r="U4151" i="2"/>
  <c r="W4159" i="2"/>
  <c r="U4150" i="2"/>
  <c r="U4162" i="2"/>
  <c r="U4142" i="2"/>
  <c r="U4140" i="2" l="1"/>
  <c r="U4141" i="2" s="1"/>
  <c r="U4144" i="2" s="1"/>
  <c r="V4145" i="2" s="1"/>
  <c r="W4173" i="2"/>
  <c r="U4176" i="2"/>
  <c r="U4165" i="2"/>
  <c r="U4164" i="2"/>
  <c r="U4152" i="2"/>
  <c r="U4153" i="2" s="1"/>
  <c r="U4156" i="2"/>
  <c r="U4178" i="2" l="1"/>
  <c r="U4184" i="2" s="1"/>
  <c r="U4179" i="2"/>
  <c r="W4187" i="2"/>
  <c r="U4190" i="2"/>
  <c r="U4166" i="2"/>
  <c r="U4167" i="2" s="1"/>
  <c r="U4168" i="2" s="1"/>
  <c r="U4169" i="2" s="1"/>
  <c r="U4154" i="2"/>
  <c r="U4155" i="2" s="1"/>
  <c r="U4158" i="2" s="1"/>
  <c r="V4159" i="2" s="1"/>
  <c r="U4170" i="2"/>
  <c r="U4172" i="2" l="1"/>
  <c r="V4173" i="2" s="1"/>
  <c r="U4180" i="2"/>
  <c r="U4181" i="2" s="1"/>
  <c r="W4201" i="2"/>
  <c r="U4192" i="2"/>
  <c r="U4198" i="2" s="1"/>
  <c r="U4204" i="2"/>
  <c r="U4193" i="2"/>
  <c r="U4182" i="2" l="1"/>
  <c r="U4183" i="2" s="1"/>
  <c r="U4186" i="2" s="1"/>
  <c r="V4187" i="2" s="1"/>
  <c r="U4207" i="2"/>
  <c r="W4215" i="2"/>
  <c r="U4218" i="2"/>
  <c r="U4206" i="2"/>
  <c r="U4194" i="2"/>
  <c r="U4195" i="2" s="1"/>
  <c r="U4208" i="2" l="1"/>
  <c r="U4209" i="2" s="1"/>
  <c r="U4210" i="2" s="1"/>
  <c r="U4211" i="2" s="1"/>
  <c r="U4212" i="2"/>
  <c r="U4232" i="2"/>
  <c r="U4221" i="2"/>
  <c r="W4229" i="2"/>
  <c r="U4220" i="2"/>
  <c r="U4196" i="2"/>
  <c r="U4197" i="2" s="1"/>
  <c r="U4200" i="2" s="1"/>
  <c r="V4201" i="2" s="1"/>
  <c r="U4222" i="2" l="1"/>
  <c r="U4223" i="2" s="1"/>
  <c r="U4224" i="2" s="1"/>
  <c r="U4225" i="2" s="1"/>
  <c r="U4214" i="2"/>
  <c r="V4215" i="2" s="1"/>
  <c r="U4235" i="2"/>
  <c r="W4243" i="2"/>
  <c r="U4246" i="2"/>
  <c r="U4234" i="2"/>
  <c r="U4226" i="2"/>
  <c r="U4228" i="2" l="1"/>
  <c r="V4229" i="2" s="1"/>
  <c r="U4236" i="2"/>
  <c r="U4237" i="2" s="1"/>
  <c r="U4238" i="2" s="1"/>
  <c r="U4239" i="2" s="1"/>
  <c r="W4257" i="2"/>
  <c r="U4248" i="2"/>
  <c r="U4254" i="2" s="1"/>
  <c r="U4260" i="2"/>
  <c r="U4249" i="2"/>
  <c r="U4240" i="2"/>
  <c r="U4242" i="2" l="1"/>
  <c r="V4243" i="2" s="1"/>
  <c r="U4274" i="2"/>
  <c r="U4263" i="2"/>
  <c r="W4271" i="2"/>
  <c r="U4262" i="2"/>
  <c r="U4268" i="2" s="1"/>
  <c r="U4250" i="2"/>
  <c r="U4251" i="2" s="1"/>
  <c r="W4285" i="2" l="1"/>
  <c r="U4288" i="2"/>
  <c r="U4277" i="2"/>
  <c r="U4276" i="2"/>
  <c r="U4282" i="2" s="1"/>
  <c r="U4252" i="2"/>
  <c r="U4253" i="2" s="1"/>
  <c r="U4256" i="2" s="1"/>
  <c r="V4257" i="2" s="1"/>
  <c r="U4264" i="2"/>
  <c r="U4265" i="2" s="1"/>
  <c r="U4290" i="2" l="1"/>
  <c r="U4302" i="2"/>
  <c r="U4291" i="2"/>
  <c r="W4299" i="2"/>
  <c r="U4266" i="2"/>
  <c r="U4267" i="2" s="1"/>
  <c r="U4270" i="2" s="1"/>
  <c r="V4271" i="2" s="1"/>
  <c r="U4278" i="2"/>
  <c r="U4279" i="2" s="1"/>
  <c r="U4280" i="2" s="1"/>
  <c r="U4281" i="2" s="1"/>
  <c r="U4284" i="2" s="1"/>
  <c r="V4285" i="2" s="1"/>
  <c r="U4292" i="2" l="1"/>
  <c r="U4293" i="2" s="1"/>
  <c r="U4316" i="2"/>
  <c r="U4305" i="2"/>
  <c r="U4304" i="2"/>
  <c r="U4310" i="2" s="1"/>
  <c r="W4313" i="2"/>
  <c r="U4296" i="2"/>
  <c r="U4294" i="2" l="1"/>
  <c r="U4295" i="2" s="1"/>
  <c r="U4298" i="2" s="1"/>
  <c r="V4299" i="2" s="1"/>
  <c r="W4327" i="2"/>
  <c r="U4318" i="2"/>
  <c r="U4324" i="2" s="1"/>
  <c r="U4330" i="2"/>
  <c r="U4319" i="2"/>
  <c r="U4306" i="2"/>
  <c r="U4307" i="2" s="1"/>
  <c r="U4308" i="2" s="1"/>
  <c r="U4309" i="2" s="1"/>
  <c r="U4312" i="2" s="1"/>
  <c r="V4313" i="2" s="1"/>
  <c r="U4320" i="2" l="1"/>
  <c r="U4321" i="2" s="1"/>
  <c r="U4332" i="2"/>
  <c r="W4341" i="2"/>
  <c r="U4344" i="2"/>
  <c r="U4333" i="2"/>
  <c r="U4334" i="2" l="1"/>
  <c r="U4335" i="2" s="1"/>
  <c r="U4336" i="2" s="1"/>
  <c r="U4337" i="2" s="1"/>
  <c r="W4355" i="2"/>
  <c r="U4346" i="2"/>
  <c r="U4358" i="2"/>
  <c r="U4347" i="2"/>
  <c r="U4322" i="2"/>
  <c r="U4323" i="2" s="1"/>
  <c r="U4326" i="2" s="1"/>
  <c r="V4327" i="2" s="1"/>
  <c r="U4338" i="2"/>
  <c r="U4340" i="2" l="1"/>
  <c r="V4341" i="2" s="1"/>
  <c r="U4348" i="2"/>
  <c r="U4349" i="2" s="1"/>
  <c r="U4350" i="2" s="1"/>
  <c r="U4351" i="2" s="1"/>
  <c r="W4369" i="2"/>
  <c r="U4372" i="2"/>
  <c r="U4361" i="2"/>
  <c r="U4360" i="2"/>
  <c r="U4366" i="2" s="1"/>
  <c r="U4352" i="2"/>
  <c r="U4354" i="2" l="1"/>
  <c r="V4355" i="2" s="1"/>
  <c r="U4386" i="2"/>
  <c r="U4375" i="2"/>
  <c r="W4383" i="2"/>
  <c r="U4374" i="2"/>
  <c r="U4380" i="2" s="1"/>
  <c r="U4362" i="2"/>
  <c r="U4363" i="2" s="1"/>
  <c r="U4388" i="2" l="1"/>
  <c r="U4394" i="2" s="1"/>
  <c r="U4400" i="2"/>
  <c r="W4397" i="2"/>
  <c r="U4389" i="2"/>
  <c r="U4364" i="2"/>
  <c r="U4365" i="2" s="1"/>
  <c r="U4368" i="2" s="1"/>
  <c r="V4369" i="2" s="1"/>
  <c r="U4376" i="2"/>
  <c r="U4377" i="2" s="1"/>
  <c r="U4390" i="2" l="1"/>
  <c r="U4391" i="2" s="1"/>
  <c r="U4392" i="2" s="1"/>
  <c r="U4393" i="2" s="1"/>
  <c r="U4396" i="2" s="1"/>
  <c r="V4397" i="2" s="1"/>
  <c r="U4402" i="2"/>
  <c r="U4408" i="2" s="1"/>
  <c r="U4414" i="2"/>
  <c r="U4403" i="2"/>
  <c r="W4411" i="2"/>
  <c r="U4378" i="2"/>
  <c r="U4379" i="2" s="1"/>
  <c r="U4382" i="2" s="1"/>
  <c r="V4383" i="2" s="1"/>
  <c r="U4416" i="2" l="1"/>
  <c r="U4422" i="2" s="1"/>
  <c r="U4417" i="2"/>
  <c r="W4425" i="2"/>
  <c r="U4428" i="2"/>
  <c r="U4404" i="2"/>
  <c r="U4405" i="2" s="1"/>
  <c r="U4406" i="2" s="1"/>
  <c r="U4407" i="2" s="1"/>
  <c r="U4410" i="2" s="1"/>
  <c r="V4411" i="2" s="1"/>
  <c r="U4418" i="2" l="1"/>
  <c r="U4419" i="2" s="1"/>
  <c r="U4420" i="2" s="1"/>
  <c r="U4421" i="2" s="1"/>
  <c r="U4424" i="2" s="1"/>
  <c r="V4425" i="2" s="1"/>
  <c r="U4431" i="2"/>
  <c r="U4430" i="2"/>
  <c r="U4436" i="2" s="1"/>
  <c r="W4439" i="2"/>
  <c r="U4442" i="2"/>
  <c r="W4453" i="2" l="1"/>
  <c r="U4456" i="2"/>
  <c r="U4445" i="2"/>
  <c r="U4444" i="2"/>
  <c r="U4450" i="2" s="1"/>
  <c r="U4432" i="2"/>
  <c r="U4433" i="2" s="1"/>
  <c r="U4434" i="2" l="1"/>
  <c r="U4435" i="2" s="1"/>
  <c r="U4438" i="2" s="1"/>
  <c r="V4439" i="2" s="1"/>
  <c r="U4458" i="2"/>
  <c r="U4464" i="2" s="1"/>
  <c r="U4459" i="2"/>
  <c r="W4467" i="2"/>
  <c r="U4470" i="2"/>
  <c r="U4446" i="2"/>
  <c r="U4447" i="2" s="1"/>
  <c r="U4484" i="2" l="1"/>
  <c r="U4473" i="2"/>
  <c r="W4481" i="2"/>
  <c r="U4472" i="2"/>
  <c r="U4448" i="2"/>
  <c r="U4449" i="2" s="1"/>
  <c r="U4452" i="2" s="1"/>
  <c r="V4453" i="2" s="1"/>
  <c r="U4460" i="2"/>
  <c r="U4461" i="2" s="1"/>
  <c r="U4462" i="2" s="1"/>
  <c r="U4463" i="2" s="1"/>
  <c r="U4466" i="2" s="1"/>
  <c r="V4467" i="2" s="1"/>
  <c r="U4474" i="2" l="1"/>
  <c r="U4475" i="2" s="1"/>
  <c r="U4476" i="2" s="1"/>
  <c r="U4477" i="2" s="1"/>
  <c r="U4498" i="2"/>
  <c r="W4495" i="2"/>
  <c r="U4487" i="2"/>
  <c r="U4486" i="2"/>
  <c r="U4492" i="2" s="1"/>
  <c r="U4478" i="2"/>
  <c r="U4480" i="2" l="1"/>
  <c r="V4481" i="2" s="1"/>
  <c r="W4509" i="2"/>
  <c r="U4512" i="2"/>
  <c r="U4501" i="2"/>
  <c r="U4500" i="2"/>
  <c r="U4506" i="2" s="1"/>
  <c r="U4488" i="2"/>
  <c r="U4489" i="2" s="1"/>
  <c r="U4490" i="2" s="1"/>
  <c r="U4491" i="2" s="1"/>
  <c r="U4494" i="2" s="1"/>
  <c r="V4495" i="2" s="1"/>
  <c r="U4514" i="2" l="1"/>
  <c r="U4520" i="2" s="1"/>
  <c r="W4523" i="2"/>
  <c r="U4526" i="2"/>
  <c r="U4515" i="2"/>
  <c r="U4502" i="2"/>
  <c r="U4503" i="2" s="1"/>
  <c r="U4504" i="2" l="1"/>
  <c r="U4505" i="2" s="1"/>
  <c r="U4508" i="2" s="1"/>
  <c r="V4509" i="2" s="1"/>
  <c r="U4528" i="2"/>
  <c r="U4534" i="2" s="1"/>
  <c r="W4537" i="2"/>
  <c r="U4540" i="2"/>
  <c r="U4529" i="2"/>
  <c r="U4516" i="2"/>
  <c r="U4517" i="2" s="1"/>
  <c r="U4518" i="2" s="1"/>
  <c r="U4519" i="2" s="1"/>
  <c r="U4522" i="2" s="1"/>
  <c r="V4523" i="2" s="1"/>
  <c r="U4543" i="2" l="1"/>
  <c r="W4551" i="2"/>
  <c r="U4542" i="2"/>
  <c r="U4548" i="2" s="1"/>
  <c r="U4554" i="2"/>
  <c r="U4530" i="2"/>
  <c r="U4531" i="2" s="1"/>
  <c r="U4532" i="2" s="1"/>
  <c r="U4533" i="2" s="1"/>
  <c r="U4536" i="2" s="1"/>
  <c r="V4537" i="2" s="1"/>
  <c r="U4544" i="2" l="1"/>
  <c r="U4545" i="2" s="1"/>
  <c r="U4568" i="2"/>
  <c r="U4556" i="2"/>
  <c r="W4565" i="2"/>
  <c r="U4557" i="2"/>
  <c r="U4558" i="2" l="1"/>
  <c r="U4559" i="2" s="1"/>
  <c r="U4560" i="2" s="1"/>
  <c r="U4561" i="2" s="1"/>
  <c r="U4546" i="2"/>
  <c r="U4547" i="2" s="1"/>
  <c r="U4550" i="2" s="1"/>
  <c r="V4551" i="2" s="1"/>
  <c r="W4579" i="2"/>
  <c r="U4570" i="2"/>
  <c r="U4576" i="2" s="1"/>
  <c r="U4582" i="2"/>
  <c r="U4571" i="2"/>
  <c r="U4562" i="2"/>
  <c r="U4564" i="2" l="1"/>
  <c r="V4565" i="2" s="1"/>
  <c r="U4585" i="2"/>
  <c r="W4593" i="2"/>
  <c r="U4584" i="2"/>
  <c r="U4590" i="2" s="1"/>
  <c r="U4596" i="2"/>
  <c r="U4572" i="2"/>
  <c r="U4573" i="2" s="1"/>
  <c r="U4574" i="2" l="1"/>
  <c r="U4575" i="2" s="1"/>
  <c r="U4578" i="2" s="1"/>
  <c r="V4579" i="2" s="1"/>
  <c r="U4610" i="2"/>
  <c r="U4598" i="2"/>
  <c r="U4599" i="2"/>
  <c r="W4607" i="2"/>
  <c r="U4586" i="2"/>
  <c r="U4587" i="2" s="1"/>
  <c r="U4588" i="2" s="1"/>
  <c r="U4589" i="2" s="1"/>
  <c r="U4592" i="2" s="1"/>
  <c r="V4593" i="2" s="1"/>
  <c r="U4600" i="2" l="1"/>
  <c r="U4601" i="2" s="1"/>
  <c r="U4602" i="2" s="1"/>
  <c r="U4603" i="2" s="1"/>
  <c r="W4621" i="2"/>
  <c r="U4624" i="2"/>
  <c r="U4613" i="2"/>
  <c r="U4612" i="2"/>
  <c r="U4604" i="2"/>
  <c r="U4606" i="2" l="1"/>
  <c r="V4607" i="2" s="1"/>
  <c r="U4627" i="2"/>
  <c r="W4635" i="2"/>
  <c r="U4626" i="2"/>
  <c r="U4632" i="2" s="1"/>
  <c r="U4638" i="2"/>
  <c r="U4614" i="2"/>
  <c r="U4615" i="2" s="1"/>
  <c r="U4618" i="2"/>
  <c r="U4616" i="2" l="1"/>
  <c r="U4617" i="2" s="1"/>
  <c r="U4620" i="2" s="1"/>
  <c r="V4621" i="2" s="1"/>
  <c r="U4640" i="2"/>
  <c r="U4646" i="2" s="1"/>
  <c r="W4649" i="2"/>
  <c r="U4652" i="2"/>
  <c r="U4641" i="2"/>
  <c r="U4628" i="2"/>
  <c r="U4629" i="2" s="1"/>
  <c r="U4655" i="2" l="1"/>
  <c r="U4654" i="2"/>
  <c r="W4663" i="2"/>
  <c r="U4630" i="2"/>
  <c r="U4631" i="2" s="1"/>
  <c r="U4634" i="2" s="1"/>
  <c r="V4635" i="2" s="1"/>
  <c r="U4642" i="2"/>
  <c r="U4643" i="2" s="1"/>
  <c r="U4644" i="2" s="1"/>
  <c r="U4645" i="2" s="1"/>
  <c r="U4648" i="2" s="1"/>
  <c r="V4649" i="2" s="1"/>
  <c r="U4656" i="2" l="1"/>
  <c r="U4657" i="2" s="1"/>
  <c r="U4660" i="2"/>
  <c r="U4658" i="2" l="1"/>
  <c r="U4659" i="2" s="1"/>
  <c r="U4662" i="2" s="1"/>
  <c r="V4663" i="2" s="1"/>
  <c r="W18" i="2" s="1"/>
  <c r="W19" i="2" l="1"/>
  <c r="F40" i="3" s="1"/>
  <c r="W20" i="2"/>
  <c r="E44" i="3" l="1"/>
  <c r="E41" i="3" s="1"/>
  <c r="E40" i="3"/>
  <c r="D44" i="3" s="1"/>
  <c r="D41" i="3" s="1"/>
  <c r="X33" i="2"/>
  <c r="X35" i="2" l="1"/>
  <c r="X41" i="2" s="1"/>
  <c r="X46" i="2"/>
  <c r="X36" i="2"/>
  <c r="Z44" i="2"/>
  <c r="X48" i="2" l="1"/>
  <c r="X49" i="2"/>
  <c r="X60" i="2"/>
  <c r="Z57" i="2"/>
  <c r="X37" i="2"/>
  <c r="X38" i="2" s="1"/>
  <c r="X39" i="2" s="1"/>
  <c r="X40" i="2" s="1"/>
  <c r="X43" i="2" s="1"/>
  <c r="Y44" i="2" s="1"/>
  <c r="X50" i="2" l="1"/>
  <c r="X51" i="2" s="1"/>
  <c r="X52" i="2" s="1"/>
  <c r="X53" i="2" s="1"/>
  <c r="Z71" i="2"/>
  <c r="X74" i="2"/>
  <c r="X63" i="2"/>
  <c r="X62" i="2"/>
  <c r="X68" i="2" s="1"/>
  <c r="X54" i="2"/>
  <c r="X56" i="2" l="1"/>
  <c r="Y57" i="2" s="1"/>
  <c r="X88" i="2"/>
  <c r="Z85" i="2"/>
  <c r="X77" i="2"/>
  <c r="X76" i="2"/>
  <c r="X82" i="2" s="1"/>
  <c r="X64" i="2"/>
  <c r="X65" i="2" s="1"/>
  <c r="X90" i="2" l="1"/>
  <c r="Z99" i="2"/>
  <c r="X91" i="2"/>
  <c r="X102" i="2"/>
  <c r="X66" i="2"/>
  <c r="X67" i="2" s="1"/>
  <c r="X70" i="2" s="1"/>
  <c r="Y71" i="2" s="1"/>
  <c r="X78" i="2"/>
  <c r="X79" i="2" s="1"/>
  <c r="X80" i="2" s="1"/>
  <c r="X81" i="2" s="1"/>
  <c r="X84" i="2" s="1"/>
  <c r="Y85" i="2" s="1"/>
  <c r="X92" i="2" l="1"/>
  <c r="X93" i="2" s="1"/>
  <c r="X94" i="2" s="1"/>
  <c r="X95" i="2" s="1"/>
  <c r="X105" i="2"/>
  <c r="X104" i="2"/>
  <c r="X110" i="2" s="1"/>
  <c r="X116" i="2"/>
  <c r="Z113" i="2"/>
  <c r="X96" i="2"/>
  <c r="X98" i="2" l="1"/>
  <c r="Y99" i="2" s="1"/>
  <c r="Z127" i="2"/>
  <c r="X119" i="2"/>
  <c r="X130" i="2"/>
  <c r="X118" i="2"/>
  <c r="X106" i="2"/>
  <c r="X107" i="2" s="1"/>
  <c r="X108" i="2" s="1"/>
  <c r="X109" i="2" s="1"/>
  <c r="X112" i="2" s="1"/>
  <c r="Y113" i="2" s="1"/>
  <c r="X120" i="2" l="1"/>
  <c r="X121" i="2" s="1"/>
  <c r="X122" i="2" s="1"/>
  <c r="X123" i="2" s="1"/>
  <c r="X124" i="2"/>
  <c r="X132" i="2"/>
  <c r="X138" i="2" s="1"/>
  <c r="X133" i="2"/>
  <c r="X144" i="2"/>
  <c r="Z141" i="2"/>
  <c r="X126" i="2" l="1"/>
  <c r="Y127" i="2" s="1"/>
  <c r="X134" i="2"/>
  <c r="X135" i="2" s="1"/>
  <c r="X136" i="2" s="1"/>
  <c r="X137" i="2" s="1"/>
  <c r="X140" i="2" s="1"/>
  <c r="Y141" i="2" s="1"/>
  <c r="Z155" i="2"/>
  <c r="X146" i="2"/>
  <c r="X152" i="2" s="1"/>
  <c r="X147" i="2"/>
  <c r="X158" i="2"/>
  <c r="X161" i="2" l="1"/>
  <c r="X172" i="2"/>
  <c r="X160" i="2"/>
  <c r="X166" i="2" s="1"/>
  <c r="Z169" i="2"/>
  <c r="X148" i="2"/>
  <c r="X149" i="2" s="1"/>
  <c r="X150" i="2" s="1"/>
  <c r="X151" i="2" s="1"/>
  <c r="X154" i="2" s="1"/>
  <c r="Y155" i="2" s="1"/>
  <c r="X175" i="2" l="1"/>
  <c r="X186" i="2"/>
  <c r="Z183" i="2"/>
  <c r="X174" i="2"/>
  <c r="X180" i="2" s="1"/>
  <c r="X162" i="2"/>
  <c r="X163" i="2" s="1"/>
  <c r="X164" i="2" s="1"/>
  <c r="X165" i="2" s="1"/>
  <c r="X168" i="2" s="1"/>
  <c r="Y169" i="2" s="1"/>
  <c r="X189" i="2" l="1"/>
  <c r="X188" i="2"/>
  <c r="X194" i="2" s="1"/>
  <c r="X200" i="2"/>
  <c r="Z197" i="2"/>
  <c r="X176" i="2"/>
  <c r="X177" i="2" s="1"/>
  <c r="X178" i="2" s="1"/>
  <c r="X179" i="2" s="1"/>
  <c r="X182" i="2" s="1"/>
  <c r="Y183" i="2" s="1"/>
  <c r="X203" i="2" l="1"/>
  <c r="Z211" i="2"/>
  <c r="X202" i="2"/>
  <c r="X208" i="2" s="1"/>
  <c r="X214" i="2"/>
  <c r="X190" i="2"/>
  <c r="X191" i="2" s="1"/>
  <c r="X192" i="2" s="1"/>
  <c r="X193" i="2" s="1"/>
  <c r="X196" i="2" s="1"/>
  <c r="Y197" i="2" s="1"/>
  <c r="X216" i="2" l="1"/>
  <c r="X222" i="2" s="1"/>
  <c r="Z225" i="2"/>
  <c r="X228" i="2"/>
  <c r="X217" i="2"/>
  <c r="X204" i="2"/>
  <c r="X205" i="2" s="1"/>
  <c r="X206" i="2" l="1"/>
  <c r="X207" i="2" s="1"/>
  <c r="X210" i="2" s="1"/>
  <c r="Y211" i="2" s="1"/>
  <c r="X242" i="2"/>
  <c r="X230" i="2"/>
  <c r="X236" i="2" s="1"/>
  <c r="Z239" i="2"/>
  <c r="X231" i="2"/>
  <c r="X218" i="2"/>
  <c r="X219" i="2" s="1"/>
  <c r="X245" i="2" l="1"/>
  <c r="X244" i="2"/>
  <c r="X250" i="2" s="1"/>
  <c r="X256" i="2"/>
  <c r="Z253" i="2"/>
  <c r="X220" i="2"/>
  <c r="X221" i="2" s="1"/>
  <c r="X224" i="2" s="1"/>
  <c r="Y225" i="2" s="1"/>
  <c r="X232" i="2"/>
  <c r="X233" i="2" s="1"/>
  <c r="X246" i="2" l="1"/>
  <c r="X247" i="2" s="1"/>
  <c r="X248" i="2" s="1"/>
  <c r="X249" i="2" s="1"/>
  <c r="X252" i="2" s="1"/>
  <c r="Y253" i="2" s="1"/>
  <c r="Z267" i="2"/>
  <c r="X270" i="2"/>
  <c r="X259" i="2"/>
  <c r="X258" i="2"/>
  <c r="X234" i="2"/>
  <c r="X235" i="2" s="1"/>
  <c r="X238" i="2" s="1"/>
  <c r="Y239" i="2" s="1"/>
  <c r="X260" i="2" l="1"/>
  <c r="X261" i="2" s="1"/>
  <c r="X262" i="2" s="1"/>
  <c r="X263" i="2" s="1"/>
  <c r="X272" i="2"/>
  <c r="X278" i="2" s="1"/>
  <c r="X284" i="2"/>
  <c r="Z281" i="2"/>
  <c r="X273" i="2"/>
  <c r="X264" i="2"/>
  <c r="X266" i="2" l="1"/>
  <c r="Y267" i="2" s="1"/>
  <c r="X286" i="2"/>
  <c r="X292" i="2" s="1"/>
  <c r="X287" i="2"/>
  <c r="Z295" i="2"/>
  <c r="X298" i="2"/>
  <c r="X274" i="2"/>
  <c r="X275" i="2" s="1"/>
  <c r="X288" i="2" l="1"/>
  <c r="X289" i="2" s="1"/>
  <c r="X290" i="2" s="1"/>
  <c r="X291" i="2" s="1"/>
  <c r="X294" i="2" s="1"/>
  <c r="Y295" i="2" s="1"/>
  <c r="X276" i="2"/>
  <c r="X277" i="2" s="1"/>
  <c r="X280" i="2" s="1"/>
  <c r="Y281" i="2" s="1"/>
  <c r="Z309" i="2"/>
  <c r="X301" i="2"/>
  <c r="X300" i="2"/>
  <c r="X312" i="2"/>
  <c r="X302" i="2" l="1"/>
  <c r="X303" i="2" s="1"/>
  <c r="X304" i="2" s="1"/>
  <c r="X305" i="2" s="1"/>
  <c r="X315" i="2"/>
  <c r="X314" i="2"/>
  <c r="Z323" i="2"/>
  <c r="X326" i="2"/>
  <c r="X306" i="2"/>
  <c r="X308" i="2" l="1"/>
  <c r="Y309" i="2" s="1"/>
  <c r="X316" i="2"/>
  <c r="X317" i="2" s="1"/>
  <c r="X318" i="2" s="1"/>
  <c r="X319" i="2" s="1"/>
  <c r="X340" i="2"/>
  <c r="X328" i="2"/>
  <c r="X334" i="2" s="1"/>
  <c r="Z337" i="2"/>
  <c r="X329" i="2"/>
  <c r="X320" i="2"/>
  <c r="X322" i="2" l="1"/>
  <c r="Y323" i="2" s="1"/>
  <c r="X330" i="2"/>
  <c r="X331" i="2" s="1"/>
  <c r="X332" i="2" s="1"/>
  <c r="X333" i="2" s="1"/>
  <c r="X336" i="2" s="1"/>
  <c r="Y337" i="2" s="1"/>
  <c r="X343" i="2"/>
  <c r="X354" i="2"/>
  <c r="X342" i="2"/>
  <c r="X348" i="2" s="1"/>
  <c r="Z351" i="2"/>
  <c r="X368" i="2" l="1"/>
  <c r="X357" i="2"/>
  <c r="X356" i="2"/>
  <c r="X362" i="2" s="1"/>
  <c r="Z365" i="2"/>
  <c r="X344" i="2"/>
  <c r="X345" i="2" s="1"/>
  <c r="X371" i="2" l="1"/>
  <c r="X370" i="2"/>
  <c r="X382" i="2"/>
  <c r="Z379" i="2"/>
  <c r="X346" i="2"/>
  <c r="X347" i="2" s="1"/>
  <c r="X350" i="2" s="1"/>
  <c r="Y351" i="2" s="1"/>
  <c r="X358" i="2"/>
  <c r="X359" i="2" s="1"/>
  <c r="X360" i="2" s="1"/>
  <c r="X361" i="2" s="1"/>
  <c r="X364" i="2" s="1"/>
  <c r="Y365" i="2" s="1"/>
  <c r="X372" i="2" l="1"/>
  <c r="X373" i="2" s="1"/>
  <c r="X376" i="2"/>
  <c r="X384" i="2"/>
  <c r="X390" i="2" s="1"/>
  <c r="X396" i="2"/>
  <c r="X385" i="2"/>
  <c r="Z393" i="2"/>
  <c r="X374" i="2" l="1"/>
  <c r="X375" i="2" s="1"/>
  <c r="X378" i="2" s="1"/>
  <c r="Y379" i="2" s="1"/>
  <c r="Z407" i="2"/>
  <c r="X399" i="2"/>
  <c r="X410" i="2"/>
  <c r="X398" i="2"/>
  <c r="X386" i="2"/>
  <c r="X387" i="2" s="1"/>
  <c r="X388" i="2" s="1"/>
  <c r="X389" i="2" s="1"/>
  <c r="X392" i="2" s="1"/>
  <c r="Y393" i="2" s="1"/>
  <c r="X400" i="2" l="1"/>
  <c r="X401" i="2" s="1"/>
  <c r="X402" i="2" s="1"/>
  <c r="X403" i="2" s="1"/>
  <c r="X413" i="2"/>
  <c r="X412" i="2"/>
  <c r="X418" i="2" s="1"/>
  <c r="Z421" i="2"/>
  <c r="X424" i="2"/>
  <c r="X404" i="2"/>
  <c r="X406" i="2" l="1"/>
  <c r="Y407" i="2" s="1"/>
  <c r="X426" i="2"/>
  <c r="X432" i="2" s="1"/>
  <c r="X438" i="2"/>
  <c r="Z435" i="2"/>
  <c r="X427" i="2"/>
  <c r="X414" i="2"/>
  <c r="X415" i="2" s="1"/>
  <c r="X416" i="2" s="1"/>
  <c r="X417" i="2" s="1"/>
  <c r="X420" i="2" s="1"/>
  <c r="Y421" i="2" s="1"/>
  <c r="X428" i="2" l="1"/>
  <c r="X429" i="2" s="1"/>
  <c r="X430" i="2" s="1"/>
  <c r="X431" i="2" s="1"/>
  <c r="X434" i="2" s="1"/>
  <c r="Y435" i="2" s="1"/>
  <c r="X440" i="2"/>
  <c r="X446" i="2" s="1"/>
  <c r="Z449" i="2"/>
  <c r="X452" i="2"/>
  <c r="X441" i="2"/>
  <c r="X442" i="2" l="1"/>
  <c r="X443" i="2" s="1"/>
  <c r="X444" i="2" s="1"/>
  <c r="X445" i="2" s="1"/>
  <c r="X448" i="2" s="1"/>
  <c r="Y449" i="2" s="1"/>
  <c r="Z463" i="2"/>
  <c r="X466" i="2"/>
  <c r="X455" i="2"/>
  <c r="X454" i="2"/>
  <c r="X460" i="2" s="1"/>
  <c r="Z477" i="2" l="1"/>
  <c r="X469" i="2"/>
  <c r="X468" i="2"/>
  <c r="X474" i="2" s="1"/>
  <c r="X480" i="2"/>
  <c r="X456" i="2"/>
  <c r="X457" i="2" s="1"/>
  <c r="X458" i="2" s="1"/>
  <c r="X459" i="2" s="1"/>
  <c r="X462" i="2" s="1"/>
  <c r="Y463" i="2" s="1"/>
  <c r="X483" i="2" l="1"/>
  <c r="X482" i="2"/>
  <c r="Z491" i="2"/>
  <c r="X494" i="2"/>
  <c r="X470" i="2"/>
  <c r="X471" i="2" s="1"/>
  <c r="X472" i="2" l="1"/>
  <c r="X473" i="2" s="1"/>
  <c r="X476" i="2" s="1"/>
  <c r="Y477" i="2" s="1"/>
  <c r="Z505" i="2"/>
  <c r="X497" i="2"/>
  <c r="X496" i="2"/>
  <c r="X508" i="2"/>
  <c r="X484" i="2"/>
  <c r="X485" i="2" s="1"/>
  <c r="X486" i="2" s="1"/>
  <c r="X487" i="2" s="1"/>
  <c r="X490" i="2" s="1"/>
  <c r="Y491" i="2" s="1"/>
  <c r="X488" i="2"/>
  <c r="X498" i="2" l="1"/>
  <c r="X499" i="2" s="1"/>
  <c r="X500" i="2" s="1"/>
  <c r="X501" i="2" s="1"/>
  <c r="X511" i="2"/>
  <c r="X510" i="2"/>
  <c r="X522" i="2"/>
  <c r="Z519" i="2"/>
  <c r="X502" i="2"/>
  <c r="X504" i="2" l="1"/>
  <c r="Y505" i="2" s="1"/>
  <c r="X512" i="2"/>
  <c r="X513" i="2" s="1"/>
  <c r="X514" i="2" s="1"/>
  <c r="X515" i="2" s="1"/>
  <c r="X536" i="2"/>
  <c r="X524" i="2"/>
  <c r="X530" i="2" s="1"/>
  <c r="Z533" i="2"/>
  <c r="X525" i="2"/>
  <c r="X516" i="2"/>
  <c r="X518" i="2" l="1"/>
  <c r="Y519" i="2" s="1"/>
  <c r="X538" i="2"/>
  <c r="X539" i="2"/>
  <c r="X550" i="2"/>
  <c r="Z547" i="2"/>
  <c r="X526" i="2"/>
  <c r="X527" i="2" s="1"/>
  <c r="X540" i="2" l="1"/>
  <c r="X541" i="2" s="1"/>
  <c r="X542" i="2" s="1"/>
  <c r="X543" i="2" s="1"/>
  <c r="X528" i="2"/>
  <c r="X529" i="2" s="1"/>
  <c r="X532" i="2" s="1"/>
  <c r="Y533" i="2" s="1"/>
  <c r="X564" i="2"/>
  <c r="Z561" i="2"/>
  <c r="X553" i="2"/>
  <c r="X552" i="2"/>
  <c r="X558" i="2" s="1"/>
  <c r="X544" i="2"/>
  <c r="X546" i="2" l="1"/>
  <c r="Y547" i="2" s="1"/>
  <c r="X566" i="2"/>
  <c r="X572" i="2" s="1"/>
  <c r="Z575" i="2"/>
  <c r="X567" i="2"/>
  <c r="X578" i="2"/>
  <c r="X554" i="2"/>
  <c r="X555" i="2" s="1"/>
  <c r="X556" i="2" s="1"/>
  <c r="X557" i="2" s="1"/>
  <c r="X560" i="2" s="1"/>
  <c r="Y561" i="2" s="1"/>
  <c r="X568" i="2" l="1"/>
  <c r="X569" i="2" s="1"/>
  <c r="X570" i="2" s="1"/>
  <c r="X571" i="2" s="1"/>
  <c r="X574" i="2" s="1"/>
  <c r="Y575" i="2" s="1"/>
  <c r="X592" i="2"/>
  <c r="X580" i="2"/>
  <c r="Z589" i="2"/>
  <c r="X581" i="2"/>
  <c r="X594" i="2" l="1"/>
  <c r="X595" i="2"/>
  <c r="X606" i="2"/>
  <c r="Z603" i="2"/>
  <c r="X586" i="2"/>
  <c r="X582" i="2"/>
  <c r="X583" i="2" s="1"/>
  <c r="X584" i="2" s="1"/>
  <c r="X585" i="2" s="1"/>
  <c r="X596" i="2" l="1"/>
  <c r="X597" i="2" s="1"/>
  <c r="X598" i="2" s="1"/>
  <c r="X599" i="2" s="1"/>
  <c r="X588" i="2"/>
  <c r="Y589" i="2" s="1"/>
  <c r="X600" i="2"/>
  <c r="X620" i="2"/>
  <c r="X608" i="2"/>
  <c r="X609" i="2"/>
  <c r="Z617" i="2"/>
  <c r="X602" i="2" l="1"/>
  <c r="Y603" i="2" s="1"/>
  <c r="X610" i="2"/>
  <c r="X611" i="2" s="1"/>
  <c r="X612" i="2" s="1"/>
  <c r="X613" i="2" s="1"/>
  <c r="X622" i="2"/>
  <c r="X628" i="2" s="1"/>
  <c r="X634" i="2"/>
  <c r="Z631" i="2"/>
  <c r="X623" i="2"/>
  <c r="X614" i="2"/>
  <c r="X616" i="2" l="1"/>
  <c r="Y617" i="2" s="1"/>
  <c r="X624" i="2"/>
  <c r="X625" i="2" s="1"/>
  <c r="X626" i="2" s="1"/>
  <c r="X627" i="2" s="1"/>
  <c r="X630" i="2" s="1"/>
  <c r="Y631" i="2" s="1"/>
  <c r="Z645" i="2"/>
  <c r="X648" i="2"/>
  <c r="X636" i="2"/>
  <c r="X642" i="2" s="1"/>
  <c r="X637" i="2"/>
  <c r="X662" i="2" l="1"/>
  <c r="X650" i="2"/>
  <c r="Z659" i="2"/>
  <c r="X651" i="2"/>
  <c r="X638" i="2"/>
  <c r="X639" i="2" s="1"/>
  <c r="X640" i="2" s="1"/>
  <c r="X641" i="2" s="1"/>
  <c r="X644" i="2" s="1"/>
  <c r="Y645" i="2" s="1"/>
  <c r="X652" i="2" l="1"/>
  <c r="X653" i="2" s="1"/>
  <c r="X654" i="2" s="1"/>
  <c r="X655" i="2" s="1"/>
  <c r="Z673" i="2"/>
  <c r="X665" i="2"/>
  <c r="X676" i="2"/>
  <c r="X664" i="2"/>
  <c r="X670" i="2" s="1"/>
  <c r="X656" i="2"/>
  <c r="X658" i="2" l="1"/>
  <c r="Y659" i="2" s="1"/>
  <c r="X678" i="2"/>
  <c r="X690" i="2"/>
  <c r="Z687" i="2"/>
  <c r="X679" i="2"/>
  <c r="X666" i="2"/>
  <c r="X667" i="2" s="1"/>
  <c r="X668" i="2" s="1"/>
  <c r="X669" i="2" s="1"/>
  <c r="X672" i="2" s="1"/>
  <c r="Y673" i="2" s="1"/>
  <c r="X693" i="2" l="1"/>
  <c r="Z701" i="2"/>
  <c r="X704" i="2"/>
  <c r="X692" i="2"/>
  <c r="X698" i="2" s="1"/>
  <c r="X680" i="2"/>
  <c r="X681" i="2" s="1"/>
  <c r="X684" i="2"/>
  <c r="X682" i="2" l="1"/>
  <c r="X683" i="2" s="1"/>
  <c r="X686" i="2" s="1"/>
  <c r="Y687" i="2" s="1"/>
  <c r="Z715" i="2"/>
  <c r="X707" i="2"/>
  <c r="X718" i="2"/>
  <c r="X706" i="2"/>
  <c r="X694" i="2"/>
  <c r="X695" i="2" s="1"/>
  <c r="X732" i="2" l="1"/>
  <c r="X720" i="2"/>
  <c r="Z729" i="2"/>
  <c r="X721" i="2"/>
  <c r="X708" i="2"/>
  <c r="X709" i="2" s="1"/>
  <c r="X696" i="2"/>
  <c r="X697" i="2" s="1"/>
  <c r="X700" i="2" s="1"/>
  <c r="Y701" i="2" s="1"/>
  <c r="X712" i="2"/>
  <c r="X722" i="2" l="1"/>
  <c r="X723" i="2" s="1"/>
  <c r="X724" i="2" s="1"/>
  <c r="X725" i="2" s="1"/>
  <c r="X734" i="2"/>
  <c r="X740" i="2" s="1"/>
  <c r="X746" i="2"/>
  <c r="Z743" i="2"/>
  <c r="X735" i="2"/>
  <c r="X726" i="2"/>
  <c r="X710" i="2"/>
  <c r="X711" i="2" s="1"/>
  <c r="X714" i="2" s="1"/>
  <c r="Y715" i="2" s="1"/>
  <c r="X728" i="2" l="1"/>
  <c r="Y729" i="2" s="1"/>
  <c r="X748" i="2"/>
  <c r="Z757" i="2"/>
  <c r="X760" i="2"/>
  <c r="X749" i="2"/>
  <c r="X736" i="2"/>
  <c r="X737" i="2" s="1"/>
  <c r="X738" i="2" s="1"/>
  <c r="X739" i="2" s="1"/>
  <c r="X742" i="2" s="1"/>
  <c r="Y743" i="2" s="1"/>
  <c r="X750" i="2" l="1"/>
  <c r="X751" i="2" s="1"/>
  <c r="X752" i="2" s="1"/>
  <c r="X753" i="2" s="1"/>
  <c r="X754" i="2"/>
  <c r="Z771" i="2"/>
  <c r="X763" i="2"/>
  <c r="X774" i="2"/>
  <c r="X762" i="2"/>
  <c r="X756" i="2" l="1"/>
  <c r="Y757" i="2" s="1"/>
  <c r="X764" i="2"/>
  <c r="X765" i="2" s="1"/>
  <c r="X766" i="2" s="1"/>
  <c r="X767" i="2" s="1"/>
  <c r="X768" i="2"/>
  <c r="Z785" i="2"/>
  <c r="X788" i="2"/>
  <c r="X776" i="2"/>
  <c r="X782" i="2" s="1"/>
  <c r="X777" i="2"/>
  <c r="X770" i="2" l="1"/>
  <c r="Y771" i="2" s="1"/>
  <c r="X778" i="2"/>
  <c r="X779" i="2" s="1"/>
  <c r="X780" i="2" s="1"/>
  <c r="X781" i="2" s="1"/>
  <c r="X784" i="2" s="1"/>
  <c r="Y785" i="2" s="1"/>
  <c r="Z799" i="2"/>
  <c r="X791" i="2"/>
  <c r="X790" i="2"/>
  <c r="X796" i="2" s="1"/>
  <c r="X802" i="2"/>
  <c r="X805" i="2" l="1"/>
  <c r="X816" i="2"/>
  <c r="X804" i="2"/>
  <c r="Z813" i="2"/>
  <c r="X792" i="2"/>
  <c r="X793" i="2" s="1"/>
  <c r="X794" i="2" s="1"/>
  <c r="X795" i="2" s="1"/>
  <c r="X798" i="2" s="1"/>
  <c r="Y799" i="2" s="1"/>
  <c r="X806" i="2" l="1"/>
  <c r="X807" i="2" s="1"/>
  <c r="X808" i="2" s="1"/>
  <c r="X809" i="2" s="1"/>
  <c r="X830" i="2"/>
  <c r="X818" i="2"/>
  <c r="X824" i="2" s="1"/>
  <c r="Z827" i="2"/>
  <c r="X819" i="2"/>
  <c r="X810" i="2"/>
  <c r="X812" i="2" l="1"/>
  <c r="Y813" i="2" s="1"/>
  <c r="Z841" i="2"/>
  <c r="X832" i="2"/>
  <c r="X833" i="2"/>
  <c r="X844" i="2"/>
  <c r="X820" i="2"/>
  <c r="X821" i="2" s="1"/>
  <c r="X822" i="2" s="1"/>
  <c r="X823" i="2" s="1"/>
  <c r="X826" i="2" s="1"/>
  <c r="Y827" i="2" s="1"/>
  <c r="X834" i="2" l="1"/>
  <c r="X835" i="2" s="1"/>
  <c r="X836" i="2" s="1"/>
  <c r="X837" i="2" s="1"/>
  <c r="X838" i="2"/>
  <c r="X858" i="2"/>
  <c r="X846" i="2"/>
  <c r="X852" i="2" s="1"/>
  <c r="X847" i="2"/>
  <c r="Z855" i="2"/>
  <c r="X840" i="2" l="1"/>
  <c r="Y841" i="2" s="1"/>
  <c r="X872" i="2"/>
  <c r="Z869" i="2"/>
  <c r="X860" i="2"/>
  <c r="X866" i="2" s="1"/>
  <c r="X861" i="2"/>
  <c r="X848" i="2"/>
  <c r="X849" i="2" s="1"/>
  <c r="X862" i="2" l="1"/>
  <c r="X863" i="2" s="1"/>
  <c r="X864" i="2" s="1"/>
  <c r="X865" i="2" s="1"/>
  <c r="X868" i="2" s="1"/>
  <c r="Y869" i="2" s="1"/>
  <c r="Z883" i="2"/>
  <c r="X886" i="2"/>
  <c r="X874" i="2"/>
  <c r="X880" i="2" s="1"/>
  <c r="X875" i="2"/>
  <c r="X850" i="2"/>
  <c r="X851" i="2" s="1"/>
  <c r="X854" i="2" s="1"/>
  <c r="Y855" i="2" s="1"/>
  <c r="X876" i="2" l="1"/>
  <c r="X877" i="2" s="1"/>
  <c r="X878" i="2" s="1"/>
  <c r="X879" i="2" s="1"/>
  <c r="X882" i="2" s="1"/>
  <c r="Y883" i="2" s="1"/>
  <c r="X900" i="2"/>
  <c r="X888" i="2"/>
  <c r="X894" i="2" s="1"/>
  <c r="X889" i="2"/>
  <c r="Z897" i="2"/>
  <c r="X890" i="2" l="1"/>
  <c r="X891" i="2" s="1"/>
  <c r="X892" i="2" s="1"/>
  <c r="X893" i="2" s="1"/>
  <c r="X896" i="2" s="1"/>
  <c r="Y897" i="2" s="1"/>
  <c r="X914" i="2"/>
  <c r="X902" i="2"/>
  <c r="X908" i="2" s="1"/>
  <c r="X903" i="2"/>
  <c r="Z911" i="2"/>
  <c r="X928" i="2" l="1"/>
  <c r="X917" i="2"/>
  <c r="X916" i="2"/>
  <c r="X922" i="2" s="1"/>
  <c r="Z925" i="2"/>
  <c r="X904" i="2"/>
  <c r="X905" i="2" s="1"/>
  <c r="X906" i="2" s="1"/>
  <c r="X907" i="2" s="1"/>
  <c r="X910" i="2" s="1"/>
  <c r="Y911" i="2" s="1"/>
  <c r="X918" i="2" l="1"/>
  <c r="X919" i="2" s="1"/>
  <c r="X920" i="2" s="1"/>
  <c r="X921" i="2" s="1"/>
  <c r="X924" i="2" s="1"/>
  <c r="Y925" i="2" s="1"/>
  <c r="X931" i="2"/>
  <c r="X930" i="2"/>
  <c r="X936" i="2" s="1"/>
  <c r="Z939" i="2"/>
  <c r="X942" i="2"/>
  <c r="X932" i="2" l="1"/>
  <c r="X933" i="2" s="1"/>
  <c r="Z953" i="2"/>
  <c r="X956" i="2"/>
  <c r="X944" i="2"/>
  <c r="X950" i="2" s="1"/>
  <c r="X945" i="2"/>
  <c r="X934" i="2" l="1"/>
  <c r="X935" i="2" s="1"/>
  <c r="X938" i="2" s="1"/>
  <c r="Y939" i="2" s="1"/>
  <c r="X970" i="2"/>
  <c r="X958" i="2"/>
  <c r="X959" i="2"/>
  <c r="Z967" i="2"/>
  <c r="X946" i="2"/>
  <c r="X947" i="2" s="1"/>
  <c r="X948" i="2" s="1"/>
  <c r="X949" i="2" s="1"/>
  <c r="X952" i="2" s="1"/>
  <c r="Y953" i="2" s="1"/>
  <c r="X960" i="2" l="1"/>
  <c r="X961" i="2" s="1"/>
  <c r="X962" i="2" s="1"/>
  <c r="X963" i="2" s="1"/>
  <c r="X972" i="2"/>
  <c r="X978" i="2" s="1"/>
  <c r="X984" i="2"/>
  <c r="Z981" i="2"/>
  <c r="X973" i="2"/>
  <c r="X964" i="2"/>
  <c r="X966" i="2" l="1"/>
  <c r="Y967" i="2" s="1"/>
  <c r="X974" i="2"/>
  <c r="X975" i="2" s="1"/>
  <c r="X976" i="2" s="1"/>
  <c r="X977" i="2" s="1"/>
  <c r="X980" i="2" s="1"/>
  <c r="Y981" i="2" s="1"/>
  <c r="X987" i="2"/>
  <c r="X986" i="2"/>
  <c r="X992" i="2" s="1"/>
  <c r="Z995" i="2"/>
  <c r="X998" i="2"/>
  <c r="Z1009" i="2" l="1"/>
  <c r="X1001" i="2"/>
  <c r="X1012" i="2"/>
  <c r="X1000" i="2"/>
  <c r="X1006" i="2" s="1"/>
  <c r="X988" i="2"/>
  <c r="X989" i="2" s="1"/>
  <c r="X990" i="2" s="1"/>
  <c r="X991" i="2" s="1"/>
  <c r="X994" i="2" s="1"/>
  <c r="Y995" i="2" s="1"/>
  <c r="X1014" i="2" l="1"/>
  <c r="X1020" i="2" s="1"/>
  <c r="X1015" i="2"/>
  <c r="Z1023" i="2"/>
  <c r="X1026" i="2"/>
  <c r="X1002" i="2"/>
  <c r="X1003" i="2" s="1"/>
  <c r="X1004" i="2" s="1"/>
  <c r="X1005" i="2" s="1"/>
  <c r="X1008" i="2" s="1"/>
  <c r="Y1009" i="2" s="1"/>
  <c r="X1016" i="2" l="1"/>
  <c r="X1017" i="2" s="1"/>
  <c r="X1018" i="2" s="1"/>
  <c r="X1019" i="2" s="1"/>
  <c r="X1022" i="2" s="1"/>
  <c r="Y1023" i="2" s="1"/>
  <c r="X1029" i="2"/>
  <c r="X1040" i="2"/>
  <c r="Z1037" i="2"/>
  <c r="X1028" i="2"/>
  <c r="X1030" i="2" l="1"/>
  <c r="X1031" i="2" s="1"/>
  <c r="X1032" i="2" s="1"/>
  <c r="X1033" i="2" s="1"/>
  <c r="X1043" i="2"/>
  <c r="X1054" i="2"/>
  <c r="Z1051" i="2"/>
  <c r="X1042" i="2"/>
  <c r="X1048" i="2" s="1"/>
  <c r="X1034" i="2"/>
  <c r="X1036" i="2" l="1"/>
  <c r="Y1037" i="2" s="1"/>
  <c r="X1056" i="2"/>
  <c r="X1062" i="2" s="1"/>
  <c r="Z1065" i="2"/>
  <c r="X1068" i="2"/>
  <c r="X1057" i="2"/>
  <c r="X1044" i="2"/>
  <c r="X1045" i="2" s="1"/>
  <c r="X1058" i="2" l="1"/>
  <c r="X1059" i="2" s="1"/>
  <c r="X1060" i="2" s="1"/>
  <c r="X1061" i="2" s="1"/>
  <c r="X1064" i="2" s="1"/>
  <c r="Y1065" i="2" s="1"/>
  <c r="X1046" i="2"/>
  <c r="X1047" i="2" s="1"/>
  <c r="X1050" i="2" s="1"/>
  <c r="Y1051" i="2" s="1"/>
  <c r="X1070" i="2"/>
  <c r="X1076" i="2" s="1"/>
  <c r="X1082" i="2"/>
  <c r="X1071" i="2"/>
  <c r="Z1079" i="2"/>
  <c r="X1085" i="2" l="1"/>
  <c r="X1096" i="2"/>
  <c r="X1084" i="2"/>
  <c r="X1090" i="2" s="1"/>
  <c r="Z1093" i="2"/>
  <c r="X1072" i="2"/>
  <c r="X1073" i="2" s="1"/>
  <c r="X1074" i="2" s="1"/>
  <c r="X1075" i="2" s="1"/>
  <c r="X1078" i="2" s="1"/>
  <c r="Y1079" i="2" s="1"/>
  <c r="X1099" i="2" l="1"/>
  <c r="Z1107" i="2"/>
  <c r="X1110" i="2"/>
  <c r="X1098" i="2"/>
  <c r="X1104" i="2" s="1"/>
  <c r="X1086" i="2"/>
  <c r="X1087" i="2" s="1"/>
  <c r="X1088" i="2" s="1"/>
  <c r="X1089" i="2" s="1"/>
  <c r="X1092" i="2" s="1"/>
  <c r="Y1093" i="2" s="1"/>
  <c r="X1113" i="2" l="1"/>
  <c r="Z1121" i="2"/>
  <c r="X1112" i="2"/>
  <c r="X1118" i="2" s="1"/>
  <c r="X1124" i="2"/>
  <c r="X1100" i="2"/>
  <c r="X1101" i="2" s="1"/>
  <c r="X1102" i="2" s="1"/>
  <c r="X1103" i="2" s="1"/>
  <c r="X1106" i="2" s="1"/>
  <c r="Y1107" i="2" s="1"/>
  <c r="X1126" i="2" l="1"/>
  <c r="X1127" i="2"/>
  <c r="Z1135" i="2"/>
  <c r="X1138" i="2"/>
  <c r="X1114" i="2"/>
  <c r="X1115" i="2" s="1"/>
  <c r="X1128" i="2" l="1"/>
  <c r="X1129" i="2" s="1"/>
  <c r="X1130" i="2" s="1"/>
  <c r="X1131" i="2" s="1"/>
  <c r="X1152" i="2"/>
  <c r="Z1149" i="2"/>
  <c r="X1140" i="2"/>
  <c r="X1146" i="2" s="1"/>
  <c r="X1141" i="2"/>
  <c r="X1116" i="2"/>
  <c r="X1117" i="2" s="1"/>
  <c r="X1120" i="2" s="1"/>
  <c r="Y1121" i="2" s="1"/>
  <c r="X1132" i="2"/>
  <c r="X1134" i="2" l="1"/>
  <c r="Y1135" i="2" s="1"/>
  <c r="X1154" i="2"/>
  <c r="X1166" i="2"/>
  <c r="X1155" i="2"/>
  <c r="Z1163" i="2"/>
  <c r="X1142" i="2"/>
  <c r="X1143" i="2" s="1"/>
  <c r="X1156" i="2" l="1"/>
  <c r="X1157" i="2" s="1"/>
  <c r="X1158" i="2" s="1"/>
  <c r="X1159" i="2" s="1"/>
  <c r="X1144" i="2"/>
  <c r="X1145" i="2" s="1"/>
  <c r="X1148" i="2" s="1"/>
  <c r="Y1149" i="2" s="1"/>
  <c r="X1168" i="2"/>
  <c r="Z1177" i="2"/>
  <c r="X1169" i="2"/>
  <c r="X1180" i="2"/>
  <c r="X1160" i="2"/>
  <c r="X1162" i="2" l="1"/>
  <c r="Y1163" i="2" s="1"/>
  <c r="X1182" i="2"/>
  <c r="X1188" i="2" s="1"/>
  <c r="Z1191" i="2"/>
  <c r="X1194" i="2"/>
  <c r="X1183" i="2"/>
  <c r="X1170" i="2"/>
  <c r="X1171" i="2" s="1"/>
  <c r="X1174" i="2"/>
  <c r="X1172" i="2" l="1"/>
  <c r="X1173" i="2" s="1"/>
  <c r="X1176" i="2" s="1"/>
  <c r="Y1177" i="2" s="1"/>
  <c r="Z1205" i="2"/>
  <c r="X1197" i="2"/>
  <c r="X1196" i="2"/>
  <c r="X1202" i="2" s="1"/>
  <c r="X1208" i="2"/>
  <c r="X1184" i="2"/>
  <c r="X1185" i="2" s="1"/>
  <c r="X1186" i="2" s="1"/>
  <c r="X1187" i="2" s="1"/>
  <c r="X1190" i="2" s="1"/>
  <c r="Y1191" i="2" s="1"/>
  <c r="X1198" i="2" l="1"/>
  <c r="X1199" i="2" s="1"/>
  <c r="X1200" i="2" s="1"/>
  <c r="X1201" i="2" s="1"/>
  <c r="X1204" i="2" s="1"/>
  <c r="Y1205" i="2" s="1"/>
  <c r="X1211" i="2"/>
  <c r="Z1219" i="2"/>
  <c r="X1222" i="2"/>
  <c r="X1210" i="2"/>
  <c r="X1212" i="2" l="1"/>
  <c r="X1213" i="2" s="1"/>
  <c r="X1214" i="2" s="1"/>
  <c r="X1215" i="2" s="1"/>
  <c r="X1224" i="2"/>
  <c r="X1225" i="2"/>
  <c r="X1236" i="2"/>
  <c r="Z1233" i="2"/>
  <c r="X1216" i="2"/>
  <c r="X1218" i="2" l="1"/>
  <c r="Y1219" i="2" s="1"/>
  <c r="X1226" i="2"/>
  <c r="X1227" i="2" s="1"/>
  <c r="X1228" i="2" s="1"/>
  <c r="X1229" i="2" s="1"/>
  <c r="X1230" i="2"/>
  <c r="X1250" i="2"/>
  <c r="X1238" i="2"/>
  <c r="X1244" i="2" s="1"/>
  <c r="X1239" i="2"/>
  <c r="Z1247" i="2"/>
  <c r="X1232" i="2" l="1"/>
  <c r="Y1233" i="2" s="1"/>
  <c r="X1240" i="2"/>
  <c r="X1241" i="2" s="1"/>
  <c r="X1242" i="2" s="1"/>
  <c r="X1243" i="2" s="1"/>
  <c r="X1253" i="2"/>
  <c r="X1264" i="2"/>
  <c r="X1252" i="2"/>
  <c r="X1258" i="2" s="1"/>
  <c r="Z1261" i="2"/>
  <c r="X1246" i="2" l="1"/>
  <c r="Y1247" i="2" s="1"/>
  <c r="X1267" i="2"/>
  <c r="Z1275" i="2"/>
  <c r="X1278" i="2"/>
  <c r="X1266" i="2"/>
  <c r="X1254" i="2"/>
  <c r="X1255" i="2" s="1"/>
  <c r="X1256" i="2" s="1"/>
  <c r="X1257" i="2" s="1"/>
  <c r="X1260" i="2" s="1"/>
  <c r="Y1261" i="2" s="1"/>
  <c r="X1268" i="2" l="1"/>
  <c r="X1269" i="2" s="1"/>
  <c r="X1270" i="2" s="1"/>
  <c r="X1271" i="2" s="1"/>
  <c r="X1280" i="2"/>
  <c r="X1286" i="2" s="1"/>
  <c r="Z1289" i="2"/>
  <c r="X1281" i="2"/>
  <c r="X1292" i="2"/>
  <c r="X1272" i="2"/>
  <c r="X1274" i="2" l="1"/>
  <c r="Y1275" i="2" s="1"/>
  <c r="X1282" i="2"/>
  <c r="X1283" i="2" s="1"/>
  <c r="X1284" i="2" s="1"/>
  <c r="X1285" i="2" s="1"/>
  <c r="X1288" i="2" s="1"/>
  <c r="Y1289" i="2" s="1"/>
  <c r="X1295" i="2"/>
  <c r="Z1303" i="2"/>
  <c r="X1306" i="2"/>
  <c r="X1294" i="2"/>
  <c r="X1296" i="2" l="1"/>
  <c r="X1297" i="2" s="1"/>
  <c r="X1298" i="2" s="1"/>
  <c r="X1299" i="2" s="1"/>
  <c r="X1300" i="2"/>
  <c r="X1309" i="2"/>
  <c r="Z1317" i="2"/>
  <c r="X1308" i="2"/>
  <c r="X1314" i="2" s="1"/>
  <c r="X1320" i="2"/>
  <c r="X1302" i="2" l="1"/>
  <c r="Y1303" i="2" s="1"/>
  <c r="X1323" i="2"/>
  <c r="X1334" i="2"/>
  <c r="X1322" i="2"/>
  <c r="X1328" i="2" s="1"/>
  <c r="Z1331" i="2"/>
  <c r="X1310" i="2"/>
  <c r="X1311" i="2" s="1"/>
  <c r="X1312" i="2" s="1"/>
  <c r="X1313" i="2" s="1"/>
  <c r="X1316" i="2" s="1"/>
  <c r="Y1317" i="2" s="1"/>
  <c r="X1337" i="2" l="1"/>
  <c r="X1336" i="2"/>
  <c r="X1342" i="2" s="1"/>
  <c r="Z1345" i="2"/>
  <c r="X1348" i="2"/>
  <c r="X1324" i="2"/>
  <c r="X1325" i="2" s="1"/>
  <c r="X1326" i="2" s="1"/>
  <c r="X1327" i="2" s="1"/>
  <c r="X1330" i="2" s="1"/>
  <c r="Y1331" i="2" s="1"/>
  <c r="X1351" i="2" l="1"/>
  <c r="X1350" i="2"/>
  <c r="X1356" i="2" s="1"/>
  <c r="Z1359" i="2"/>
  <c r="X1362" i="2"/>
  <c r="X1338" i="2"/>
  <c r="X1339" i="2" s="1"/>
  <c r="X1340" i="2" l="1"/>
  <c r="X1341" i="2" s="1"/>
  <c r="X1344" i="2" s="1"/>
  <c r="Y1345" i="2" s="1"/>
  <c r="X1364" i="2"/>
  <c r="X1370" i="2" s="1"/>
  <c r="Z1373" i="2"/>
  <c r="X1365" i="2"/>
  <c r="X1376" i="2"/>
  <c r="X1352" i="2"/>
  <c r="X1353" i="2" s="1"/>
  <c r="X1354" i="2" s="1"/>
  <c r="X1355" i="2" s="1"/>
  <c r="X1358" i="2" s="1"/>
  <c r="Y1359" i="2" s="1"/>
  <c r="X1390" i="2" l="1"/>
  <c r="X1378" i="2"/>
  <c r="X1379" i="2"/>
  <c r="Z1387" i="2"/>
  <c r="X1366" i="2"/>
  <c r="X1367" i="2" s="1"/>
  <c r="X1380" i="2" l="1"/>
  <c r="X1381" i="2" s="1"/>
  <c r="X1382" i="2" s="1"/>
  <c r="X1383" i="2" s="1"/>
  <c r="X1384" i="2"/>
  <c r="X1404" i="2"/>
  <c r="X1393" i="2"/>
  <c r="Z1401" i="2"/>
  <c r="X1392" i="2"/>
  <c r="X1398" i="2" s="1"/>
  <c r="X1368" i="2"/>
  <c r="X1369" i="2" s="1"/>
  <c r="X1372" i="2" s="1"/>
  <c r="Y1373" i="2" s="1"/>
  <c r="X1386" i="2" l="1"/>
  <c r="Y1387" i="2" s="1"/>
  <c r="X1418" i="2"/>
  <c r="Z1415" i="2"/>
  <c r="X1406" i="2"/>
  <c r="X1412" i="2" s="1"/>
  <c r="X1407" i="2"/>
  <c r="X1394" i="2"/>
  <c r="X1395" i="2" s="1"/>
  <c r="Z1429" i="2" l="1"/>
  <c r="X1420" i="2"/>
  <c r="X1421" i="2"/>
  <c r="X1432" i="2"/>
  <c r="X1396" i="2"/>
  <c r="X1397" i="2" s="1"/>
  <c r="X1400" i="2" s="1"/>
  <c r="Y1401" i="2" s="1"/>
  <c r="X1408" i="2"/>
  <c r="X1409" i="2" s="1"/>
  <c r="X1410" i="2" s="1"/>
  <c r="X1411" i="2" s="1"/>
  <c r="X1414" i="2" s="1"/>
  <c r="Y1415" i="2" s="1"/>
  <c r="X1422" i="2" l="1"/>
  <c r="X1423" i="2" s="1"/>
  <c r="X1424" i="2" s="1"/>
  <c r="X1425" i="2" s="1"/>
  <c r="X1446" i="2"/>
  <c r="Z1443" i="2"/>
  <c r="X1434" i="2"/>
  <c r="X1440" i="2" s="1"/>
  <c r="X1435" i="2"/>
  <c r="X1426" i="2"/>
  <c r="X1428" i="2" l="1"/>
  <c r="Y1429" i="2" s="1"/>
  <c r="X1436" i="2"/>
  <c r="X1437" i="2" s="1"/>
  <c r="X1438" i="2" s="1"/>
  <c r="X1439" i="2" s="1"/>
  <c r="X1442" i="2" s="1"/>
  <c r="Y1443" i="2" s="1"/>
  <c r="X1448" i="2"/>
  <c r="X1454" i="2" s="1"/>
  <c r="X1460" i="2"/>
  <c r="X1449" i="2"/>
  <c r="Z1457" i="2"/>
  <c r="Z1471" i="2" l="1"/>
  <c r="X1474" i="2"/>
  <c r="X1462" i="2"/>
  <c r="X1468" i="2" s="1"/>
  <c r="X1463" i="2"/>
  <c r="X1450" i="2"/>
  <c r="X1451" i="2" s="1"/>
  <c r="X1452" i="2" l="1"/>
  <c r="X1453" i="2" s="1"/>
  <c r="X1456" i="2" s="1"/>
  <c r="Y1457" i="2" s="1"/>
  <c r="X1476" i="2"/>
  <c r="X1482" i="2" s="1"/>
  <c r="X1488" i="2"/>
  <c r="X1477" i="2"/>
  <c r="Z1485" i="2"/>
  <c r="X1464" i="2"/>
  <c r="X1465" i="2" s="1"/>
  <c r="X1478" i="2" l="1"/>
  <c r="X1479" i="2" s="1"/>
  <c r="X1480" i="2" s="1"/>
  <c r="X1481" i="2" s="1"/>
  <c r="X1484" i="2" s="1"/>
  <c r="Y1485" i="2" s="1"/>
  <c r="X1466" i="2"/>
  <c r="X1467" i="2" s="1"/>
  <c r="X1470" i="2" s="1"/>
  <c r="Y1471" i="2" s="1"/>
  <c r="X1491" i="2"/>
  <c r="Z1499" i="2"/>
  <c r="X1502" i="2"/>
  <c r="X1490" i="2"/>
  <c r="X1492" i="2" l="1"/>
  <c r="X1493" i="2" s="1"/>
  <c r="X1494" i="2" s="1"/>
  <c r="X1495" i="2" s="1"/>
  <c r="X1505" i="2"/>
  <c r="X1504" i="2"/>
  <c r="X1510" i="2" s="1"/>
  <c r="Z1513" i="2"/>
  <c r="X1516" i="2"/>
  <c r="X1496" i="2"/>
  <c r="X1498" i="2" l="1"/>
  <c r="Y1499" i="2" s="1"/>
  <c r="X1530" i="2"/>
  <c r="X1519" i="2"/>
  <c r="X1518" i="2"/>
  <c r="X1524" i="2" s="1"/>
  <c r="Z1527" i="2"/>
  <c r="X1506" i="2"/>
  <c r="X1507" i="2" s="1"/>
  <c r="X1532" i="2" l="1"/>
  <c r="Z1541" i="2"/>
  <c r="X1544" i="2"/>
  <c r="X1533" i="2"/>
  <c r="X1520" i="2"/>
  <c r="X1521" i="2" s="1"/>
  <c r="X1522" i="2" s="1"/>
  <c r="X1523" i="2" s="1"/>
  <c r="X1526" i="2" s="1"/>
  <c r="Y1527" i="2" s="1"/>
  <c r="X1508" i="2"/>
  <c r="X1509" i="2" s="1"/>
  <c r="X1512" i="2" s="1"/>
  <c r="Y1513" i="2" s="1"/>
  <c r="X1534" i="2" l="1"/>
  <c r="X1535" i="2" s="1"/>
  <c r="X1536" i="2" s="1"/>
  <c r="X1537" i="2" s="1"/>
  <c r="X1538" i="2"/>
  <c r="Z1555" i="2"/>
  <c r="X1547" i="2"/>
  <c r="X1558" i="2"/>
  <c r="X1546" i="2"/>
  <c r="X1540" i="2" l="1"/>
  <c r="Y1541" i="2" s="1"/>
  <c r="X1548" i="2"/>
  <c r="X1549" i="2" s="1"/>
  <c r="X1550" i="2" s="1"/>
  <c r="X1551" i="2" s="1"/>
  <c r="X1554" i="2" s="1"/>
  <c r="Y1555" i="2" s="1"/>
  <c r="X1552" i="2"/>
  <c r="X1561" i="2"/>
  <c r="X1572" i="2"/>
  <c r="Z1569" i="2"/>
  <c r="X1560" i="2"/>
  <c r="X1562" i="2" l="1"/>
  <c r="X1563" i="2" s="1"/>
  <c r="X1564" i="2" s="1"/>
  <c r="X1565" i="2" s="1"/>
  <c r="X1586" i="2"/>
  <c r="X1575" i="2"/>
  <c r="Z1583" i="2"/>
  <c r="X1574" i="2"/>
  <c r="X1580" i="2" s="1"/>
  <c r="X1566" i="2"/>
  <c r="X1568" i="2" l="1"/>
  <c r="Y1569" i="2" s="1"/>
  <c r="X1576" i="2"/>
  <c r="X1577" i="2" s="1"/>
  <c r="X1578" i="2" s="1"/>
  <c r="X1579" i="2" s="1"/>
  <c r="X1582" i="2" s="1"/>
  <c r="Y1583" i="2" s="1"/>
  <c r="X1600" i="2"/>
  <c r="X1588" i="2"/>
  <c r="X1594" i="2" s="1"/>
  <c r="X1589" i="2"/>
  <c r="Z1597" i="2"/>
  <c r="X1590" i="2" l="1"/>
  <c r="X1591" i="2" s="1"/>
  <c r="X1592" i="2" s="1"/>
  <c r="X1593" i="2" s="1"/>
  <c r="X1596" i="2" s="1"/>
  <c r="Y1597" i="2" s="1"/>
  <c r="Z1611" i="2"/>
  <c r="X1614" i="2"/>
  <c r="X1602" i="2"/>
  <c r="X1608" i="2" s="1"/>
  <c r="X1603" i="2"/>
  <c r="X1604" i="2" l="1"/>
  <c r="X1605" i="2" s="1"/>
  <c r="Z1625" i="2"/>
  <c r="X1628" i="2"/>
  <c r="X1616" i="2"/>
  <c r="X1622" i="2" s="1"/>
  <c r="X1617" i="2"/>
  <c r="X1606" i="2" l="1"/>
  <c r="X1607" i="2" s="1"/>
  <c r="X1610" i="2" s="1"/>
  <c r="Y1611" i="2" s="1"/>
  <c r="X1631" i="2"/>
  <c r="Z1639" i="2"/>
  <c r="X1642" i="2"/>
  <c r="X1630" i="2"/>
  <c r="X1618" i="2"/>
  <c r="X1619" i="2" s="1"/>
  <c r="X1632" i="2" l="1"/>
  <c r="X1633" i="2" s="1"/>
  <c r="X1634" i="2" s="1"/>
  <c r="X1635" i="2" s="1"/>
  <c r="X1645" i="2"/>
  <c r="X1644" i="2"/>
  <c r="X1650" i="2" s="1"/>
  <c r="X1656" i="2"/>
  <c r="Z1653" i="2"/>
  <c r="X1636" i="2"/>
  <c r="X1620" i="2"/>
  <c r="X1621" i="2" s="1"/>
  <c r="X1624" i="2" s="1"/>
  <c r="Y1625" i="2" s="1"/>
  <c r="X1638" i="2" l="1"/>
  <c r="Y1639" i="2" s="1"/>
  <c r="X1646" i="2"/>
  <c r="X1647" i="2" s="1"/>
  <c r="X1648" i="2" s="1"/>
  <c r="X1649" i="2" s="1"/>
  <c r="X1652" i="2" s="1"/>
  <c r="Y1653" i="2" s="1"/>
  <c r="X1670" i="2"/>
  <c r="Z1667" i="2"/>
  <c r="X1658" i="2"/>
  <c r="X1659" i="2"/>
  <c r="X1660" i="2" l="1"/>
  <c r="X1661" i="2" s="1"/>
  <c r="X1662" i="2" s="1"/>
  <c r="X1663" i="2" s="1"/>
  <c r="X1684" i="2"/>
  <c r="Z1681" i="2"/>
  <c r="X1672" i="2"/>
  <c r="X1673" i="2"/>
  <c r="X1664" i="2"/>
  <c r="X1674" i="2" l="1"/>
  <c r="X1675" i="2" s="1"/>
  <c r="X1676" i="2" s="1"/>
  <c r="X1677" i="2" s="1"/>
  <c r="X1666" i="2"/>
  <c r="Y1667" i="2" s="1"/>
  <c r="X1687" i="2"/>
  <c r="X1698" i="2"/>
  <c r="Z1695" i="2"/>
  <c r="X1686" i="2"/>
  <c r="X1678" i="2"/>
  <c r="X1680" i="2" l="1"/>
  <c r="Y1681" i="2" s="1"/>
  <c r="X1688" i="2"/>
  <c r="X1689" i="2" s="1"/>
  <c r="X1690" i="2" s="1"/>
  <c r="X1691" i="2" s="1"/>
  <c r="X1692" i="2"/>
  <c r="X1701" i="2"/>
  <c r="Z1709" i="2"/>
  <c r="X1700" i="2"/>
  <c r="X1712" i="2"/>
  <c r="X1694" i="2" l="1"/>
  <c r="Y1695" i="2" s="1"/>
  <c r="X1702" i="2"/>
  <c r="X1703" i="2" s="1"/>
  <c r="X1704" i="2" s="1"/>
  <c r="X1705" i="2" s="1"/>
  <c r="X1714" i="2"/>
  <c r="X1720" i="2" s="1"/>
  <c r="X1715" i="2"/>
  <c r="Z1723" i="2"/>
  <c r="X1726" i="2"/>
  <c r="X1706" i="2"/>
  <c r="X1708" i="2" l="1"/>
  <c r="Y1709" i="2" s="1"/>
  <c r="X1716" i="2"/>
  <c r="X1717" i="2" s="1"/>
  <c r="X1718" i="2" s="1"/>
  <c r="X1719" i="2" s="1"/>
  <c r="X1722" i="2" s="1"/>
  <c r="Y1723" i="2" s="1"/>
  <c r="X1728" i="2"/>
  <c r="X1734" i="2" s="1"/>
  <c r="Z1737" i="2"/>
  <c r="X1740" i="2"/>
  <c r="X1729" i="2"/>
  <c r="X1754" i="2" l="1"/>
  <c r="X1743" i="2"/>
  <c r="X1742" i="2"/>
  <c r="X1748" i="2" s="1"/>
  <c r="Z1751" i="2"/>
  <c r="X1730" i="2"/>
  <c r="X1731" i="2" s="1"/>
  <c r="X1732" i="2" s="1"/>
  <c r="X1733" i="2" s="1"/>
  <c r="X1736" i="2" s="1"/>
  <c r="Y1737" i="2" s="1"/>
  <c r="Z1765" i="2" l="1"/>
  <c r="X1768" i="2"/>
  <c r="X1756" i="2"/>
  <c r="X1762" i="2" s="1"/>
  <c r="X1757" i="2"/>
  <c r="X1744" i="2"/>
  <c r="X1745" i="2" s="1"/>
  <c r="X1782" i="2" l="1"/>
  <c r="X1771" i="2"/>
  <c r="X1770" i="2"/>
  <c r="X1776" i="2" s="1"/>
  <c r="Z1779" i="2"/>
  <c r="X1746" i="2"/>
  <c r="X1747" i="2" s="1"/>
  <c r="X1750" i="2" s="1"/>
  <c r="Y1751" i="2" s="1"/>
  <c r="X1758" i="2"/>
  <c r="X1759" i="2" s="1"/>
  <c r="X1760" i="2" s="1"/>
  <c r="X1761" i="2" s="1"/>
  <c r="X1764" i="2" s="1"/>
  <c r="Y1765" i="2" s="1"/>
  <c r="X1784" i="2" l="1"/>
  <c r="X1790" i="2" s="1"/>
  <c r="X1796" i="2"/>
  <c r="X1785" i="2"/>
  <c r="Z1793" i="2"/>
  <c r="X1772" i="2"/>
  <c r="X1773" i="2" s="1"/>
  <c r="X1774" i="2" s="1"/>
  <c r="X1775" i="2" s="1"/>
  <c r="X1778" i="2" s="1"/>
  <c r="Y1779" i="2" s="1"/>
  <c r="X1786" i="2" l="1"/>
  <c r="X1787" i="2" s="1"/>
  <c r="X1788" i="2" s="1"/>
  <c r="X1789" i="2" s="1"/>
  <c r="X1792" i="2" s="1"/>
  <c r="Y1793" i="2" s="1"/>
  <c r="Z1807" i="2"/>
  <c r="X1798" i="2"/>
  <c r="X1804" i="2" s="1"/>
  <c r="X1810" i="2"/>
  <c r="X1799" i="2"/>
  <c r="X1800" i="2" l="1"/>
  <c r="X1801" i="2" s="1"/>
  <c r="X1802" i="2" s="1"/>
  <c r="X1803" i="2" s="1"/>
  <c r="X1806" i="2" s="1"/>
  <c r="Y1807" i="2" s="1"/>
  <c r="Z1821" i="2"/>
  <c r="X1813" i="2"/>
  <c r="X1824" i="2"/>
  <c r="X1812" i="2"/>
  <c r="X1814" i="2" l="1"/>
  <c r="X1815" i="2" s="1"/>
  <c r="X1816" i="2" s="1"/>
  <c r="X1817" i="2" s="1"/>
  <c r="X1838" i="2"/>
  <c r="X1827" i="2"/>
  <c r="Z1835" i="2"/>
  <c r="X1826" i="2"/>
  <c r="X1832" i="2" s="1"/>
  <c r="X1818" i="2"/>
  <c r="X1820" i="2" l="1"/>
  <c r="Y1821" i="2" s="1"/>
  <c r="X1841" i="2"/>
  <c r="X1852" i="2"/>
  <c r="X1840" i="2"/>
  <c r="X1846" i="2" s="1"/>
  <c r="Z1849" i="2"/>
  <c r="X1828" i="2"/>
  <c r="X1829" i="2" s="1"/>
  <c r="X1830" i="2" l="1"/>
  <c r="X1831" i="2" s="1"/>
  <c r="X1834" i="2" s="1"/>
  <c r="Y1835" i="2" s="1"/>
  <c r="X1854" i="2"/>
  <c r="X1860" i="2" s="1"/>
  <c r="Z1863" i="2"/>
  <c r="X1855" i="2"/>
  <c r="X1866" i="2"/>
  <c r="X1842" i="2"/>
  <c r="X1843" i="2" s="1"/>
  <c r="X1868" i="2" l="1"/>
  <c r="X1874" i="2" s="1"/>
  <c r="X1880" i="2"/>
  <c r="Z1877" i="2"/>
  <c r="X1869" i="2"/>
  <c r="X1844" i="2"/>
  <c r="X1845" i="2" s="1"/>
  <c r="X1848" i="2" s="1"/>
  <c r="Y1849" i="2" s="1"/>
  <c r="X1856" i="2"/>
  <c r="X1857" i="2" s="1"/>
  <c r="X1858" i="2" s="1"/>
  <c r="X1859" i="2" s="1"/>
  <c r="X1862" i="2" s="1"/>
  <c r="Y1863" i="2" s="1"/>
  <c r="X1870" i="2" l="1"/>
  <c r="X1871" i="2" s="1"/>
  <c r="X1872" i="2" s="1"/>
  <c r="X1873" i="2" s="1"/>
  <c r="X1876" i="2" s="1"/>
  <c r="Y1877" i="2" s="1"/>
  <c r="X1883" i="2"/>
  <c r="X1882" i="2"/>
  <c r="X1888" i="2" s="1"/>
  <c r="Z1891" i="2"/>
  <c r="X1894" i="2"/>
  <c r="X1896" i="2" l="1"/>
  <c r="X1902" i="2" s="1"/>
  <c r="Z1905" i="2"/>
  <c r="X1908" i="2"/>
  <c r="X1897" i="2"/>
  <c r="X1884" i="2"/>
  <c r="X1885" i="2" s="1"/>
  <c r="X1886" i="2" s="1"/>
  <c r="X1887" i="2" s="1"/>
  <c r="X1890" i="2" s="1"/>
  <c r="Y1891" i="2" s="1"/>
  <c r="X1898" i="2" l="1"/>
  <c r="X1899" i="2" s="1"/>
  <c r="X1900" i="2" s="1"/>
  <c r="X1901" i="2" s="1"/>
  <c r="X1904" i="2" s="1"/>
  <c r="Y1905" i="2" s="1"/>
  <c r="Z1919" i="2"/>
  <c r="X1910" i="2"/>
  <c r="X1916" i="2" s="1"/>
  <c r="X1911" i="2"/>
  <c r="X1922" i="2"/>
  <c r="X1936" i="2" l="1"/>
  <c r="X1924" i="2"/>
  <c r="X1930" i="2" s="1"/>
  <c r="Z1933" i="2"/>
  <c r="X1925" i="2"/>
  <c r="X1912" i="2"/>
  <c r="X1913" i="2" s="1"/>
  <c r="X1926" i="2" l="1"/>
  <c r="X1927" i="2" s="1"/>
  <c r="X1928" i="2" s="1"/>
  <c r="X1929" i="2" s="1"/>
  <c r="X1932" i="2" s="1"/>
  <c r="Y1933" i="2" s="1"/>
  <c r="Z1947" i="2"/>
  <c r="X1950" i="2"/>
  <c r="X1938" i="2"/>
  <c r="X1939" i="2"/>
  <c r="X1914" i="2"/>
  <c r="X1915" i="2" s="1"/>
  <c r="X1918" i="2" s="1"/>
  <c r="Y1919" i="2" s="1"/>
  <c r="X1940" i="2" l="1"/>
  <c r="X1941" i="2" s="1"/>
  <c r="X1942" i="2" s="1"/>
  <c r="X1943" i="2" s="1"/>
  <c r="X1944" i="2"/>
  <c r="X1964" i="2"/>
  <c r="X1953" i="2"/>
  <c r="X1952" i="2"/>
  <c r="X1958" i="2" s="1"/>
  <c r="Z1961" i="2"/>
  <c r="X1946" i="2" l="1"/>
  <c r="Y1947" i="2" s="1"/>
  <c r="X1966" i="2"/>
  <c r="X1972" i="2" s="1"/>
  <c r="Z1975" i="2"/>
  <c r="X1978" i="2"/>
  <c r="X1967" i="2"/>
  <c r="X1954" i="2"/>
  <c r="X1955" i="2" s="1"/>
  <c r="X1968" i="2" l="1"/>
  <c r="X1969" i="2" s="1"/>
  <c r="X1970" i="2" s="1"/>
  <c r="X1971" i="2" s="1"/>
  <c r="X1974" i="2" s="1"/>
  <c r="Y1975" i="2" s="1"/>
  <c r="X1956" i="2"/>
  <c r="X1957" i="2" s="1"/>
  <c r="X1960" i="2" s="1"/>
  <c r="Y1961" i="2" s="1"/>
  <c r="X1981" i="2"/>
  <c r="Z1989" i="2"/>
  <c r="X1980" i="2"/>
  <c r="X1992" i="2"/>
  <c r="X1982" i="2" l="1"/>
  <c r="X1983" i="2" s="1"/>
  <c r="X1984" i="2" s="1"/>
  <c r="X1985" i="2" s="1"/>
  <c r="X2006" i="2"/>
  <c r="Z2003" i="2"/>
  <c r="X1994" i="2"/>
  <c r="X1995" i="2"/>
  <c r="X1986" i="2"/>
  <c r="X1988" i="2" l="1"/>
  <c r="Y1989" i="2" s="1"/>
  <c r="X1996" i="2"/>
  <c r="X1997" i="2" s="1"/>
  <c r="X1998" i="2" s="1"/>
  <c r="X1999" i="2" s="1"/>
  <c r="Z2017" i="2"/>
  <c r="X2008" i="2"/>
  <c r="X2014" i="2" s="1"/>
  <c r="X2009" i="2"/>
  <c r="X2020" i="2"/>
  <c r="X2000" i="2"/>
  <c r="X2002" i="2" l="1"/>
  <c r="Y2003" i="2" s="1"/>
  <c r="X2022" i="2"/>
  <c r="Z2031" i="2"/>
  <c r="X2034" i="2"/>
  <c r="X2023" i="2"/>
  <c r="X2010" i="2"/>
  <c r="X2011" i="2" s="1"/>
  <c r="X2012" i="2" s="1"/>
  <c r="X2013" i="2" s="1"/>
  <c r="X2016" i="2" s="1"/>
  <c r="Y2017" i="2" s="1"/>
  <c r="X2024" i="2" l="1"/>
  <c r="X2025" i="2" s="1"/>
  <c r="X2026" i="2" s="1"/>
  <c r="X2027" i="2" s="1"/>
  <c r="X2028" i="2"/>
  <c r="Z2045" i="2"/>
  <c r="X2048" i="2"/>
  <c r="X2036" i="2"/>
  <c r="X2042" i="2" s="1"/>
  <c r="X2037" i="2"/>
  <c r="X2030" i="2" l="1"/>
  <c r="Y2031" i="2" s="1"/>
  <c r="X2038" i="2"/>
  <c r="X2039" i="2" s="1"/>
  <c r="X2040" i="2" s="1"/>
  <c r="X2041" i="2" s="1"/>
  <c r="X2044" i="2" s="1"/>
  <c r="Y2045" i="2" s="1"/>
  <c r="X2051" i="2"/>
  <c r="X2062" i="2"/>
  <c r="X2050" i="2"/>
  <c r="X2056" i="2" s="1"/>
  <c r="Z2059" i="2"/>
  <c r="X2065" i="2" l="1"/>
  <c r="X2076" i="2"/>
  <c r="Z2073" i="2"/>
  <c r="X2064" i="2"/>
  <c r="X2070" i="2" s="1"/>
  <c r="X2052" i="2"/>
  <c r="X2053" i="2" s="1"/>
  <c r="X2054" i="2" s="1"/>
  <c r="X2055" i="2" s="1"/>
  <c r="X2058" i="2" s="1"/>
  <c r="Y2059" i="2" s="1"/>
  <c r="X2078" i="2" l="1"/>
  <c r="X2084" i="2" s="1"/>
  <c r="Z2087" i="2"/>
  <c r="X2090" i="2"/>
  <c r="X2079" i="2"/>
  <c r="X2066" i="2"/>
  <c r="X2067" i="2" s="1"/>
  <c r="X2080" i="2" l="1"/>
  <c r="X2081" i="2" s="1"/>
  <c r="X2082" i="2" s="1"/>
  <c r="X2083" i="2" s="1"/>
  <c r="X2086" i="2" s="1"/>
  <c r="Y2087" i="2" s="1"/>
  <c r="X2068" i="2"/>
  <c r="X2069" i="2" s="1"/>
  <c r="X2072" i="2" s="1"/>
  <c r="Y2073" i="2" s="1"/>
  <c r="X2093" i="2"/>
  <c r="X2092" i="2"/>
  <c r="Z2101" i="2"/>
  <c r="X2104" i="2"/>
  <c r="X2094" i="2" l="1"/>
  <c r="X2095" i="2" s="1"/>
  <c r="X2096" i="2" s="1"/>
  <c r="X2097" i="2" s="1"/>
  <c r="X2106" i="2"/>
  <c r="X2107" i="2"/>
  <c r="Z2115" i="2"/>
  <c r="X2118" i="2"/>
  <c r="X2098" i="2"/>
  <c r="X2100" i="2" l="1"/>
  <c r="Y2101" i="2" s="1"/>
  <c r="X2108" i="2"/>
  <c r="X2109" i="2" s="1"/>
  <c r="X2110" i="2" s="1"/>
  <c r="X2111" i="2" s="1"/>
  <c r="X2112" i="2"/>
  <c r="Z2129" i="2"/>
  <c r="X2121" i="2"/>
  <c r="X2132" i="2"/>
  <c r="X2120" i="2"/>
  <c r="X2126" i="2" s="1"/>
  <c r="X2114" i="2" l="1"/>
  <c r="Y2115" i="2" s="1"/>
  <c r="X2146" i="2"/>
  <c r="Z2143" i="2"/>
  <c r="X2134" i="2"/>
  <c r="X2140" i="2" s="1"/>
  <c r="X2135" i="2"/>
  <c r="X2122" i="2"/>
  <c r="X2123" i="2" s="1"/>
  <c r="X2124" i="2" s="1"/>
  <c r="X2125" i="2" s="1"/>
  <c r="X2128" i="2" s="1"/>
  <c r="Y2129" i="2" s="1"/>
  <c r="X2148" i="2" l="1"/>
  <c r="X2154" i="2" s="1"/>
  <c r="Z2157" i="2"/>
  <c r="X2149" i="2"/>
  <c r="X2160" i="2"/>
  <c r="X2136" i="2"/>
  <c r="X2137" i="2" s="1"/>
  <c r="X2138" i="2" s="1"/>
  <c r="X2139" i="2" s="1"/>
  <c r="X2142" i="2" s="1"/>
  <c r="Y2143" i="2" s="1"/>
  <c r="X2150" i="2" l="1"/>
  <c r="X2151" i="2" s="1"/>
  <c r="X2152" i="2" s="1"/>
  <c r="X2153" i="2" s="1"/>
  <c r="X2156" i="2" s="1"/>
  <c r="Y2157" i="2" s="1"/>
  <c r="X2163" i="2"/>
  <c r="Z2171" i="2"/>
  <c r="X2174" i="2"/>
  <c r="X2162" i="2"/>
  <c r="X2164" i="2" l="1"/>
  <c r="X2165" i="2" s="1"/>
  <c r="X2166" i="2" s="1"/>
  <c r="X2167" i="2" s="1"/>
  <c r="X2168" i="2"/>
  <c r="X2177" i="2"/>
  <c r="Z2185" i="2"/>
  <c r="X2188" i="2"/>
  <c r="X2176" i="2"/>
  <c r="X2170" i="2" l="1"/>
  <c r="Y2171" i="2" s="1"/>
  <c r="X2178" i="2"/>
  <c r="X2179" i="2" s="1"/>
  <c r="X2180" i="2" s="1"/>
  <c r="X2181" i="2" s="1"/>
  <c r="X2191" i="2"/>
  <c r="X2190" i="2"/>
  <c r="X2196" i="2" s="1"/>
  <c r="Z2199" i="2"/>
  <c r="X2202" i="2"/>
  <c r="X2182" i="2"/>
  <c r="X2184" i="2" l="1"/>
  <c r="Y2185" i="2" s="1"/>
  <c r="X2205" i="2"/>
  <c r="X2204" i="2"/>
  <c r="X2210" i="2" s="1"/>
  <c r="X2216" i="2"/>
  <c r="Z2213" i="2"/>
  <c r="X2192" i="2"/>
  <c r="X2193" i="2" s="1"/>
  <c r="X2194" i="2" l="1"/>
  <c r="X2195" i="2" s="1"/>
  <c r="X2198" i="2" s="1"/>
  <c r="Y2199" i="2" s="1"/>
  <c r="X2218" i="2"/>
  <c r="X2219" i="2"/>
  <c r="Z2227" i="2"/>
  <c r="X2230" i="2"/>
  <c r="X2206" i="2"/>
  <c r="X2207" i="2" s="1"/>
  <c r="X2220" i="2" l="1"/>
  <c r="X2221" i="2" s="1"/>
  <c r="X2222" i="2" s="1"/>
  <c r="X2223" i="2" s="1"/>
  <c r="X2224" i="2"/>
  <c r="X2244" i="2"/>
  <c r="X2232" i="2"/>
  <c r="Z2241" i="2"/>
  <c r="X2233" i="2"/>
  <c r="X2208" i="2"/>
  <c r="X2209" i="2" s="1"/>
  <c r="X2212" i="2" s="1"/>
  <c r="Y2213" i="2" s="1"/>
  <c r="X2226" i="2" l="1"/>
  <c r="Y2227" i="2" s="1"/>
  <c r="X2234" i="2"/>
  <c r="X2235" i="2" s="1"/>
  <c r="X2236" i="2" s="1"/>
  <c r="X2237" i="2" s="1"/>
  <c r="X2258" i="2"/>
  <c r="X2246" i="2"/>
  <c r="X2252" i="2" s="1"/>
  <c r="X2247" i="2"/>
  <c r="Z2255" i="2"/>
  <c r="X2238" i="2"/>
  <c r="X2240" i="2" l="1"/>
  <c r="Y2241" i="2" s="1"/>
  <c r="X2260" i="2"/>
  <c r="X2272" i="2"/>
  <c r="X2261" i="2"/>
  <c r="Z2269" i="2"/>
  <c r="X2248" i="2"/>
  <c r="X2249" i="2" s="1"/>
  <c r="X2262" i="2" l="1"/>
  <c r="X2263" i="2" s="1"/>
  <c r="X2264" i="2" s="1"/>
  <c r="X2265" i="2" s="1"/>
  <c r="X2266" i="2"/>
  <c r="X2250" i="2"/>
  <c r="X2251" i="2" s="1"/>
  <c r="X2254" i="2" s="1"/>
  <c r="Y2255" i="2" s="1"/>
  <c r="X2286" i="2"/>
  <c r="X2275" i="2"/>
  <c r="X2274" i="2"/>
  <c r="X2280" i="2" s="1"/>
  <c r="Z2283" i="2"/>
  <c r="X2268" i="2" l="1"/>
  <c r="Y2269" i="2" s="1"/>
  <c r="X2288" i="2"/>
  <c r="Z2297" i="2"/>
  <c r="X2300" i="2"/>
  <c r="X2289" i="2"/>
  <c r="X2276" i="2"/>
  <c r="X2277" i="2" s="1"/>
  <c r="X2290" i="2" l="1"/>
  <c r="X2291" i="2" s="1"/>
  <c r="X2292" i="2" s="1"/>
  <c r="X2293" i="2" s="1"/>
  <c r="X2303" i="2"/>
  <c r="X2302" i="2"/>
  <c r="X2308" i="2" s="1"/>
  <c r="Z2311" i="2"/>
  <c r="X2314" i="2"/>
  <c r="X2278" i="2"/>
  <c r="X2279" i="2" s="1"/>
  <c r="X2282" i="2" s="1"/>
  <c r="Y2283" i="2" s="1"/>
  <c r="X2294" i="2"/>
  <c r="X2296" i="2" l="1"/>
  <c r="Y2297" i="2" s="1"/>
  <c r="X2317" i="2"/>
  <c r="X2316" i="2"/>
  <c r="X2322" i="2" s="1"/>
  <c r="X2328" i="2"/>
  <c r="Z2325" i="2"/>
  <c r="X2304" i="2"/>
  <c r="X2305" i="2" s="1"/>
  <c r="X2306" i="2" s="1"/>
  <c r="X2307" i="2" s="1"/>
  <c r="X2310" i="2" s="1"/>
  <c r="Y2311" i="2" s="1"/>
  <c r="X2331" i="2" l="1"/>
  <c r="X2330" i="2"/>
  <c r="Z2339" i="2"/>
  <c r="X2342" i="2"/>
  <c r="X2318" i="2"/>
  <c r="X2319" i="2" s="1"/>
  <c r="X2320" i="2" s="1"/>
  <c r="X2321" i="2" s="1"/>
  <c r="X2324" i="2" s="1"/>
  <c r="Y2325" i="2" s="1"/>
  <c r="X2356" i="2" l="1"/>
  <c r="Z2353" i="2"/>
  <c r="X2345" i="2"/>
  <c r="X2344" i="2"/>
  <c r="X2332" i="2"/>
  <c r="X2333" i="2" s="1"/>
  <c r="X2334" i="2" s="1"/>
  <c r="X2335" i="2" s="1"/>
  <c r="X2338" i="2" s="1"/>
  <c r="Y2339" i="2" s="1"/>
  <c r="X2336" i="2"/>
  <c r="X2346" i="2" l="1"/>
  <c r="X2347" i="2" s="1"/>
  <c r="X2348" i="2" s="1"/>
  <c r="X2349" i="2" s="1"/>
  <c r="X2370" i="2"/>
  <c r="X2358" i="2"/>
  <c r="Z2367" i="2"/>
  <c r="X2359" i="2"/>
  <c r="X2350" i="2"/>
  <c r="X2352" i="2" l="1"/>
  <c r="Y2353" i="2" s="1"/>
  <c r="X2360" i="2"/>
  <c r="X2361" i="2" s="1"/>
  <c r="X2362" i="2" s="1"/>
  <c r="X2363" i="2" s="1"/>
  <c r="X2372" i="2"/>
  <c r="Z2381" i="2"/>
  <c r="X2384" i="2"/>
  <c r="X2373" i="2"/>
  <c r="X2364" i="2"/>
  <c r="X2366" i="2" l="1"/>
  <c r="Y2367" i="2" s="1"/>
  <c r="X2398" i="2"/>
  <c r="X2387" i="2"/>
  <c r="Z2395" i="2"/>
  <c r="X2386" i="2"/>
  <c r="X2392" i="2" s="1"/>
  <c r="X2374" i="2"/>
  <c r="X2375" i="2" s="1"/>
  <c r="X2378" i="2"/>
  <c r="X2412" i="2" l="1"/>
  <c r="Z2409" i="2"/>
  <c r="X2401" i="2"/>
  <c r="X2400" i="2"/>
  <c r="X2406" i="2" s="1"/>
  <c r="X2376" i="2"/>
  <c r="X2377" i="2" s="1"/>
  <c r="X2380" i="2" s="1"/>
  <c r="Y2381" i="2" s="1"/>
  <c r="X2388" i="2"/>
  <c r="X2389" i="2" s="1"/>
  <c r="X2390" i="2" s="1"/>
  <c r="X2391" i="2" s="1"/>
  <c r="X2394" i="2" s="1"/>
  <c r="Y2395" i="2" s="1"/>
  <c r="Z2423" i="2" l="1"/>
  <c r="X2415" i="2"/>
  <c r="X2426" i="2"/>
  <c r="X2414" i="2"/>
  <c r="X2420" i="2" s="1"/>
  <c r="X2402" i="2"/>
  <c r="X2403" i="2" s="1"/>
  <c r="X2404" i="2" s="1"/>
  <c r="X2405" i="2" s="1"/>
  <c r="X2408" i="2" s="1"/>
  <c r="Y2409" i="2" s="1"/>
  <c r="X2440" i="2" l="1"/>
  <c r="Z2437" i="2"/>
  <c r="X2428" i="2"/>
  <c r="X2434" i="2" s="1"/>
  <c r="X2429" i="2"/>
  <c r="X2416" i="2"/>
  <c r="X2417" i="2" s="1"/>
  <c r="X2418" i="2" s="1"/>
  <c r="X2419" i="2" s="1"/>
  <c r="X2422" i="2" s="1"/>
  <c r="Y2423" i="2" s="1"/>
  <c r="X2443" i="2" l="1"/>
  <c r="Z2451" i="2"/>
  <c r="X2454" i="2"/>
  <c r="X2442" i="2"/>
  <c r="X2448" i="2" s="1"/>
  <c r="X2430" i="2"/>
  <c r="X2431" i="2" s="1"/>
  <c r="X2432" i="2" s="1"/>
  <c r="X2433" i="2" s="1"/>
  <c r="X2436" i="2" s="1"/>
  <c r="Y2437" i="2" s="1"/>
  <c r="X2468" i="2" l="1"/>
  <c r="X2456" i="2"/>
  <c r="X2462" i="2" s="1"/>
  <c r="Z2465" i="2"/>
  <c r="X2457" i="2"/>
  <c r="X2444" i="2"/>
  <c r="X2445" i="2" s="1"/>
  <c r="X2458" i="2" l="1"/>
  <c r="X2459" i="2" s="1"/>
  <c r="X2460" i="2" s="1"/>
  <c r="X2461" i="2" s="1"/>
  <c r="X2464" i="2" s="1"/>
  <c r="Y2465" i="2" s="1"/>
  <c r="Z2479" i="2"/>
  <c r="X2470" i="2"/>
  <c r="X2476" i="2" s="1"/>
  <c r="X2471" i="2"/>
  <c r="X2482" i="2"/>
  <c r="X2446" i="2"/>
  <c r="X2447" i="2" s="1"/>
  <c r="X2450" i="2" s="1"/>
  <c r="Y2451" i="2" s="1"/>
  <c r="X2472" i="2" l="1"/>
  <c r="X2473" i="2" s="1"/>
  <c r="X2474" i="2" s="1"/>
  <c r="X2475" i="2" s="1"/>
  <c r="X2478" i="2" s="1"/>
  <c r="Y2479" i="2" s="1"/>
  <c r="X2484" i="2"/>
  <c r="X2490" i="2" s="1"/>
  <c r="X2485" i="2"/>
  <c r="Z2493" i="2"/>
  <c r="X2496" i="2"/>
  <c r="X2486" i="2" l="1"/>
  <c r="X2487" i="2" s="1"/>
  <c r="X2488" i="2" s="1"/>
  <c r="X2489" i="2" s="1"/>
  <c r="X2492" i="2" s="1"/>
  <c r="Y2493" i="2" s="1"/>
  <c r="X2498" i="2"/>
  <c r="X2510" i="2"/>
  <c r="Z2507" i="2"/>
  <c r="X2499" i="2"/>
  <c r="X2500" i="2" l="1"/>
  <c r="X2501" i="2" s="1"/>
  <c r="X2502" i="2" s="1"/>
  <c r="X2503" i="2" s="1"/>
  <c r="X2524" i="2"/>
  <c r="X2513" i="2"/>
  <c r="X2512" i="2"/>
  <c r="X2518" i="2" s="1"/>
  <c r="Z2521" i="2"/>
  <c r="X2504" i="2"/>
  <c r="X2506" i="2" l="1"/>
  <c r="Y2507" i="2" s="1"/>
  <c r="X2538" i="2"/>
  <c r="X2526" i="2"/>
  <c r="X2527" i="2"/>
  <c r="Z2535" i="2"/>
  <c r="X2514" i="2"/>
  <c r="X2515" i="2" s="1"/>
  <c r="X2516" i="2" s="1"/>
  <c r="X2517" i="2" s="1"/>
  <c r="X2520" i="2" s="1"/>
  <c r="Y2521" i="2" s="1"/>
  <c r="X2528" i="2" l="1"/>
  <c r="X2529" i="2" s="1"/>
  <c r="X2530" i="2" s="1"/>
  <c r="X2531" i="2" s="1"/>
  <c r="X2552" i="2"/>
  <c r="Z2549" i="2"/>
  <c r="X2540" i="2"/>
  <c r="X2541" i="2"/>
  <c r="X2532" i="2"/>
  <c r="X2534" i="2" l="1"/>
  <c r="Y2535" i="2" s="1"/>
  <c r="X2542" i="2"/>
  <c r="X2543" i="2" s="1"/>
  <c r="X2544" i="2" s="1"/>
  <c r="X2545" i="2" s="1"/>
  <c r="X2546" i="2"/>
  <c r="X2554" i="2"/>
  <c r="X2560" i="2" s="1"/>
  <c r="X2566" i="2"/>
  <c r="Z2563" i="2"/>
  <c r="X2555" i="2"/>
  <c r="X2548" i="2" l="1"/>
  <c r="Y2549" i="2" s="1"/>
  <c r="Z2577" i="2"/>
  <c r="X2569" i="2"/>
  <c r="X2580" i="2"/>
  <c r="X2568" i="2"/>
  <c r="X2556" i="2"/>
  <c r="X2557" i="2" s="1"/>
  <c r="X2570" i="2" l="1"/>
  <c r="X2571" i="2" s="1"/>
  <c r="X2572" i="2" s="1"/>
  <c r="X2573" i="2" s="1"/>
  <c r="X2558" i="2"/>
  <c r="X2559" i="2" s="1"/>
  <c r="X2562" i="2" s="1"/>
  <c r="Y2563" i="2" s="1"/>
  <c r="X2583" i="2"/>
  <c r="X2594" i="2"/>
  <c r="Z2591" i="2"/>
  <c r="X2582" i="2"/>
  <c r="X2574" i="2"/>
  <c r="X2576" i="2" l="1"/>
  <c r="Y2577" i="2" s="1"/>
  <c r="X2584" i="2"/>
  <c r="X2585" i="2" s="1"/>
  <c r="X2586" i="2" s="1"/>
  <c r="X2587" i="2" s="1"/>
  <c r="X2588" i="2"/>
  <c r="Z2605" i="2"/>
  <c r="X2608" i="2"/>
  <c r="X2596" i="2"/>
  <c r="X2597" i="2"/>
  <c r="X2590" i="2" l="1"/>
  <c r="Y2591" i="2" s="1"/>
  <c r="X2598" i="2"/>
  <c r="X2599" i="2" s="1"/>
  <c r="X2600" i="2" s="1"/>
  <c r="X2601" i="2" s="1"/>
  <c r="X2602" i="2"/>
  <c r="X2622" i="2"/>
  <c r="Z2619" i="2"/>
  <c r="X2610" i="2"/>
  <c r="X2616" i="2" s="1"/>
  <c r="X2611" i="2"/>
  <c r="X2604" i="2" l="1"/>
  <c r="Y2605" i="2" s="1"/>
  <c r="X2612" i="2"/>
  <c r="X2613" i="2" s="1"/>
  <c r="X2614" i="2" s="1"/>
  <c r="X2615" i="2" s="1"/>
  <c r="X2618" i="2" s="1"/>
  <c r="Y2619" i="2" s="1"/>
  <c r="X2625" i="2"/>
  <c r="X2624" i="2"/>
  <c r="X2636" i="2"/>
  <c r="Z2633" i="2"/>
  <c r="X2626" i="2" l="1"/>
  <c r="X2627" i="2" s="1"/>
  <c r="X2628" i="2" s="1"/>
  <c r="X2629" i="2" s="1"/>
  <c r="X2638" i="2"/>
  <c r="X2644" i="2" s="1"/>
  <c r="X2650" i="2"/>
  <c r="X2639" i="2"/>
  <c r="Z2647" i="2"/>
  <c r="X2630" i="2"/>
  <c r="X2632" i="2" l="1"/>
  <c r="Y2633" i="2" s="1"/>
  <c r="X2640" i="2"/>
  <c r="X2641" i="2" s="1"/>
  <c r="X2642" i="2" s="1"/>
  <c r="X2643" i="2" s="1"/>
  <c r="X2646" i="2" s="1"/>
  <c r="Y2647" i="2" s="1"/>
  <c r="Z2661" i="2"/>
  <c r="X2653" i="2"/>
  <c r="X2664" i="2"/>
  <c r="X2652" i="2"/>
  <c r="X2654" i="2" l="1"/>
  <c r="X2655" i="2" s="1"/>
  <c r="X2656" i="2" s="1"/>
  <c r="X2657" i="2" s="1"/>
  <c r="X2666" i="2"/>
  <c r="X2672" i="2" s="1"/>
  <c r="Z2675" i="2"/>
  <c r="X2667" i="2"/>
  <c r="X2678" i="2"/>
  <c r="X2658" i="2"/>
  <c r="X2660" i="2" l="1"/>
  <c r="Y2661" i="2" s="1"/>
  <c r="X2668" i="2"/>
  <c r="X2669" i="2" s="1"/>
  <c r="X2670" i="2" s="1"/>
  <c r="X2671" i="2" s="1"/>
  <c r="X2674" i="2" s="1"/>
  <c r="Y2675" i="2" s="1"/>
  <c r="Z2689" i="2"/>
  <c r="X2692" i="2"/>
  <c r="X2681" i="2"/>
  <c r="X2680" i="2"/>
  <c r="X2682" i="2" l="1"/>
  <c r="X2683" i="2" s="1"/>
  <c r="X2684" i="2" s="1"/>
  <c r="X2685" i="2" s="1"/>
  <c r="X2694" i="2"/>
  <c r="Z2703" i="2"/>
  <c r="X2706" i="2"/>
  <c r="X2695" i="2"/>
  <c r="X2686" i="2"/>
  <c r="X2688" i="2" l="1"/>
  <c r="Y2689" i="2" s="1"/>
  <c r="X2708" i="2"/>
  <c r="X2714" i="2" s="1"/>
  <c r="Z2717" i="2"/>
  <c r="X2709" i="2"/>
  <c r="X2720" i="2"/>
  <c r="X2696" i="2"/>
  <c r="X2697" i="2" s="1"/>
  <c r="X2700" i="2"/>
  <c r="X2710" i="2" l="1"/>
  <c r="X2711" i="2" s="1"/>
  <c r="X2712" i="2" s="1"/>
  <c r="X2713" i="2" s="1"/>
  <c r="X2716" i="2" s="1"/>
  <c r="Y2717" i="2" s="1"/>
  <c r="X2698" i="2"/>
  <c r="X2699" i="2" s="1"/>
  <c r="X2702" i="2" s="1"/>
  <c r="Y2703" i="2" s="1"/>
  <c r="X2722" i="2"/>
  <c r="X2728" i="2" s="1"/>
  <c r="X2734" i="2"/>
  <c r="Z2731" i="2"/>
  <c r="X2723" i="2"/>
  <c r="X2724" i="2" l="1"/>
  <c r="X2725" i="2" s="1"/>
  <c r="X2726" i="2" s="1"/>
  <c r="X2727" i="2" s="1"/>
  <c r="X2736" i="2"/>
  <c r="X2742" i="2" s="1"/>
  <c r="Z2745" i="2"/>
  <c r="X2737" i="2"/>
  <c r="X2748" i="2"/>
  <c r="X2730" i="2" l="1"/>
  <c r="Y2731" i="2" s="1"/>
  <c r="X2738" i="2"/>
  <c r="X2739" i="2" s="1"/>
  <c r="X2740" i="2" s="1"/>
  <c r="X2741" i="2" s="1"/>
  <c r="X2744" i="2" s="1"/>
  <c r="Y2745" i="2" s="1"/>
  <c r="Z2759" i="2"/>
  <c r="X2750" i="2"/>
  <c r="X2751" i="2"/>
  <c r="X2762" i="2"/>
  <c r="X2752" i="2" l="1"/>
  <c r="X2753" i="2" s="1"/>
  <c r="X2754" i="2" s="1"/>
  <c r="X2755" i="2" s="1"/>
  <c r="Z2773" i="2"/>
  <c r="X2765" i="2"/>
  <c r="X2776" i="2"/>
  <c r="X2764" i="2"/>
  <c r="X2770" i="2" s="1"/>
  <c r="X2756" i="2"/>
  <c r="X2758" i="2" l="1"/>
  <c r="Y2759" i="2" s="1"/>
  <c r="X2778" i="2"/>
  <c r="X2784" i="2" s="1"/>
  <c r="Z2787" i="2"/>
  <c r="X2779" i="2"/>
  <c r="X2790" i="2"/>
  <c r="X2766" i="2"/>
  <c r="X2767" i="2" s="1"/>
  <c r="X2768" i="2" s="1"/>
  <c r="X2769" i="2" s="1"/>
  <c r="X2772" i="2" s="1"/>
  <c r="Y2773" i="2" s="1"/>
  <c r="X2780" i="2" l="1"/>
  <c r="X2781" i="2" s="1"/>
  <c r="X2782" i="2" s="1"/>
  <c r="X2783" i="2" s="1"/>
  <c r="X2786" i="2" s="1"/>
  <c r="Y2787" i="2" s="1"/>
  <c r="X2804" i="2"/>
  <c r="Z2801" i="2"/>
  <c r="X2793" i="2"/>
  <c r="X2792" i="2"/>
  <c r="X2806" i="2" l="1"/>
  <c r="X2807" i="2"/>
  <c r="X2818" i="2"/>
  <c r="Z2815" i="2"/>
  <c r="X2794" i="2"/>
  <c r="X2795" i="2" s="1"/>
  <c r="X2796" i="2" s="1"/>
  <c r="X2797" i="2" s="1"/>
  <c r="X2798" i="2"/>
  <c r="X2800" i="2" l="1"/>
  <c r="Y2801" i="2" s="1"/>
  <c r="X2812" i="2"/>
  <c r="X2808" i="2"/>
  <c r="X2809" i="2" s="1"/>
  <c r="X2832" i="2"/>
  <c r="X2820" i="2"/>
  <c r="X2826" i="2" s="1"/>
  <c r="X2821" i="2"/>
  <c r="Z2829" i="2"/>
  <c r="X2810" i="2" l="1"/>
  <c r="X2811" i="2" s="1"/>
  <c r="X2814" i="2" s="1"/>
  <c r="Y2815" i="2" s="1"/>
  <c r="X2835" i="2"/>
  <c r="X2846" i="2"/>
  <c r="X2834" i="2"/>
  <c r="Z2843" i="2"/>
  <c r="X2822" i="2"/>
  <c r="X2823" i="2" s="1"/>
  <c r="X2824" i="2" s="1"/>
  <c r="X2825" i="2" s="1"/>
  <c r="X2828" i="2" s="1"/>
  <c r="Y2829" i="2" s="1"/>
  <c r="X2836" i="2" l="1"/>
  <c r="X2837" i="2" s="1"/>
  <c r="X2838" i="2" s="1"/>
  <c r="X2839" i="2" s="1"/>
  <c r="X2840" i="2"/>
  <c r="X2860" i="2"/>
  <c r="X2848" i="2"/>
  <c r="Z2857" i="2"/>
  <c r="X2849" i="2"/>
  <c r="X2842" i="2" l="1"/>
  <c r="Y2843" i="2" s="1"/>
  <c r="X2850" i="2"/>
  <c r="X2851" i="2" s="1"/>
  <c r="X2852" i="2" s="1"/>
  <c r="X2853" i="2" s="1"/>
  <c r="X2874" i="2"/>
  <c r="X2862" i="2"/>
  <c r="X2868" i="2" s="1"/>
  <c r="Z2871" i="2"/>
  <c r="X2863" i="2"/>
  <c r="X2854" i="2"/>
  <c r="X2856" i="2" l="1"/>
  <c r="Y2857" i="2" s="1"/>
  <c r="X2888" i="2"/>
  <c r="Z2885" i="2"/>
  <c r="X2876" i="2"/>
  <c r="X2882" i="2" s="1"/>
  <c r="X2877" i="2"/>
  <c r="X2864" i="2"/>
  <c r="X2865" i="2" s="1"/>
  <c r="X2866" i="2" s="1"/>
  <c r="X2867" i="2" s="1"/>
  <c r="X2870" i="2" s="1"/>
  <c r="Y2871" i="2" s="1"/>
  <c r="X2878" i="2" l="1"/>
  <c r="X2879" i="2" s="1"/>
  <c r="X2880" i="2" s="1"/>
  <c r="X2881" i="2" s="1"/>
  <c r="X2884" i="2" s="1"/>
  <c r="Y2885" i="2" s="1"/>
  <c r="Z2899" i="2"/>
  <c r="X2902" i="2"/>
  <c r="X2891" i="2"/>
  <c r="X2890" i="2"/>
  <c r="X2892" i="2" l="1"/>
  <c r="X2893" i="2" s="1"/>
  <c r="X2894" i="2" s="1"/>
  <c r="X2895" i="2" s="1"/>
  <c r="Z2913" i="2"/>
  <c r="X2916" i="2"/>
  <c r="X2904" i="2"/>
  <c r="X2910" i="2" s="1"/>
  <c r="X2905" i="2"/>
  <c r="X2896" i="2"/>
  <c r="X2898" i="2" l="1"/>
  <c r="Y2899" i="2" s="1"/>
  <c r="X2906" i="2"/>
  <c r="X2907" i="2" s="1"/>
  <c r="X2919" i="2"/>
  <c r="X2918" i="2"/>
  <c r="X2924" i="2" s="1"/>
  <c r="X2930" i="2"/>
  <c r="Z2927" i="2"/>
  <c r="X2908" i="2" l="1"/>
  <c r="X2909" i="2" s="1"/>
  <c r="X2912" i="2" s="1"/>
  <c r="Y2913" i="2" s="1"/>
  <c r="X2933" i="2"/>
  <c r="Z2941" i="2"/>
  <c r="X2932" i="2"/>
  <c r="X2944" i="2"/>
  <c r="X2920" i="2"/>
  <c r="X2921" i="2" s="1"/>
  <c r="X2922" i="2" s="1"/>
  <c r="X2923" i="2" s="1"/>
  <c r="X2926" i="2" s="1"/>
  <c r="Y2927" i="2" s="1"/>
  <c r="X2934" i="2" l="1"/>
  <c r="X2935" i="2" s="1"/>
  <c r="X2936" i="2" s="1"/>
  <c r="X2937" i="2" s="1"/>
  <c r="X2938" i="2"/>
  <c r="X2958" i="2"/>
  <c r="Z2955" i="2"/>
  <c r="X2947" i="2"/>
  <c r="X2946" i="2"/>
  <c r="X2940" i="2" l="1"/>
  <c r="Y2941" i="2" s="1"/>
  <c r="X2948" i="2"/>
  <c r="X2949" i="2" s="1"/>
  <c r="X2950" i="2" s="1"/>
  <c r="X2951" i="2" s="1"/>
  <c r="X2961" i="2"/>
  <c r="Z2969" i="2"/>
  <c r="X2972" i="2"/>
  <c r="X2960" i="2"/>
  <c r="X2952" i="2"/>
  <c r="X2954" i="2" l="1"/>
  <c r="Y2955" i="2" s="1"/>
  <c r="X2962" i="2"/>
  <c r="X2963" i="2" s="1"/>
  <c r="X2964" i="2" s="1"/>
  <c r="X2965" i="2" s="1"/>
  <c r="X2975" i="2"/>
  <c r="X2986" i="2"/>
  <c r="Z2983" i="2"/>
  <c r="X2974" i="2"/>
  <c r="X2980" i="2" s="1"/>
  <c r="X2966" i="2"/>
  <c r="X2968" i="2" l="1"/>
  <c r="Y2969" i="2" s="1"/>
  <c r="Z2997" i="2"/>
  <c r="X2988" i="2"/>
  <c r="X3000" i="2"/>
  <c r="X2989" i="2"/>
  <c r="X2976" i="2"/>
  <c r="X2977" i="2" s="1"/>
  <c r="X2978" i="2" s="1"/>
  <c r="X2979" i="2" s="1"/>
  <c r="X2982" i="2" s="1"/>
  <c r="Y2983" i="2" s="1"/>
  <c r="X2990" i="2" l="1"/>
  <c r="X2991" i="2" s="1"/>
  <c r="X2992" i="2" s="1"/>
  <c r="X2993" i="2" s="1"/>
  <c r="X2994" i="2"/>
  <c r="X3002" i="2"/>
  <c r="X3014" i="2"/>
  <c r="Z3011" i="2"/>
  <c r="X3003" i="2"/>
  <c r="X2996" i="2" l="1"/>
  <c r="Y2997" i="2" s="1"/>
  <c r="X3017" i="2"/>
  <c r="Z3025" i="2"/>
  <c r="X3028" i="2"/>
  <c r="X3016" i="2"/>
  <c r="X3004" i="2"/>
  <c r="X3005" i="2" s="1"/>
  <c r="X3006" i="2" s="1"/>
  <c r="X3007" i="2" s="1"/>
  <c r="X3008" i="2"/>
  <c r="X3010" i="2" l="1"/>
  <c r="Y3011" i="2" s="1"/>
  <c r="X3031" i="2"/>
  <c r="Z3039" i="2"/>
  <c r="X3030" i="2"/>
  <c r="X3036" i="2" s="1"/>
  <c r="X3042" i="2"/>
  <c r="X3022" i="2"/>
  <c r="X3018" i="2"/>
  <c r="X3019" i="2" s="1"/>
  <c r="X3044" i="2" l="1"/>
  <c r="X3050" i="2" s="1"/>
  <c r="X3045" i="2"/>
  <c r="Z3053" i="2"/>
  <c r="X3056" i="2"/>
  <c r="X3020" i="2"/>
  <c r="X3021" i="2" s="1"/>
  <c r="X3024" i="2" s="1"/>
  <c r="Y3025" i="2" s="1"/>
  <c r="X3032" i="2"/>
  <c r="X3033" i="2" s="1"/>
  <c r="X3034" i="2" s="1"/>
  <c r="X3035" i="2" s="1"/>
  <c r="X3038" i="2" s="1"/>
  <c r="Y3039" i="2" s="1"/>
  <c r="X3046" i="2" l="1"/>
  <c r="X3047" i="2" s="1"/>
  <c r="X3048" i="2" s="1"/>
  <c r="X3049" i="2" s="1"/>
  <c r="X3052" i="2" s="1"/>
  <c r="Y3053" i="2" s="1"/>
  <c r="Z3067" i="2"/>
  <c r="X3059" i="2"/>
  <c r="X3058" i="2"/>
  <c r="X3070" i="2"/>
  <c r="X3073" i="2" l="1"/>
  <c r="Z3081" i="2"/>
  <c r="X3072" i="2"/>
  <c r="X3084" i="2"/>
  <c r="X3060" i="2"/>
  <c r="X3061" i="2" s="1"/>
  <c r="X3062" i="2" s="1"/>
  <c r="X3063" i="2" s="1"/>
  <c r="X3064" i="2"/>
  <c r="X3066" i="2" l="1"/>
  <c r="Y3067" i="2" s="1"/>
  <c r="Z3095" i="2"/>
  <c r="X3086" i="2"/>
  <c r="X3092" i="2" s="1"/>
  <c r="X3098" i="2"/>
  <c r="X3087" i="2"/>
  <c r="X3074" i="2"/>
  <c r="X3075" i="2" s="1"/>
  <c r="X3076" i="2" s="1"/>
  <c r="X3077" i="2" s="1"/>
  <c r="X3078" i="2"/>
  <c r="X3080" i="2" l="1"/>
  <c r="Y3081" i="2" s="1"/>
  <c r="X3101" i="2"/>
  <c r="Z3109" i="2"/>
  <c r="X3100" i="2"/>
  <c r="X3106" i="2" s="1"/>
  <c r="X3112" i="2"/>
  <c r="X3088" i="2"/>
  <c r="X3089" i="2" s="1"/>
  <c r="X3090" i="2" s="1"/>
  <c r="X3091" i="2" s="1"/>
  <c r="X3094" i="2" s="1"/>
  <c r="Y3095" i="2" s="1"/>
  <c r="X3126" i="2" l="1"/>
  <c r="Z3123" i="2"/>
  <c r="X3115" i="2"/>
  <c r="X3114" i="2"/>
  <c r="X3120" i="2" s="1"/>
  <c r="X3102" i="2"/>
  <c r="X3103" i="2" s="1"/>
  <c r="X3104" i="2" s="1"/>
  <c r="X3105" i="2" s="1"/>
  <c r="X3108" i="2" s="1"/>
  <c r="Y3109" i="2" s="1"/>
  <c r="X3128" i="2" l="1"/>
  <c r="X3134" i="2" s="1"/>
  <c r="X3129" i="2"/>
  <c r="Z3137" i="2"/>
  <c r="X3140" i="2"/>
  <c r="X3116" i="2"/>
  <c r="X3117" i="2" s="1"/>
  <c r="X3118" i="2" s="1"/>
  <c r="X3119" i="2" s="1"/>
  <c r="X3122" i="2" s="1"/>
  <c r="Y3123" i="2" s="1"/>
  <c r="X3130" i="2" l="1"/>
  <c r="X3131" i="2" s="1"/>
  <c r="X3132" i="2" s="1"/>
  <c r="X3133" i="2" s="1"/>
  <c r="X3136" i="2" s="1"/>
  <c r="Y3137" i="2" s="1"/>
  <c r="Z3151" i="2"/>
  <c r="X3142" i="2"/>
  <c r="X3148" i="2" s="1"/>
  <c r="X3154" i="2"/>
  <c r="X3143" i="2"/>
  <c r="X3156" i="2" l="1"/>
  <c r="X3162" i="2" s="1"/>
  <c r="X3168" i="2"/>
  <c r="X3157" i="2"/>
  <c r="Z3165" i="2"/>
  <c r="X3144" i="2"/>
  <c r="X3145" i="2" s="1"/>
  <c r="X3146" i="2" s="1"/>
  <c r="X3147" i="2" s="1"/>
  <c r="X3150" i="2" s="1"/>
  <c r="Y3151" i="2" s="1"/>
  <c r="X3158" i="2" l="1"/>
  <c r="X3159" i="2" s="1"/>
  <c r="X3160" i="2" s="1"/>
  <c r="X3161" i="2" s="1"/>
  <c r="X3171" i="2"/>
  <c r="X3170" i="2"/>
  <c r="X3176" i="2" s="1"/>
  <c r="X3182" i="2"/>
  <c r="Z3179" i="2"/>
  <c r="X3164" i="2" l="1"/>
  <c r="Y3165" i="2" s="1"/>
  <c r="X3185" i="2"/>
  <c r="Z3193" i="2"/>
  <c r="X3196" i="2"/>
  <c r="X3184" i="2"/>
  <c r="X3190" i="2" s="1"/>
  <c r="X3172" i="2"/>
  <c r="X3173" i="2" s="1"/>
  <c r="X3174" i="2" s="1"/>
  <c r="X3175" i="2" s="1"/>
  <c r="X3178" i="2" s="1"/>
  <c r="Y3179" i="2" s="1"/>
  <c r="X3210" i="2" l="1"/>
  <c r="X3199" i="2"/>
  <c r="Z3207" i="2"/>
  <c r="X3198" i="2"/>
  <c r="X3204" i="2" s="1"/>
  <c r="X3186" i="2"/>
  <c r="X3187" i="2" s="1"/>
  <c r="X3224" i="2" l="1"/>
  <c r="X3213" i="2"/>
  <c r="Z3221" i="2"/>
  <c r="X3212" i="2"/>
  <c r="X3218" i="2" s="1"/>
  <c r="X3188" i="2"/>
  <c r="X3189" i="2" s="1"/>
  <c r="X3192" i="2" s="1"/>
  <c r="Y3193" i="2" s="1"/>
  <c r="X3200" i="2"/>
  <c r="X3201" i="2" s="1"/>
  <c r="X3202" i="2" s="1"/>
  <c r="X3203" i="2" s="1"/>
  <c r="X3206" i="2" s="1"/>
  <c r="Y3207" i="2" s="1"/>
  <c r="X3238" i="2" l="1"/>
  <c r="Z3235" i="2"/>
  <c r="X3226" i="2"/>
  <c r="X3232" i="2" s="1"/>
  <c r="X3227" i="2"/>
  <c r="X3214" i="2"/>
  <c r="X3215" i="2" s="1"/>
  <c r="X3216" i="2" s="1"/>
  <c r="X3217" i="2" s="1"/>
  <c r="X3220" i="2" s="1"/>
  <c r="Y3221" i="2" s="1"/>
  <c r="X3241" i="2" l="1"/>
  <c r="Z3249" i="2"/>
  <c r="X3240" i="2"/>
  <c r="X3252" i="2"/>
  <c r="X3228" i="2"/>
  <c r="X3229" i="2" s="1"/>
  <c r="X3230" i="2" s="1"/>
  <c r="X3231" i="2" s="1"/>
  <c r="X3234" i="2" s="1"/>
  <c r="Y3235" i="2" s="1"/>
  <c r="X3255" i="2" l="1"/>
  <c r="Z3263" i="2"/>
  <c r="X3254" i="2"/>
  <c r="X3260" i="2" s="1"/>
  <c r="X3266" i="2"/>
  <c r="X3242" i="2"/>
  <c r="X3243" i="2" s="1"/>
  <c r="X3244" i="2" s="1"/>
  <c r="X3245" i="2" s="1"/>
  <c r="X3246" i="2"/>
  <c r="X3248" i="2" l="1"/>
  <c r="Y3249" i="2" s="1"/>
  <c r="X3280" i="2"/>
  <c r="X3268" i="2"/>
  <c r="X3269" i="2"/>
  <c r="Z3277" i="2"/>
  <c r="X3256" i="2"/>
  <c r="X3257" i="2" s="1"/>
  <c r="X3270" i="2" l="1"/>
  <c r="X3271" i="2" s="1"/>
  <c r="X3272" i="2" s="1"/>
  <c r="X3273" i="2" s="1"/>
  <c r="X3274" i="2"/>
  <c r="Z3291" i="2"/>
  <c r="X3283" i="2"/>
  <c r="X3294" i="2"/>
  <c r="X3282" i="2"/>
  <c r="X3288" i="2" s="1"/>
  <c r="X3258" i="2"/>
  <c r="X3259" i="2" s="1"/>
  <c r="X3262" i="2" s="1"/>
  <c r="Y3263" i="2" s="1"/>
  <c r="X3276" i="2" l="1"/>
  <c r="Y3277" i="2" s="1"/>
  <c r="Z3305" i="2"/>
  <c r="X3308" i="2"/>
  <c r="X3296" i="2"/>
  <c r="X3302" i="2" s="1"/>
  <c r="X3297" i="2"/>
  <c r="X3284" i="2"/>
  <c r="X3285" i="2" s="1"/>
  <c r="X3286" i="2" s="1"/>
  <c r="X3287" i="2" s="1"/>
  <c r="X3290" i="2" s="1"/>
  <c r="Y3291" i="2" s="1"/>
  <c r="X3311" i="2" l="1"/>
  <c r="Z3319" i="2"/>
  <c r="X3322" i="2"/>
  <c r="X3310" i="2"/>
  <c r="X3298" i="2"/>
  <c r="X3299" i="2" s="1"/>
  <c r="X3312" i="2" l="1"/>
  <c r="X3313" i="2" s="1"/>
  <c r="X3314" i="2" s="1"/>
  <c r="X3315" i="2" s="1"/>
  <c r="Z3333" i="2"/>
  <c r="X3325" i="2"/>
  <c r="X3324" i="2"/>
  <c r="X3330" i="2" s="1"/>
  <c r="X3336" i="2"/>
  <c r="X3300" i="2"/>
  <c r="X3301" i="2" s="1"/>
  <c r="X3304" i="2" s="1"/>
  <c r="Y3305" i="2" s="1"/>
  <c r="X3316" i="2"/>
  <c r="X3318" i="2" l="1"/>
  <c r="Y3319" i="2" s="1"/>
  <c r="X3326" i="2"/>
  <c r="X3327" i="2" s="1"/>
  <c r="X3350" i="2"/>
  <c r="X3338" i="2"/>
  <c r="X3344" i="2" s="1"/>
  <c r="Z3347" i="2"/>
  <c r="X3339" i="2"/>
  <c r="X3328" i="2" l="1"/>
  <c r="X3329" i="2" s="1"/>
  <c r="X3332" i="2" s="1"/>
  <c r="Y3333" i="2" s="1"/>
  <c r="Z3361" i="2"/>
  <c r="X3353" i="2"/>
  <c r="X3352" i="2"/>
  <c r="X3364" i="2"/>
  <c r="X3340" i="2"/>
  <c r="X3341" i="2" s="1"/>
  <c r="X3342" i="2" s="1"/>
  <c r="X3343" i="2" s="1"/>
  <c r="X3346" i="2" s="1"/>
  <c r="Y3347" i="2" s="1"/>
  <c r="X3354" i="2" l="1"/>
  <c r="X3355" i="2" s="1"/>
  <c r="X3356" i="2" s="1"/>
  <c r="X3357" i="2" s="1"/>
  <c r="X3366" i="2"/>
  <c r="Z3375" i="2"/>
  <c r="X3367" i="2"/>
  <c r="X3378" i="2"/>
  <c r="X3358" i="2"/>
  <c r="X3360" i="2" l="1"/>
  <c r="Y3361" i="2" s="1"/>
  <c r="X3368" i="2"/>
  <c r="X3369" i="2" s="1"/>
  <c r="X3370" i="2" s="1"/>
  <c r="X3371" i="2" s="1"/>
  <c r="X3381" i="2"/>
  <c r="X3380" i="2"/>
  <c r="X3386" i="2" s="1"/>
  <c r="X3392" i="2"/>
  <c r="Z3389" i="2"/>
  <c r="X3372" i="2"/>
  <c r="X3374" i="2" l="1"/>
  <c r="Y3375" i="2" s="1"/>
  <c r="X3395" i="2"/>
  <c r="Z3403" i="2"/>
  <c r="X3406" i="2"/>
  <c r="X3394" i="2"/>
  <c r="X3382" i="2"/>
  <c r="X3383" i="2" s="1"/>
  <c r="X3396" i="2" l="1"/>
  <c r="X3400" i="2"/>
  <c r="X3384" i="2"/>
  <c r="X3385" i="2" s="1"/>
  <c r="X3388" i="2" s="1"/>
  <c r="Y3389" i="2" s="1"/>
  <c r="X3408" i="2"/>
  <c r="X3414" i="2" s="1"/>
  <c r="X3409" i="2"/>
  <c r="X3420" i="2"/>
  <c r="Z3417" i="2"/>
  <c r="X3410" i="2" l="1"/>
  <c r="X3411" i="2" s="1"/>
  <c r="X3412" i="2" s="1"/>
  <c r="X3413" i="2" s="1"/>
  <c r="X3416" i="2" s="1"/>
  <c r="X3397" i="2"/>
  <c r="X3398" i="2" s="1"/>
  <c r="X3399" i="2" s="1"/>
  <c r="X3402" i="2" s="1"/>
  <c r="Y3403" i="2" s="1"/>
  <c r="X3434" i="2"/>
  <c r="X3422" i="2"/>
  <c r="Z3431" i="2"/>
  <c r="X3423" i="2"/>
  <c r="Y3417" i="2" l="1"/>
  <c r="X3424" i="2"/>
  <c r="X3425" i="2" s="1"/>
  <c r="X3426" i="2" s="1"/>
  <c r="X3427" i="2" s="1"/>
  <c r="Z3445" i="2"/>
  <c r="X3436" i="2"/>
  <c r="X3442" i="2" s="1"/>
  <c r="X3437" i="2"/>
  <c r="X3448" i="2"/>
  <c r="X3428" i="2"/>
  <c r="X3430" i="2" l="1"/>
  <c r="Y3431" i="2" s="1"/>
  <c r="X3462" i="2"/>
  <c r="X3450" i="2"/>
  <c r="Z3459" i="2"/>
  <c r="X3451" i="2"/>
  <c r="X3438" i="2"/>
  <c r="X3452" i="2" l="1"/>
  <c r="X3453" i="2" s="1"/>
  <c r="X3454" i="2" s="1"/>
  <c r="X3455" i="2" s="1"/>
  <c r="X3456" i="2"/>
  <c r="Z3473" i="2"/>
  <c r="X3476" i="2"/>
  <c r="X3464" i="2"/>
  <c r="X3465" i="2"/>
  <c r="X3439" i="2"/>
  <c r="X3440" i="2" s="1"/>
  <c r="X3441" i="2" s="1"/>
  <c r="X3444" i="2" s="1"/>
  <c r="Y3445" i="2" s="1"/>
  <c r="X3458" i="2" l="1"/>
  <c r="Y3459" i="2" s="1"/>
  <c r="X3466" i="2"/>
  <c r="Z3487" i="2"/>
  <c r="X3490" i="2"/>
  <c r="X3479" i="2"/>
  <c r="X3478" i="2"/>
  <c r="X3470" i="2"/>
  <c r="X3480" i="2" l="1"/>
  <c r="X3481" i="2" s="1"/>
  <c r="X3482" i="2" s="1"/>
  <c r="X3483" i="2" s="1"/>
  <c r="X3467" i="2"/>
  <c r="X3468" i="2" s="1"/>
  <c r="X3469" i="2" s="1"/>
  <c r="X3472" i="2" s="1"/>
  <c r="Y3473" i="2" s="1"/>
  <c r="X3484" i="2"/>
  <c r="X3492" i="2"/>
  <c r="Z3501" i="2"/>
  <c r="X3504" i="2"/>
  <c r="X3493" i="2"/>
  <c r="X3486" i="2" l="1"/>
  <c r="Y3487" i="2" s="1"/>
  <c r="Z3515" i="2"/>
  <c r="X3518" i="2"/>
  <c r="X3506" i="2"/>
  <c r="X3512" i="2" s="1"/>
  <c r="X3507" i="2"/>
  <c r="X3494" i="2"/>
  <c r="X3498" i="2"/>
  <c r="X3495" i="2" l="1"/>
  <c r="X3496" i="2" s="1"/>
  <c r="X3497" i="2" s="1"/>
  <c r="X3500" i="2" s="1"/>
  <c r="Y3501" i="2" s="1"/>
  <c r="Z3529" i="2"/>
  <c r="X3532" i="2"/>
  <c r="X3520" i="2"/>
  <c r="X3521" i="2"/>
  <c r="X3508" i="2"/>
  <c r="X3522" i="2" l="1"/>
  <c r="X3509" i="2"/>
  <c r="X3510" i="2" s="1"/>
  <c r="X3511" i="2" s="1"/>
  <c r="X3514" i="2" s="1"/>
  <c r="Y3515" i="2" s="1"/>
  <c r="X3535" i="2"/>
  <c r="Z3543" i="2"/>
  <c r="X3546" i="2"/>
  <c r="X3534" i="2"/>
  <c r="X3526" i="2"/>
  <c r="X3523" i="2" l="1"/>
  <c r="X3524" i="2" s="1"/>
  <c r="X3525" i="2" s="1"/>
  <c r="X3528" i="2" s="1"/>
  <c r="Y3529" i="2" s="1"/>
  <c r="X3536" i="2"/>
  <c r="X3540" i="2"/>
  <c r="X3548" i="2"/>
  <c r="X3560" i="2"/>
  <c r="X3549" i="2"/>
  <c r="Z3557" i="2"/>
  <c r="X3537" i="2" l="1"/>
  <c r="X3538" i="2" s="1"/>
  <c r="X3539" i="2" s="1"/>
  <c r="X3542" i="2" s="1"/>
  <c r="Y3543" i="2" s="1"/>
  <c r="Z3571" i="2"/>
  <c r="X3563" i="2"/>
  <c r="X3574" i="2"/>
  <c r="X3562" i="2"/>
  <c r="X3554" i="2"/>
  <c r="X3550" i="2"/>
  <c r="X3564" i="2" l="1"/>
  <c r="X3565" i="2" s="1"/>
  <c r="X3551" i="2"/>
  <c r="X3577" i="2"/>
  <c r="X3588" i="2"/>
  <c r="Z3585" i="2"/>
  <c r="X3576" i="2"/>
  <c r="X3582" i="2" s="1"/>
  <c r="X3568" i="2"/>
  <c r="Z3599" i="2" l="1"/>
  <c r="X3602" i="2"/>
  <c r="X3591" i="2"/>
  <c r="X3590" i="2"/>
  <c r="X3552" i="2"/>
  <c r="X3553" i="2" s="1"/>
  <c r="X3556" i="2" s="1"/>
  <c r="Y3557" i="2" s="1"/>
  <c r="X3566" i="2"/>
  <c r="X3567" i="2" s="1"/>
  <c r="X3570" i="2" s="1"/>
  <c r="Y3571" i="2" s="1"/>
  <c r="X3578" i="2"/>
  <c r="X3592" i="2" l="1"/>
  <c r="X3596" i="2"/>
  <c r="X3579" i="2"/>
  <c r="X3616" i="2"/>
  <c r="X3605" i="2"/>
  <c r="X3604" i="2"/>
  <c r="X3610" i="2" s="1"/>
  <c r="Z3613" i="2"/>
  <c r="X3593" i="2" l="1"/>
  <c r="X3594" i="2" s="1"/>
  <c r="X3595" i="2" s="1"/>
  <c r="X3598" i="2" s="1"/>
  <c r="Y3599" i="2" s="1"/>
  <c r="X3580" i="2"/>
  <c r="X3581" i="2" s="1"/>
  <c r="X3584" i="2" s="1"/>
  <c r="Y3585" i="2" s="1"/>
  <c r="X3619" i="2"/>
  <c r="X3630" i="2"/>
  <c r="X3618" i="2"/>
  <c r="Z3627" i="2"/>
  <c r="X3606" i="2"/>
  <c r="X3624" i="2" l="1"/>
  <c r="X3620" i="2"/>
  <c r="X3607" i="2"/>
  <c r="X3632" i="2"/>
  <c r="X3638" i="2" s="1"/>
  <c r="Z3641" i="2"/>
  <c r="X3644" i="2"/>
  <c r="X3633" i="2"/>
  <c r="X3634" i="2" l="1"/>
  <c r="X3635" i="2" s="1"/>
  <c r="X3636" i="2" s="1"/>
  <c r="X3637" i="2" s="1"/>
  <c r="X3640" i="2" s="1"/>
  <c r="X3608" i="2"/>
  <c r="X3609" i="2" s="1"/>
  <c r="X3612" i="2" s="1"/>
  <c r="Y3613" i="2" s="1"/>
  <c r="X3621" i="2"/>
  <c r="X3622" i="2" s="1"/>
  <c r="X3623" i="2" s="1"/>
  <c r="X3626" i="2" s="1"/>
  <c r="Y3627" i="2" s="1"/>
  <c r="X3647" i="2"/>
  <c r="X3646" i="2"/>
  <c r="X3652" i="2" s="1"/>
  <c r="Z3655" i="2"/>
  <c r="X3658" i="2"/>
  <c r="Y3641" i="2" l="1"/>
  <c r="X3661" i="2"/>
  <c r="X3660" i="2"/>
  <c r="X3666" i="2" s="1"/>
  <c r="Z3669" i="2"/>
  <c r="X3672" i="2"/>
  <c r="X3648" i="2"/>
  <c r="X3686" i="2" l="1"/>
  <c r="X3674" i="2"/>
  <c r="Z3683" i="2"/>
  <c r="X3675" i="2"/>
  <c r="X3649" i="2"/>
  <c r="X3650" i="2" s="1"/>
  <c r="X3651" i="2" s="1"/>
  <c r="X3654" i="2" s="1"/>
  <c r="Y3655" i="2" s="1"/>
  <c r="X3662" i="2"/>
  <c r="X3676" i="2" l="1"/>
  <c r="X3680" i="2"/>
  <c r="Z3697" i="2"/>
  <c r="X3689" i="2"/>
  <c r="X3700" i="2"/>
  <c r="X3688" i="2"/>
  <c r="X3663" i="2"/>
  <c r="X3677" i="2" l="1"/>
  <c r="X3678" i="2" s="1"/>
  <c r="X3679" i="2" s="1"/>
  <c r="X3682" i="2" s="1"/>
  <c r="Y3683" i="2" s="1"/>
  <c r="X3690" i="2"/>
  <c r="X3691" i="2" s="1"/>
  <c r="X3664" i="2"/>
  <c r="X3665" i="2" s="1"/>
  <c r="X3668" i="2" s="1"/>
  <c r="Y3669" i="2" s="1"/>
  <c r="X3694" i="2"/>
  <c r="X3703" i="2"/>
  <c r="X3702" i="2"/>
  <c r="Z3711" i="2"/>
  <c r="X3714" i="2"/>
  <c r="X3692" i="2" l="1"/>
  <c r="X3693" i="2" s="1"/>
  <c r="X3696" i="2" s="1"/>
  <c r="Y3697" i="2" s="1"/>
  <c r="Z3725" i="2"/>
  <c r="X3716" i="2"/>
  <c r="X3722" i="2" s="1"/>
  <c r="X3728" i="2"/>
  <c r="X3717" i="2"/>
  <c r="X3704" i="2"/>
  <c r="X3708" i="2"/>
  <c r="X3731" i="2" l="1"/>
  <c r="X3742" i="2"/>
  <c r="Z3739" i="2"/>
  <c r="X3730" i="2"/>
  <c r="X3705" i="2"/>
  <c r="X3718" i="2"/>
  <c r="X3706" i="2" l="1"/>
  <c r="X3707" i="2" s="1"/>
  <c r="X3710" i="2" s="1"/>
  <c r="Y3711" i="2" s="1"/>
  <c r="Z3753" i="2"/>
  <c r="X3744" i="2"/>
  <c r="X3750" i="2" s="1"/>
  <c r="X3756" i="2"/>
  <c r="X3745" i="2"/>
  <c r="X3719" i="2"/>
  <c r="X3736" i="2"/>
  <c r="X3732" i="2"/>
  <c r="Z3767" i="2" l="1"/>
  <c r="X3758" i="2"/>
  <c r="X3770" i="2"/>
  <c r="X3759" i="2"/>
  <c r="X3733" i="2"/>
  <c r="X3734" i="2" s="1"/>
  <c r="X3735" i="2" s="1"/>
  <c r="X3738" i="2" s="1"/>
  <c r="Y3739" i="2" s="1"/>
  <c r="X3720" i="2"/>
  <c r="X3721" i="2" s="1"/>
  <c r="X3724" i="2" s="1"/>
  <c r="Y3725" i="2" s="1"/>
  <c r="X3746" i="2"/>
  <c r="X3747" i="2" l="1"/>
  <c r="X3748" i="2" s="1"/>
  <c r="X3749" i="2" s="1"/>
  <c r="X3752" i="2" s="1"/>
  <c r="Y3753" i="2" s="1"/>
  <c r="X3760" i="2"/>
  <c r="X3764" i="2"/>
  <c r="X3772" i="2"/>
  <c r="X3778" i="2" s="1"/>
  <c r="X3773" i="2"/>
  <c r="Z3781" i="2"/>
  <c r="X3784" i="2"/>
  <c r="X3774" i="2" l="1"/>
  <c r="X3775" i="2" s="1"/>
  <c r="X3776" i="2" s="1"/>
  <c r="X3777" i="2" s="1"/>
  <c r="X3780" i="2" s="1"/>
  <c r="X3761" i="2"/>
  <c r="X3798" i="2"/>
  <c r="X3786" i="2"/>
  <c r="X3787" i="2"/>
  <c r="Z3795" i="2"/>
  <c r="Y3781" i="2" l="1"/>
  <c r="X3788" i="2"/>
  <c r="X3801" i="2"/>
  <c r="X3800" i="2"/>
  <c r="X3806" i="2" s="1"/>
  <c r="Z3809" i="2"/>
  <c r="X3812" i="2"/>
  <c r="X3792" i="2"/>
  <c r="X3762" i="2"/>
  <c r="X3763" i="2" s="1"/>
  <c r="X3766" i="2" s="1"/>
  <c r="Y3767" i="2" s="1"/>
  <c r="X3789" i="2" l="1"/>
  <c r="X3790" i="2" s="1"/>
  <c r="X3791" i="2" s="1"/>
  <c r="X3794" i="2" s="1"/>
  <c r="Y3795" i="2" s="1"/>
  <c r="X3815" i="2"/>
  <c r="Z3823" i="2"/>
  <c r="X3826" i="2"/>
  <c r="X3814" i="2"/>
  <c r="X3820" i="2" s="1"/>
  <c r="X3802" i="2"/>
  <c r="X3828" i="2" l="1"/>
  <c r="X3834" i="2" s="1"/>
  <c r="X3829" i="2"/>
  <c r="Z3837" i="2"/>
  <c r="X3840" i="2"/>
  <c r="X3803" i="2"/>
  <c r="X3804" i="2" s="1"/>
  <c r="X3805" i="2" s="1"/>
  <c r="X3808" i="2" s="1"/>
  <c r="Y3809" i="2" s="1"/>
  <c r="X3816" i="2"/>
  <c r="X3830" i="2" l="1"/>
  <c r="X3817" i="2"/>
  <c r="X3854" i="2"/>
  <c r="Z3851" i="2"/>
  <c r="X3842" i="2"/>
  <c r="X3843" i="2"/>
  <c r="X3844" i="2" l="1"/>
  <c r="X3845" i="2" s="1"/>
  <c r="X3846" i="2" s="1"/>
  <c r="X3847" i="2" s="1"/>
  <c r="X3831" i="2"/>
  <c r="X3832" i="2" s="1"/>
  <c r="X3833" i="2" s="1"/>
  <c r="X3836" i="2" s="1"/>
  <c r="Y3837" i="2" s="1"/>
  <c r="X3818" i="2"/>
  <c r="X3819" i="2" s="1"/>
  <c r="X3822" i="2" s="1"/>
  <c r="Y3823" i="2" s="1"/>
  <c r="X3857" i="2"/>
  <c r="Z3865" i="2"/>
  <c r="X3868" i="2"/>
  <c r="X3856" i="2"/>
  <c r="X3848" i="2"/>
  <c r="X3850" i="2" l="1"/>
  <c r="Y3851" i="2" s="1"/>
  <c r="X3858" i="2"/>
  <c r="X3882" i="2"/>
  <c r="Z3879" i="2"/>
  <c r="X3871" i="2"/>
  <c r="X3870" i="2"/>
  <c r="X3876" i="2" s="1"/>
  <c r="X3862" i="2"/>
  <c r="X3859" i="2" l="1"/>
  <c r="X3860" i="2" s="1"/>
  <c r="X3861" i="2" s="1"/>
  <c r="X3864" i="2" s="1"/>
  <c r="Y3865" i="2" s="1"/>
  <c r="Z3893" i="2"/>
  <c r="X3896" i="2"/>
  <c r="X3885" i="2"/>
  <c r="X3884" i="2"/>
  <c r="X3890" i="2" s="1"/>
  <c r="X3872" i="2"/>
  <c r="X3873" i="2" l="1"/>
  <c r="X3874" i="2" s="1"/>
  <c r="X3875" i="2" s="1"/>
  <c r="X3878" i="2" s="1"/>
  <c r="Y3879" i="2" s="1"/>
  <c r="X3898" i="2"/>
  <c r="X3899" i="2"/>
  <c r="Z3907" i="2"/>
  <c r="X3910" i="2"/>
  <c r="X3886" i="2"/>
  <c r="X3900" i="2" l="1"/>
  <c r="X3913" i="2"/>
  <c r="Z3921" i="2"/>
  <c r="X3924" i="2"/>
  <c r="X3912" i="2"/>
  <c r="X3918" i="2" s="1"/>
  <c r="X3887" i="2"/>
  <c r="X3904" i="2"/>
  <c r="X3901" i="2" l="1"/>
  <c r="X3902" i="2" s="1"/>
  <c r="X3903" i="2" s="1"/>
  <c r="X3906" i="2" s="1"/>
  <c r="Y3907" i="2" s="1"/>
  <c r="X3926" i="2"/>
  <c r="X3932" i="2" s="1"/>
  <c r="Z3935" i="2"/>
  <c r="X3927" i="2"/>
  <c r="X3938" i="2"/>
  <c r="X3888" i="2"/>
  <c r="X3889" i="2" s="1"/>
  <c r="X3892" i="2" s="1"/>
  <c r="Y3893" i="2" s="1"/>
  <c r="X3914" i="2"/>
  <c r="X3928" i="2" l="1"/>
  <c r="X3929" i="2" s="1"/>
  <c r="X3930" i="2" s="1"/>
  <c r="X3931" i="2" s="1"/>
  <c r="X3934" i="2" s="1"/>
  <c r="Y3935" i="2" s="1"/>
  <c r="X3915" i="2"/>
  <c r="X3916" i="2" s="1"/>
  <c r="X3917" i="2" s="1"/>
  <c r="X3920" i="2" s="1"/>
  <c r="Y3921" i="2" s="1"/>
  <c r="X3941" i="2"/>
  <c r="X3952" i="2"/>
  <c r="X3940" i="2"/>
  <c r="X3946" i="2" s="1"/>
  <c r="Z3949" i="2"/>
  <c r="X3942" i="2" l="1"/>
  <c r="X3955" i="2"/>
  <c r="Z3963" i="2"/>
  <c r="X3966" i="2"/>
  <c r="X3954" i="2"/>
  <c r="X3956" i="2" l="1"/>
  <c r="X3957" i="2" s="1"/>
  <c r="X3958" i="2" s="1"/>
  <c r="X3959" i="2" s="1"/>
  <c r="X3960" i="2"/>
  <c r="X3943" i="2"/>
  <c r="Z3977" i="2"/>
  <c r="X3980" i="2"/>
  <c r="X3968" i="2"/>
  <c r="X3974" i="2" s="1"/>
  <c r="X3969" i="2"/>
  <c r="X3962" i="2" l="1"/>
  <c r="Y3963" i="2" s="1"/>
  <c r="X3982" i="2"/>
  <c r="X3988" i="2" s="1"/>
  <c r="X3994" i="2"/>
  <c r="X3983" i="2"/>
  <c r="Z3991" i="2"/>
  <c r="X3944" i="2"/>
  <c r="X3945" i="2" s="1"/>
  <c r="X3948" i="2" s="1"/>
  <c r="Y3949" i="2" s="1"/>
  <c r="X3970" i="2"/>
  <c r="X3984" i="2" l="1"/>
  <c r="X3997" i="2"/>
  <c r="X3996" i="2"/>
  <c r="Z4005" i="2"/>
  <c r="X4008" i="2"/>
  <c r="X3971" i="2"/>
  <c r="X3985" i="2" l="1"/>
  <c r="X3986" i="2" s="1"/>
  <c r="X3987" i="2" s="1"/>
  <c r="X3990" i="2" s="1"/>
  <c r="Y3991" i="2" s="1"/>
  <c r="X3998" i="2"/>
  <c r="X3972" i="2"/>
  <c r="X3973" i="2" s="1"/>
  <c r="X3976" i="2" s="1"/>
  <c r="Y3977" i="2" s="1"/>
  <c r="X4002" i="2"/>
  <c r="X4010" i="2"/>
  <c r="X4016" i="2" s="1"/>
  <c r="X4011" i="2"/>
  <c r="Z4019" i="2"/>
  <c r="X4022" i="2"/>
  <c r="X3999" i="2" l="1"/>
  <c r="X4000" i="2" s="1"/>
  <c r="X4001" i="2" s="1"/>
  <c r="X4004" i="2" s="1"/>
  <c r="Y4005" i="2" s="1"/>
  <c r="X4012" i="2"/>
  <c r="Z4033" i="2"/>
  <c r="X4024" i="2"/>
  <c r="X4030" i="2" s="1"/>
  <c r="X4036" i="2"/>
  <c r="X4025" i="2"/>
  <c r="X4013" i="2" l="1"/>
  <c r="X4014" i="2" s="1"/>
  <c r="X4015" i="2" s="1"/>
  <c r="X4018" i="2" s="1"/>
  <c r="Y4019" i="2" s="1"/>
  <c r="X4026" i="2"/>
  <c r="X4027" i="2" s="1"/>
  <c r="X4028" i="2" s="1"/>
  <c r="X4029" i="2" s="1"/>
  <c r="X4032" i="2" s="1"/>
  <c r="Z4047" i="2"/>
  <c r="X4038" i="2"/>
  <c r="X4044" i="2" s="1"/>
  <c r="X4050" i="2"/>
  <c r="X4039" i="2"/>
  <c r="Y4033" i="2" l="1"/>
  <c r="Z4061" i="2"/>
  <c r="X4064" i="2"/>
  <c r="X4053" i="2"/>
  <c r="X4052" i="2"/>
  <c r="X4040" i="2"/>
  <c r="X4054" i="2" l="1"/>
  <c r="X4055" i="2" s="1"/>
  <c r="X4056" i="2" s="1"/>
  <c r="X4057" i="2" s="1"/>
  <c r="X4041" i="2"/>
  <c r="X4042" i="2" s="1"/>
  <c r="X4043" i="2" s="1"/>
  <c r="X4046" i="2" s="1"/>
  <c r="Y4047" i="2" s="1"/>
  <c r="X4067" i="2"/>
  <c r="X4078" i="2"/>
  <c r="Z4075" i="2"/>
  <c r="X4066" i="2"/>
  <c r="X4072" i="2" s="1"/>
  <c r="X4058" i="2"/>
  <c r="X4060" i="2" l="1"/>
  <c r="Y4061" i="2" s="1"/>
  <c r="X4081" i="2"/>
  <c r="X4080" i="2"/>
  <c r="X4086" i="2" s="1"/>
  <c r="Z4089" i="2"/>
  <c r="X4092" i="2"/>
  <c r="X4068" i="2"/>
  <c r="X4069" i="2" l="1"/>
  <c r="X4070" i="2" s="1"/>
  <c r="X4071" i="2" s="1"/>
  <c r="X4074" i="2" s="1"/>
  <c r="Y4075" i="2" s="1"/>
  <c r="X4106" i="2"/>
  <c r="X4095" i="2"/>
  <c r="X4094" i="2"/>
  <c r="Z4103" i="2"/>
  <c r="X4082" i="2"/>
  <c r="X4096" i="2" l="1"/>
  <c r="X4097" i="2" s="1"/>
  <c r="X4098" i="2" s="1"/>
  <c r="X4099" i="2" s="1"/>
  <c r="X4100" i="2"/>
  <c r="Z4117" i="2"/>
  <c r="X4108" i="2"/>
  <c r="X4120" i="2"/>
  <c r="X4109" i="2"/>
  <c r="X4083" i="2"/>
  <c r="X4102" i="2" l="1"/>
  <c r="Y4103" i="2" s="1"/>
  <c r="X4110" i="2"/>
  <c r="X4111" i="2" s="1"/>
  <c r="X4084" i="2"/>
  <c r="X4085" i="2" s="1"/>
  <c r="X4088" i="2" s="1"/>
  <c r="Y4089" i="2" s="1"/>
  <c r="Z4131" i="2"/>
  <c r="X4123" i="2"/>
  <c r="X4134" i="2"/>
  <c r="X4122" i="2"/>
  <c r="X4114" i="2"/>
  <c r="X4124" i="2" l="1"/>
  <c r="X4125" i="2" s="1"/>
  <c r="X4112" i="2"/>
  <c r="X4113" i="2" s="1"/>
  <c r="X4116" i="2" s="1"/>
  <c r="Y4117" i="2" s="1"/>
  <c r="X4148" i="2"/>
  <c r="X4136" i="2"/>
  <c r="X4142" i="2" s="1"/>
  <c r="X4137" i="2"/>
  <c r="Z4145" i="2"/>
  <c r="X4128" i="2"/>
  <c r="X4138" i="2" l="1"/>
  <c r="X4139" i="2" s="1"/>
  <c r="Z4159" i="2"/>
  <c r="X4162" i="2"/>
  <c r="X4151" i="2"/>
  <c r="X4150" i="2"/>
  <c r="X4126" i="2"/>
  <c r="X4127" i="2" s="1"/>
  <c r="X4130" i="2" s="1"/>
  <c r="Y4131" i="2" s="1"/>
  <c r="X4152" i="2" l="1"/>
  <c r="X4156" i="2"/>
  <c r="X4164" i="2"/>
  <c r="X4170" i="2" s="1"/>
  <c r="Z4173" i="2"/>
  <c r="X4176" i="2"/>
  <c r="X4165" i="2"/>
  <c r="X4140" i="2"/>
  <c r="X4141" i="2" s="1"/>
  <c r="X4144" i="2" s="1"/>
  <c r="Y4145" i="2" s="1"/>
  <c r="X4153" i="2" l="1"/>
  <c r="X4154" i="2" s="1"/>
  <c r="X4155" i="2" s="1"/>
  <c r="X4158" i="2" s="1"/>
  <c r="Y4159" i="2" s="1"/>
  <c r="Z4187" i="2"/>
  <c r="X4178" i="2"/>
  <c r="X4190" i="2"/>
  <c r="X4179" i="2"/>
  <c r="X4166" i="2"/>
  <c r="Z4201" i="2" l="1"/>
  <c r="X4204" i="2"/>
  <c r="X4192" i="2"/>
  <c r="X4193" i="2"/>
  <c r="X4167" i="2"/>
  <c r="X4184" i="2"/>
  <c r="X4180" i="2"/>
  <c r="X4194" i="2" l="1"/>
  <c r="X4195" i="2" s="1"/>
  <c r="X4196" i="2" s="1"/>
  <c r="X4197" i="2" s="1"/>
  <c r="X4198" i="2"/>
  <c r="X4206" i="2"/>
  <c r="X4212" i="2" s="1"/>
  <c r="X4207" i="2"/>
  <c r="Z4215" i="2"/>
  <c r="X4218" i="2"/>
  <c r="X4168" i="2"/>
  <c r="X4169" i="2" s="1"/>
  <c r="X4172" i="2" s="1"/>
  <c r="Y4173" i="2" s="1"/>
  <c r="X4181" i="2"/>
  <c r="X4200" i="2" l="1"/>
  <c r="Y4201" i="2" s="1"/>
  <c r="X4182" i="2"/>
  <c r="X4183" i="2" s="1"/>
  <c r="X4186" i="2" s="1"/>
  <c r="Y4187" i="2" s="1"/>
  <c r="X4221" i="2"/>
  <c r="Z4229" i="2"/>
  <c r="X4232" i="2"/>
  <c r="X4220" i="2"/>
  <c r="X4208" i="2"/>
  <c r="X4222" i="2" l="1"/>
  <c r="X4223" i="2" s="1"/>
  <c r="X4235" i="2"/>
  <c r="X4246" i="2"/>
  <c r="X4234" i="2"/>
  <c r="X4240" i="2" s="1"/>
  <c r="Z4243" i="2"/>
  <c r="X4209" i="2"/>
  <c r="X4226" i="2"/>
  <c r="Z4257" i="2" l="1"/>
  <c r="X4249" i="2"/>
  <c r="X4260" i="2"/>
  <c r="X4248" i="2"/>
  <c r="X4254" i="2" s="1"/>
  <c r="X4224" i="2"/>
  <c r="X4225" i="2" s="1"/>
  <c r="X4228" i="2" s="1"/>
  <c r="Y4229" i="2" s="1"/>
  <c r="X4210" i="2"/>
  <c r="X4211" i="2" s="1"/>
  <c r="X4214" i="2" s="1"/>
  <c r="Y4215" i="2" s="1"/>
  <c r="X4236" i="2"/>
  <c r="X4237" i="2" l="1"/>
  <c r="X4238" i="2" s="1"/>
  <c r="X4239" i="2" s="1"/>
  <c r="X4242" i="2" s="1"/>
  <c r="Y4243" i="2" s="1"/>
  <c r="X4262" i="2"/>
  <c r="X4268" i="2" s="1"/>
  <c r="Z4271" i="2"/>
  <c r="X4263" i="2"/>
  <c r="X4274" i="2"/>
  <c r="X4250" i="2"/>
  <c r="X4288" i="2" l="1"/>
  <c r="Z4285" i="2"/>
  <c r="X4277" i="2"/>
  <c r="X4276" i="2"/>
  <c r="X4251" i="2"/>
  <c r="X4252" i="2" s="1"/>
  <c r="X4253" i="2" s="1"/>
  <c r="X4256" i="2" s="1"/>
  <c r="Y4257" i="2" s="1"/>
  <c r="X4264" i="2"/>
  <c r="X4278" i="2" l="1"/>
  <c r="X4279" i="2" s="1"/>
  <c r="X4280" i="2" s="1"/>
  <c r="X4281" i="2" s="1"/>
  <c r="Z4299" i="2"/>
  <c r="X4302" i="2"/>
  <c r="X4290" i="2"/>
  <c r="X4291" i="2"/>
  <c r="X4282" i="2"/>
  <c r="X4265" i="2"/>
  <c r="X4284" i="2" l="1"/>
  <c r="Y4285" i="2" s="1"/>
  <c r="X4292" i="2"/>
  <c r="X4293" i="2" s="1"/>
  <c r="X4296" i="2"/>
  <c r="X4266" i="2"/>
  <c r="X4267" i="2" s="1"/>
  <c r="X4270" i="2" s="1"/>
  <c r="Y4271" i="2" s="1"/>
  <c r="X4305" i="2"/>
  <c r="Z4313" i="2"/>
  <c r="X4304" i="2"/>
  <c r="X4316" i="2"/>
  <c r="X4306" i="2" l="1"/>
  <c r="X4307" i="2" s="1"/>
  <c r="X4294" i="2"/>
  <c r="X4295" i="2" s="1"/>
  <c r="X4298" i="2" s="1"/>
  <c r="Y4299" i="2" s="1"/>
  <c r="X4318" i="2"/>
  <c r="X4319" i="2"/>
  <c r="Z4327" i="2"/>
  <c r="X4330" i="2"/>
  <c r="X4310" i="2"/>
  <c r="X4320" i="2" l="1"/>
  <c r="X4324" i="2"/>
  <c r="X4332" i="2"/>
  <c r="X4338" i="2" s="1"/>
  <c r="X4344" i="2"/>
  <c r="X4333" i="2"/>
  <c r="Z4341" i="2"/>
  <c r="X4308" i="2"/>
  <c r="X4309" i="2" s="1"/>
  <c r="X4312" i="2" s="1"/>
  <c r="Y4313" i="2" s="1"/>
  <c r="X4321" i="2" l="1"/>
  <c r="X4322" i="2" s="1"/>
  <c r="X4323" i="2" s="1"/>
  <c r="X4334" i="2"/>
  <c r="X4358" i="2"/>
  <c r="X4346" i="2"/>
  <c r="X4352" i="2" s="1"/>
  <c r="X4347" i="2"/>
  <c r="Z4355" i="2"/>
  <c r="X4326" i="2" l="1"/>
  <c r="Y4327" i="2" s="1"/>
  <c r="X4335" i="2"/>
  <c r="X4361" i="2"/>
  <c r="X4372" i="2"/>
  <c r="Z4369" i="2"/>
  <c r="X4360" i="2"/>
  <c r="X4348" i="2"/>
  <c r="X4362" i="2" l="1"/>
  <c r="X4363" i="2" s="1"/>
  <c r="X4366" i="2"/>
  <c r="X4336" i="2"/>
  <c r="X4337" i="2" s="1"/>
  <c r="X4340" i="2" s="1"/>
  <c r="Y4341" i="2" s="1"/>
  <c r="X4349" i="2"/>
  <c r="Z4383" i="2"/>
  <c r="X4386" i="2"/>
  <c r="X4375" i="2"/>
  <c r="X4374" i="2"/>
  <c r="X4380" i="2" s="1"/>
  <c r="Z4397" i="2" l="1"/>
  <c r="X4400" i="2"/>
  <c r="X4389" i="2"/>
  <c r="X4388" i="2"/>
  <c r="X4394" i="2" s="1"/>
  <c r="X4364" i="2"/>
  <c r="X4365" i="2" s="1"/>
  <c r="X4368" i="2" s="1"/>
  <c r="Y4369" i="2" s="1"/>
  <c r="X4350" i="2"/>
  <c r="X4351" i="2" s="1"/>
  <c r="X4354" i="2" s="1"/>
  <c r="Y4355" i="2" s="1"/>
  <c r="X4376" i="2"/>
  <c r="X4403" i="2" l="1"/>
  <c r="Z4411" i="2"/>
  <c r="X4414" i="2"/>
  <c r="X4402" i="2"/>
  <c r="X4377" i="2"/>
  <c r="X4390" i="2"/>
  <c r="X4378" i="2" l="1"/>
  <c r="X4379" i="2" s="1"/>
  <c r="X4382" i="2" s="1"/>
  <c r="Y4383" i="2" s="1"/>
  <c r="X4391" i="2"/>
  <c r="X4417" i="2"/>
  <c r="X4416" i="2"/>
  <c r="X4422" i="2" s="1"/>
  <c r="Z4425" i="2"/>
  <c r="X4428" i="2"/>
  <c r="X4408" i="2"/>
  <c r="X4404" i="2"/>
  <c r="X4405" i="2" l="1"/>
  <c r="X4392" i="2"/>
  <c r="X4393" i="2" s="1"/>
  <c r="X4396" i="2" s="1"/>
  <c r="Y4397" i="2" s="1"/>
  <c r="Z4439" i="2"/>
  <c r="X4430" i="2"/>
  <c r="X4442" i="2"/>
  <c r="X4431" i="2"/>
  <c r="X4418" i="2"/>
  <c r="X4432" i="2" l="1"/>
  <c r="X4433" i="2" s="1"/>
  <c r="X4419" i="2"/>
  <c r="X4406" i="2"/>
  <c r="X4407" i="2" s="1"/>
  <c r="X4410" i="2" s="1"/>
  <c r="Y4411" i="2" s="1"/>
  <c r="X4436" i="2"/>
  <c r="X4445" i="2"/>
  <c r="Z4453" i="2"/>
  <c r="X4456" i="2"/>
  <c r="X4444" i="2"/>
  <c r="X4446" i="2" l="1"/>
  <c r="X4459" i="2"/>
  <c r="Z4467" i="2"/>
  <c r="X4470" i="2"/>
  <c r="X4458" i="2"/>
  <c r="X4464" i="2" s="1"/>
  <c r="X4434" i="2"/>
  <c r="X4435" i="2" s="1"/>
  <c r="X4438" i="2" s="1"/>
  <c r="Y4439" i="2" s="1"/>
  <c r="X4420" i="2"/>
  <c r="X4421" i="2" s="1"/>
  <c r="X4424" i="2" s="1"/>
  <c r="Y4425" i="2" s="1"/>
  <c r="X4450" i="2"/>
  <c r="X4447" i="2" l="1"/>
  <c r="X4448" i="2" s="1"/>
  <c r="X4449" i="2" s="1"/>
  <c r="X4472" i="2"/>
  <c r="X4478" i="2" s="1"/>
  <c r="Z4481" i="2"/>
  <c r="X4484" i="2"/>
  <c r="X4473" i="2"/>
  <c r="X4460" i="2"/>
  <c r="X4452" i="2" l="1"/>
  <c r="Y4453" i="2" s="1"/>
  <c r="X4487" i="2"/>
  <c r="Z4495" i="2"/>
  <c r="X4486" i="2"/>
  <c r="X4492" i="2" s="1"/>
  <c r="X4498" i="2"/>
  <c r="X4461" i="2"/>
  <c r="X4474" i="2"/>
  <c r="X4462" i="2" l="1"/>
  <c r="X4463" i="2" s="1"/>
  <c r="X4466" i="2" s="1"/>
  <c r="Y4467" i="2" s="1"/>
  <c r="X4475" i="2"/>
  <c r="X4512" i="2"/>
  <c r="X4501" i="2"/>
  <c r="X4500" i="2"/>
  <c r="X4506" i="2" s="1"/>
  <c r="Z4509" i="2"/>
  <c r="X4488" i="2"/>
  <c r="X4515" i="2" l="1"/>
  <c r="X4526" i="2"/>
  <c r="X4514" i="2"/>
  <c r="Z4523" i="2"/>
  <c r="X4489" i="2"/>
  <c r="X4476" i="2"/>
  <c r="X4477" i="2" s="1"/>
  <c r="X4480" i="2" s="1"/>
  <c r="Y4481" i="2" s="1"/>
  <c r="X4502" i="2"/>
  <c r="X4516" i="2" l="1"/>
  <c r="X4503" i="2"/>
  <c r="X4529" i="2"/>
  <c r="X4540" i="2"/>
  <c r="X4528" i="2"/>
  <c r="X4534" i="2" s="1"/>
  <c r="Z4537" i="2"/>
  <c r="X4490" i="2"/>
  <c r="X4491" i="2" s="1"/>
  <c r="X4494" i="2" s="1"/>
  <c r="Y4495" i="2" s="1"/>
  <c r="X4520" i="2"/>
  <c r="X4517" i="2" l="1"/>
  <c r="X4530" i="2"/>
  <c r="X4504" i="2"/>
  <c r="X4505" i="2" s="1"/>
  <c r="X4508" i="2" s="1"/>
  <c r="Y4509" i="2" s="1"/>
  <c r="Z4551" i="2"/>
  <c r="X4543" i="2"/>
  <c r="X4542" i="2"/>
  <c r="X4548" i="2" s="1"/>
  <c r="X4554" i="2"/>
  <c r="X4518" i="2" l="1"/>
  <c r="X4519" i="2" s="1"/>
  <c r="X4522" i="2" s="1"/>
  <c r="Y4523" i="2" s="1"/>
  <c r="X4557" i="2"/>
  <c r="X4556" i="2"/>
  <c r="X4562" i="2" s="1"/>
  <c r="Z4565" i="2"/>
  <c r="X4568" i="2"/>
  <c r="X4531" i="2"/>
  <c r="X4544" i="2"/>
  <c r="X4558" i="2" l="1"/>
  <c r="X4532" i="2"/>
  <c r="X4533" i="2" s="1"/>
  <c r="X4536" i="2" s="1"/>
  <c r="Y4537" i="2" s="1"/>
  <c r="X4545" i="2"/>
  <c r="X4570" i="2"/>
  <c r="X4576" i="2" s="1"/>
  <c r="Z4579" i="2"/>
  <c r="X4582" i="2"/>
  <c r="X4571" i="2"/>
  <c r="X4572" i="2" l="1"/>
  <c r="X4546" i="2"/>
  <c r="X4547" i="2" s="1"/>
  <c r="X4550" i="2" s="1"/>
  <c r="Y4551" i="2" s="1"/>
  <c r="X4559" i="2"/>
  <c r="X4585" i="2"/>
  <c r="X4584" i="2"/>
  <c r="Z4593" i="2"/>
  <c r="X4596" i="2"/>
  <c r="X4560" i="2" l="1"/>
  <c r="X4561" i="2" s="1"/>
  <c r="X4564" i="2" s="1"/>
  <c r="Y4565" i="2" s="1"/>
  <c r="X4573" i="2"/>
  <c r="Z4607" i="2"/>
  <c r="X4610" i="2"/>
  <c r="X4598" i="2"/>
  <c r="X4599" i="2"/>
  <c r="X4586" i="2"/>
  <c r="X4590" i="2"/>
  <c r="X4587" i="2" l="1"/>
  <c r="X4624" i="2"/>
  <c r="Z4621" i="2"/>
  <c r="X4613" i="2"/>
  <c r="X4612" i="2"/>
  <c r="X4574" i="2"/>
  <c r="X4575" i="2" s="1"/>
  <c r="X4578" i="2" s="1"/>
  <c r="Y4579" i="2" s="1"/>
  <c r="X4600" i="2"/>
  <c r="X4604" i="2"/>
  <c r="X4618" i="2" l="1"/>
  <c r="X4614" i="2"/>
  <c r="X4601" i="2"/>
  <c r="X4588" i="2"/>
  <c r="X4589" i="2" s="1"/>
  <c r="X4592" i="2" s="1"/>
  <c r="Y4593" i="2" s="1"/>
  <c r="Z4635" i="2"/>
  <c r="X4638" i="2"/>
  <c r="X4626" i="2"/>
  <c r="X4627" i="2"/>
  <c r="X4628" i="2" l="1"/>
  <c r="X4615" i="2"/>
  <c r="X4602" i="2"/>
  <c r="X4603" i="2" s="1"/>
  <c r="X4606" i="2" s="1"/>
  <c r="Y4607" i="2" s="1"/>
  <c r="X4641" i="2"/>
  <c r="X4652" i="2"/>
  <c r="Z4649" i="2"/>
  <c r="X4640" i="2"/>
  <c r="X4632" i="2"/>
  <c r="X4642" i="2" l="1"/>
  <c r="X4643" i="2" s="1"/>
  <c r="X4629" i="2"/>
  <c r="X4630" i="2" s="1"/>
  <c r="X4631" i="2" s="1"/>
  <c r="X4646" i="2"/>
  <c r="X4616" i="2"/>
  <c r="X4617" i="2" s="1"/>
  <c r="X4620" i="2" s="1"/>
  <c r="Y4621" i="2" s="1"/>
  <c r="X4655" i="2"/>
  <c r="Z4663" i="2"/>
  <c r="X4654" i="2"/>
  <c r="X4634" i="2" l="1"/>
  <c r="Y4635" i="2" s="1"/>
  <c r="X4656" i="2"/>
  <c r="X4657" i="2" s="1"/>
  <c r="X4644" i="2"/>
  <c r="X4645" i="2" s="1"/>
  <c r="X4648" i="2" s="1"/>
  <c r="Y4649" i="2" s="1"/>
  <c r="X4660" i="2"/>
  <c r="X4658" i="2" l="1"/>
  <c r="X4659" i="2" s="1"/>
  <c r="X4662" i="2" s="1"/>
  <c r="Y4663" i="2" s="1"/>
  <c r="Z18" i="2" s="1"/>
  <c r="Z20" i="2" s="1"/>
  <c r="Z19" i="2" l="1"/>
  <c r="H40" i="3" s="1"/>
  <c r="G44" i="3" l="1"/>
  <c r="G41" i="3" s="1"/>
  <c r="G40" i="3"/>
  <c r="F44" i="3" s="1"/>
  <c r="F41" i="3" s="1"/>
  <c r="AA33" i="2"/>
  <c r="AC44" i="2" s="1"/>
  <c r="AA36" i="2" l="1"/>
  <c r="AA35" i="2"/>
  <c r="AA41" i="2" s="1"/>
  <c r="AA46" i="2"/>
  <c r="AC57" i="2" s="1"/>
  <c r="AA48" i="2" l="1"/>
  <c r="AA54" i="2" s="1"/>
  <c r="AA49" i="2"/>
  <c r="AA37" i="2"/>
  <c r="AA38" i="2" s="1"/>
  <c r="AA39" i="2" s="1"/>
  <c r="AA40" i="2" s="1"/>
  <c r="AA43" i="2" s="1"/>
  <c r="AB44" i="2" s="1"/>
  <c r="AA60" i="2"/>
  <c r="AC71" i="2" s="1"/>
  <c r="AA50" i="2" l="1"/>
  <c r="AA51" i="2" s="1"/>
  <c r="AA52" i="2" s="1"/>
  <c r="AA53" i="2" s="1"/>
  <c r="AA56" i="2" s="1"/>
  <c r="AB57" i="2" s="1"/>
  <c r="AA62" i="2"/>
  <c r="AA68" i="2" s="1"/>
  <c r="AA63" i="2"/>
  <c r="AA74" i="2"/>
  <c r="AA77" i="2" s="1"/>
  <c r="AA76" i="2" l="1"/>
  <c r="AA78" i="2" s="1"/>
  <c r="AA79" i="2" s="1"/>
  <c r="AA80" i="2" s="1"/>
  <c r="AA81" i="2" s="1"/>
  <c r="AA64" i="2"/>
  <c r="AA65" i="2" s="1"/>
  <c r="AA66" i="2" s="1"/>
  <c r="AA67" i="2" s="1"/>
  <c r="AA70" i="2" s="1"/>
  <c r="AB71" i="2" s="1"/>
  <c r="AA88" i="2"/>
  <c r="AC99" i="2" s="1"/>
  <c r="AC85" i="2"/>
  <c r="AA82" i="2" l="1"/>
  <c r="AA84" i="2" s="1"/>
  <c r="AB85" i="2" s="1"/>
  <c r="AA91" i="2"/>
  <c r="AA90" i="2"/>
  <c r="AA96" i="2" s="1"/>
  <c r="AA102" i="2"/>
  <c r="AA104" i="2" s="1"/>
  <c r="AA110" i="2" s="1"/>
  <c r="AC113" i="2" l="1"/>
  <c r="AA116" i="2"/>
  <c r="AA118" i="2" s="1"/>
  <c r="AA124" i="2" s="1"/>
  <c r="AA105" i="2"/>
  <c r="AA106" i="2" s="1"/>
  <c r="AA107" i="2" s="1"/>
  <c r="AA108" i="2" s="1"/>
  <c r="AA109" i="2" s="1"/>
  <c r="AA112" i="2" s="1"/>
  <c r="AB113" i="2" s="1"/>
  <c r="AA92" i="2"/>
  <c r="AA93" i="2" s="1"/>
  <c r="AA94" i="2" s="1"/>
  <c r="AA95" i="2" s="1"/>
  <c r="AA98" i="2" s="1"/>
  <c r="AB99" i="2" s="1"/>
  <c r="AA130" i="2" l="1"/>
  <c r="AA133" i="2" s="1"/>
  <c r="AC127" i="2"/>
  <c r="AA119" i="2"/>
  <c r="AA120" i="2" s="1"/>
  <c r="AA121" i="2" s="1"/>
  <c r="AA122" i="2" s="1"/>
  <c r="AA123" i="2" s="1"/>
  <c r="AA126" i="2" s="1"/>
  <c r="AB127" i="2" s="1"/>
  <c r="AA132" i="2" l="1"/>
  <c r="AA134" i="2" s="1"/>
  <c r="AA135" i="2" s="1"/>
  <c r="AA136" i="2" s="1"/>
  <c r="AA137" i="2" s="1"/>
  <c r="AA144" i="2"/>
  <c r="AC155" i="2" s="1"/>
  <c r="AC141" i="2"/>
  <c r="AA146" i="2" l="1"/>
  <c r="AA152" i="2" s="1"/>
  <c r="AA147" i="2"/>
  <c r="AA158" i="2"/>
  <c r="AA172" i="2" s="1"/>
  <c r="AA138" i="2"/>
  <c r="AA140" i="2" s="1"/>
  <c r="AB141" i="2" s="1"/>
  <c r="AC169" i="2" l="1"/>
  <c r="AA148" i="2"/>
  <c r="AA149" i="2" s="1"/>
  <c r="AA150" i="2" s="1"/>
  <c r="AA151" i="2" s="1"/>
  <c r="AA154" i="2" s="1"/>
  <c r="AB155" i="2" s="1"/>
  <c r="AA160" i="2"/>
  <c r="AA161" i="2"/>
  <c r="AA186" i="2"/>
  <c r="AC183" i="2"/>
  <c r="AA175" i="2"/>
  <c r="AA174" i="2"/>
  <c r="AA162" i="2" l="1"/>
  <c r="AA163" i="2" s="1"/>
  <c r="AA164" i="2" s="1"/>
  <c r="AA165" i="2" s="1"/>
  <c r="AA168" i="2" s="1"/>
  <c r="AB169" i="2" s="1"/>
  <c r="AA166" i="2"/>
  <c r="AA176" i="2"/>
  <c r="AA177" i="2" s="1"/>
  <c r="AA178" i="2" s="1"/>
  <c r="AA179" i="2" s="1"/>
  <c r="AA189" i="2"/>
  <c r="AA188" i="2"/>
  <c r="AA200" i="2"/>
  <c r="AC197" i="2"/>
  <c r="AA180" i="2"/>
  <c r="AA182" i="2" l="1"/>
  <c r="AB183" i="2" s="1"/>
  <c r="AA203" i="2"/>
  <c r="AA202" i="2"/>
  <c r="AA208" i="2" s="1"/>
  <c r="AC211" i="2"/>
  <c r="AA214" i="2"/>
  <c r="AA190" i="2"/>
  <c r="AA191" i="2" s="1"/>
  <c r="AA192" i="2" s="1"/>
  <c r="AA193" i="2" s="1"/>
  <c r="AA196" i="2" s="1"/>
  <c r="AB197" i="2" s="1"/>
  <c r="AA194" i="2"/>
  <c r="AA204" i="2" l="1"/>
  <c r="AA205" i="2" s="1"/>
  <c r="AA206" i="2" s="1"/>
  <c r="AA207" i="2" s="1"/>
  <c r="AA210" i="2" s="1"/>
  <c r="AB211" i="2" s="1"/>
  <c r="AA216" i="2"/>
  <c r="AA217" i="2"/>
  <c r="AA228" i="2"/>
  <c r="AC225" i="2"/>
  <c r="AA218" i="2" l="1"/>
  <c r="AA219" i="2" s="1"/>
  <c r="AA220" i="2" s="1"/>
  <c r="AA221" i="2" s="1"/>
  <c r="AA222" i="2"/>
  <c r="AA242" i="2"/>
  <c r="AC239" i="2"/>
  <c r="AA231" i="2"/>
  <c r="AA230" i="2"/>
  <c r="AA236" i="2" s="1"/>
  <c r="AA224" i="2" l="1"/>
  <c r="AB225" i="2" s="1"/>
  <c r="AA245" i="2"/>
  <c r="AC253" i="2"/>
  <c r="AA244" i="2"/>
  <c r="AA250" i="2" s="1"/>
  <c r="AA256" i="2"/>
  <c r="AA232" i="2"/>
  <c r="AA233" i="2" s="1"/>
  <c r="AA234" i="2" s="1"/>
  <c r="AA235" i="2" s="1"/>
  <c r="AA238" i="2" s="1"/>
  <c r="AB239" i="2" s="1"/>
  <c r="AA270" i="2" l="1"/>
  <c r="AA259" i="2"/>
  <c r="AC267" i="2"/>
  <c r="AA258" i="2"/>
  <c r="AA246" i="2"/>
  <c r="AA247" i="2" s="1"/>
  <c r="AA248" i="2" s="1"/>
  <c r="AA249" i="2" s="1"/>
  <c r="AA252" i="2" s="1"/>
  <c r="AB253" i="2" s="1"/>
  <c r="AA260" i="2" l="1"/>
  <c r="AA261" i="2" s="1"/>
  <c r="AA262" i="2" s="1"/>
  <c r="AA263" i="2" s="1"/>
  <c r="AC281" i="2"/>
  <c r="AA273" i="2"/>
  <c r="AA272" i="2"/>
  <c r="AA278" i="2" s="1"/>
  <c r="AA284" i="2"/>
  <c r="AA264" i="2"/>
  <c r="AA266" i="2" l="1"/>
  <c r="AB267" i="2" s="1"/>
  <c r="AA298" i="2"/>
  <c r="AC295" i="2"/>
  <c r="AA287" i="2"/>
  <c r="AA286" i="2"/>
  <c r="AA292" i="2" s="1"/>
  <c r="AA274" i="2"/>
  <c r="AA275" i="2" s="1"/>
  <c r="AA276" i="2" s="1"/>
  <c r="AA277" i="2" s="1"/>
  <c r="AA280" i="2" s="1"/>
  <c r="AB281" i="2" s="1"/>
  <c r="AA301" i="2" l="1"/>
  <c r="AA300" i="2"/>
  <c r="AC309" i="2"/>
  <c r="AA312" i="2"/>
  <c r="AA288" i="2"/>
  <c r="AA289" i="2" s="1"/>
  <c r="AA290" i="2" s="1"/>
  <c r="AA291" i="2" s="1"/>
  <c r="AA294" i="2" s="1"/>
  <c r="AB295" i="2" s="1"/>
  <c r="AA314" i="2" l="1"/>
  <c r="AA320" i="2" s="1"/>
  <c r="AC323" i="2"/>
  <c r="AA315" i="2"/>
  <c r="AA326" i="2"/>
  <c r="AA302" i="2"/>
  <c r="AA303" i="2" s="1"/>
  <c r="AA304" i="2" s="1"/>
  <c r="AA305" i="2" s="1"/>
  <c r="AA308" i="2" s="1"/>
  <c r="AB309" i="2" s="1"/>
  <c r="AA306" i="2"/>
  <c r="AA316" i="2" l="1"/>
  <c r="AA317" i="2" s="1"/>
  <c r="AA318" i="2" s="1"/>
  <c r="AA319" i="2" s="1"/>
  <c r="AA322" i="2" s="1"/>
  <c r="AB323" i="2" s="1"/>
  <c r="AA329" i="2"/>
  <c r="AA328" i="2"/>
  <c r="AC337" i="2"/>
  <c r="AA340" i="2"/>
  <c r="AA330" i="2" l="1"/>
  <c r="AA331" i="2" s="1"/>
  <c r="AA332" i="2" s="1"/>
  <c r="AA333" i="2" s="1"/>
  <c r="AA354" i="2"/>
  <c r="AC351" i="2"/>
  <c r="AA342" i="2"/>
  <c r="AA343" i="2"/>
  <c r="AA334" i="2"/>
  <c r="AA336" i="2" l="1"/>
  <c r="AB337" i="2" s="1"/>
  <c r="AC365" i="2"/>
  <c r="AA368" i="2"/>
  <c r="AA357" i="2"/>
  <c r="AA356" i="2"/>
  <c r="AA362" i="2" s="1"/>
  <c r="AA344" i="2"/>
  <c r="AA345" i="2" s="1"/>
  <c r="AA346" i="2" s="1"/>
  <c r="AA347" i="2" s="1"/>
  <c r="AA348" i="2"/>
  <c r="AA350" i="2" l="1"/>
  <c r="AB351" i="2" s="1"/>
  <c r="AC379" i="2"/>
  <c r="AA371" i="2"/>
  <c r="AA382" i="2"/>
  <c r="AA370" i="2"/>
  <c r="AA376" i="2" s="1"/>
  <c r="AA358" i="2"/>
  <c r="AA359" i="2" s="1"/>
  <c r="AA360" i="2" s="1"/>
  <c r="AA361" i="2" s="1"/>
  <c r="AA364" i="2" s="1"/>
  <c r="AB365" i="2" s="1"/>
  <c r="AA396" i="2" l="1"/>
  <c r="AC393" i="2"/>
  <c r="AA384" i="2"/>
  <c r="AA390" i="2" s="1"/>
  <c r="AA385" i="2"/>
  <c r="AA372" i="2"/>
  <c r="AA373" i="2" s="1"/>
  <c r="AA374" i="2" s="1"/>
  <c r="AA375" i="2" s="1"/>
  <c r="AA378" i="2" s="1"/>
  <c r="AB379" i="2" s="1"/>
  <c r="AA386" i="2" l="1"/>
  <c r="AA387" i="2" s="1"/>
  <c r="AA388" i="2" s="1"/>
  <c r="AA389" i="2" s="1"/>
  <c r="AA392" i="2" s="1"/>
  <c r="AB393" i="2" s="1"/>
  <c r="AA398" i="2"/>
  <c r="AA410" i="2"/>
  <c r="AC407" i="2"/>
  <c r="AA399" i="2"/>
  <c r="AA400" i="2" l="1"/>
  <c r="AA401" i="2" s="1"/>
  <c r="AA402" i="2" s="1"/>
  <c r="AA403" i="2" s="1"/>
  <c r="AA424" i="2"/>
  <c r="AA412" i="2"/>
  <c r="AA418" i="2" s="1"/>
  <c r="AC421" i="2"/>
  <c r="AA413" i="2"/>
  <c r="AA404" i="2"/>
  <c r="AA406" i="2" l="1"/>
  <c r="AB407" i="2" s="1"/>
  <c r="AA414" i="2"/>
  <c r="AA415" i="2" s="1"/>
  <c r="AA416" i="2" s="1"/>
  <c r="AA417" i="2" s="1"/>
  <c r="AA420" i="2" s="1"/>
  <c r="AB421" i="2" s="1"/>
  <c r="AA427" i="2"/>
  <c r="AA438" i="2"/>
  <c r="AC435" i="2"/>
  <c r="AA426" i="2"/>
  <c r="AA432" i="2" s="1"/>
  <c r="AA441" i="2" l="1"/>
  <c r="AA440" i="2"/>
  <c r="AA446" i="2" s="1"/>
  <c r="AA452" i="2"/>
  <c r="AC449" i="2"/>
  <c r="AA428" i="2"/>
  <c r="AA429" i="2" s="1"/>
  <c r="AA430" i="2" s="1"/>
  <c r="AA431" i="2" s="1"/>
  <c r="AA434" i="2" s="1"/>
  <c r="AB435" i="2" s="1"/>
  <c r="AC463" i="2" l="1"/>
  <c r="AA455" i="2"/>
  <c r="AA454" i="2"/>
  <c r="AA466" i="2"/>
  <c r="AA442" i="2"/>
  <c r="AA443" i="2" s="1"/>
  <c r="AA444" i="2" s="1"/>
  <c r="AA445" i="2" s="1"/>
  <c r="AA448" i="2" s="1"/>
  <c r="AB449" i="2" s="1"/>
  <c r="AC477" i="2" l="1"/>
  <c r="AA480" i="2"/>
  <c r="AA469" i="2"/>
  <c r="AA468" i="2"/>
  <c r="AA474" i="2" s="1"/>
  <c r="AA456" i="2"/>
  <c r="AA457" i="2" s="1"/>
  <c r="AA458" i="2" s="1"/>
  <c r="AA459" i="2" s="1"/>
  <c r="AA460" i="2"/>
  <c r="AA462" i="2" l="1"/>
  <c r="AB463" i="2" s="1"/>
  <c r="AA483" i="2"/>
  <c r="AA482" i="2"/>
  <c r="AA494" i="2"/>
  <c r="AC491" i="2"/>
  <c r="AA470" i="2"/>
  <c r="AA471" i="2" s="1"/>
  <c r="AA472" i="2" s="1"/>
  <c r="AA473" i="2" s="1"/>
  <c r="AA476" i="2" s="1"/>
  <c r="AB477" i="2" s="1"/>
  <c r="AA497" i="2" l="1"/>
  <c r="AA496" i="2"/>
  <c r="AA502" i="2" s="1"/>
  <c r="AA508" i="2"/>
  <c r="AC505" i="2"/>
  <c r="AA484" i="2"/>
  <c r="AA485" i="2" s="1"/>
  <c r="AA486" i="2" s="1"/>
  <c r="AA487" i="2" s="1"/>
  <c r="AA490" i="2" s="1"/>
  <c r="AB491" i="2" s="1"/>
  <c r="AA488" i="2"/>
  <c r="AC519" i="2" l="1"/>
  <c r="AA511" i="2"/>
  <c r="AA510" i="2"/>
  <c r="AA516" i="2" s="1"/>
  <c r="AA522" i="2"/>
  <c r="AA498" i="2"/>
  <c r="AA499" i="2" s="1"/>
  <c r="AA500" i="2" s="1"/>
  <c r="AA501" i="2" s="1"/>
  <c r="AA504" i="2" s="1"/>
  <c r="AB505" i="2" s="1"/>
  <c r="AC533" i="2" l="1"/>
  <c r="AA525" i="2"/>
  <c r="AA524" i="2"/>
  <c r="AA530" i="2" s="1"/>
  <c r="AA536" i="2"/>
  <c r="AA512" i="2"/>
  <c r="AA513" i="2" s="1"/>
  <c r="AA514" i="2" s="1"/>
  <c r="AA515" i="2" s="1"/>
  <c r="AA518" i="2" s="1"/>
  <c r="AB519" i="2" s="1"/>
  <c r="AA539" i="2" l="1"/>
  <c r="AA538" i="2"/>
  <c r="AA550" i="2"/>
  <c r="AC547" i="2"/>
  <c r="AA526" i="2"/>
  <c r="AA527" i="2" s="1"/>
  <c r="AA528" i="2" s="1"/>
  <c r="AA529" i="2" s="1"/>
  <c r="AA532" i="2" s="1"/>
  <c r="AB533" i="2" s="1"/>
  <c r="AA553" i="2" l="1"/>
  <c r="AC561" i="2"/>
  <c r="AA552" i="2"/>
  <c r="AA558" i="2" s="1"/>
  <c r="AA564" i="2"/>
  <c r="AA540" i="2"/>
  <c r="AA541" i="2" s="1"/>
  <c r="AA542" i="2" s="1"/>
  <c r="AA543" i="2" s="1"/>
  <c r="AA544" i="2"/>
  <c r="AA546" i="2" l="1"/>
  <c r="AB547" i="2" s="1"/>
  <c r="AA578" i="2"/>
  <c r="AC575" i="2"/>
  <c r="AA567" i="2"/>
  <c r="AA566" i="2"/>
  <c r="AA554" i="2"/>
  <c r="AA555" i="2" s="1"/>
  <c r="AA568" i="2" l="1"/>
  <c r="AA569" i="2" s="1"/>
  <c r="AA570" i="2" s="1"/>
  <c r="AA571" i="2" s="1"/>
  <c r="AC589" i="2"/>
  <c r="AA592" i="2"/>
  <c r="AA581" i="2"/>
  <c r="AA580" i="2"/>
  <c r="AA586" i="2" s="1"/>
  <c r="AA556" i="2"/>
  <c r="AA557" i="2" s="1"/>
  <c r="AA560" i="2" s="1"/>
  <c r="AB561" i="2" s="1"/>
  <c r="AA572" i="2"/>
  <c r="AA574" i="2" l="1"/>
  <c r="AB575" i="2" s="1"/>
  <c r="AA594" i="2"/>
  <c r="AA600" i="2" s="1"/>
  <c r="AC603" i="2"/>
  <c r="AA595" i="2"/>
  <c r="AA606" i="2"/>
  <c r="AA582" i="2"/>
  <c r="AA583" i="2" s="1"/>
  <c r="AA584" i="2" s="1"/>
  <c r="AA585" i="2" s="1"/>
  <c r="AA588" i="2" s="1"/>
  <c r="AB589" i="2" s="1"/>
  <c r="AA596" i="2" l="1"/>
  <c r="AA597" i="2" s="1"/>
  <c r="AA598" i="2" s="1"/>
  <c r="AA599" i="2" s="1"/>
  <c r="AA602" i="2" s="1"/>
  <c r="AB603" i="2" s="1"/>
  <c r="AA609" i="2"/>
  <c r="AA620" i="2"/>
  <c r="AA608" i="2"/>
  <c r="AA614" i="2" s="1"/>
  <c r="AC617" i="2"/>
  <c r="AA622" i="2" l="1"/>
  <c r="AA628" i="2" s="1"/>
  <c r="AA634" i="2"/>
  <c r="AC631" i="2"/>
  <c r="AA623" i="2"/>
  <c r="AA610" i="2"/>
  <c r="AA611" i="2" s="1"/>
  <c r="AA612" i="2" s="1"/>
  <c r="AA613" i="2" s="1"/>
  <c r="AA616" i="2" s="1"/>
  <c r="AB617" i="2" s="1"/>
  <c r="AC645" i="2" l="1"/>
  <c r="AA637" i="2"/>
  <c r="AA636" i="2"/>
  <c r="AA642" i="2" s="1"/>
  <c r="AA648" i="2"/>
  <c r="AA624" i="2"/>
  <c r="AA625" i="2" s="1"/>
  <c r="AA626" i="2" s="1"/>
  <c r="AA627" i="2" s="1"/>
  <c r="AA630" i="2" s="1"/>
  <c r="AB631" i="2" s="1"/>
  <c r="AA662" i="2" l="1"/>
  <c r="AC659" i="2"/>
  <c r="AA651" i="2"/>
  <c r="AA650" i="2"/>
  <c r="AA656" i="2" s="1"/>
  <c r="AA638" i="2"/>
  <c r="AA639" i="2" s="1"/>
  <c r="AA640" i="2" s="1"/>
  <c r="AA641" i="2" s="1"/>
  <c r="AA644" i="2" s="1"/>
  <c r="AB645" i="2" s="1"/>
  <c r="AA676" i="2" l="1"/>
  <c r="AC673" i="2"/>
  <c r="AA665" i="2"/>
  <c r="AA664" i="2"/>
  <c r="AA670" i="2" s="1"/>
  <c r="AA652" i="2"/>
  <c r="AA653" i="2" s="1"/>
  <c r="AA654" i="2" s="1"/>
  <c r="AA655" i="2" s="1"/>
  <c r="AA658" i="2" s="1"/>
  <c r="AB659" i="2" s="1"/>
  <c r="AA690" i="2" l="1"/>
  <c r="AA679" i="2"/>
  <c r="AA678" i="2"/>
  <c r="AC687" i="2"/>
  <c r="AA666" i="2"/>
  <c r="AA667" i="2" s="1"/>
  <c r="AA668" i="2" s="1"/>
  <c r="AA669" i="2" s="1"/>
  <c r="AA672" i="2" s="1"/>
  <c r="AB673" i="2" s="1"/>
  <c r="AA680" i="2" l="1"/>
  <c r="AA681" i="2" s="1"/>
  <c r="AA682" i="2" s="1"/>
  <c r="AA683" i="2" s="1"/>
  <c r="AA693" i="2"/>
  <c r="AC701" i="2"/>
  <c r="AA692" i="2"/>
  <c r="AA698" i="2" s="1"/>
  <c r="AA704" i="2"/>
  <c r="AA684" i="2"/>
  <c r="AA686" i="2" l="1"/>
  <c r="AB687" i="2" s="1"/>
  <c r="AA706" i="2"/>
  <c r="AA712" i="2" s="1"/>
  <c r="AA707" i="2"/>
  <c r="AA718" i="2"/>
  <c r="AC715" i="2"/>
  <c r="AA694" i="2"/>
  <c r="AA695" i="2" s="1"/>
  <c r="AA696" i="2" s="1"/>
  <c r="AA697" i="2" s="1"/>
  <c r="AA700" i="2" s="1"/>
  <c r="AB701" i="2" s="1"/>
  <c r="AA708" i="2" l="1"/>
  <c r="AA709" i="2" s="1"/>
  <c r="AA710" i="2" s="1"/>
  <c r="AA711" i="2" s="1"/>
  <c r="AA714" i="2" s="1"/>
  <c r="AB715" i="2" s="1"/>
  <c r="AC729" i="2"/>
  <c r="AA721" i="2"/>
  <c r="AA720" i="2"/>
  <c r="AA726" i="2" s="1"/>
  <c r="AA732" i="2"/>
  <c r="AA734" i="2" l="1"/>
  <c r="AC743" i="2"/>
  <c r="AA746" i="2"/>
  <c r="AA735" i="2"/>
  <c r="AA722" i="2"/>
  <c r="AA723" i="2" s="1"/>
  <c r="AA724" i="2" s="1"/>
  <c r="AA725" i="2" s="1"/>
  <c r="AA728" i="2" s="1"/>
  <c r="AB729" i="2" s="1"/>
  <c r="AA749" i="2" l="1"/>
  <c r="AC757" i="2"/>
  <c r="AA748" i="2"/>
  <c r="AA754" i="2" s="1"/>
  <c r="AA760" i="2"/>
  <c r="AA736" i="2"/>
  <c r="AA737" i="2" s="1"/>
  <c r="AA738" i="2" s="1"/>
  <c r="AA739" i="2" s="1"/>
  <c r="AA740" i="2"/>
  <c r="AA742" i="2" l="1"/>
  <c r="AB743" i="2" s="1"/>
  <c r="AA763" i="2"/>
  <c r="AA774" i="2"/>
  <c r="AA762" i="2"/>
  <c r="AA768" i="2" s="1"/>
  <c r="AC771" i="2"/>
  <c r="AA750" i="2"/>
  <c r="AA751" i="2" s="1"/>
  <c r="AA752" i="2" s="1"/>
  <c r="AA753" i="2" s="1"/>
  <c r="AA756" i="2" s="1"/>
  <c r="AB757" i="2" s="1"/>
  <c r="AA776" i="2" l="1"/>
  <c r="AA782" i="2" s="1"/>
  <c r="AA788" i="2"/>
  <c r="AC785" i="2"/>
  <c r="AA777" i="2"/>
  <c r="AA764" i="2"/>
  <c r="AA765" i="2" s="1"/>
  <c r="AA766" i="2" s="1"/>
  <c r="AA767" i="2" s="1"/>
  <c r="AA770" i="2" s="1"/>
  <c r="AB771" i="2" s="1"/>
  <c r="AA778" i="2" l="1"/>
  <c r="AA779" i="2" s="1"/>
  <c r="AA780" i="2" s="1"/>
  <c r="AA781" i="2" s="1"/>
  <c r="AA784" i="2" s="1"/>
  <c r="AB785" i="2" s="1"/>
  <c r="AA802" i="2"/>
  <c r="AC799" i="2"/>
  <c r="AA791" i="2"/>
  <c r="AA790" i="2"/>
  <c r="AA792" i="2" l="1"/>
  <c r="AA793" i="2" s="1"/>
  <c r="AA794" i="2" s="1"/>
  <c r="AA795" i="2" s="1"/>
  <c r="AA796" i="2"/>
  <c r="AC813" i="2"/>
  <c r="AA805" i="2"/>
  <c r="AA804" i="2"/>
  <c r="AA810" i="2" s="1"/>
  <c r="AA816" i="2"/>
  <c r="AA798" i="2" l="1"/>
  <c r="AB799" i="2" s="1"/>
  <c r="AA819" i="2"/>
  <c r="AA818" i="2"/>
  <c r="AA824" i="2" s="1"/>
  <c r="AA830" i="2"/>
  <c r="AC827" i="2"/>
  <c r="AA806" i="2"/>
  <c r="AA807" i="2" s="1"/>
  <c r="AA808" i="2" s="1"/>
  <c r="AA809" i="2" s="1"/>
  <c r="AA812" i="2" s="1"/>
  <c r="AB813" i="2" s="1"/>
  <c r="AC841" i="2" l="1"/>
  <c r="AA832" i="2"/>
  <c r="AA838" i="2" s="1"/>
  <c r="AA844" i="2"/>
  <c r="AA833" i="2"/>
  <c r="AA820" i="2"/>
  <c r="AA821" i="2" s="1"/>
  <c r="AA822" i="2" s="1"/>
  <c r="AA823" i="2" s="1"/>
  <c r="AA826" i="2" s="1"/>
  <c r="AB827" i="2" s="1"/>
  <c r="AA834" i="2" l="1"/>
  <c r="AA835" i="2" s="1"/>
  <c r="AA836" i="2" s="1"/>
  <c r="AA837" i="2" s="1"/>
  <c r="AA840" i="2" s="1"/>
  <c r="AB841" i="2" s="1"/>
  <c r="AC855" i="2"/>
  <c r="AA847" i="2"/>
  <c r="AA846" i="2"/>
  <c r="AA852" i="2" s="1"/>
  <c r="AA858" i="2"/>
  <c r="AA860" i="2" l="1"/>
  <c r="AA872" i="2"/>
  <c r="AC869" i="2"/>
  <c r="AA861" i="2"/>
  <c r="AA848" i="2"/>
  <c r="AA849" i="2" s="1"/>
  <c r="AA850" i="2" s="1"/>
  <c r="AA851" i="2" s="1"/>
  <c r="AA854" i="2" s="1"/>
  <c r="AB855" i="2" s="1"/>
  <c r="AA862" i="2" l="1"/>
  <c r="AA863" i="2" s="1"/>
  <c r="AA864" i="2" s="1"/>
  <c r="AA865" i="2" s="1"/>
  <c r="AA866" i="2"/>
  <c r="AA875" i="2"/>
  <c r="AA874" i="2"/>
  <c r="AA880" i="2" s="1"/>
  <c r="AA886" i="2"/>
  <c r="AC883" i="2"/>
  <c r="AA868" i="2" l="1"/>
  <c r="AB869" i="2" s="1"/>
  <c r="AA888" i="2"/>
  <c r="AA894" i="2" s="1"/>
  <c r="AA900" i="2"/>
  <c r="AC897" i="2"/>
  <c r="AA889" i="2"/>
  <c r="AA876" i="2"/>
  <c r="AA877" i="2" s="1"/>
  <c r="AA878" i="2" s="1"/>
  <c r="AA879" i="2" s="1"/>
  <c r="AA882" i="2" s="1"/>
  <c r="AB883" i="2" s="1"/>
  <c r="AA890" i="2" l="1"/>
  <c r="AA891" i="2" s="1"/>
  <c r="AA892" i="2" s="1"/>
  <c r="AA893" i="2" s="1"/>
  <c r="AA896" i="2" s="1"/>
  <c r="AB897" i="2" s="1"/>
  <c r="AC911" i="2"/>
  <c r="AA903" i="2"/>
  <c r="AA902" i="2"/>
  <c r="AA908" i="2" s="1"/>
  <c r="AA914" i="2"/>
  <c r="AA917" i="2" l="1"/>
  <c r="AA916" i="2"/>
  <c r="AA922" i="2" s="1"/>
  <c r="AA928" i="2"/>
  <c r="AC925" i="2"/>
  <c r="AA904" i="2"/>
  <c r="AA905" i="2" s="1"/>
  <c r="AA906" i="2" s="1"/>
  <c r="AA907" i="2" s="1"/>
  <c r="AA910" i="2" s="1"/>
  <c r="AB911" i="2" s="1"/>
  <c r="AA931" i="2" l="1"/>
  <c r="AC939" i="2"/>
  <c r="AA930" i="2"/>
  <c r="AA936" i="2" s="1"/>
  <c r="AA942" i="2"/>
  <c r="AA918" i="2"/>
  <c r="AA919" i="2" s="1"/>
  <c r="AA920" i="2" s="1"/>
  <c r="AA921" i="2" s="1"/>
  <c r="AA924" i="2" s="1"/>
  <c r="AB925" i="2" s="1"/>
  <c r="AA944" i="2" l="1"/>
  <c r="AA950" i="2" s="1"/>
  <c r="AA945" i="2"/>
  <c r="AA956" i="2"/>
  <c r="AC953" i="2"/>
  <c r="AA932" i="2"/>
  <c r="AA933" i="2" s="1"/>
  <c r="AA934" i="2" s="1"/>
  <c r="AA935" i="2" s="1"/>
  <c r="AA938" i="2" s="1"/>
  <c r="AB939" i="2" s="1"/>
  <c r="AA946" i="2" l="1"/>
  <c r="AA947" i="2" s="1"/>
  <c r="AA948" i="2" s="1"/>
  <c r="AA949" i="2" s="1"/>
  <c r="AA952" i="2" s="1"/>
  <c r="AB953" i="2" s="1"/>
  <c r="AA970" i="2"/>
  <c r="AC967" i="2"/>
  <c r="AA959" i="2"/>
  <c r="AA958" i="2"/>
  <c r="AA964" i="2" s="1"/>
  <c r="AC981" i="2" l="1"/>
  <c r="AA972" i="2"/>
  <c r="AA978" i="2" s="1"/>
  <c r="AA984" i="2"/>
  <c r="AA973" i="2"/>
  <c r="AA960" i="2"/>
  <c r="AA961" i="2" s="1"/>
  <c r="AA962" i="2" s="1"/>
  <c r="AA963" i="2" s="1"/>
  <c r="AA966" i="2" s="1"/>
  <c r="AB967" i="2" s="1"/>
  <c r="AA974" i="2" l="1"/>
  <c r="AA975" i="2" s="1"/>
  <c r="AA976" i="2" s="1"/>
  <c r="AA977" i="2" s="1"/>
  <c r="AA980" i="2" s="1"/>
  <c r="AB981" i="2" s="1"/>
  <c r="AA986" i="2"/>
  <c r="AA998" i="2"/>
  <c r="AC995" i="2"/>
  <c r="AA987" i="2"/>
  <c r="AA988" i="2" l="1"/>
  <c r="AA989" i="2" s="1"/>
  <c r="AA990" i="2" s="1"/>
  <c r="AA991" i="2" s="1"/>
  <c r="AA992" i="2"/>
  <c r="AC1009" i="2"/>
  <c r="AA1000" i="2"/>
  <c r="AA1006" i="2" s="1"/>
  <c r="AA1001" i="2"/>
  <c r="AA1012" i="2"/>
  <c r="AA994" i="2" l="1"/>
  <c r="AB995" i="2" s="1"/>
  <c r="AA1002" i="2"/>
  <c r="AA1003" i="2" s="1"/>
  <c r="AA1004" i="2" s="1"/>
  <c r="AA1005" i="2" s="1"/>
  <c r="AA1008" i="2" s="1"/>
  <c r="AB1009" i="2" s="1"/>
  <c r="AA1014" i="2"/>
  <c r="AA1026" i="2"/>
  <c r="AC1023" i="2"/>
  <c r="AA1015" i="2"/>
  <c r="AA1016" i="2" l="1"/>
  <c r="AA1017" i="2" s="1"/>
  <c r="AA1018" i="2" s="1"/>
  <c r="AA1019" i="2" s="1"/>
  <c r="AC1037" i="2"/>
  <c r="AA1029" i="2"/>
  <c r="AA1028" i="2"/>
  <c r="AA1034" i="2" s="1"/>
  <c r="AA1040" i="2"/>
  <c r="AA1020" i="2"/>
  <c r="AA1022" i="2" l="1"/>
  <c r="AB1023" i="2" s="1"/>
  <c r="AA1042" i="2"/>
  <c r="AA1048" i="2" s="1"/>
  <c r="AC1051" i="2"/>
  <c r="AA1043" i="2"/>
  <c r="AA1054" i="2"/>
  <c r="AA1030" i="2"/>
  <c r="AA1031" i="2" s="1"/>
  <c r="AA1032" i="2" s="1"/>
  <c r="AA1033" i="2" s="1"/>
  <c r="AA1036" i="2" s="1"/>
  <c r="AB1037" i="2" s="1"/>
  <c r="AA1044" i="2" l="1"/>
  <c r="AA1045" i="2" s="1"/>
  <c r="AA1046" i="2" s="1"/>
  <c r="AA1047" i="2" s="1"/>
  <c r="AA1057" i="2"/>
  <c r="AA1068" i="2"/>
  <c r="AA1056" i="2"/>
  <c r="AA1062" i="2" s="1"/>
  <c r="AC1065" i="2"/>
  <c r="AA1050" i="2" l="1"/>
  <c r="AB1051" i="2" s="1"/>
  <c r="AC1079" i="2"/>
  <c r="AA1071" i="2"/>
  <c r="AA1082" i="2"/>
  <c r="AA1070" i="2"/>
  <c r="AA1058" i="2"/>
  <c r="AA1059" i="2" s="1"/>
  <c r="AA1060" i="2" s="1"/>
  <c r="AA1061" i="2" s="1"/>
  <c r="AA1064" i="2" s="1"/>
  <c r="AB1065" i="2" s="1"/>
  <c r="AA1072" i="2" l="1"/>
  <c r="AA1073" i="2" s="1"/>
  <c r="AA1074" i="2" s="1"/>
  <c r="AA1075" i="2" s="1"/>
  <c r="AA1096" i="2"/>
  <c r="AC1093" i="2"/>
  <c r="AA1085" i="2"/>
  <c r="AA1084" i="2"/>
  <c r="AA1090" i="2" s="1"/>
  <c r="AA1076" i="2"/>
  <c r="AA1078" i="2" l="1"/>
  <c r="AB1079" i="2" s="1"/>
  <c r="AC1107" i="2"/>
  <c r="AA1099" i="2"/>
  <c r="AA1098" i="2"/>
  <c r="AA1104" i="2" s="1"/>
  <c r="AA1110" i="2"/>
  <c r="AA1086" i="2"/>
  <c r="AA1087" i="2" s="1"/>
  <c r="AA1088" i="2" s="1"/>
  <c r="AA1089" i="2" s="1"/>
  <c r="AA1092" i="2" s="1"/>
  <c r="AB1093" i="2" s="1"/>
  <c r="AA1124" i="2" l="1"/>
  <c r="AA1113" i="2"/>
  <c r="AA1112" i="2"/>
  <c r="AA1118" i="2" s="1"/>
  <c r="AC1121" i="2"/>
  <c r="AA1100" i="2"/>
  <c r="AA1101" i="2" s="1"/>
  <c r="AA1102" i="2" s="1"/>
  <c r="AA1103" i="2" s="1"/>
  <c r="AA1106" i="2" s="1"/>
  <c r="AB1107" i="2" s="1"/>
  <c r="AA1126" i="2" l="1"/>
  <c r="AA1132" i="2" s="1"/>
  <c r="AC1135" i="2"/>
  <c r="AA1127" i="2"/>
  <c r="AA1138" i="2"/>
  <c r="AA1114" i="2"/>
  <c r="AA1115" i="2" s="1"/>
  <c r="AA1116" i="2" s="1"/>
  <c r="AA1117" i="2" s="1"/>
  <c r="AA1120" i="2" s="1"/>
  <c r="AB1121" i="2" s="1"/>
  <c r="AA1128" i="2" l="1"/>
  <c r="AA1129" i="2" s="1"/>
  <c r="AA1130" i="2" s="1"/>
  <c r="AA1131" i="2" s="1"/>
  <c r="AA1134" i="2" s="1"/>
  <c r="AB1135" i="2" s="1"/>
  <c r="AA1141" i="2"/>
  <c r="AA1140" i="2"/>
  <c r="AA1146" i="2" s="1"/>
  <c r="AA1152" i="2"/>
  <c r="AC1149" i="2"/>
  <c r="AC1163" i="2" l="1"/>
  <c r="AA1154" i="2"/>
  <c r="AA1160" i="2" s="1"/>
  <c r="AA1166" i="2"/>
  <c r="AA1155" i="2"/>
  <c r="AA1142" i="2"/>
  <c r="AA1143" i="2" s="1"/>
  <c r="AA1144" i="2" s="1"/>
  <c r="AA1145" i="2" s="1"/>
  <c r="AA1148" i="2" s="1"/>
  <c r="AB1149" i="2" s="1"/>
  <c r="AA1156" i="2" l="1"/>
  <c r="AA1157" i="2" s="1"/>
  <c r="AA1158" i="2" s="1"/>
  <c r="AA1159" i="2" s="1"/>
  <c r="AA1162" i="2" s="1"/>
  <c r="AB1163" i="2" s="1"/>
  <c r="AA1169" i="2"/>
  <c r="AC1177" i="2"/>
  <c r="AA1168" i="2"/>
  <c r="AA1174" i="2" s="1"/>
  <c r="AA1180" i="2"/>
  <c r="AA1194" i="2" l="1"/>
  <c r="AA1183" i="2"/>
  <c r="AC1191" i="2"/>
  <c r="AA1182" i="2"/>
  <c r="AA1170" i="2"/>
  <c r="AA1171" i="2" s="1"/>
  <c r="AA1172" i="2" s="1"/>
  <c r="AA1173" i="2" s="1"/>
  <c r="AA1176" i="2" s="1"/>
  <c r="AB1177" i="2" s="1"/>
  <c r="AA1184" i="2" l="1"/>
  <c r="AA1185" i="2" s="1"/>
  <c r="AA1186" i="2" s="1"/>
  <c r="AA1187" i="2" s="1"/>
  <c r="AA1208" i="2"/>
  <c r="AC1205" i="2"/>
  <c r="AA1197" i="2"/>
  <c r="AA1196" i="2"/>
  <c r="AA1202" i="2" s="1"/>
  <c r="AA1188" i="2"/>
  <c r="AA1190" i="2" l="1"/>
  <c r="AB1191" i="2" s="1"/>
  <c r="AA1210" i="2"/>
  <c r="AA1216" i="2" s="1"/>
  <c r="AA1222" i="2"/>
  <c r="AC1219" i="2"/>
  <c r="AA1211" i="2"/>
  <c r="AA1198" i="2"/>
  <c r="AA1199" i="2" s="1"/>
  <c r="AA1200" i="2" s="1"/>
  <c r="AA1201" i="2" s="1"/>
  <c r="AA1204" i="2" s="1"/>
  <c r="AB1205" i="2" s="1"/>
  <c r="AA1212" i="2" l="1"/>
  <c r="AA1213" i="2" s="1"/>
  <c r="AA1214" i="2" s="1"/>
  <c r="AA1215" i="2" s="1"/>
  <c r="AC1233" i="2"/>
  <c r="AA1225" i="2"/>
  <c r="AA1224" i="2"/>
  <c r="AA1230" i="2" s="1"/>
  <c r="AA1236" i="2"/>
  <c r="AA1218" i="2" l="1"/>
  <c r="AB1219" i="2" s="1"/>
  <c r="AC1247" i="2"/>
  <c r="AA1239" i="2"/>
  <c r="AA1238" i="2"/>
  <c r="AA1244" i="2" s="1"/>
  <c r="AA1250" i="2"/>
  <c r="AA1226" i="2"/>
  <c r="AA1227" i="2" s="1"/>
  <c r="AA1228" i="2" s="1"/>
  <c r="AA1229" i="2" s="1"/>
  <c r="AA1232" i="2" s="1"/>
  <c r="AB1233" i="2" s="1"/>
  <c r="AA1264" i="2" l="1"/>
  <c r="AA1252" i="2"/>
  <c r="AA1258" i="2" s="1"/>
  <c r="AC1261" i="2"/>
  <c r="AA1253" i="2"/>
  <c r="AA1240" i="2"/>
  <c r="AA1241" i="2" s="1"/>
  <c r="AA1242" i="2" s="1"/>
  <c r="AA1243" i="2" s="1"/>
  <c r="AA1246" i="2" s="1"/>
  <c r="AB1247" i="2" s="1"/>
  <c r="AA1254" i="2" l="1"/>
  <c r="AA1255" i="2" s="1"/>
  <c r="AA1256" i="2" s="1"/>
  <c r="AA1257" i="2" s="1"/>
  <c r="AA1260" i="2" s="1"/>
  <c r="AB1261" i="2" s="1"/>
  <c r="AC1275" i="2"/>
  <c r="AA1267" i="2"/>
  <c r="AA1266" i="2"/>
  <c r="AA1272" i="2" s="1"/>
  <c r="AA1278" i="2"/>
  <c r="AC1289" i="2" l="1"/>
  <c r="AA1280" i="2"/>
  <c r="AA1281" i="2"/>
  <c r="AA1292" i="2"/>
  <c r="AA1268" i="2"/>
  <c r="AA1269" i="2" s="1"/>
  <c r="AA1270" i="2" s="1"/>
  <c r="AA1271" i="2" s="1"/>
  <c r="AA1274" i="2" s="1"/>
  <c r="AB1275" i="2" s="1"/>
  <c r="AA1282" i="2" l="1"/>
  <c r="AA1283" i="2" s="1"/>
  <c r="AA1284" i="2" s="1"/>
  <c r="AA1285" i="2" s="1"/>
  <c r="AA1286" i="2"/>
  <c r="AA1294" i="2"/>
  <c r="AC1303" i="2"/>
  <c r="AA1306" i="2"/>
  <c r="AA1295" i="2"/>
  <c r="AA1288" i="2" l="1"/>
  <c r="AB1289" i="2" s="1"/>
  <c r="AA1308" i="2"/>
  <c r="AA1314" i="2" s="1"/>
  <c r="AC1317" i="2"/>
  <c r="AA1320" i="2"/>
  <c r="AA1309" i="2"/>
  <c r="AA1296" i="2"/>
  <c r="AA1297" i="2" s="1"/>
  <c r="AA1298" i="2" s="1"/>
  <c r="AA1299" i="2" s="1"/>
  <c r="AA1300" i="2"/>
  <c r="AA1302" i="2" l="1"/>
  <c r="AB1303" i="2" s="1"/>
  <c r="AA1310" i="2"/>
  <c r="AA1311" i="2" s="1"/>
  <c r="AA1312" i="2" s="1"/>
  <c r="AA1313" i="2" s="1"/>
  <c r="AA1323" i="2"/>
  <c r="AC1331" i="2"/>
  <c r="AA1322" i="2"/>
  <c r="AA1328" i="2" s="1"/>
  <c r="AA1334" i="2"/>
  <c r="AA1316" i="2" l="1"/>
  <c r="AB1317" i="2" s="1"/>
  <c r="AA1348" i="2"/>
  <c r="AA1336" i="2"/>
  <c r="AA1342" i="2" s="1"/>
  <c r="AC1345" i="2"/>
  <c r="AA1337" i="2"/>
  <c r="AA1324" i="2"/>
  <c r="AA1325" i="2" s="1"/>
  <c r="AA1326" i="2" s="1"/>
  <c r="AA1327" i="2" s="1"/>
  <c r="AA1330" i="2" s="1"/>
  <c r="AB1331" i="2" s="1"/>
  <c r="AA1338" i="2" l="1"/>
  <c r="AA1339" i="2" s="1"/>
  <c r="AA1340" i="2" s="1"/>
  <c r="AA1341" i="2" s="1"/>
  <c r="AA1344" i="2" s="1"/>
  <c r="AB1345" i="2" s="1"/>
  <c r="AA1362" i="2"/>
  <c r="AA1351" i="2"/>
  <c r="AA1350" i="2"/>
  <c r="AC1359" i="2"/>
  <c r="AA1352" i="2" l="1"/>
  <c r="AA1353" i="2" s="1"/>
  <c r="AA1354" i="2" s="1"/>
  <c r="AA1355" i="2" s="1"/>
  <c r="AA1364" i="2"/>
  <c r="AA1370" i="2" s="1"/>
  <c r="AC1373" i="2"/>
  <c r="AA1365" i="2"/>
  <c r="AA1376" i="2"/>
  <c r="AA1356" i="2"/>
  <c r="AA1358" i="2" l="1"/>
  <c r="AB1359" i="2" s="1"/>
  <c r="AA1366" i="2"/>
  <c r="AA1367" i="2" s="1"/>
  <c r="AA1368" i="2" s="1"/>
  <c r="AA1369" i="2" s="1"/>
  <c r="AC1387" i="2"/>
  <c r="AA1378" i="2"/>
  <c r="AA1379" i="2"/>
  <c r="AA1390" i="2"/>
  <c r="AA1372" i="2" l="1"/>
  <c r="AB1373" i="2" s="1"/>
  <c r="AA1380" i="2"/>
  <c r="AA1381" i="2" s="1"/>
  <c r="AA1382" i="2" s="1"/>
  <c r="AA1383" i="2" s="1"/>
  <c r="AA1384" i="2"/>
  <c r="AC1401" i="2"/>
  <c r="AA1392" i="2"/>
  <c r="AA1393" i="2"/>
  <c r="AA1404" i="2"/>
  <c r="AA1386" i="2" l="1"/>
  <c r="AB1387" i="2" s="1"/>
  <c r="AA1394" i="2"/>
  <c r="AA1395" i="2" s="1"/>
  <c r="AA1396" i="2" s="1"/>
  <c r="AA1397" i="2" s="1"/>
  <c r="AA1398" i="2"/>
  <c r="AA1406" i="2"/>
  <c r="AA1407" i="2"/>
  <c r="AA1418" i="2"/>
  <c r="AC1415" i="2"/>
  <c r="AA1400" i="2" l="1"/>
  <c r="AB1401" i="2" s="1"/>
  <c r="AA1408" i="2"/>
  <c r="AA1409" i="2" s="1"/>
  <c r="AA1410" i="2" s="1"/>
  <c r="AA1411" i="2" s="1"/>
  <c r="AA1432" i="2"/>
  <c r="AC1429" i="2"/>
  <c r="AA1421" i="2"/>
  <c r="AA1420" i="2"/>
  <c r="AA1426" i="2" s="1"/>
  <c r="AA1412" i="2"/>
  <c r="AA1414" i="2" l="1"/>
  <c r="AB1415" i="2" s="1"/>
  <c r="AC1443" i="2"/>
  <c r="AA1434" i="2"/>
  <c r="AA1446" i="2"/>
  <c r="AA1435" i="2"/>
  <c r="AA1422" i="2"/>
  <c r="AA1423" i="2" s="1"/>
  <c r="AA1424" i="2" s="1"/>
  <c r="AA1425" i="2" s="1"/>
  <c r="AA1428" i="2" s="1"/>
  <c r="AB1429" i="2" s="1"/>
  <c r="AA1436" i="2" l="1"/>
  <c r="AA1437" i="2" s="1"/>
  <c r="AA1438" i="2" s="1"/>
  <c r="AA1439" i="2" s="1"/>
  <c r="AA1440" i="2"/>
  <c r="AA1449" i="2"/>
  <c r="AA1460" i="2"/>
  <c r="AA1448" i="2"/>
  <c r="AA1454" i="2" s="1"/>
  <c r="AC1457" i="2"/>
  <c r="AA1442" i="2" l="1"/>
  <c r="AB1443" i="2" s="1"/>
  <c r="AA1463" i="2"/>
  <c r="AA1462" i="2"/>
  <c r="AA1468" i="2" s="1"/>
  <c r="AA1474" i="2"/>
  <c r="AC1471" i="2"/>
  <c r="AA1450" i="2"/>
  <c r="AA1451" i="2" s="1"/>
  <c r="AA1452" i="2" s="1"/>
  <c r="AA1453" i="2" s="1"/>
  <c r="AA1456" i="2" s="1"/>
  <c r="AB1457" i="2" s="1"/>
  <c r="AA1488" i="2" l="1"/>
  <c r="AC1485" i="2"/>
  <c r="AA1476" i="2"/>
  <c r="AA1477" i="2"/>
  <c r="AA1464" i="2"/>
  <c r="AA1465" i="2" s="1"/>
  <c r="AA1466" i="2" s="1"/>
  <c r="AA1467" i="2" s="1"/>
  <c r="AA1470" i="2" s="1"/>
  <c r="AB1471" i="2" s="1"/>
  <c r="AC1499" i="2" l="1"/>
  <c r="AA1491" i="2"/>
  <c r="AA1490" i="2"/>
  <c r="AA1496" i="2" s="1"/>
  <c r="AA1502" i="2"/>
  <c r="AA1478" i="2"/>
  <c r="AA1479" i="2" s="1"/>
  <c r="AA1480" i="2" s="1"/>
  <c r="AA1481" i="2" s="1"/>
  <c r="AA1484" i="2" s="1"/>
  <c r="AB1485" i="2" s="1"/>
  <c r="AA1482" i="2"/>
  <c r="AA1516" i="2" l="1"/>
  <c r="AC1513" i="2"/>
  <c r="AA1505" i="2"/>
  <c r="AA1504" i="2"/>
  <c r="AA1510" i="2" s="1"/>
  <c r="AA1492" i="2"/>
  <c r="AA1493" i="2" s="1"/>
  <c r="AA1494" i="2" s="1"/>
  <c r="AA1495" i="2" s="1"/>
  <c r="AA1498" i="2" s="1"/>
  <c r="AB1499" i="2" s="1"/>
  <c r="AA1530" i="2" l="1"/>
  <c r="AC1527" i="2"/>
  <c r="AA1519" i="2"/>
  <c r="AA1518" i="2"/>
  <c r="AA1524" i="2" s="1"/>
  <c r="AA1506" i="2"/>
  <c r="AA1507" i="2" s="1"/>
  <c r="AA1508" i="2" s="1"/>
  <c r="AA1509" i="2" s="1"/>
  <c r="AA1512" i="2" s="1"/>
  <c r="AB1513" i="2" s="1"/>
  <c r="AC1541" i="2" l="1"/>
  <c r="AA1533" i="2"/>
  <c r="AA1532" i="2"/>
  <c r="AA1538" i="2" s="1"/>
  <c r="AA1544" i="2"/>
  <c r="AA1520" i="2"/>
  <c r="AA1521" i="2" s="1"/>
  <c r="AA1522" i="2" s="1"/>
  <c r="AA1523" i="2" s="1"/>
  <c r="AA1526" i="2" s="1"/>
  <c r="AB1527" i="2" s="1"/>
  <c r="AC1555" i="2" l="1"/>
  <c r="AA1546" i="2"/>
  <c r="AA1547" i="2"/>
  <c r="AA1558" i="2"/>
  <c r="AA1534" i="2"/>
  <c r="AA1535" i="2" s="1"/>
  <c r="AA1536" i="2" s="1"/>
  <c r="AA1537" i="2" s="1"/>
  <c r="AA1540" i="2" s="1"/>
  <c r="AB1541" i="2" s="1"/>
  <c r="AA1548" i="2" l="1"/>
  <c r="AA1549" i="2" s="1"/>
  <c r="AA1550" i="2" s="1"/>
  <c r="AA1551" i="2" s="1"/>
  <c r="AA1552" i="2"/>
  <c r="AA1560" i="2"/>
  <c r="AC1569" i="2"/>
  <c r="AA1572" i="2"/>
  <c r="AA1561" i="2"/>
  <c r="AA1554" i="2" l="1"/>
  <c r="AB1555" i="2" s="1"/>
  <c r="AA1562" i="2"/>
  <c r="AA1563" i="2" s="1"/>
  <c r="AA1564" i="2" s="1"/>
  <c r="AA1565" i="2" s="1"/>
  <c r="AA1575" i="2"/>
  <c r="AA1574" i="2"/>
  <c r="AA1586" i="2"/>
  <c r="AC1583" i="2"/>
  <c r="AA1566" i="2"/>
  <c r="AA1568" i="2" l="1"/>
  <c r="AB1569" i="2" s="1"/>
  <c r="AA1576" i="2"/>
  <c r="AA1577" i="2" s="1"/>
  <c r="AA1578" i="2" s="1"/>
  <c r="AA1579" i="2" s="1"/>
  <c r="AA1580" i="2"/>
  <c r="AA1600" i="2"/>
  <c r="AA1589" i="2"/>
  <c r="AA1588" i="2"/>
  <c r="AA1594" i="2" s="1"/>
  <c r="AC1597" i="2"/>
  <c r="AA1582" i="2" l="1"/>
  <c r="AB1583" i="2" s="1"/>
  <c r="AA1614" i="2"/>
  <c r="AA1603" i="2"/>
  <c r="AA1602" i="2"/>
  <c r="AA1608" i="2" s="1"/>
  <c r="AC1611" i="2"/>
  <c r="AA1590" i="2"/>
  <c r="AA1591" i="2" s="1"/>
  <c r="AA1592" i="2" s="1"/>
  <c r="AA1593" i="2" s="1"/>
  <c r="AA1596" i="2" s="1"/>
  <c r="AB1597" i="2" s="1"/>
  <c r="AA1616" i="2" l="1"/>
  <c r="AA1622" i="2" s="1"/>
  <c r="AA1617" i="2"/>
  <c r="AA1628" i="2"/>
  <c r="AC1625" i="2"/>
  <c r="AA1604" i="2"/>
  <c r="AA1605" i="2" s="1"/>
  <c r="AA1606" i="2" s="1"/>
  <c r="AA1607" i="2" s="1"/>
  <c r="AA1610" i="2" s="1"/>
  <c r="AB1611" i="2" s="1"/>
  <c r="AA1618" i="2" l="1"/>
  <c r="AA1619" i="2" s="1"/>
  <c r="AA1620" i="2" s="1"/>
  <c r="AA1621" i="2" s="1"/>
  <c r="AA1624" i="2" s="1"/>
  <c r="AB1625" i="2" s="1"/>
  <c r="AA1631" i="2"/>
  <c r="AA1630" i="2"/>
  <c r="AA1636" i="2" s="1"/>
  <c r="AA1642" i="2"/>
  <c r="AC1639" i="2"/>
  <c r="AA1644" i="2" l="1"/>
  <c r="AA1645" i="2"/>
  <c r="AA1656" i="2"/>
  <c r="AC1653" i="2"/>
  <c r="AA1632" i="2"/>
  <c r="AA1633" i="2" s="1"/>
  <c r="AA1634" i="2" s="1"/>
  <c r="AA1635" i="2" s="1"/>
  <c r="AA1638" i="2" s="1"/>
  <c r="AB1639" i="2" s="1"/>
  <c r="AA1646" i="2" l="1"/>
  <c r="AA1647" i="2" s="1"/>
  <c r="AA1648" i="2" s="1"/>
  <c r="AA1649" i="2" s="1"/>
  <c r="AC1667" i="2"/>
  <c r="AA1658" i="2"/>
  <c r="AA1659" i="2"/>
  <c r="AA1670" i="2"/>
  <c r="AA1650" i="2"/>
  <c r="AA1652" i="2" l="1"/>
  <c r="AB1653" i="2" s="1"/>
  <c r="AA1660" i="2"/>
  <c r="AA1661" i="2" s="1"/>
  <c r="AA1662" i="2" s="1"/>
  <c r="AA1663" i="2" s="1"/>
  <c r="AA1664" i="2"/>
  <c r="AA1672" i="2"/>
  <c r="AA1678" i="2" s="1"/>
  <c r="AA1684" i="2"/>
  <c r="AC1681" i="2"/>
  <c r="AA1673" i="2"/>
  <c r="AA1666" i="2" l="1"/>
  <c r="AB1667" i="2" s="1"/>
  <c r="AA1674" i="2"/>
  <c r="AA1675" i="2" s="1"/>
  <c r="AA1676" i="2" s="1"/>
  <c r="AA1677" i="2" s="1"/>
  <c r="AA1680" i="2" s="1"/>
  <c r="AB1681" i="2" s="1"/>
  <c r="AA1698" i="2"/>
  <c r="AC1695" i="2"/>
  <c r="AA1687" i="2"/>
  <c r="AA1686" i="2"/>
  <c r="AA1692" i="2" s="1"/>
  <c r="AA1712" i="2" l="1"/>
  <c r="AA1701" i="2"/>
  <c r="AA1700" i="2"/>
  <c r="AC1709" i="2"/>
  <c r="AA1688" i="2"/>
  <c r="AA1689" i="2" s="1"/>
  <c r="AA1690" i="2" s="1"/>
  <c r="AA1691" i="2" s="1"/>
  <c r="AA1694" i="2" s="1"/>
  <c r="AB1695" i="2" s="1"/>
  <c r="AA1714" i="2" l="1"/>
  <c r="AA1720" i="2" s="1"/>
  <c r="AA1715" i="2"/>
  <c r="AA1726" i="2"/>
  <c r="AC1723" i="2"/>
  <c r="AA1702" i="2"/>
  <c r="AA1703" i="2" s="1"/>
  <c r="AA1704" i="2" s="1"/>
  <c r="AA1705" i="2" s="1"/>
  <c r="AA1708" i="2" s="1"/>
  <c r="AB1709" i="2" s="1"/>
  <c r="AA1706" i="2"/>
  <c r="AA1716" i="2" l="1"/>
  <c r="AA1717" i="2" s="1"/>
  <c r="AA1718" i="2" s="1"/>
  <c r="AA1719" i="2" s="1"/>
  <c r="AA1722" i="2" s="1"/>
  <c r="AB1723" i="2" s="1"/>
  <c r="AA1729" i="2"/>
  <c r="AA1728" i="2"/>
  <c r="AA1734" i="2" s="1"/>
  <c r="AA1740" i="2"/>
  <c r="AC1737" i="2"/>
  <c r="AA1754" i="2" l="1"/>
  <c r="AC1751" i="2"/>
  <c r="AA1743" i="2"/>
  <c r="AA1742" i="2"/>
  <c r="AA1748" i="2" s="1"/>
  <c r="AA1730" i="2"/>
  <c r="AA1731" i="2" s="1"/>
  <c r="AA1732" i="2" s="1"/>
  <c r="AA1733" i="2" s="1"/>
  <c r="AA1736" i="2" s="1"/>
  <c r="AB1737" i="2" s="1"/>
  <c r="AC1765" i="2" l="1"/>
  <c r="AA1757" i="2"/>
  <c r="AA1756" i="2"/>
  <c r="AA1762" i="2" s="1"/>
  <c r="AA1768" i="2"/>
  <c r="AA1744" i="2"/>
  <c r="AA1745" i="2" s="1"/>
  <c r="AA1746" i="2" s="1"/>
  <c r="AA1747" i="2" s="1"/>
  <c r="AA1750" i="2" s="1"/>
  <c r="AB1751" i="2" s="1"/>
  <c r="AA1771" i="2" l="1"/>
  <c r="AA1770" i="2"/>
  <c r="AA1776" i="2" s="1"/>
  <c r="AA1782" i="2"/>
  <c r="AC1779" i="2"/>
  <c r="AA1758" i="2"/>
  <c r="AA1759" i="2" s="1"/>
  <c r="AA1760" i="2" s="1"/>
  <c r="AA1761" i="2" s="1"/>
  <c r="AA1764" i="2" s="1"/>
  <c r="AB1765" i="2" s="1"/>
  <c r="AA1785" i="2" l="1"/>
  <c r="AC1793" i="2"/>
  <c r="AA1784" i="2"/>
  <c r="AA1790" i="2" s="1"/>
  <c r="AA1796" i="2"/>
  <c r="AA1772" i="2"/>
  <c r="AA1773" i="2" s="1"/>
  <c r="AA1774" i="2" s="1"/>
  <c r="AA1775" i="2" s="1"/>
  <c r="AA1778" i="2" s="1"/>
  <c r="AB1779" i="2" s="1"/>
  <c r="AA1798" i="2" l="1"/>
  <c r="AA1804" i="2" s="1"/>
  <c r="AC1807" i="2"/>
  <c r="AA1799" i="2"/>
  <c r="AA1810" i="2"/>
  <c r="AA1786" i="2"/>
  <c r="AA1787" i="2" s="1"/>
  <c r="AA1788" i="2" s="1"/>
  <c r="AA1789" i="2" s="1"/>
  <c r="AA1792" i="2" s="1"/>
  <c r="AB1793" i="2" s="1"/>
  <c r="AA1800" i="2" l="1"/>
  <c r="AA1801" i="2" s="1"/>
  <c r="AA1802" i="2" s="1"/>
  <c r="AA1803" i="2" s="1"/>
  <c r="AA1806" i="2" s="1"/>
  <c r="AB1807" i="2" s="1"/>
  <c r="AA1824" i="2"/>
  <c r="AA1813" i="2"/>
  <c r="AC1821" i="2"/>
  <c r="AA1812" i="2"/>
  <c r="AA1814" i="2" l="1"/>
  <c r="AA1815" i="2" s="1"/>
  <c r="AA1816" i="2" s="1"/>
  <c r="AA1817" i="2" s="1"/>
  <c r="AA1838" i="2"/>
  <c r="AA1826" i="2"/>
  <c r="AA1832" i="2" s="1"/>
  <c r="AC1835" i="2"/>
  <c r="AA1827" i="2"/>
  <c r="AA1818" i="2"/>
  <c r="AA1820" i="2" l="1"/>
  <c r="AB1821" i="2" s="1"/>
  <c r="AA1828" i="2"/>
  <c r="AA1829" i="2" s="1"/>
  <c r="AA1830" i="2" s="1"/>
  <c r="AA1831" i="2" s="1"/>
  <c r="AA1834" i="2" s="1"/>
  <c r="AB1835" i="2" s="1"/>
  <c r="AA1852" i="2"/>
  <c r="AA1841" i="2"/>
  <c r="AA1840" i="2"/>
  <c r="AA1846" i="2" s="1"/>
  <c r="AC1849" i="2"/>
  <c r="AA1866" i="2" l="1"/>
  <c r="AA1855" i="2"/>
  <c r="AA1854" i="2"/>
  <c r="AA1860" i="2" s="1"/>
  <c r="AC1863" i="2"/>
  <c r="AA1842" i="2"/>
  <c r="AA1843" i="2" s="1"/>
  <c r="AA1844" i="2" s="1"/>
  <c r="AA1845" i="2" s="1"/>
  <c r="AA1848" i="2" s="1"/>
  <c r="AB1849" i="2" s="1"/>
  <c r="AA1880" i="2" l="1"/>
  <c r="AA1869" i="2"/>
  <c r="AA1868" i="2"/>
  <c r="AC1877" i="2"/>
  <c r="AA1856" i="2"/>
  <c r="AA1857" i="2" s="1"/>
  <c r="AA1858" i="2" s="1"/>
  <c r="AA1859" i="2" s="1"/>
  <c r="AA1862" i="2" s="1"/>
  <c r="AB1863" i="2" s="1"/>
  <c r="AA1894" i="2" l="1"/>
  <c r="AC1891" i="2"/>
  <c r="AA1883" i="2"/>
  <c r="AA1882" i="2"/>
  <c r="AA1888" i="2" s="1"/>
  <c r="AA1870" i="2"/>
  <c r="AA1871" i="2" s="1"/>
  <c r="AA1872" i="2" s="1"/>
  <c r="AA1873" i="2" s="1"/>
  <c r="AA1874" i="2"/>
  <c r="AA1876" i="2" l="1"/>
  <c r="AB1877" i="2" s="1"/>
  <c r="AA1896" i="2"/>
  <c r="AA1902" i="2" s="1"/>
  <c r="AA1897" i="2"/>
  <c r="AA1908" i="2"/>
  <c r="AC1905" i="2"/>
  <c r="AA1884" i="2"/>
  <c r="AA1885" i="2" s="1"/>
  <c r="AA1886" i="2" s="1"/>
  <c r="AA1887" i="2" s="1"/>
  <c r="AA1890" i="2" s="1"/>
  <c r="AB1891" i="2" s="1"/>
  <c r="AA1898" i="2" l="1"/>
  <c r="AA1899" i="2" s="1"/>
  <c r="AA1900" i="2" s="1"/>
  <c r="AA1901" i="2" s="1"/>
  <c r="AA1904" i="2" s="1"/>
  <c r="AB1905" i="2" s="1"/>
  <c r="AA1910" i="2"/>
  <c r="AA1916" i="2" s="1"/>
  <c r="AC1919" i="2"/>
  <c r="AA1922" i="2"/>
  <c r="AA1911" i="2"/>
  <c r="AA1912" i="2" l="1"/>
  <c r="AA1913" i="2" s="1"/>
  <c r="AA1914" i="2" s="1"/>
  <c r="AA1915" i="2" s="1"/>
  <c r="AA1918" i="2" s="1"/>
  <c r="AB1919" i="2" s="1"/>
  <c r="AA1936" i="2"/>
  <c r="AC1933" i="2"/>
  <c r="AA1925" i="2"/>
  <c r="AA1924" i="2"/>
  <c r="AA1926" i="2" l="1"/>
  <c r="AA1927" i="2" s="1"/>
  <c r="AA1928" i="2" s="1"/>
  <c r="AA1929" i="2" s="1"/>
  <c r="AA1938" i="2"/>
  <c r="AA1939" i="2"/>
  <c r="AA1950" i="2"/>
  <c r="AC1947" i="2"/>
  <c r="AA1930" i="2"/>
  <c r="AA1932" i="2" l="1"/>
  <c r="AB1933" i="2" s="1"/>
  <c r="AA1940" i="2"/>
  <c r="AA1941" i="2" s="1"/>
  <c r="AA1942" i="2" s="1"/>
  <c r="AA1943" i="2" s="1"/>
  <c r="AA1944" i="2"/>
  <c r="AA1953" i="2"/>
  <c r="AA1964" i="2"/>
  <c r="AC1961" i="2"/>
  <c r="AA1952" i="2"/>
  <c r="AA1958" i="2" s="1"/>
  <c r="AA1946" i="2" l="1"/>
  <c r="AB1947" i="2" s="1"/>
  <c r="AA1978" i="2"/>
  <c r="AA1967" i="2"/>
  <c r="AA1966" i="2"/>
  <c r="AA1972" i="2" s="1"/>
  <c r="AC1975" i="2"/>
  <c r="AA1954" i="2"/>
  <c r="AA1955" i="2" s="1"/>
  <c r="AA1956" i="2" s="1"/>
  <c r="AA1957" i="2" s="1"/>
  <c r="AA1960" i="2" s="1"/>
  <c r="AB1961" i="2" s="1"/>
  <c r="AA1992" i="2" l="1"/>
  <c r="AC1989" i="2"/>
  <c r="AA1981" i="2"/>
  <c r="AA1980" i="2"/>
  <c r="AA1986" i="2" s="1"/>
  <c r="AA1968" i="2"/>
  <c r="AA1969" i="2" s="1"/>
  <c r="AA1970" i="2" s="1"/>
  <c r="AA1971" i="2" s="1"/>
  <c r="AA1974" i="2" s="1"/>
  <c r="AB1975" i="2" s="1"/>
  <c r="AA1995" i="2" l="1"/>
  <c r="AA1994" i="2"/>
  <c r="AA2000" i="2" s="1"/>
  <c r="AA2006" i="2"/>
  <c r="AC2003" i="2"/>
  <c r="AA1982" i="2"/>
  <c r="AA1983" i="2" s="1"/>
  <c r="AA1984" i="2" s="1"/>
  <c r="AA1985" i="2" s="1"/>
  <c r="AA1988" i="2" s="1"/>
  <c r="AB1989" i="2" s="1"/>
  <c r="AA2009" i="2" l="1"/>
  <c r="AA2020" i="2"/>
  <c r="AC2017" i="2"/>
  <c r="AA2008" i="2"/>
  <c r="AA2014" i="2" s="1"/>
  <c r="AA1996" i="2"/>
  <c r="AA1997" i="2" s="1"/>
  <c r="AA1998" i="2" s="1"/>
  <c r="AA1999" i="2" s="1"/>
  <c r="AA2002" i="2" s="1"/>
  <c r="AB2003" i="2" s="1"/>
  <c r="AC2031" i="2" l="1"/>
  <c r="AA2023" i="2"/>
  <c r="AA2022" i="2"/>
  <c r="AA2028" i="2" s="1"/>
  <c r="AA2034" i="2"/>
  <c r="AA2010" i="2"/>
  <c r="AA2011" i="2" s="1"/>
  <c r="AA2012" i="2" s="1"/>
  <c r="AA2013" i="2" s="1"/>
  <c r="AA2016" i="2" s="1"/>
  <c r="AB2017" i="2" s="1"/>
  <c r="AA2036" i="2" l="1"/>
  <c r="AA2037" i="2"/>
  <c r="AA2048" i="2"/>
  <c r="AC2045" i="2"/>
  <c r="AA2024" i="2"/>
  <c r="AA2025" i="2" s="1"/>
  <c r="AA2026" i="2" s="1"/>
  <c r="AA2027" i="2" s="1"/>
  <c r="AA2030" i="2" s="1"/>
  <c r="AB2031" i="2" s="1"/>
  <c r="AA2038" i="2" l="1"/>
  <c r="AA2039" i="2" s="1"/>
  <c r="AA2040" i="2" s="1"/>
  <c r="AA2041" i="2" s="1"/>
  <c r="AA2050" i="2"/>
  <c r="AA2056" i="2" s="1"/>
  <c r="AA2062" i="2"/>
  <c r="AC2059" i="2"/>
  <c r="AA2051" i="2"/>
  <c r="AA2042" i="2"/>
  <c r="AA2044" i="2" l="1"/>
  <c r="AB2045" i="2" s="1"/>
  <c r="AA2052" i="2"/>
  <c r="AA2053" i="2" s="1"/>
  <c r="AA2054" i="2" s="1"/>
  <c r="AA2055" i="2" s="1"/>
  <c r="AA2058" i="2" s="1"/>
  <c r="AB2059" i="2" s="1"/>
  <c r="AC2073" i="2"/>
  <c r="AA2064" i="2"/>
  <c r="AA2065" i="2"/>
  <c r="AA2076" i="2"/>
  <c r="AA2066" i="2" l="1"/>
  <c r="AA2067" i="2" s="1"/>
  <c r="AA2068" i="2" s="1"/>
  <c r="AA2069" i="2" s="1"/>
  <c r="AA2070" i="2"/>
  <c r="AA2078" i="2"/>
  <c r="AA2084" i="2" s="1"/>
  <c r="AA2079" i="2"/>
  <c r="AA2090" i="2"/>
  <c r="AC2087" i="2"/>
  <c r="AA2072" i="2" l="1"/>
  <c r="AB2073" i="2" s="1"/>
  <c r="AA2080" i="2"/>
  <c r="AA2081" i="2" s="1"/>
  <c r="AA2082" i="2" s="1"/>
  <c r="AA2083" i="2" s="1"/>
  <c r="AA2086" i="2" s="1"/>
  <c r="AB2087" i="2" s="1"/>
  <c r="AC2101" i="2"/>
  <c r="AA2093" i="2"/>
  <c r="AA2104" i="2"/>
  <c r="AA2092" i="2"/>
  <c r="AA2098" i="2" s="1"/>
  <c r="AA2106" i="2" l="1"/>
  <c r="AA2107" i="2"/>
  <c r="AA2118" i="2"/>
  <c r="AC2115" i="2"/>
  <c r="AA2094" i="2"/>
  <c r="AA2095" i="2" s="1"/>
  <c r="AA2096" i="2" s="1"/>
  <c r="AA2097" i="2" s="1"/>
  <c r="AA2100" i="2" s="1"/>
  <c r="AB2101" i="2" s="1"/>
  <c r="AA2108" i="2" l="1"/>
  <c r="AA2109" i="2" s="1"/>
  <c r="AA2110" i="2" s="1"/>
  <c r="AA2111" i="2" s="1"/>
  <c r="AA2112" i="2"/>
  <c r="AA2120" i="2"/>
  <c r="AA2126" i="2" s="1"/>
  <c r="AC2129" i="2"/>
  <c r="AA2121" i="2"/>
  <c r="AA2132" i="2"/>
  <c r="AA2114" i="2" l="1"/>
  <c r="AB2115" i="2" s="1"/>
  <c r="AA2122" i="2"/>
  <c r="AA2123" i="2" s="1"/>
  <c r="AA2124" i="2" s="1"/>
  <c r="AA2125" i="2" s="1"/>
  <c r="AA2128" i="2" s="1"/>
  <c r="AB2129" i="2" s="1"/>
  <c r="AA2146" i="2"/>
  <c r="AA2135" i="2"/>
  <c r="AA2134" i="2"/>
  <c r="AA2140" i="2" s="1"/>
  <c r="AC2143" i="2"/>
  <c r="AC2157" i="2" l="1"/>
  <c r="AA2149" i="2"/>
  <c r="AA2148" i="2"/>
  <c r="AA2154" i="2" s="1"/>
  <c r="AA2160" i="2"/>
  <c r="AA2136" i="2"/>
  <c r="AA2137" i="2" s="1"/>
  <c r="AA2138" i="2" s="1"/>
  <c r="AA2139" i="2" s="1"/>
  <c r="AA2142" i="2" s="1"/>
  <c r="AB2143" i="2" s="1"/>
  <c r="AA2174" i="2" l="1"/>
  <c r="AA2162" i="2"/>
  <c r="AA2168" i="2" s="1"/>
  <c r="AC2171" i="2"/>
  <c r="AA2163" i="2"/>
  <c r="AA2150" i="2"/>
  <c r="AA2151" i="2" s="1"/>
  <c r="AA2152" i="2" s="1"/>
  <c r="AA2153" i="2" s="1"/>
  <c r="AA2156" i="2" s="1"/>
  <c r="AB2157" i="2" s="1"/>
  <c r="AA2164" i="2" l="1"/>
  <c r="AA2165" i="2" s="1"/>
  <c r="AA2166" i="2" s="1"/>
  <c r="AA2167" i="2" s="1"/>
  <c r="AA2170" i="2" s="1"/>
  <c r="AB2171" i="2" s="1"/>
  <c r="AA2176" i="2"/>
  <c r="AC2185" i="2"/>
  <c r="AA2188" i="2"/>
  <c r="AA2177" i="2"/>
  <c r="AA2178" i="2" l="1"/>
  <c r="AA2179" i="2" s="1"/>
  <c r="AA2180" i="2" s="1"/>
  <c r="AA2181" i="2" s="1"/>
  <c r="AA2191" i="2"/>
  <c r="AC2199" i="2"/>
  <c r="AA2190" i="2"/>
  <c r="AA2196" i="2" s="1"/>
  <c r="AA2202" i="2"/>
  <c r="AA2182" i="2"/>
  <c r="AA2184" i="2" l="1"/>
  <c r="AB2185" i="2" s="1"/>
  <c r="AA2204" i="2"/>
  <c r="AA2205" i="2"/>
  <c r="AA2216" i="2"/>
  <c r="AC2213" i="2"/>
  <c r="AA2192" i="2"/>
  <c r="AA2193" i="2" s="1"/>
  <c r="AA2194" i="2" s="1"/>
  <c r="AA2195" i="2" s="1"/>
  <c r="AA2198" i="2" s="1"/>
  <c r="AB2199" i="2" s="1"/>
  <c r="AA2206" i="2" l="1"/>
  <c r="AA2207" i="2" s="1"/>
  <c r="AA2208" i="2" s="1"/>
  <c r="AA2209" i="2" s="1"/>
  <c r="AC2227" i="2"/>
  <c r="AA2219" i="2"/>
  <c r="AA2218" i="2"/>
  <c r="AA2224" i="2" s="1"/>
  <c r="AA2230" i="2"/>
  <c r="AA2210" i="2"/>
  <c r="AA2212" i="2" l="1"/>
  <c r="AB2213" i="2" s="1"/>
  <c r="AC2241" i="2"/>
  <c r="AA2232" i="2"/>
  <c r="AA2238" i="2" s="1"/>
  <c r="AA2233" i="2"/>
  <c r="AA2244" i="2"/>
  <c r="AA2220" i="2"/>
  <c r="AA2221" i="2" s="1"/>
  <c r="AA2222" i="2" s="1"/>
  <c r="AA2223" i="2" s="1"/>
  <c r="AA2226" i="2" s="1"/>
  <c r="AB2227" i="2" s="1"/>
  <c r="AA2234" i="2" l="1"/>
  <c r="AA2235" i="2" s="1"/>
  <c r="AA2236" i="2" s="1"/>
  <c r="AA2237" i="2" s="1"/>
  <c r="AA2240" i="2" s="1"/>
  <c r="AB2241" i="2" s="1"/>
  <c r="AA2246" i="2"/>
  <c r="AA2252" i="2" s="1"/>
  <c r="AA2258" i="2"/>
  <c r="AC2255" i="2"/>
  <c r="AA2247" i="2"/>
  <c r="AA2248" i="2" l="1"/>
  <c r="AA2249" i="2" s="1"/>
  <c r="AA2250" i="2" s="1"/>
  <c r="AA2251" i="2" s="1"/>
  <c r="AA2254" i="2" s="1"/>
  <c r="AB2255" i="2" s="1"/>
  <c r="AA2260" i="2"/>
  <c r="AC2269" i="2"/>
  <c r="AA2272" i="2"/>
  <c r="AA2261" i="2"/>
  <c r="AC2283" i="2" l="1"/>
  <c r="AA2274" i="2"/>
  <c r="AA2275" i="2"/>
  <c r="AA2286" i="2"/>
  <c r="AA2262" i="2"/>
  <c r="AA2263" i="2" s="1"/>
  <c r="AA2264" i="2" s="1"/>
  <c r="AA2265" i="2" s="1"/>
  <c r="AA2266" i="2"/>
  <c r="AA2268" i="2" l="1"/>
  <c r="AB2269" i="2" s="1"/>
  <c r="AA2276" i="2"/>
  <c r="AA2277" i="2" s="1"/>
  <c r="AA2278" i="2" s="1"/>
  <c r="AA2279" i="2" s="1"/>
  <c r="AA2280" i="2"/>
  <c r="AC2297" i="2"/>
  <c r="AA2300" i="2"/>
  <c r="AA2289" i="2"/>
  <c r="AA2288" i="2"/>
  <c r="AA2294" i="2" s="1"/>
  <c r="AA2282" i="2" l="1"/>
  <c r="AB2283" i="2" s="1"/>
  <c r="AA2302" i="2"/>
  <c r="AA2308" i="2" s="1"/>
  <c r="AA2303" i="2"/>
  <c r="AA2314" i="2"/>
  <c r="AC2311" i="2"/>
  <c r="AA2290" i="2"/>
  <c r="AA2291" i="2" s="1"/>
  <c r="AA2292" i="2" s="1"/>
  <c r="AA2293" i="2" s="1"/>
  <c r="AA2296" i="2" s="1"/>
  <c r="AB2297" i="2" s="1"/>
  <c r="AA2304" i="2" l="1"/>
  <c r="AA2305" i="2" s="1"/>
  <c r="AA2306" i="2" s="1"/>
  <c r="AA2307" i="2" s="1"/>
  <c r="AA2310" i="2" s="1"/>
  <c r="AB2311" i="2" s="1"/>
  <c r="AC2325" i="2"/>
  <c r="AA2317" i="2"/>
  <c r="AA2328" i="2"/>
  <c r="AA2316" i="2"/>
  <c r="AA2318" i="2" l="1"/>
  <c r="AA2319" i="2" s="1"/>
  <c r="AA2320" i="2" s="1"/>
  <c r="AA2321" i="2" s="1"/>
  <c r="AA2342" i="2"/>
  <c r="AA2331" i="2"/>
  <c r="AA2330" i="2"/>
  <c r="AA2336" i="2" s="1"/>
  <c r="AC2339" i="2"/>
  <c r="AA2322" i="2"/>
  <c r="AA2324" i="2" l="1"/>
  <c r="AB2325" i="2" s="1"/>
  <c r="AC2353" i="2"/>
  <c r="AA2345" i="2"/>
  <c r="AA2356" i="2"/>
  <c r="AA2344" i="2"/>
  <c r="AA2350" i="2" s="1"/>
  <c r="AA2332" i="2"/>
  <c r="AA2333" i="2" s="1"/>
  <c r="AA2334" i="2" s="1"/>
  <c r="AA2335" i="2" s="1"/>
  <c r="AA2338" i="2" s="1"/>
  <c r="AB2339" i="2" s="1"/>
  <c r="AA2358" i="2" l="1"/>
  <c r="AA2364" i="2" s="1"/>
  <c r="AA2370" i="2"/>
  <c r="AC2367" i="2"/>
  <c r="AA2359" i="2"/>
  <c r="AA2346" i="2"/>
  <c r="AA2347" i="2" s="1"/>
  <c r="AA2348" i="2" s="1"/>
  <c r="AA2349" i="2" s="1"/>
  <c r="AA2352" i="2" s="1"/>
  <c r="AB2353" i="2" s="1"/>
  <c r="AA2372" i="2" l="1"/>
  <c r="AA2378" i="2" s="1"/>
  <c r="AC2381" i="2"/>
  <c r="AA2373" i="2"/>
  <c r="AA2384" i="2"/>
  <c r="AA2360" i="2"/>
  <c r="AA2361" i="2" s="1"/>
  <c r="AA2362" i="2" s="1"/>
  <c r="AA2363" i="2" s="1"/>
  <c r="AA2366" i="2" s="1"/>
  <c r="AB2367" i="2" s="1"/>
  <c r="AA2374" i="2" l="1"/>
  <c r="AA2375" i="2" s="1"/>
  <c r="AA2376" i="2" s="1"/>
  <c r="AA2377" i="2" s="1"/>
  <c r="AA2380" i="2" s="1"/>
  <c r="AB2381" i="2" s="1"/>
  <c r="AC2395" i="2"/>
  <c r="AA2387" i="2"/>
  <c r="AA2386" i="2"/>
  <c r="AA2392" i="2" s="1"/>
  <c r="AA2398" i="2"/>
  <c r="AA2401" i="2" l="1"/>
  <c r="AC2409" i="2"/>
  <c r="AA2400" i="2"/>
  <c r="AA2406" i="2" s="1"/>
  <c r="AA2412" i="2"/>
  <c r="AA2388" i="2"/>
  <c r="AA2389" i="2" s="1"/>
  <c r="AA2390" i="2" l="1"/>
  <c r="AA2391" i="2" s="1"/>
  <c r="AA2394" i="2" s="1"/>
  <c r="AB2395" i="2" s="1"/>
  <c r="AA2414" i="2"/>
  <c r="AA2420" i="2" s="1"/>
  <c r="AC2423" i="2"/>
  <c r="AA2415" i="2"/>
  <c r="AA2426" i="2"/>
  <c r="AA2402" i="2"/>
  <c r="AA2403" i="2" s="1"/>
  <c r="AA2404" i="2" s="1"/>
  <c r="AA2405" i="2" s="1"/>
  <c r="AA2408" i="2" s="1"/>
  <c r="AB2409" i="2" s="1"/>
  <c r="AC2437" i="2" l="1"/>
  <c r="AA2428" i="2"/>
  <c r="AA2429" i="2"/>
  <c r="AA2440" i="2"/>
  <c r="AA2416" i="2"/>
  <c r="AA2417" i="2" s="1"/>
  <c r="AA2418" i="2" s="1"/>
  <c r="AA2419" i="2" s="1"/>
  <c r="AA2422" i="2" s="1"/>
  <c r="AB2423" i="2" s="1"/>
  <c r="AA2430" i="2" l="1"/>
  <c r="AA2431" i="2" s="1"/>
  <c r="AA2432" i="2" s="1"/>
  <c r="AA2433" i="2" s="1"/>
  <c r="AA2434" i="2"/>
  <c r="AA2442" i="2"/>
  <c r="AA2448" i="2" s="1"/>
  <c r="AC2451" i="2"/>
  <c r="AA2443" i="2"/>
  <c r="AA2454" i="2"/>
  <c r="AA2436" i="2" l="1"/>
  <c r="AB2437" i="2" s="1"/>
  <c r="AA2456" i="2"/>
  <c r="AA2468" i="2"/>
  <c r="AC2465" i="2"/>
  <c r="AA2457" i="2"/>
  <c r="AA2444" i="2"/>
  <c r="AA2458" i="2" l="1"/>
  <c r="AA2445" i="2"/>
  <c r="AA2446" i="2" s="1"/>
  <c r="AA2447" i="2" s="1"/>
  <c r="AA2450" i="2" s="1"/>
  <c r="AB2451" i="2" s="1"/>
  <c r="AA2471" i="2"/>
  <c r="AA2470" i="2"/>
  <c r="AA2482" i="2"/>
  <c r="AC2479" i="2"/>
  <c r="AA2462" i="2"/>
  <c r="AA2472" i="2" l="1"/>
  <c r="AA2459" i="2"/>
  <c r="AA2460" i="2" s="1"/>
  <c r="AA2461" i="2" s="1"/>
  <c r="AA2464" i="2" s="1"/>
  <c r="AB2465" i="2" s="1"/>
  <c r="AA2476" i="2"/>
  <c r="AC2493" i="2"/>
  <c r="AA2496" i="2"/>
  <c r="AA2485" i="2"/>
  <c r="AA2484" i="2"/>
  <c r="AA2473" i="2" l="1"/>
  <c r="AA2474" i="2" s="1"/>
  <c r="AA2475" i="2" s="1"/>
  <c r="AA2478" i="2" s="1"/>
  <c r="AB2479" i="2" s="1"/>
  <c r="AA2499" i="2"/>
  <c r="AA2510" i="2"/>
  <c r="AC2507" i="2"/>
  <c r="AA2498" i="2"/>
  <c r="AA2486" i="2"/>
  <c r="AA2490" i="2"/>
  <c r="AA2500" i="2" l="1"/>
  <c r="AA2504" i="2"/>
  <c r="AA2487" i="2"/>
  <c r="AA2488" i="2" s="1"/>
  <c r="AA2489" i="2" s="1"/>
  <c r="AA2492" i="2" s="1"/>
  <c r="AB2493" i="2" s="1"/>
  <c r="AC2521" i="2"/>
  <c r="AA2512" i="2"/>
  <c r="AA2513" i="2"/>
  <c r="AA2524" i="2"/>
  <c r="AA2514" i="2" l="1"/>
  <c r="AA2515" i="2" s="1"/>
  <c r="AA2516" i="2" s="1"/>
  <c r="AA2517" i="2" s="1"/>
  <c r="AA2526" i="2"/>
  <c r="AA2538" i="2"/>
  <c r="AC2535" i="2"/>
  <c r="AA2527" i="2"/>
  <c r="AA2501" i="2"/>
  <c r="AA2502" i="2" s="1"/>
  <c r="AA2503" i="2" s="1"/>
  <c r="AA2506" i="2" s="1"/>
  <c r="AB2507" i="2" s="1"/>
  <c r="AA2518" i="2"/>
  <c r="AA2520" i="2" l="1"/>
  <c r="AB2521" i="2" s="1"/>
  <c r="AC2549" i="2"/>
  <c r="AA2541" i="2"/>
  <c r="AA2540" i="2"/>
  <c r="AA2546" i="2" s="1"/>
  <c r="AA2552" i="2"/>
  <c r="AA2528" i="2"/>
  <c r="AA2532" i="2"/>
  <c r="AA2529" i="2" l="1"/>
  <c r="AA2530" i="2" s="1"/>
  <c r="AA2531" i="2" s="1"/>
  <c r="AA2534" i="2" s="1"/>
  <c r="AB2535" i="2" s="1"/>
  <c r="AC2563" i="2"/>
  <c r="AA2566" i="2"/>
  <c r="AA2555" i="2"/>
  <c r="AA2554" i="2"/>
  <c r="AA2542" i="2"/>
  <c r="AA2543" i="2" l="1"/>
  <c r="AA2544" i="2" s="1"/>
  <c r="AA2545" i="2" s="1"/>
  <c r="AA2548" i="2" s="1"/>
  <c r="AB2549" i="2" s="1"/>
  <c r="AA2568" i="2"/>
  <c r="AA2574" i="2" s="1"/>
  <c r="AA2580" i="2"/>
  <c r="AC2577" i="2"/>
  <c r="AA2569" i="2"/>
  <c r="AA2556" i="2"/>
  <c r="AA2560" i="2"/>
  <c r="AA2557" i="2" l="1"/>
  <c r="AA2558" i="2" s="1"/>
  <c r="AA2559" i="2" s="1"/>
  <c r="AA2562" i="2" s="1"/>
  <c r="AB2563" i="2" s="1"/>
  <c r="AA2583" i="2"/>
  <c r="AA2582" i="2"/>
  <c r="AA2588" i="2" s="1"/>
  <c r="AA2594" i="2"/>
  <c r="AC2591" i="2"/>
  <c r="AA2570" i="2"/>
  <c r="AA2597" i="2" l="1"/>
  <c r="AA2596" i="2"/>
  <c r="AA2608" i="2"/>
  <c r="AC2605" i="2"/>
  <c r="AA2571" i="2"/>
  <c r="AA2572" i="2" s="1"/>
  <c r="AA2573" i="2" s="1"/>
  <c r="AA2576" i="2" s="1"/>
  <c r="AB2577" i="2" s="1"/>
  <c r="AA2584" i="2"/>
  <c r="AA2610" i="2" l="1"/>
  <c r="AA2622" i="2"/>
  <c r="AC2619" i="2"/>
  <c r="AA2611" i="2"/>
  <c r="AA2598" i="2"/>
  <c r="AA2585" i="2"/>
  <c r="AA2586" i="2" s="1"/>
  <c r="AA2587" i="2" s="1"/>
  <c r="AA2590" i="2" s="1"/>
  <c r="AB2591" i="2" s="1"/>
  <c r="AA2602" i="2"/>
  <c r="AA2599" i="2" l="1"/>
  <c r="AA2600" i="2" s="1"/>
  <c r="AA2601" i="2" s="1"/>
  <c r="AA2604" i="2" s="1"/>
  <c r="AB2605" i="2" s="1"/>
  <c r="AC2633" i="2"/>
  <c r="AA2624" i="2"/>
  <c r="AA2630" i="2" s="1"/>
  <c r="AA2625" i="2"/>
  <c r="AA2636" i="2"/>
  <c r="AA2612" i="2"/>
  <c r="AA2616" i="2"/>
  <c r="AA2638" i="2" l="1"/>
  <c r="AA2650" i="2"/>
  <c r="AC2647" i="2"/>
  <c r="AA2639" i="2"/>
  <c r="AA2613" i="2"/>
  <c r="AA2614" i="2" s="1"/>
  <c r="AA2615" i="2" s="1"/>
  <c r="AA2618" i="2" s="1"/>
  <c r="AB2619" i="2" s="1"/>
  <c r="AA2626" i="2"/>
  <c r="AA2640" i="2" l="1"/>
  <c r="AA2641" i="2" s="1"/>
  <c r="AA2642" i="2" s="1"/>
  <c r="AA2643" i="2" s="1"/>
  <c r="AA2644" i="2"/>
  <c r="AA2652" i="2"/>
  <c r="AA2658" i="2" s="1"/>
  <c r="AA2664" i="2"/>
  <c r="AC2661" i="2"/>
  <c r="AA2653" i="2"/>
  <c r="AA2627" i="2"/>
  <c r="AA2628" i="2" s="1"/>
  <c r="AA2629" i="2" s="1"/>
  <c r="AA2632" i="2" s="1"/>
  <c r="AB2633" i="2" s="1"/>
  <c r="AA2646" i="2" l="1"/>
  <c r="AB2647" i="2" s="1"/>
  <c r="AA2654" i="2"/>
  <c r="AC2675" i="2"/>
  <c r="AA2666" i="2"/>
  <c r="AA2672" i="2" s="1"/>
  <c r="AA2667" i="2"/>
  <c r="AA2678" i="2"/>
  <c r="AA2668" i="2" l="1"/>
  <c r="AC2689" i="2"/>
  <c r="AA2680" i="2"/>
  <c r="AA2681" i="2"/>
  <c r="AA2692" i="2"/>
  <c r="AA2655" i="2"/>
  <c r="AA2656" i="2" s="1"/>
  <c r="AA2657" i="2" s="1"/>
  <c r="AA2660" i="2" s="1"/>
  <c r="AB2661" i="2" s="1"/>
  <c r="AA2669" i="2" l="1"/>
  <c r="AA2670" i="2" s="1"/>
  <c r="AA2671" i="2" s="1"/>
  <c r="AA2674" i="2" s="1"/>
  <c r="AB2675" i="2" s="1"/>
  <c r="AA2682" i="2"/>
  <c r="AA2683" i="2" s="1"/>
  <c r="AA2684" i="2" s="1"/>
  <c r="AA2685" i="2" s="1"/>
  <c r="AA2695" i="2"/>
  <c r="AA2694" i="2"/>
  <c r="AC2703" i="2"/>
  <c r="AA2706" i="2"/>
  <c r="AA2686" i="2"/>
  <c r="AA2688" i="2" l="1"/>
  <c r="AB2689" i="2" s="1"/>
  <c r="AA2696" i="2"/>
  <c r="AA2697" i="2" s="1"/>
  <c r="AA2698" i="2" s="1"/>
  <c r="AA2699" i="2" s="1"/>
  <c r="AA2709" i="2"/>
  <c r="AA2708" i="2"/>
  <c r="AA2714" i="2" s="1"/>
  <c r="AA2720" i="2"/>
  <c r="AC2717" i="2"/>
  <c r="AA2700" i="2"/>
  <c r="AA2702" i="2" l="1"/>
  <c r="AB2703" i="2" s="1"/>
  <c r="AA2710" i="2"/>
  <c r="AA2722" i="2"/>
  <c r="AA2728" i="2" s="1"/>
  <c r="AA2734" i="2"/>
  <c r="AA2723" i="2"/>
  <c r="AC2731" i="2"/>
  <c r="AA2724" i="2" l="1"/>
  <c r="AA2711" i="2"/>
  <c r="AA2712" i="2" s="1"/>
  <c r="AA2713" i="2" s="1"/>
  <c r="AA2716" i="2" s="1"/>
  <c r="AB2717" i="2" s="1"/>
  <c r="AA2736" i="2"/>
  <c r="AA2742" i="2" s="1"/>
  <c r="AA2748" i="2"/>
  <c r="AC2745" i="2"/>
  <c r="AA2737" i="2"/>
  <c r="AA2725" i="2" l="1"/>
  <c r="AA2726" i="2" s="1"/>
  <c r="AA2727" i="2" s="1"/>
  <c r="AA2730" i="2" s="1"/>
  <c r="AB2731" i="2" s="1"/>
  <c r="AA2751" i="2"/>
  <c r="AA2750" i="2"/>
  <c r="AA2756" i="2" s="1"/>
  <c r="AA2762" i="2"/>
  <c r="AC2759" i="2"/>
  <c r="AA2738" i="2"/>
  <c r="AA2739" i="2" l="1"/>
  <c r="AA2740" i="2" s="1"/>
  <c r="AA2741" i="2" s="1"/>
  <c r="AA2744" i="2" s="1"/>
  <c r="AB2745" i="2" s="1"/>
  <c r="AA2764" i="2"/>
  <c r="AA2770" i="2" s="1"/>
  <c r="AA2776" i="2"/>
  <c r="AC2773" i="2"/>
  <c r="AA2765" i="2"/>
  <c r="AA2752" i="2"/>
  <c r="AA2753" i="2" l="1"/>
  <c r="AA2754" i="2" s="1"/>
  <c r="AA2755" i="2" s="1"/>
  <c r="AA2758" i="2" s="1"/>
  <c r="AB2759" i="2" s="1"/>
  <c r="AC2787" i="2"/>
  <c r="AA2778" i="2"/>
  <c r="AA2784" i="2" s="1"/>
  <c r="AA2779" i="2"/>
  <c r="AA2790" i="2"/>
  <c r="AA2766" i="2"/>
  <c r="AA2793" i="2" l="1"/>
  <c r="AC2801" i="2"/>
  <c r="AA2792" i="2"/>
  <c r="AA2798" i="2" s="1"/>
  <c r="AA2804" i="2"/>
  <c r="AA2767" i="2"/>
  <c r="AA2768" i="2" s="1"/>
  <c r="AA2769" i="2" s="1"/>
  <c r="AA2772" i="2" s="1"/>
  <c r="AB2773" i="2" s="1"/>
  <c r="AA2780" i="2"/>
  <c r="AA2781" i="2" l="1"/>
  <c r="AA2782" i="2" s="1"/>
  <c r="AA2783" i="2" s="1"/>
  <c r="AA2786" i="2" s="1"/>
  <c r="AB2787" i="2" s="1"/>
  <c r="AC2815" i="2"/>
  <c r="AA2807" i="2"/>
  <c r="AA2818" i="2"/>
  <c r="AA2806" i="2"/>
  <c r="AA2812" i="2" s="1"/>
  <c r="AA2794" i="2"/>
  <c r="AA2808" i="2" l="1"/>
  <c r="AA2809" i="2" s="1"/>
  <c r="AA2810" i="2" s="1"/>
  <c r="AA2811" i="2" s="1"/>
  <c r="AA2814" i="2" s="1"/>
  <c r="AA2820" i="2"/>
  <c r="AA2832" i="2"/>
  <c r="AC2829" i="2"/>
  <c r="AA2821" i="2"/>
  <c r="AA2795" i="2"/>
  <c r="AA2796" i="2" s="1"/>
  <c r="AA2797" i="2" s="1"/>
  <c r="AA2800" i="2" s="1"/>
  <c r="AB2801" i="2" s="1"/>
  <c r="AB2815" i="2" l="1"/>
  <c r="AA2834" i="2"/>
  <c r="AA2846" i="2"/>
  <c r="AC2843" i="2"/>
  <c r="AA2835" i="2"/>
  <c r="AA2822" i="2"/>
  <c r="AA2826" i="2"/>
  <c r="AA2823" i="2" l="1"/>
  <c r="AA2824" i="2" s="1"/>
  <c r="AA2825" i="2" s="1"/>
  <c r="AA2828" i="2" s="1"/>
  <c r="AB2829" i="2" s="1"/>
  <c r="AA2849" i="2"/>
  <c r="AA2848" i="2"/>
  <c r="AA2860" i="2"/>
  <c r="AC2857" i="2"/>
  <c r="AA2836" i="2"/>
  <c r="AA2840" i="2"/>
  <c r="AA2850" i="2" l="1"/>
  <c r="AA2863" i="2"/>
  <c r="AA2862" i="2"/>
  <c r="AA2868" i="2" s="1"/>
  <c r="AA2874" i="2"/>
  <c r="AC2871" i="2"/>
  <c r="AA2837" i="2"/>
  <c r="AA2838" i="2" s="1"/>
  <c r="AA2839" i="2" s="1"/>
  <c r="AA2842" i="2" s="1"/>
  <c r="AB2843" i="2" s="1"/>
  <c r="AA2854" i="2"/>
  <c r="AA2851" i="2" l="1"/>
  <c r="AA2852" i="2" s="1"/>
  <c r="AA2853" i="2" s="1"/>
  <c r="AA2856" i="2" s="1"/>
  <c r="AB2857" i="2" s="1"/>
  <c r="AA2876" i="2"/>
  <c r="AA2882" i="2" s="1"/>
  <c r="AA2888" i="2"/>
  <c r="AC2885" i="2"/>
  <c r="AA2877" i="2"/>
  <c r="AA2864" i="2"/>
  <c r="AA2865" i="2" l="1"/>
  <c r="AA2866" i="2" s="1"/>
  <c r="AA2867" i="2" s="1"/>
  <c r="AA2870" i="2" s="1"/>
  <c r="AB2871" i="2" s="1"/>
  <c r="AA2902" i="2"/>
  <c r="AA2891" i="2"/>
  <c r="AA2890" i="2"/>
  <c r="AC2899" i="2"/>
  <c r="AA2878" i="2"/>
  <c r="AA2892" i="2" l="1"/>
  <c r="AC2913" i="2"/>
  <c r="AA2905" i="2"/>
  <c r="AA2904" i="2"/>
  <c r="AA2916" i="2"/>
  <c r="AA2879" i="2"/>
  <c r="AA2880" i="2" s="1"/>
  <c r="AA2881" i="2" s="1"/>
  <c r="AA2884" i="2" s="1"/>
  <c r="AB2885" i="2" s="1"/>
  <c r="AA2896" i="2"/>
  <c r="AA2906" i="2" l="1"/>
  <c r="AA2907" i="2" s="1"/>
  <c r="AA2908" i="2" s="1"/>
  <c r="AA2909" i="2" s="1"/>
  <c r="AA2893" i="2"/>
  <c r="AA2894" i="2" s="1"/>
  <c r="AA2895" i="2" s="1"/>
  <c r="AA2898" i="2" s="1"/>
  <c r="AB2899" i="2" s="1"/>
  <c r="AA2910" i="2"/>
  <c r="AA2930" i="2"/>
  <c r="AA2919" i="2"/>
  <c r="AA2918" i="2"/>
  <c r="AC2927" i="2"/>
  <c r="AA2912" i="2" l="1"/>
  <c r="AB2913" i="2" s="1"/>
  <c r="AA2933" i="2"/>
  <c r="AA2944" i="2"/>
  <c r="AC2941" i="2"/>
  <c r="AA2932" i="2"/>
  <c r="AA2920" i="2"/>
  <c r="AA2924" i="2"/>
  <c r="AA2934" i="2" l="1"/>
  <c r="AA2935" i="2" s="1"/>
  <c r="AA2936" i="2" s="1"/>
  <c r="AA2937" i="2" s="1"/>
  <c r="AA2921" i="2"/>
  <c r="AA2922" i="2" s="1"/>
  <c r="AA2923" i="2" s="1"/>
  <c r="AA2926" i="2" s="1"/>
  <c r="AB2927" i="2" s="1"/>
  <c r="AC2955" i="2"/>
  <c r="AA2947" i="2"/>
  <c r="AA2946" i="2"/>
  <c r="AA2952" i="2" s="1"/>
  <c r="AA2958" i="2"/>
  <c r="AA2938" i="2"/>
  <c r="AA2940" i="2" l="1"/>
  <c r="AB2941" i="2" s="1"/>
  <c r="AA2960" i="2"/>
  <c r="AA2961" i="2"/>
  <c r="AA2972" i="2"/>
  <c r="AC2969" i="2"/>
  <c r="AA2948" i="2"/>
  <c r="AA2962" i="2" l="1"/>
  <c r="AA2966" i="2"/>
  <c r="AA2949" i="2"/>
  <c r="AA2950" i="2" s="1"/>
  <c r="AA2951" i="2" s="1"/>
  <c r="AA2954" i="2" s="1"/>
  <c r="AB2955" i="2" s="1"/>
  <c r="AA2974" i="2"/>
  <c r="AA2980" i="2" s="1"/>
  <c r="AC2983" i="2"/>
  <c r="AA2975" i="2"/>
  <c r="AA2986" i="2"/>
  <c r="AA2963" i="2" l="1"/>
  <c r="AA2964" i="2" s="1"/>
  <c r="AA2965" i="2" s="1"/>
  <c r="AA2968" i="2" s="1"/>
  <c r="AB2969" i="2" s="1"/>
  <c r="AC2997" i="2"/>
  <c r="AA2989" i="2"/>
  <c r="AA2988" i="2"/>
  <c r="AA2994" i="2" s="1"/>
  <c r="AA3000" i="2"/>
  <c r="AA2976" i="2"/>
  <c r="AA2990" i="2" l="1"/>
  <c r="AA2991" i="2" s="1"/>
  <c r="AA2992" i="2" s="1"/>
  <c r="AA2993" i="2" s="1"/>
  <c r="AA2996" i="2" s="1"/>
  <c r="AA2977" i="2"/>
  <c r="AA2978" i="2" s="1"/>
  <c r="AA2979" i="2" s="1"/>
  <c r="AA2982" i="2" s="1"/>
  <c r="AB2983" i="2" s="1"/>
  <c r="AA3002" i="2"/>
  <c r="AA3008" i="2" s="1"/>
  <c r="AA3014" i="2"/>
  <c r="AC3011" i="2"/>
  <c r="AA3003" i="2"/>
  <c r="AB2997" i="2" l="1"/>
  <c r="AA3004" i="2"/>
  <c r="AA3017" i="2"/>
  <c r="AA3016" i="2"/>
  <c r="AA3022" i="2" s="1"/>
  <c r="AA3028" i="2"/>
  <c r="AC3025" i="2"/>
  <c r="AA3005" i="2" l="1"/>
  <c r="AA3006" i="2" s="1"/>
  <c r="AA3007" i="2" s="1"/>
  <c r="AA3010" i="2" s="1"/>
  <c r="AB3011" i="2" s="1"/>
  <c r="AA3018" i="2"/>
  <c r="AC3039" i="2"/>
  <c r="AA3031" i="2"/>
  <c r="AA3030" i="2"/>
  <c r="AA3042" i="2"/>
  <c r="AC3053" i="2" l="1"/>
  <c r="AA3044" i="2"/>
  <c r="AA3050" i="2" s="1"/>
  <c r="AA3056" i="2"/>
  <c r="AA3045" i="2"/>
  <c r="AA3019" i="2"/>
  <c r="AA3020" i="2" s="1"/>
  <c r="AA3021" i="2" s="1"/>
  <c r="AA3024" i="2" s="1"/>
  <c r="AB3025" i="2" s="1"/>
  <c r="AA3032" i="2"/>
  <c r="AA3036" i="2"/>
  <c r="AA3059" i="2" l="1"/>
  <c r="AA3058" i="2"/>
  <c r="AC3067" i="2"/>
  <c r="AA3070" i="2"/>
  <c r="AA3046" i="2"/>
  <c r="AA3033" i="2"/>
  <c r="AA3034" i="2" s="1"/>
  <c r="AA3035" i="2" s="1"/>
  <c r="AA3038" i="2" s="1"/>
  <c r="AB3039" i="2" s="1"/>
  <c r="AA3047" i="2" l="1"/>
  <c r="AA3048" i="2" s="1"/>
  <c r="AA3049" i="2" s="1"/>
  <c r="AA3052" i="2" s="1"/>
  <c r="AB3053" i="2" s="1"/>
  <c r="AC3081" i="2"/>
  <c r="AA3073" i="2"/>
  <c r="AA3072" i="2"/>
  <c r="AA3084" i="2"/>
  <c r="AA3060" i="2"/>
  <c r="AA3064" i="2"/>
  <c r="AA3074" i="2" l="1"/>
  <c r="AA3075" i="2" s="1"/>
  <c r="AA3076" i="2" s="1"/>
  <c r="AA3077" i="2" s="1"/>
  <c r="AA3087" i="2"/>
  <c r="AA3086" i="2"/>
  <c r="AA3092" i="2" s="1"/>
  <c r="AA3098" i="2"/>
  <c r="AC3095" i="2"/>
  <c r="AA3061" i="2"/>
  <c r="AA3062" i="2" s="1"/>
  <c r="AA3063" i="2" s="1"/>
  <c r="AA3066" i="2" s="1"/>
  <c r="AB3067" i="2" s="1"/>
  <c r="AA3078" i="2"/>
  <c r="AA3080" i="2" l="1"/>
  <c r="AB3081" i="2" s="1"/>
  <c r="AA3101" i="2"/>
  <c r="AC3109" i="2"/>
  <c r="AA3100" i="2"/>
  <c r="AA3106" i="2" s="1"/>
  <c r="AA3112" i="2"/>
  <c r="AA3088" i="2"/>
  <c r="AA3089" i="2" l="1"/>
  <c r="AA3090" i="2" s="1"/>
  <c r="AA3091" i="2" s="1"/>
  <c r="AA3094" i="2" s="1"/>
  <c r="AB3095" i="2" s="1"/>
  <c r="AA3126" i="2"/>
  <c r="AC3123" i="2"/>
  <c r="AA3115" i="2"/>
  <c r="AA3114" i="2"/>
  <c r="AA3102" i="2"/>
  <c r="AC3137" i="2" l="1"/>
  <c r="AA3129" i="2"/>
  <c r="AA3128" i="2"/>
  <c r="AA3134" i="2" s="1"/>
  <c r="AA3140" i="2"/>
  <c r="AA3103" i="2"/>
  <c r="AA3104" i="2" s="1"/>
  <c r="AA3105" i="2" s="1"/>
  <c r="AA3108" i="2" s="1"/>
  <c r="AB3109" i="2" s="1"/>
  <c r="AA3116" i="2"/>
  <c r="AA3120" i="2"/>
  <c r="AA3117" i="2" l="1"/>
  <c r="AA3118" i="2" s="1"/>
  <c r="AA3119" i="2" s="1"/>
  <c r="AA3122" i="2" s="1"/>
  <c r="AB3123" i="2" s="1"/>
  <c r="AA3143" i="2"/>
  <c r="AA3142" i="2"/>
  <c r="AA3148" i="2" s="1"/>
  <c r="AA3154" i="2"/>
  <c r="AC3151" i="2"/>
  <c r="AA3130" i="2"/>
  <c r="AA3156" i="2" l="1"/>
  <c r="AA3168" i="2"/>
  <c r="AC3165" i="2"/>
  <c r="AA3157" i="2"/>
  <c r="AA3131" i="2"/>
  <c r="AA3132" i="2" s="1"/>
  <c r="AA3133" i="2" s="1"/>
  <c r="AA3136" i="2" s="1"/>
  <c r="AB3137" i="2" s="1"/>
  <c r="AA3144" i="2"/>
  <c r="AC3179" i="2" l="1"/>
  <c r="AA3171" i="2"/>
  <c r="AA3170" i="2"/>
  <c r="AA3176" i="2" s="1"/>
  <c r="AA3182" i="2"/>
  <c r="AA3145" i="2"/>
  <c r="AA3146" i="2" s="1"/>
  <c r="AA3147" i="2" s="1"/>
  <c r="AA3150" i="2" s="1"/>
  <c r="AB3151" i="2" s="1"/>
  <c r="AA3158" i="2"/>
  <c r="AA3162" i="2"/>
  <c r="AC3193" i="2" l="1"/>
  <c r="AA3185" i="2"/>
  <c r="AA3184" i="2"/>
  <c r="AA3190" i="2" s="1"/>
  <c r="AA3196" i="2"/>
  <c r="AA3159" i="2"/>
  <c r="AA3160" i="2" s="1"/>
  <c r="AA3161" i="2" s="1"/>
  <c r="AA3164" i="2" s="1"/>
  <c r="AB3165" i="2" s="1"/>
  <c r="AA3172" i="2"/>
  <c r="AA3173" i="2" l="1"/>
  <c r="AA3174" i="2" s="1"/>
  <c r="AA3175" i="2" s="1"/>
  <c r="AA3178" i="2" s="1"/>
  <c r="AB3179" i="2" s="1"/>
  <c r="AC3207" i="2"/>
  <c r="AA3199" i="2"/>
  <c r="AA3198" i="2"/>
  <c r="AA3210" i="2"/>
  <c r="AA3186" i="2"/>
  <c r="AA3200" i="2" l="1"/>
  <c r="AC3221" i="2"/>
  <c r="AA3213" i="2"/>
  <c r="AA3212" i="2"/>
  <c r="AA3218" i="2" s="1"/>
  <c r="AA3224" i="2"/>
  <c r="AA3187" i="2"/>
  <c r="AA3188" i="2" s="1"/>
  <c r="AA3189" i="2" s="1"/>
  <c r="AA3192" i="2" s="1"/>
  <c r="AB3193" i="2" s="1"/>
  <c r="AA3204" i="2"/>
  <c r="AA3227" i="2" l="1"/>
  <c r="AA3238" i="2"/>
  <c r="AC3235" i="2"/>
  <c r="AA3226" i="2"/>
  <c r="AA3201" i="2"/>
  <c r="AA3202" i="2" s="1"/>
  <c r="AA3203" i="2" s="1"/>
  <c r="AA3206" i="2" s="1"/>
  <c r="AB3207" i="2" s="1"/>
  <c r="AA3214" i="2"/>
  <c r="AA3228" i="2" l="1"/>
  <c r="AC3249" i="2"/>
  <c r="AA3240" i="2"/>
  <c r="AA3246" i="2" s="1"/>
  <c r="AA3252" i="2"/>
  <c r="AA3241" i="2"/>
  <c r="AA3215" i="2"/>
  <c r="AA3216" i="2" s="1"/>
  <c r="AA3217" i="2" s="1"/>
  <c r="AA3220" i="2" s="1"/>
  <c r="AB3221" i="2" s="1"/>
  <c r="AA3232" i="2"/>
  <c r="AA3229" i="2" l="1"/>
  <c r="AA3230" i="2" s="1"/>
  <c r="AA3231" i="2" s="1"/>
  <c r="AA3234" i="2" s="1"/>
  <c r="AB3235" i="2" s="1"/>
  <c r="AA3242" i="2"/>
  <c r="AC3263" i="2"/>
  <c r="AA3255" i="2"/>
  <c r="AA3266" i="2"/>
  <c r="AA3254" i="2"/>
  <c r="AA3260" i="2" s="1"/>
  <c r="AA3256" i="2" l="1"/>
  <c r="AA3257" i="2" s="1"/>
  <c r="AA3258" i="2" s="1"/>
  <c r="AA3259" i="2" s="1"/>
  <c r="AA3262" i="2" s="1"/>
  <c r="AA3243" i="2"/>
  <c r="AA3244" i="2" s="1"/>
  <c r="AA3245" i="2" s="1"/>
  <c r="AA3248" i="2" s="1"/>
  <c r="AB3249" i="2" s="1"/>
  <c r="AC3277" i="2"/>
  <c r="AA3280" i="2"/>
  <c r="AA3269" i="2"/>
  <c r="AA3268" i="2"/>
  <c r="AB3263" i="2" l="1"/>
  <c r="AA3270" i="2"/>
  <c r="AA3294" i="2"/>
  <c r="AC3291" i="2"/>
  <c r="AA3282" i="2"/>
  <c r="AA3283" i="2"/>
  <c r="AA3274" i="2"/>
  <c r="AA3284" i="2" l="1"/>
  <c r="AA3285" i="2" s="1"/>
  <c r="AA3286" i="2" s="1"/>
  <c r="AA3287" i="2" s="1"/>
  <c r="AA3271" i="2"/>
  <c r="AA3272" i="2" s="1"/>
  <c r="AA3273" i="2" s="1"/>
  <c r="AA3276" i="2" s="1"/>
  <c r="AB3277" i="2" s="1"/>
  <c r="AC3305" i="2"/>
  <c r="AA3308" i="2"/>
  <c r="AA3297" i="2"/>
  <c r="AA3296" i="2"/>
  <c r="AA3302" i="2" s="1"/>
  <c r="AA3288" i="2"/>
  <c r="AA3290" i="2" l="1"/>
  <c r="AB3291" i="2" s="1"/>
  <c r="AA3298" i="2"/>
  <c r="AA3311" i="2"/>
  <c r="AA3322" i="2"/>
  <c r="AC3319" i="2"/>
  <c r="AA3310" i="2"/>
  <c r="AA3312" i="2" l="1"/>
  <c r="AA3316" i="2"/>
  <c r="AA3299" i="2"/>
  <c r="AA3300" i="2" s="1"/>
  <c r="AA3301" i="2" s="1"/>
  <c r="AA3304" i="2" s="1"/>
  <c r="AB3305" i="2" s="1"/>
  <c r="AC3333" i="2"/>
  <c r="AA3325" i="2"/>
  <c r="AA3324" i="2"/>
  <c r="AA3330" i="2" s="1"/>
  <c r="AA3336" i="2"/>
  <c r="AA3313" i="2" l="1"/>
  <c r="AA3314" i="2" s="1"/>
  <c r="AA3315" i="2" s="1"/>
  <c r="AA3318" i="2" s="1"/>
  <c r="AB3319" i="2" s="1"/>
  <c r="AC3347" i="2"/>
  <c r="AA3339" i="2"/>
  <c r="AA3338" i="2"/>
  <c r="AA3344" i="2" s="1"/>
  <c r="AA3350" i="2"/>
  <c r="AA3326" i="2"/>
  <c r="AA3327" i="2" l="1"/>
  <c r="AA3328" i="2" s="1"/>
  <c r="AA3329" i="2" s="1"/>
  <c r="AA3332" i="2" s="1"/>
  <c r="AB3333" i="2" s="1"/>
  <c r="AC3361" i="2"/>
  <c r="AA3353" i="2"/>
  <c r="AA3352" i="2"/>
  <c r="AA3364" i="2"/>
  <c r="AA3340" i="2"/>
  <c r="AA3354" i="2" l="1"/>
  <c r="AA3355" i="2" s="1"/>
  <c r="AC3375" i="2"/>
  <c r="AA3367" i="2"/>
  <c r="AA3366" i="2"/>
  <c r="AA3378" i="2"/>
  <c r="AA3341" i="2"/>
  <c r="AA3358" i="2"/>
  <c r="AA3380" i="2" l="1"/>
  <c r="AA3386" i="2" s="1"/>
  <c r="AA3392" i="2"/>
  <c r="AC3389" i="2"/>
  <c r="AA3381" i="2"/>
  <c r="AA3356" i="2"/>
  <c r="AA3357" i="2" s="1"/>
  <c r="AA3360" i="2" s="1"/>
  <c r="AB3361" i="2" s="1"/>
  <c r="AA3342" i="2"/>
  <c r="AA3343" i="2" s="1"/>
  <c r="AA3346" i="2" s="1"/>
  <c r="AB3347" i="2" s="1"/>
  <c r="AA3368" i="2"/>
  <c r="AA3372" i="2"/>
  <c r="AA3369" i="2" l="1"/>
  <c r="AA3382" i="2"/>
  <c r="AA3395" i="2"/>
  <c r="AA3394" i="2"/>
  <c r="AA3400" i="2" s="1"/>
  <c r="AA3406" i="2"/>
  <c r="AC3403" i="2"/>
  <c r="AA3396" i="2" l="1"/>
  <c r="AA3397" i="2" s="1"/>
  <c r="AA3370" i="2"/>
  <c r="AA3371" i="2" s="1"/>
  <c r="AA3374" i="2" s="1"/>
  <c r="AB3375" i="2" s="1"/>
  <c r="AC3417" i="2"/>
  <c r="AA3420" i="2"/>
  <c r="AA3409" i="2"/>
  <c r="AA3408" i="2"/>
  <c r="AA3414" i="2" s="1"/>
  <c r="AA3383" i="2"/>
  <c r="AC3431" i="2" l="1"/>
  <c r="AA3434" i="2"/>
  <c r="AA3423" i="2"/>
  <c r="AA3422" i="2"/>
  <c r="AA3398" i="2"/>
  <c r="AA3399" i="2" s="1"/>
  <c r="AA3402" i="2" s="1"/>
  <c r="AB3403" i="2" s="1"/>
  <c r="AA3384" i="2"/>
  <c r="AA3385" i="2" s="1"/>
  <c r="AA3388" i="2" s="1"/>
  <c r="AB3389" i="2" s="1"/>
  <c r="AA3410" i="2"/>
  <c r="AA3424" i="2" l="1"/>
  <c r="AA3425" i="2" s="1"/>
  <c r="AA3428" i="2"/>
  <c r="AA3411" i="2"/>
  <c r="AA3437" i="2"/>
  <c r="AA3436" i="2"/>
  <c r="AA3442" i="2" s="1"/>
  <c r="AA3448" i="2"/>
  <c r="AC3445" i="2"/>
  <c r="AC3459" i="2" l="1"/>
  <c r="AA3462" i="2"/>
  <c r="AA3451" i="2"/>
  <c r="AA3450" i="2"/>
  <c r="AA3412" i="2"/>
  <c r="AA3413" i="2" s="1"/>
  <c r="AA3416" i="2" s="1"/>
  <c r="AB3417" i="2" s="1"/>
  <c r="AA3426" i="2"/>
  <c r="AA3427" i="2" s="1"/>
  <c r="AA3430" i="2" s="1"/>
  <c r="AB3431" i="2" s="1"/>
  <c r="AA3438" i="2"/>
  <c r="AA3452" i="2" l="1"/>
  <c r="AA3453" i="2" s="1"/>
  <c r="AA3476" i="2"/>
  <c r="AA3464" i="2"/>
  <c r="AC3473" i="2"/>
  <c r="AA3465" i="2"/>
  <c r="AA3456" i="2"/>
  <c r="AA3439" i="2"/>
  <c r="AA3440" i="2" l="1"/>
  <c r="AA3441" i="2" s="1"/>
  <c r="AA3444" i="2" s="1"/>
  <c r="AB3445" i="2" s="1"/>
  <c r="AA3478" i="2"/>
  <c r="AC3487" i="2"/>
  <c r="AA3479" i="2"/>
  <c r="AA3490" i="2"/>
  <c r="AA3454" i="2"/>
  <c r="AA3455" i="2" s="1"/>
  <c r="AA3458" i="2" s="1"/>
  <c r="AB3459" i="2" s="1"/>
  <c r="AA3466" i="2"/>
  <c r="AA3470" i="2"/>
  <c r="AA3467" i="2" l="1"/>
  <c r="AA3493" i="2"/>
  <c r="AA3504" i="2"/>
  <c r="AA3492" i="2"/>
  <c r="AC3501" i="2"/>
  <c r="AA3484" i="2"/>
  <c r="AA3480" i="2"/>
  <c r="AA3494" i="2" l="1"/>
  <c r="AA3481" i="2"/>
  <c r="AA3498" i="2"/>
  <c r="AA3468" i="2"/>
  <c r="AA3469" i="2" s="1"/>
  <c r="AA3472" i="2" s="1"/>
  <c r="AB3473" i="2" s="1"/>
  <c r="AA3507" i="2"/>
  <c r="AA3518" i="2"/>
  <c r="AA3506" i="2"/>
  <c r="AC3515" i="2"/>
  <c r="AA3508" i="2" l="1"/>
  <c r="AA3495" i="2"/>
  <c r="AA3520" i="2"/>
  <c r="AA3526" i="2" s="1"/>
  <c r="AC3529" i="2"/>
  <c r="AA3521" i="2"/>
  <c r="AA3532" i="2"/>
  <c r="AA3482" i="2"/>
  <c r="AA3483" i="2" s="1"/>
  <c r="AA3486" i="2" s="1"/>
  <c r="AB3487" i="2" s="1"/>
  <c r="AA3512" i="2"/>
  <c r="AA3509" i="2" l="1"/>
  <c r="AA3510" i="2" s="1"/>
  <c r="AA3511" i="2" s="1"/>
  <c r="AA3522" i="2"/>
  <c r="AA3523" i="2" s="1"/>
  <c r="AA3496" i="2"/>
  <c r="AA3497" i="2" s="1"/>
  <c r="AA3500" i="2" s="1"/>
  <c r="AB3501" i="2" s="1"/>
  <c r="AA3534" i="2"/>
  <c r="AC3543" i="2"/>
  <c r="AA3535" i="2"/>
  <c r="AA3546" i="2"/>
  <c r="AA3514" i="2" l="1"/>
  <c r="AB3515" i="2" s="1"/>
  <c r="AA3540" i="2"/>
  <c r="AA3536" i="2"/>
  <c r="AA3548" i="2"/>
  <c r="AA3554" i="2" s="1"/>
  <c r="AA3549" i="2"/>
  <c r="AA3560" i="2"/>
  <c r="AC3557" i="2"/>
  <c r="AA3524" i="2"/>
  <c r="AA3525" i="2" s="1"/>
  <c r="AA3528" i="2" s="1"/>
  <c r="AB3529" i="2" s="1"/>
  <c r="AA3550" i="2" l="1"/>
  <c r="AA3551" i="2" s="1"/>
  <c r="AA3537" i="2"/>
  <c r="AC3571" i="2"/>
  <c r="AA3574" i="2"/>
  <c r="AA3562" i="2"/>
  <c r="AA3563" i="2"/>
  <c r="AA3568" i="2" l="1"/>
  <c r="AA3564" i="2"/>
  <c r="AA3538" i="2"/>
  <c r="AA3539" i="2" s="1"/>
  <c r="AA3542" i="2" s="1"/>
  <c r="AB3543" i="2" s="1"/>
  <c r="AA3552" i="2"/>
  <c r="AA3553" i="2" s="1"/>
  <c r="AA3556" i="2" s="1"/>
  <c r="AB3557" i="2" s="1"/>
  <c r="AA3588" i="2"/>
  <c r="AA3577" i="2"/>
  <c r="AA3576" i="2"/>
  <c r="AC3585" i="2"/>
  <c r="AA3578" i="2" l="1"/>
  <c r="AA3579" i="2" s="1"/>
  <c r="AA3565" i="2"/>
  <c r="AC3599" i="2"/>
  <c r="AA3591" i="2"/>
  <c r="AA3602" i="2"/>
  <c r="AA3590" i="2"/>
  <c r="AA3596" i="2" s="1"/>
  <c r="AA3582" i="2"/>
  <c r="AA3566" i="2" l="1"/>
  <c r="AA3567" i="2" s="1"/>
  <c r="AA3570" i="2" s="1"/>
  <c r="AB3571" i="2" s="1"/>
  <c r="AA3616" i="2"/>
  <c r="AA3604" i="2"/>
  <c r="AA3610" i="2" s="1"/>
  <c r="AC3613" i="2"/>
  <c r="AA3605" i="2"/>
  <c r="AA3580" i="2"/>
  <c r="AA3581" i="2" s="1"/>
  <c r="AA3584" i="2" s="1"/>
  <c r="AB3585" i="2" s="1"/>
  <c r="AA3592" i="2"/>
  <c r="AA3593" i="2" l="1"/>
  <c r="AC3627" i="2"/>
  <c r="AA3619" i="2"/>
  <c r="AA3630" i="2"/>
  <c r="AA3618" i="2"/>
  <c r="AA3606" i="2"/>
  <c r="AA3620" i="2" l="1"/>
  <c r="AA3644" i="2"/>
  <c r="AC3641" i="2"/>
  <c r="AA3633" i="2"/>
  <c r="AA3632" i="2"/>
  <c r="AA3638" i="2" s="1"/>
  <c r="AA3594" i="2"/>
  <c r="AA3595" i="2" s="1"/>
  <c r="AA3598" i="2" s="1"/>
  <c r="AB3599" i="2" s="1"/>
  <c r="AA3607" i="2"/>
  <c r="AA3624" i="2"/>
  <c r="AA3621" i="2" l="1"/>
  <c r="AA3622" i="2" s="1"/>
  <c r="AA3623" i="2" s="1"/>
  <c r="AA3608" i="2"/>
  <c r="AA3609" i="2" s="1"/>
  <c r="AA3612" i="2" s="1"/>
  <c r="AB3613" i="2" s="1"/>
  <c r="AA3646" i="2"/>
  <c r="AA3652" i="2" s="1"/>
  <c r="AA3658" i="2"/>
  <c r="AC3655" i="2"/>
  <c r="AA3647" i="2"/>
  <c r="AA3634" i="2"/>
  <c r="AA3626" i="2" l="1"/>
  <c r="AB3627" i="2" s="1"/>
  <c r="AA3635" i="2"/>
  <c r="AA3660" i="2"/>
  <c r="AC3669" i="2"/>
  <c r="AA3661" i="2"/>
  <c r="AA3672" i="2"/>
  <c r="AA3648" i="2"/>
  <c r="AA3686" i="2" l="1"/>
  <c r="AC3683" i="2"/>
  <c r="AA3674" i="2"/>
  <c r="AA3680" i="2" s="1"/>
  <c r="AA3675" i="2"/>
  <c r="AA3636" i="2"/>
  <c r="AA3637" i="2" s="1"/>
  <c r="AA3640" i="2" s="1"/>
  <c r="AB3641" i="2" s="1"/>
  <c r="AA3649" i="2"/>
  <c r="AA3666" i="2"/>
  <c r="AA3662" i="2"/>
  <c r="AA3676" i="2" l="1"/>
  <c r="AA3663" i="2"/>
  <c r="AA3650" i="2"/>
  <c r="AA3651" i="2" s="1"/>
  <c r="AA3654" i="2" s="1"/>
  <c r="AB3655" i="2" s="1"/>
  <c r="AA3688" i="2"/>
  <c r="AC3697" i="2"/>
  <c r="AA3700" i="2"/>
  <c r="AA3689" i="2"/>
  <c r="AA3677" i="2" l="1"/>
  <c r="AA3678" i="2" s="1"/>
  <c r="AA3679" i="2" s="1"/>
  <c r="AA3664" i="2"/>
  <c r="AA3665" i="2" s="1"/>
  <c r="AA3668" i="2" s="1"/>
  <c r="AB3669" i="2" s="1"/>
  <c r="AA3702" i="2"/>
  <c r="AA3708" i="2" s="1"/>
  <c r="AA3703" i="2"/>
  <c r="AA3714" i="2"/>
  <c r="AC3711" i="2"/>
  <c r="AA3690" i="2"/>
  <c r="AA3694" i="2"/>
  <c r="AA3682" i="2" l="1"/>
  <c r="AB3683" i="2" s="1"/>
  <c r="AA3704" i="2"/>
  <c r="AA3705" i="2" s="1"/>
  <c r="AA3691" i="2"/>
  <c r="AC3725" i="2"/>
  <c r="AA3717" i="2"/>
  <c r="AA3716" i="2"/>
  <c r="AA3722" i="2" s="1"/>
  <c r="AA3728" i="2"/>
  <c r="AA3730" i="2" l="1"/>
  <c r="AA3736" i="2" s="1"/>
  <c r="AC3739" i="2"/>
  <c r="AA3731" i="2"/>
  <c r="AA3742" i="2"/>
  <c r="AA3706" i="2"/>
  <c r="AA3707" i="2" s="1"/>
  <c r="AA3710" i="2" s="1"/>
  <c r="AB3711" i="2" s="1"/>
  <c r="AA3692" i="2"/>
  <c r="AA3693" i="2" s="1"/>
  <c r="AA3696" i="2" s="1"/>
  <c r="AB3697" i="2" s="1"/>
  <c r="AA3718" i="2"/>
  <c r="AA3719" i="2" l="1"/>
  <c r="AA3732" i="2"/>
  <c r="AC3753" i="2"/>
  <c r="AA3745" i="2"/>
  <c r="AA3744" i="2"/>
  <c r="AA3750" i="2" s="1"/>
  <c r="AA3756" i="2"/>
  <c r="AA3720" i="2" l="1"/>
  <c r="AA3721" i="2" s="1"/>
  <c r="AA3724" i="2" s="1"/>
  <c r="AB3725" i="2" s="1"/>
  <c r="AA3733" i="2"/>
  <c r="AC3767" i="2"/>
  <c r="AA3758" i="2"/>
  <c r="AA3759" i="2"/>
  <c r="AA3770" i="2"/>
  <c r="AA3746" i="2"/>
  <c r="AA3760" i="2" l="1"/>
  <c r="AA3761" i="2" s="1"/>
  <c r="AA3772" i="2"/>
  <c r="AA3778" i="2" s="1"/>
  <c r="AC3781" i="2"/>
  <c r="AA3773" i="2"/>
  <c r="AA3784" i="2"/>
  <c r="AA3747" i="2"/>
  <c r="AA3734" i="2"/>
  <c r="AA3735" i="2" s="1"/>
  <c r="AA3738" i="2" s="1"/>
  <c r="AB3739" i="2" s="1"/>
  <c r="AA3764" i="2"/>
  <c r="AA3774" i="2" l="1"/>
  <c r="AA3748" i="2"/>
  <c r="AA3749" i="2" s="1"/>
  <c r="AA3752" i="2" s="1"/>
  <c r="AB3753" i="2" s="1"/>
  <c r="AA3762" i="2"/>
  <c r="AA3763" i="2" s="1"/>
  <c r="AA3766" i="2" s="1"/>
  <c r="AB3767" i="2" s="1"/>
  <c r="AC3795" i="2"/>
  <c r="AA3798" i="2"/>
  <c r="AA3787" i="2"/>
  <c r="AA3786" i="2"/>
  <c r="AA3788" i="2" l="1"/>
  <c r="AA3789" i="2" s="1"/>
  <c r="AA3792" i="2"/>
  <c r="AA3775" i="2"/>
  <c r="AA3800" i="2"/>
  <c r="AA3812" i="2"/>
  <c r="AC3809" i="2"/>
  <c r="AA3801" i="2"/>
  <c r="AA3802" i="2" l="1"/>
  <c r="AA3814" i="2"/>
  <c r="AA3820" i="2" s="1"/>
  <c r="AC3823" i="2"/>
  <c r="AA3815" i="2"/>
  <c r="AA3826" i="2"/>
  <c r="AA3790" i="2"/>
  <c r="AA3791" i="2" s="1"/>
  <c r="AA3794" i="2" s="1"/>
  <c r="AB3795" i="2" s="1"/>
  <c r="AA3776" i="2"/>
  <c r="AA3777" i="2" s="1"/>
  <c r="AA3780" i="2" s="1"/>
  <c r="AB3781" i="2" s="1"/>
  <c r="AA3806" i="2"/>
  <c r="AA3816" i="2" l="1"/>
  <c r="AA3817" i="2" s="1"/>
  <c r="AA3829" i="2"/>
  <c r="AA3840" i="2"/>
  <c r="AA3828" i="2"/>
  <c r="AC3837" i="2"/>
  <c r="AA3803" i="2"/>
  <c r="AA3830" i="2" l="1"/>
  <c r="AA3842" i="2"/>
  <c r="AA3843" i="2"/>
  <c r="AA3854" i="2"/>
  <c r="AC3851" i="2"/>
  <c r="AA3804" i="2"/>
  <c r="AA3805" i="2" s="1"/>
  <c r="AA3808" i="2" s="1"/>
  <c r="AB3809" i="2" s="1"/>
  <c r="AA3818" i="2"/>
  <c r="AA3819" i="2" s="1"/>
  <c r="AA3822" i="2" s="1"/>
  <c r="AB3823" i="2" s="1"/>
  <c r="AA3834" i="2"/>
  <c r="AA3831" i="2" l="1"/>
  <c r="AA3832" i="2" s="1"/>
  <c r="AA3833" i="2" s="1"/>
  <c r="AC3865" i="2"/>
  <c r="AA3856" i="2"/>
  <c r="AA3868" i="2"/>
  <c r="AA3857" i="2"/>
  <c r="AA3844" i="2"/>
  <c r="AA3848" i="2"/>
  <c r="AA3836" i="2" l="1"/>
  <c r="AB3837" i="2" s="1"/>
  <c r="AC3879" i="2"/>
  <c r="AA3882" i="2"/>
  <c r="AA3871" i="2"/>
  <c r="AA3870" i="2"/>
  <c r="AA3876" i="2" s="1"/>
  <c r="AA3845" i="2"/>
  <c r="AA3858" i="2"/>
  <c r="AA3862" i="2"/>
  <c r="AA3846" i="2" l="1"/>
  <c r="AA3847" i="2" s="1"/>
  <c r="AA3850" i="2" s="1"/>
  <c r="AB3851" i="2" s="1"/>
  <c r="AC3893" i="2"/>
  <c r="AA3884" i="2"/>
  <c r="AA3890" i="2" s="1"/>
  <c r="AA3896" i="2"/>
  <c r="AA3885" i="2"/>
  <c r="AA3859" i="2"/>
  <c r="AA3872" i="2"/>
  <c r="AA3873" i="2" l="1"/>
  <c r="AA3860" i="2"/>
  <c r="AA3861" i="2" s="1"/>
  <c r="AA3864" i="2" s="1"/>
  <c r="AB3865" i="2" s="1"/>
  <c r="AA3899" i="2"/>
  <c r="AA3910" i="2"/>
  <c r="AA3898" i="2"/>
  <c r="AC3907" i="2"/>
  <c r="AA3886" i="2"/>
  <c r="AA3900" i="2" l="1"/>
  <c r="AA3901" i="2" s="1"/>
  <c r="AA3887" i="2"/>
  <c r="AA3912" i="2"/>
  <c r="AA3918" i="2" s="1"/>
  <c r="AA3924" i="2"/>
  <c r="AC3921" i="2"/>
  <c r="AA3913" i="2"/>
  <c r="AA3874" i="2"/>
  <c r="AA3875" i="2" s="1"/>
  <c r="AA3878" i="2" s="1"/>
  <c r="AB3879" i="2" s="1"/>
  <c r="AA3904" i="2"/>
  <c r="AA3888" i="2" l="1"/>
  <c r="AA3889" i="2" s="1"/>
  <c r="AA3892" i="2" s="1"/>
  <c r="AB3893" i="2" s="1"/>
  <c r="AA3902" i="2"/>
  <c r="AA3903" i="2" s="1"/>
  <c r="AA3906" i="2" s="1"/>
  <c r="AB3907" i="2" s="1"/>
  <c r="AC3935" i="2"/>
  <c r="AA3926" i="2"/>
  <c r="AA3938" i="2"/>
  <c r="AA3927" i="2"/>
  <c r="AA3914" i="2"/>
  <c r="AA3928" i="2" l="1"/>
  <c r="AA3929" i="2" s="1"/>
  <c r="AA3932" i="2"/>
  <c r="AA3915" i="2"/>
  <c r="AA3952" i="2"/>
  <c r="AA3941" i="2"/>
  <c r="AC3949" i="2"/>
  <c r="AA3940" i="2"/>
  <c r="AA3942" i="2" l="1"/>
  <c r="AA3943" i="2" s="1"/>
  <c r="AA3916" i="2"/>
  <c r="AA3917" i="2" s="1"/>
  <c r="AA3920" i="2" s="1"/>
  <c r="AB3921" i="2" s="1"/>
  <c r="AA3955" i="2"/>
  <c r="AA3966" i="2"/>
  <c r="AA3954" i="2"/>
  <c r="AC3963" i="2"/>
  <c r="AA3930" i="2"/>
  <c r="AA3931" i="2" s="1"/>
  <c r="AA3934" i="2" s="1"/>
  <c r="AB3935" i="2" s="1"/>
  <c r="AA3946" i="2"/>
  <c r="AA3956" i="2" l="1"/>
  <c r="AA3957" i="2" s="1"/>
  <c r="AA3968" i="2"/>
  <c r="AA3974" i="2" s="1"/>
  <c r="AC3977" i="2"/>
  <c r="AA3969" i="2"/>
  <c r="AA3980" i="2"/>
  <c r="AA3944" i="2"/>
  <c r="AA3945" i="2" s="1"/>
  <c r="AA3948" i="2" s="1"/>
  <c r="AB3949" i="2" s="1"/>
  <c r="AA3960" i="2"/>
  <c r="AA3970" i="2" l="1"/>
  <c r="AA3958" i="2"/>
  <c r="AA3959" i="2" s="1"/>
  <c r="AA3962" i="2" s="1"/>
  <c r="AB3963" i="2" s="1"/>
  <c r="AA3983" i="2"/>
  <c r="AA3994" i="2"/>
  <c r="AC3991" i="2"/>
  <c r="AA3982" i="2"/>
  <c r="AA3988" i="2" s="1"/>
  <c r="AA3971" i="2" l="1"/>
  <c r="AA3972" i="2" s="1"/>
  <c r="AA3973" i="2" s="1"/>
  <c r="AC4005" i="2"/>
  <c r="AA3996" i="2"/>
  <c r="AA4008" i="2"/>
  <c r="AA3997" i="2"/>
  <c r="AA3984" i="2"/>
  <c r="AA3976" i="2" l="1"/>
  <c r="AB3977" i="2" s="1"/>
  <c r="AA3998" i="2"/>
  <c r="AA4002" i="2"/>
  <c r="AA4022" i="2"/>
  <c r="AA4011" i="2"/>
  <c r="AA4010" i="2"/>
  <c r="AA4016" i="2" s="1"/>
  <c r="AC4019" i="2"/>
  <c r="AA3985" i="2"/>
  <c r="AA3999" i="2" l="1"/>
  <c r="AA3986" i="2"/>
  <c r="AA3987" i="2" s="1"/>
  <c r="AA3990" i="2" s="1"/>
  <c r="AB3991" i="2" s="1"/>
  <c r="AA4025" i="2"/>
  <c r="AA4036" i="2"/>
  <c r="AC4033" i="2"/>
  <c r="AA4024" i="2"/>
  <c r="AA4030" i="2" s="1"/>
  <c r="AA4012" i="2"/>
  <c r="AA4000" i="2" l="1"/>
  <c r="AA4001" i="2" s="1"/>
  <c r="AA4004" i="2" s="1"/>
  <c r="AB4005" i="2" s="1"/>
  <c r="AA4026" i="2"/>
  <c r="AA4013" i="2"/>
  <c r="AA4039" i="2"/>
  <c r="AA4050" i="2"/>
  <c r="AC4047" i="2"/>
  <c r="AA4038" i="2"/>
  <c r="AA4027" i="2" l="1"/>
  <c r="AA4028" i="2" s="1"/>
  <c r="AA4029" i="2" s="1"/>
  <c r="AA4040" i="2"/>
  <c r="AA4041" i="2" s="1"/>
  <c r="AA4044" i="2"/>
  <c r="AA4014" i="2"/>
  <c r="AA4015" i="2" s="1"/>
  <c r="AA4018" i="2" s="1"/>
  <c r="AB4019" i="2" s="1"/>
  <c r="AA4052" i="2"/>
  <c r="AA4058" i="2" s="1"/>
  <c r="AA4053" i="2"/>
  <c r="AA4064" i="2"/>
  <c r="AC4061" i="2"/>
  <c r="AA4032" i="2" l="1"/>
  <c r="AB4033" i="2" s="1"/>
  <c r="AA4042" i="2"/>
  <c r="AA4043" i="2" s="1"/>
  <c r="AA4046" i="2" s="1"/>
  <c r="AB4047" i="2" s="1"/>
  <c r="AC4075" i="2"/>
  <c r="AA4066" i="2"/>
  <c r="AA4072" i="2" s="1"/>
  <c r="AA4078" i="2"/>
  <c r="AA4067" i="2"/>
  <c r="AA4054" i="2"/>
  <c r="AA4092" i="2" l="1"/>
  <c r="AC4089" i="2"/>
  <c r="AA4081" i="2"/>
  <c r="AA4080" i="2"/>
  <c r="AA4055" i="2"/>
  <c r="AA4068" i="2"/>
  <c r="AA4082" i="2" l="1"/>
  <c r="AA4083" i="2" s="1"/>
  <c r="AA4086" i="2"/>
  <c r="AC4103" i="2"/>
  <c r="AA4094" i="2"/>
  <c r="AA4106" i="2"/>
  <c r="AA4095" i="2"/>
  <c r="AA4056" i="2"/>
  <c r="AA4057" i="2" s="1"/>
  <c r="AA4060" i="2" s="1"/>
  <c r="AB4061" i="2" s="1"/>
  <c r="AA4069" i="2"/>
  <c r="AA4096" i="2" l="1"/>
  <c r="AA4084" i="2"/>
  <c r="AA4085" i="2" s="1"/>
  <c r="AA4088" i="2" s="1"/>
  <c r="AB4089" i="2" s="1"/>
  <c r="AC4117" i="2"/>
  <c r="AA4109" i="2"/>
  <c r="AA4108" i="2"/>
  <c r="AA4114" i="2" s="1"/>
  <c r="AA4120" i="2"/>
  <c r="AA4070" i="2"/>
  <c r="AA4071" i="2" s="1"/>
  <c r="AA4074" i="2" s="1"/>
  <c r="AB4075" i="2" s="1"/>
  <c r="AA4100" i="2"/>
  <c r="AA4097" i="2" l="1"/>
  <c r="AA4110" i="2"/>
  <c r="AA4111" i="2" s="1"/>
  <c r="AA4123" i="2"/>
  <c r="AA4122" i="2"/>
  <c r="AA4128" i="2" s="1"/>
  <c r="AA4134" i="2"/>
  <c r="AC4131" i="2"/>
  <c r="AA4098" i="2" l="1"/>
  <c r="AA4099" i="2" s="1"/>
  <c r="AA4102" i="2" s="1"/>
  <c r="AB4103" i="2" s="1"/>
  <c r="AA4124" i="2"/>
  <c r="AA4125" i="2" s="1"/>
  <c r="AA4112" i="2"/>
  <c r="AA4113" i="2" s="1"/>
  <c r="AA4116" i="2" s="1"/>
  <c r="AB4117" i="2" s="1"/>
  <c r="AA4148" i="2"/>
  <c r="AA4137" i="2"/>
  <c r="AC4145" i="2"/>
  <c r="AA4136" i="2"/>
  <c r="AA4138" i="2" l="1"/>
  <c r="AC4159" i="2"/>
  <c r="AA4150" i="2"/>
  <c r="AA4156" i="2" s="1"/>
  <c r="AA4151" i="2"/>
  <c r="AA4162" i="2"/>
  <c r="AA4126" i="2"/>
  <c r="AA4127" i="2" s="1"/>
  <c r="AA4130" i="2" s="1"/>
  <c r="AB4131" i="2" s="1"/>
  <c r="AA4142" i="2"/>
  <c r="AA4139" i="2" l="1"/>
  <c r="AA4140" i="2" s="1"/>
  <c r="AA4141" i="2" s="1"/>
  <c r="AA4164" i="2"/>
  <c r="AA4170" i="2" s="1"/>
  <c r="AA4176" i="2"/>
  <c r="AC4173" i="2"/>
  <c r="AA4165" i="2"/>
  <c r="AA4152" i="2"/>
  <c r="AA4144" i="2" l="1"/>
  <c r="AB4145" i="2" s="1"/>
  <c r="AA4153" i="2"/>
  <c r="AA4190" i="2"/>
  <c r="AA4178" i="2"/>
  <c r="AC4187" i="2"/>
  <c r="AA4179" i="2"/>
  <c r="AA4166" i="2"/>
  <c r="AA4154" i="2" l="1"/>
  <c r="AA4155" i="2" s="1"/>
  <c r="AA4158" i="2" s="1"/>
  <c r="AB4159" i="2" s="1"/>
  <c r="AA4180" i="2"/>
  <c r="AC4201" i="2"/>
  <c r="AA4192" i="2"/>
  <c r="AA4204" i="2"/>
  <c r="AA4193" i="2"/>
  <c r="AA4167" i="2"/>
  <c r="AA4184" i="2"/>
  <c r="AA4194" i="2" l="1"/>
  <c r="AA4181" i="2"/>
  <c r="AA4168" i="2"/>
  <c r="AA4169" i="2" s="1"/>
  <c r="AA4172" i="2" s="1"/>
  <c r="AB4173" i="2" s="1"/>
  <c r="AA4206" i="2"/>
  <c r="AA4212" i="2" s="1"/>
  <c r="AC4215" i="2"/>
  <c r="AA4207" i="2"/>
  <c r="AA4218" i="2"/>
  <c r="AA4198" i="2"/>
  <c r="AA4195" i="2" l="1"/>
  <c r="AA4208" i="2"/>
  <c r="AA4221" i="2"/>
  <c r="AA4220" i="2"/>
  <c r="AA4232" i="2"/>
  <c r="AC4229" i="2"/>
  <c r="AA4182" i="2"/>
  <c r="AA4183" i="2" s="1"/>
  <c r="AA4186" i="2" s="1"/>
  <c r="AB4187" i="2" s="1"/>
  <c r="AA4222" i="2" l="1"/>
  <c r="AA4196" i="2"/>
  <c r="AA4197" i="2" s="1"/>
  <c r="AA4200" i="2" s="1"/>
  <c r="AB4201" i="2" s="1"/>
  <c r="AA4209" i="2"/>
  <c r="AA4226" i="2"/>
  <c r="AA4235" i="2"/>
  <c r="AC4243" i="2"/>
  <c r="AA4234" i="2"/>
  <c r="AA4246" i="2"/>
  <c r="AA4223" i="2" l="1"/>
  <c r="AA4224" i="2" s="1"/>
  <c r="AA4225" i="2" s="1"/>
  <c r="AA4236" i="2"/>
  <c r="AA4249" i="2"/>
  <c r="AA4260" i="2"/>
  <c r="AA4248" i="2"/>
  <c r="AA4254" i="2" s="1"/>
  <c r="AC4257" i="2"/>
  <c r="AA4210" i="2"/>
  <c r="AA4211" i="2" s="1"/>
  <c r="AA4214" i="2" s="1"/>
  <c r="AB4215" i="2" s="1"/>
  <c r="AA4240" i="2"/>
  <c r="AA4228" i="2" l="1"/>
  <c r="AB4229" i="2" s="1"/>
  <c r="AA4237" i="2"/>
  <c r="AC4271" i="2"/>
  <c r="AA4262" i="2"/>
  <c r="AA4263" i="2"/>
  <c r="AA4274" i="2"/>
  <c r="AA4250" i="2"/>
  <c r="AA4238" i="2" l="1"/>
  <c r="AA4239" i="2" s="1"/>
  <c r="AA4242" i="2" s="1"/>
  <c r="AB4243" i="2" s="1"/>
  <c r="AA4264" i="2"/>
  <c r="AA4265" i="2" s="1"/>
  <c r="AA4276" i="2"/>
  <c r="AA4282" i="2" s="1"/>
  <c r="AC4285" i="2"/>
  <c r="AA4277" i="2"/>
  <c r="AA4288" i="2"/>
  <c r="AA4251" i="2"/>
  <c r="AA4268" i="2"/>
  <c r="AA4278" i="2" l="1"/>
  <c r="AA4279" i="2" s="1"/>
  <c r="AA4252" i="2"/>
  <c r="AA4253" i="2" s="1"/>
  <c r="AA4256" i="2" s="1"/>
  <c r="AB4257" i="2" s="1"/>
  <c r="AA4266" i="2"/>
  <c r="AA4267" i="2" s="1"/>
  <c r="AA4270" i="2" s="1"/>
  <c r="AB4271" i="2" s="1"/>
  <c r="AA4291" i="2"/>
  <c r="AA4302" i="2"/>
  <c r="AA4290" i="2"/>
  <c r="AC4299" i="2"/>
  <c r="AA4292" i="2" l="1"/>
  <c r="AA4280" i="2"/>
  <c r="AA4281" i="2" s="1"/>
  <c r="AA4284" i="2" s="1"/>
  <c r="AB4285" i="2" s="1"/>
  <c r="AC4313" i="2"/>
  <c r="AA4304" i="2"/>
  <c r="AA4305" i="2"/>
  <c r="AA4316" i="2"/>
  <c r="AA4296" i="2"/>
  <c r="AA4293" i="2" l="1"/>
  <c r="AA4306" i="2"/>
  <c r="AA4330" i="2"/>
  <c r="AA4318" i="2"/>
  <c r="AC4327" i="2"/>
  <c r="AA4319" i="2"/>
  <c r="AA4310" i="2"/>
  <c r="AA4294" i="2" l="1"/>
  <c r="AA4295" i="2" s="1"/>
  <c r="AA4298" i="2" s="1"/>
  <c r="AB4299" i="2" s="1"/>
  <c r="AA4307" i="2"/>
  <c r="AA4320" i="2"/>
  <c r="AA4332" i="2"/>
  <c r="AA4338" i="2" s="1"/>
  <c r="AA4333" i="2"/>
  <c r="AA4344" i="2"/>
  <c r="AC4341" i="2"/>
  <c r="AA4324" i="2"/>
  <c r="AA4308" i="2" l="1"/>
  <c r="AA4309" i="2" s="1"/>
  <c r="AA4312" i="2" s="1"/>
  <c r="AB4313" i="2" s="1"/>
  <c r="AA4334" i="2"/>
  <c r="AA4321" i="2"/>
  <c r="AC4355" i="2"/>
  <c r="AA4358" i="2"/>
  <c r="AA4347" i="2"/>
  <c r="AA4346" i="2"/>
  <c r="AA4322" i="2" l="1"/>
  <c r="AA4323" i="2" s="1"/>
  <c r="AA4326" i="2" s="1"/>
  <c r="AB4327" i="2" s="1"/>
  <c r="AA4335" i="2"/>
  <c r="AA4336" i="2" s="1"/>
  <c r="AA4337" i="2" s="1"/>
  <c r="AA4361" i="2"/>
  <c r="AA4360" i="2"/>
  <c r="AA4366" i="2" s="1"/>
  <c r="AA4372" i="2"/>
  <c r="AC4369" i="2"/>
  <c r="AA4348" i="2"/>
  <c r="AA4352" i="2"/>
  <c r="AA4340" i="2" l="1"/>
  <c r="AB4341" i="2" s="1"/>
  <c r="AA4349" i="2"/>
  <c r="AA4374" i="2"/>
  <c r="AA4380" i="2" s="1"/>
  <c r="AC4383" i="2"/>
  <c r="AA4386" i="2"/>
  <c r="AA4375" i="2"/>
  <c r="AA4362" i="2"/>
  <c r="AA4388" i="2" l="1"/>
  <c r="AC4397" i="2"/>
  <c r="AA4400" i="2"/>
  <c r="AA4389" i="2"/>
  <c r="AA4350" i="2"/>
  <c r="AA4351" i="2" s="1"/>
  <c r="AA4354" i="2" s="1"/>
  <c r="AB4355" i="2" s="1"/>
  <c r="AA4363" i="2"/>
  <c r="AA4376" i="2"/>
  <c r="AA4377" i="2" l="1"/>
  <c r="AA4390" i="2"/>
  <c r="AA4403" i="2"/>
  <c r="AA4414" i="2"/>
  <c r="AA4402" i="2"/>
  <c r="AC4411" i="2"/>
  <c r="AA4364" i="2"/>
  <c r="AA4365" i="2" s="1"/>
  <c r="AA4368" i="2" s="1"/>
  <c r="AB4369" i="2" s="1"/>
  <c r="AA4394" i="2"/>
  <c r="AA4404" i="2" l="1"/>
  <c r="AA4405" i="2" s="1"/>
  <c r="AA4378" i="2"/>
  <c r="AA4379" i="2" s="1"/>
  <c r="AA4382" i="2" s="1"/>
  <c r="AB4383" i="2" s="1"/>
  <c r="AA4428" i="2"/>
  <c r="AA4417" i="2"/>
  <c r="AC4425" i="2"/>
  <c r="AA4416" i="2"/>
  <c r="AA4422" i="2" s="1"/>
  <c r="AA4391" i="2"/>
  <c r="AA4408" i="2"/>
  <c r="AA4392" i="2" l="1"/>
  <c r="AA4393" i="2" s="1"/>
  <c r="AA4396" i="2" s="1"/>
  <c r="AB4397" i="2" s="1"/>
  <c r="AA4431" i="2"/>
  <c r="AA4442" i="2"/>
  <c r="AA4430" i="2"/>
  <c r="AC4439" i="2"/>
  <c r="AA4406" i="2"/>
  <c r="AA4407" i="2" s="1"/>
  <c r="AA4410" i="2" s="1"/>
  <c r="AB4411" i="2" s="1"/>
  <c r="AA4418" i="2"/>
  <c r="AA4432" i="2" l="1"/>
  <c r="AA4433" i="2" s="1"/>
  <c r="AA4436" i="2"/>
  <c r="AA4419" i="2"/>
  <c r="AC4453" i="2"/>
  <c r="AA4444" i="2"/>
  <c r="AA4450" i="2" s="1"/>
  <c r="AA4456" i="2"/>
  <c r="AA4445" i="2"/>
  <c r="AA4446" i="2" l="1"/>
  <c r="AA4434" i="2"/>
  <c r="AA4435" i="2" s="1"/>
  <c r="AA4438" i="2" s="1"/>
  <c r="AB4439" i="2" s="1"/>
  <c r="AA4420" i="2"/>
  <c r="AA4421" i="2" s="1"/>
  <c r="AA4424" i="2" s="1"/>
  <c r="AB4425" i="2" s="1"/>
  <c r="AA4470" i="2"/>
  <c r="AA4459" i="2"/>
  <c r="AC4467" i="2"/>
  <c r="AA4458" i="2"/>
  <c r="AA4460" i="2" l="1"/>
  <c r="AA4461" i="2" s="1"/>
  <c r="AA4464" i="2"/>
  <c r="AA4447" i="2"/>
  <c r="AA4484" i="2"/>
  <c r="AA4473" i="2"/>
  <c r="AA4472" i="2"/>
  <c r="AC4481" i="2"/>
  <c r="AA4474" i="2" l="1"/>
  <c r="AA4486" i="2"/>
  <c r="AA4487" i="2"/>
  <c r="AA4498" i="2"/>
  <c r="AC4495" i="2"/>
  <c r="AA4448" i="2"/>
  <c r="AA4449" i="2" s="1"/>
  <c r="AA4452" i="2" s="1"/>
  <c r="AB4453" i="2" s="1"/>
  <c r="AA4462" i="2"/>
  <c r="AA4463" i="2" s="1"/>
  <c r="AA4466" i="2" s="1"/>
  <c r="AB4467" i="2" s="1"/>
  <c r="AA4478" i="2"/>
  <c r="AA4475" i="2" l="1"/>
  <c r="AA4476" i="2" s="1"/>
  <c r="AA4477" i="2" s="1"/>
  <c r="AC4509" i="2"/>
  <c r="AA4512" i="2"/>
  <c r="AA4501" i="2"/>
  <c r="AA4500" i="2"/>
  <c r="AA4506" i="2" s="1"/>
  <c r="AA4488" i="2"/>
  <c r="AA4492" i="2"/>
  <c r="AA4480" i="2" l="1"/>
  <c r="AB4481" i="2" s="1"/>
  <c r="AA4526" i="2"/>
  <c r="AA4514" i="2"/>
  <c r="AA4520" i="2" s="1"/>
  <c r="AC4523" i="2"/>
  <c r="AA4515" i="2"/>
  <c r="AA4489" i="2"/>
  <c r="AA4502" i="2"/>
  <c r="AA4540" i="2" l="1"/>
  <c r="AA4528" i="2"/>
  <c r="AA4534" i="2" s="1"/>
  <c r="AC4537" i="2"/>
  <c r="AA4529" i="2"/>
  <c r="AA4490" i="2"/>
  <c r="AA4491" i="2" s="1"/>
  <c r="AA4494" i="2" s="1"/>
  <c r="AB4495" i="2" s="1"/>
  <c r="AA4503" i="2"/>
  <c r="AA4516" i="2"/>
  <c r="AA4543" i="2" l="1"/>
  <c r="AA4554" i="2"/>
  <c r="AA4542" i="2"/>
  <c r="AC4551" i="2"/>
  <c r="AA4517" i="2"/>
  <c r="AA4504" i="2"/>
  <c r="AA4505" i="2" s="1"/>
  <c r="AA4508" i="2" s="1"/>
  <c r="AB4509" i="2" s="1"/>
  <c r="AA4530" i="2"/>
  <c r="AA4531" i="2" l="1"/>
  <c r="AA4557" i="2"/>
  <c r="AA4568" i="2"/>
  <c r="AA4556" i="2"/>
  <c r="AC4565" i="2"/>
  <c r="AA4518" i="2"/>
  <c r="AA4519" i="2" s="1"/>
  <c r="AA4522" i="2" s="1"/>
  <c r="AB4523" i="2" s="1"/>
  <c r="AA4544" i="2"/>
  <c r="AA4548" i="2"/>
  <c r="AA4558" i="2" l="1"/>
  <c r="AA4545" i="2"/>
  <c r="AA4532" i="2"/>
  <c r="AA4533" i="2" s="1"/>
  <c r="AA4536" i="2" s="1"/>
  <c r="AB4537" i="2" s="1"/>
  <c r="AA4562" i="2"/>
  <c r="AA4570" i="2"/>
  <c r="AA4576" i="2" s="1"/>
  <c r="AC4579" i="2"/>
  <c r="AA4582" i="2"/>
  <c r="AA4571" i="2"/>
  <c r="AA4559" i="2" l="1"/>
  <c r="AC4593" i="2"/>
  <c r="AA4585" i="2"/>
  <c r="AA4584" i="2"/>
  <c r="AA4590" i="2" s="1"/>
  <c r="AA4596" i="2"/>
  <c r="AA4546" i="2"/>
  <c r="AA4547" i="2" s="1"/>
  <c r="AA4550" i="2" s="1"/>
  <c r="AB4551" i="2" s="1"/>
  <c r="AA4572" i="2"/>
  <c r="AA4560" i="2" l="1"/>
  <c r="AA4561" i="2" s="1"/>
  <c r="AA4564" i="2" s="1"/>
  <c r="AB4565" i="2" s="1"/>
  <c r="AA4573" i="2"/>
  <c r="AA4598" i="2"/>
  <c r="AA4604" i="2" s="1"/>
  <c r="AA4610" i="2"/>
  <c r="AC4607" i="2"/>
  <c r="AA4599" i="2"/>
  <c r="AA4586" i="2"/>
  <c r="AA4574" i="2" l="1"/>
  <c r="AA4575" i="2" s="1"/>
  <c r="AA4578" i="2" s="1"/>
  <c r="AB4579" i="2" s="1"/>
  <c r="AA4587" i="2"/>
  <c r="AA4612" i="2"/>
  <c r="AA4613" i="2"/>
  <c r="AA4624" i="2"/>
  <c r="AC4621" i="2"/>
  <c r="AA4600" i="2"/>
  <c r="AA4614" i="2" l="1"/>
  <c r="AA4615" i="2" s="1"/>
  <c r="AA4601" i="2"/>
  <c r="AC4635" i="2"/>
  <c r="AA4627" i="2"/>
  <c r="AA4626" i="2"/>
  <c r="AA4632" i="2" s="1"/>
  <c r="AA4638" i="2"/>
  <c r="AA4588" i="2"/>
  <c r="AA4589" i="2" s="1"/>
  <c r="AA4592" i="2" s="1"/>
  <c r="AB4593" i="2" s="1"/>
  <c r="AA4618" i="2"/>
  <c r="AA4641" i="2" l="1"/>
  <c r="AA4640" i="2"/>
  <c r="AA4646" i="2" s="1"/>
  <c r="AA4652" i="2"/>
  <c r="AC4649" i="2"/>
  <c r="AA4616" i="2"/>
  <c r="AA4617" i="2" s="1"/>
  <c r="AA4620" i="2" s="1"/>
  <c r="AB4621" i="2" s="1"/>
  <c r="AA4602" i="2"/>
  <c r="AA4603" i="2" s="1"/>
  <c r="AA4606" i="2" s="1"/>
  <c r="AB4607" i="2" s="1"/>
  <c r="AA4628" i="2"/>
  <c r="AA4642" i="2" l="1"/>
  <c r="AA4629" i="2"/>
  <c r="AA4654" i="2"/>
  <c r="AA4660" i="2" s="1"/>
  <c r="AC4663" i="2"/>
  <c r="AA4655" i="2"/>
  <c r="AA4643" i="2" l="1"/>
  <c r="AA4630" i="2"/>
  <c r="AA4631" i="2" s="1"/>
  <c r="AA4634" i="2" s="1"/>
  <c r="AB4635" i="2" s="1"/>
  <c r="AA4656" i="2"/>
  <c r="AA4657" i="2" l="1"/>
  <c r="AA4644" i="2"/>
  <c r="AA4645" i="2" s="1"/>
  <c r="AA4648" i="2" s="1"/>
  <c r="AB4649" i="2" s="1"/>
  <c r="AA4658" i="2" l="1"/>
  <c r="AA4659" i="2" s="1"/>
  <c r="AA4662" i="2" s="1"/>
  <c r="AB4663" i="2" s="1"/>
  <c r="AC18" i="2" s="1"/>
  <c r="AC20" i="2" s="1"/>
  <c r="AC19" i="2" l="1"/>
  <c r="AD33" i="2" l="1"/>
  <c r="AD35" i="2" s="1"/>
  <c r="J40" i="3"/>
  <c r="AD36" i="2" l="1"/>
  <c r="AD37" i="2" s="1"/>
  <c r="AD38" i="2" s="1"/>
  <c r="AD46" i="2"/>
  <c r="AF57" i="2" s="1"/>
  <c r="AF44" i="2"/>
  <c r="I44" i="3"/>
  <c r="I41" i="3" s="1"/>
  <c r="I40" i="3"/>
  <c r="H44" i="3" s="1"/>
  <c r="H41" i="3" s="1"/>
  <c r="AD41" i="2"/>
  <c r="AD48" i="2" l="1"/>
  <c r="AD54" i="2" s="1"/>
  <c r="AD49" i="2"/>
  <c r="AD60" i="2"/>
  <c r="AF71" i="2" s="1"/>
  <c r="AD39" i="2"/>
  <c r="AD40" i="2" s="1"/>
  <c r="AD43" i="2" s="1"/>
  <c r="AE44" i="2" s="1"/>
  <c r="AD50" i="2" l="1"/>
  <c r="AD51" i="2" s="1"/>
  <c r="AD52" i="2" s="1"/>
  <c r="AD53" i="2" s="1"/>
  <c r="AD56" i="2" s="1"/>
  <c r="AE57" i="2" s="1"/>
  <c r="AD62" i="2"/>
  <c r="AD68" i="2" s="1"/>
  <c r="AD74" i="2"/>
  <c r="AD77" i="2" s="1"/>
  <c r="AD63" i="2"/>
  <c r="AF85" i="2" l="1"/>
  <c r="AD76" i="2"/>
  <c r="AD82" i="2" s="1"/>
  <c r="AD88" i="2"/>
  <c r="AF99" i="2" s="1"/>
  <c r="AD64" i="2"/>
  <c r="AD65" i="2" s="1"/>
  <c r="AD66" i="2" s="1"/>
  <c r="AD67" i="2" s="1"/>
  <c r="AD70" i="2" s="1"/>
  <c r="AE71" i="2" s="1"/>
  <c r="AD78" i="2" l="1"/>
  <c r="AD79" i="2" s="1"/>
  <c r="AD80" i="2" s="1"/>
  <c r="AD81" i="2" s="1"/>
  <c r="AD84" i="2" s="1"/>
  <c r="AE85" i="2" s="1"/>
  <c r="AD102" i="2"/>
  <c r="AF113" i="2" s="1"/>
  <c r="AD91" i="2"/>
  <c r="AD90" i="2"/>
  <c r="AD96" i="2" s="1"/>
  <c r="AD116" i="2" l="1"/>
  <c r="AF127" i="2" s="1"/>
  <c r="AD104" i="2"/>
  <c r="AD110" i="2" s="1"/>
  <c r="AD105" i="2"/>
  <c r="AD92" i="2"/>
  <c r="AD93" i="2" s="1"/>
  <c r="AD94" i="2" s="1"/>
  <c r="AD95" i="2" s="1"/>
  <c r="AD98" i="2" s="1"/>
  <c r="AE99" i="2" s="1"/>
  <c r="AD130" i="2" l="1"/>
  <c r="AD144" i="2" s="1"/>
  <c r="AD119" i="2"/>
  <c r="AD118" i="2"/>
  <c r="AD124" i="2" s="1"/>
  <c r="AD106" i="2"/>
  <c r="AD107" i="2" s="1"/>
  <c r="AD108" i="2" s="1"/>
  <c r="AD109" i="2" s="1"/>
  <c r="AD112" i="2" s="1"/>
  <c r="AE113" i="2" s="1"/>
  <c r="AF141" i="2" l="1"/>
  <c r="AD133" i="2"/>
  <c r="AD132" i="2"/>
  <c r="AD138" i="2" s="1"/>
  <c r="AD120" i="2"/>
  <c r="AD121" i="2" s="1"/>
  <c r="AD122" i="2" s="1"/>
  <c r="AD123" i="2" s="1"/>
  <c r="AF155" i="2"/>
  <c r="AD147" i="2"/>
  <c r="AD146" i="2"/>
  <c r="AD152" i="2" s="1"/>
  <c r="AD158" i="2"/>
  <c r="AD134" i="2" l="1"/>
  <c r="AD135" i="2" s="1"/>
  <c r="AD136" i="2" s="1"/>
  <c r="AD137" i="2" s="1"/>
  <c r="AD140" i="2" s="1"/>
  <c r="AE141" i="2" s="1"/>
  <c r="AD126" i="2"/>
  <c r="AE127" i="2" s="1"/>
  <c r="AD160" i="2"/>
  <c r="AD166" i="2" s="1"/>
  <c r="AD172" i="2"/>
  <c r="AF169" i="2"/>
  <c r="AD161" i="2"/>
  <c r="AD148" i="2"/>
  <c r="AD149" i="2" s="1"/>
  <c r="AD162" i="2" l="1"/>
  <c r="AD163" i="2" s="1"/>
  <c r="AD164" i="2" s="1"/>
  <c r="AD165" i="2" s="1"/>
  <c r="AD168" i="2" s="1"/>
  <c r="AE169" i="2" s="1"/>
  <c r="AD150" i="2"/>
  <c r="AD151" i="2" s="1"/>
  <c r="AD154" i="2" s="1"/>
  <c r="AE155" i="2" s="1"/>
  <c r="AD175" i="2"/>
  <c r="AD186" i="2"/>
  <c r="AD174" i="2"/>
  <c r="AF183" i="2"/>
  <c r="AD176" i="2" l="1"/>
  <c r="AD177" i="2" s="1"/>
  <c r="AD178" i="2" s="1"/>
  <c r="AD179" i="2" s="1"/>
  <c r="AD189" i="2"/>
  <c r="AD188" i="2"/>
  <c r="AD200" i="2"/>
  <c r="AF197" i="2"/>
  <c r="AD180" i="2"/>
  <c r="AD182" i="2" l="1"/>
  <c r="AE183" i="2" s="1"/>
  <c r="AD190" i="2"/>
  <c r="AD191" i="2" s="1"/>
  <c r="AD192" i="2" s="1"/>
  <c r="AD193" i="2" s="1"/>
  <c r="AD214" i="2"/>
  <c r="AD203" i="2"/>
  <c r="AF211" i="2"/>
  <c r="AD202" i="2"/>
  <c r="AD194" i="2"/>
  <c r="AD196" i="2" l="1"/>
  <c r="AE197" i="2" s="1"/>
  <c r="AD204" i="2"/>
  <c r="AD205" i="2" s="1"/>
  <c r="AD206" i="2" s="1"/>
  <c r="AD207" i="2" s="1"/>
  <c r="AD208" i="2"/>
  <c r="AF225" i="2"/>
  <c r="AD217" i="2"/>
  <c r="AD216" i="2"/>
  <c r="AD228" i="2"/>
  <c r="AD210" i="2" l="1"/>
  <c r="AE211" i="2" s="1"/>
  <c r="AD218" i="2"/>
  <c r="AD219" i="2" s="1"/>
  <c r="AD220" i="2" s="1"/>
  <c r="AD221" i="2" s="1"/>
  <c r="AF239" i="2"/>
  <c r="AD231" i="2"/>
  <c r="AD242" i="2"/>
  <c r="AD230" i="2"/>
  <c r="AD222" i="2"/>
  <c r="AD224" i="2" l="1"/>
  <c r="AE225" i="2" s="1"/>
  <c r="AD232" i="2"/>
  <c r="AD233" i="2" s="1"/>
  <c r="AD234" i="2" s="1"/>
  <c r="AD235" i="2" s="1"/>
  <c r="AD236" i="2"/>
  <c r="AD245" i="2"/>
  <c r="AD244" i="2"/>
  <c r="AD250" i="2" s="1"/>
  <c r="AD256" i="2"/>
  <c r="AF253" i="2"/>
  <c r="AD238" i="2" l="1"/>
  <c r="AE239" i="2" s="1"/>
  <c r="AD258" i="2"/>
  <c r="AD264" i="2" s="1"/>
  <c r="AF267" i="2"/>
  <c r="AD259" i="2"/>
  <c r="AD270" i="2"/>
  <c r="AD246" i="2"/>
  <c r="AD247" i="2" s="1"/>
  <c r="AD260" i="2" l="1"/>
  <c r="AD261" i="2" s="1"/>
  <c r="AD262" i="2" s="1"/>
  <c r="AD263" i="2" s="1"/>
  <c r="AD266" i="2" s="1"/>
  <c r="AE267" i="2" s="1"/>
  <c r="AD248" i="2"/>
  <c r="AD249" i="2" s="1"/>
  <c r="AD252" i="2" s="1"/>
  <c r="AE253" i="2" s="1"/>
  <c r="AD273" i="2"/>
  <c r="AD272" i="2"/>
  <c r="AD284" i="2"/>
  <c r="AF281" i="2"/>
  <c r="AD274" i="2" l="1"/>
  <c r="AD275" i="2" s="1"/>
  <c r="AD276" i="2" s="1"/>
  <c r="AD277" i="2" s="1"/>
  <c r="AD298" i="2"/>
  <c r="AF295" i="2"/>
  <c r="AD286" i="2"/>
  <c r="AD287" i="2"/>
  <c r="AD278" i="2"/>
  <c r="AD280" i="2" l="1"/>
  <c r="AE281" i="2" s="1"/>
  <c r="AF309" i="2"/>
  <c r="AD301" i="2"/>
  <c r="AD300" i="2"/>
  <c r="AD306" i="2" s="1"/>
  <c r="AD312" i="2"/>
  <c r="AD288" i="2"/>
  <c r="AD289" i="2" s="1"/>
  <c r="AD290" i="2" s="1"/>
  <c r="AD291" i="2" s="1"/>
  <c r="AD294" i="2" s="1"/>
  <c r="AE295" i="2" s="1"/>
  <c r="AD292" i="2"/>
  <c r="AD314" i="2" l="1"/>
  <c r="AF323" i="2"/>
  <c r="AD315" i="2"/>
  <c r="AD326" i="2"/>
  <c r="AD302" i="2"/>
  <c r="AD303" i="2" s="1"/>
  <c r="AD316" i="2" l="1"/>
  <c r="AD317" i="2" s="1"/>
  <c r="AD318" i="2" s="1"/>
  <c r="AD319" i="2" s="1"/>
  <c r="AD304" i="2"/>
  <c r="AD305" i="2" s="1"/>
  <c r="AD308" i="2" s="1"/>
  <c r="AE309" i="2" s="1"/>
  <c r="AF337" i="2"/>
  <c r="AD329" i="2"/>
  <c r="AD328" i="2"/>
  <c r="AD334" i="2" s="1"/>
  <c r="AD340" i="2"/>
  <c r="AD320" i="2"/>
  <c r="AD322" i="2" l="1"/>
  <c r="AE323" i="2" s="1"/>
  <c r="AD330" i="2"/>
  <c r="AD331" i="2" s="1"/>
  <c r="AD332" i="2" s="1"/>
  <c r="AD333" i="2" s="1"/>
  <c r="AD336" i="2" s="1"/>
  <c r="AE337" i="2" s="1"/>
  <c r="AD342" i="2"/>
  <c r="AD348" i="2" s="1"/>
  <c r="AF351" i="2"/>
  <c r="AD343" i="2"/>
  <c r="AD354" i="2"/>
  <c r="AD344" i="2" l="1"/>
  <c r="AD345" i="2" s="1"/>
  <c r="AD346" i="2" s="1"/>
  <c r="AD347" i="2" s="1"/>
  <c r="AD350" i="2" s="1"/>
  <c r="AE351" i="2" s="1"/>
  <c r="AD368" i="2"/>
  <c r="AD356" i="2"/>
  <c r="AF365" i="2"/>
  <c r="AD357" i="2"/>
  <c r="AD371" i="2" l="1"/>
  <c r="AD382" i="2"/>
  <c r="AF379" i="2"/>
  <c r="AD370" i="2"/>
  <c r="AD376" i="2" s="1"/>
  <c r="AD358" i="2"/>
  <c r="AD359" i="2" s="1"/>
  <c r="AD362" i="2"/>
  <c r="AD360" i="2" l="1"/>
  <c r="AD361" i="2" s="1"/>
  <c r="AD364" i="2" s="1"/>
  <c r="AE365" i="2" s="1"/>
  <c r="AD396" i="2"/>
  <c r="AF393" i="2"/>
  <c r="AD384" i="2"/>
  <c r="AD385" i="2"/>
  <c r="AD372" i="2"/>
  <c r="AD373" i="2" s="1"/>
  <c r="AD386" i="2" l="1"/>
  <c r="AD387" i="2" s="1"/>
  <c r="AD388" i="2" s="1"/>
  <c r="AD389" i="2" s="1"/>
  <c r="AF407" i="2"/>
  <c r="AD398" i="2"/>
  <c r="AD404" i="2" s="1"/>
  <c r="AD410" i="2"/>
  <c r="AD399" i="2"/>
  <c r="AD374" i="2"/>
  <c r="AD375" i="2" s="1"/>
  <c r="AD378" i="2" s="1"/>
  <c r="AE379" i="2" s="1"/>
  <c r="AD390" i="2"/>
  <c r="AD392" i="2" l="1"/>
  <c r="AE393" i="2" s="1"/>
  <c r="AD412" i="2"/>
  <c r="AD418" i="2" s="1"/>
  <c r="AD424" i="2"/>
  <c r="AF421" i="2"/>
  <c r="AD413" i="2"/>
  <c r="AD400" i="2"/>
  <c r="AD401" i="2" s="1"/>
  <c r="AD414" i="2" l="1"/>
  <c r="AD415" i="2" s="1"/>
  <c r="AD416" i="2" s="1"/>
  <c r="AD417" i="2" s="1"/>
  <c r="AD420" i="2" s="1"/>
  <c r="AE421" i="2" s="1"/>
  <c r="AD402" i="2"/>
  <c r="AD403" i="2" s="1"/>
  <c r="AD406" i="2" s="1"/>
  <c r="AE407" i="2" s="1"/>
  <c r="AD426" i="2"/>
  <c r="AD432" i="2" s="1"/>
  <c r="AD438" i="2"/>
  <c r="AF435" i="2"/>
  <c r="AD427" i="2"/>
  <c r="AD428" i="2" l="1"/>
  <c r="AD429" i="2" s="1"/>
  <c r="AD430" i="2" s="1"/>
  <c r="AD431" i="2" s="1"/>
  <c r="AD434" i="2" s="1"/>
  <c r="AE435" i="2" s="1"/>
  <c r="AD440" i="2"/>
  <c r="AD446" i="2" s="1"/>
  <c r="AD452" i="2"/>
  <c r="AF449" i="2"/>
  <c r="AD441" i="2"/>
  <c r="AD455" i="2" l="1"/>
  <c r="AD466" i="2"/>
  <c r="AD454" i="2"/>
  <c r="AF463" i="2"/>
  <c r="AD442" i="2"/>
  <c r="AD443" i="2" s="1"/>
  <c r="AD444" i="2" s="1"/>
  <c r="AD445" i="2" s="1"/>
  <c r="AD448" i="2" s="1"/>
  <c r="AE449" i="2" s="1"/>
  <c r="AD456" i="2" l="1"/>
  <c r="AD457" i="2" s="1"/>
  <c r="AD458" i="2" s="1"/>
  <c r="AD459" i="2" s="1"/>
  <c r="AF477" i="2"/>
  <c r="AD480" i="2"/>
  <c r="AD469" i="2"/>
  <c r="AD468" i="2"/>
  <c r="AD460" i="2"/>
  <c r="AD462" i="2" l="1"/>
  <c r="AE463" i="2" s="1"/>
  <c r="AD483" i="2"/>
  <c r="AD482" i="2"/>
  <c r="AD488" i="2" s="1"/>
  <c r="AD494" i="2"/>
  <c r="AF491" i="2"/>
  <c r="AD470" i="2"/>
  <c r="AD471" i="2" s="1"/>
  <c r="AD474" i="2"/>
  <c r="AD484" i="2" l="1"/>
  <c r="AD485" i="2" s="1"/>
  <c r="AD472" i="2"/>
  <c r="AD473" i="2" s="1"/>
  <c r="AD476" i="2" s="1"/>
  <c r="AE477" i="2" s="1"/>
  <c r="AD497" i="2"/>
  <c r="AD496" i="2"/>
  <c r="AD508" i="2"/>
  <c r="AF505" i="2"/>
  <c r="AD498" i="2" l="1"/>
  <c r="AD499" i="2" s="1"/>
  <c r="AD500" i="2" s="1"/>
  <c r="AD501" i="2" s="1"/>
  <c r="AD486" i="2"/>
  <c r="AD487" i="2" s="1"/>
  <c r="AD490" i="2" s="1"/>
  <c r="AE491" i="2" s="1"/>
  <c r="AD522" i="2"/>
  <c r="AD510" i="2"/>
  <c r="AD516" i="2" s="1"/>
  <c r="AF519" i="2"/>
  <c r="AD511" i="2"/>
  <c r="AD502" i="2"/>
  <c r="AD504" i="2" l="1"/>
  <c r="AE505" i="2" s="1"/>
  <c r="AD536" i="2"/>
  <c r="AF533" i="2"/>
  <c r="AD525" i="2"/>
  <c r="AD524" i="2"/>
  <c r="AD512" i="2"/>
  <c r="AD513" i="2" s="1"/>
  <c r="AD514" i="2" s="1"/>
  <c r="AD515" i="2" s="1"/>
  <c r="AD518" i="2" s="1"/>
  <c r="AE519" i="2" s="1"/>
  <c r="AD526" i="2" l="1"/>
  <c r="AD527" i="2" s="1"/>
  <c r="AD528" i="2" s="1"/>
  <c r="AD529" i="2" s="1"/>
  <c r="AD539" i="2"/>
  <c r="AD538" i="2"/>
  <c r="AD544" i="2" s="1"/>
  <c r="AD550" i="2"/>
  <c r="AF547" i="2"/>
  <c r="AD530" i="2"/>
  <c r="AD532" i="2" l="1"/>
  <c r="AE533" i="2" s="1"/>
  <c r="AD553" i="2"/>
  <c r="AD552" i="2"/>
  <c r="AD558" i="2" s="1"/>
  <c r="AF561" i="2"/>
  <c r="AD564" i="2"/>
  <c r="AD540" i="2"/>
  <c r="AD541" i="2" s="1"/>
  <c r="AD542" i="2" l="1"/>
  <c r="AD543" i="2" s="1"/>
  <c r="AD546" i="2" s="1"/>
  <c r="AE547" i="2" s="1"/>
  <c r="AD578" i="2"/>
  <c r="AD566" i="2"/>
  <c r="AD572" i="2" s="1"/>
  <c r="AF575" i="2"/>
  <c r="AD567" i="2"/>
  <c r="AD554" i="2"/>
  <c r="AD555" i="2" s="1"/>
  <c r="AD556" i="2" s="1"/>
  <c r="AD557" i="2" s="1"/>
  <c r="AD560" i="2" s="1"/>
  <c r="AE561" i="2" s="1"/>
  <c r="AD581" i="2" l="1"/>
  <c r="AD580" i="2"/>
  <c r="AD592" i="2"/>
  <c r="AF589" i="2"/>
  <c r="AD568" i="2"/>
  <c r="AD569" i="2" s="1"/>
  <c r="AD570" i="2" s="1"/>
  <c r="AD571" i="2" s="1"/>
  <c r="AD574" i="2" s="1"/>
  <c r="AE575" i="2" s="1"/>
  <c r="AF603" i="2" l="1"/>
  <c r="AD606" i="2"/>
  <c r="AD595" i="2"/>
  <c r="AD594" i="2"/>
  <c r="AD600" i="2" s="1"/>
  <c r="AD582" i="2"/>
  <c r="AD583" i="2" s="1"/>
  <c r="AD586" i="2"/>
  <c r="AD584" i="2" l="1"/>
  <c r="AD585" i="2" s="1"/>
  <c r="AD588" i="2" s="1"/>
  <c r="AE589" i="2" s="1"/>
  <c r="AF617" i="2"/>
  <c r="AD620" i="2"/>
  <c r="AD609" i="2"/>
  <c r="AD608" i="2"/>
  <c r="AD596" i="2"/>
  <c r="AD597" i="2" s="1"/>
  <c r="AD598" i="2" l="1"/>
  <c r="AD599" i="2" s="1"/>
  <c r="AD602" i="2" s="1"/>
  <c r="AE603" i="2" s="1"/>
  <c r="AF631" i="2"/>
  <c r="AD622" i="2"/>
  <c r="AD628" i="2" s="1"/>
  <c r="AD634" i="2"/>
  <c r="AD623" i="2"/>
  <c r="AD610" i="2"/>
  <c r="AD611" i="2" s="1"/>
  <c r="AD612" i="2" s="1"/>
  <c r="AD613" i="2" s="1"/>
  <c r="AD614" i="2"/>
  <c r="AD616" i="2" l="1"/>
  <c r="AE617" i="2" s="1"/>
  <c r="AF645" i="2"/>
  <c r="AD637" i="2"/>
  <c r="AD636" i="2"/>
  <c r="AD642" i="2" s="1"/>
  <c r="AD648" i="2"/>
  <c r="AD624" i="2"/>
  <c r="AD625" i="2" s="1"/>
  <c r="AD626" i="2" l="1"/>
  <c r="AD627" i="2" s="1"/>
  <c r="AD630" i="2" s="1"/>
  <c r="AE631" i="2" s="1"/>
  <c r="AD651" i="2"/>
  <c r="AF659" i="2"/>
  <c r="AD662" i="2"/>
  <c r="AD650" i="2"/>
  <c r="AD638" i="2"/>
  <c r="AD639" i="2" s="1"/>
  <c r="AD652" i="2" l="1"/>
  <c r="AD653" i="2" s="1"/>
  <c r="AD654" i="2" s="1"/>
  <c r="AD655" i="2" s="1"/>
  <c r="AD656" i="2"/>
  <c r="AD676" i="2"/>
  <c r="AD664" i="2"/>
  <c r="AF673" i="2"/>
  <c r="AD665" i="2"/>
  <c r="AD640" i="2"/>
  <c r="AD641" i="2" s="1"/>
  <c r="AD644" i="2" s="1"/>
  <c r="AE645" i="2" s="1"/>
  <c r="AD658" i="2" l="1"/>
  <c r="AE659" i="2" s="1"/>
  <c r="AD666" i="2"/>
  <c r="AD667" i="2" s="1"/>
  <c r="AD668" i="2" s="1"/>
  <c r="AD669" i="2" s="1"/>
  <c r="AD679" i="2"/>
  <c r="AD690" i="2"/>
  <c r="AF687" i="2"/>
  <c r="AD678" i="2"/>
  <c r="AD670" i="2"/>
  <c r="AD672" i="2" l="1"/>
  <c r="AE673" i="2" s="1"/>
  <c r="AD680" i="2"/>
  <c r="AD681" i="2" s="1"/>
  <c r="AD682" i="2" s="1"/>
  <c r="AD683" i="2" s="1"/>
  <c r="AF701" i="2"/>
  <c r="AD704" i="2"/>
  <c r="AD693" i="2"/>
  <c r="AD692" i="2"/>
  <c r="AD698" i="2" s="1"/>
  <c r="AD684" i="2"/>
  <c r="AD686" i="2" l="1"/>
  <c r="AE687" i="2" s="1"/>
  <c r="AF715" i="2"/>
  <c r="AD706" i="2"/>
  <c r="AD707" i="2"/>
  <c r="AD718" i="2"/>
  <c r="AD694" i="2"/>
  <c r="AD695" i="2" s="1"/>
  <c r="AD708" i="2" l="1"/>
  <c r="AD709" i="2" s="1"/>
  <c r="AD710" i="2" s="1"/>
  <c r="AD711" i="2" s="1"/>
  <c r="AD720" i="2"/>
  <c r="AD726" i="2" s="1"/>
  <c r="AD732" i="2"/>
  <c r="AF729" i="2"/>
  <c r="AD721" i="2"/>
  <c r="AD696" i="2"/>
  <c r="AD697" i="2" s="1"/>
  <c r="AD700" i="2" s="1"/>
  <c r="AE701" i="2" s="1"/>
  <c r="AD712" i="2"/>
  <c r="AD714" i="2" l="1"/>
  <c r="AE715" i="2" s="1"/>
  <c r="AD746" i="2"/>
  <c r="AF743" i="2"/>
  <c r="AD735" i="2"/>
  <c r="AD734" i="2"/>
  <c r="AD740" i="2" s="1"/>
  <c r="AD722" i="2"/>
  <c r="AD723" i="2" s="1"/>
  <c r="AD724" i="2" s="1"/>
  <c r="AD725" i="2" s="1"/>
  <c r="AD728" i="2" s="1"/>
  <c r="AE729" i="2" s="1"/>
  <c r="AD748" i="2" l="1"/>
  <c r="AD749" i="2"/>
  <c r="AD760" i="2"/>
  <c r="AF757" i="2"/>
  <c r="AD736" i="2"/>
  <c r="AD737" i="2" s="1"/>
  <c r="AD738" i="2" s="1"/>
  <c r="AD739" i="2" s="1"/>
  <c r="AD742" i="2" s="1"/>
  <c r="AE743" i="2" s="1"/>
  <c r="AD750" i="2" l="1"/>
  <c r="AD751" i="2" s="1"/>
  <c r="AD752" i="2" s="1"/>
  <c r="AD753" i="2" s="1"/>
  <c r="AD754" i="2"/>
  <c r="AD774" i="2"/>
  <c r="AD762" i="2"/>
  <c r="AD768" i="2" s="1"/>
  <c r="AF771" i="2"/>
  <c r="AD763" i="2"/>
  <c r="AD756" i="2" l="1"/>
  <c r="AE757" i="2" s="1"/>
  <c r="AD788" i="2"/>
  <c r="AF785" i="2"/>
  <c r="AD777" i="2"/>
  <c r="AD776" i="2"/>
  <c r="AD782" i="2" s="1"/>
  <c r="AD764" i="2"/>
  <c r="AD765" i="2" s="1"/>
  <c r="AD802" i="2" l="1"/>
  <c r="AF799" i="2"/>
  <c r="AD791" i="2"/>
  <c r="AD790" i="2"/>
  <c r="AD766" i="2"/>
  <c r="AD767" i="2" s="1"/>
  <c r="AD770" i="2" s="1"/>
  <c r="AE771" i="2" s="1"/>
  <c r="AD778" i="2"/>
  <c r="AD779" i="2" s="1"/>
  <c r="AD780" i="2" s="1"/>
  <c r="AD781" i="2" s="1"/>
  <c r="AD784" i="2" s="1"/>
  <c r="AE785" i="2" s="1"/>
  <c r="AD792" i="2" l="1"/>
  <c r="AD793" i="2" s="1"/>
  <c r="AD794" i="2" s="1"/>
  <c r="AD795" i="2" s="1"/>
  <c r="AD796" i="2"/>
  <c r="AD816" i="2"/>
  <c r="AD804" i="2"/>
  <c r="AF813" i="2"/>
  <c r="AD805" i="2"/>
  <c r="AD798" i="2" l="1"/>
  <c r="AE799" i="2" s="1"/>
  <c r="AD830" i="2"/>
  <c r="AD818" i="2"/>
  <c r="AF827" i="2"/>
  <c r="AD819" i="2"/>
  <c r="AD806" i="2"/>
  <c r="AD807" i="2" s="1"/>
  <c r="AD810" i="2"/>
  <c r="AD820" i="2" l="1"/>
  <c r="AD821" i="2" s="1"/>
  <c r="AD822" i="2" s="1"/>
  <c r="AD823" i="2" s="1"/>
  <c r="AD808" i="2"/>
  <c r="AD809" i="2" s="1"/>
  <c r="AD812" i="2" s="1"/>
  <c r="AE813" i="2" s="1"/>
  <c r="AD833" i="2"/>
  <c r="AD832" i="2"/>
  <c r="AD838" i="2" s="1"/>
  <c r="AF841" i="2"/>
  <c r="AD844" i="2"/>
  <c r="AD824" i="2"/>
  <c r="AD826" i="2" l="1"/>
  <c r="AE827" i="2" s="1"/>
  <c r="AD846" i="2"/>
  <c r="AD852" i="2" s="1"/>
  <c r="AF855" i="2"/>
  <c r="AD847" i="2"/>
  <c r="AD858" i="2"/>
  <c r="AD834" i="2"/>
  <c r="AD835" i="2" s="1"/>
  <c r="AD836" i="2" s="1"/>
  <c r="AD837" i="2" s="1"/>
  <c r="AD840" i="2" s="1"/>
  <c r="AE841" i="2" s="1"/>
  <c r="AD848" i="2" l="1"/>
  <c r="AD849" i="2" s="1"/>
  <c r="AD850" i="2" s="1"/>
  <c r="AD851" i="2" s="1"/>
  <c r="AD854" i="2" s="1"/>
  <c r="AE855" i="2" s="1"/>
  <c r="AF869" i="2"/>
  <c r="AD861" i="2"/>
  <c r="AD860" i="2"/>
  <c r="AD866" i="2" s="1"/>
  <c r="AD872" i="2"/>
  <c r="AD874" i="2" l="1"/>
  <c r="AD880" i="2" s="1"/>
  <c r="AD886" i="2"/>
  <c r="AF883" i="2"/>
  <c r="AD875" i="2"/>
  <c r="AD862" i="2"/>
  <c r="AD863" i="2" s="1"/>
  <c r="AD876" i="2" l="1"/>
  <c r="AD877" i="2" s="1"/>
  <c r="AD878" i="2" s="1"/>
  <c r="AD879" i="2" s="1"/>
  <c r="AD882" i="2" s="1"/>
  <c r="AE883" i="2" s="1"/>
  <c r="AD864" i="2"/>
  <c r="AD865" i="2" s="1"/>
  <c r="AD868" i="2" s="1"/>
  <c r="AE869" i="2" s="1"/>
  <c r="AD888" i="2"/>
  <c r="AD894" i="2" s="1"/>
  <c r="AD889" i="2"/>
  <c r="AD900" i="2"/>
  <c r="AF897" i="2"/>
  <c r="AD890" i="2" l="1"/>
  <c r="AD891" i="2" s="1"/>
  <c r="AD892" i="2" s="1"/>
  <c r="AD893" i="2" s="1"/>
  <c r="AD896" i="2" s="1"/>
  <c r="AE897" i="2" s="1"/>
  <c r="AD902" i="2"/>
  <c r="AD914" i="2"/>
  <c r="AF911" i="2"/>
  <c r="AD903" i="2"/>
  <c r="AD904" i="2" l="1"/>
  <c r="AD905" i="2" s="1"/>
  <c r="AD906" i="2" s="1"/>
  <c r="AD907" i="2" s="1"/>
  <c r="AD916" i="2"/>
  <c r="AD922" i="2" s="1"/>
  <c r="AD928" i="2"/>
  <c r="AF925" i="2"/>
  <c r="AD917" i="2"/>
  <c r="AD908" i="2"/>
  <c r="AD910" i="2" l="1"/>
  <c r="AE911" i="2" s="1"/>
  <c r="AD918" i="2"/>
  <c r="AD919" i="2" s="1"/>
  <c r="AD920" i="2" s="1"/>
  <c r="AD921" i="2" s="1"/>
  <c r="AD924" i="2" s="1"/>
  <c r="AE925" i="2" s="1"/>
  <c r="AD931" i="2"/>
  <c r="AF939" i="2"/>
  <c r="AD930" i="2"/>
  <c r="AD942" i="2"/>
  <c r="AD932" i="2" l="1"/>
  <c r="AD933" i="2" s="1"/>
  <c r="AD934" i="2" s="1"/>
  <c r="AD935" i="2" s="1"/>
  <c r="AD944" i="2"/>
  <c r="AD950" i="2" s="1"/>
  <c r="AD956" i="2"/>
  <c r="AF953" i="2"/>
  <c r="AD945" i="2"/>
  <c r="AD936" i="2"/>
  <c r="AD938" i="2" l="1"/>
  <c r="AE939" i="2" s="1"/>
  <c r="AD946" i="2"/>
  <c r="AD947" i="2" s="1"/>
  <c r="AD948" i="2" s="1"/>
  <c r="AD949" i="2" s="1"/>
  <c r="AD952" i="2" s="1"/>
  <c r="AE953" i="2" s="1"/>
  <c r="AD970" i="2"/>
  <c r="AD959" i="2"/>
  <c r="AD958" i="2"/>
  <c r="AD964" i="2" s="1"/>
  <c r="AF967" i="2"/>
  <c r="AD973" i="2" l="1"/>
  <c r="AD984" i="2"/>
  <c r="AF981" i="2"/>
  <c r="AD972" i="2"/>
  <c r="AD978" i="2" s="1"/>
  <c r="AD960" i="2"/>
  <c r="AD961" i="2" s="1"/>
  <c r="AD962" i="2" l="1"/>
  <c r="AD963" i="2" s="1"/>
  <c r="AD966" i="2" s="1"/>
  <c r="AE967" i="2" s="1"/>
  <c r="AD998" i="2"/>
  <c r="AD986" i="2"/>
  <c r="AD987" i="2"/>
  <c r="AF995" i="2"/>
  <c r="AD974" i="2"/>
  <c r="AD975" i="2" s="1"/>
  <c r="AD976" i="2" s="1"/>
  <c r="AD977" i="2" s="1"/>
  <c r="AD980" i="2" s="1"/>
  <c r="AE981" i="2" s="1"/>
  <c r="AD1012" i="2" l="1"/>
  <c r="AF1009" i="2"/>
  <c r="AD1000" i="2"/>
  <c r="AD1006" i="2" s="1"/>
  <c r="AD1001" i="2"/>
  <c r="AD988" i="2"/>
  <c r="AD989" i="2" s="1"/>
  <c r="AD992" i="2"/>
  <c r="AD1014" i="2" l="1"/>
  <c r="AD1026" i="2"/>
  <c r="AD1015" i="2"/>
  <c r="AF1023" i="2"/>
  <c r="AD990" i="2"/>
  <c r="AD991" i="2" s="1"/>
  <c r="AD994" i="2" s="1"/>
  <c r="AE995" i="2" s="1"/>
  <c r="AD1002" i="2"/>
  <c r="AD1003" i="2" s="1"/>
  <c r="AD1016" i="2" l="1"/>
  <c r="AD1017" i="2" s="1"/>
  <c r="AD1018" i="2" s="1"/>
  <c r="AD1019" i="2" s="1"/>
  <c r="AD1029" i="2"/>
  <c r="AD1028" i="2"/>
  <c r="AD1034" i="2" s="1"/>
  <c r="AD1040" i="2"/>
  <c r="AF1037" i="2"/>
  <c r="AD1004" i="2"/>
  <c r="AD1005" i="2" s="1"/>
  <c r="AD1008" i="2" s="1"/>
  <c r="AE1009" i="2" s="1"/>
  <c r="AD1020" i="2"/>
  <c r="AD1022" i="2" l="1"/>
  <c r="AE1023" i="2" s="1"/>
  <c r="AD1054" i="2"/>
  <c r="AD1043" i="2"/>
  <c r="AF1051" i="2"/>
  <c r="AD1042" i="2"/>
  <c r="AD1048" i="2" s="1"/>
  <c r="AD1030" i="2"/>
  <c r="AD1031" i="2" s="1"/>
  <c r="AD1057" i="2" l="1"/>
  <c r="AD1056" i="2"/>
  <c r="AF1065" i="2"/>
  <c r="AD1068" i="2"/>
  <c r="AD1032" i="2"/>
  <c r="AD1033" i="2" s="1"/>
  <c r="AD1036" i="2" s="1"/>
  <c r="AE1037" i="2" s="1"/>
  <c r="AD1044" i="2"/>
  <c r="AD1045" i="2" s="1"/>
  <c r="AD1046" i="2" s="1"/>
  <c r="AD1047" i="2" s="1"/>
  <c r="AD1050" i="2" s="1"/>
  <c r="AE1051" i="2" s="1"/>
  <c r="AD1058" i="2" l="1"/>
  <c r="AD1059" i="2" s="1"/>
  <c r="AD1062" i="2"/>
  <c r="AD1070" i="2"/>
  <c r="AD1076" i="2" s="1"/>
  <c r="AD1082" i="2"/>
  <c r="AF1079" i="2"/>
  <c r="AD1071" i="2"/>
  <c r="AD1096" i="2" l="1"/>
  <c r="AF1093" i="2"/>
  <c r="AD1085" i="2"/>
  <c r="AD1084" i="2"/>
  <c r="AD1060" i="2"/>
  <c r="AD1061" i="2" s="1"/>
  <c r="AD1064" i="2" s="1"/>
  <c r="AE1065" i="2" s="1"/>
  <c r="AD1072" i="2"/>
  <c r="AD1073" i="2" s="1"/>
  <c r="AD1086" i="2" l="1"/>
  <c r="AD1087" i="2" s="1"/>
  <c r="AD1088" i="2" s="1"/>
  <c r="AD1089" i="2" s="1"/>
  <c r="AF1107" i="2"/>
  <c r="AD1098" i="2"/>
  <c r="AD1099" i="2"/>
  <c r="AD1110" i="2"/>
  <c r="AD1074" i="2"/>
  <c r="AD1075" i="2" s="1"/>
  <c r="AD1078" i="2" s="1"/>
  <c r="AE1079" i="2" s="1"/>
  <c r="AD1090" i="2"/>
  <c r="AD1092" i="2" l="1"/>
  <c r="AE1093" i="2" s="1"/>
  <c r="AD1100" i="2"/>
  <c r="AD1101" i="2" s="1"/>
  <c r="AD1102" i="2" s="1"/>
  <c r="AD1103" i="2" s="1"/>
  <c r="AD1106" i="2" s="1"/>
  <c r="AE1107" i="2" s="1"/>
  <c r="AD1104" i="2"/>
  <c r="AD1113" i="2"/>
  <c r="AD1112" i="2"/>
  <c r="AD1124" i="2"/>
  <c r="AF1121" i="2"/>
  <c r="AD1118" i="2" l="1"/>
  <c r="AD1114" i="2"/>
  <c r="AD1115" i="2" s="1"/>
  <c r="AD1126" i="2"/>
  <c r="AD1132" i="2" s="1"/>
  <c r="AD1138" i="2"/>
  <c r="AD1127" i="2"/>
  <c r="AF1135" i="2"/>
  <c r="AF1149" i="2" l="1"/>
  <c r="AD1141" i="2"/>
  <c r="AD1140" i="2"/>
  <c r="AD1146" i="2" s="1"/>
  <c r="AD1152" i="2"/>
  <c r="AD1116" i="2"/>
  <c r="AD1117" i="2" s="1"/>
  <c r="AD1120" i="2" s="1"/>
  <c r="AE1121" i="2" s="1"/>
  <c r="AD1128" i="2"/>
  <c r="AD1129" i="2" s="1"/>
  <c r="AF1163" i="2" l="1"/>
  <c r="AD1155" i="2"/>
  <c r="AD1154" i="2"/>
  <c r="AD1160" i="2" s="1"/>
  <c r="AD1166" i="2"/>
  <c r="AD1130" i="2"/>
  <c r="AD1131" i="2" s="1"/>
  <c r="AD1134" i="2" s="1"/>
  <c r="AE1135" i="2" s="1"/>
  <c r="AD1142" i="2"/>
  <c r="AD1143" i="2" s="1"/>
  <c r="AF1177" i="2" l="1"/>
  <c r="AD1168" i="2"/>
  <c r="AD1174" i="2" s="1"/>
  <c r="AD1180" i="2"/>
  <c r="AD1169" i="2"/>
  <c r="AD1144" i="2"/>
  <c r="AD1145" i="2" s="1"/>
  <c r="AD1148" i="2" s="1"/>
  <c r="AE1149" i="2" s="1"/>
  <c r="AD1156" i="2"/>
  <c r="AD1157" i="2" s="1"/>
  <c r="AD1158" i="2" l="1"/>
  <c r="AD1159" i="2" s="1"/>
  <c r="AD1162" i="2" s="1"/>
  <c r="AE1163" i="2" s="1"/>
  <c r="AF1191" i="2"/>
  <c r="AD1183" i="2"/>
  <c r="AD1182" i="2"/>
  <c r="AD1194" i="2"/>
  <c r="AD1170" i="2"/>
  <c r="AD1171" i="2" s="1"/>
  <c r="AD1184" i="2" l="1"/>
  <c r="AD1185" i="2" s="1"/>
  <c r="AD1186" i="2" s="1"/>
  <c r="AD1187" i="2" s="1"/>
  <c r="AD1188" i="2"/>
  <c r="AD1196" i="2"/>
  <c r="AD1202" i="2" s="1"/>
  <c r="AD1208" i="2"/>
  <c r="AF1205" i="2"/>
  <c r="AD1197" i="2"/>
  <c r="AD1172" i="2"/>
  <c r="AD1173" i="2" s="1"/>
  <c r="AD1176" i="2" s="1"/>
  <c r="AE1177" i="2" s="1"/>
  <c r="AD1190" i="2" l="1"/>
  <c r="AE1191" i="2" s="1"/>
  <c r="AD1222" i="2"/>
  <c r="AF1219" i="2"/>
  <c r="AD1211" i="2"/>
  <c r="AD1210" i="2"/>
  <c r="AD1216" i="2" s="1"/>
  <c r="AD1198" i="2"/>
  <c r="AD1199" i="2" s="1"/>
  <c r="AF1233" i="2" l="1"/>
  <c r="AD1224" i="2"/>
  <c r="AD1236" i="2"/>
  <c r="AD1225" i="2"/>
  <c r="AD1200" i="2"/>
  <c r="AD1201" i="2" s="1"/>
  <c r="AD1204" i="2" s="1"/>
  <c r="AE1205" i="2" s="1"/>
  <c r="AD1212" i="2"/>
  <c r="AD1213" i="2" s="1"/>
  <c r="AD1226" i="2" l="1"/>
  <c r="AD1227" i="2" s="1"/>
  <c r="AD1228" i="2" s="1"/>
  <c r="AD1229" i="2" s="1"/>
  <c r="AD1230" i="2"/>
  <c r="AF1247" i="2"/>
  <c r="AD1238" i="2"/>
  <c r="AD1244" i="2" s="1"/>
  <c r="AD1250" i="2"/>
  <c r="AD1239" i="2"/>
  <c r="AD1214" i="2"/>
  <c r="AD1215" i="2" s="1"/>
  <c r="AD1218" i="2" s="1"/>
  <c r="AE1219" i="2" s="1"/>
  <c r="AD1232" i="2" l="1"/>
  <c r="AE1233" i="2" s="1"/>
  <c r="AD1264" i="2"/>
  <c r="AD1252" i="2"/>
  <c r="AD1258" i="2" s="1"/>
  <c r="AF1261" i="2"/>
  <c r="AD1253" i="2"/>
  <c r="AD1240" i="2"/>
  <c r="AD1241" i="2" s="1"/>
  <c r="AD1254" i="2" l="1"/>
  <c r="AD1255" i="2" s="1"/>
  <c r="AD1256" i="2" s="1"/>
  <c r="AD1257" i="2" s="1"/>
  <c r="AD1260" i="2" s="1"/>
  <c r="AE1261" i="2" s="1"/>
  <c r="AD1266" i="2"/>
  <c r="AD1278" i="2"/>
  <c r="AF1275" i="2"/>
  <c r="AD1267" i="2"/>
  <c r="AD1242" i="2"/>
  <c r="AD1243" i="2" s="1"/>
  <c r="AD1246" i="2" s="1"/>
  <c r="AE1247" i="2" s="1"/>
  <c r="AF1289" i="2" l="1"/>
  <c r="AD1280" i="2"/>
  <c r="AD1292" i="2"/>
  <c r="AD1281" i="2"/>
  <c r="AD1268" i="2"/>
  <c r="AD1269" i="2" s="1"/>
  <c r="AD1272" i="2"/>
  <c r="AD1282" i="2" l="1"/>
  <c r="AD1283" i="2" s="1"/>
  <c r="AD1284" i="2" s="1"/>
  <c r="AD1285" i="2" s="1"/>
  <c r="AD1286" i="2"/>
  <c r="AD1270" i="2"/>
  <c r="AD1271" i="2" s="1"/>
  <c r="AD1274" i="2" s="1"/>
  <c r="AE1275" i="2" s="1"/>
  <c r="AF1303" i="2"/>
  <c r="AD1295" i="2"/>
  <c r="AD1294" i="2"/>
  <c r="AD1300" i="2" s="1"/>
  <c r="AD1306" i="2"/>
  <c r="AD1288" i="2" l="1"/>
  <c r="AE1289" i="2" s="1"/>
  <c r="AD1308" i="2"/>
  <c r="AD1314" i="2" s="1"/>
  <c r="AD1320" i="2"/>
  <c r="AF1317" i="2"/>
  <c r="AD1309" i="2"/>
  <c r="AD1296" i="2"/>
  <c r="AD1297" i="2" s="1"/>
  <c r="AD1310" i="2" l="1"/>
  <c r="AD1311" i="2" s="1"/>
  <c r="AD1312" i="2" s="1"/>
  <c r="AD1313" i="2" s="1"/>
  <c r="AD1316" i="2" s="1"/>
  <c r="AE1317" i="2" s="1"/>
  <c r="AD1298" i="2"/>
  <c r="AD1299" i="2" s="1"/>
  <c r="AD1302" i="2" s="1"/>
  <c r="AE1303" i="2" s="1"/>
  <c r="AD1322" i="2"/>
  <c r="AD1328" i="2" s="1"/>
  <c r="AD1323" i="2"/>
  <c r="AD1334" i="2"/>
  <c r="AF1331" i="2"/>
  <c r="AD1324" i="2" l="1"/>
  <c r="AD1325" i="2" s="1"/>
  <c r="AD1326" i="2" s="1"/>
  <c r="AD1327" i="2" s="1"/>
  <c r="AD1330" i="2" s="1"/>
  <c r="AE1331" i="2" s="1"/>
  <c r="AD1348" i="2"/>
  <c r="AD1337" i="2"/>
  <c r="AD1336" i="2"/>
  <c r="AF1345" i="2"/>
  <c r="AD1350" i="2" l="1"/>
  <c r="AD1351" i="2"/>
  <c r="AF1359" i="2"/>
  <c r="AD1362" i="2"/>
  <c r="AD1338" i="2"/>
  <c r="AD1339" i="2" s="1"/>
  <c r="AD1340" i="2" s="1"/>
  <c r="AD1341" i="2" s="1"/>
  <c r="AD1342" i="2"/>
  <c r="AD1344" i="2" l="1"/>
  <c r="AE1345" i="2" s="1"/>
  <c r="AD1352" i="2"/>
  <c r="AD1353" i="2" s="1"/>
  <c r="AD1354" i="2" s="1"/>
  <c r="AD1355" i="2" s="1"/>
  <c r="AD1364" i="2"/>
  <c r="AD1370" i="2" s="1"/>
  <c r="AD1365" i="2"/>
  <c r="AD1376" i="2"/>
  <c r="AF1373" i="2"/>
  <c r="AD1356" i="2"/>
  <c r="AD1358" i="2" l="1"/>
  <c r="AE1359" i="2" s="1"/>
  <c r="AD1366" i="2"/>
  <c r="AD1367" i="2" s="1"/>
  <c r="AD1390" i="2"/>
  <c r="AD1379" i="2"/>
  <c r="AD1378" i="2"/>
  <c r="AF1387" i="2"/>
  <c r="AD1380" i="2" l="1"/>
  <c r="AD1381" i="2" s="1"/>
  <c r="AD1382" i="2" s="1"/>
  <c r="AD1383" i="2" s="1"/>
  <c r="AD1368" i="2"/>
  <c r="AD1369" i="2" s="1"/>
  <c r="AD1372" i="2" s="1"/>
  <c r="AE1373" i="2" s="1"/>
  <c r="AF1401" i="2"/>
  <c r="AD1404" i="2"/>
  <c r="AD1393" i="2"/>
  <c r="AD1392" i="2"/>
  <c r="AD1398" i="2" s="1"/>
  <c r="AD1384" i="2"/>
  <c r="AD1386" i="2" l="1"/>
  <c r="AE1387" i="2" s="1"/>
  <c r="AD1406" i="2"/>
  <c r="AF1415" i="2"/>
  <c r="AD1418" i="2"/>
  <c r="AD1407" i="2"/>
  <c r="AD1394" i="2"/>
  <c r="AD1395" i="2" s="1"/>
  <c r="AD1396" i="2" s="1"/>
  <c r="AD1397" i="2" s="1"/>
  <c r="AD1400" i="2" s="1"/>
  <c r="AE1401" i="2" s="1"/>
  <c r="AD1432" i="2" l="1"/>
  <c r="AF1429" i="2"/>
  <c r="AD1421" i="2"/>
  <c r="AD1420" i="2"/>
  <c r="AD1426" i="2" s="1"/>
  <c r="AD1408" i="2"/>
  <c r="AD1409" i="2" s="1"/>
  <c r="AD1410" i="2" s="1"/>
  <c r="AD1411" i="2" s="1"/>
  <c r="AD1412" i="2"/>
  <c r="AD1414" i="2" l="1"/>
  <c r="AE1415" i="2" s="1"/>
  <c r="AD1435" i="2"/>
  <c r="AD1446" i="2"/>
  <c r="AF1443" i="2"/>
  <c r="AD1434" i="2"/>
  <c r="AD1440" i="2" s="1"/>
  <c r="AD1422" i="2"/>
  <c r="AD1423" i="2" s="1"/>
  <c r="AD1424" i="2" l="1"/>
  <c r="AD1425" i="2" s="1"/>
  <c r="AD1428" i="2" s="1"/>
  <c r="AE1429" i="2" s="1"/>
  <c r="AD1448" i="2"/>
  <c r="AD1454" i="2" s="1"/>
  <c r="AF1457" i="2"/>
  <c r="AD1460" i="2"/>
  <c r="AD1449" i="2"/>
  <c r="AD1436" i="2"/>
  <c r="AD1437" i="2" s="1"/>
  <c r="AD1438" i="2" s="1"/>
  <c r="AD1439" i="2" s="1"/>
  <c r="AD1442" i="2" s="1"/>
  <c r="AE1443" i="2" s="1"/>
  <c r="AD1450" i="2" l="1"/>
  <c r="AD1451" i="2" s="1"/>
  <c r="AD1452" i="2" s="1"/>
  <c r="AD1453" i="2" s="1"/>
  <c r="AD1456" i="2" s="1"/>
  <c r="AE1457" i="2" s="1"/>
  <c r="AF1471" i="2"/>
  <c r="AD1463" i="2"/>
  <c r="AD1462" i="2"/>
  <c r="AD1474" i="2"/>
  <c r="AD1464" i="2" l="1"/>
  <c r="AD1465" i="2" s="1"/>
  <c r="AD1466" i="2" s="1"/>
  <c r="AD1467" i="2" s="1"/>
  <c r="AD1468" i="2"/>
  <c r="AD1488" i="2"/>
  <c r="AF1485" i="2"/>
  <c r="AD1476" i="2"/>
  <c r="AD1477" i="2"/>
  <c r="AD1470" i="2" l="1"/>
  <c r="AE1471" i="2" s="1"/>
  <c r="AD1478" i="2"/>
  <c r="AD1479" i="2" s="1"/>
  <c r="AD1480" i="2" s="1"/>
  <c r="AD1481" i="2" s="1"/>
  <c r="AF1499" i="2"/>
  <c r="AD1491" i="2"/>
  <c r="AD1490" i="2"/>
  <c r="AD1502" i="2"/>
  <c r="AD1482" i="2"/>
  <c r="AD1484" i="2" l="1"/>
  <c r="AE1485" i="2" s="1"/>
  <c r="AD1492" i="2"/>
  <c r="AD1493" i="2" s="1"/>
  <c r="AD1496" i="2"/>
  <c r="AD1516" i="2"/>
  <c r="AD1505" i="2"/>
  <c r="AF1513" i="2"/>
  <c r="AD1504" i="2"/>
  <c r="AD1530" i="2" l="1"/>
  <c r="AD1519" i="2"/>
  <c r="AF1527" i="2"/>
  <c r="AD1518" i="2"/>
  <c r="AD1494" i="2"/>
  <c r="AD1495" i="2" s="1"/>
  <c r="AD1498" i="2" s="1"/>
  <c r="AE1499" i="2" s="1"/>
  <c r="AD1506" i="2"/>
  <c r="AD1507" i="2" s="1"/>
  <c r="AD1508" i="2" s="1"/>
  <c r="AD1509" i="2" s="1"/>
  <c r="AD1510" i="2"/>
  <c r="AD1512" i="2" l="1"/>
  <c r="AE1513" i="2" s="1"/>
  <c r="AD1520" i="2"/>
  <c r="AD1521" i="2" s="1"/>
  <c r="AD1522" i="2" s="1"/>
  <c r="AD1523" i="2" s="1"/>
  <c r="AD1524" i="2"/>
  <c r="AD1544" i="2"/>
  <c r="AF1541" i="2"/>
  <c r="AD1533" i="2"/>
  <c r="AD1532" i="2"/>
  <c r="AD1526" i="2" l="1"/>
  <c r="AE1527" i="2" s="1"/>
  <c r="AF1555" i="2"/>
  <c r="AD1558" i="2"/>
  <c r="AD1547" i="2"/>
  <c r="AD1546" i="2"/>
  <c r="AD1552" i="2" s="1"/>
  <c r="AD1534" i="2"/>
  <c r="AD1535" i="2" s="1"/>
  <c r="AD1538" i="2"/>
  <c r="AD1536" i="2" l="1"/>
  <c r="AD1537" i="2" s="1"/>
  <c r="AD1540" i="2" s="1"/>
  <c r="AE1541" i="2" s="1"/>
  <c r="AD1561" i="2"/>
  <c r="AD1560" i="2"/>
  <c r="AD1566" i="2" s="1"/>
  <c r="AF1569" i="2"/>
  <c r="AD1572" i="2"/>
  <c r="AD1548" i="2"/>
  <c r="AD1549" i="2" s="1"/>
  <c r="AF1583" i="2" l="1"/>
  <c r="AD1575" i="2"/>
  <c r="AD1574" i="2"/>
  <c r="AD1580" i="2" s="1"/>
  <c r="AD1586" i="2"/>
  <c r="AD1550" i="2"/>
  <c r="AD1551" i="2" s="1"/>
  <c r="AD1554" i="2" s="1"/>
  <c r="AE1555" i="2" s="1"/>
  <c r="AD1562" i="2"/>
  <c r="AD1563" i="2" s="1"/>
  <c r="AD1564" i="2" s="1"/>
  <c r="AD1565" i="2" s="1"/>
  <c r="AD1568" i="2" s="1"/>
  <c r="AE1569" i="2" s="1"/>
  <c r="AD1600" i="2" l="1"/>
  <c r="AD1589" i="2"/>
  <c r="AD1588" i="2"/>
  <c r="AD1594" i="2" s="1"/>
  <c r="AF1597" i="2"/>
  <c r="AD1576" i="2"/>
  <c r="AD1577" i="2" s="1"/>
  <c r="AD1603" i="2" l="1"/>
  <c r="AF1611" i="2"/>
  <c r="AD1602" i="2"/>
  <c r="AD1608" i="2" s="1"/>
  <c r="AD1614" i="2"/>
  <c r="AD1578" i="2"/>
  <c r="AD1579" i="2" s="1"/>
  <c r="AD1582" i="2" s="1"/>
  <c r="AE1583" i="2" s="1"/>
  <c r="AD1590" i="2"/>
  <c r="AD1591" i="2" s="1"/>
  <c r="AD1617" i="2" l="1"/>
  <c r="AD1628" i="2"/>
  <c r="AF1625" i="2"/>
  <c r="AD1616" i="2"/>
  <c r="AD1592" i="2"/>
  <c r="AD1593" i="2" s="1"/>
  <c r="AD1596" i="2" s="1"/>
  <c r="AE1597" i="2" s="1"/>
  <c r="AD1604" i="2"/>
  <c r="AD1605" i="2" s="1"/>
  <c r="AD1606" i="2" s="1"/>
  <c r="AD1607" i="2" s="1"/>
  <c r="AD1610" i="2" s="1"/>
  <c r="AE1611" i="2" s="1"/>
  <c r="AD1618" i="2" l="1"/>
  <c r="AD1619" i="2" s="1"/>
  <c r="AD1620" i="2" s="1"/>
  <c r="AD1621" i="2" s="1"/>
  <c r="AD1622" i="2"/>
  <c r="AD1630" i="2"/>
  <c r="AD1631" i="2"/>
  <c r="AF1639" i="2"/>
  <c r="AD1642" i="2"/>
  <c r="AD1624" i="2" l="1"/>
  <c r="AE1625" i="2" s="1"/>
  <c r="AD1656" i="2"/>
  <c r="AD1644" i="2"/>
  <c r="AD1650" i="2" s="1"/>
  <c r="AF1653" i="2"/>
  <c r="AD1645" i="2"/>
  <c r="AD1636" i="2"/>
  <c r="AD1632" i="2"/>
  <c r="AD1633" i="2" s="1"/>
  <c r="AD1646" i="2" l="1"/>
  <c r="AD1647" i="2" s="1"/>
  <c r="AD1648" i="2" s="1"/>
  <c r="AD1649" i="2" s="1"/>
  <c r="AD1652" i="2" s="1"/>
  <c r="AE1653" i="2" s="1"/>
  <c r="AD1658" i="2"/>
  <c r="AD1664" i="2" s="1"/>
  <c r="AD1659" i="2"/>
  <c r="AD1670" i="2"/>
  <c r="AF1667" i="2"/>
  <c r="AD1634" i="2"/>
  <c r="AD1635" i="2" s="1"/>
  <c r="AD1638" i="2" s="1"/>
  <c r="AE1639" i="2" s="1"/>
  <c r="AD1660" i="2" l="1"/>
  <c r="AD1661" i="2" s="1"/>
  <c r="AD1662" i="2" s="1"/>
  <c r="AD1663" i="2" s="1"/>
  <c r="AD1666" i="2" s="1"/>
  <c r="AE1667" i="2" s="1"/>
  <c r="AD1672" i="2"/>
  <c r="AD1678" i="2" s="1"/>
  <c r="AD1673" i="2"/>
  <c r="AF1681" i="2"/>
  <c r="AD1684" i="2"/>
  <c r="AD1674" i="2" l="1"/>
  <c r="AD1675" i="2" s="1"/>
  <c r="AD1676" i="2" s="1"/>
  <c r="AD1677" i="2" s="1"/>
  <c r="AD1680" i="2" s="1"/>
  <c r="AE1681" i="2" s="1"/>
  <c r="AD1687" i="2"/>
  <c r="AF1695" i="2"/>
  <c r="AD1686" i="2"/>
  <c r="AD1692" i="2" s="1"/>
  <c r="AD1698" i="2"/>
  <c r="AD1712" i="2" l="1"/>
  <c r="AF1709" i="2"/>
  <c r="AD1700" i="2"/>
  <c r="AD1706" i="2" s="1"/>
  <c r="AD1701" i="2"/>
  <c r="AD1688" i="2"/>
  <c r="AD1689" i="2" s="1"/>
  <c r="AD1690" i="2" l="1"/>
  <c r="AD1691" i="2" s="1"/>
  <c r="AD1694" i="2" s="1"/>
  <c r="AE1695" i="2" s="1"/>
  <c r="AD1714" i="2"/>
  <c r="AD1715" i="2"/>
  <c r="AD1726" i="2"/>
  <c r="AF1723" i="2"/>
  <c r="AD1702" i="2"/>
  <c r="AD1703" i="2" s="1"/>
  <c r="AF1737" i="2" l="1"/>
  <c r="AD1729" i="2"/>
  <c r="AD1728" i="2"/>
  <c r="AD1734" i="2" s="1"/>
  <c r="AD1740" i="2"/>
  <c r="AD1704" i="2"/>
  <c r="AD1705" i="2" s="1"/>
  <c r="AD1708" i="2" s="1"/>
  <c r="AE1709" i="2" s="1"/>
  <c r="AD1716" i="2"/>
  <c r="AD1720" i="2"/>
  <c r="AF1751" i="2" l="1"/>
  <c r="AD1754" i="2"/>
  <c r="AD1742" i="2"/>
  <c r="AD1743" i="2"/>
  <c r="AD1717" i="2"/>
  <c r="AD1718" i="2" s="1"/>
  <c r="AD1719" i="2" s="1"/>
  <c r="AD1722" i="2" s="1"/>
  <c r="AE1723" i="2" s="1"/>
  <c r="AD1730" i="2"/>
  <c r="AD1744" i="2" l="1"/>
  <c r="AD1745" i="2" s="1"/>
  <c r="AD1746" i="2" s="1"/>
  <c r="AD1747" i="2" s="1"/>
  <c r="AD1748" i="2"/>
  <c r="AD1768" i="2"/>
  <c r="AD1756" i="2"/>
  <c r="AF1765" i="2"/>
  <c r="AD1757" i="2"/>
  <c r="AD1731" i="2"/>
  <c r="AD1750" i="2" l="1"/>
  <c r="AE1751" i="2" s="1"/>
  <c r="AD1758" i="2"/>
  <c r="AD1732" i="2"/>
  <c r="AD1733" i="2" s="1"/>
  <c r="AD1736" i="2" s="1"/>
  <c r="AE1737" i="2" s="1"/>
  <c r="AD1771" i="2"/>
  <c r="AD1782" i="2"/>
  <c r="AD1770" i="2"/>
  <c r="AF1779" i="2"/>
  <c r="AD1762" i="2"/>
  <c r="AD1759" i="2" l="1"/>
  <c r="AD1760" i="2" s="1"/>
  <c r="AD1761" i="2" s="1"/>
  <c r="AD1764" i="2" s="1"/>
  <c r="AE1765" i="2" s="1"/>
  <c r="AD1772" i="2"/>
  <c r="AD1773" i="2" s="1"/>
  <c r="AD1776" i="2"/>
  <c r="AD1784" i="2"/>
  <c r="AD1785" i="2"/>
  <c r="AD1796" i="2"/>
  <c r="AF1793" i="2"/>
  <c r="AD1798" i="2" l="1"/>
  <c r="AD1804" i="2" s="1"/>
  <c r="AD1799" i="2"/>
  <c r="AF1807" i="2"/>
  <c r="AD1810" i="2"/>
  <c r="AD1774" i="2"/>
  <c r="AD1775" i="2" s="1"/>
  <c r="AD1778" i="2" s="1"/>
  <c r="AE1779" i="2" s="1"/>
  <c r="AD1790" i="2"/>
  <c r="AD1786" i="2"/>
  <c r="AD1800" i="2" l="1"/>
  <c r="AD1787" i="2"/>
  <c r="AD1788" i="2" s="1"/>
  <c r="AD1789" i="2" s="1"/>
  <c r="AD1792" i="2" s="1"/>
  <c r="AE1793" i="2" s="1"/>
  <c r="AF1821" i="2"/>
  <c r="AD1824" i="2"/>
  <c r="AD1813" i="2"/>
  <c r="AD1812" i="2"/>
  <c r="AD1801" i="2" l="1"/>
  <c r="AD1802" i="2" s="1"/>
  <c r="AD1803" i="2" s="1"/>
  <c r="AD1806" i="2" s="1"/>
  <c r="AE1807" i="2" s="1"/>
  <c r="AF1835" i="2"/>
  <c r="AD1826" i="2"/>
  <c r="AD1827" i="2"/>
  <c r="AD1838" i="2"/>
  <c r="AD1814" i="2"/>
  <c r="AD1818" i="2"/>
  <c r="AD1828" i="2" l="1"/>
  <c r="AD1841" i="2"/>
  <c r="AF1849" i="2"/>
  <c r="AD1840" i="2"/>
  <c r="AD1846" i="2" s="1"/>
  <c r="AD1852" i="2"/>
  <c r="AD1815" i="2"/>
  <c r="AD1832" i="2"/>
  <c r="AD1829" i="2" l="1"/>
  <c r="AD1830" i="2" s="1"/>
  <c r="AD1831" i="2" s="1"/>
  <c r="AD1834" i="2" s="1"/>
  <c r="AE1835" i="2" s="1"/>
  <c r="AF1863" i="2"/>
  <c r="AD1855" i="2"/>
  <c r="AD1854" i="2"/>
  <c r="AD1866" i="2"/>
  <c r="AD1816" i="2"/>
  <c r="AD1817" i="2" s="1"/>
  <c r="AD1820" i="2" s="1"/>
  <c r="AE1821" i="2" s="1"/>
  <c r="AD1842" i="2"/>
  <c r="AD1856" i="2" l="1"/>
  <c r="AD1860" i="2"/>
  <c r="AD1843" i="2"/>
  <c r="AD1844" i="2" s="1"/>
  <c r="AD1845" i="2" s="1"/>
  <c r="AD1848" i="2" s="1"/>
  <c r="AE1849" i="2" s="1"/>
  <c r="AF1877" i="2"/>
  <c r="AD1868" i="2"/>
  <c r="AD1874" i="2" s="1"/>
  <c r="AD1880" i="2"/>
  <c r="AD1869" i="2"/>
  <c r="AD1857" i="2" l="1"/>
  <c r="AD1858" i="2" s="1"/>
  <c r="AD1859" i="2" s="1"/>
  <c r="AD1862" i="2" s="1"/>
  <c r="AE1863" i="2" s="1"/>
  <c r="AD1870" i="2"/>
  <c r="AD1882" i="2"/>
  <c r="AD1888" i="2" s="1"/>
  <c r="AF1891" i="2"/>
  <c r="AD1883" i="2"/>
  <c r="AD1894" i="2"/>
  <c r="AD1871" i="2" l="1"/>
  <c r="AD1872" i="2" s="1"/>
  <c r="AD1873" i="2" s="1"/>
  <c r="AD1876" i="2" s="1"/>
  <c r="AE1877" i="2" s="1"/>
  <c r="AD1896" i="2"/>
  <c r="AD1902" i="2" s="1"/>
  <c r="AD1897" i="2"/>
  <c r="AF1905" i="2"/>
  <c r="AD1908" i="2"/>
  <c r="AD1884" i="2"/>
  <c r="AD1898" i="2" l="1"/>
  <c r="AD1885" i="2"/>
  <c r="AD1911" i="2"/>
  <c r="AF1919" i="2"/>
  <c r="AD1910" i="2"/>
  <c r="AD1916" i="2" s="1"/>
  <c r="AD1922" i="2"/>
  <c r="AD1899" i="2" l="1"/>
  <c r="AD1900" i="2" s="1"/>
  <c r="AD1901" i="2" s="1"/>
  <c r="AD1904" i="2" s="1"/>
  <c r="AE1905" i="2" s="1"/>
  <c r="AD1886" i="2"/>
  <c r="AD1887" i="2" s="1"/>
  <c r="AD1890" i="2" s="1"/>
  <c r="AE1891" i="2" s="1"/>
  <c r="AD1936" i="2"/>
  <c r="AF1933" i="2"/>
  <c r="AD1925" i="2"/>
  <c r="AD1924" i="2"/>
  <c r="AD1912" i="2"/>
  <c r="AD1926" i="2" l="1"/>
  <c r="AD1927" i="2" s="1"/>
  <c r="AD1928" i="2" s="1"/>
  <c r="AD1929" i="2" s="1"/>
  <c r="AD1930" i="2"/>
  <c r="AD1913" i="2"/>
  <c r="AD1914" i="2" s="1"/>
  <c r="AD1915" i="2" s="1"/>
  <c r="AD1918" i="2" s="1"/>
  <c r="AE1919" i="2" s="1"/>
  <c r="AF1947" i="2"/>
  <c r="AD1938" i="2"/>
  <c r="AD1944" i="2" s="1"/>
  <c r="AD1950" i="2"/>
  <c r="AD1939" i="2"/>
  <c r="AD1932" i="2" l="1"/>
  <c r="AE1933" i="2" s="1"/>
  <c r="AD1953" i="2"/>
  <c r="AD1952" i="2"/>
  <c r="AD1958" i="2" s="1"/>
  <c r="AD1964" i="2"/>
  <c r="AF1961" i="2"/>
  <c r="AD1940" i="2"/>
  <c r="AD1941" i="2" l="1"/>
  <c r="AD1942" i="2" s="1"/>
  <c r="AD1943" i="2" s="1"/>
  <c r="AD1946" i="2" s="1"/>
  <c r="AE1947" i="2" s="1"/>
  <c r="AF1975" i="2"/>
  <c r="AD1978" i="2"/>
  <c r="AD1966" i="2"/>
  <c r="AD1967" i="2"/>
  <c r="AD1954" i="2"/>
  <c r="AD1968" i="2" l="1"/>
  <c r="AD1955" i="2"/>
  <c r="AD1956" i="2" s="1"/>
  <c r="AD1957" i="2" s="1"/>
  <c r="AD1960" i="2" s="1"/>
  <c r="AE1961" i="2" s="1"/>
  <c r="AF1989" i="2"/>
  <c r="AD1992" i="2"/>
  <c r="AD1981" i="2"/>
  <c r="AD1980" i="2"/>
  <c r="AD1972" i="2"/>
  <c r="AD1995" i="2" l="1"/>
  <c r="AD1994" i="2"/>
  <c r="AD2000" i="2" s="1"/>
  <c r="AD2006" i="2"/>
  <c r="AF2003" i="2"/>
  <c r="AD1969" i="2"/>
  <c r="AD1982" i="2"/>
  <c r="AD1986" i="2"/>
  <c r="AD1996" i="2" l="1"/>
  <c r="AD1997" i="2" s="1"/>
  <c r="AD1970" i="2"/>
  <c r="AD1971" i="2" s="1"/>
  <c r="AD1974" i="2" s="1"/>
  <c r="AE1975" i="2" s="1"/>
  <c r="AF2017" i="2"/>
  <c r="AD2020" i="2"/>
  <c r="AD2009" i="2"/>
  <c r="AD2008" i="2"/>
  <c r="AD1983" i="2"/>
  <c r="AD2010" i="2" l="1"/>
  <c r="AD2011" i="2" s="1"/>
  <c r="AD2023" i="2"/>
  <c r="AF2031" i="2"/>
  <c r="AD2022" i="2"/>
  <c r="AD2028" i="2" s="1"/>
  <c r="AD2034" i="2"/>
  <c r="AD1984" i="2"/>
  <c r="AD1985" i="2" s="1"/>
  <c r="AD1988" i="2" s="1"/>
  <c r="AE1989" i="2" s="1"/>
  <c r="AD1998" i="2"/>
  <c r="AD1999" i="2" s="1"/>
  <c r="AD2002" i="2" s="1"/>
  <c r="AE2003" i="2" s="1"/>
  <c r="AD2014" i="2"/>
  <c r="AD2036" i="2" l="1"/>
  <c r="AD2037" i="2"/>
  <c r="AD2048" i="2"/>
  <c r="AF2045" i="2"/>
  <c r="AD2012" i="2"/>
  <c r="AD2013" i="2" s="1"/>
  <c r="AD2016" i="2" s="1"/>
  <c r="AE2017" i="2" s="1"/>
  <c r="AD2024" i="2"/>
  <c r="AD2038" i="2" l="1"/>
  <c r="AD2025" i="2"/>
  <c r="AD2026" i="2" s="1"/>
  <c r="AD2027" i="2" s="1"/>
  <c r="AD2030" i="2" s="1"/>
  <c r="AE2031" i="2" s="1"/>
  <c r="AD2050" i="2"/>
  <c r="AD2056" i="2" s="1"/>
  <c r="AD2051" i="2"/>
  <c r="AD2062" i="2"/>
  <c r="AF2059" i="2"/>
  <c r="AD2042" i="2"/>
  <c r="AD2064" i="2" l="1"/>
  <c r="AD2076" i="2"/>
  <c r="AD2065" i="2"/>
  <c r="AF2073" i="2"/>
  <c r="AD2039" i="2"/>
  <c r="AD2052" i="2"/>
  <c r="AD2066" i="2" l="1"/>
  <c r="AD2067" i="2" s="1"/>
  <c r="AD2070" i="2"/>
  <c r="AD2078" i="2"/>
  <c r="AD2084" i="2" s="1"/>
  <c r="AF2087" i="2"/>
  <c r="AD2090" i="2"/>
  <c r="AD2079" i="2"/>
  <c r="AD2040" i="2"/>
  <c r="AD2041" i="2" s="1"/>
  <c r="AD2044" i="2" s="1"/>
  <c r="AE2045" i="2" s="1"/>
  <c r="AD2053" i="2"/>
  <c r="AD2068" i="2" l="1"/>
  <c r="AD2069" i="2" s="1"/>
  <c r="AD2072" i="2" s="1"/>
  <c r="AE2073" i="2" s="1"/>
  <c r="AD2080" i="2"/>
  <c r="AD2054" i="2"/>
  <c r="AD2055" i="2" s="1"/>
  <c r="AD2058" i="2" s="1"/>
  <c r="AE2059" i="2" s="1"/>
  <c r="AD2104" i="2"/>
  <c r="AD2092" i="2"/>
  <c r="AD2098" i="2" s="1"/>
  <c r="AF2101" i="2"/>
  <c r="AD2093" i="2"/>
  <c r="AD2081" i="2" l="1"/>
  <c r="AD2094" i="2"/>
  <c r="AF2115" i="2"/>
  <c r="AD2106" i="2"/>
  <c r="AD2118" i="2"/>
  <c r="AD2107" i="2"/>
  <c r="AD2108" i="2" l="1"/>
  <c r="AD2095" i="2"/>
  <c r="AD2096" i="2" s="1"/>
  <c r="AD2097" i="2" s="1"/>
  <c r="AD2100" i="2" s="1"/>
  <c r="AE2101" i="2" s="1"/>
  <c r="AD2082" i="2"/>
  <c r="AD2083" i="2" s="1"/>
  <c r="AD2086" i="2" s="1"/>
  <c r="AE2087" i="2" s="1"/>
  <c r="AD2132" i="2"/>
  <c r="AD2120" i="2"/>
  <c r="AD2121" i="2"/>
  <c r="AF2129" i="2"/>
  <c r="AD2112" i="2"/>
  <c r="AD2109" i="2" l="1"/>
  <c r="AD2110" i="2" s="1"/>
  <c r="AD2111" i="2" s="1"/>
  <c r="AD2114" i="2" s="1"/>
  <c r="AE2115" i="2" s="1"/>
  <c r="AD2122" i="2"/>
  <c r="AD2146" i="2"/>
  <c r="AF2143" i="2"/>
  <c r="AD2134" i="2"/>
  <c r="AD2135" i="2"/>
  <c r="AD2126" i="2"/>
  <c r="AD2136" i="2" l="1"/>
  <c r="AD2137" i="2" s="1"/>
  <c r="AD2138" i="2" s="1"/>
  <c r="AD2139" i="2" s="1"/>
  <c r="AF2157" i="2"/>
  <c r="AD2160" i="2"/>
  <c r="AD2149" i="2"/>
  <c r="AD2148" i="2"/>
  <c r="AD2154" i="2" s="1"/>
  <c r="AD2123" i="2"/>
  <c r="AD2140" i="2"/>
  <c r="AD2142" i="2" l="1"/>
  <c r="AE2143" i="2" s="1"/>
  <c r="AD2124" i="2"/>
  <c r="AD2125" i="2" s="1"/>
  <c r="AD2128" i="2" s="1"/>
  <c r="AE2129" i="2" s="1"/>
  <c r="AD2163" i="2"/>
  <c r="AD2174" i="2"/>
  <c r="AD2162" i="2"/>
  <c r="AF2171" i="2"/>
  <c r="AD2150" i="2"/>
  <c r="AD2164" i="2" l="1"/>
  <c r="AD2165" i="2" s="1"/>
  <c r="AD2166" i="2" s="1"/>
  <c r="AD2167" i="2" s="1"/>
  <c r="AD2168" i="2"/>
  <c r="AD2151" i="2"/>
  <c r="AD2188" i="2"/>
  <c r="AF2185" i="2"/>
  <c r="AD2176" i="2"/>
  <c r="AD2182" i="2" s="1"/>
  <c r="AD2177" i="2"/>
  <c r="AD2170" i="2" l="1"/>
  <c r="AE2171" i="2" s="1"/>
  <c r="AD2202" i="2"/>
  <c r="AD2191" i="2"/>
  <c r="AD2190" i="2"/>
  <c r="AF2199" i="2"/>
  <c r="AD2152" i="2"/>
  <c r="AD2153" i="2" s="1"/>
  <c r="AD2156" i="2" s="1"/>
  <c r="AE2157" i="2" s="1"/>
  <c r="AD2178" i="2"/>
  <c r="AD2192" i="2" l="1"/>
  <c r="AD2193" i="2" s="1"/>
  <c r="AD2179" i="2"/>
  <c r="AD2205" i="2"/>
  <c r="AD2204" i="2"/>
  <c r="AD2210" i="2" s="1"/>
  <c r="AF2213" i="2"/>
  <c r="AD2216" i="2"/>
  <c r="AD2196" i="2"/>
  <c r="AD2180" i="2" l="1"/>
  <c r="AD2181" i="2" s="1"/>
  <c r="AD2184" i="2" s="1"/>
  <c r="AE2185" i="2" s="1"/>
  <c r="AD2218" i="2"/>
  <c r="AD2230" i="2"/>
  <c r="AF2227" i="2"/>
  <c r="AD2219" i="2"/>
  <c r="AD2194" i="2"/>
  <c r="AD2195" i="2" s="1"/>
  <c r="AD2198" i="2" s="1"/>
  <c r="AE2199" i="2" s="1"/>
  <c r="AD2206" i="2"/>
  <c r="AD2233" i="2" l="1"/>
  <c r="AD2232" i="2"/>
  <c r="AF2241" i="2"/>
  <c r="AD2244" i="2"/>
  <c r="AD2207" i="2"/>
  <c r="AD2208" i="2" s="1"/>
  <c r="AD2209" i="2" s="1"/>
  <c r="AD2212" i="2" s="1"/>
  <c r="AE2213" i="2" s="1"/>
  <c r="AD2220" i="2"/>
  <c r="AD2224" i="2"/>
  <c r="AD2234" i="2" l="1"/>
  <c r="AD2246" i="2"/>
  <c r="AF2255" i="2"/>
  <c r="AD2258" i="2"/>
  <c r="AD2247" i="2"/>
  <c r="AD2221" i="2"/>
  <c r="AD2238" i="2"/>
  <c r="AD2235" i="2" l="1"/>
  <c r="AD2236" i="2" s="1"/>
  <c r="AD2237" i="2" s="1"/>
  <c r="AD2240" i="2" s="1"/>
  <c r="AE2241" i="2" s="1"/>
  <c r="AD2272" i="2"/>
  <c r="AD2261" i="2"/>
  <c r="AD2260" i="2"/>
  <c r="AD2266" i="2" s="1"/>
  <c r="AF2269" i="2"/>
  <c r="AD2222" i="2"/>
  <c r="AD2223" i="2" s="1"/>
  <c r="AD2226" i="2" s="1"/>
  <c r="AE2227" i="2" s="1"/>
  <c r="AD2248" i="2"/>
  <c r="AD2252" i="2"/>
  <c r="AD2286" i="2" l="1"/>
  <c r="AF2283" i="2"/>
  <c r="AD2275" i="2"/>
  <c r="AD2274" i="2"/>
  <c r="AD2249" i="2"/>
  <c r="AD2250" i="2" s="1"/>
  <c r="AD2251" i="2" s="1"/>
  <c r="AD2254" i="2" s="1"/>
  <c r="AE2255" i="2" s="1"/>
  <c r="AD2262" i="2"/>
  <c r="AD2276" i="2" l="1"/>
  <c r="AD2289" i="2"/>
  <c r="AD2288" i="2"/>
  <c r="AD2294" i="2" s="1"/>
  <c r="AF2297" i="2"/>
  <c r="AD2300" i="2"/>
  <c r="AD2263" i="2"/>
  <c r="AD2280" i="2"/>
  <c r="AD2277" i="2" l="1"/>
  <c r="AD2278" i="2" s="1"/>
  <c r="AD2279" i="2" s="1"/>
  <c r="AD2282" i="2" s="1"/>
  <c r="AE2283" i="2" s="1"/>
  <c r="AD2303" i="2"/>
  <c r="AD2302" i="2"/>
  <c r="AD2308" i="2" s="1"/>
  <c r="AD2314" i="2"/>
  <c r="AF2311" i="2"/>
  <c r="AD2264" i="2"/>
  <c r="AD2265" i="2" s="1"/>
  <c r="AD2268" i="2" s="1"/>
  <c r="AE2269" i="2" s="1"/>
  <c r="AD2290" i="2"/>
  <c r="AD2304" i="2" l="1"/>
  <c r="AD2317" i="2"/>
  <c r="AD2328" i="2"/>
  <c r="AD2316" i="2"/>
  <c r="AD2322" i="2" s="1"/>
  <c r="AF2325" i="2"/>
  <c r="AD2291" i="2"/>
  <c r="AD2292" i="2" l="1"/>
  <c r="AD2293" i="2" s="1"/>
  <c r="AD2296" i="2" s="1"/>
  <c r="AE2297" i="2" s="1"/>
  <c r="AD2305" i="2"/>
  <c r="AD2342" i="2"/>
  <c r="AF2339" i="2"/>
  <c r="AD2331" i="2"/>
  <c r="AD2330" i="2"/>
  <c r="AD2318" i="2"/>
  <c r="AD2332" i="2" l="1"/>
  <c r="AD2319" i="2"/>
  <c r="AD2306" i="2"/>
  <c r="AD2307" i="2" s="1"/>
  <c r="AD2310" i="2" s="1"/>
  <c r="AE2311" i="2" s="1"/>
  <c r="AF2353" i="2"/>
  <c r="AD2344" i="2"/>
  <c r="AD2350" i="2" s="1"/>
  <c r="AD2356" i="2"/>
  <c r="AD2345" i="2"/>
  <c r="AD2336" i="2"/>
  <c r="AD2333" i="2" l="1"/>
  <c r="AD2334" i="2" s="1"/>
  <c r="AD2335" i="2" s="1"/>
  <c r="AD2370" i="2"/>
  <c r="AD2359" i="2"/>
  <c r="AF2367" i="2"/>
  <c r="AD2358" i="2"/>
  <c r="AD2320" i="2"/>
  <c r="AD2321" i="2" s="1"/>
  <c r="AD2324" i="2" s="1"/>
  <c r="AE2325" i="2" s="1"/>
  <c r="AD2346" i="2"/>
  <c r="AD2360" i="2" l="1"/>
  <c r="AD2361" i="2" s="1"/>
  <c r="AD2362" i="2" s="1"/>
  <c r="AD2363" i="2" s="1"/>
  <c r="AD2338" i="2"/>
  <c r="AE2339" i="2" s="1"/>
  <c r="AD2364" i="2"/>
  <c r="AD2347" i="2"/>
  <c r="AD2348" i="2" s="1"/>
  <c r="AD2349" i="2" s="1"/>
  <c r="AD2352" i="2" s="1"/>
  <c r="AE2353" i="2" s="1"/>
  <c r="AF2381" i="2"/>
  <c r="AD2372" i="2"/>
  <c r="AD2378" i="2" s="1"/>
  <c r="AD2373" i="2"/>
  <c r="AD2384" i="2"/>
  <c r="AD2366" i="2" l="1"/>
  <c r="AE2367" i="2" s="1"/>
  <c r="AD2374" i="2"/>
  <c r="AD2386" i="2"/>
  <c r="AF2395" i="2"/>
  <c r="AD2398" i="2"/>
  <c r="AD2387" i="2"/>
  <c r="AD2375" i="2" l="1"/>
  <c r="AD2376" i="2" s="1"/>
  <c r="AD2377" i="2" s="1"/>
  <c r="AD2380" i="2" s="1"/>
  <c r="AE2381" i="2" s="1"/>
  <c r="AD2388" i="2"/>
  <c r="AD2412" i="2"/>
  <c r="AD2401" i="2"/>
  <c r="AD2400" i="2"/>
  <c r="AF2409" i="2"/>
  <c r="AD2392" i="2"/>
  <c r="AD2402" i="2" l="1"/>
  <c r="AD2406" i="2"/>
  <c r="AD2389" i="2"/>
  <c r="AF2423" i="2"/>
  <c r="AD2414" i="2"/>
  <c r="AD2420" i="2" s="1"/>
  <c r="AD2426" i="2"/>
  <c r="AD2415" i="2"/>
  <c r="AD2403" i="2" l="1"/>
  <c r="AD2429" i="2"/>
  <c r="AD2428" i="2"/>
  <c r="AD2434" i="2" s="1"/>
  <c r="AD2440" i="2"/>
  <c r="AF2437" i="2"/>
  <c r="AD2390" i="2"/>
  <c r="AD2391" i="2" s="1"/>
  <c r="AD2394" i="2" s="1"/>
  <c r="AE2395" i="2" s="1"/>
  <c r="AD2416" i="2"/>
  <c r="AD2442" i="2" l="1"/>
  <c r="AD2443" i="2"/>
  <c r="AD2454" i="2"/>
  <c r="AF2451" i="2"/>
  <c r="AD2417" i="2"/>
  <c r="AD2404" i="2"/>
  <c r="AD2405" i="2" s="1"/>
  <c r="AD2408" i="2" s="1"/>
  <c r="AE2409" i="2" s="1"/>
  <c r="AD2430" i="2"/>
  <c r="AD2444" i="2" l="1"/>
  <c r="AD2445" i="2" s="1"/>
  <c r="AD2446" i="2" s="1"/>
  <c r="AD2447" i="2" s="1"/>
  <c r="AD2418" i="2"/>
  <c r="AD2419" i="2" s="1"/>
  <c r="AD2422" i="2" s="1"/>
  <c r="AE2423" i="2" s="1"/>
  <c r="AD2468" i="2"/>
  <c r="AD2457" i="2"/>
  <c r="AF2465" i="2"/>
  <c r="AD2456" i="2"/>
  <c r="AD2431" i="2"/>
  <c r="AD2432" i="2" s="1"/>
  <c r="AD2433" i="2" s="1"/>
  <c r="AD2436" i="2" s="1"/>
  <c r="AE2437" i="2" s="1"/>
  <c r="AD2448" i="2"/>
  <c r="AD2450" i="2" l="1"/>
  <c r="AD2458" i="2"/>
  <c r="AD2459" i="2" s="1"/>
  <c r="AE2451" i="2"/>
  <c r="AF2479" i="2"/>
  <c r="AD2470" i="2"/>
  <c r="AD2482" i="2"/>
  <c r="AD2471" i="2"/>
  <c r="AD2462" i="2"/>
  <c r="AD2472" i="2" l="1"/>
  <c r="AD2460" i="2"/>
  <c r="AD2461" i="2" s="1"/>
  <c r="AD2464" i="2" s="1"/>
  <c r="AE2465" i="2" s="1"/>
  <c r="AF2493" i="2"/>
  <c r="AD2485" i="2"/>
  <c r="AD2484" i="2"/>
  <c r="AD2490" i="2" s="1"/>
  <c r="AD2496" i="2"/>
  <c r="AD2476" i="2"/>
  <c r="AD2473" i="2" l="1"/>
  <c r="AD2474" i="2" s="1"/>
  <c r="AD2475" i="2" s="1"/>
  <c r="AD2478" i="2" s="1"/>
  <c r="AE2479" i="2" s="1"/>
  <c r="AD2498" i="2"/>
  <c r="AF2507" i="2"/>
  <c r="AD2510" i="2"/>
  <c r="AD2499" i="2"/>
  <c r="AD2486" i="2"/>
  <c r="AD2500" i="2" l="1"/>
  <c r="AD2487" i="2"/>
  <c r="AD2512" i="2"/>
  <c r="AD2518" i="2" s="1"/>
  <c r="AD2513" i="2"/>
  <c r="AD2524" i="2"/>
  <c r="AF2521" i="2"/>
  <c r="AD2504" i="2"/>
  <c r="AD2501" i="2" l="1"/>
  <c r="AD2538" i="2"/>
  <c r="AD2527" i="2"/>
  <c r="AF2535" i="2"/>
  <c r="AD2526" i="2"/>
  <c r="AD2488" i="2"/>
  <c r="AD2489" i="2" s="1"/>
  <c r="AD2492" i="2" s="1"/>
  <c r="AE2493" i="2" s="1"/>
  <c r="AD2514" i="2"/>
  <c r="AD2528" i="2" l="1"/>
  <c r="AD2529" i="2" s="1"/>
  <c r="AD2515" i="2"/>
  <c r="AD2516" i="2" s="1"/>
  <c r="AD2517" i="2" s="1"/>
  <c r="AD2520" i="2" s="1"/>
  <c r="AE2521" i="2" s="1"/>
  <c r="AD2540" i="2"/>
  <c r="AD2546" i="2" s="1"/>
  <c r="AD2541" i="2"/>
  <c r="AD2552" i="2"/>
  <c r="AF2549" i="2"/>
  <c r="AD2532" i="2"/>
  <c r="AD2502" i="2"/>
  <c r="AD2503" i="2" s="1"/>
  <c r="AD2506" i="2" s="1"/>
  <c r="AE2507" i="2" s="1"/>
  <c r="AD2542" i="2" l="1"/>
  <c r="AD2555" i="2"/>
  <c r="AD2566" i="2"/>
  <c r="AF2563" i="2"/>
  <c r="AD2554" i="2"/>
  <c r="AD2530" i="2"/>
  <c r="AD2531" i="2" s="1"/>
  <c r="AD2534" i="2" s="1"/>
  <c r="AE2535" i="2" s="1"/>
  <c r="AD2556" i="2" l="1"/>
  <c r="AD2557" i="2" s="1"/>
  <c r="AD2543" i="2"/>
  <c r="AD2544" i="2" s="1"/>
  <c r="AD2545" i="2" s="1"/>
  <c r="AD2548" i="2" s="1"/>
  <c r="AE2549" i="2" s="1"/>
  <c r="AD2580" i="2"/>
  <c r="AD2569" i="2"/>
  <c r="AF2577" i="2"/>
  <c r="AD2568" i="2"/>
  <c r="AD2574" i="2" s="1"/>
  <c r="AD2560" i="2"/>
  <c r="AD2594" i="2" l="1"/>
  <c r="AD2583" i="2"/>
  <c r="AF2591" i="2"/>
  <c r="AD2582" i="2"/>
  <c r="AD2588" i="2" s="1"/>
  <c r="AD2558" i="2"/>
  <c r="AD2559" i="2" s="1"/>
  <c r="AD2562" i="2" s="1"/>
  <c r="AE2563" i="2" s="1"/>
  <c r="AD2570" i="2"/>
  <c r="AD2597" i="2" l="1"/>
  <c r="AD2596" i="2"/>
  <c r="AD2608" i="2"/>
  <c r="AF2605" i="2"/>
  <c r="AD2571" i="2"/>
  <c r="AD2584" i="2"/>
  <c r="AD2572" i="2" l="1"/>
  <c r="AD2573" i="2" s="1"/>
  <c r="AD2576" i="2" s="1"/>
  <c r="AE2577" i="2" s="1"/>
  <c r="AD2622" i="2"/>
  <c r="AD2610" i="2"/>
  <c r="AF2619" i="2"/>
  <c r="AD2611" i="2"/>
  <c r="AD2585" i="2"/>
  <c r="AD2586" i="2" s="1"/>
  <c r="AD2587" i="2" s="1"/>
  <c r="AD2590" i="2" s="1"/>
  <c r="AE2591" i="2" s="1"/>
  <c r="AD2598" i="2"/>
  <c r="AD2602" i="2"/>
  <c r="AD2612" i="2" l="1"/>
  <c r="AD2613" i="2" s="1"/>
  <c r="AD2625" i="2"/>
  <c r="AD2624" i="2"/>
  <c r="AD2630" i="2" s="1"/>
  <c r="AD2636" i="2"/>
  <c r="AF2633" i="2"/>
  <c r="AD2599" i="2"/>
  <c r="AD2600" i="2" s="1"/>
  <c r="AD2601" i="2" s="1"/>
  <c r="AD2604" i="2" s="1"/>
  <c r="AE2605" i="2" s="1"/>
  <c r="AD2616" i="2"/>
  <c r="AD2614" i="2" l="1"/>
  <c r="AD2615" i="2" s="1"/>
  <c r="AD2618" i="2" s="1"/>
  <c r="AE2619" i="2" s="1"/>
  <c r="AD2639" i="2"/>
  <c r="AD2638" i="2"/>
  <c r="AD2644" i="2" s="1"/>
  <c r="AF2647" i="2"/>
  <c r="AD2650" i="2"/>
  <c r="AD2626" i="2"/>
  <c r="AD2652" i="2" l="1"/>
  <c r="AD2658" i="2" s="1"/>
  <c r="AD2653" i="2"/>
  <c r="AD2664" i="2"/>
  <c r="AF2661" i="2"/>
  <c r="AD2627" i="2"/>
  <c r="AD2640" i="2"/>
  <c r="AD2654" i="2" l="1"/>
  <c r="AD2628" i="2"/>
  <c r="AD2629" i="2" s="1"/>
  <c r="AD2632" i="2" s="1"/>
  <c r="AE2633" i="2" s="1"/>
  <c r="AD2667" i="2"/>
  <c r="AF2675" i="2"/>
  <c r="AD2666" i="2"/>
  <c r="AD2672" i="2" s="1"/>
  <c r="AD2678" i="2"/>
  <c r="AD2641" i="2"/>
  <c r="AD2655" i="2" l="1"/>
  <c r="AD2656" i="2" s="1"/>
  <c r="AD2657" i="2" s="1"/>
  <c r="AF2689" i="2"/>
  <c r="AD2692" i="2"/>
  <c r="AD2681" i="2"/>
  <c r="AD2680" i="2"/>
  <c r="AD2686" i="2" s="1"/>
  <c r="AD2642" i="2"/>
  <c r="AD2643" i="2" s="1"/>
  <c r="AD2646" i="2" s="1"/>
  <c r="AE2647" i="2" s="1"/>
  <c r="AD2668" i="2"/>
  <c r="AD2660" i="2" l="1"/>
  <c r="AE2661" i="2" s="1"/>
  <c r="AD2669" i="2"/>
  <c r="AF2703" i="2"/>
  <c r="AD2694" i="2"/>
  <c r="AD2700" i="2" s="1"/>
  <c r="AD2695" i="2"/>
  <c r="AD2706" i="2"/>
  <c r="AD2682" i="2"/>
  <c r="AD2670" i="2" l="1"/>
  <c r="AD2671" i="2" s="1"/>
  <c r="AD2674" i="2" s="1"/>
  <c r="AE2675" i="2" s="1"/>
  <c r="AD2709" i="2"/>
  <c r="AD2708" i="2"/>
  <c r="AD2714" i="2" s="1"/>
  <c r="AD2720" i="2"/>
  <c r="AF2717" i="2"/>
  <c r="AD2683" i="2"/>
  <c r="AD2696" i="2"/>
  <c r="AD2722" i="2" l="1"/>
  <c r="AD2723" i="2"/>
  <c r="AD2734" i="2"/>
  <c r="AF2731" i="2"/>
  <c r="AD2697" i="2"/>
  <c r="AD2684" i="2"/>
  <c r="AD2685" i="2" s="1"/>
  <c r="AD2688" i="2" s="1"/>
  <c r="AE2689" i="2" s="1"/>
  <c r="AD2710" i="2"/>
  <c r="AD2724" i="2" l="1"/>
  <c r="AD2711" i="2"/>
  <c r="AD2698" i="2"/>
  <c r="AD2699" i="2" s="1"/>
  <c r="AD2702" i="2" s="1"/>
  <c r="AE2703" i="2" s="1"/>
  <c r="AF2745" i="2"/>
  <c r="AD2748" i="2"/>
  <c r="AD2736" i="2"/>
  <c r="AD2742" i="2" s="1"/>
  <c r="AD2737" i="2"/>
  <c r="AD2728" i="2"/>
  <c r="AD2738" i="2" l="1"/>
  <c r="AD2739" i="2" s="1"/>
  <c r="AD2762" i="2"/>
  <c r="AF2759" i="2"/>
  <c r="AD2750" i="2"/>
  <c r="AD2756" i="2" s="1"/>
  <c r="AD2751" i="2"/>
  <c r="AD2725" i="2"/>
  <c r="AD2712" i="2"/>
  <c r="AD2713" i="2" s="1"/>
  <c r="AD2716" i="2" s="1"/>
  <c r="AE2717" i="2" s="1"/>
  <c r="AF2773" i="2" l="1"/>
  <c r="AD2765" i="2"/>
  <c r="AD2764" i="2"/>
  <c r="AD2770" i="2" s="1"/>
  <c r="AD2776" i="2"/>
  <c r="AD2726" i="2"/>
  <c r="AD2727" i="2" s="1"/>
  <c r="AD2730" i="2" s="1"/>
  <c r="AE2731" i="2" s="1"/>
  <c r="AD2740" i="2"/>
  <c r="AD2741" i="2" s="1"/>
  <c r="AD2744" i="2" s="1"/>
  <c r="AE2745" i="2" s="1"/>
  <c r="AD2752" i="2"/>
  <c r="AD2766" i="2" l="1"/>
  <c r="AD2753" i="2"/>
  <c r="AD2778" i="2"/>
  <c r="AD2784" i="2" s="1"/>
  <c r="AD2790" i="2"/>
  <c r="AF2787" i="2"/>
  <c r="AD2779" i="2"/>
  <c r="AD2754" i="2" l="1"/>
  <c r="AD2755" i="2" s="1"/>
  <c r="AD2758" i="2" s="1"/>
  <c r="AE2759" i="2" s="1"/>
  <c r="AD2793" i="2"/>
  <c r="AD2792" i="2"/>
  <c r="AD2804" i="2"/>
  <c r="AF2801" i="2"/>
  <c r="AD2767" i="2"/>
  <c r="AD2780" i="2"/>
  <c r="AD2794" i="2" l="1"/>
  <c r="AD2781" i="2"/>
  <c r="AD2807" i="2"/>
  <c r="AF2815" i="2"/>
  <c r="AD2818" i="2"/>
  <c r="AD2806" i="2"/>
  <c r="AD2812" i="2" s="1"/>
  <c r="AD2798" i="2"/>
  <c r="AD2768" i="2"/>
  <c r="AD2769" i="2" s="1"/>
  <c r="AD2772" i="2" s="1"/>
  <c r="AE2773" i="2" s="1"/>
  <c r="AD2795" i="2" l="1"/>
  <c r="AD2821" i="2"/>
  <c r="AF2829" i="2"/>
  <c r="AD2820" i="2"/>
  <c r="AD2832" i="2"/>
  <c r="AD2782" i="2"/>
  <c r="AD2783" i="2" s="1"/>
  <c r="AD2786" i="2" s="1"/>
  <c r="AE2787" i="2" s="1"/>
  <c r="AD2808" i="2"/>
  <c r="AD2822" i="2" l="1"/>
  <c r="AD2796" i="2"/>
  <c r="AD2797" i="2" s="1"/>
  <c r="AD2800" i="2" s="1"/>
  <c r="AE2801" i="2" s="1"/>
  <c r="AD2826" i="2"/>
  <c r="AD2809" i="2"/>
  <c r="AD2834" i="2"/>
  <c r="AD2840" i="2" s="1"/>
  <c r="AD2846" i="2"/>
  <c r="AF2843" i="2"/>
  <c r="AD2835" i="2"/>
  <c r="AD2823" i="2" l="1"/>
  <c r="AD2860" i="2"/>
  <c r="AD2849" i="2"/>
  <c r="AF2857" i="2"/>
  <c r="AD2848" i="2"/>
  <c r="AD2810" i="2"/>
  <c r="AD2811" i="2" s="1"/>
  <c r="AD2814" i="2" s="1"/>
  <c r="AE2815" i="2" s="1"/>
  <c r="AD2836" i="2"/>
  <c r="AD2824" i="2" l="1"/>
  <c r="AD2825" i="2" s="1"/>
  <c r="AD2828" i="2" s="1"/>
  <c r="AE2829" i="2" s="1"/>
  <c r="AD2850" i="2"/>
  <c r="AD2837" i="2"/>
  <c r="AF2871" i="2"/>
  <c r="AD2862" i="2"/>
  <c r="AD2874" i="2"/>
  <c r="AD2863" i="2"/>
  <c r="AD2854" i="2"/>
  <c r="AD2851" i="2" l="1"/>
  <c r="AD2852" i="2" s="1"/>
  <c r="AD2853" i="2" s="1"/>
  <c r="AD2838" i="2"/>
  <c r="AD2839" i="2" s="1"/>
  <c r="AD2842" i="2" s="1"/>
  <c r="AE2843" i="2" s="1"/>
  <c r="AF2885" i="2"/>
  <c r="AD2876" i="2"/>
  <c r="AD2888" i="2"/>
  <c r="AD2877" i="2"/>
  <c r="AD2864" i="2"/>
  <c r="AD2868" i="2"/>
  <c r="AD2856" i="2" l="1"/>
  <c r="AE2857" i="2" s="1"/>
  <c r="AD2878" i="2"/>
  <c r="AD2865" i="2"/>
  <c r="AD2882" i="2"/>
  <c r="AF2899" i="2"/>
  <c r="AD2891" i="2"/>
  <c r="AD2890" i="2"/>
  <c r="AD2902" i="2"/>
  <c r="AD2879" i="2" l="1"/>
  <c r="AD2880" i="2" s="1"/>
  <c r="AD2881" i="2" s="1"/>
  <c r="AD2892" i="2"/>
  <c r="AD2893" i="2" s="1"/>
  <c r="AD2896" i="2"/>
  <c r="AD2916" i="2"/>
  <c r="AF2913" i="2"/>
  <c r="AD2905" i="2"/>
  <c r="AD2904" i="2"/>
  <c r="AD2866" i="2"/>
  <c r="AD2867" i="2" s="1"/>
  <c r="AD2870" i="2" s="1"/>
  <c r="AE2871" i="2" s="1"/>
  <c r="AD2884" i="2" l="1"/>
  <c r="AE2885" i="2" s="1"/>
  <c r="AD2906" i="2"/>
  <c r="AD2907" i="2" s="1"/>
  <c r="AD2910" i="2"/>
  <c r="AD2894" i="2"/>
  <c r="AD2895" i="2" s="1"/>
  <c r="AD2898" i="2" s="1"/>
  <c r="AE2899" i="2" s="1"/>
  <c r="AF2927" i="2"/>
  <c r="AD2918" i="2"/>
  <c r="AD2919" i="2"/>
  <c r="AD2930" i="2"/>
  <c r="AD2920" i="2" l="1"/>
  <c r="AD2921" i="2" s="1"/>
  <c r="AD2924" i="2"/>
  <c r="AF2941" i="2"/>
  <c r="AD2933" i="2"/>
  <c r="AD2932" i="2"/>
  <c r="AD2944" i="2"/>
  <c r="AD2908" i="2"/>
  <c r="AD2909" i="2" s="1"/>
  <c r="AD2912" i="2" s="1"/>
  <c r="AE2913" i="2" s="1"/>
  <c r="AD2934" i="2" l="1"/>
  <c r="AD2938" i="2"/>
  <c r="AD2922" i="2"/>
  <c r="AD2923" i="2" s="1"/>
  <c r="AD2926" i="2" s="1"/>
  <c r="AE2927" i="2" s="1"/>
  <c r="AF2955" i="2"/>
  <c r="AD2947" i="2"/>
  <c r="AD2946" i="2"/>
  <c r="AD2952" i="2" s="1"/>
  <c r="AD2958" i="2"/>
  <c r="AD2935" i="2" l="1"/>
  <c r="AD2936" i="2" s="1"/>
  <c r="AD2937" i="2" s="1"/>
  <c r="AF2969" i="2"/>
  <c r="AD2961" i="2"/>
  <c r="AD2960" i="2"/>
  <c r="AD2966" i="2" s="1"/>
  <c r="AD2972" i="2"/>
  <c r="AD2948" i="2"/>
  <c r="AD2940" i="2" l="1"/>
  <c r="AE2941" i="2" s="1"/>
  <c r="AD2949" i="2"/>
  <c r="AD2974" i="2"/>
  <c r="AD2980" i="2" s="1"/>
  <c r="AD2975" i="2"/>
  <c r="AD2986" i="2"/>
  <c r="AF2983" i="2"/>
  <c r="AD2962" i="2"/>
  <c r="AD2976" i="2" l="1"/>
  <c r="AD2977" i="2" s="1"/>
  <c r="AD3000" i="2"/>
  <c r="AF2997" i="2"/>
  <c r="AD2988" i="2"/>
  <c r="AD2994" i="2" s="1"/>
  <c r="AD2989" i="2"/>
  <c r="AD2950" i="2"/>
  <c r="AD2951" i="2" s="1"/>
  <c r="AD2954" i="2" s="1"/>
  <c r="AE2955" i="2" s="1"/>
  <c r="AD2963" i="2"/>
  <c r="AD2990" i="2" l="1"/>
  <c r="AD3002" i="2"/>
  <c r="AD3008" i="2" s="1"/>
  <c r="AD3014" i="2"/>
  <c r="AF3011" i="2"/>
  <c r="AD3003" i="2"/>
  <c r="AD2964" i="2"/>
  <c r="AD2965" i="2" s="1"/>
  <c r="AD2968" i="2" s="1"/>
  <c r="AE2969" i="2" s="1"/>
  <c r="AD2978" i="2"/>
  <c r="AD2979" i="2" s="1"/>
  <c r="AD2982" i="2" s="1"/>
  <c r="AE2983" i="2" s="1"/>
  <c r="AD2991" i="2" l="1"/>
  <c r="AD2992" i="2" s="1"/>
  <c r="AD2993" i="2" s="1"/>
  <c r="AD3004" i="2"/>
  <c r="AD3016" i="2"/>
  <c r="AD3022" i="2" s="1"/>
  <c r="AD3028" i="2"/>
  <c r="AF3025" i="2"/>
  <c r="AD3017" i="2"/>
  <c r="AD2996" i="2" l="1"/>
  <c r="AE2997" i="2" s="1"/>
  <c r="AD3005" i="2"/>
  <c r="AD3018" i="2"/>
  <c r="AF3039" i="2"/>
  <c r="AD3030" i="2"/>
  <c r="AD3031" i="2"/>
  <c r="AD3042" i="2"/>
  <c r="AD3032" i="2" l="1"/>
  <c r="AD3033" i="2" s="1"/>
  <c r="AD3006" i="2"/>
  <c r="AD3007" i="2" s="1"/>
  <c r="AD3010" i="2" s="1"/>
  <c r="AE3011" i="2" s="1"/>
  <c r="AD3019" i="2"/>
  <c r="AD3044" i="2"/>
  <c r="AD3050" i="2" s="1"/>
  <c r="AD3045" i="2"/>
  <c r="AD3056" i="2"/>
  <c r="AF3053" i="2"/>
  <c r="AD3036" i="2"/>
  <c r="AD3046" i="2" l="1"/>
  <c r="AD3047" i="2" s="1"/>
  <c r="AD3058" i="2"/>
  <c r="AD3064" i="2" s="1"/>
  <c r="AD3070" i="2"/>
  <c r="AF3067" i="2"/>
  <c r="AD3059" i="2"/>
  <c r="AD3034" i="2"/>
  <c r="AD3035" i="2" s="1"/>
  <c r="AD3038" i="2" s="1"/>
  <c r="AE3039" i="2" s="1"/>
  <c r="AD3020" i="2"/>
  <c r="AD3021" i="2" s="1"/>
  <c r="AD3024" i="2" s="1"/>
  <c r="AE3025" i="2" s="1"/>
  <c r="AD3060" i="2" l="1"/>
  <c r="AD3061" i="2" s="1"/>
  <c r="AD3048" i="2"/>
  <c r="AD3049" i="2" s="1"/>
  <c r="AD3052" i="2" s="1"/>
  <c r="AE3053" i="2" s="1"/>
  <c r="AF3081" i="2"/>
  <c r="AD3073" i="2"/>
  <c r="AD3072" i="2"/>
  <c r="AD3078" i="2" s="1"/>
  <c r="AD3084" i="2"/>
  <c r="AD3062" i="2" l="1"/>
  <c r="AD3063" i="2" s="1"/>
  <c r="AD3066" i="2" s="1"/>
  <c r="AE3067" i="2" s="1"/>
  <c r="AD3087" i="2"/>
  <c r="AF3095" i="2"/>
  <c r="AD3098" i="2"/>
  <c r="AD3086" i="2"/>
  <c r="AD3074" i="2"/>
  <c r="AD3088" i="2" l="1"/>
  <c r="AD3089" i="2" s="1"/>
  <c r="AD3092" i="2"/>
  <c r="AD3112" i="2"/>
  <c r="AD3100" i="2"/>
  <c r="AD3106" i="2" s="1"/>
  <c r="AF3109" i="2"/>
  <c r="AD3101" i="2"/>
  <c r="AD3075" i="2"/>
  <c r="AD3076" i="2" l="1"/>
  <c r="AD3077" i="2" s="1"/>
  <c r="AD3080" i="2" s="1"/>
  <c r="AE3081" i="2" s="1"/>
  <c r="AF3123" i="2"/>
  <c r="AD3114" i="2"/>
  <c r="AD3120" i="2" s="1"/>
  <c r="AD3126" i="2"/>
  <c r="AD3115" i="2"/>
  <c r="AD3090" i="2"/>
  <c r="AD3091" i="2" s="1"/>
  <c r="AD3094" i="2" s="1"/>
  <c r="AE3095" i="2" s="1"/>
  <c r="AD3102" i="2"/>
  <c r="AD3103" i="2" l="1"/>
  <c r="AD3140" i="2"/>
  <c r="AF3137" i="2"/>
  <c r="AD3129" i="2"/>
  <c r="AD3128" i="2"/>
  <c r="AD3116" i="2"/>
  <c r="AD3104" i="2" l="1"/>
  <c r="AD3105" i="2" s="1"/>
  <c r="AD3108" i="2" s="1"/>
  <c r="AE3109" i="2" s="1"/>
  <c r="AD3142" i="2"/>
  <c r="AD3148" i="2" s="1"/>
  <c r="AD3143" i="2"/>
  <c r="AD3154" i="2"/>
  <c r="AF3151" i="2"/>
  <c r="AD3117" i="2"/>
  <c r="AD3130" i="2"/>
  <c r="AD3134" i="2"/>
  <c r="AD3144" i="2" l="1"/>
  <c r="AD3145" i="2" s="1"/>
  <c r="AD3131" i="2"/>
  <c r="AD3118" i="2"/>
  <c r="AD3119" i="2" s="1"/>
  <c r="AD3122" i="2" s="1"/>
  <c r="AE3123" i="2" s="1"/>
  <c r="AD3157" i="2"/>
  <c r="AD3168" i="2"/>
  <c r="AF3165" i="2"/>
  <c r="AD3156" i="2"/>
  <c r="AD3162" i="2" s="1"/>
  <c r="AD3132" i="2" l="1"/>
  <c r="AD3133" i="2" s="1"/>
  <c r="AD3136" i="2" s="1"/>
  <c r="AE3137" i="2" s="1"/>
  <c r="AF3179" i="2"/>
  <c r="AD3171" i="2"/>
  <c r="AD3170" i="2"/>
  <c r="AD3182" i="2"/>
  <c r="AD3146" i="2"/>
  <c r="AD3147" i="2" s="1"/>
  <c r="AD3150" i="2" s="1"/>
  <c r="AE3151" i="2" s="1"/>
  <c r="AD3158" i="2"/>
  <c r="AD3172" i="2" l="1"/>
  <c r="AF3193" i="2"/>
  <c r="AD3185" i="2"/>
  <c r="AD3184" i="2"/>
  <c r="AD3190" i="2" s="1"/>
  <c r="AD3196" i="2"/>
  <c r="AD3176" i="2"/>
  <c r="AD3159" i="2"/>
  <c r="AD3173" i="2" l="1"/>
  <c r="AD3160" i="2"/>
  <c r="AD3161" i="2" s="1"/>
  <c r="AD3164" i="2" s="1"/>
  <c r="AE3165" i="2" s="1"/>
  <c r="AD3210" i="2"/>
  <c r="AF3207" i="2"/>
  <c r="AD3198" i="2"/>
  <c r="AD3199" i="2"/>
  <c r="AD3186" i="2"/>
  <c r="AD3174" i="2" l="1"/>
  <c r="AD3175" i="2" s="1"/>
  <c r="AD3178" i="2" s="1"/>
  <c r="AE3179" i="2" s="1"/>
  <c r="AD3200" i="2"/>
  <c r="AD3187" i="2"/>
  <c r="AD3212" i="2"/>
  <c r="AD3218" i="2" s="1"/>
  <c r="AD3224" i="2"/>
  <c r="AF3221" i="2"/>
  <c r="AD3213" i="2"/>
  <c r="AD3204" i="2"/>
  <c r="AD3214" i="2" l="1"/>
  <c r="AD3201" i="2"/>
  <c r="AD3202" i="2" s="1"/>
  <c r="AD3203" i="2" s="1"/>
  <c r="AD3226" i="2"/>
  <c r="AD3232" i="2" s="1"/>
  <c r="AD3227" i="2"/>
  <c r="AD3238" i="2"/>
  <c r="AF3235" i="2"/>
  <c r="AD3188" i="2"/>
  <c r="AD3189" i="2" s="1"/>
  <c r="AD3192" i="2" s="1"/>
  <c r="AE3193" i="2" s="1"/>
  <c r="AD3206" i="2" l="1"/>
  <c r="AE3207" i="2" s="1"/>
  <c r="AD3215" i="2"/>
  <c r="AD3216" i="2" s="1"/>
  <c r="AD3217" i="2" s="1"/>
  <c r="AD3228" i="2"/>
  <c r="AD3229" i="2" s="1"/>
  <c r="AD3241" i="2"/>
  <c r="AD3252" i="2"/>
  <c r="AF3249" i="2"/>
  <c r="AD3240" i="2"/>
  <c r="AD3220" i="2" l="1"/>
  <c r="AE3221" i="2" s="1"/>
  <c r="AD3242" i="2"/>
  <c r="AD3243" i="2" s="1"/>
  <c r="AD3230" i="2"/>
  <c r="AD3231" i="2" s="1"/>
  <c r="AD3234" i="2" s="1"/>
  <c r="AE3235" i="2" s="1"/>
  <c r="AD3266" i="2"/>
  <c r="AF3263" i="2"/>
  <c r="AD3254" i="2"/>
  <c r="AD3255" i="2"/>
  <c r="AD3246" i="2"/>
  <c r="AD3256" i="2" l="1"/>
  <c r="AF3277" i="2"/>
  <c r="AD3269" i="2"/>
  <c r="AD3268" i="2"/>
  <c r="AD3274" i="2" s="1"/>
  <c r="AD3280" i="2"/>
  <c r="AD3260" i="2"/>
  <c r="AD3244" i="2"/>
  <c r="AD3245" i="2" s="1"/>
  <c r="AD3248" i="2" s="1"/>
  <c r="AE3249" i="2" s="1"/>
  <c r="AD3257" i="2" l="1"/>
  <c r="AD3283" i="2"/>
  <c r="AF3291" i="2"/>
  <c r="AD3282" i="2"/>
  <c r="AD3288" i="2" s="1"/>
  <c r="AD3294" i="2"/>
  <c r="AD3270" i="2"/>
  <c r="AD3258" i="2" l="1"/>
  <c r="AD3259" i="2" s="1"/>
  <c r="AD3262" i="2" s="1"/>
  <c r="AE3263" i="2" s="1"/>
  <c r="AD3271" i="2"/>
  <c r="AF3305" i="2"/>
  <c r="AD3308" i="2"/>
  <c r="AD3297" i="2"/>
  <c r="AD3296" i="2"/>
  <c r="AD3284" i="2"/>
  <c r="AD3272" i="2" l="1"/>
  <c r="AD3273" i="2" s="1"/>
  <c r="AD3276" i="2" s="1"/>
  <c r="AE3277" i="2" s="1"/>
  <c r="AF3319" i="2"/>
  <c r="AD3310" i="2"/>
  <c r="AD3316" i="2" s="1"/>
  <c r="AD3311" i="2"/>
  <c r="AD3322" i="2"/>
  <c r="AD3285" i="2"/>
  <c r="AD3298" i="2"/>
  <c r="AD3302" i="2"/>
  <c r="AD3299" i="2" l="1"/>
  <c r="AD3286" i="2"/>
  <c r="AD3287" i="2" s="1"/>
  <c r="AD3290" i="2" s="1"/>
  <c r="AE3291" i="2" s="1"/>
  <c r="AF3333" i="2"/>
  <c r="AD3324" i="2"/>
  <c r="AD3325" i="2"/>
  <c r="AD3336" i="2"/>
  <c r="AD3312" i="2"/>
  <c r="AD3326" i="2" l="1"/>
  <c r="AD3327" i="2" s="1"/>
  <c r="AD3300" i="2"/>
  <c r="AD3301" i="2" s="1"/>
  <c r="AD3304" i="2" s="1"/>
  <c r="AE3305" i="2" s="1"/>
  <c r="AD3330" i="2"/>
  <c r="AD3313" i="2"/>
  <c r="AD3338" i="2"/>
  <c r="AD3344" i="2" s="1"/>
  <c r="AD3350" i="2"/>
  <c r="AF3347" i="2"/>
  <c r="AD3339" i="2"/>
  <c r="AD3328" i="2" l="1"/>
  <c r="AD3329" i="2" s="1"/>
  <c r="AD3332" i="2" s="1"/>
  <c r="AE3333" i="2" s="1"/>
  <c r="AD3314" i="2"/>
  <c r="AD3315" i="2" s="1"/>
  <c r="AD3318" i="2" s="1"/>
  <c r="AE3319" i="2" s="1"/>
  <c r="AF3361" i="2"/>
  <c r="AD3353" i="2"/>
  <c r="AD3352" i="2"/>
  <c r="AD3358" i="2" s="1"/>
  <c r="AD3364" i="2"/>
  <c r="AD3340" i="2"/>
  <c r="AD3354" i="2" l="1"/>
  <c r="AD3341" i="2"/>
  <c r="AD3366" i="2"/>
  <c r="AD3372" i="2" s="1"/>
  <c r="AD3367" i="2"/>
  <c r="AD3378" i="2"/>
  <c r="AF3375" i="2"/>
  <c r="AD3368" i="2" l="1"/>
  <c r="AD3355" i="2"/>
  <c r="AD3356" i="2" s="1"/>
  <c r="AD3357" i="2" s="1"/>
  <c r="AD3381" i="2"/>
  <c r="AD3392" i="2"/>
  <c r="AF3389" i="2"/>
  <c r="AD3380" i="2"/>
  <c r="AD3386" i="2" s="1"/>
  <c r="AD3342" i="2"/>
  <c r="AD3343" i="2" s="1"/>
  <c r="AD3346" i="2" s="1"/>
  <c r="AE3347" i="2" s="1"/>
  <c r="AD3369" i="2" l="1"/>
  <c r="AD3370" i="2" s="1"/>
  <c r="AD3371" i="2" s="1"/>
  <c r="AD3360" i="2"/>
  <c r="AE3361" i="2" s="1"/>
  <c r="AD3395" i="2"/>
  <c r="AD3406" i="2"/>
  <c r="AD3394" i="2"/>
  <c r="AD3400" i="2" s="1"/>
  <c r="AF3403" i="2"/>
  <c r="AD3382" i="2"/>
  <c r="AD3374" i="2" l="1"/>
  <c r="AE3375" i="2" s="1"/>
  <c r="AF3417" i="2"/>
  <c r="AD3409" i="2"/>
  <c r="AD3408" i="2"/>
  <c r="AD3414" i="2" s="1"/>
  <c r="AD3420" i="2"/>
  <c r="AD3383" i="2"/>
  <c r="AD3396" i="2"/>
  <c r="AD3422" i="2" l="1"/>
  <c r="AD3434" i="2"/>
  <c r="AF3431" i="2"/>
  <c r="AD3423" i="2"/>
  <c r="AD3384" i="2"/>
  <c r="AD3385" i="2" s="1"/>
  <c r="AD3388" i="2" s="1"/>
  <c r="AE3389" i="2" s="1"/>
  <c r="AD3397" i="2"/>
  <c r="AD3410" i="2"/>
  <c r="AD3424" i="2" l="1"/>
  <c r="AD3428" i="2"/>
  <c r="AD3411" i="2"/>
  <c r="AD3436" i="2"/>
  <c r="AD3442" i="2" s="1"/>
  <c r="AD3437" i="2"/>
  <c r="AD3448" i="2"/>
  <c r="AF3445" i="2"/>
  <c r="AD3398" i="2"/>
  <c r="AD3399" i="2" s="1"/>
  <c r="AD3402" i="2" s="1"/>
  <c r="AE3403" i="2" s="1"/>
  <c r="AD3425" i="2" l="1"/>
  <c r="AD3438" i="2"/>
  <c r="AD3439" i="2" s="1"/>
  <c r="AD3450" i="2"/>
  <c r="AD3456" i="2" s="1"/>
  <c r="AD3451" i="2"/>
  <c r="AD3462" i="2"/>
  <c r="AF3459" i="2"/>
  <c r="AD3412" i="2"/>
  <c r="AD3413" i="2" s="1"/>
  <c r="AD3416" i="2" s="1"/>
  <c r="AE3417" i="2" s="1"/>
  <c r="AD3426" i="2" l="1"/>
  <c r="AD3427" i="2" s="1"/>
  <c r="AD3430" i="2" s="1"/>
  <c r="AE3431" i="2" s="1"/>
  <c r="AD3440" i="2"/>
  <c r="AD3441" i="2" s="1"/>
  <c r="AD3444" i="2" s="1"/>
  <c r="AE3445" i="2" s="1"/>
  <c r="AD3452" i="2"/>
  <c r="AD3464" i="2"/>
  <c r="AD3470" i="2" s="1"/>
  <c r="AD3476" i="2"/>
  <c r="AF3473" i="2"/>
  <c r="AD3465" i="2"/>
  <c r="AD3453" i="2" l="1"/>
  <c r="AD3479" i="2"/>
  <c r="AD3478" i="2"/>
  <c r="AD3484" i="2" s="1"/>
  <c r="AD3490" i="2"/>
  <c r="AF3487" i="2"/>
  <c r="AD3466" i="2"/>
  <c r="AD3493" i="2" l="1"/>
  <c r="AD3492" i="2"/>
  <c r="AD3498" i="2" s="1"/>
  <c r="AD3504" i="2"/>
  <c r="AF3501" i="2"/>
  <c r="AD3454" i="2"/>
  <c r="AD3455" i="2" s="1"/>
  <c r="AD3458" i="2" s="1"/>
  <c r="AE3459" i="2" s="1"/>
  <c r="AD3467" i="2"/>
  <c r="AD3480" i="2"/>
  <c r="AD3494" i="2" l="1"/>
  <c r="AD3495" i="2" s="1"/>
  <c r="AD3481" i="2"/>
  <c r="AD3507" i="2"/>
  <c r="AF3515" i="2"/>
  <c r="AD3506" i="2"/>
  <c r="AD3512" i="2" s="1"/>
  <c r="AD3518" i="2"/>
  <c r="AD3468" i="2"/>
  <c r="AD3469" i="2" s="1"/>
  <c r="AD3472" i="2" s="1"/>
  <c r="AE3473" i="2" s="1"/>
  <c r="AD3482" i="2" l="1"/>
  <c r="AD3483" i="2" s="1"/>
  <c r="AD3486" i="2" s="1"/>
  <c r="AE3487" i="2" s="1"/>
  <c r="AD3496" i="2"/>
  <c r="AD3497" i="2" s="1"/>
  <c r="AD3500" i="2" s="1"/>
  <c r="AE3501" i="2" s="1"/>
  <c r="AF3529" i="2"/>
  <c r="AD3520" i="2"/>
  <c r="AD3532" i="2"/>
  <c r="AD3521" i="2"/>
  <c r="AD3508" i="2"/>
  <c r="AD3522" i="2" l="1"/>
  <c r="AD3509" i="2"/>
  <c r="AD3526" i="2"/>
  <c r="AD3546" i="2"/>
  <c r="AD3535" i="2"/>
  <c r="AF3543" i="2"/>
  <c r="AD3534" i="2"/>
  <c r="AD3540" i="2" s="1"/>
  <c r="AD3523" i="2" l="1"/>
  <c r="AD3524" i="2" s="1"/>
  <c r="AD3525" i="2" s="1"/>
  <c r="AD3549" i="2"/>
  <c r="AD3548" i="2"/>
  <c r="AD3554" i="2" s="1"/>
  <c r="AD3560" i="2"/>
  <c r="AF3557" i="2"/>
  <c r="AD3536" i="2"/>
  <c r="AD3510" i="2"/>
  <c r="AD3511" i="2" s="1"/>
  <c r="AD3514" i="2" s="1"/>
  <c r="AE3515" i="2" s="1"/>
  <c r="AD3528" i="2" l="1"/>
  <c r="AE3529" i="2" s="1"/>
  <c r="AD3537" i="2"/>
  <c r="AD3574" i="2"/>
  <c r="AD3563" i="2"/>
  <c r="AF3571" i="2"/>
  <c r="AD3562" i="2"/>
  <c r="AD3550" i="2"/>
  <c r="AD3564" i="2" l="1"/>
  <c r="AD3538" i="2"/>
  <c r="AD3539" i="2" s="1"/>
  <c r="AD3542" i="2" s="1"/>
  <c r="AE3543" i="2" s="1"/>
  <c r="AD3588" i="2"/>
  <c r="AF3585" i="2"/>
  <c r="AD3576" i="2"/>
  <c r="AD3582" i="2" s="1"/>
  <c r="AD3577" i="2"/>
  <c r="AD3551" i="2"/>
  <c r="AD3568" i="2"/>
  <c r="AD3565" i="2" l="1"/>
  <c r="AD3566" i="2" s="1"/>
  <c r="AD3567" i="2" s="1"/>
  <c r="AD3602" i="2"/>
  <c r="AF3599" i="2"/>
  <c r="AD3591" i="2"/>
  <c r="AD3590" i="2"/>
  <c r="AD3596" i="2" s="1"/>
  <c r="AD3552" i="2"/>
  <c r="AD3553" i="2" s="1"/>
  <c r="AD3556" i="2" s="1"/>
  <c r="AE3557" i="2" s="1"/>
  <c r="AD3578" i="2"/>
  <c r="AD3570" i="2" l="1"/>
  <c r="AE3571" i="2" s="1"/>
  <c r="AD3605" i="2"/>
  <c r="AD3604" i="2"/>
  <c r="AD3610" i="2" s="1"/>
  <c r="AD3616" i="2"/>
  <c r="AF3613" i="2"/>
  <c r="AD3579" i="2"/>
  <c r="AD3592" i="2"/>
  <c r="AD3606" i="2" l="1"/>
  <c r="AD3580" i="2"/>
  <c r="AD3581" i="2" s="1"/>
  <c r="AD3584" i="2" s="1"/>
  <c r="AE3585" i="2" s="1"/>
  <c r="AD3630" i="2"/>
  <c r="AD3619" i="2"/>
  <c r="AF3627" i="2"/>
  <c r="AD3618" i="2"/>
  <c r="AD3593" i="2"/>
  <c r="AD3607" i="2" l="1"/>
  <c r="AD3594" i="2"/>
  <c r="AD3595" i="2" s="1"/>
  <c r="AD3598" i="2" s="1"/>
  <c r="AE3599" i="2" s="1"/>
  <c r="AD3633" i="2"/>
  <c r="AF3641" i="2"/>
  <c r="AD3632" i="2"/>
  <c r="AD3644" i="2"/>
  <c r="AD3620" i="2"/>
  <c r="AD3624" i="2"/>
  <c r="AD3634" i="2" l="1"/>
  <c r="AD3621" i="2"/>
  <c r="AD3608" i="2"/>
  <c r="AD3609" i="2" s="1"/>
  <c r="AD3612" i="2" s="1"/>
  <c r="AE3613" i="2" s="1"/>
  <c r="AD3638" i="2"/>
  <c r="AD3647" i="2"/>
  <c r="AD3646" i="2"/>
  <c r="AF3655" i="2"/>
  <c r="AD3658" i="2"/>
  <c r="AD3635" i="2" l="1"/>
  <c r="AD3648" i="2"/>
  <c r="AD3649" i="2" s="1"/>
  <c r="AD3652" i="2"/>
  <c r="AD3622" i="2"/>
  <c r="AD3623" i="2" s="1"/>
  <c r="AD3626" i="2" s="1"/>
  <c r="AE3627" i="2" s="1"/>
  <c r="AD3661" i="2"/>
  <c r="AD3672" i="2"/>
  <c r="AD3660" i="2"/>
  <c r="AD3666" i="2" s="1"/>
  <c r="AF3669" i="2"/>
  <c r="AD3636" i="2" l="1"/>
  <c r="AD3637" i="2" s="1"/>
  <c r="AD3640" i="2" s="1"/>
  <c r="AE3641" i="2" s="1"/>
  <c r="AF3683" i="2"/>
  <c r="AD3686" i="2"/>
  <c r="AD3675" i="2"/>
  <c r="AD3674" i="2"/>
  <c r="AD3680" i="2" s="1"/>
  <c r="AD3650" i="2"/>
  <c r="AD3651" i="2" s="1"/>
  <c r="AD3654" i="2" s="1"/>
  <c r="AE3655" i="2" s="1"/>
  <c r="AD3662" i="2"/>
  <c r="AF3697" i="2" l="1"/>
  <c r="AD3700" i="2"/>
  <c r="AD3688" i="2"/>
  <c r="AD3694" i="2" s="1"/>
  <c r="AD3689" i="2"/>
  <c r="AD3663" i="2"/>
  <c r="AD3676" i="2"/>
  <c r="AD3664" i="2" l="1"/>
  <c r="AD3665" i="2" s="1"/>
  <c r="AD3668" i="2" s="1"/>
  <c r="AE3669" i="2" s="1"/>
  <c r="AD3703" i="2"/>
  <c r="AD3702" i="2"/>
  <c r="AD3708" i="2" s="1"/>
  <c r="AD3714" i="2"/>
  <c r="AF3711" i="2"/>
  <c r="AD3677" i="2"/>
  <c r="AD3690" i="2"/>
  <c r="AD3678" i="2" l="1"/>
  <c r="AD3679" i="2" s="1"/>
  <c r="AD3682" i="2" s="1"/>
  <c r="AE3683" i="2" s="1"/>
  <c r="AD3717" i="2"/>
  <c r="AF3725" i="2"/>
  <c r="AD3716" i="2"/>
  <c r="AD3728" i="2"/>
  <c r="AD3691" i="2"/>
  <c r="AD3704" i="2"/>
  <c r="AD3718" i="2" l="1"/>
  <c r="AD3719" i="2" s="1"/>
  <c r="AD3722" i="2"/>
  <c r="AD3692" i="2"/>
  <c r="AD3693" i="2" s="1"/>
  <c r="AD3696" i="2" s="1"/>
  <c r="AE3697" i="2" s="1"/>
  <c r="AD3705" i="2"/>
  <c r="AD3742" i="2"/>
  <c r="AD3731" i="2"/>
  <c r="AF3739" i="2"/>
  <c r="AD3730" i="2"/>
  <c r="AD3720" i="2" l="1"/>
  <c r="AD3721" i="2" s="1"/>
  <c r="AD3724" i="2" s="1"/>
  <c r="AE3725" i="2" s="1"/>
  <c r="AD3756" i="2"/>
  <c r="AD3745" i="2"/>
  <c r="AF3753" i="2"/>
  <c r="AD3744" i="2"/>
  <c r="AD3750" i="2" s="1"/>
  <c r="AD3706" i="2"/>
  <c r="AD3707" i="2" s="1"/>
  <c r="AD3710" i="2" s="1"/>
  <c r="AE3711" i="2" s="1"/>
  <c r="AD3732" i="2"/>
  <c r="AD3736" i="2"/>
  <c r="AD3746" i="2" l="1"/>
  <c r="AD3747" i="2" s="1"/>
  <c r="AD3733" i="2"/>
  <c r="AD3759" i="2"/>
  <c r="AF3767" i="2"/>
  <c r="AD3758" i="2"/>
  <c r="AD3764" i="2" s="1"/>
  <c r="AD3770" i="2"/>
  <c r="AD3734" i="2" l="1"/>
  <c r="AD3735" i="2" s="1"/>
  <c r="AD3738" i="2" s="1"/>
  <c r="AE3739" i="2" s="1"/>
  <c r="AD3772" i="2"/>
  <c r="AD3778" i="2" s="1"/>
  <c r="AD3784" i="2"/>
  <c r="AF3781" i="2"/>
  <c r="AD3773" i="2"/>
  <c r="AD3748" i="2"/>
  <c r="AD3749" i="2" s="1"/>
  <c r="AD3752" i="2" s="1"/>
  <c r="AE3753" i="2" s="1"/>
  <c r="AD3760" i="2"/>
  <c r="AD3761" i="2" l="1"/>
  <c r="AD3798" i="2"/>
  <c r="AF3795" i="2"/>
  <c r="AD3787" i="2"/>
  <c r="AD3786" i="2"/>
  <c r="AD3774" i="2"/>
  <c r="AD3800" i="2" l="1"/>
  <c r="AD3801" i="2"/>
  <c r="AF3809" i="2"/>
  <c r="AD3812" i="2"/>
  <c r="AD3788" i="2"/>
  <c r="AD3762" i="2"/>
  <c r="AD3763" i="2" s="1"/>
  <c r="AD3766" i="2" s="1"/>
  <c r="AE3767" i="2" s="1"/>
  <c r="AD3775" i="2"/>
  <c r="AD3792" i="2"/>
  <c r="AD3802" i="2" l="1"/>
  <c r="AD3803" i="2" s="1"/>
  <c r="AD3789" i="2"/>
  <c r="AD3776" i="2"/>
  <c r="AD3777" i="2" s="1"/>
  <c r="AD3780" i="2" s="1"/>
  <c r="AE3781" i="2" s="1"/>
  <c r="AD3826" i="2"/>
  <c r="AD3815" i="2"/>
  <c r="AD3814" i="2"/>
  <c r="AD3820" i="2" s="1"/>
  <c r="AF3823" i="2"/>
  <c r="AD3806" i="2"/>
  <c r="AD3840" i="2" l="1"/>
  <c r="AF3837" i="2"/>
  <c r="AD3829" i="2"/>
  <c r="AD3828" i="2"/>
  <c r="AD3834" i="2" s="1"/>
  <c r="AD3790" i="2"/>
  <c r="AD3791" i="2" s="1"/>
  <c r="AD3794" i="2" s="1"/>
  <c r="AE3795" i="2" s="1"/>
  <c r="AD3804" i="2"/>
  <c r="AD3805" i="2" s="1"/>
  <c r="AD3808" i="2" s="1"/>
  <c r="AE3809" i="2" s="1"/>
  <c r="AD3816" i="2"/>
  <c r="AD3817" i="2" l="1"/>
  <c r="AD3842" i="2"/>
  <c r="AD3848" i="2" s="1"/>
  <c r="AF3851" i="2"/>
  <c r="AD3854" i="2"/>
  <c r="AD3843" i="2"/>
  <c r="AD3830" i="2"/>
  <c r="AD3868" i="2" l="1"/>
  <c r="AF3865" i="2"/>
  <c r="AD3856" i="2"/>
  <c r="AD3862" i="2" s="1"/>
  <c r="AD3857" i="2"/>
  <c r="AD3818" i="2"/>
  <c r="AD3819" i="2" s="1"/>
  <c r="AD3822" i="2" s="1"/>
  <c r="AE3823" i="2" s="1"/>
  <c r="AD3831" i="2"/>
  <c r="AD3844" i="2"/>
  <c r="AD3845" i="2" l="1"/>
  <c r="AD3882" i="2"/>
  <c r="AD3870" i="2"/>
  <c r="AD3876" i="2" s="1"/>
  <c r="AF3879" i="2"/>
  <c r="AD3871" i="2"/>
  <c r="AD3832" i="2"/>
  <c r="AD3833" i="2" s="1"/>
  <c r="AD3836" i="2" s="1"/>
  <c r="AE3837" i="2" s="1"/>
  <c r="AD3858" i="2"/>
  <c r="AD3846" i="2" l="1"/>
  <c r="AD3847" i="2" s="1"/>
  <c r="AD3850" i="2" s="1"/>
  <c r="AE3851" i="2" s="1"/>
  <c r="AD3884" i="2"/>
  <c r="AD3885" i="2"/>
  <c r="AD3896" i="2"/>
  <c r="AF3893" i="2"/>
  <c r="AD3859" i="2"/>
  <c r="AD3872" i="2"/>
  <c r="AD3873" i="2" l="1"/>
  <c r="AD3886" i="2"/>
  <c r="AD3910" i="2"/>
  <c r="AF3907" i="2"/>
  <c r="AD3898" i="2"/>
  <c r="AD3899" i="2"/>
  <c r="AD3860" i="2"/>
  <c r="AD3861" i="2" s="1"/>
  <c r="AD3864" i="2" s="1"/>
  <c r="AE3865" i="2" s="1"/>
  <c r="AD3890" i="2"/>
  <c r="AD3900" i="2" l="1"/>
  <c r="AD3904" i="2"/>
  <c r="AD3874" i="2"/>
  <c r="AD3875" i="2" s="1"/>
  <c r="AD3878" i="2" s="1"/>
  <c r="AE3879" i="2" s="1"/>
  <c r="AD3887" i="2"/>
  <c r="AF3921" i="2"/>
  <c r="AD3924" i="2"/>
  <c r="AD3912" i="2"/>
  <c r="AD3913" i="2"/>
  <c r="AD3914" i="2" l="1"/>
  <c r="AD3901" i="2"/>
  <c r="AD3902" i="2" s="1"/>
  <c r="AD3903" i="2" s="1"/>
  <c r="AD3888" i="2"/>
  <c r="AD3889" i="2" s="1"/>
  <c r="AD3892" i="2" s="1"/>
  <c r="AE3893" i="2" s="1"/>
  <c r="AD3938" i="2"/>
  <c r="AF3935" i="2"/>
  <c r="AD3926" i="2"/>
  <c r="AD3932" i="2" s="1"/>
  <c r="AD3927" i="2"/>
  <c r="AD3918" i="2"/>
  <c r="AD3915" i="2" l="1"/>
  <c r="AD3916" i="2" s="1"/>
  <c r="AD3917" i="2" s="1"/>
  <c r="AD3906" i="2"/>
  <c r="AE3907" i="2" s="1"/>
  <c r="AD3928" i="2"/>
  <c r="AD3940" i="2"/>
  <c r="AD3941" i="2"/>
  <c r="AD3952" i="2"/>
  <c r="AF3949" i="2"/>
  <c r="AD3920" i="2" l="1"/>
  <c r="AE3921" i="2" s="1"/>
  <c r="AD3942" i="2"/>
  <c r="AD3943" i="2" s="1"/>
  <c r="AD3946" i="2"/>
  <c r="AD3929" i="2"/>
  <c r="AD3954" i="2"/>
  <c r="AD3966" i="2"/>
  <c r="AD3955" i="2"/>
  <c r="AF3963" i="2"/>
  <c r="AD3956" i="2" l="1"/>
  <c r="AD3969" i="2"/>
  <c r="AF3977" i="2"/>
  <c r="AD3968" i="2"/>
  <c r="AD3980" i="2"/>
  <c r="AD3930" i="2"/>
  <c r="AD3931" i="2" s="1"/>
  <c r="AD3934" i="2" s="1"/>
  <c r="AE3935" i="2" s="1"/>
  <c r="AD3944" i="2"/>
  <c r="AD3945" i="2" s="1"/>
  <c r="AD3948" i="2" s="1"/>
  <c r="AE3949" i="2" s="1"/>
  <c r="AD3960" i="2"/>
  <c r="AD3970" i="2" l="1"/>
  <c r="AD3971" i="2" s="1"/>
  <c r="AD3957" i="2"/>
  <c r="AD3983" i="2"/>
  <c r="AD3982" i="2"/>
  <c r="AD3988" i="2" s="1"/>
  <c r="AD3994" i="2"/>
  <c r="AF3991" i="2"/>
  <c r="AD3974" i="2"/>
  <c r="AD3958" i="2" l="1"/>
  <c r="AD3959" i="2" s="1"/>
  <c r="AD3962" i="2" s="1"/>
  <c r="AE3963" i="2" s="1"/>
  <c r="AD3984" i="2"/>
  <c r="AD3985" i="2" s="1"/>
  <c r="AD4008" i="2"/>
  <c r="AF4005" i="2"/>
  <c r="AD3997" i="2"/>
  <c r="AD3996" i="2"/>
  <c r="AD3972" i="2"/>
  <c r="AD3973" i="2" s="1"/>
  <c r="AD3976" i="2" s="1"/>
  <c r="AE3977" i="2" s="1"/>
  <c r="AD3998" i="2" l="1"/>
  <c r="AF4019" i="2"/>
  <c r="AD4011" i="2"/>
  <c r="AD4010" i="2"/>
  <c r="AD4016" i="2" s="1"/>
  <c r="AD4022" i="2"/>
  <c r="AD4002" i="2"/>
  <c r="AD3986" i="2"/>
  <c r="AD3987" i="2" s="1"/>
  <c r="AD3990" i="2" s="1"/>
  <c r="AE3991" i="2" s="1"/>
  <c r="AD3999" i="2" l="1"/>
  <c r="AF4033" i="2"/>
  <c r="AD4036" i="2"/>
  <c r="AD4024" i="2"/>
  <c r="AD4030" i="2" s="1"/>
  <c r="AD4025" i="2"/>
  <c r="AD4012" i="2"/>
  <c r="AD4000" i="2" l="1"/>
  <c r="AD4001" i="2" s="1"/>
  <c r="AD4004" i="2" s="1"/>
  <c r="AE4005" i="2" s="1"/>
  <c r="AD4038" i="2"/>
  <c r="AD4044" i="2" s="1"/>
  <c r="AD4050" i="2"/>
  <c r="AF4047" i="2"/>
  <c r="AD4039" i="2"/>
  <c r="AD4013" i="2"/>
  <c r="AD4026" i="2"/>
  <c r="AD4040" i="2" l="1"/>
  <c r="AD4014" i="2"/>
  <c r="AD4015" i="2" s="1"/>
  <c r="AD4018" i="2" s="1"/>
  <c r="AE4019" i="2" s="1"/>
  <c r="AD4052" i="2"/>
  <c r="AF4061" i="2"/>
  <c r="AD4053" i="2"/>
  <c r="AD4064" i="2"/>
  <c r="AD4027" i="2"/>
  <c r="AD4041" i="2" l="1"/>
  <c r="AD4054" i="2"/>
  <c r="AD4028" i="2"/>
  <c r="AD4029" i="2" s="1"/>
  <c r="AD4032" i="2" s="1"/>
  <c r="AE4033" i="2" s="1"/>
  <c r="AD4066" i="2"/>
  <c r="AD4067" i="2"/>
  <c r="AF4075" i="2"/>
  <c r="AD4078" i="2"/>
  <c r="AD4058" i="2"/>
  <c r="AD4068" i="2" l="1"/>
  <c r="AD4072" i="2"/>
  <c r="AD4055" i="2"/>
  <c r="AD4081" i="2"/>
  <c r="AD4080" i="2"/>
  <c r="AD4092" i="2"/>
  <c r="AF4089" i="2"/>
  <c r="AD4042" i="2"/>
  <c r="AD4043" i="2" s="1"/>
  <c r="AD4046" i="2" s="1"/>
  <c r="AE4047" i="2" s="1"/>
  <c r="AD4069" i="2" l="1"/>
  <c r="AD4070" i="2" s="1"/>
  <c r="AD4071" i="2" s="1"/>
  <c r="AD4056" i="2"/>
  <c r="AD4057" i="2" s="1"/>
  <c r="AD4060" i="2" s="1"/>
  <c r="AE4061" i="2" s="1"/>
  <c r="AD4106" i="2"/>
  <c r="AF4103" i="2"/>
  <c r="AD4095" i="2"/>
  <c r="AD4094" i="2"/>
  <c r="AD4100" i="2" s="1"/>
  <c r="AD4086" i="2"/>
  <c r="AD4082" i="2"/>
  <c r="AD4074" i="2" l="1"/>
  <c r="AE4075" i="2" s="1"/>
  <c r="AD4120" i="2"/>
  <c r="AF4117" i="2"/>
  <c r="AD4109" i="2"/>
  <c r="AD4108" i="2"/>
  <c r="AD4083" i="2"/>
  <c r="AD4096" i="2"/>
  <c r="AD4110" i="2" l="1"/>
  <c r="AD4111" i="2" s="1"/>
  <c r="AD4084" i="2"/>
  <c r="AD4085" i="2" s="1"/>
  <c r="AD4088" i="2" s="1"/>
  <c r="AE4089" i="2" s="1"/>
  <c r="AD4134" i="2"/>
  <c r="AD4122" i="2"/>
  <c r="AD4123" i="2"/>
  <c r="AF4131" i="2"/>
  <c r="AD4097" i="2"/>
  <c r="AD4114" i="2"/>
  <c r="AD4124" i="2" l="1"/>
  <c r="AF4145" i="2"/>
  <c r="AD4137" i="2"/>
  <c r="AD4136" i="2"/>
  <c r="AD4148" i="2"/>
  <c r="AD4112" i="2"/>
  <c r="AD4113" i="2" s="1"/>
  <c r="AD4116" i="2" s="1"/>
  <c r="AE4117" i="2" s="1"/>
  <c r="AD4098" i="2"/>
  <c r="AD4099" i="2" s="1"/>
  <c r="AD4102" i="2" s="1"/>
  <c r="AE4103" i="2" s="1"/>
  <c r="AD4128" i="2"/>
  <c r="AD4125" i="2" l="1"/>
  <c r="AD4126" i="2" s="1"/>
  <c r="AD4127" i="2" s="1"/>
  <c r="AD4138" i="2"/>
  <c r="AD4139" i="2" s="1"/>
  <c r="AD4142" i="2"/>
  <c r="AD4162" i="2"/>
  <c r="AF4159" i="2"/>
  <c r="AD4150" i="2"/>
  <c r="AD4151" i="2"/>
  <c r="AD4130" i="2" l="1"/>
  <c r="AE4131" i="2" s="1"/>
  <c r="AD4152" i="2"/>
  <c r="AD4140" i="2"/>
  <c r="AD4141" i="2" s="1"/>
  <c r="AD4144" i="2" s="1"/>
  <c r="AE4145" i="2" s="1"/>
  <c r="AD4164" i="2"/>
  <c r="AD4170" i="2" s="1"/>
  <c r="AD4176" i="2"/>
  <c r="AF4173" i="2"/>
  <c r="AD4165" i="2"/>
  <c r="AD4156" i="2"/>
  <c r="AD4153" i="2" l="1"/>
  <c r="AD4178" i="2"/>
  <c r="AD4184" i="2" s="1"/>
  <c r="AF4187" i="2"/>
  <c r="AD4190" i="2"/>
  <c r="AD4179" i="2"/>
  <c r="AD4166" i="2"/>
  <c r="AD4154" i="2" l="1"/>
  <c r="AD4155" i="2" s="1"/>
  <c r="AD4158" i="2" s="1"/>
  <c r="AE4159" i="2" s="1"/>
  <c r="AD4192" i="2"/>
  <c r="AD4198" i="2" s="1"/>
  <c r="AD4204" i="2"/>
  <c r="AF4201" i="2"/>
  <c r="AD4193" i="2"/>
  <c r="AD4167" i="2"/>
  <c r="AD4180" i="2"/>
  <c r="AD4168" i="2" l="1"/>
  <c r="AD4169" i="2" s="1"/>
  <c r="AD4172" i="2" s="1"/>
  <c r="AE4173" i="2" s="1"/>
  <c r="AD4207" i="2"/>
  <c r="AD4206" i="2"/>
  <c r="AD4212" i="2" s="1"/>
  <c r="AF4215" i="2"/>
  <c r="AD4218" i="2"/>
  <c r="AD4181" i="2"/>
  <c r="AD4194" i="2"/>
  <c r="AD4195" i="2" l="1"/>
  <c r="AD4182" i="2"/>
  <c r="AD4183" i="2" s="1"/>
  <c r="AD4186" i="2" s="1"/>
  <c r="AE4187" i="2" s="1"/>
  <c r="AD4221" i="2"/>
  <c r="AD4232" i="2"/>
  <c r="AD4220" i="2"/>
  <c r="AD4226" i="2" s="1"/>
  <c r="AF4229" i="2"/>
  <c r="AD4208" i="2"/>
  <c r="AD4222" i="2" l="1"/>
  <c r="AD4209" i="2"/>
  <c r="AD4246" i="2"/>
  <c r="AD4235" i="2"/>
  <c r="AF4243" i="2"/>
  <c r="AD4234" i="2"/>
  <c r="AD4196" i="2"/>
  <c r="AD4197" i="2" s="1"/>
  <c r="AD4200" i="2" s="1"/>
  <c r="AE4201" i="2" s="1"/>
  <c r="AD4223" i="2" l="1"/>
  <c r="AD4210" i="2"/>
  <c r="AD4211" i="2" s="1"/>
  <c r="AD4214" i="2" s="1"/>
  <c r="AE4215" i="2" s="1"/>
  <c r="AF4257" i="2"/>
  <c r="AD4248" i="2"/>
  <c r="AD4260" i="2"/>
  <c r="AD4249" i="2"/>
  <c r="AD4236" i="2"/>
  <c r="AD4240" i="2"/>
  <c r="AD4224" i="2" l="1"/>
  <c r="AD4225" i="2" s="1"/>
  <c r="AD4228" i="2" s="1"/>
  <c r="AE4229" i="2" s="1"/>
  <c r="AD4250" i="2"/>
  <c r="AD4251" i="2" s="1"/>
  <c r="AD4254" i="2"/>
  <c r="AD4237" i="2"/>
  <c r="AD4274" i="2"/>
  <c r="AD4262" i="2"/>
  <c r="AD4268" i="2" s="1"/>
  <c r="AF4271" i="2"/>
  <c r="AD4263" i="2"/>
  <c r="AD4264" i="2" l="1"/>
  <c r="AD4265" i="2" s="1"/>
  <c r="AF4285" i="2"/>
  <c r="AD4277" i="2"/>
  <c r="AD4276" i="2"/>
  <c r="AD4282" i="2" s="1"/>
  <c r="AD4288" i="2"/>
  <c r="AD4238" i="2"/>
  <c r="AD4239" i="2" s="1"/>
  <c r="AD4242" i="2" s="1"/>
  <c r="AE4243" i="2" s="1"/>
  <c r="AD4252" i="2"/>
  <c r="AD4253" i="2" s="1"/>
  <c r="AD4256" i="2" s="1"/>
  <c r="AE4257" i="2" s="1"/>
  <c r="AD4266" i="2" l="1"/>
  <c r="AD4267" i="2" s="1"/>
  <c r="AD4270" i="2" s="1"/>
  <c r="AE4271" i="2" s="1"/>
  <c r="AF4299" i="2"/>
  <c r="AD4290" i="2"/>
  <c r="AD4302" i="2"/>
  <c r="AD4291" i="2"/>
  <c r="AD4278" i="2"/>
  <c r="AD4292" i="2" l="1"/>
  <c r="AD4304" i="2"/>
  <c r="AD4310" i="2" s="1"/>
  <c r="AF4313" i="2"/>
  <c r="AD4316" i="2"/>
  <c r="AD4305" i="2"/>
  <c r="AD4279" i="2"/>
  <c r="AD4296" i="2"/>
  <c r="AD4293" i="2" l="1"/>
  <c r="AD4330" i="2"/>
  <c r="AF4327" i="2"/>
  <c r="AD4318" i="2"/>
  <c r="AD4319" i="2"/>
  <c r="AD4280" i="2"/>
  <c r="AD4281" i="2" s="1"/>
  <c r="AD4284" i="2" s="1"/>
  <c r="AE4285" i="2" s="1"/>
  <c r="AD4306" i="2"/>
  <c r="AD4320" i="2" l="1"/>
  <c r="AD4324" i="2"/>
  <c r="AD4294" i="2"/>
  <c r="AD4295" i="2" s="1"/>
  <c r="AD4298" i="2" s="1"/>
  <c r="AE4299" i="2" s="1"/>
  <c r="AD4332" i="2"/>
  <c r="AD4344" i="2"/>
  <c r="AF4341" i="2"/>
  <c r="AD4333" i="2"/>
  <c r="AD4307" i="2"/>
  <c r="AD4321" i="2" l="1"/>
  <c r="AD4322" i="2" s="1"/>
  <c r="AD4323" i="2" s="1"/>
  <c r="AD4334" i="2"/>
  <c r="AD4347" i="2"/>
  <c r="AD4358" i="2"/>
  <c r="AF4355" i="2"/>
  <c r="AD4346" i="2"/>
  <c r="AD4352" i="2" s="1"/>
  <c r="AD4308" i="2"/>
  <c r="AD4309" i="2" s="1"/>
  <c r="AD4312" i="2" s="1"/>
  <c r="AE4313" i="2" s="1"/>
  <c r="AD4338" i="2"/>
  <c r="AD4326" i="2" l="1"/>
  <c r="AE4327" i="2" s="1"/>
  <c r="AD4335" i="2"/>
  <c r="AD4348" i="2"/>
  <c r="AD4372" i="2"/>
  <c r="AD4361" i="2"/>
  <c r="AF4369" i="2"/>
  <c r="AD4360" i="2"/>
  <c r="AD4366" i="2" s="1"/>
  <c r="AD4336" i="2" l="1"/>
  <c r="AD4337" i="2" s="1"/>
  <c r="AD4340" i="2" s="1"/>
  <c r="AE4341" i="2" s="1"/>
  <c r="AD4349" i="2"/>
  <c r="AD4386" i="2"/>
  <c r="AD4374" i="2"/>
  <c r="AF4383" i="2"/>
  <c r="AD4375" i="2"/>
  <c r="AD4362" i="2"/>
  <c r="AD4376" i="2" l="1"/>
  <c r="AD4377" i="2" s="1"/>
  <c r="AD4380" i="2"/>
  <c r="AD4388" i="2"/>
  <c r="AD4394" i="2" s="1"/>
  <c r="AD4389" i="2"/>
  <c r="AD4400" i="2"/>
  <c r="AF4397" i="2"/>
  <c r="AD4363" i="2"/>
  <c r="AD4350" i="2"/>
  <c r="AD4351" i="2" s="1"/>
  <c r="AD4354" i="2" s="1"/>
  <c r="AE4355" i="2" s="1"/>
  <c r="AD4390" i="2" l="1"/>
  <c r="AD4364" i="2"/>
  <c r="AD4365" i="2" s="1"/>
  <c r="AD4368" i="2" s="1"/>
  <c r="AE4369" i="2" s="1"/>
  <c r="AD4414" i="2"/>
  <c r="AD4403" i="2"/>
  <c r="AF4411" i="2"/>
  <c r="AD4402" i="2"/>
  <c r="AD4408" i="2" s="1"/>
  <c r="AD4378" i="2"/>
  <c r="AD4379" i="2" s="1"/>
  <c r="AD4382" i="2" s="1"/>
  <c r="AE4383" i="2" s="1"/>
  <c r="AD4391" i="2" l="1"/>
  <c r="AD4416" i="2"/>
  <c r="AF4425" i="2"/>
  <c r="AD4428" i="2"/>
  <c r="AD4417" i="2"/>
  <c r="AD4404" i="2"/>
  <c r="AD4430" i="2" l="1"/>
  <c r="AD4436" i="2" s="1"/>
  <c r="AD4431" i="2"/>
  <c r="AD4442" i="2"/>
  <c r="AF4439" i="2"/>
  <c r="AD4392" i="2"/>
  <c r="AD4393" i="2" s="1"/>
  <c r="AD4396" i="2" s="1"/>
  <c r="AE4397" i="2" s="1"/>
  <c r="AD4405" i="2"/>
  <c r="AD4422" i="2"/>
  <c r="AD4418" i="2"/>
  <c r="AD4406" i="2" l="1"/>
  <c r="AD4407" i="2" s="1"/>
  <c r="AD4410" i="2" s="1"/>
  <c r="AE4411" i="2" s="1"/>
  <c r="AD4432" i="2"/>
  <c r="AD4419" i="2"/>
  <c r="AD4456" i="2"/>
  <c r="AD4445" i="2"/>
  <c r="AD4444" i="2"/>
  <c r="AF4453" i="2"/>
  <c r="AD4446" i="2" l="1"/>
  <c r="AD4433" i="2"/>
  <c r="AD4450" i="2"/>
  <c r="AD4458" i="2"/>
  <c r="AD4459" i="2"/>
  <c r="AD4470" i="2"/>
  <c r="AF4467" i="2"/>
  <c r="AD4420" i="2"/>
  <c r="AD4421" i="2" s="1"/>
  <c r="AD4424" i="2" s="1"/>
  <c r="AE4425" i="2" s="1"/>
  <c r="AD4460" i="2" l="1"/>
  <c r="AD4461" i="2" s="1"/>
  <c r="AD4464" i="2"/>
  <c r="AD4447" i="2"/>
  <c r="AD4448" i="2" s="1"/>
  <c r="AD4449" i="2" s="1"/>
  <c r="AD4434" i="2"/>
  <c r="AD4435" i="2" s="1"/>
  <c r="AD4438" i="2" s="1"/>
  <c r="AE4439" i="2" s="1"/>
  <c r="AD4472" i="2"/>
  <c r="AF4481" i="2"/>
  <c r="AD4484" i="2"/>
  <c r="AD4473" i="2"/>
  <c r="AD4452" i="2" l="1"/>
  <c r="AE4453" i="2" s="1"/>
  <c r="AD4462" i="2"/>
  <c r="AD4463" i="2" s="1"/>
  <c r="AD4466" i="2" s="1"/>
  <c r="AE4467" i="2" s="1"/>
  <c r="AD4486" i="2"/>
  <c r="AD4498" i="2"/>
  <c r="AF4495" i="2"/>
  <c r="AD4487" i="2"/>
  <c r="AD4474" i="2"/>
  <c r="AD4478" i="2"/>
  <c r="AD4488" i="2" l="1"/>
  <c r="AD4500" i="2"/>
  <c r="AD4501" i="2"/>
  <c r="AD4512" i="2"/>
  <c r="AF4509" i="2"/>
  <c r="AD4475" i="2"/>
  <c r="AD4492" i="2"/>
  <c r="AD4502" i="2" l="1"/>
  <c r="AD4476" i="2"/>
  <c r="AD4477" i="2" s="1"/>
  <c r="AD4480" i="2" s="1"/>
  <c r="AE4481" i="2" s="1"/>
  <c r="AD4515" i="2"/>
  <c r="AF4523" i="2"/>
  <c r="AD4514" i="2"/>
  <c r="AD4526" i="2"/>
  <c r="AD4489" i="2"/>
  <c r="AD4506" i="2"/>
  <c r="AD4516" i="2" l="1"/>
  <c r="AD4517" i="2" s="1"/>
  <c r="AD4503" i="2"/>
  <c r="AD4490" i="2"/>
  <c r="AD4491" i="2" s="1"/>
  <c r="AD4494" i="2" s="1"/>
  <c r="AE4495" i="2" s="1"/>
  <c r="AF4537" i="2"/>
  <c r="AD4540" i="2"/>
  <c r="AD4528" i="2"/>
  <c r="AD4529" i="2"/>
  <c r="AD4520" i="2"/>
  <c r="AD4504" i="2" l="1"/>
  <c r="AD4505" i="2" s="1"/>
  <c r="AD4508" i="2" s="1"/>
  <c r="AE4509" i="2" s="1"/>
  <c r="AD4530" i="2"/>
  <c r="AD4531" i="2" s="1"/>
  <c r="AD4518" i="2"/>
  <c r="AD4519" i="2" s="1"/>
  <c r="AD4522" i="2" s="1"/>
  <c r="AE4523" i="2" s="1"/>
  <c r="AD4534" i="2"/>
  <c r="AD4554" i="2"/>
  <c r="AF4551" i="2"/>
  <c r="AD4543" i="2"/>
  <c r="AD4542" i="2"/>
  <c r="AD4544" i="2" l="1"/>
  <c r="AD4545" i="2" s="1"/>
  <c r="AD4532" i="2"/>
  <c r="AD4533" i="2" s="1"/>
  <c r="AD4536" i="2" s="1"/>
  <c r="AE4537" i="2" s="1"/>
  <c r="AD4556" i="2"/>
  <c r="AD4568" i="2"/>
  <c r="AF4565" i="2"/>
  <c r="AD4557" i="2"/>
  <c r="AD4548" i="2"/>
  <c r="AD4562" i="2" l="1"/>
  <c r="AD4558" i="2"/>
  <c r="AD4571" i="2"/>
  <c r="AD4582" i="2"/>
  <c r="AF4579" i="2"/>
  <c r="AD4570" i="2"/>
  <c r="AD4546" i="2"/>
  <c r="AD4547" i="2" s="1"/>
  <c r="AD4550" i="2" s="1"/>
  <c r="AE4551" i="2" s="1"/>
  <c r="AD4572" i="2" l="1"/>
  <c r="AD4559" i="2"/>
  <c r="AD4584" i="2"/>
  <c r="AD4596" i="2"/>
  <c r="AD4585" i="2"/>
  <c r="AF4593" i="2"/>
  <c r="AD4576" i="2"/>
  <c r="AD4573" i="2" l="1"/>
  <c r="AD4590" i="2"/>
  <c r="AD4586" i="2"/>
  <c r="AD4598" i="2"/>
  <c r="AD4604" i="2" s="1"/>
  <c r="AD4610" i="2"/>
  <c r="AF4607" i="2"/>
  <c r="AD4599" i="2"/>
  <c r="AD4560" i="2"/>
  <c r="AD4561" i="2" s="1"/>
  <c r="AD4564" i="2" s="1"/>
  <c r="AE4565" i="2" s="1"/>
  <c r="AD4574" i="2" l="1"/>
  <c r="AD4575" i="2" s="1"/>
  <c r="AD4578" i="2" s="1"/>
  <c r="AE4579" i="2" s="1"/>
  <c r="AD4587" i="2"/>
  <c r="AD4612" i="2"/>
  <c r="AD4618" i="2" s="1"/>
  <c r="AD4613" i="2"/>
  <c r="AD4624" i="2"/>
  <c r="AF4621" i="2"/>
  <c r="AD4600" i="2"/>
  <c r="AD4614" i="2" l="1"/>
  <c r="AD4615" i="2" s="1"/>
  <c r="AD4588" i="2"/>
  <c r="AD4589" i="2" s="1"/>
  <c r="AD4592" i="2" s="1"/>
  <c r="AE4593" i="2" s="1"/>
  <c r="AD4626" i="2"/>
  <c r="AD4632" i="2" s="1"/>
  <c r="AD4638" i="2"/>
  <c r="AD4627" i="2"/>
  <c r="AF4635" i="2"/>
  <c r="AD4601" i="2"/>
  <c r="AD4616" i="2" l="1"/>
  <c r="AD4617" i="2" s="1"/>
  <c r="AD4620" i="2" s="1"/>
  <c r="AE4621" i="2" s="1"/>
  <c r="AD4602" i="2"/>
  <c r="AD4603" i="2" s="1"/>
  <c r="AD4606" i="2" s="1"/>
  <c r="AE4607" i="2" s="1"/>
  <c r="AD4652" i="2"/>
  <c r="AD4641" i="2"/>
  <c r="AF4649" i="2"/>
  <c r="AD4640" i="2"/>
  <c r="AD4646" i="2" s="1"/>
  <c r="AD4628" i="2"/>
  <c r="AF4663" i="2" l="1"/>
  <c r="AD4654" i="2"/>
  <c r="AD4660" i="2" s="1"/>
  <c r="AD4655" i="2"/>
  <c r="AD4629" i="2"/>
  <c r="AD4642" i="2"/>
  <c r="AD4656" i="2" l="1"/>
  <c r="AD4657" i="2" s="1"/>
  <c r="AD4630" i="2"/>
  <c r="AD4631" i="2" s="1"/>
  <c r="AD4634" i="2" s="1"/>
  <c r="AE4635" i="2" s="1"/>
  <c r="AD4643" i="2"/>
  <c r="AD4658" i="2" l="1"/>
  <c r="AD4659" i="2" s="1"/>
  <c r="AD4662" i="2" s="1"/>
  <c r="AE4663" i="2" s="1"/>
  <c r="AD4644" i="2"/>
  <c r="AD4645" i="2" s="1"/>
  <c r="AD4648" i="2" s="1"/>
  <c r="AE4649" i="2" s="1"/>
  <c r="AF18" i="2" l="1"/>
  <c r="AF20" i="2" s="1"/>
  <c r="AF19" i="2" l="1"/>
  <c r="AG33" i="2" l="1"/>
  <c r="AG36" i="2" s="1"/>
  <c r="L40" i="3"/>
  <c r="AG35" i="2" l="1"/>
  <c r="AG41" i="2" s="1"/>
  <c r="K44" i="3"/>
  <c r="K41" i="3" s="1"/>
  <c r="K40" i="3"/>
  <c r="J44" i="3" s="1"/>
  <c r="J41" i="3" s="1"/>
  <c r="AI44" i="2"/>
  <c r="AG46" i="2"/>
  <c r="AI57" i="2" s="1"/>
  <c r="AG60" i="2" l="1"/>
  <c r="AG74" i="2" s="1"/>
  <c r="AG88" i="2" s="1"/>
  <c r="AG48" i="2"/>
  <c r="AG54" i="2" s="1"/>
  <c r="AG49" i="2"/>
  <c r="AG37" i="2"/>
  <c r="AG38" i="2" s="1"/>
  <c r="AG39" i="2" s="1"/>
  <c r="AG40" i="2" s="1"/>
  <c r="AG43" i="2" s="1"/>
  <c r="AH44" i="2" s="1"/>
  <c r="AI71" i="2" l="1"/>
  <c r="AI85" i="2"/>
  <c r="AG76" i="2"/>
  <c r="AG82" i="2" s="1"/>
  <c r="AG77" i="2"/>
  <c r="AG62" i="2"/>
  <c r="AG68" i="2" s="1"/>
  <c r="AG63" i="2"/>
  <c r="AG50" i="2"/>
  <c r="AG51" i="2" s="1"/>
  <c r="AG52" i="2" s="1"/>
  <c r="AG53" i="2" s="1"/>
  <c r="AG56" i="2" s="1"/>
  <c r="AH57" i="2" s="1"/>
  <c r="AG91" i="2"/>
  <c r="AG102" i="2"/>
  <c r="AI99" i="2"/>
  <c r="AG90" i="2"/>
  <c r="AG78" i="2" l="1"/>
  <c r="AG79" i="2" s="1"/>
  <c r="AG80" i="2" s="1"/>
  <c r="AG81" i="2" s="1"/>
  <c r="AG84" i="2" s="1"/>
  <c r="AH85" i="2" s="1"/>
  <c r="AG64" i="2"/>
  <c r="AG65" i="2" s="1"/>
  <c r="AG66" i="2" s="1"/>
  <c r="AG67" i="2" s="1"/>
  <c r="AG92" i="2"/>
  <c r="AG93" i="2" s="1"/>
  <c r="AG94" i="2" s="1"/>
  <c r="AG95" i="2" s="1"/>
  <c r="AG116" i="2"/>
  <c r="AG104" i="2"/>
  <c r="AI113" i="2"/>
  <c r="AG105" i="2"/>
  <c r="AG96" i="2"/>
  <c r="AG70" i="2" l="1"/>
  <c r="AH71" i="2" s="1"/>
  <c r="AG98" i="2"/>
  <c r="AH99" i="2" s="1"/>
  <c r="AG106" i="2"/>
  <c r="AG107" i="2" s="1"/>
  <c r="AG108" i="2" s="1"/>
  <c r="AG109" i="2" s="1"/>
  <c r="AI127" i="2"/>
  <c r="AG130" i="2"/>
  <c r="AG119" i="2"/>
  <c r="AG118" i="2"/>
  <c r="AG124" i="2" s="1"/>
  <c r="AG110" i="2"/>
  <c r="AG112" i="2" l="1"/>
  <c r="AH113" i="2" s="1"/>
  <c r="AG133" i="2"/>
  <c r="AG132" i="2"/>
  <c r="AG144" i="2"/>
  <c r="AI141" i="2"/>
  <c r="AG120" i="2"/>
  <c r="AG121" i="2" s="1"/>
  <c r="AG122" i="2" l="1"/>
  <c r="AG123" i="2" s="1"/>
  <c r="AG126" i="2" s="1"/>
  <c r="AH127" i="2" s="1"/>
  <c r="AI155" i="2"/>
  <c r="AG147" i="2"/>
  <c r="AG146" i="2"/>
  <c r="AG158" i="2"/>
  <c r="AG134" i="2"/>
  <c r="AG135" i="2" s="1"/>
  <c r="AG138" i="2"/>
  <c r="AI169" i="2" l="1"/>
  <c r="AG161" i="2"/>
  <c r="AG160" i="2"/>
  <c r="AG166" i="2" s="1"/>
  <c r="AG172" i="2"/>
  <c r="AG148" i="2"/>
  <c r="AG149" i="2" s="1"/>
  <c r="AG150" i="2" s="1"/>
  <c r="AG151" i="2" s="1"/>
  <c r="AG136" i="2"/>
  <c r="AG137" i="2" s="1"/>
  <c r="AG140" i="2" s="1"/>
  <c r="AH141" i="2" s="1"/>
  <c r="AG152" i="2"/>
  <c r="AG154" i="2" l="1"/>
  <c r="AH155" i="2" s="1"/>
  <c r="AG174" i="2"/>
  <c r="AG180" i="2" s="1"/>
  <c r="AI183" i="2"/>
  <c r="AG175" i="2"/>
  <c r="AG186" i="2"/>
  <c r="AG162" i="2"/>
  <c r="AG163" i="2" s="1"/>
  <c r="AG164" i="2" s="1"/>
  <c r="AG165" i="2" s="1"/>
  <c r="AG168" i="2" s="1"/>
  <c r="AH169" i="2" s="1"/>
  <c r="AG176" i="2" l="1"/>
  <c r="AG177" i="2" s="1"/>
  <c r="AG178" i="2" s="1"/>
  <c r="AG179" i="2" s="1"/>
  <c r="AG189" i="2"/>
  <c r="AG200" i="2"/>
  <c r="AG188" i="2"/>
  <c r="AG194" i="2" s="1"/>
  <c r="AI197" i="2"/>
  <c r="AG182" i="2" l="1"/>
  <c r="AH183" i="2" s="1"/>
  <c r="AG203" i="2"/>
  <c r="AI211" i="2"/>
  <c r="AG214" i="2"/>
  <c r="AG202" i="2"/>
  <c r="AG208" i="2" s="1"/>
  <c r="AG190" i="2"/>
  <c r="AG191" i="2" s="1"/>
  <c r="AG192" i="2" s="1"/>
  <c r="AG193" i="2" s="1"/>
  <c r="AG196" i="2" s="1"/>
  <c r="AH197" i="2" s="1"/>
  <c r="AG217" i="2" l="1"/>
  <c r="AG228" i="2"/>
  <c r="AG216" i="2"/>
  <c r="AG222" i="2" s="1"/>
  <c r="AI225" i="2"/>
  <c r="AG204" i="2"/>
  <c r="AG205" i="2" s="1"/>
  <c r="AG206" i="2" s="1"/>
  <c r="AG207" i="2" s="1"/>
  <c r="AG210" i="2" s="1"/>
  <c r="AH211" i="2" s="1"/>
  <c r="AG230" i="2" l="1"/>
  <c r="AG236" i="2" s="1"/>
  <c r="AI239" i="2"/>
  <c r="AG231" i="2"/>
  <c r="AG242" i="2"/>
  <c r="AG218" i="2"/>
  <c r="AG219" i="2" s="1"/>
  <c r="AG220" i="2" s="1"/>
  <c r="AG221" i="2" s="1"/>
  <c r="AG224" i="2" s="1"/>
  <c r="AH225" i="2" s="1"/>
  <c r="AG232" i="2" l="1"/>
  <c r="AG233" i="2" s="1"/>
  <c r="AG234" i="2" s="1"/>
  <c r="AG235" i="2" s="1"/>
  <c r="AG238" i="2" s="1"/>
  <c r="AH239" i="2" s="1"/>
  <c r="AI253" i="2"/>
  <c r="AG244" i="2"/>
  <c r="AG245" i="2"/>
  <c r="AG256" i="2"/>
  <c r="AG246" i="2" l="1"/>
  <c r="AG247" i="2" s="1"/>
  <c r="AG248" i="2" s="1"/>
  <c r="AG249" i="2" s="1"/>
  <c r="AG250" i="2"/>
  <c r="AI267" i="2"/>
  <c r="AG259" i="2"/>
  <c r="AG258" i="2"/>
  <c r="AG270" i="2"/>
  <c r="AG252" i="2" l="1"/>
  <c r="AH253" i="2" s="1"/>
  <c r="AG273" i="2"/>
  <c r="AI281" i="2"/>
  <c r="AG272" i="2"/>
  <c r="AG278" i="2" s="1"/>
  <c r="AG284" i="2"/>
  <c r="AG260" i="2"/>
  <c r="AG261" i="2" s="1"/>
  <c r="AG264" i="2"/>
  <c r="AG262" i="2" l="1"/>
  <c r="AG263" i="2" s="1"/>
  <c r="AG266" i="2" s="1"/>
  <c r="AH267" i="2" s="1"/>
  <c r="AG298" i="2"/>
  <c r="AI295" i="2"/>
  <c r="AG286" i="2"/>
  <c r="AG287" i="2"/>
  <c r="AG274" i="2"/>
  <c r="AG275" i="2" s="1"/>
  <c r="AG276" i="2" s="1"/>
  <c r="AG277" i="2" s="1"/>
  <c r="AG280" i="2" s="1"/>
  <c r="AH281" i="2" s="1"/>
  <c r="AG288" i="2" l="1"/>
  <c r="AG289" i="2" s="1"/>
  <c r="AG290" i="2" s="1"/>
  <c r="AG291" i="2" s="1"/>
  <c r="AG292" i="2"/>
  <c r="AG301" i="2"/>
  <c r="AG312" i="2"/>
  <c r="AI309" i="2"/>
  <c r="AG300" i="2"/>
  <c r="AG294" i="2" l="1"/>
  <c r="AH295" i="2" s="1"/>
  <c r="AG302" i="2"/>
  <c r="AG303" i="2" s="1"/>
  <c r="AG304" i="2" s="1"/>
  <c r="AG305" i="2" s="1"/>
  <c r="AI323" i="2"/>
  <c r="AG315" i="2"/>
  <c r="AG314" i="2"/>
  <c r="AG326" i="2"/>
  <c r="AG306" i="2"/>
  <c r="AG308" i="2" l="1"/>
  <c r="AH309" i="2" s="1"/>
  <c r="AG316" i="2"/>
  <c r="AG317" i="2" s="1"/>
  <c r="AG318" i="2" s="1"/>
  <c r="AG319" i="2" s="1"/>
  <c r="AI337" i="2"/>
  <c r="AG328" i="2"/>
  <c r="AG334" i="2" s="1"/>
  <c r="AG340" i="2"/>
  <c r="AG329" i="2"/>
  <c r="AG320" i="2"/>
  <c r="AG322" i="2" l="1"/>
  <c r="AH323" i="2" s="1"/>
  <c r="AG330" i="2"/>
  <c r="AG331" i="2" s="1"/>
  <c r="AG332" i="2" s="1"/>
  <c r="AG333" i="2" s="1"/>
  <c r="AG336" i="2" s="1"/>
  <c r="AH337" i="2" s="1"/>
  <c r="AG343" i="2"/>
  <c r="AG342" i="2"/>
  <c r="AG348" i="2" s="1"/>
  <c r="AG354" i="2"/>
  <c r="AI351" i="2"/>
  <c r="AG368" i="2" l="1"/>
  <c r="AG356" i="2"/>
  <c r="AG357" i="2"/>
  <c r="AI365" i="2"/>
  <c r="AG344" i="2"/>
  <c r="AG345" i="2" s="1"/>
  <c r="AG358" i="2" l="1"/>
  <c r="AG359" i="2" s="1"/>
  <c r="AG360" i="2" s="1"/>
  <c r="AG361" i="2" s="1"/>
  <c r="AG362" i="2"/>
  <c r="AI379" i="2"/>
  <c r="AG382" i="2"/>
  <c r="AG370" i="2"/>
  <c r="AG376" i="2" s="1"/>
  <c r="AG371" i="2"/>
  <c r="AG346" i="2"/>
  <c r="AG347" i="2" s="1"/>
  <c r="AG350" i="2" s="1"/>
  <c r="AH351" i="2" s="1"/>
  <c r="AG364" i="2" l="1"/>
  <c r="AH365" i="2" s="1"/>
  <c r="AG385" i="2"/>
  <c r="AG396" i="2"/>
  <c r="AG384" i="2"/>
  <c r="AI393" i="2"/>
  <c r="AG372" i="2"/>
  <c r="AG373" i="2" s="1"/>
  <c r="AG374" i="2" s="1"/>
  <c r="AG375" i="2" s="1"/>
  <c r="AG378" i="2" s="1"/>
  <c r="AH379" i="2" s="1"/>
  <c r="AG386" i="2" l="1"/>
  <c r="AG387" i="2" s="1"/>
  <c r="AG388" i="2" s="1"/>
  <c r="AG389" i="2" s="1"/>
  <c r="AI407" i="2"/>
  <c r="AG399" i="2"/>
  <c r="AG410" i="2"/>
  <c r="AG398" i="2"/>
  <c r="AG404" i="2" s="1"/>
  <c r="AG390" i="2"/>
  <c r="AG392" i="2" l="1"/>
  <c r="AH393" i="2" s="1"/>
  <c r="AG412" i="2"/>
  <c r="AG418" i="2" s="1"/>
  <c r="AI421" i="2"/>
  <c r="AG413" i="2"/>
  <c r="AG424" i="2"/>
  <c r="AG400" i="2"/>
  <c r="AG401" i="2" s="1"/>
  <c r="AG414" i="2" l="1"/>
  <c r="AG415" i="2" s="1"/>
  <c r="AG416" i="2" s="1"/>
  <c r="AG417" i="2" s="1"/>
  <c r="AG420" i="2" s="1"/>
  <c r="AH421" i="2" s="1"/>
  <c r="AG402" i="2"/>
  <c r="AG403" i="2" s="1"/>
  <c r="AG406" i="2" s="1"/>
  <c r="AH407" i="2" s="1"/>
  <c r="AI435" i="2"/>
  <c r="AG427" i="2"/>
  <c r="AG438" i="2"/>
  <c r="AG426" i="2"/>
  <c r="AG432" i="2" s="1"/>
  <c r="AI449" i="2" l="1"/>
  <c r="AG440" i="2"/>
  <c r="AG441" i="2"/>
  <c r="AG452" i="2"/>
  <c r="AG428" i="2"/>
  <c r="AG429" i="2" s="1"/>
  <c r="AG430" i="2" s="1"/>
  <c r="AG431" i="2" s="1"/>
  <c r="AG434" i="2" s="1"/>
  <c r="AH435" i="2" s="1"/>
  <c r="AG442" i="2" l="1"/>
  <c r="AG443" i="2" s="1"/>
  <c r="AG444" i="2" s="1"/>
  <c r="AG445" i="2" s="1"/>
  <c r="AG446" i="2"/>
  <c r="AG466" i="2"/>
  <c r="AG455" i="2"/>
  <c r="AI463" i="2"/>
  <c r="AG454" i="2"/>
  <c r="AG448" i="2" l="1"/>
  <c r="AH449" i="2" s="1"/>
  <c r="AG456" i="2"/>
  <c r="AG457" i="2" s="1"/>
  <c r="AG458" i="2" s="1"/>
  <c r="AG459" i="2" s="1"/>
  <c r="AI477" i="2"/>
  <c r="AG469" i="2"/>
  <c r="AG480" i="2"/>
  <c r="AG468" i="2"/>
  <c r="AG460" i="2"/>
  <c r="AG462" i="2" l="1"/>
  <c r="AH463" i="2" s="1"/>
  <c r="AG470" i="2"/>
  <c r="AG471" i="2" s="1"/>
  <c r="AG472" i="2" s="1"/>
  <c r="AG473" i="2" s="1"/>
  <c r="AI491" i="2"/>
  <c r="AG483" i="2"/>
  <c r="AG494" i="2"/>
  <c r="AG482" i="2"/>
  <c r="AG474" i="2"/>
  <c r="AG484" i="2" l="1"/>
  <c r="AG485" i="2" s="1"/>
  <c r="AG486" i="2" s="1"/>
  <c r="AG487" i="2" s="1"/>
  <c r="AG476" i="2"/>
  <c r="AH477" i="2" s="1"/>
  <c r="AI505" i="2"/>
  <c r="AG497" i="2"/>
  <c r="AG508" i="2"/>
  <c r="AG496" i="2"/>
  <c r="AG488" i="2"/>
  <c r="AG490" i="2" l="1"/>
  <c r="AH491" i="2" s="1"/>
  <c r="AG498" i="2"/>
  <c r="AG499" i="2" s="1"/>
  <c r="AG500" i="2" s="1"/>
  <c r="AG501" i="2" s="1"/>
  <c r="AG504" i="2" s="1"/>
  <c r="AH505" i="2" s="1"/>
  <c r="AG502" i="2"/>
  <c r="AI519" i="2"/>
  <c r="AG511" i="2"/>
  <c r="AG522" i="2"/>
  <c r="AG510" i="2"/>
  <c r="AG512" i="2" l="1"/>
  <c r="AG513" i="2" s="1"/>
  <c r="AG514" i="2" s="1"/>
  <c r="AG515" i="2" s="1"/>
  <c r="AG524" i="2"/>
  <c r="AI533" i="2"/>
  <c r="AG525" i="2"/>
  <c r="AG536" i="2"/>
  <c r="AG516" i="2"/>
  <c r="AG518" i="2" l="1"/>
  <c r="AH519" i="2" s="1"/>
  <c r="AG526" i="2"/>
  <c r="AG527" i="2" s="1"/>
  <c r="AG528" i="2" s="1"/>
  <c r="AG529" i="2" s="1"/>
  <c r="AG539" i="2"/>
  <c r="AG550" i="2"/>
  <c r="AI547" i="2"/>
  <c r="AG538" i="2"/>
  <c r="AG544" i="2" s="1"/>
  <c r="AG530" i="2"/>
  <c r="AG532" i="2" l="1"/>
  <c r="AH533" i="2" s="1"/>
  <c r="AG552" i="2"/>
  <c r="AG558" i="2" s="1"/>
  <c r="AG564" i="2"/>
  <c r="AI561" i="2"/>
  <c r="AG553" i="2"/>
  <c r="AG540" i="2"/>
  <c r="AG541" i="2" s="1"/>
  <c r="AG554" i="2" l="1"/>
  <c r="AG555" i="2" s="1"/>
  <c r="AG556" i="2" s="1"/>
  <c r="AG557" i="2" s="1"/>
  <c r="AG560" i="2" s="1"/>
  <c r="AH561" i="2" s="1"/>
  <c r="AG542" i="2"/>
  <c r="AG543" i="2" s="1"/>
  <c r="AG546" i="2" s="1"/>
  <c r="AH547" i="2" s="1"/>
  <c r="AG566" i="2"/>
  <c r="AG567" i="2"/>
  <c r="AG578" i="2"/>
  <c r="AI575" i="2"/>
  <c r="AG581" i="2" l="1"/>
  <c r="AG592" i="2"/>
  <c r="AI589" i="2"/>
  <c r="AG580" i="2"/>
  <c r="AG568" i="2"/>
  <c r="AG569" i="2" s="1"/>
  <c r="AG572" i="2"/>
  <c r="AG582" i="2" l="1"/>
  <c r="AG583" i="2" s="1"/>
  <c r="AG584" i="2" s="1"/>
  <c r="AG585" i="2" s="1"/>
  <c r="AG570" i="2"/>
  <c r="AG571" i="2" s="1"/>
  <c r="AG574" i="2" s="1"/>
  <c r="AH575" i="2" s="1"/>
  <c r="AG594" i="2"/>
  <c r="AG600" i="2" s="1"/>
  <c r="AG595" i="2"/>
  <c r="AI603" i="2"/>
  <c r="AG606" i="2"/>
  <c r="AG586" i="2"/>
  <c r="AG588" i="2" l="1"/>
  <c r="AH589" i="2" s="1"/>
  <c r="AG596" i="2"/>
  <c r="AG597" i="2" s="1"/>
  <c r="AG608" i="2"/>
  <c r="AG609" i="2"/>
  <c r="AG620" i="2"/>
  <c r="AI617" i="2"/>
  <c r="AG610" i="2" l="1"/>
  <c r="AG611" i="2" s="1"/>
  <c r="AG612" i="2" s="1"/>
  <c r="AG613" i="2" s="1"/>
  <c r="AG614" i="2"/>
  <c r="AG598" i="2"/>
  <c r="AG599" i="2" s="1"/>
  <c r="AG602" i="2" s="1"/>
  <c r="AH603" i="2" s="1"/>
  <c r="AI631" i="2"/>
  <c r="AG622" i="2"/>
  <c r="AG628" i="2" s="1"/>
  <c r="AG623" i="2"/>
  <c r="AG634" i="2"/>
  <c r="AG616" i="2" l="1"/>
  <c r="AH617" i="2" s="1"/>
  <c r="AG648" i="2"/>
  <c r="AI645" i="2"/>
  <c r="AG637" i="2"/>
  <c r="AG636" i="2"/>
  <c r="AG642" i="2" s="1"/>
  <c r="AG624" i="2"/>
  <c r="AG625" i="2" s="1"/>
  <c r="AG626" i="2" s="1"/>
  <c r="AG627" i="2" s="1"/>
  <c r="AG630" i="2" s="1"/>
  <c r="AH631" i="2" s="1"/>
  <c r="AI659" i="2" l="1"/>
  <c r="AG651" i="2"/>
  <c r="AG662" i="2"/>
  <c r="AG650" i="2"/>
  <c r="AG656" i="2" s="1"/>
  <c r="AG638" i="2"/>
  <c r="AG639" i="2" s="1"/>
  <c r="AG640" i="2" l="1"/>
  <c r="AG641" i="2" s="1"/>
  <c r="AG644" i="2" s="1"/>
  <c r="AH645" i="2" s="1"/>
  <c r="AG676" i="2"/>
  <c r="AG664" i="2"/>
  <c r="AG670" i="2" s="1"/>
  <c r="AI673" i="2"/>
  <c r="AG665" i="2"/>
  <c r="AG652" i="2"/>
  <c r="AG653" i="2" s="1"/>
  <c r="AG678" i="2" l="1"/>
  <c r="AG679" i="2"/>
  <c r="AG690" i="2"/>
  <c r="AI687" i="2"/>
  <c r="AG654" i="2"/>
  <c r="AG655" i="2" s="1"/>
  <c r="AG658" i="2" s="1"/>
  <c r="AH659" i="2" s="1"/>
  <c r="AG666" i="2"/>
  <c r="AG667" i="2" s="1"/>
  <c r="AG680" i="2" l="1"/>
  <c r="AG681" i="2" s="1"/>
  <c r="AG682" i="2" s="1"/>
  <c r="AG683" i="2" s="1"/>
  <c r="AG704" i="2"/>
  <c r="AI701" i="2"/>
  <c r="AG693" i="2"/>
  <c r="AG692" i="2"/>
  <c r="AG668" i="2"/>
  <c r="AG669" i="2" s="1"/>
  <c r="AG672" i="2" s="1"/>
  <c r="AH673" i="2" s="1"/>
  <c r="AG684" i="2"/>
  <c r="AG686" i="2" l="1"/>
  <c r="AH687" i="2" s="1"/>
  <c r="AG694" i="2"/>
  <c r="AG695" i="2" s="1"/>
  <c r="AG696" i="2" s="1"/>
  <c r="AG697" i="2" s="1"/>
  <c r="AG706" i="2"/>
  <c r="AI715" i="2"/>
  <c r="AG707" i="2"/>
  <c r="AG718" i="2"/>
  <c r="AG698" i="2"/>
  <c r="AG700" i="2" l="1"/>
  <c r="AH701" i="2" s="1"/>
  <c r="AG721" i="2"/>
  <c r="AG732" i="2"/>
  <c r="AI729" i="2"/>
  <c r="AG720" i="2"/>
  <c r="AG708" i="2"/>
  <c r="AG709" i="2" s="1"/>
  <c r="AG710" i="2" s="1"/>
  <c r="AG711" i="2" s="1"/>
  <c r="AG712" i="2"/>
  <c r="AG714" i="2" l="1"/>
  <c r="AH715" i="2" s="1"/>
  <c r="AG722" i="2"/>
  <c r="AG723" i="2" s="1"/>
  <c r="AG724" i="2" s="1"/>
  <c r="AG725" i="2" s="1"/>
  <c r="AG726" i="2"/>
  <c r="AG746" i="2"/>
  <c r="AG735" i="2"/>
  <c r="AI743" i="2"/>
  <c r="AG734" i="2"/>
  <c r="AG728" i="2" l="1"/>
  <c r="AH729" i="2" s="1"/>
  <c r="AG748" i="2"/>
  <c r="AG760" i="2"/>
  <c r="AI757" i="2"/>
  <c r="AG749" i="2"/>
  <c r="AG736" i="2"/>
  <c r="AG737" i="2" s="1"/>
  <c r="AG740" i="2"/>
  <c r="AG750" i="2" l="1"/>
  <c r="AG751" i="2" s="1"/>
  <c r="AG752" i="2" s="1"/>
  <c r="AG753" i="2" s="1"/>
  <c r="AG754" i="2"/>
  <c r="AG738" i="2"/>
  <c r="AG739" i="2" s="1"/>
  <c r="AG742" i="2" s="1"/>
  <c r="AH743" i="2" s="1"/>
  <c r="AG762" i="2"/>
  <c r="AI771" i="2"/>
  <c r="AG763" i="2"/>
  <c r="AG774" i="2"/>
  <c r="AG756" i="2" l="1"/>
  <c r="AH757" i="2" s="1"/>
  <c r="AG764" i="2"/>
  <c r="AG765" i="2" s="1"/>
  <c r="AG766" i="2" s="1"/>
  <c r="AG767" i="2" s="1"/>
  <c r="AG768" i="2"/>
  <c r="AG776" i="2"/>
  <c r="AG782" i="2" s="1"/>
  <c r="AI785" i="2"/>
  <c r="AG777" i="2"/>
  <c r="AG788" i="2"/>
  <c r="AG770" i="2" l="1"/>
  <c r="AH771" i="2" s="1"/>
  <c r="AG778" i="2"/>
  <c r="AG779" i="2" s="1"/>
  <c r="AG780" i="2" s="1"/>
  <c r="AG781" i="2" s="1"/>
  <c r="AG784" i="2" s="1"/>
  <c r="AH785" i="2" s="1"/>
  <c r="AG791" i="2"/>
  <c r="AG790" i="2"/>
  <c r="AG802" i="2"/>
  <c r="AI799" i="2"/>
  <c r="AG804" i="2" l="1"/>
  <c r="AG810" i="2" s="1"/>
  <c r="AG816" i="2"/>
  <c r="AI813" i="2"/>
  <c r="AG805" i="2"/>
  <c r="AG792" i="2"/>
  <c r="AG793" i="2" s="1"/>
  <c r="AG796" i="2"/>
  <c r="AG806" i="2" l="1"/>
  <c r="AG807" i="2" s="1"/>
  <c r="AG808" i="2" s="1"/>
  <c r="AG809" i="2" s="1"/>
  <c r="AG812" i="2" s="1"/>
  <c r="AH813" i="2" s="1"/>
  <c r="AG794" i="2"/>
  <c r="AG795" i="2" s="1"/>
  <c r="AG798" i="2" s="1"/>
  <c r="AH799" i="2" s="1"/>
  <c r="AI827" i="2"/>
  <c r="AG818" i="2"/>
  <c r="AG824" i="2" s="1"/>
  <c r="AG830" i="2"/>
  <c r="AG819" i="2"/>
  <c r="AG844" i="2" l="1"/>
  <c r="AG832" i="2"/>
  <c r="AG838" i="2" s="1"/>
  <c r="AI841" i="2"/>
  <c r="AG833" i="2"/>
  <c r="AG820" i="2"/>
  <c r="AG821" i="2" s="1"/>
  <c r="AG822" i="2" s="1"/>
  <c r="AG823" i="2" s="1"/>
  <c r="AG826" i="2" s="1"/>
  <c r="AH827" i="2" s="1"/>
  <c r="AG834" i="2" l="1"/>
  <c r="AG835" i="2" s="1"/>
  <c r="AG836" i="2" s="1"/>
  <c r="AG837" i="2" s="1"/>
  <c r="AG840" i="2" s="1"/>
  <c r="AH841" i="2" s="1"/>
  <c r="AG846" i="2"/>
  <c r="AG858" i="2"/>
  <c r="AI855" i="2"/>
  <c r="AG847" i="2"/>
  <c r="AG848" i="2" l="1"/>
  <c r="AG849" i="2" s="1"/>
  <c r="AG850" i="2" s="1"/>
  <c r="AG851" i="2" s="1"/>
  <c r="AG860" i="2"/>
  <c r="AG872" i="2"/>
  <c r="AI869" i="2"/>
  <c r="AG861" i="2"/>
  <c r="AG852" i="2"/>
  <c r="AG854" i="2" l="1"/>
  <c r="AH855" i="2" s="1"/>
  <c r="AI883" i="2"/>
  <c r="AG886" i="2"/>
  <c r="AG875" i="2"/>
  <c r="AG874" i="2"/>
  <c r="AG880" i="2" s="1"/>
  <c r="AG862" i="2"/>
  <c r="AG863" i="2" s="1"/>
  <c r="AG866" i="2"/>
  <c r="AG864" i="2" l="1"/>
  <c r="AG865" i="2" s="1"/>
  <c r="AG868" i="2" s="1"/>
  <c r="AH869" i="2" s="1"/>
  <c r="AI897" i="2"/>
  <c r="AG889" i="2"/>
  <c r="AG888" i="2"/>
  <c r="AG900" i="2"/>
  <c r="AG876" i="2"/>
  <c r="AG877" i="2" s="1"/>
  <c r="AG878" i="2" s="1"/>
  <c r="AG879" i="2" s="1"/>
  <c r="AG882" i="2" s="1"/>
  <c r="AH883" i="2" s="1"/>
  <c r="AG890" i="2" l="1"/>
  <c r="AG891" i="2" s="1"/>
  <c r="AG892" i="2" s="1"/>
  <c r="AG893" i="2" s="1"/>
  <c r="AG902" i="2"/>
  <c r="AG908" i="2" s="1"/>
  <c r="AG914" i="2"/>
  <c r="AI911" i="2"/>
  <c r="AG903" i="2"/>
  <c r="AG894" i="2"/>
  <c r="AG896" i="2" l="1"/>
  <c r="AH897" i="2" s="1"/>
  <c r="AG904" i="2"/>
  <c r="AG905" i="2" s="1"/>
  <c r="AG906" i="2" s="1"/>
  <c r="AG907" i="2" s="1"/>
  <c r="AG910" i="2" s="1"/>
  <c r="AH911" i="2" s="1"/>
  <c r="AG917" i="2"/>
  <c r="AG916" i="2"/>
  <c r="AG922" i="2" s="1"/>
  <c r="AG928" i="2"/>
  <c r="AI925" i="2"/>
  <c r="AG930" i="2" l="1"/>
  <c r="AG936" i="2" s="1"/>
  <c r="AG942" i="2"/>
  <c r="AI939" i="2"/>
  <c r="AG931" i="2"/>
  <c r="AG918" i="2"/>
  <c r="AG919" i="2" s="1"/>
  <c r="AG920" i="2" l="1"/>
  <c r="AG921" i="2" s="1"/>
  <c r="AG924" i="2" s="1"/>
  <c r="AH925" i="2" s="1"/>
  <c r="AG956" i="2"/>
  <c r="AI953" i="2"/>
  <c r="AG945" i="2"/>
  <c r="AG944" i="2"/>
  <c r="AG932" i="2"/>
  <c r="AG933" i="2" s="1"/>
  <c r="AG934" i="2" s="1"/>
  <c r="AG935" i="2" s="1"/>
  <c r="AG938" i="2" s="1"/>
  <c r="AH939" i="2" s="1"/>
  <c r="AG946" i="2" l="1"/>
  <c r="AG947" i="2" s="1"/>
  <c r="AG950" i="2"/>
  <c r="AG959" i="2"/>
  <c r="AG958" i="2"/>
  <c r="AI967" i="2"/>
  <c r="AG970" i="2"/>
  <c r="AG960" i="2" l="1"/>
  <c r="AG961" i="2" s="1"/>
  <c r="AG962" i="2" s="1"/>
  <c r="AG963" i="2" s="1"/>
  <c r="AG972" i="2"/>
  <c r="AG978" i="2" s="1"/>
  <c r="AI981" i="2"/>
  <c r="AG973" i="2"/>
  <c r="AG984" i="2"/>
  <c r="AG948" i="2"/>
  <c r="AG949" i="2" s="1"/>
  <c r="AG952" i="2" s="1"/>
  <c r="AH953" i="2" s="1"/>
  <c r="AG964" i="2"/>
  <c r="AG966" i="2" l="1"/>
  <c r="AH967" i="2" s="1"/>
  <c r="AG974" i="2"/>
  <c r="AG975" i="2" s="1"/>
  <c r="AG976" i="2" s="1"/>
  <c r="AG977" i="2" s="1"/>
  <c r="AG980" i="2" s="1"/>
  <c r="AH981" i="2" s="1"/>
  <c r="AG987" i="2"/>
  <c r="AG986" i="2"/>
  <c r="AG998" i="2"/>
  <c r="AI995" i="2"/>
  <c r="AG988" i="2" l="1"/>
  <c r="AG989" i="2" s="1"/>
  <c r="AG990" i="2" s="1"/>
  <c r="AG991" i="2" s="1"/>
  <c r="AG1000" i="2"/>
  <c r="AG1006" i="2" s="1"/>
  <c r="AG1012" i="2"/>
  <c r="AI1009" i="2"/>
  <c r="AG1001" i="2"/>
  <c r="AG992" i="2"/>
  <c r="AG994" i="2" l="1"/>
  <c r="AH995" i="2" s="1"/>
  <c r="AI1023" i="2"/>
  <c r="AG1015" i="2"/>
  <c r="AG1014" i="2"/>
  <c r="AG1020" i="2" s="1"/>
  <c r="AG1026" i="2"/>
  <c r="AG1002" i="2"/>
  <c r="AG1003" i="2" s="1"/>
  <c r="AG1004" i="2" s="1"/>
  <c r="AG1005" i="2" s="1"/>
  <c r="AG1008" i="2" s="1"/>
  <c r="AH1009" i="2" s="1"/>
  <c r="AG1029" i="2" l="1"/>
  <c r="AI1037" i="2"/>
  <c r="AG1028" i="2"/>
  <c r="AG1034" i="2" s="1"/>
  <c r="AG1040" i="2"/>
  <c r="AG1016" i="2"/>
  <c r="AG1017" i="2" s="1"/>
  <c r="AG1018" i="2" l="1"/>
  <c r="AG1019" i="2" s="1"/>
  <c r="AG1022" i="2" s="1"/>
  <c r="AH1023" i="2" s="1"/>
  <c r="AG1042" i="2"/>
  <c r="AG1048" i="2" s="1"/>
  <c r="AI1051" i="2"/>
  <c r="AG1043" i="2"/>
  <c r="AG1054" i="2"/>
  <c r="AG1030" i="2"/>
  <c r="AG1031" i="2" s="1"/>
  <c r="AG1056" i="2" l="1"/>
  <c r="AG1062" i="2" s="1"/>
  <c r="AG1068" i="2"/>
  <c r="AI1065" i="2"/>
  <c r="AG1057" i="2"/>
  <c r="AG1032" i="2"/>
  <c r="AG1033" i="2" s="1"/>
  <c r="AG1036" i="2" s="1"/>
  <c r="AH1037" i="2" s="1"/>
  <c r="AG1044" i="2"/>
  <c r="AG1045" i="2" s="1"/>
  <c r="AG1058" i="2" l="1"/>
  <c r="AG1059" i="2" s="1"/>
  <c r="AG1082" i="2"/>
  <c r="AI1079" i="2"/>
  <c r="AG1071" i="2"/>
  <c r="AG1070" i="2"/>
  <c r="AG1046" i="2"/>
  <c r="AG1047" i="2" s="1"/>
  <c r="AG1050" i="2" s="1"/>
  <c r="AH1051" i="2" s="1"/>
  <c r="AG1072" i="2" l="1"/>
  <c r="AG1073" i="2" s="1"/>
  <c r="AG1074" i="2" s="1"/>
  <c r="AG1075" i="2" s="1"/>
  <c r="AG1084" i="2"/>
  <c r="AG1096" i="2"/>
  <c r="AG1085" i="2"/>
  <c r="AI1093" i="2"/>
  <c r="AG1060" i="2"/>
  <c r="AG1061" i="2" s="1"/>
  <c r="AG1064" i="2" s="1"/>
  <c r="AH1065" i="2" s="1"/>
  <c r="AG1076" i="2"/>
  <c r="AG1078" i="2" l="1"/>
  <c r="AH1079" i="2" s="1"/>
  <c r="AI1107" i="2"/>
  <c r="AG1098" i="2"/>
  <c r="AG1099" i="2"/>
  <c r="AG1110" i="2"/>
  <c r="AG1086" i="2"/>
  <c r="AG1087" i="2" s="1"/>
  <c r="AG1088" i="2" s="1"/>
  <c r="AG1089" i="2" s="1"/>
  <c r="AG1090" i="2"/>
  <c r="AG1092" i="2" l="1"/>
  <c r="AH1093" i="2" s="1"/>
  <c r="AG1100" i="2"/>
  <c r="AG1101" i="2" s="1"/>
  <c r="AG1102" i="2" s="1"/>
  <c r="AG1103" i="2" s="1"/>
  <c r="AG1104" i="2"/>
  <c r="AI1121" i="2"/>
  <c r="AG1124" i="2"/>
  <c r="AG1113" i="2"/>
  <c r="AG1112" i="2"/>
  <c r="AG1106" i="2" l="1"/>
  <c r="AH1107" i="2" s="1"/>
  <c r="AG1127" i="2"/>
  <c r="AG1138" i="2"/>
  <c r="AI1135" i="2"/>
  <c r="AG1126" i="2"/>
  <c r="AG1132" i="2" s="1"/>
  <c r="AG1114" i="2"/>
  <c r="AG1115" i="2" s="1"/>
  <c r="AG1116" i="2" s="1"/>
  <c r="AG1117" i="2" s="1"/>
  <c r="AG1118" i="2"/>
  <c r="AG1120" i="2" l="1"/>
  <c r="AH1121" i="2" s="1"/>
  <c r="AI1149" i="2"/>
  <c r="AG1152" i="2"/>
  <c r="AG1141" i="2"/>
  <c r="AG1140" i="2"/>
  <c r="AG1146" i="2" s="1"/>
  <c r="AG1128" i="2"/>
  <c r="AG1129" i="2" s="1"/>
  <c r="AG1130" i="2" s="1"/>
  <c r="AG1131" i="2" s="1"/>
  <c r="AG1134" i="2" s="1"/>
  <c r="AH1135" i="2" s="1"/>
  <c r="AG1154" i="2" l="1"/>
  <c r="AG1160" i="2" s="1"/>
  <c r="AI1163" i="2"/>
  <c r="AG1155" i="2"/>
  <c r="AG1166" i="2"/>
  <c r="AG1142" i="2"/>
  <c r="AG1143" i="2" s="1"/>
  <c r="AG1144" i="2" s="1"/>
  <c r="AG1145" i="2" s="1"/>
  <c r="AG1148" i="2" s="1"/>
  <c r="AH1149" i="2" s="1"/>
  <c r="AG1156" i="2" l="1"/>
  <c r="AG1157" i="2" s="1"/>
  <c r="AG1158" i="2" s="1"/>
  <c r="AG1159" i="2" s="1"/>
  <c r="AG1162" i="2" s="1"/>
  <c r="AH1163" i="2" s="1"/>
  <c r="AG1168" i="2"/>
  <c r="AG1174" i="2" s="1"/>
  <c r="AI1177" i="2"/>
  <c r="AG1169" i="2"/>
  <c r="AG1180" i="2"/>
  <c r="AG1170" i="2" l="1"/>
  <c r="AG1171" i="2" s="1"/>
  <c r="AG1172" i="2" s="1"/>
  <c r="AG1173" i="2" s="1"/>
  <c r="AG1176" i="2" s="1"/>
  <c r="AH1177" i="2" s="1"/>
  <c r="AI1191" i="2"/>
  <c r="AG1182" i="2"/>
  <c r="AG1183" i="2"/>
  <c r="AG1194" i="2"/>
  <c r="AG1184" i="2" l="1"/>
  <c r="AG1185" i="2" s="1"/>
  <c r="AG1186" i="2" s="1"/>
  <c r="AG1187" i="2" s="1"/>
  <c r="AG1197" i="2"/>
  <c r="AI1205" i="2"/>
  <c r="AG1196" i="2"/>
  <c r="AG1208" i="2"/>
  <c r="AG1188" i="2"/>
  <c r="AG1190" i="2" l="1"/>
  <c r="AH1191" i="2" s="1"/>
  <c r="AG1198" i="2"/>
  <c r="AG1211" i="2"/>
  <c r="AG1210" i="2"/>
  <c r="AG1222" i="2"/>
  <c r="AI1219" i="2"/>
  <c r="AG1202" i="2"/>
  <c r="AG1199" i="2" l="1"/>
  <c r="AG1200" i="2" s="1"/>
  <c r="AG1201" i="2" s="1"/>
  <c r="AG1204" i="2" s="1"/>
  <c r="AH1205" i="2" s="1"/>
  <c r="AG1212" i="2"/>
  <c r="AG1213" i="2" s="1"/>
  <c r="AG1214" i="2" s="1"/>
  <c r="AG1215" i="2" s="1"/>
  <c r="AG1216" i="2"/>
  <c r="AG1236" i="2"/>
  <c r="AI1233" i="2"/>
  <c r="AG1225" i="2"/>
  <c r="AG1224" i="2"/>
  <c r="AG1218" i="2" l="1"/>
  <c r="AH1219" i="2" s="1"/>
  <c r="AG1226" i="2"/>
  <c r="AG1227" i="2" s="1"/>
  <c r="AG1228" i="2" s="1"/>
  <c r="AG1229" i="2" s="1"/>
  <c r="AG1230" i="2"/>
  <c r="AI1247" i="2"/>
  <c r="AG1239" i="2"/>
  <c r="AG1250" i="2"/>
  <c r="AG1238" i="2"/>
  <c r="AG1244" i="2" s="1"/>
  <c r="AG1232" i="2" l="1"/>
  <c r="AH1233" i="2" s="1"/>
  <c r="AI1261" i="2"/>
  <c r="AG1252" i="2"/>
  <c r="AG1258" i="2" s="1"/>
  <c r="AG1264" i="2"/>
  <c r="AG1253" i="2"/>
  <c r="AG1240" i="2"/>
  <c r="AG1254" i="2" l="1"/>
  <c r="AG1241" i="2"/>
  <c r="AG1278" i="2"/>
  <c r="AG1266" i="2"/>
  <c r="AG1272" i="2" s="1"/>
  <c r="AI1275" i="2"/>
  <c r="AG1267" i="2"/>
  <c r="AG1255" i="2" l="1"/>
  <c r="AG1256" i="2" s="1"/>
  <c r="AG1257" i="2" s="1"/>
  <c r="AG1260" i="2" s="1"/>
  <c r="AH1261" i="2" s="1"/>
  <c r="AG1281" i="2"/>
  <c r="AG1280" i="2"/>
  <c r="AI1289" i="2"/>
  <c r="AG1292" i="2"/>
  <c r="AG1242" i="2"/>
  <c r="AG1243" i="2" s="1"/>
  <c r="AG1246" i="2" s="1"/>
  <c r="AH1247" i="2" s="1"/>
  <c r="AG1268" i="2"/>
  <c r="AG1295" i="2" l="1"/>
  <c r="AG1306" i="2"/>
  <c r="AG1294" i="2"/>
  <c r="AG1300" i="2" s="1"/>
  <c r="AI1303" i="2"/>
  <c r="AG1269" i="2"/>
  <c r="AG1270" i="2" s="1"/>
  <c r="AG1271" i="2" s="1"/>
  <c r="AG1274" i="2" s="1"/>
  <c r="AH1275" i="2" s="1"/>
  <c r="AG1282" i="2"/>
  <c r="AG1286" i="2"/>
  <c r="AG1320" i="2" l="1"/>
  <c r="AI1317" i="2"/>
  <c r="AG1309" i="2"/>
  <c r="AG1308" i="2"/>
  <c r="AG1314" i="2" s="1"/>
  <c r="AG1283" i="2"/>
  <c r="AG1296" i="2"/>
  <c r="AI1331" i="2" l="1"/>
  <c r="AG1322" i="2"/>
  <c r="AG1328" i="2" s="1"/>
  <c r="AG1334" i="2"/>
  <c r="AG1323" i="2"/>
  <c r="AG1284" i="2"/>
  <c r="AG1285" i="2" s="1"/>
  <c r="AG1288" i="2" s="1"/>
  <c r="AH1289" i="2" s="1"/>
  <c r="AG1297" i="2"/>
  <c r="AG1310" i="2"/>
  <c r="AG1298" i="2" l="1"/>
  <c r="AG1299" i="2" s="1"/>
  <c r="AG1302" i="2" s="1"/>
  <c r="AH1303" i="2" s="1"/>
  <c r="AG1311" i="2"/>
  <c r="AG1337" i="2"/>
  <c r="AG1336" i="2"/>
  <c r="AG1348" i="2"/>
  <c r="AI1345" i="2"/>
  <c r="AG1324" i="2"/>
  <c r="AG1350" i="2" l="1"/>
  <c r="AG1362" i="2"/>
  <c r="AI1359" i="2"/>
  <c r="AG1351" i="2"/>
  <c r="AG1312" i="2"/>
  <c r="AG1313" i="2" s="1"/>
  <c r="AG1316" i="2" s="1"/>
  <c r="AH1317" i="2" s="1"/>
  <c r="AG1325" i="2"/>
  <c r="AG1326" i="2" s="1"/>
  <c r="AG1327" i="2" s="1"/>
  <c r="AG1330" i="2" s="1"/>
  <c r="AH1331" i="2" s="1"/>
  <c r="AG1338" i="2"/>
  <c r="AG1342" i="2"/>
  <c r="AG1339" i="2" l="1"/>
  <c r="AG1340" i="2" s="1"/>
  <c r="AG1341" i="2" s="1"/>
  <c r="AG1344" i="2" s="1"/>
  <c r="AH1345" i="2" s="1"/>
  <c r="AG1376" i="2"/>
  <c r="AI1373" i="2"/>
  <c r="AG1365" i="2"/>
  <c r="AG1364" i="2"/>
  <c r="AG1352" i="2"/>
  <c r="AG1356" i="2"/>
  <c r="AG1353" i="2" l="1"/>
  <c r="AG1390" i="2"/>
  <c r="AG1379" i="2"/>
  <c r="AG1378" i="2"/>
  <c r="AI1387" i="2"/>
  <c r="AG1366" i="2"/>
  <c r="AG1370" i="2"/>
  <c r="AG1380" i="2" l="1"/>
  <c r="AG1381" i="2" s="1"/>
  <c r="AG1382" i="2" s="1"/>
  <c r="AG1383" i="2" s="1"/>
  <c r="AG1354" i="2"/>
  <c r="AG1355" i="2" s="1"/>
  <c r="AG1358" i="2" s="1"/>
  <c r="AH1359" i="2" s="1"/>
  <c r="AG1393" i="2"/>
  <c r="AG1392" i="2"/>
  <c r="AG1404" i="2"/>
  <c r="AI1401" i="2"/>
  <c r="AG1367" i="2"/>
  <c r="AG1384" i="2"/>
  <c r="AG1386" i="2" l="1"/>
  <c r="AH1387" i="2" s="1"/>
  <c r="AG1368" i="2"/>
  <c r="AG1369" i="2" s="1"/>
  <c r="AG1372" i="2" s="1"/>
  <c r="AH1373" i="2" s="1"/>
  <c r="AI1415" i="2"/>
  <c r="AG1407" i="2"/>
  <c r="AG1418" i="2"/>
  <c r="AG1406" i="2"/>
  <c r="AG1394" i="2"/>
  <c r="AG1398" i="2"/>
  <c r="AG1408" i="2" l="1"/>
  <c r="AG1409" i="2" s="1"/>
  <c r="AG1412" i="2"/>
  <c r="AG1432" i="2"/>
  <c r="AI1429" i="2"/>
  <c r="AG1421" i="2"/>
  <c r="AG1420" i="2"/>
  <c r="AG1426" i="2" s="1"/>
  <c r="AG1395" i="2"/>
  <c r="AG1396" i="2" s="1"/>
  <c r="AG1397" i="2" s="1"/>
  <c r="AG1400" i="2" s="1"/>
  <c r="AH1401" i="2" s="1"/>
  <c r="AI1443" i="2" l="1"/>
  <c r="AG1435" i="2"/>
  <c r="AG1434" i="2"/>
  <c r="AG1446" i="2"/>
  <c r="AG1410" i="2"/>
  <c r="AG1411" i="2" s="1"/>
  <c r="AG1414" i="2" s="1"/>
  <c r="AH1415" i="2" s="1"/>
  <c r="AG1422" i="2"/>
  <c r="AI1457" i="2" l="1"/>
  <c r="AG1460" i="2"/>
  <c r="AG1449" i="2"/>
  <c r="AG1448" i="2"/>
  <c r="AG1423" i="2"/>
  <c r="AG1436" i="2"/>
  <c r="AG1440" i="2"/>
  <c r="AG1450" i="2" l="1"/>
  <c r="AG1424" i="2"/>
  <c r="AG1425" i="2" s="1"/>
  <c r="AG1428" i="2" s="1"/>
  <c r="AH1429" i="2" s="1"/>
  <c r="AI1471" i="2"/>
  <c r="AG1462" i="2"/>
  <c r="AG1468" i="2" s="1"/>
  <c r="AG1463" i="2"/>
  <c r="AG1474" i="2"/>
  <c r="AG1437" i="2"/>
  <c r="AG1438" i="2" s="1"/>
  <c r="AG1439" i="2" s="1"/>
  <c r="AG1442" i="2" s="1"/>
  <c r="AH1443" i="2" s="1"/>
  <c r="AG1454" i="2"/>
  <c r="AG1464" i="2" l="1"/>
  <c r="AG1451" i="2"/>
  <c r="AG1452" i="2" s="1"/>
  <c r="AG1453" i="2" s="1"/>
  <c r="AG1456" i="2" s="1"/>
  <c r="AH1457" i="2" s="1"/>
  <c r="AG1488" i="2"/>
  <c r="AI1485" i="2"/>
  <c r="AG1476" i="2"/>
  <c r="AG1477" i="2"/>
  <c r="AG1478" i="2" l="1"/>
  <c r="AG1465" i="2"/>
  <c r="AG1466" i="2" s="1"/>
  <c r="AG1467" i="2" s="1"/>
  <c r="AI1499" i="2"/>
  <c r="AG1502" i="2"/>
  <c r="AG1491" i="2"/>
  <c r="AG1490" i="2"/>
  <c r="AG1482" i="2"/>
  <c r="AG1470" i="2" l="1"/>
  <c r="AH1471" i="2" s="1"/>
  <c r="AG1479" i="2"/>
  <c r="AG1480" i="2" s="1"/>
  <c r="AG1481" i="2" s="1"/>
  <c r="AG1484" i="2" s="1"/>
  <c r="AH1485" i="2" s="1"/>
  <c r="AG1492" i="2"/>
  <c r="AG1493" i="2" s="1"/>
  <c r="AG1494" i="2" s="1"/>
  <c r="AG1495" i="2" s="1"/>
  <c r="AG1496" i="2"/>
  <c r="AG1505" i="2"/>
  <c r="AG1504" i="2"/>
  <c r="AG1516" i="2"/>
  <c r="AI1513" i="2"/>
  <c r="AG1498" i="2" l="1"/>
  <c r="AH1499" i="2" s="1"/>
  <c r="AI1527" i="2"/>
  <c r="AG1518" i="2"/>
  <c r="AG1524" i="2" s="1"/>
  <c r="AG1519" i="2"/>
  <c r="AG1530" i="2"/>
  <c r="AG1506" i="2"/>
  <c r="AG1510" i="2"/>
  <c r="AG1520" i="2" l="1"/>
  <c r="AG1521" i="2" s="1"/>
  <c r="AG1522" i="2" s="1"/>
  <c r="AG1523" i="2" s="1"/>
  <c r="AG1526" i="2" s="1"/>
  <c r="AI1541" i="2"/>
  <c r="AG1533" i="2"/>
  <c r="AG1532" i="2"/>
  <c r="AG1544" i="2"/>
  <c r="AG1507" i="2"/>
  <c r="AH1527" i="2" l="1"/>
  <c r="AG1508" i="2"/>
  <c r="AG1509" i="2" s="1"/>
  <c r="AG1512" i="2" s="1"/>
  <c r="AH1513" i="2" s="1"/>
  <c r="AG1534" i="2"/>
  <c r="AG1538" i="2"/>
  <c r="AI1555" i="2"/>
  <c r="AG1558" i="2"/>
  <c r="AG1547" i="2"/>
  <c r="AG1546" i="2"/>
  <c r="AG1552" i="2" s="1"/>
  <c r="AI1569" i="2" l="1"/>
  <c r="AG1561" i="2"/>
  <c r="AG1560" i="2"/>
  <c r="AG1572" i="2"/>
  <c r="AG1535" i="2"/>
  <c r="AG1548" i="2"/>
  <c r="AG1536" i="2" l="1"/>
  <c r="AG1537" i="2" s="1"/>
  <c r="AG1540" i="2" s="1"/>
  <c r="AH1541" i="2" s="1"/>
  <c r="AI1583" i="2"/>
  <c r="AG1575" i="2"/>
  <c r="AG1586" i="2"/>
  <c r="AG1574" i="2"/>
  <c r="AG1549" i="2"/>
  <c r="AG1550" i="2" s="1"/>
  <c r="AG1551" i="2" s="1"/>
  <c r="AG1554" i="2" s="1"/>
  <c r="AH1555" i="2" s="1"/>
  <c r="AG1562" i="2"/>
  <c r="AG1566" i="2"/>
  <c r="AG1576" i="2" l="1"/>
  <c r="AG1577" i="2" s="1"/>
  <c r="AG1580" i="2"/>
  <c r="AG1563" i="2"/>
  <c r="AG1564" i="2" s="1"/>
  <c r="AG1565" i="2" s="1"/>
  <c r="AG1568" i="2" s="1"/>
  <c r="AH1569" i="2" s="1"/>
  <c r="AG1600" i="2"/>
  <c r="AI1597" i="2"/>
  <c r="AG1588" i="2"/>
  <c r="AG1589" i="2"/>
  <c r="AG1590" i="2" l="1"/>
  <c r="AG1591" i="2" s="1"/>
  <c r="AI1611" i="2"/>
  <c r="AG1602" i="2"/>
  <c r="AG1608" i="2" s="1"/>
  <c r="AG1614" i="2"/>
  <c r="AG1603" i="2"/>
  <c r="AG1578" i="2"/>
  <c r="AG1579" i="2" s="1"/>
  <c r="AG1582" i="2" s="1"/>
  <c r="AH1583" i="2" s="1"/>
  <c r="AG1594" i="2"/>
  <c r="AI1625" i="2" l="1"/>
  <c r="AG1617" i="2"/>
  <c r="AG1628" i="2"/>
  <c r="AG1616" i="2"/>
  <c r="AG1604" i="2"/>
  <c r="AG1592" i="2"/>
  <c r="AG1593" i="2" s="1"/>
  <c r="AG1596" i="2" s="1"/>
  <c r="AH1597" i="2" s="1"/>
  <c r="AG1618" i="2" l="1"/>
  <c r="AG1605" i="2"/>
  <c r="AG1606" i="2" s="1"/>
  <c r="AG1607" i="2" s="1"/>
  <c r="AG1610" i="2" s="1"/>
  <c r="AH1611" i="2" s="1"/>
  <c r="AG1622" i="2"/>
  <c r="AG1630" i="2"/>
  <c r="AG1636" i="2" s="1"/>
  <c r="AG1631" i="2"/>
  <c r="AG1642" i="2"/>
  <c r="AI1639" i="2"/>
  <c r="AG1632" i="2" l="1"/>
  <c r="AG1633" i="2" s="1"/>
  <c r="AG1619" i="2"/>
  <c r="AG1620" i="2" s="1"/>
  <c r="AG1621" i="2" s="1"/>
  <c r="AG1624" i="2" s="1"/>
  <c r="AH1625" i="2" s="1"/>
  <c r="AI1653" i="2"/>
  <c r="AG1656" i="2"/>
  <c r="AG1645" i="2"/>
  <c r="AG1644" i="2"/>
  <c r="AG1634" i="2" l="1"/>
  <c r="AG1635" i="2" s="1"/>
  <c r="AG1638" i="2" s="1"/>
  <c r="AH1639" i="2" s="1"/>
  <c r="AI1667" i="2"/>
  <c r="AG1659" i="2"/>
  <c r="AG1658" i="2"/>
  <c r="AG1670" i="2"/>
  <c r="AG1646" i="2"/>
  <c r="AG1650" i="2"/>
  <c r="AG1660" i="2" l="1"/>
  <c r="AG1661" i="2" s="1"/>
  <c r="AG1673" i="2"/>
  <c r="AG1672" i="2"/>
  <c r="AG1684" i="2"/>
  <c r="AI1681" i="2"/>
  <c r="AG1647" i="2"/>
  <c r="AG1648" i="2" s="1"/>
  <c r="AG1649" i="2" s="1"/>
  <c r="AG1652" i="2" s="1"/>
  <c r="AH1653" i="2" s="1"/>
  <c r="AG1664" i="2"/>
  <c r="AG1674" i="2" l="1"/>
  <c r="AG1686" i="2"/>
  <c r="AG1692" i="2" s="1"/>
  <c r="AG1698" i="2"/>
  <c r="AI1695" i="2"/>
  <c r="AG1687" i="2"/>
  <c r="AG1662" i="2"/>
  <c r="AG1663" i="2" s="1"/>
  <c r="AG1666" i="2" s="1"/>
  <c r="AH1667" i="2" s="1"/>
  <c r="AG1678" i="2"/>
  <c r="AG1675" i="2" l="1"/>
  <c r="AG1676" i="2" s="1"/>
  <c r="AG1677" i="2" s="1"/>
  <c r="AG1680" i="2" s="1"/>
  <c r="AH1681" i="2" s="1"/>
  <c r="AG1701" i="2"/>
  <c r="AG1700" i="2"/>
  <c r="AG1712" i="2"/>
  <c r="AI1709" i="2"/>
  <c r="AG1688" i="2"/>
  <c r="AG1715" i="2" l="1"/>
  <c r="AG1714" i="2"/>
  <c r="AG1720" i="2" s="1"/>
  <c r="AG1726" i="2"/>
  <c r="AI1723" i="2"/>
  <c r="AG1689" i="2"/>
  <c r="AG1690" i="2" s="1"/>
  <c r="AG1691" i="2" s="1"/>
  <c r="AG1694" i="2" s="1"/>
  <c r="AH1695" i="2" s="1"/>
  <c r="AG1702" i="2"/>
  <c r="AG1706" i="2"/>
  <c r="AG1716" i="2" l="1"/>
  <c r="AG1717" i="2" s="1"/>
  <c r="AI1737" i="2"/>
  <c r="AG1728" i="2"/>
  <c r="AG1734" i="2" s="1"/>
  <c r="AG1740" i="2"/>
  <c r="AG1729" i="2"/>
  <c r="AG1703" i="2"/>
  <c r="AG1704" i="2" l="1"/>
  <c r="AG1705" i="2" s="1"/>
  <c r="AG1708" i="2" s="1"/>
  <c r="AH1709" i="2" s="1"/>
  <c r="AI1751" i="2"/>
  <c r="AG1754" i="2"/>
  <c r="AG1743" i="2"/>
  <c r="AG1742" i="2"/>
  <c r="AG1718" i="2"/>
  <c r="AG1719" i="2" s="1"/>
  <c r="AG1722" i="2" s="1"/>
  <c r="AH1723" i="2" s="1"/>
  <c r="AG1730" i="2"/>
  <c r="AG1744" i="2" l="1"/>
  <c r="AG1745" i="2" s="1"/>
  <c r="AG1731" i="2"/>
  <c r="AI1765" i="2"/>
  <c r="AG1756" i="2"/>
  <c r="AG1768" i="2"/>
  <c r="AG1757" i="2"/>
  <c r="AG1748" i="2"/>
  <c r="AG1758" i="2" l="1"/>
  <c r="AG1759" i="2" s="1"/>
  <c r="AG1762" i="2"/>
  <c r="AG1732" i="2"/>
  <c r="AG1733" i="2" s="1"/>
  <c r="AG1736" i="2" s="1"/>
  <c r="AH1737" i="2" s="1"/>
  <c r="AI1779" i="2"/>
  <c r="AG1782" i="2"/>
  <c r="AG1771" i="2"/>
  <c r="AG1770" i="2"/>
  <c r="AG1776" i="2" s="1"/>
  <c r="AG1746" i="2"/>
  <c r="AG1747" i="2" s="1"/>
  <c r="AG1750" i="2" s="1"/>
  <c r="AH1751" i="2" s="1"/>
  <c r="AI1793" i="2" l="1"/>
  <c r="AG1796" i="2"/>
  <c r="AG1785" i="2"/>
  <c r="AG1784" i="2"/>
  <c r="AG1790" i="2" s="1"/>
  <c r="AG1760" i="2"/>
  <c r="AG1761" i="2" s="1"/>
  <c r="AG1764" i="2" s="1"/>
  <c r="AH1765" i="2" s="1"/>
  <c r="AG1772" i="2"/>
  <c r="AG1798" i="2" l="1"/>
  <c r="AG1810" i="2"/>
  <c r="AI1807" i="2"/>
  <c r="AG1799" i="2"/>
  <c r="AG1773" i="2"/>
  <c r="AG1786" i="2"/>
  <c r="AG1800" i="2" l="1"/>
  <c r="AG1801" i="2" s="1"/>
  <c r="AG1802" i="2" s="1"/>
  <c r="AG1803" i="2" s="1"/>
  <c r="AG1804" i="2"/>
  <c r="AG1824" i="2"/>
  <c r="AG1813" i="2"/>
  <c r="AI1821" i="2"/>
  <c r="AG1812" i="2"/>
  <c r="AG1774" i="2"/>
  <c r="AG1775" i="2" s="1"/>
  <c r="AG1778" i="2" s="1"/>
  <c r="AH1779" i="2" s="1"/>
  <c r="AG1787" i="2"/>
  <c r="AG1806" i="2" l="1"/>
  <c r="AH1807" i="2" s="1"/>
  <c r="AG1814" i="2"/>
  <c r="AG1815" i="2" s="1"/>
  <c r="AG1788" i="2"/>
  <c r="AG1789" i="2" s="1"/>
  <c r="AG1792" i="2" s="1"/>
  <c r="AH1793" i="2" s="1"/>
  <c r="AG1818" i="2"/>
  <c r="AG1838" i="2"/>
  <c r="AG1826" i="2"/>
  <c r="AG1832" i="2" s="1"/>
  <c r="AI1835" i="2"/>
  <c r="AG1827" i="2"/>
  <c r="AG1840" i="2" l="1"/>
  <c r="AG1846" i="2" s="1"/>
  <c r="AI1849" i="2"/>
  <c r="AG1852" i="2"/>
  <c r="AG1841" i="2"/>
  <c r="AG1816" i="2"/>
  <c r="AG1817" i="2" s="1"/>
  <c r="AG1820" i="2" s="1"/>
  <c r="AH1821" i="2" s="1"/>
  <c r="AG1828" i="2"/>
  <c r="AG1842" i="2" l="1"/>
  <c r="AG1843" i="2" s="1"/>
  <c r="AI1863" i="2"/>
  <c r="AG1855" i="2"/>
  <c r="AG1854" i="2"/>
  <c r="AG1860" i="2" s="1"/>
  <c r="AG1866" i="2"/>
  <c r="AG1829" i="2"/>
  <c r="AG1844" i="2" l="1"/>
  <c r="AG1845" i="2" s="1"/>
  <c r="AG1848" i="2" s="1"/>
  <c r="AH1849" i="2" s="1"/>
  <c r="AG1830" i="2"/>
  <c r="AG1831" i="2" s="1"/>
  <c r="AG1834" i="2" s="1"/>
  <c r="AH1835" i="2" s="1"/>
  <c r="AG1868" i="2"/>
  <c r="AG1874" i="2" s="1"/>
  <c r="AG1880" i="2"/>
  <c r="AI1877" i="2"/>
  <c r="AG1869" i="2"/>
  <c r="AG1856" i="2"/>
  <c r="AG1857" i="2" l="1"/>
  <c r="AG1894" i="2"/>
  <c r="AG1882" i="2"/>
  <c r="AG1888" i="2" s="1"/>
  <c r="AI1891" i="2"/>
  <c r="AG1883" i="2"/>
  <c r="AG1870" i="2"/>
  <c r="AI1905" i="2" l="1"/>
  <c r="AG1897" i="2"/>
  <c r="AG1896" i="2"/>
  <c r="AG1902" i="2" s="1"/>
  <c r="AG1908" i="2"/>
  <c r="AG1858" i="2"/>
  <c r="AG1859" i="2" s="1"/>
  <c r="AG1862" i="2" s="1"/>
  <c r="AH1863" i="2" s="1"/>
  <c r="AG1871" i="2"/>
  <c r="AG1884" i="2"/>
  <c r="AG1885" i="2" l="1"/>
  <c r="AG1872" i="2"/>
  <c r="AG1873" i="2" s="1"/>
  <c r="AG1876" i="2" s="1"/>
  <c r="AH1877" i="2" s="1"/>
  <c r="AI1919" i="2"/>
  <c r="AG1911" i="2"/>
  <c r="AG1910" i="2"/>
  <c r="AG1916" i="2" s="1"/>
  <c r="AG1922" i="2"/>
  <c r="AG1898" i="2"/>
  <c r="AI1933" i="2" l="1"/>
  <c r="AG1925" i="2"/>
  <c r="AG1924" i="2"/>
  <c r="AG1936" i="2"/>
  <c r="AG1899" i="2"/>
  <c r="AG1886" i="2"/>
  <c r="AG1887" i="2" s="1"/>
  <c r="AG1890" i="2" s="1"/>
  <c r="AH1891" i="2" s="1"/>
  <c r="AG1912" i="2"/>
  <c r="AG1926" i="2" l="1"/>
  <c r="AG1930" i="2"/>
  <c r="AG1913" i="2"/>
  <c r="AG1900" i="2"/>
  <c r="AG1901" i="2" s="1"/>
  <c r="AG1904" i="2" s="1"/>
  <c r="AH1905" i="2" s="1"/>
  <c r="AI1947" i="2"/>
  <c r="AG1939" i="2"/>
  <c r="AG1938" i="2"/>
  <c r="AG1950" i="2"/>
  <c r="AG1927" i="2" l="1"/>
  <c r="AG1928" i="2" s="1"/>
  <c r="AG1929" i="2" s="1"/>
  <c r="AG1932" i="2" s="1"/>
  <c r="AH1933" i="2" s="1"/>
  <c r="AG1952" i="2"/>
  <c r="AG1958" i="2" s="1"/>
  <c r="AI1961" i="2"/>
  <c r="AG1953" i="2"/>
  <c r="AG1964" i="2"/>
  <c r="AG1914" i="2"/>
  <c r="AG1915" i="2" s="1"/>
  <c r="AG1918" i="2" s="1"/>
  <c r="AH1919" i="2" s="1"/>
  <c r="AG1940" i="2"/>
  <c r="AG1944" i="2"/>
  <c r="AG1954" i="2" l="1"/>
  <c r="AG1941" i="2"/>
  <c r="AG1942" i="2" s="1"/>
  <c r="AG1943" i="2" s="1"/>
  <c r="AG1946" i="2" s="1"/>
  <c r="AH1947" i="2" s="1"/>
  <c r="AG1978" i="2"/>
  <c r="AI1975" i="2"/>
  <c r="AG1966" i="2"/>
  <c r="AG1967" i="2"/>
  <c r="AG1968" i="2" l="1"/>
  <c r="AG1969" i="2" s="1"/>
  <c r="AG1955" i="2"/>
  <c r="AG1956" i="2" s="1"/>
  <c r="AG1957" i="2" s="1"/>
  <c r="AG1960" i="2" s="1"/>
  <c r="AH1961" i="2" s="1"/>
  <c r="AG1972" i="2"/>
  <c r="AI1989" i="2"/>
  <c r="AG1980" i="2"/>
  <c r="AG1981" i="2"/>
  <c r="AG1992" i="2"/>
  <c r="AG1982" i="2" l="1"/>
  <c r="AG1983" i="2" s="1"/>
  <c r="AG1984" i="2" s="1"/>
  <c r="AG1985" i="2" s="1"/>
  <c r="AG1986" i="2"/>
  <c r="AI2003" i="2"/>
  <c r="AG2006" i="2"/>
  <c r="AG1995" i="2"/>
  <c r="AG1994" i="2"/>
  <c r="AG2000" i="2" s="1"/>
  <c r="AG1970" i="2"/>
  <c r="AG1971" i="2" s="1"/>
  <c r="AG1974" i="2" s="1"/>
  <c r="AH1975" i="2" s="1"/>
  <c r="AG1988" i="2" l="1"/>
  <c r="AH1989" i="2" s="1"/>
  <c r="AI2017" i="2"/>
  <c r="AG2008" i="2"/>
  <c r="AG2009" i="2"/>
  <c r="AG2020" i="2"/>
  <c r="AG1996" i="2"/>
  <c r="AG2010" i="2" l="1"/>
  <c r="AG2011" i="2" s="1"/>
  <c r="AG2012" i="2" s="1"/>
  <c r="AG2013" i="2" s="1"/>
  <c r="AG2014" i="2"/>
  <c r="AG1997" i="2"/>
  <c r="AG1998" i="2" s="1"/>
  <c r="AG1999" i="2" s="1"/>
  <c r="AG2002" i="2" s="1"/>
  <c r="AH2003" i="2" s="1"/>
  <c r="AG2022" i="2"/>
  <c r="AG2028" i="2" s="1"/>
  <c r="AG2023" i="2"/>
  <c r="AG2034" i="2"/>
  <c r="AI2031" i="2"/>
  <c r="AG2016" i="2" l="1"/>
  <c r="AH2017" i="2" s="1"/>
  <c r="AG2024" i="2"/>
  <c r="AI2045" i="2"/>
  <c r="AG2048" i="2"/>
  <c r="AG2037" i="2"/>
  <c r="AG2036" i="2"/>
  <c r="AG2025" i="2" l="1"/>
  <c r="AG2026" i="2" s="1"/>
  <c r="AG2027" i="2" s="1"/>
  <c r="AG2030" i="2" s="1"/>
  <c r="AH2031" i="2" s="1"/>
  <c r="AG2038" i="2"/>
  <c r="AG2062" i="2"/>
  <c r="AG2050" i="2"/>
  <c r="AI2059" i="2"/>
  <c r="AG2051" i="2"/>
  <c r="AG2042" i="2"/>
  <c r="AG2039" i="2" l="1"/>
  <c r="AG2040" i="2" s="1"/>
  <c r="AG2041" i="2" s="1"/>
  <c r="AG2065" i="2"/>
  <c r="AG2064" i="2"/>
  <c r="AG2076" i="2"/>
  <c r="AI2073" i="2"/>
  <c r="AG2052" i="2"/>
  <c r="AG2056" i="2"/>
  <c r="AG2044" i="2" l="1"/>
  <c r="AH2045" i="2" s="1"/>
  <c r="AG2066" i="2"/>
  <c r="AG2090" i="2"/>
  <c r="AG2079" i="2"/>
  <c r="AG2078" i="2"/>
  <c r="AG2084" i="2" s="1"/>
  <c r="AI2087" i="2"/>
  <c r="AG2053" i="2"/>
  <c r="AG2054" i="2" s="1"/>
  <c r="AG2055" i="2" s="1"/>
  <c r="AG2058" i="2" s="1"/>
  <c r="AH2059" i="2" s="1"/>
  <c r="AG2070" i="2"/>
  <c r="AG2080" i="2" l="1"/>
  <c r="AG2081" i="2" s="1"/>
  <c r="AG2067" i="2"/>
  <c r="AG2068" i="2" s="1"/>
  <c r="AG2069" i="2" s="1"/>
  <c r="AG2072" i="2" s="1"/>
  <c r="AH2073" i="2" s="1"/>
  <c r="AG2092" i="2"/>
  <c r="AG2098" i="2" s="1"/>
  <c r="AI2101" i="2"/>
  <c r="AG2093" i="2"/>
  <c r="AG2104" i="2"/>
  <c r="AG2094" i="2" l="1"/>
  <c r="AG2082" i="2"/>
  <c r="AG2083" i="2" s="1"/>
  <c r="AG2086" i="2" s="1"/>
  <c r="AH2087" i="2" s="1"/>
  <c r="AI2115" i="2"/>
  <c r="AG2118" i="2"/>
  <c r="AG2107" i="2"/>
  <c r="AG2106" i="2"/>
  <c r="AG2095" i="2" l="1"/>
  <c r="AG2096" i="2" s="1"/>
  <c r="AG2097" i="2" s="1"/>
  <c r="AG2108" i="2"/>
  <c r="AG2112" i="2"/>
  <c r="AG2120" i="2"/>
  <c r="AG2126" i="2" s="1"/>
  <c r="AI2129" i="2"/>
  <c r="AG2132" i="2"/>
  <c r="AG2121" i="2"/>
  <c r="AG2122" i="2" l="1"/>
  <c r="AG2100" i="2"/>
  <c r="AH2101" i="2" s="1"/>
  <c r="AG2135" i="2"/>
  <c r="AG2146" i="2"/>
  <c r="AG2134" i="2"/>
  <c r="AG2140" i="2" s="1"/>
  <c r="AI2143" i="2"/>
  <c r="AG2109" i="2"/>
  <c r="AG2123" i="2" l="1"/>
  <c r="AG2124" i="2" s="1"/>
  <c r="AG2125" i="2" s="1"/>
  <c r="AG2128" i="2" s="1"/>
  <c r="AH2129" i="2" s="1"/>
  <c r="AG2136" i="2"/>
  <c r="AG2110" i="2"/>
  <c r="AG2111" i="2" s="1"/>
  <c r="AG2114" i="2" s="1"/>
  <c r="AH2115" i="2" s="1"/>
  <c r="AI2157" i="2"/>
  <c r="AG2148" i="2"/>
  <c r="AG2154" i="2" s="1"/>
  <c r="AG2160" i="2"/>
  <c r="AG2149" i="2"/>
  <c r="AG2137" i="2" l="1"/>
  <c r="AG2174" i="2"/>
  <c r="AG2162" i="2"/>
  <c r="AG2168" i="2" s="1"/>
  <c r="AI2171" i="2"/>
  <c r="AG2163" i="2"/>
  <c r="AG2150" i="2"/>
  <c r="AG2138" i="2" l="1"/>
  <c r="AG2139" i="2" s="1"/>
  <c r="AG2142" i="2" s="1"/>
  <c r="AH2143" i="2" s="1"/>
  <c r="AG2164" i="2"/>
  <c r="AG2165" i="2" s="1"/>
  <c r="AG2176" i="2"/>
  <c r="AG2182" i="2" s="1"/>
  <c r="AG2177" i="2"/>
  <c r="AG2188" i="2"/>
  <c r="AI2185" i="2"/>
  <c r="AG2151" i="2"/>
  <c r="AG2178" i="2" l="1"/>
  <c r="AG2179" i="2" s="1"/>
  <c r="AG2166" i="2"/>
  <c r="AG2167" i="2" s="1"/>
  <c r="AG2170" i="2" s="1"/>
  <c r="AH2171" i="2" s="1"/>
  <c r="AG2202" i="2"/>
  <c r="AI2199" i="2"/>
  <c r="AG2191" i="2"/>
  <c r="AG2190" i="2"/>
  <c r="AG2152" i="2"/>
  <c r="AG2153" i="2" s="1"/>
  <c r="AG2156" i="2" s="1"/>
  <c r="AH2157" i="2" s="1"/>
  <c r="AG2180" i="2" l="1"/>
  <c r="AG2181" i="2" s="1"/>
  <c r="AG2184" i="2" s="1"/>
  <c r="AH2185" i="2" s="1"/>
  <c r="AG2216" i="2"/>
  <c r="AG2205" i="2"/>
  <c r="AI2213" i="2"/>
  <c r="AG2204" i="2"/>
  <c r="AG2192" i="2"/>
  <c r="AG2196" i="2"/>
  <c r="AG2206" i="2" l="1"/>
  <c r="AG2218" i="2"/>
  <c r="AG2224" i="2" s="1"/>
  <c r="AG2219" i="2"/>
  <c r="AI2227" i="2"/>
  <c r="AG2230" i="2"/>
  <c r="AG2193" i="2"/>
  <c r="AG2210" i="2"/>
  <c r="AG2207" i="2" l="1"/>
  <c r="AG2244" i="2"/>
  <c r="AI2241" i="2"/>
  <c r="AG2233" i="2"/>
  <c r="AG2232" i="2"/>
  <c r="AG2194" i="2"/>
  <c r="AG2195" i="2" s="1"/>
  <c r="AG2198" i="2" s="1"/>
  <c r="AH2199" i="2" s="1"/>
  <c r="AG2220" i="2"/>
  <c r="AG2208" i="2" l="1"/>
  <c r="AG2209" i="2" s="1"/>
  <c r="AG2212" i="2" s="1"/>
  <c r="AH2213" i="2" s="1"/>
  <c r="AG2234" i="2"/>
  <c r="AG2235" i="2" s="1"/>
  <c r="AG2246" i="2"/>
  <c r="AG2252" i="2" s="1"/>
  <c r="AG2258" i="2"/>
  <c r="AG2247" i="2"/>
  <c r="AI2255" i="2"/>
  <c r="AG2221" i="2"/>
  <c r="AG2238" i="2"/>
  <c r="AG2222" i="2" l="1"/>
  <c r="AG2223" i="2" s="1"/>
  <c r="AG2226" i="2" s="1"/>
  <c r="AH2227" i="2" s="1"/>
  <c r="AG2236" i="2"/>
  <c r="AG2237" i="2" s="1"/>
  <c r="AG2240" i="2" s="1"/>
  <c r="AH2241" i="2" s="1"/>
  <c r="AG2260" i="2"/>
  <c r="AG2266" i="2" s="1"/>
  <c r="AI2269" i="2"/>
  <c r="AG2272" i="2"/>
  <c r="AG2261" i="2"/>
  <c r="AG2248" i="2"/>
  <c r="AG2262" i="2" l="1"/>
  <c r="AG2263" i="2" s="1"/>
  <c r="AG2249" i="2"/>
  <c r="AG2286" i="2"/>
  <c r="AG2274" i="2"/>
  <c r="AG2275" i="2"/>
  <c r="AI2283" i="2"/>
  <c r="AG2276" i="2" l="1"/>
  <c r="AG2277" i="2" s="1"/>
  <c r="AG2280" i="2"/>
  <c r="AG2289" i="2"/>
  <c r="AG2288" i="2"/>
  <c r="AG2294" i="2" s="1"/>
  <c r="AG2300" i="2"/>
  <c r="AI2297" i="2"/>
  <c r="AG2264" i="2"/>
  <c r="AG2265" i="2" s="1"/>
  <c r="AG2268" i="2" s="1"/>
  <c r="AH2269" i="2" s="1"/>
  <c r="AG2250" i="2"/>
  <c r="AG2251" i="2" s="1"/>
  <c r="AG2254" i="2" s="1"/>
  <c r="AH2255" i="2" s="1"/>
  <c r="AG2278" i="2" l="1"/>
  <c r="AG2279" i="2" s="1"/>
  <c r="AG2282" i="2" s="1"/>
  <c r="AH2283" i="2" s="1"/>
  <c r="AI2311" i="2"/>
  <c r="AG2303" i="2"/>
  <c r="AG2302" i="2"/>
  <c r="AG2314" i="2"/>
  <c r="AG2290" i="2"/>
  <c r="AG2304" i="2" l="1"/>
  <c r="AG2305" i="2" s="1"/>
  <c r="AG2308" i="2"/>
  <c r="AG2316" i="2"/>
  <c r="AG2322" i="2" s="1"/>
  <c r="AI2325" i="2"/>
  <c r="AG2328" i="2"/>
  <c r="AG2317" i="2"/>
  <c r="AG2291" i="2"/>
  <c r="AG2292" i="2" l="1"/>
  <c r="AG2293" i="2" s="1"/>
  <c r="AG2296" i="2" s="1"/>
  <c r="AH2297" i="2" s="1"/>
  <c r="AI2339" i="2"/>
  <c r="AG2331" i="2"/>
  <c r="AG2330" i="2"/>
  <c r="AG2342" i="2"/>
  <c r="AG2306" i="2"/>
  <c r="AG2307" i="2" s="1"/>
  <c r="AG2310" i="2" s="1"/>
  <c r="AH2311" i="2" s="1"/>
  <c r="AG2318" i="2"/>
  <c r="AG2332" i="2" l="1"/>
  <c r="AG2333" i="2" s="1"/>
  <c r="AG2336" i="2"/>
  <c r="AG2319" i="2"/>
  <c r="AG2356" i="2"/>
  <c r="AI2353" i="2"/>
  <c r="AG2345" i="2"/>
  <c r="AG2344" i="2"/>
  <c r="AG2350" i="2" s="1"/>
  <c r="AG2334" i="2" l="1"/>
  <c r="AG2335" i="2" s="1"/>
  <c r="AG2338" i="2" s="1"/>
  <c r="AH2339" i="2" s="1"/>
  <c r="AG2320" i="2"/>
  <c r="AG2321" i="2" s="1"/>
  <c r="AG2324" i="2" s="1"/>
  <c r="AH2325" i="2" s="1"/>
  <c r="AG2358" i="2"/>
  <c r="AG2359" i="2"/>
  <c r="AI2367" i="2"/>
  <c r="AG2370" i="2"/>
  <c r="AG2346" i="2"/>
  <c r="AG2360" i="2" l="1"/>
  <c r="AG2361" i="2" s="1"/>
  <c r="AG2364" i="2"/>
  <c r="AG2372" i="2"/>
  <c r="AG2378" i="2" s="1"/>
  <c r="AG2384" i="2"/>
  <c r="AG2373" i="2"/>
  <c r="AI2381" i="2"/>
  <c r="AG2347" i="2"/>
  <c r="AG2348" i="2" l="1"/>
  <c r="AG2349" i="2" s="1"/>
  <c r="AG2352" i="2" s="1"/>
  <c r="AH2353" i="2" s="1"/>
  <c r="AG2362" i="2"/>
  <c r="AG2363" i="2" s="1"/>
  <c r="AG2366" i="2" s="1"/>
  <c r="AH2367" i="2" s="1"/>
  <c r="AG2387" i="2"/>
  <c r="AG2386" i="2"/>
  <c r="AG2392" i="2" s="1"/>
  <c r="AG2398" i="2"/>
  <c r="AI2395" i="2"/>
  <c r="AG2374" i="2"/>
  <c r="AG2375" i="2" l="1"/>
  <c r="AG2400" i="2"/>
  <c r="AG2406" i="2" s="1"/>
  <c r="AI2409" i="2"/>
  <c r="AG2412" i="2"/>
  <c r="AG2401" i="2"/>
  <c r="AG2388" i="2"/>
  <c r="AG2426" i="2" l="1"/>
  <c r="AI2423" i="2"/>
  <c r="AG2415" i="2"/>
  <c r="AG2414" i="2"/>
  <c r="AG2420" i="2" s="1"/>
  <c r="AG2376" i="2"/>
  <c r="AG2377" i="2" s="1"/>
  <c r="AG2380" i="2" s="1"/>
  <c r="AH2381" i="2" s="1"/>
  <c r="AG2389" i="2"/>
  <c r="AG2402" i="2"/>
  <c r="AG2429" i="2" l="1"/>
  <c r="AG2440" i="2"/>
  <c r="AI2437" i="2"/>
  <c r="AG2428" i="2"/>
  <c r="AG2434" i="2" s="1"/>
  <c r="AG2403" i="2"/>
  <c r="AG2390" i="2"/>
  <c r="AG2391" i="2" s="1"/>
  <c r="AG2394" i="2" s="1"/>
  <c r="AH2395" i="2" s="1"/>
  <c r="AG2416" i="2"/>
  <c r="AG2417" i="2" l="1"/>
  <c r="AG2404" i="2"/>
  <c r="AG2405" i="2" s="1"/>
  <c r="AG2408" i="2" s="1"/>
  <c r="AH2409" i="2" s="1"/>
  <c r="AG2454" i="2"/>
  <c r="AG2443" i="2"/>
  <c r="AG2442" i="2"/>
  <c r="AI2451" i="2"/>
  <c r="AG2430" i="2"/>
  <c r="AG2431" i="2" l="1"/>
  <c r="AG2418" i="2"/>
  <c r="AG2419" i="2" s="1"/>
  <c r="AG2422" i="2" s="1"/>
  <c r="AH2423" i="2" s="1"/>
  <c r="AG2457" i="2"/>
  <c r="AI2465" i="2"/>
  <c r="AG2456" i="2"/>
  <c r="AG2468" i="2"/>
  <c r="AG2444" i="2"/>
  <c r="AG2448" i="2"/>
  <c r="AG2458" i="2" l="1"/>
  <c r="AG2445" i="2"/>
  <c r="AG2432" i="2"/>
  <c r="AG2433" i="2" s="1"/>
  <c r="AG2436" i="2" s="1"/>
  <c r="AH2437" i="2" s="1"/>
  <c r="AG2462" i="2"/>
  <c r="AG2470" i="2"/>
  <c r="AG2476" i="2" s="1"/>
  <c r="AG2471" i="2"/>
  <c r="AI2479" i="2"/>
  <c r="AG2482" i="2"/>
  <c r="AG2459" i="2" l="1"/>
  <c r="AG2496" i="2"/>
  <c r="AG2485" i="2"/>
  <c r="AG2484" i="2"/>
  <c r="AG2490" i="2" s="1"/>
  <c r="AI2493" i="2"/>
  <c r="AG2446" i="2"/>
  <c r="AG2447" i="2" s="1"/>
  <c r="AG2450" i="2" s="1"/>
  <c r="AH2451" i="2" s="1"/>
  <c r="AG2472" i="2"/>
  <c r="AG2460" i="2" l="1"/>
  <c r="AG2461" i="2" s="1"/>
  <c r="AG2464" i="2" s="1"/>
  <c r="AH2465" i="2" s="1"/>
  <c r="AG2473" i="2"/>
  <c r="AG2510" i="2"/>
  <c r="AG2498" i="2"/>
  <c r="AG2504" i="2" s="1"/>
  <c r="AI2507" i="2"/>
  <c r="AG2499" i="2"/>
  <c r="AG2486" i="2"/>
  <c r="AG2474" i="2" l="1"/>
  <c r="AG2475" i="2" s="1"/>
  <c r="AG2478" i="2" s="1"/>
  <c r="AH2479" i="2" s="1"/>
  <c r="AG2513" i="2"/>
  <c r="AI2521" i="2"/>
  <c r="AG2512" i="2"/>
  <c r="AG2524" i="2"/>
  <c r="AG2487" i="2"/>
  <c r="AG2500" i="2"/>
  <c r="AG2514" i="2" l="1"/>
  <c r="AG2515" i="2" s="1"/>
  <c r="AG2501" i="2"/>
  <c r="AG2527" i="2"/>
  <c r="AG2526" i="2"/>
  <c r="AG2532" i="2" s="1"/>
  <c r="AI2535" i="2"/>
  <c r="AG2538" i="2"/>
  <c r="AG2488" i="2"/>
  <c r="AG2489" i="2" s="1"/>
  <c r="AG2492" i="2" s="1"/>
  <c r="AH2493" i="2" s="1"/>
  <c r="AG2518" i="2"/>
  <c r="AG2516" i="2" l="1"/>
  <c r="AG2517" i="2" s="1"/>
  <c r="AG2520" i="2" s="1"/>
  <c r="AH2521" i="2" s="1"/>
  <c r="AI2549" i="2"/>
  <c r="AG2552" i="2"/>
  <c r="AG2541" i="2"/>
  <c r="AG2540" i="2"/>
  <c r="AG2502" i="2"/>
  <c r="AG2503" i="2" s="1"/>
  <c r="AG2506" i="2" s="1"/>
  <c r="AH2507" i="2" s="1"/>
  <c r="AG2528" i="2"/>
  <c r="AG2542" i="2" l="1"/>
  <c r="AG2529" i="2"/>
  <c r="AG2555" i="2"/>
  <c r="AG2554" i="2"/>
  <c r="AI2563" i="2"/>
  <c r="AG2566" i="2"/>
  <c r="AG2546" i="2"/>
  <c r="AG2543" i="2" l="1"/>
  <c r="AG2544" i="2" s="1"/>
  <c r="AG2545" i="2" s="1"/>
  <c r="AG2556" i="2"/>
  <c r="AI2577" i="2"/>
  <c r="AG2569" i="2"/>
  <c r="AG2568" i="2"/>
  <c r="AG2574" i="2" s="1"/>
  <c r="AG2580" i="2"/>
  <c r="AG2530" i="2"/>
  <c r="AG2531" i="2" s="1"/>
  <c r="AG2534" i="2" s="1"/>
  <c r="AH2535" i="2" s="1"/>
  <c r="AG2560" i="2"/>
  <c r="AG2548" i="2" l="1"/>
  <c r="AH2549" i="2" s="1"/>
  <c r="AG2557" i="2"/>
  <c r="AG2570" i="2"/>
  <c r="AI2591" i="2"/>
  <c r="AG2583" i="2"/>
  <c r="AG2582" i="2"/>
  <c r="AG2588" i="2" s="1"/>
  <c r="AG2594" i="2"/>
  <c r="AG2558" i="2" l="1"/>
  <c r="AG2559" i="2" s="1"/>
  <c r="AG2562" i="2" s="1"/>
  <c r="AH2563" i="2" s="1"/>
  <c r="AG2571" i="2"/>
  <c r="AG2608" i="2"/>
  <c r="AI2605" i="2"/>
  <c r="AG2597" i="2"/>
  <c r="AG2596" i="2"/>
  <c r="AG2584" i="2"/>
  <c r="AG2598" i="2" l="1"/>
  <c r="AG2599" i="2" s="1"/>
  <c r="AG2572" i="2"/>
  <c r="AG2573" i="2" s="1"/>
  <c r="AG2576" i="2" s="1"/>
  <c r="AH2577" i="2" s="1"/>
  <c r="AG2610" i="2"/>
  <c r="AI2619" i="2"/>
  <c r="AG2611" i="2"/>
  <c r="AG2622" i="2"/>
  <c r="AG2585" i="2"/>
  <c r="AG2602" i="2"/>
  <c r="AG2612" i="2" l="1"/>
  <c r="AG2586" i="2"/>
  <c r="AG2587" i="2" s="1"/>
  <c r="AG2590" i="2" s="1"/>
  <c r="AH2591" i="2" s="1"/>
  <c r="AG2636" i="2"/>
  <c r="AI2633" i="2"/>
  <c r="AG2625" i="2"/>
  <c r="AG2624" i="2"/>
  <c r="AG2630" i="2" s="1"/>
  <c r="AG2616" i="2"/>
  <c r="AG2600" i="2"/>
  <c r="AG2601" i="2" s="1"/>
  <c r="AG2604" i="2" s="1"/>
  <c r="AH2605" i="2" s="1"/>
  <c r="AG2613" i="2" l="1"/>
  <c r="AG2614" i="2" s="1"/>
  <c r="AG2615" i="2" s="1"/>
  <c r="AG2650" i="2"/>
  <c r="AG2639" i="2"/>
  <c r="AI2647" i="2"/>
  <c r="AG2638" i="2"/>
  <c r="AG2644" i="2" s="1"/>
  <c r="AG2626" i="2"/>
  <c r="AG2618" i="2" l="1"/>
  <c r="AH2619" i="2" s="1"/>
  <c r="AG2640" i="2"/>
  <c r="AG2641" i="2" s="1"/>
  <c r="AI2661" i="2"/>
  <c r="AG2653" i="2"/>
  <c r="AG2652" i="2"/>
  <c r="AG2664" i="2"/>
  <c r="AG2627" i="2"/>
  <c r="AG2654" i="2" l="1"/>
  <c r="AG2655" i="2" s="1"/>
  <c r="AG2667" i="2"/>
  <c r="AI2675" i="2"/>
  <c r="AG2666" i="2"/>
  <c r="AG2672" i="2" s="1"/>
  <c r="AG2678" i="2"/>
  <c r="AG2642" i="2"/>
  <c r="AG2643" i="2" s="1"/>
  <c r="AG2646" i="2" s="1"/>
  <c r="AH2647" i="2" s="1"/>
  <c r="AG2628" i="2"/>
  <c r="AG2629" i="2" s="1"/>
  <c r="AG2632" i="2" s="1"/>
  <c r="AH2633" i="2" s="1"/>
  <c r="AG2658" i="2"/>
  <c r="AG2668" i="2" l="1"/>
  <c r="AG2656" i="2"/>
  <c r="AG2657" i="2" s="1"/>
  <c r="AG2660" i="2" s="1"/>
  <c r="AH2661" i="2" s="1"/>
  <c r="AG2681" i="2"/>
  <c r="AG2692" i="2"/>
  <c r="AI2689" i="2"/>
  <c r="AG2680" i="2"/>
  <c r="AG2682" i="2" l="1"/>
  <c r="AG2669" i="2"/>
  <c r="AI2703" i="2"/>
  <c r="AG2706" i="2"/>
  <c r="AG2695" i="2"/>
  <c r="AG2694" i="2"/>
  <c r="AG2686" i="2"/>
  <c r="AG2683" i="2" l="1"/>
  <c r="AG2684" i="2" s="1"/>
  <c r="AG2685" i="2" s="1"/>
  <c r="AG2670" i="2"/>
  <c r="AG2671" i="2" s="1"/>
  <c r="AG2674" i="2" s="1"/>
  <c r="AH2675" i="2" s="1"/>
  <c r="AG2696" i="2"/>
  <c r="AG2709" i="2"/>
  <c r="AG2720" i="2"/>
  <c r="AI2717" i="2"/>
  <c r="AG2708" i="2"/>
  <c r="AG2700" i="2"/>
  <c r="AG2688" i="2" l="1"/>
  <c r="AH2689" i="2" s="1"/>
  <c r="AG2710" i="2"/>
  <c r="AG2697" i="2"/>
  <c r="AG2714" i="2"/>
  <c r="AI2731" i="2"/>
  <c r="AG2734" i="2"/>
  <c r="AG2723" i="2"/>
  <c r="AG2722" i="2"/>
  <c r="AG2711" i="2" l="1"/>
  <c r="AG2712" i="2" s="1"/>
  <c r="AG2713" i="2" s="1"/>
  <c r="AG2724" i="2"/>
  <c r="AG2698" i="2"/>
  <c r="AG2699" i="2" s="1"/>
  <c r="AG2702" i="2" s="1"/>
  <c r="AH2703" i="2" s="1"/>
  <c r="AG2748" i="2"/>
  <c r="AI2745" i="2"/>
  <c r="AG2737" i="2"/>
  <c r="AG2736" i="2"/>
  <c r="AG2728" i="2"/>
  <c r="AG2716" i="2" l="1"/>
  <c r="AH2717" i="2" s="1"/>
  <c r="AG2725" i="2"/>
  <c r="AG2750" i="2"/>
  <c r="AG2756" i="2" s="1"/>
  <c r="AG2762" i="2"/>
  <c r="AI2759" i="2"/>
  <c r="AG2751" i="2"/>
  <c r="AG2738" i="2"/>
  <c r="AG2742" i="2"/>
  <c r="AG2776" i="2" l="1"/>
  <c r="AG2765" i="2"/>
  <c r="AG2764" i="2"/>
  <c r="AI2773" i="2"/>
  <c r="AG2726" i="2"/>
  <c r="AG2727" i="2" s="1"/>
  <c r="AG2730" i="2" s="1"/>
  <c r="AH2731" i="2" s="1"/>
  <c r="AG2739" i="2"/>
  <c r="AG2752" i="2"/>
  <c r="AG2790" i="2" l="1"/>
  <c r="AG2779" i="2"/>
  <c r="AG2778" i="2"/>
  <c r="AG2784" i="2" s="1"/>
  <c r="AI2787" i="2"/>
  <c r="AG2753" i="2"/>
  <c r="AG2740" i="2"/>
  <c r="AG2741" i="2" s="1"/>
  <c r="AG2744" i="2" s="1"/>
  <c r="AH2745" i="2" s="1"/>
  <c r="AG2766" i="2"/>
  <c r="AG2770" i="2"/>
  <c r="AG2792" i="2" l="1"/>
  <c r="AG2798" i="2" s="1"/>
  <c r="AG2804" i="2"/>
  <c r="AG2793" i="2"/>
  <c r="AI2801" i="2"/>
  <c r="AG2767" i="2"/>
  <c r="AG2754" i="2"/>
  <c r="AG2755" i="2" s="1"/>
  <c r="AG2758" i="2" s="1"/>
  <c r="AH2759" i="2" s="1"/>
  <c r="AG2780" i="2"/>
  <c r="AG2794" i="2" l="1"/>
  <c r="AG2781" i="2"/>
  <c r="AG2768" i="2"/>
  <c r="AG2769" i="2" s="1"/>
  <c r="AG2772" i="2" s="1"/>
  <c r="AH2773" i="2" s="1"/>
  <c r="AG2806" i="2"/>
  <c r="AG2812" i="2" s="1"/>
  <c r="AG2818" i="2"/>
  <c r="AI2815" i="2"/>
  <c r="AG2807" i="2"/>
  <c r="AG2795" i="2" l="1"/>
  <c r="AG2782" i="2"/>
  <c r="AG2783" i="2" s="1"/>
  <c r="AG2786" i="2" s="1"/>
  <c r="AH2787" i="2" s="1"/>
  <c r="AI2829" i="2"/>
  <c r="AG2821" i="2"/>
  <c r="AG2820" i="2"/>
  <c r="AG2826" i="2" s="1"/>
  <c r="AG2832" i="2"/>
  <c r="AG2808" i="2"/>
  <c r="AG2796" i="2" l="1"/>
  <c r="AG2797" i="2" s="1"/>
  <c r="AG2800" i="2" s="1"/>
  <c r="AH2801" i="2" s="1"/>
  <c r="AG2809" i="2"/>
  <c r="AG2846" i="2"/>
  <c r="AG2835" i="2"/>
  <c r="AG2834" i="2"/>
  <c r="AI2843" i="2"/>
  <c r="AG2822" i="2"/>
  <c r="AG2836" i="2" l="1"/>
  <c r="AG2837" i="2" s="1"/>
  <c r="AG2860" i="2"/>
  <c r="AI2857" i="2"/>
  <c r="AG2849" i="2"/>
  <c r="AG2848" i="2"/>
  <c r="AG2840" i="2"/>
  <c r="AG2810" i="2"/>
  <c r="AG2811" i="2" s="1"/>
  <c r="AG2814" i="2" s="1"/>
  <c r="AH2815" i="2" s="1"/>
  <c r="AG2823" i="2"/>
  <c r="AG2850" i="2" l="1"/>
  <c r="AG2824" i="2"/>
  <c r="AG2825" i="2" s="1"/>
  <c r="AG2828" i="2" s="1"/>
  <c r="AH2829" i="2" s="1"/>
  <c r="AG2838" i="2"/>
  <c r="AG2839" i="2" s="1"/>
  <c r="AG2842" i="2" s="1"/>
  <c r="AH2843" i="2" s="1"/>
  <c r="AG2854" i="2"/>
  <c r="AG2863" i="2"/>
  <c r="AI2871" i="2"/>
  <c r="AG2862" i="2"/>
  <c r="AG2874" i="2"/>
  <c r="AG2851" i="2" l="1"/>
  <c r="AG2864" i="2"/>
  <c r="AG2877" i="2"/>
  <c r="AI2885" i="2"/>
  <c r="AG2876" i="2"/>
  <c r="AG2882" i="2" s="1"/>
  <c r="AG2888" i="2"/>
  <c r="AG2868" i="2"/>
  <c r="AG2865" i="2" l="1"/>
  <c r="AG2866" i="2" s="1"/>
  <c r="AG2867" i="2" s="1"/>
  <c r="AG2852" i="2"/>
  <c r="AG2853" i="2" s="1"/>
  <c r="AG2856" i="2" s="1"/>
  <c r="AH2857" i="2" s="1"/>
  <c r="AI2899" i="2"/>
  <c r="AG2891" i="2"/>
  <c r="AG2890" i="2"/>
  <c r="AG2896" i="2" s="1"/>
  <c r="AG2902" i="2"/>
  <c r="AG2878" i="2"/>
  <c r="AG2870" i="2" l="1"/>
  <c r="AH2871" i="2" s="1"/>
  <c r="AG2879" i="2"/>
  <c r="AG2905" i="2"/>
  <c r="AI2913" i="2"/>
  <c r="AG2904" i="2"/>
  <c r="AG2916" i="2"/>
  <c r="AG2892" i="2"/>
  <c r="AG2906" i="2" l="1"/>
  <c r="AG2907" i="2" s="1"/>
  <c r="AG2880" i="2"/>
  <c r="AG2881" i="2" s="1"/>
  <c r="AG2884" i="2" s="1"/>
  <c r="AH2885" i="2" s="1"/>
  <c r="AI2927" i="2"/>
  <c r="AG2918" i="2"/>
  <c r="AG2930" i="2"/>
  <c r="AG2919" i="2"/>
  <c r="AG2893" i="2"/>
  <c r="AG2910" i="2"/>
  <c r="AG2908" i="2" l="1"/>
  <c r="AG2909" i="2" s="1"/>
  <c r="AG2912" i="2" s="1"/>
  <c r="AH2913" i="2" s="1"/>
  <c r="AG2894" i="2"/>
  <c r="AG2895" i="2" s="1"/>
  <c r="AG2898" i="2" s="1"/>
  <c r="AH2899" i="2" s="1"/>
  <c r="AG2944" i="2"/>
  <c r="AI2941" i="2"/>
  <c r="AG2933" i="2"/>
  <c r="AG2932" i="2"/>
  <c r="AG2920" i="2"/>
  <c r="AG2924" i="2"/>
  <c r="AG2934" i="2" l="1"/>
  <c r="AG2935" i="2" s="1"/>
  <c r="AG2958" i="2"/>
  <c r="AI2955" i="2"/>
  <c r="AG2947" i="2"/>
  <c r="AG2946" i="2"/>
  <c r="AG2938" i="2"/>
  <c r="AG2921" i="2"/>
  <c r="AG2922" i="2" l="1"/>
  <c r="AG2923" i="2" s="1"/>
  <c r="AG2926" i="2" s="1"/>
  <c r="AH2927" i="2" s="1"/>
  <c r="AG2972" i="2"/>
  <c r="AG2961" i="2"/>
  <c r="AG2960" i="2"/>
  <c r="AI2969" i="2"/>
  <c r="AG2948" i="2"/>
  <c r="AG2952" i="2"/>
  <c r="AG2936" i="2"/>
  <c r="AG2937" i="2" s="1"/>
  <c r="AG2940" i="2" s="1"/>
  <c r="AH2941" i="2" s="1"/>
  <c r="AG2962" i="2" l="1"/>
  <c r="AI2983" i="2"/>
  <c r="AG2975" i="2"/>
  <c r="AG2974" i="2"/>
  <c r="AG2980" i="2" s="1"/>
  <c r="AG2986" i="2"/>
  <c r="AG2966" i="2"/>
  <c r="AG2949" i="2"/>
  <c r="AG2963" i="2" l="1"/>
  <c r="AG2964" i="2" s="1"/>
  <c r="AG2965" i="2" s="1"/>
  <c r="AG2950" i="2"/>
  <c r="AG2951" i="2" s="1"/>
  <c r="AG2954" i="2" s="1"/>
  <c r="AH2955" i="2" s="1"/>
  <c r="AG3000" i="2"/>
  <c r="AI2997" i="2"/>
  <c r="AG2989" i="2"/>
  <c r="AG2988" i="2"/>
  <c r="AG2994" i="2" s="1"/>
  <c r="AG2976" i="2"/>
  <c r="AG2968" i="2" l="1"/>
  <c r="AH2969" i="2" s="1"/>
  <c r="AG2977" i="2"/>
  <c r="AI3011" i="2"/>
  <c r="AG3003" i="2"/>
  <c r="AG3002" i="2"/>
  <c r="AG3014" i="2"/>
  <c r="AG2990" i="2"/>
  <c r="AG3004" i="2" l="1"/>
  <c r="AI3025" i="2"/>
  <c r="AG3017" i="2"/>
  <c r="AG3016" i="2"/>
  <c r="AG3028" i="2"/>
  <c r="AG2978" i="2"/>
  <c r="AG2979" i="2" s="1"/>
  <c r="AG2982" i="2" s="1"/>
  <c r="AH2983" i="2" s="1"/>
  <c r="AG2991" i="2"/>
  <c r="AG3008" i="2"/>
  <c r="AG3018" i="2" l="1"/>
  <c r="AG3005" i="2"/>
  <c r="AG3022" i="2"/>
  <c r="AG2992" i="2"/>
  <c r="AG2993" i="2" s="1"/>
  <c r="AG2996" i="2" s="1"/>
  <c r="AH2997" i="2" s="1"/>
  <c r="AI3039" i="2"/>
  <c r="AG3031" i="2"/>
  <c r="AG3030" i="2"/>
  <c r="AG3042" i="2"/>
  <c r="AG3006" i="2" l="1"/>
  <c r="AG3007" i="2" s="1"/>
  <c r="AG3010" i="2" s="1"/>
  <c r="AH3011" i="2" s="1"/>
  <c r="AG3019" i="2"/>
  <c r="AG3020" i="2" s="1"/>
  <c r="AG3021" i="2" s="1"/>
  <c r="AG3032" i="2"/>
  <c r="AG3033" i="2" s="1"/>
  <c r="AI3053" i="2"/>
  <c r="AG3056" i="2"/>
  <c r="AG3045" i="2"/>
  <c r="AG3044" i="2"/>
  <c r="AG3036" i="2"/>
  <c r="AG3024" i="2" l="1"/>
  <c r="AH3025" i="2" s="1"/>
  <c r="AG3046" i="2"/>
  <c r="AG3047" i="2" s="1"/>
  <c r="AG3034" i="2"/>
  <c r="AG3035" i="2" s="1"/>
  <c r="AG3038" i="2" s="1"/>
  <c r="AH3039" i="2" s="1"/>
  <c r="AG3059" i="2"/>
  <c r="AG3058" i="2"/>
  <c r="AG3070" i="2"/>
  <c r="AI3067" i="2"/>
  <c r="AG3050" i="2"/>
  <c r="AG3060" i="2" l="1"/>
  <c r="AG3048" i="2"/>
  <c r="AG3049" i="2" s="1"/>
  <c r="AG3052" i="2" s="1"/>
  <c r="AH3053" i="2" s="1"/>
  <c r="AG3072" i="2"/>
  <c r="AG3078" i="2" s="1"/>
  <c r="AG3084" i="2"/>
  <c r="AI3081" i="2"/>
  <c r="AG3073" i="2"/>
  <c r="AG3064" i="2"/>
  <c r="AG3061" i="2" l="1"/>
  <c r="AG3062" i="2" s="1"/>
  <c r="AG3063" i="2" s="1"/>
  <c r="AG3074" i="2"/>
  <c r="AI3095" i="2"/>
  <c r="AG3098" i="2"/>
  <c r="AG3087" i="2"/>
  <c r="AG3086" i="2"/>
  <c r="AG3066" i="2" l="1"/>
  <c r="AH3067" i="2" s="1"/>
  <c r="AG3101" i="2"/>
  <c r="AG3100" i="2"/>
  <c r="AG3112" i="2"/>
  <c r="AI3109" i="2"/>
  <c r="AG3075" i="2"/>
  <c r="AG3088" i="2"/>
  <c r="AG3092" i="2"/>
  <c r="AG3076" i="2" l="1"/>
  <c r="AG3077" i="2" s="1"/>
  <c r="AG3080" i="2" s="1"/>
  <c r="AH3081" i="2" s="1"/>
  <c r="AI3123" i="2"/>
  <c r="AG3115" i="2"/>
  <c r="AG3114" i="2"/>
  <c r="AG3126" i="2"/>
  <c r="AG3089" i="2"/>
  <c r="AG3102" i="2"/>
  <c r="AG3106" i="2"/>
  <c r="AG3116" i="2" l="1"/>
  <c r="AG3117" i="2" s="1"/>
  <c r="AG3120" i="2"/>
  <c r="AG3090" i="2"/>
  <c r="AG3091" i="2" s="1"/>
  <c r="AG3094" i="2" s="1"/>
  <c r="AH3095" i="2" s="1"/>
  <c r="AG3103" i="2"/>
  <c r="AG3129" i="2"/>
  <c r="AG3128" i="2"/>
  <c r="AG3140" i="2"/>
  <c r="AI3137" i="2"/>
  <c r="AG3130" i="2" l="1"/>
  <c r="AG3131" i="2" s="1"/>
  <c r="AI3151" i="2"/>
  <c r="AG3143" i="2"/>
  <c r="AG3142" i="2"/>
  <c r="AG3154" i="2"/>
  <c r="AG3104" i="2"/>
  <c r="AG3105" i="2" s="1"/>
  <c r="AG3108" i="2" s="1"/>
  <c r="AH3109" i="2" s="1"/>
  <c r="AG3118" i="2"/>
  <c r="AG3119" i="2" s="1"/>
  <c r="AG3122" i="2" s="1"/>
  <c r="AH3123" i="2" s="1"/>
  <c r="AG3134" i="2"/>
  <c r="AG3144" i="2" l="1"/>
  <c r="AG3145" i="2" s="1"/>
  <c r="AG3148" i="2"/>
  <c r="AG3168" i="2"/>
  <c r="AI3165" i="2"/>
  <c r="AG3157" i="2"/>
  <c r="AG3156" i="2"/>
  <c r="AG3132" i="2"/>
  <c r="AG3133" i="2" s="1"/>
  <c r="AG3136" i="2" s="1"/>
  <c r="AH3137" i="2" s="1"/>
  <c r="AG3146" i="2" l="1"/>
  <c r="AG3147" i="2" s="1"/>
  <c r="AG3150" i="2" s="1"/>
  <c r="AH3151" i="2" s="1"/>
  <c r="AG3182" i="2"/>
  <c r="AI3179" i="2"/>
  <c r="AG3171" i="2"/>
  <c r="AG3170" i="2"/>
  <c r="AG3158" i="2"/>
  <c r="AG3162" i="2"/>
  <c r="AG3184" i="2" l="1"/>
  <c r="AG3196" i="2"/>
  <c r="AI3193" i="2"/>
  <c r="AG3185" i="2"/>
  <c r="AG3159" i="2"/>
  <c r="AG3172" i="2"/>
  <c r="AG3176" i="2"/>
  <c r="AG3186" i="2" l="1"/>
  <c r="AG3187" i="2" s="1"/>
  <c r="AG3190" i="2"/>
  <c r="AG3160" i="2"/>
  <c r="AG3161" i="2" s="1"/>
  <c r="AG3164" i="2" s="1"/>
  <c r="AH3165" i="2" s="1"/>
  <c r="AG3198" i="2"/>
  <c r="AG3204" i="2" s="1"/>
  <c r="AG3210" i="2"/>
  <c r="AI3207" i="2"/>
  <c r="AG3199" i="2"/>
  <c r="AG3173" i="2"/>
  <c r="AG3200" i="2" l="1"/>
  <c r="AG3201" i="2" s="1"/>
  <c r="AG3188" i="2"/>
  <c r="AG3189" i="2" s="1"/>
  <c r="AG3192" i="2" s="1"/>
  <c r="AH3193" i="2" s="1"/>
  <c r="AG3212" i="2"/>
  <c r="AG3218" i="2" s="1"/>
  <c r="AG3224" i="2"/>
  <c r="AI3221" i="2"/>
  <c r="AG3213" i="2"/>
  <c r="AG3174" i="2"/>
  <c r="AG3175" i="2" s="1"/>
  <c r="AG3178" i="2" s="1"/>
  <c r="AH3179" i="2" s="1"/>
  <c r="AG3214" i="2" l="1"/>
  <c r="AG3227" i="2"/>
  <c r="AI3235" i="2"/>
  <c r="AG3226" i="2"/>
  <c r="AG3238" i="2"/>
  <c r="AG3202" i="2"/>
  <c r="AG3203" i="2" s="1"/>
  <c r="AG3206" i="2" s="1"/>
  <c r="AH3207" i="2" s="1"/>
  <c r="AG3215" i="2" l="1"/>
  <c r="AG3216" i="2" s="1"/>
  <c r="AG3217" i="2" s="1"/>
  <c r="AG3228" i="2"/>
  <c r="AG3229" i="2" s="1"/>
  <c r="AG3232" i="2"/>
  <c r="AG3240" i="2"/>
  <c r="AG3246" i="2" s="1"/>
  <c r="AG3252" i="2"/>
  <c r="AI3249" i="2"/>
  <c r="AG3241" i="2"/>
  <c r="AG3220" i="2" l="1"/>
  <c r="AH3221" i="2" s="1"/>
  <c r="AG3242" i="2"/>
  <c r="AG3243" i="2" s="1"/>
  <c r="AG3266" i="2"/>
  <c r="AG3255" i="2"/>
  <c r="AG3254" i="2"/>
  <c r="AI3263" i="2"/>
  <c r="AG3230" i="2"/>
  <c r="AG3231" i="2" s="1"/>
  <c r="AG3234" i="2" s="1"/>
  <c r="AH3235" i="2" s="1"/>
  <c r="AG3256" i="2" l="1"/>
  <c r="AG3244" i="2"/>
  <c r="AG3245" i="2" s="1"/>
  <c r="AG3248" i="2" s="1"/>
  <c r="AH3249" i="2" s="1"/>
  <c r="AG3268" i="2"/>
  <c r="AG3269" i="2"/>
  <c r="AG3280" i="2"/>
  <c r="AI3277" i="2"/>
  <c r="AG3260" i="2"/>
  <c r="AG3270" i="2" l="1"/>
  <c r="AG3257" i="2"/>
  <c r="AG3294" i="2"/>
  <c r="AI3291" i="2"/>
  <c r="AG3283" i="2"/>
  <c r="AG3282" i="2"/>
  <c r="AG3274" i="2"/>
  <c r="AG3284" i="2" l="1"/>
  <c r="AG3285" i="2" s="1"/>
  <c r="AG3258" i="2"/>
  <c r="AG3259" i="2" s="1"/>
  <c r="AG3262" i="2" s="1"/>
  <c r="AH3263" i="2" s="1"/>
  <c r="AG3271" i="2"/>
  <c r="AG3288" i="2"/>
  <c r="AG3297" i="2"/>
  <c r="AG3296" i="2"/>
  <c r="AG3308" i="2"/>
  <c r="AI3305" i="2"/>
  <c r="AG3272" i="2" l="1"/>
  <c r="AG3273" i="2" s="1"/>
  <c r="AG3276" i="2" s="1"/>
  <c r="AH3277" i="2" s="1"/>
  <c r="AG3311" i="2"/>
  <c r="AG3310" i="2"/>
  <c r="AG3316" i="2" s="1"/>
  <c r="AG3322" i="2"/>
  <c r="AI3319" i="2"/>
  <c r="AG3286" i="2"/>
  <c r="AG3287" i="2" s="1"/>
  <c r="AG3290" i="2" s="1"/>
  <c r="AH3291" i="2" s="1"/>
  <c r="AG3298" i="2"/>
  <c r="AG3302" i="2"/>
  <c r="AG3312" i="2" l="1"/>
  <c r="AG3336" i="2"/>
  <c r="AI3333" i="2"/>
  <c r="AG3325" i="2"/>
  <c r="AG3324" i="2"/>
  <c r="AG3299" i="2"/>
  <c r="AG3313" i="2" l="1"/>
  <c r="AG3326" i="2"/>
  <c r="AG3327" i="2" s="1"/>
  <c r="AG3300" i="2"/>
  <c r="AG3301" i="2" s="1"/>
  <c r="AG3304" i="2" s="1"/>
  <c r="AH3305" i="2" s="1"/>
  <c r="AG3339" i="2"/>
  <c r="AG3338" i="2"/>
  <c r="AG3344" i="2" s="1"/>
  <c r="AG3350" i="2"/>
  <c r="AI3347" i="2"/>
  <c r="AG3330" i="2"/>
  <c r="AG3314" i="2" l="1"/>
  <c r="AG3315" i="2" s="1"/>
  <c r="AG3318" i="2" s="1"/>
  <c r="AH3319" i="2" s="1"/>
  <c r="AG3328" i="2"/>
  <c r="AG3329" i="2" s="1"/>
  <c r="AG3332" i="2" s="1"/>
  <c r="AH3333" i="2" s="1"/>
  <c r="AG3353" i="2"/>
  <c r="AG3352" i="2"/>
  <c r="AG3358" i="2" s="1"/>
  <c r="AG3364" i="2"/>
  <c r="AI3361" i="2"/>
  <c r="AG3340" i="2"/>
  <c r="AG3366" i="2" l="1"/>
  <c r="AG3378" i="2"/>
  <c r="AI3375" i="2"/>
  <c r="AG3367" i="2"/>
  <c r="AG3341" i="2"/>
  <c r="AG3354" i="2"/>
  <c r="AG3368" i="2" l="1"/>
  <c r="AG3369" i="2" s="1"/>
  <c r="AG3372" i="2"/>
  <c r="AG3392" i="2"/>
  <c r="AG3381" i="2"/>
  <c r="AG3380" i="2"/>
  <c r="AG3386" i="2" s="1"/>
  <c r="AI3389" i="2"/>
  <c r="AG3342" i="2"/>
  <c r="AG3343" i="2" s="1"/>
  <c r="AG3346" i="2" s="1"/>
  <c r="AH3347" i="2" s="1"/>
  <c r="AG3355" i="2"/>
  <c r="AG3382" i="2" l="1"/>
  <c r="AG3383" i="2" s="1"/>
  <c r="AI3403" i="2"/>
  <c r="AG3394" i="2"/>
  <c r="AG3406" i="2"/>
  <c r="AG3395" i="2"/>
  <c r="AG3370" i="2"/>
  <c r="AG3371" i="2" s="1"/>
  <c r="AG3374" i="2" s="1"/>
  <c r="AH3375" i="2" s="1"/>
  <c r="AG3356" i="2"/>
  <c r="AG3357" i="2" s="1"/>
  <c r="AG3360" i="2" s="1"/>
  <c r="AH3361" i="2" s="1"/>
  <c r="AG3396" i="2" l="1"/>
  <c r="AG3397" i="2" s="1"/>
  <c r="AG3400" i="2"/>
  <c r="AG3384" i="2"/>
  <c r="AG3385" i="2" s="1"/>
  <c r="AG3388" i="2" s="1"/>
  <c r="AH3389" i="2" s="1"/>
  <c r="AI3417" i="2"/>
  <c r="AG3420" i="2"/>
  <c r="AG3409" i="2"/>
  <c r="AG3408" i="2"/>
  <c r="AG3410" i="2" l="1"/>
  <c r="AG3398" i="2"/>
  <c r="AG3399" i="2" s="1"/>
  <c r="AG3402" i="2" s="1"/>
  <c r="AH3403" i="2" s="1"/>
  <c r="AI3431" i="2"/>
  <c r="AG3422" i="2"/>
  <c r="AG3428" i="2" s="1"/>
  <c r="AG3434" i="2"/>
  <c r="AG3423" i="2"/>
  <c r="AG3414" i="2"/>
  <c r="AG3411" i="2" l="1"/>
  <c r="AG3412" i="2" s="1"/>
  <c r="AG3413" i="2" s="1"/>
  <c r="AG3424" i="2"/>
  <c r="AG3436" i="2"/>
  <c r="AG3442" i="2" s="1"/>
  <c r="AG3448" i="2"/>
  <c r="AI3445" i="2"/>
  <c r="AG3437" i="2"/>
  <c r="AG3425" i="2" l="1"/>
  <c r="AG3426" i="2" s="1"/>
  <c r="AG3427" i="2" s="1"/>
  <c r="AG3416" i="2"/>
  <c r="AH3417" i="2" s="1"/>
  <c r="AG3438" i="2"/>
  <c r="AG3451" i="2"/>
  <c r="AG3450" i="2"/>
  <c r="AG3456" i="2" s="1"/>
  <c r="AG3462" i="2"/>
  <c r="AI3459" i="2"/>
  <c r="AG3430" i="2" l="1"/>
  <c r="AH3431" i="2" s="1"/>
  <c r="AG3439" i="2"/>
  <c r="AI3473" i="2"/>
  <c r="AG3464" i="2"/>
  <c r="AG3476" i="2"/>
  <c r="AG3465" i="2"/>
  <c r="AG3452" i="2"/>
  <c r="AG3440" i="2" l="1"/>
  <c r="AG3441" i="2" s="1"/>
  <c r="AG3444" i="2" s="1"/>
  <c r="AH3445" i="2" s="1"/>
  <c r="AG3466" i="2"/>
  <c r="AG3453" i="2"/>
  <c r="AG3478" i="2"/>
  <c r="AG3490" i="2"/>
  <c r="AI3487" i="2"/>
  <c r="AG3479" i="2"/>
  <c r="AG3470" i="2"/>
  <c r="AG3467" i="2" l="1"/>
  <c r="AG3480" i="2"/>
  <c r="AI3501" i="2"/>
  <c r="AG3504" i="2"/>
  <c r="AG3492" i="2"/>
  <c r="AG3493" i="2"/>
  <c r="AG3454" i="2"/>
  <c r="AG3455" i="2" s="1"/>
  <c r="AG3458" i="2" s="1"/>
  <c r="AH3459" i="2" s="1"/>
  <c r="AG3484" i="2"/>
  <c r="AG3494" i="2" l="1"/>
  <c r="AG3495" i="2" s="1"/>
  <c r="AG3468" i="2"/>
  <c r="AG3469" i="2" s="1"/>
  <c r="AG3472" i="2" s="1"/>
  <c r="AH3473" i="2" s="1"/>
  <c r="AI3515" i="2"/>
  <c r="AG3507" i="2"/>
  <c r="AG3506" i="2"/>
  <c r="AG3512" i="2" s="1"/>
  <c r="AG3518" i="2"/>
  <c r="AG3481" i="2"/>
  <c r="AG3498" i="2"/>
  <c r="AG3482" i="2" l="1"/>
  <c r="AG3483" i="2" s="1"/>
  <c r="AG3486" i="2" s="1"/>
  <c r="AH3487" i="2" s="1"/>
  <c r="AG3496" i="2"/>
  <c r="AG3497" i="2" s="1"/>
  <c r="AG3500" i="2" s="1"/>
  <c r="AH3501" i="2" s="1"/>
  <c r="AI3529" i="2"/>
  <c r="AG3532" i="2"/>
  <c r="AG3521" i="2"/>
  <c r="AG3520" i="2"/>
  <c r="AG3526" i="2" s="1"/>
  <c r="AG3508" i="2"/>
  <c r="AG3522" i="2" l="1"/>
  <c r="AG3523" i="2" s="1"/>
  <c r="AG3509" i="2"/>
  <c r="AI3543" i="2"/>
  <c r="AG3535" i="2"/>
  <c r="AG3534" i="2"/>
  <c r="AG3546" i="2"/>
  <c r="AG3510" i="2" l="1"/>
  <c r="AG3511" i="2" s="1"/>
  <c r="AG3514" i="2" s="1"/>
  <c r="AH3515" i="2" s="1"/>
  <c r="AG3549" i="2"/>
  <c r="AI3557" i="2"/>
  <c r="AG3548" i="2"/>
  <c r="AG3560" i="2"/>
  <c r="AG3524" i="2"/>
  <c r="AG3525" i="2" s="1"/>
  <c r="AG3528" i="2" s="1"/>
  <c r="AH3529" i="2" s="1"/>
  <c r="AG3536" i="2"/>
  <c r="AG3540" i="2"/>
  <c r="AG3550" i="2" l="1"/>
  <c r="AG3551" i="2" s="1"/>
  <c r="AG3574" i="2"/>
  <c r="AG3563" i="2"/>
  <c r="AI3571" i="2"/>
  <c r="AG3562" i="2"/>
  <c r="AG3568" i="2" s="1"/>
  <c r="AG3537" i="2"/>
  <c r="AG3554" i="2"/>
  <c r="AI3585" i="2" l="1"/>
  <c r="AG3577" i="2"/>
  <c r="AG3576" i="2"/>
  <c r="AG3582" i="2" s="1"/>
  <c r="AG3588" i="2"/>
  <c r="AG3538" i="2"/>
  <c r="AG3539" i="2" s="1"/>
  <c r="AG3542" i="2" s="1"/>
  <c r="AH3543" i="2" s="1"/>
  <c r="AG3552" i="2"/>
  <c r="AG3553" i="2" s="1"/>
  <c r="AG3556" i="2" s="1"/>
  <c r="AH3557" i="2" s="1"/>
  <c r="AG3564" i="2"/>
  <c r="AG3590" i="2" l="1"/>
  <c r="AG3602" i="2"/>
  <c r="AI3599" i="2"/>
  <c r="AG3591" i="2"/>
  <c r="AG3565" i="2"/>
  <c r="AG3578" i="2"/>
  <c r="AG3604" i="2" l="1"/>
  <c r="AG3616" i="2"/>
  <c r="AI3613" i="2"/>
  <c r="AG3605" i="2"/>
  <c r="AG3566" i="2"/>
  <c r="AG3567" i="2" s="1"/>
  <c r="AG3570" i="2" s="1"/>
  <c r="AH3571" i="2" s="1"/>
  <c r="AG3592" i="2"/>
  <c r="AG3579" i="2"/>
  <c r="AG3596" i="2"/>
  <c r="AG3619" i="2" l="1"/>
  <c r="AG3618" i="2"/>
  <c r="AG3630" i="2"/>
  <c r="AI3627" i="2"/>
  <c r="AG3580" i="2"/>
  <c r="AG3581" i="2" s="1"/>
  <c r="AG3584" i="2" s="1"/>
  <c r="AH3585" i="2" s="1"/>
  <c r="AG3593" i="2"/>
  <c r="AG3606" i="2"/>
  <c r="AG3610" i="2"/>
  <c r="AG3607" i="2" l="1"/>
  <c r="AG3633" i="2"/>
  <c r="AG3632" i="2"/>
  <c r="AG3644" i="2"/>
  <c r="AI3641" i="2"/>
  <c r="AG3594" i="2"/>
  <c r="AG3595" i="2" s="1"/>
  <c r="AG3598" i="2" s="1"/>
  <c r="AH3599" i="2" s="1"/>
  <c r="AG3620" i="2"/>
  <c r="AG3624" i="2"/>
  <c r="AG3634" i="2" l="1"/>
  <c r="AG3635" i="2" s="1"/>
  <c r="AG3608" i="2"/>
  <c r="AG3609" i="2" s="1"/>
  <c r="AG3612" i="2" s="1"/>
  <c r="AH3613" i="2" s="1"/>
  <c r="AG3621" i="2"/>
  <c r="AG3647" i="2"/>
  <c r="AI3655" i="2"/>
  <c r="AG3646" i="2"/>
  <c r="AG3652" i="2" s="1"/>
  <c r="AG3658" i="2"/>
  <c r="AG3638" i="2"/>
  <c r="AG3622" i="2" l="1"/>
  <c r="AG3623" i="2" s="1"/>
  <c r="AG3626" i="2" s="1"/>
  <c r="AH3627" i="2" s="1"/>
  <c r="AG3648" i="2"/>
  <c r="AG3661" i="2"/>
  <c r="AG3660" i="2"/>
  <c r="AG3672" i="2"/>
  <c r="AI3669" i="2"/>
  <c r="AG3636" i="2"/>
  <c r="AG3637" i="2" s="1"/>
  <c r="AG3640" i="2" s="1"/>
  <c r="AH3641" i="2" s="1"/>
  <c r="AG3662" i="2" l="1"/>
  <c r="AG3663" i="2" s="1"/>
  <c r="AG3674" i="2"/>
  <c r="AG3686" i="2"/>
  <c r="AI3683" i="2"/>
  <c r="AG3675" i="2"/>
  <c r="AG3649" i="2"/>
  <c r="AG3666" i="2"/>
  <c r="AG3689" i="2" l="1"/>
  <c r="AG3688" i="2"/>
  <c r="AG3694" i="2" s="1"/>
  <c r="AG3700" i="2"/>
  <c r="AI3697" i="2"/>
  <c r="AG3664" i="2"/>
  <c r="AG3665" i="2" s="1"/>
  <c r="AG3668" i="2" s="1"/>
  <c r="AH3669" i="2" s="1"/>
  <c r="AG3650" i="2"/>
  <c r="AG3651" i="2" s="1"/>
  <c r="AG3654" i="2" s="1"/>
  <c r="AH3655" i="2" s="1"/>
  <c r="AG3676" i="2"/>
  <c r="AG3680" i="2"/>
  <c r="AG3677" i="2" l="1"/>
  <c r="AG3690" i="2"/>
  <c r="AG3702" i="2"/>
  <c r="AG3708" i="2" s="1"/>
  <c r="AG3714" i="2"/>
  <c r="AI3711" i="2"/>
  <c r="AG3703" i="2"/>
  <c r="AG3717" i="2" l="1"/>
  <c r="AG3716" i="2"/>
  <c r="AG3728" i="2"/>
  <c r="AI3725" i="2"/>
  <c r="AG3678" i="2"/>
  <c r="AG3679" i="2" s="1"/>
  <c r="AG3682" i="2" s="1"/>
  <c r="AH3683" i="2" s="1"/>
  <c r="AG3691" i="2"/>
  <c r="AG3704" i="2"/>
  <c r="AG3692" i="2" l="1"/>
  <c r="AG3693" i="2" s="1"/>
  <c r="AG3696" i="2" s="1"/>
  <c r="AH3697" i="2" s="1"/>
  <c r="AG3731" i="2"/>
  <c r="AG3730" i="2"/>
  <c r="AI3739" i="2"/>
  <c r="AG3742" i="2"/>
  <c r="AG3705" i="2"/>
  <c r="AG3718" i="2"/>
  <c r="AG3722" i="2"/>
  <c r="AG3732" i="2" l="1"/>
  <c r="AG3733" i="2" s="1"/>
  <c r="AG3719" i="2"/>
  <c r="AG3736" i="2"/>
  <c r="AG3706" i="2"/>
  <c r="AG3707" i="2" s="1"/>
  <c r="AG3710" i="2" s="1"/>
  <c r="AH3711" i="2" s="1"/>
  <c r="AI3753" i="2"/>
  <c r="AG3756" i="2"/>
  <c r="AG3745" i="2"/>
  <c r="AG3744" i="2"/>
  <c r="AG3750" i="2" s="1"/>
  <c r="AG3734" i="2" l="1"/>
  <c r="AG3735" i="2" s="1"/>
  <c r="AG3738" i="2" s="1"/>
  <c r="AH3739" i="2" s="1"/>
  <c r="AG3758" i="2"/>
  <c r="AG3764" i="2" s="1"/>
  <c r="AG3770" i="2"/>
  <c r="AI3767" i="2"/>
  <c r="AG3759" i="2"/>
  <c r="AG3720" i="2"/>
  <c r="AG3721" i="2" s="1"/>
  <c r="AG3724" i="2" s="1"/>
  <c r="AH3725" i="2" s="1"/>
  <c r="AG3746" i="2"/>
  <c r="AG3747" i="2" l="1"/>
  <c r="AG3760" i="2"/>
  <c r="AG3772" i="2"/>
  <c r="AI3781" i="2"/>
  <c r="AG3773" i="2"/>
  <c r="AG3784" i="2"/>
  <c r="AG3774" i="2" l="1"/>
  <c r="AG3748" i="2"/>
  <c r="AG3749" i="2" s="1"/>
  <c r="AG3752" i="2" s="1"/>
  <c r="AH3753" i="2" s="1"/>
  <c r="AG3761" i="2"/>
  <c r="AG3786" i="2"/>
  <c r="AG3792" i="2" s="1"/>
  <c r="AG3798" i="2"/>
  <c r="AI3795" i="2"/>
  <c r="AG3787" i="2"/>
  <c r="AG3778" i="2"/>
  <c r="AG3775" i="2" l="1"/>
  <c r="AG3776" i="2" s="1"/>
  <c r="AG3777" i="2" s="1"/>
  <c r="AG3801" i="2"/>
  <c r="AI3809" i="2"/>
  <c r="AG3800" i="2"/>
  <c r="AG3806" i="2" s="1"/>
  <c r="AG3812" i="2"/>
  <c r="AG3762" i="2"/>
  <c r="AG3763" i="2" s="1"/>
  <c r="AG3766" i="2" s="1"/>
  <c r="AH3767" i="2" s="1"/>
  <c r="AG3788" i="2"/>
  <c r="AG3780" i="2" l="1"/>
  <c r="AH3781" i="2" s="1"/>
  <c r="AG3789" i="2"/>
  <c r="AI3823" i="2"/>
  <c r="AG3826" i="2"/>
  <c r="AG3815" i="2"/>
  <c r="AG3814" i="2"/>
  <c r="AG3802" i="2"/>
  <c r="AG3790" i="2" l="1"/>
  <c r="AG3791" i="2" s="1"/>
  <c r="AG3794" i="2" s="1"/>
  <c r="AH3795" i="2" s="1"/>
  <c r="AG3803" i="2"/>
  <c r="AG3828" i="2"/>
  <c r="AI3837" i="2"/>
  <c r="AG3829" i="2"/>
  <c r="AG3840" i="2"/>
  <c r="AG3816" i="2"/>
  <c r="AG3820" i="2"/>
  <c r="AG3830" i="2" l="1"/>
  <c r="AG3831" i="2" s="1"/>
  <c r="AG3854" i="2"/>
  <c r="AG3842" i="2"/>
  <c r="AI3851" i="2"/>
  <c r="AG3843" i="2"/>
  <c r="AG3834" i="2"/>
  <c r="AG3817" i="2"/>
  <c r="AG3804" i="2"/>
  <c r="AG3805" i="2" s="1"/>
  <c r="AG3808" i="2" s="1"/>
  <c r="AH3809" i="2" s="1"/>
  <c r="AG3844" i="2" l="1"/>
  <c r="AG3848" i="2"/>
  <c r="AG3857" i="2"/>
  <c r="AG3868" i="2"/>
  <c r="AI3865" i="2"/>
  <c r="AG3856" i="2"/>
  <c r="AG3818" i="2"/>
  <c r="AG3819" i="2" s="1"/>
  <c r="AG3822" i="2" s="1"/>
  <c r="AH3823" i="2" s="1"/>
  <c r="AG3832" i="2"/>
  <c r="AG3833" i="2" s="1"/>
  <c r="AG3836" i="2" s="1"/>
  <c r="AH3837" i="2" s="1"/>
  <c r="AG3845" i="2" l="1"/>
  <c r="AG3858" i="2"/>
  <c r="AG3862" i="2"/>
  <c r="AG3882" i="2"/>
  <c r="AI3879" i="2"/>
  <c r="AG3871" i="2"/>
  <c r="AG3870" i="2"/>
  <c r="AG3846" i="2" l="1"/>
  <c r="AG3847" i="2" s="1"/>
  <c r="AG3850" i="2" s="1"/>
  <c r="AH3851" i="2" s="1"/>
  <c r="AG3885" i="2"/>
  <c r="AG3884" i="2"/>
  <c r="AG3890" i="2" s="1"/>
  <c r="AI3893" i="2"/>
  <c r="AG3896" i="2"/>
  <c r="AG3859" i="2"/>
  <c r="AG3872" i="2"/>
  <c r="AG3876" i="2"/>
  <c r="AG3910" i="2" l="1"/>
  <c r="AI3907" i="2"/>
  <c r="AG3899" i="2"/>
  <c r="AG3898" i="2"/>
  <c r="AG3860" i="2"/>
  <c r="AG3861" i="2" s="1"/>
  <c r="AG3864" i="2" s="1"/>
  <c r="AH3865" i="2" s="1"/>
  <c r="AG3873" i="2"/>
  <c r="AG3886" i="2"/>
  <c r="AG3900" i="2" l="1"/>
  <c r="AG3887" i="2"/>
  <c r="AG3913" i="2"/>
  <c r="AG3912" i="2"/>
  <c r="AG3918" i="2" s="1"/>
  <c r="AG3924" i="2"/>
  <c r="AI3921" i="2"/>
  <c r="AG3904" i="2"/>
  <c r="AG3874" i="2"/>
  <c r="AG3875" i="2" s="1"/>
  <c r="AG3878" i="2" s="1"/>
  <c r="AH3879" i="2" s="1"/>
  <c r="AG3901" i="2" l="1"/>
  <c r="AI3935" i="2"/>
  <c r="AG3938" i="2"/>
  <c r="AG3927" i="2"/>
  <c r="AG3926" i="2"/>
  <c r="AG3932" i="2" s="1"/>
  <c r="AG3888" i="2"/>
  <c r="AG3889" i="2" s="1"/>
  <c r="AG3892" i="2" s="1"/>
  <c r="AH3893" i="2" s="1"/>
  <c r="AG3914" i="2"/>
  <c r="AG3902" i="2" l="1"/>
  <c r="AG3903" i="2" s="1"/>
  <c r="AG3906" i="2" s="1"/>
  <c r="AH3907" i="2" s="1"/>
  <c r="AG3915" i="2"/>
  <c r="AG3940" i="2"/>
  <c r="AG3946" i="2" s="1"/>
  <c r="AG3952" i="2"/>
  <c r="AI3949" i="2"/>
  <c r="AG3941" i="2"/>
  <c r="AG3928" i="2"/>
  <c r="AG3916" i="2" l="1"/>
  <c r="AG3917" i="2" s="1"/>
  <c r="AG3920" i="2" s="1"/>
  <c r="AH3921" i="2" s="1"/>
  <c r="AG3929" i="2"/>
  <c r="AG3954" i="2"/>
  <c r="AG3960" i="2" s="1"/>
  <c r="AG3966" i="2"/>
  <c r="AI3963" i="2"/>
  <c r="AG3955" i="2"/>
  <c r="AG3942" i="2"/>
  <c r="AG3956" i="2" l="1"/>
  <c r="AG3957" i="2" s="1"/>
  <c r="AG3943" i="2"/>
  <c r="AG3968" i="2"/>
  <c r="AI3977" i="2"/>
  <c r="AG3969" i="2"/>
  <c r="AG3980" i="2"/>
  <c r="AG3930" i="2"/>
  <c r="AG3931" i="2" s="1"/>
  <c r="AG3934" i="2" s="1"/>
  <c r="AH3935" i="2" s="1"/>
  <c r="AG3970" i="2" l="1"/>
  <c r="AG3971" i="2" s="1"/>
  <c r="AG3982" i="2"/>
  <c r="AG3988" i="2" s="1"/>
  <c r="AG3994" i="2"/>
  <c r="AI3991" i="2"/>
  <c r="AG3983" i="2"/>
  <c r="AG3958" i="2"/>
  <c r="AG3959" i="2" s="1"/>
  <c r="AG3962" i="2" s="1"/>
  <c r="AH3963" i="2" s="1"/>
  <c r="AG3974" i="2"/>
  <c r="AG3944" i="2"/>
  <c r="AG3945" i="2" s="1"/>
  <c r="AG3948" i="2" s="1"/>
  <c r="AH3949" i="2" s="1"/>
  <c r="AG3984" i="2" l="1"/>
  <c r="AG3985" i="2" s="1"/>
  <c r="AG3997" i="2"/>
  <c r="AI4005" i="2"/>
  <c r="AG3996" i="2"/>
  <c r="AG4002" i="2" s="1"/>
  <c r="AG4008" i="2"/>
  <c r="AG3972" i="2"/>
  <c r="AG3973" i="2" s="1"/>
  <c r="AG3976" i="2" s="1"/>
  <c r="AH3977" i="2" s="1"/>
  <c r="AG3986" i="2" l="1"/>
  <c r="AG3987" i="2" s="1"/>
  <c r="AG3990" i="2" s="1"/>
  <c r="AH3991" i="2" s="1"/>
  <c r="AG4010" i="2"/>
  <c r="AG4016" i="2" s="1"/>
  <c r="AI4019" i="2"/>
  <c r="AG4011" i="2"/>
  <c r="AG4022" i="2"/>
  <c r="AG3998" i="2"/>
  <c r="AG4025" i="2" l="1"/>
  <c r="AG4036" i="2"/>
  <c r="AI4033" i="2"/>
  <c r="AG4024" i="2"/>
  <c r="AG3999" i="2"/>
  <c r="AG4012" i="2"/>
  <c r="AG4026" i="2" l="1"/>
  <c r="AG4030" i="2"/>
  <c r="AG4038" i="2"/>
  <c r="AG4044" i="2" s="1"/>
  <c r="AG4050" i="2"/>
  <c r="AI4047" i="2"/>
  <c r="AG4039" i="2"/>
  <c r="AG4000" i="2"/>
  <c r="AG4001" i="2" s="1"/>
  <c r="AG4004" i="2" s="1"/>
  <c r="AH4005" i="2" s="1"/>
  <c r="AG4013" i="2"/>
  <c r="AG4027" i="2" l="1"/>
  <c r="AG4040" i="2"/>
  <c r="AG4014" i="2"/>
  <c r="AG4015" i="2" s="1"/>
  <c r="AG4018" i="2" s="1"/>
  <c r="AH4019" i="2" s="1"/>
  <c r="AI4061" i="2"/>
  <c r="AG4052" i="2"/>
  <c r="AG4058" i="2" s="1"/>
  <c r="AG4053" i="2"/>
  <c r="AG4064" i="2"/>
  <c r="AG4028" i="2" l="1"/>
  <c r="AG4029" i="2" s="1"/>
  <c r="AG4032" i="2" s="1"/>
  <c r="AH4033" i="2" s="1"/>
  <c r="AG4054" i="2"/>
  <c r="AI4075" i="2"/>
  <c r="AG4078" i="2"/>
  <c r="AG4067" i="2"/>
  <c r="AG4066" i="2"/>
  <c r="AG4041" i="2"/>
  <c r="AG4042" i="2" l="1"/>
  <c r="AG4043" i="2" s="1"/>
  <c r="AG4046" i="2" s="1"/>
  <c r="AH4047" i="2" s="1"/>
  <c r="AI4089" i="2"/>
  <c r="AG4092" i="2"/>
  <c r="AG4081" i="2"/>
  <c r="AG4080" i="2"/>
  <c r="AG4068" i="2"/>
  <c r="AG4055" i="2"/>
  <c r="AG4072" i="2"/>
  <c r="AG4056" i="2" l="1"/>
  <c r="AG4057" i="2" s="1"/>
  <c r="AG4060" i="2" s="1"/>
  <c r="AH4061" i="2" s="1"/>
  <c r="AG4082" i="2"/>
  <c r="AG4069" i="2"/>
  <c r="AG4095" i="2"/>
  <c r="AI4103" i="2"/>
  <c r="AG4094" i="2"/>
  <c r="AG4106" i="2"/>
  <c r="AG4086" i="2"/>
  <c r="AG4096" i="2" l="1"/>
  <c r="AG4108" i="2"/>
  <c r="AG4114" i="2" s="1"/>
  <c r="AI4117" i="2"/>
  <c r="AG4109" i="2"/>
  <c r="AG4120" i="2"/>
  <c r="AG4083" i="2"/>
  <c r="AG4070" i="2"/>
  <c r="AG4071" i="2" s="1"/>
  <c r="AG4074" i="2" s="1"/>
  <c r="AH4075" i="2" s="1"/>
  <c r="AG4100" i="2"/>
  <c r="AG4097" i="2" l="1"/>
  <c r="AI4131" i="2"/>
  <c r="AG4134" i="2"/>
  <c r="AG4123" i="2"/>
  <c r="AG4122" i="2"/>
  <c r="AG4084" i="2"/>
  <c r="AG4085" i="2" s="1"/>
  <c r="AG4088" i="2" s="1"/>
  <c r="AH4089" i="2" s="1"/>
  <c r="AG4110" i="2"/>
  <c r="AG4098" i="2" l="1"/>
  <c r="AG4099" i="2" s="1"/>
  <c r="AG4102" i="2" s="1"/>
  <c r="AH4103" i="2" s="1"/>
  <c r="AG4111" i="2"/>
  <c r="AG4137" i="2"/>
  <c r="AG4148" i="2"/>
  <c r="AI4145" i="2"/>
  <c r="AG4136" i="2"/>
  <c r="AG4124" i="2"/>
  <c r="AG4128" i="2"/>
  <c r="AG4138" i="2" l="1"/>
  <c r="AG4139" i="2" s="1"/>
  <c r="AG4150" i="2"/>
  <c r="AG4156" i="2" s="1"/>
  <c r="AG4162" i="2"/>
  <c r="AI4159" i="2"/>
  <c r="AG4151" i="2"/>
  <c r="AG4112" i="2"/>
  <c r="AG4113" i="2" s="1"/>
  <c r="AG4116" i="2" s="1"/>
  <c r="AH4117" i="2" s="1"/>
  <c r="AG4125" i="2"/>
  <c r="AG4142" i="2"/>
  <c r="AG4152" i="2" l="1"/>
  <c r="AG4153" i="2" s="1"/>
  <c r="AG4126" i="2"/>
  <c r="AG4127" i="2" s="1"/>
  <c r="AG4130" i="2" s="1"/>
  <c r="AH4131" i="2" s="1"/>
  <c r="AI4173" i="2"/>
  <c r="AG4176" i="2"/>
  <c r="AG4165" i="2"/>
  <c r="AG4164" i="2"/>
  <c r="AG4170" i="2" s="1"/>
  <c r="AG4140" i="2"/>
  <c r="AG4141" i="2" s="1"/>
  <c r="AG4144" i="2" s="1"/>
  <c r="AH4145" i="2" s="1"/>
  <c r="AG4154" i="2" l="1"/>
  <c r="AG4155" i="2" s="1"/>
  <c r="AG4158" i="2" s="1"/>
  <c r="AH4159" i="2" s="1"/>
  <c r="AG4178" i="2"/>
  <c r="AG4184" i="2" s="1"/>
  <c r="AG4190" i="2"/>
  <c r="AG4179" i="2"/>
  <c r="AI4187" i="2"/>
  <c r="AG4166" i="2"/>
  <c r="AG4167" i="2" l="1"/>
  <c r="AG4192" i="2"/>
  <c r="AG4198" i="2" s="1"/>
  <c r="AG4204" i="2"/>
  <c r="AI4201" i="2"/>
  <c r="AG4193" i="2"/>
  <c r="AG4180" i="2"/>
  <c r="AG4168" i="2" l="1"/>
  <c r="AG4169" i="2" s="1"/>
  <c r="AG4172" i="2" s="1"/>
  <c r="AH4173" i="2" s="1"/>
  <c r="AG4181" i="2"/>
  <c r="AG4207" i="2"/>
  <c r="AG4206" i="2"/>
  <c r="AG4212" i="2" s="1"/>
  <c r="AG4218" i="2"/>
  <c r="AI4215" i="2"/>
  <c r="AG4194" i="2"/>
  <c r="AG4195" i="2" l="1"/>
  <c r="AG4182" i="2"/>
  <c r="AG4183" i="2" s="1"/>
  <c r="AG4186" i="2" s="1"/>
  <c r="AH4187" i="2" s="1"/>
  <c r="AG4221" i="2"/>
  <c r="AI4229" i="2"/>
  <c r="AG4220" i="2"/>
  <c r="AG4226" i="2" s="1"/>
  <c r="AG4232" i="2"/>
  <c r="AG4208" i="2"/>
  <c r="AG4196" i="2" l="1"/>
  <c r="AG4197" i="2" s="1"/>
  <c r="AG4200" i="2" s="1"/>
  <c r="AH4201" i="2" s="1"/>
  <c r="AI4243" i="2"/>
  <c r="AG4234" i="2"/>
  <c r="AG4240" i="2" s="1"/>
  <c r="AG4235" i="2"/>
  <c r="AG4246" i="2"/>
  <c r="AG4209" i="2"/>
  <c r="AG4222" i="2"/>
  <c r="AG4223" i="2" l="1"/>
  <c r="AG4248" i="2"/>
  <c r="AG4254" i="2" s="1"/>
  <c r="AI4257" i="2"/>
  <c r="AG4249" i="2"/>
  <c r="AG4260" i="2"/>
  <c r="AG4210" i="2"/>
  <c r="AG4211" i="2" s="1"/>
  <c r="AG4214" i="2" s="1"/>
  <c r="AH4215" i="2" s="1"/>
  <c r="AG4236" i="2"/>
  <c r="AG4224" i="2" l="1"/>
  <c r="AG4225" i="2" s="1"/>
  <c r="AG4228" i="2" s="1"/>
  <c r="AH4229" i="2" s="1"/>
  <c r="AG4237" i="2"/>
  <c r="AG4274" i="2"/>
  <c r="AI4271" i="2"/>
  <c r="AG4263" i="2"/>
  <c r="AG4262" i="2"/>
  <c r="AG4268" i="2" s="1"/>
  <c r="AG4250" i="2"/>
  <c r="AG4276" i="2" l="1"/>
  <c r="AG4288" i="2"/>
  <c r="AG4277" i="2"/>
  <c r="AI4285" i="2"/>
  <c r="AG4251" i="2"/>
  <c r="AG4238" i="2"/>
  <c r="AG4239" i="2" s="1"/>
  <c r="AG4242" i="2" s="1"/>
  <c r="AH4243" i="2" s="1"/>
  <c r="AG4264" i="2"/>
  <c r="AG4265" i="2" l="1"/>
  <c r="AG4291" i="2"/>
  <c r="AG4302" i="2"/>
  <c r="AI4299" i="2"/>
  <c r="AG4290" i="2"/>
  <c r="AG4278" i="2"/>
  <c r="AG4252" i="2"/>
  <c r="AG4253" i="2" s="1"/>
  <c r="AG4256" i="2" s="1"/>
  <c r="AH4257" i="2" s="1"/>
  <c r="AG4282" i="2"/>
  <c r="AG4292" i="2" l="1"/>
  <c r="AG4293" i="2" s="1"/>
  <c r="AI4313" i="2"/>
  <c r="AG4316" i="2"/>
  <c r="AG4305" i="2"/>
  <c r="AG4304" i="2"/>
  <c r="AG4266" i="2"/>
  <c r="AG4267" i="2" s="1"/>
  <c r="AG4270" i="2" s="1"/>
  <c r="AH4271" i="2" s="1"/>
  <c r="AG4279" i="2"/>
  <c r="AG4296" i="2"/>
  <c r="AG4306" i="2" l="1"/>
  <c r="AG4307" i="2" s="1"/>
  <c r="AG4310" i="2"/>
  <c r="AG4280" i="2"/>
  <c r="AG4281" i="2" s="1"/>
  <c r="AG4284" i="2" s="1"/>
  <c r="AH4285" i="2" s="1"/>
  <c r="AG4319" i="2"/>
  <c r="AG4318" i="2"/>
  <c r="AI4327" i="2"/>
  <c r="AG4330" i="2"/>
  <c r="AG4294" i="2"/>
  <c r="AG4295" i="2" s="1"/>
  <c r="AG4298" i="2" s="1"/>
  <c r="AH4299" i="2" s="1"/>
  <c r="AG4320" i="2" l="1"/>
  <c r="AG4321" i="2" s="1"/>
  <c r="AI4341" i="2"/>
  <c r="AG4332" i="2"/>
  <c r="AG4338" i="2" s="1"/>
  <c r="AG4333" i="2"/>
  <c r="AG4344" i="2"/>
  <c r="AG4308" i="2"/>
  <c r="AG4309" i="2" s="1"/>
  <c r="AG4312" i="2" s="1"/>
  <c r="AH4313" i="2" s="1"/>
  <c r="AG4324" i="2"/>
  <c r="AG4322" i="2" l="1"/>
  <c r="AG4323" i="2" s="1"/>
  <c r="AG4326" i="2" s="1"/>
  <c r="AH4327" i="2" s="1"/>
  <c r="AI4355" i="2"/>
  <c r="AG4358" i="2"/>
  <c r="AG4347" i="2"/>
  <c r="AG4346" i="2"/>
  <c r="AG4334" i="2"/>
  <c r="AG4335" i="2" l="1"/>
  <c r="AG4360" i="2"/>
  <c r="AG4366" i="2" s="1"/>
  <c r="AG4372" i="2"/>
  <c r="AG4361" i="2"/>
  <c r="AI4369" i="2"/>
  <c r="AG4348" i="2"/>
  <c r="AG4352" i="2"/>
  <c r="AG4336" i="2" l="1"/>
  <c r="AG4337" i="2" s="1"/>
  <c r="AG4340" i="2" s="1"/>
  <c r="AH4341" i="2" s="1"/>
  <c r="AG4349" i="2"/>
  <c r="AG4374" i="2"/>
  <c r="AG4386" i="2"/>
  <c r="AG4375" i="2"/>
  <c r="AI4383" i="2"/>
  <c r="AG4362" i="2"/>
  <c r="AG4376" i="2" l="1"/>
  <c r="AG4377" i="2" s="1"/>
  <c r="AG4363" i="2"/>
  <c r="AG4389" i="2"/>
  <c r="AI4397" i="2"/>
  <c r="AG4388" i="2"/>
  <c r="AG4394" i="2" s="1"/>
  <c r="AG4400" i="2"/>
  <c r="AG4350" i="2"/>
  <c r="AG4351" i="2" s="1"/>
  <c r="AG4354" i="2" s="1"/>
  <c r="AH4355" i="2" s="1"/>
  <c r="AG4380" i="2"/>
  <c r="AG4364" i="2" l="1"/>
  <c r="AG4365" i="2" s="1"/>
  <c r="AG4368" i="2" s="1"/>
  <c r="AH4369" i="2" s="1"/>
  <c r="AG4403" i="2"/>
  <c r="AG4402" i="2"/>
  <c r="AG4414" i="2"/>
  <c r="AI4411" i="2"/>
  <c r="AG4378" i="2"/>
  <c r="AG4379" i="2" s="1"/>
  <c r="AG4382" i="2" s="1"/>
  <c r="AH4383" i="2" s="1"/>
  <c r="AG4390" i="2"/>
  <c r="AG4404" i="2" l="1"/>
  <c r="AG4391" i="2"/>
  <c r="AI4425" i="2"/>
  <c r="AG4416" i="2"/>
  <c r="AG4417" i="2"/>
  <c r="AG4428" i="2"/>
  <c r="AG4408" i="2"/>
  <c r="AG4418" i="2" l="1"/>
  <c r="AG4405" i="2"/>
  <c r="AG4430" i="2"/>
  <c r="AG4436" i="2" s="1"/>
  <c r="AG4442" i="2"/>
  <c r="AI4439" i="2"/>
  <c r="AG4431" i="2"/>
  <c r="AG4392" i="2"/>
  <c r="AG4393" i="2" s="1"/>
  <c r="AG4396" i="2" s="1"/>
  <c r="AH4397" i="2" s="1"/>
  <c r="AG4422" i="2"/>
  <c r="AG4419" i="2" l="1"/>
  <c r="AG4406" i="2"/>
  <c r="AG4407" i="2" s="1"/>
  <c r="AG4410" i="2" s="1"/>
  <c r="AH4411" i="2" s="1"/>
  <c r="AI4453" i="2"/>
  <c r="AG4456" i="2"/>
  <c r="AG4445" i="2"/>
  <c r="AG4444" i="2"/>
  <c r="AG4432" i="2"/>
  <c r="AG4420" i="2" l="1"/>
  <c r="AG4421" i="2" s="1"/>
  <c r="AG4424" i="2" s="1"/>
  <c r="AH4425" i="2" s="1"/>
  <c r="AG4433" i="2"/>
  <c r="AG4458" i="2"/>
  <c r="AG4464" i="2" s="1"/>
  <c r="AG4470" i="2"/>
  <c r="AI4467" i="2"/>
  <c r="AG4459" i="2"/>
  <c r="AG4446" i="2"/>
  <c r="AG4450" i="2"/>
  <c r="AG4434" i="2" l="1"/>
  <c r="AG4435" i="2" s="1"/>
  <c r="AG4438" i="2" s="1"/>
  <c r="AH4439" i="2" s="1"/>
  <c r="AG4447" i="2"/>
  <c r="AG4472" i="2"/>
  <c r="AG4484" i="2"/>
  <c r="AG4473" i="2"/>
  <c r="AI4481" i="2"/>
  <c r="AG4460" i="2"/>
  <c r="AG4474" i="2" l="1"/>
  <c r="AG4475" i="2" s="1"/>
  <c r="AG4461" i="2"/>
  <c r="AI4495" i="2"/>
  <c r="AG4498" i="2"/>
  <c r="AG4487" i="2"/>
  <c r="AG4486" i="2"/>
  <c r="AG4448" i="2"/>
  <c r="AG4449" i="2" s="1"/>
  <c r="AG4452" i="2" s="1"/>
  <c r="AH4453" i="2" s="1"/>
  <c r="AG4478" i="2"/>
  <c r="AG4488" i="2" l="1"/>
  <c r="AG4492" i="2"/>
  <c r="AG4476" i="2"/>
  <c r="AG4477" i="2" s="1"/>
  <c r="AG4480" i="2" s="1"/>
  <c r="AH4481" i="2" s="1"/>
  <c r="AG4500" i="2"/>
  <c r="AG4512" i="2"/>
  <c r="AI4509" i="2"/>
  <c r="AG4501" i="2"/>
  <c r="AG4462" i="2"/>
  <c r="AG4463" i="2" s="1"/>
  <c r="AG4466" i="2" s="1"/>
  <c r="AH4467" i="2" s="1"/>
  <c r="AG4489" i="2" l="1"/>
  <c r="AI4523" i="2"/>
  <c r="AG4514" i="2"/>
  <c r="AG4515" i="2"/>
  <c r="AG4526" i="2"/>
  <c r="AG4502" i="2"/>
  <c r="AG4506" i="2"/>
  <c r="AG4516" i="2" l="1"/>
  <c r="AG4517" i="2" s="1"/>
  <c r="AG4490" i="2"/>
  <c r="AG4491" i="2" s="1"/>
  <c r="AG4494" i="2" s="1"/>
  <c r="AH4495" i="2" s="1"/>
  <c r="AG4528" i="2"/>
  <c r="AG4540" i="2"/>
  <c r="AI4537" i="2"/>
  <c r="AG4529" i="2"/>
  <c r="AG4503" i="2"/>
  <c r="AG4520" i="2"/>
  <c r="AG4518" i="2" l="1"/>
  <c r="AG4519" i="2" s="1"/>
  <c r="AG4522" i="2" s="1"/>
  <c r="AH4523" i="2" s="1"/>
  <c r="AG4530" i="2"/>
  <c r="AG4504" i="2"/>
  <c r="AG4505" i="2" s="1"/>
  <c r="AG4508" i="2" s="1"/>
  <c r="AH4509" i="2" s="1"/>
  <c r="AG4542" i="2"/>
  <c r="AG4554" i="2"/>
  <c r="AI4551" i="2"/>
  <c r="AG4543" i="2"/>
  <c r="AG4534" i="2"/>
  <c r="AG4544" i="2" l="1"/>
  <c r="AG4548" i="2"/>
  <c r="AG4556" i="2"/>
  <c r="AG4562" i="2" s="1"/>
  <c r="AG4568" i="2"/>
  <c r="AG4557" i="2"/>
  <c r="AI4565" i="2"/>
  <c r="AG4531" i="2"/>
  <c r="AG4545" i="2" l="1"/>
  <c r="AG4532" i="2"/>
  <c r="AG4533" i="2" s="1"/>
  <c r="AG4536" i="2" s="1"/>
  <c r="AH4537" i="2" s="1"/>
  <c r="AG4570" i="2"/>
  <c r="AG4576" i="2" s="1"/>
  <c r="AG4582" i="2"/>
  <c r="AI4579" i="2"/>
  <c r="AG4571" i="2"/>
  <c r="AG4558" i="2"/>
  <c r="AG4546" i="2" l="1"/>
  <c r="AG4547" i="2" s="1"/>
  <c r="AG4550" i="2" s="1"/>
  <c r="AH4551" i="2" s="1"/>
  <c r="AG4572" i="2"/>
  <c r="AG4559" i="2"/>
  <c r="AI4593" i="2"/>
  <c r="AG4585" i="2"/>
  <c r="AG4584" i="2"/>
  <c r="AG4596" i="2"/>
  <c r="AG4560" i="2" l="1"/>
  <c r="AG4561" i="2" s="1"/>
  <c r="AG4564" i="2" s="1"/>
  <c r="AH4565" i="2" s="1"/>
  <c r="AG4573" i="2"/>
  <c r="AG4598" i="2"/>
  <c r="AG4610" i="2"/>
  <c r="AI4607" i="2"/>
  <c r="AG4599" i="2"/>
  <c r="AG4586" i="2"/>
  <c r="AG4590" i="2"/>
  <c r="AG4600" i="2" l="1"/>
  <c r="AG4587" i="2"/>
  <c r="AG4612" i="2"/>
  <c r="AG4618" i="2" s="1"/>
  <c r="AG4624" i="2"/>
  <c r="AI4621" i="2"/>
  <c r="AG4613" i="2"/>
  <c r="AG4574" i="2"/>
  <c r="AG4575" i="2" s="1"/>
  <c r="AG4578" i="2" s="1"/>
  <c r="AH4579" i="2" s="1"/>
  <c r="AG4604" i="2"/>
  <c r="AG4588" i="2" l="1"/>
  <c r="AG4589" i="2" s="1"/>
  <c r="AG4592" i="2" s="1"/>
  <c r="AH4593" i="2" s="1"/>
  <c r="AG4627" i="2"/>
  <c r="AI4635" i="2"/>
  <c r="AG4626" i="2"/>
  <c r="AG4638" i="2"/>
  <c r="AG4601" i="2"/>
  <c r="AG4614" i="2"/>
  <c r="AG4628" i="2" l="1"/>
  <c r="AG4629" i="2" s="1"/>
  <c r="AG4615" i="2"/>
  <c r="AG4640" i="2"/>
  <c r="AG4652" i="2"/>
  <c r="AG4641" i="2"/>
  <c r="AI4649" i="2"/>
  <c r="AG4602" i="2"/>
  <c r="AG4603" i="2" s="1"/>
  <c r="AG4606" i="2" s="1"/>
  <c r="AH4607" i="2" s="1"/>
  <c r="AG4632" i="2"/>
  <c r="AG4655" i="2" l="1"/>
  <c r="AI4663" i="2"/>
  <c r="AG4654" i="2"/>
  <c r="AG4660" i="2" s="1"/>
  <c r="AG4616" i="2"/>
  <c r="AG4617" i="2" s="1"/>
  <c r="AG4620" i="2" s="1"/>
  <c r="AH4621" i="2" s="1"/>
  <c r="AG4642" i="2"/>
  <c r="AG4630" i="2"/>
  <c r="AG4631" i="2" s="1"/>
  <c r="AG4634" i="2" s="1"/>
  <c r="AH4635" i="2" s="1"/>
  <c r="AG4646" i="2"/>
  <c r="AG4643" i="2" l="1"/>
  <c r="AG4656" i="2"/>
  <c r="AG4644" i="2" l="1"/>
  <c r="AG4645" i="2" s="1"/>
  <c r="AG4648" i="2" s="1"/>
  <c r="AH4649" i="2" s="1"/>
  <c r="AG4657" i="2"/>
  <c r="AG4658" i="2" l="1"/>
  <c r="AG4659" i="2" s="1"/>
  <c r="AG4662" i="2" s="1"/>
  <c r="AH4663" i="2" s="1"/>
  <c r="AI18" i="2" s="1"/>
  <c r="AI19" i="2" s="1"/>
  <c r="N40" i="3" s="1"/>
  <c r="M44" i="3" l="1"/>
  <c r="M41" i="3" s="1"/>
  <c r="M40" i="3"/>
  <c r="L44" i="3" s="1"/>
  <c r="L41" i="3" s="1"/>
  <c r="AI20" i="2"/>
  <c r="AJ33" i="2"/>
  <c r="AJ46" i="2" l="1"/>
  <c r="AJ36" i="2"/>
  <c r="AL44" i="2"/>
  <c r="AJ35" i="2"/>
  <c r="AJ41" i="2" s="1"/>
  <c r="AJ49" i="2" l="1"/>
  <c r="AL57" i="2"/>
  <c r="AJ48" i="2"/>
  <c r="AJ54" i="2" s="1"/>
  <c r="AJ60" i="2"/>
  <c r="AJ37" i="2"/>
  <c r="AJ38" i="2" s="1"/>
  <c r="AJ39" i="2" s="1"/>
  <c r="AJ40" i="2" s="1"/>
  <c r="AJ43" i="2" s="1"/>
  <c r="AK44" i="2" s="1"/>
  <c r="AJ63" i="2" l="1"/>
  <c r="AJ74" i="2"/>
  <c r="AL71" i="2"/>
  <c r="AJ62" i="2"/>
  <c r="AJ68" i="2" s="1"/>
  <c r="AJ50" i="2"/>
  <c r="AJ51" i="2" s="1"/>
  <c r="AJ52" i="2" s="1"/>
  <c r="AJ53" i="2" s="1"/>
  <c r="AJ56" i="2" s="1"/>
  <c r="AK57" i="2" s="1"/>
  <c r="AL85" i="2" l="1"/>
  <c r="AJ77" i="2"/>
  <c r="AJ76" i="2"/>
  <c r="AJ88" i="2"/>
  <c r="AJ64" i="2"/>
  <c r="AJ65" i="2" s="1"/>
  <c r="AJ78" i="2" l="1"/>
  <c r="AJ79" i="2" s="1"/>
  <c r="AJ80" i="2" s="1"/>
  <c r="AJ81" i="2" s="1"/>
  <c r="AL99" i="2"/>
  <c r="AJ90" i="2"/>
  <c r="AJ91" i="2"/>
  <c r="AJ102" i="2"/>
  <c r="AJ66" i="2"/>
  <c r="AJ67" i="2" s="1"/>
  <c r="AJ70" i="2" s="1"/>
  <c r="AK71" i="2" s="1"/>
  <c r="AJ82" i="2"/>
  <c r="AJ84" i="2" l="1"/>
  <c r="AK85" i="2" s="1"/>
  <c r="AJ92" i="2"/>
  <c r="AJ93" i="2" s="1"/>
  <c r="AJ94" i="2" s="1"/>
  <c r="AJ95" i="2" s="1"/>
  <c r="AJ98" i="2" s="1"/>
  <c r="AK99" i="2" s="1"/>
  <c r="AJ96" i="2"/>
  <c r="AJ104" i="2"/>
  <c r="AJ110" i="2" s="1"/>
  <c r="AJ116" i="2"/>
  <c r="AL113" i="2"/>
  <c r="AJ105" i="2"/>
  <c r="AJ118" i="2" l="1"/>
  <c r="AJ119" i="2"/>
  <c r="AJ130" i="2"/>
  <c r="AL127" i="2"/>
  <c r="AJ106" i="2"/>
  <c r="AJ107" i="2" s="1"/>
  <c r="AJ108" i="2" s="1"/>
  <c r="AJ109" i="2" s="1"/>
  <c r="AJ112" i="2" s="1"/>
  <c r="AK113" i="2" s="1"/>
  <c r="AJ120" i="2" l="1"/>
  <c r="AJ121" i="2" s="1"/>
  <c r="AJ122" i="2" s="1"/>
  <c r="AJ123" i="2" s="1"/>
  <c r="AJ124" i="2"/>
  <c r="AL141" i="2"/>
  <c r="AJ133" i="2"/>
  <c r="AJ144" i="2"/>
  <c r="AJ132" i="2"/>
  <c r="AJ126" i="2" l="1"/>
  <c r="AK127" i="2" s="1"/>
  <c r="AJ134" i="2"/>
  <c r="AJ135" i="2" s="1"/>
  <c r="AJ136" i="2" s="1"/>
  <c r="AJ137" i="2" s="1"/>
  <c r="AL155" i="2"/>
  <c r="AJ146" i="2"/>
  <c r="AJ152" i="2" s="1"/>
  <c r="AJ147" i="2"/>
  <c r="AJ158" i="2"/>
  <c r="AJ138" i="2"/>
  <c r="AJ140" i="2" l="1"/>
  <c r="AK141" i="2" s="1"/>
  <c r="AJ148" i="2"/>
  <c r="AJ149" i="2" s="1"/>
  <c r="AJ150" i="2" s="1"/>
  <c r="AJ151" i="2" s="1"/>
  <c r="AJ154" i="2" s="1"/>
  <c r="AK155" i="2" s="1"/>
  <c r="AL169" i="2"/>
  <c r="AJ161" i="2"/>
  <c r="AJ160" i="2"/>
  <c r="AJ166" i="2" s="1"/>
  <c r="AJ172" i="2"/>
  <c r="AJ175" i="2" l="1"/>
  <c r="AJ186" i="2"/>
  <c r="AL183" i="2"/>
  <c r="AJ174" i="2"/>
  <c r="AJ180" i="2" s="1"/>
  <c r="AJ162" i="2"/>
  <c r="AJ163" i="2" s="1"/>
  <c r="AJ164" i="2" s="1"/>
  <c r="AJ165" i="2" s="1"/>
  <c r="AJ168" i="2" s="1"/>
  <c r="AK169" i="2" s="1"/>
  <c r="AJ200" i="2" l="1"/>
  <c r="AL197" i="2"/>
  <c r="AJ189" i="2"/>
  <c r="AJ188" i="2"/>
  <c r="AJ194" i="2" s="1"/>
  <c r="AJ176" i="2"/>
  <c r="AJ177" i="2" s="1"/>
  <c r="AJ178" i="2" s="1"/>
  <c r="AJ179" i="2" s="1"/>
  <c r="AJ182" i="2" s="1"/>
  <c r="AK183" i="2" s="1"/>
  <c r="AJ190" i="2" l="1"/>
  <c r="AJ191" i="2" s="1"/>
  <c r="AJ192" i="2" s="1"/>
  <c r="AJ193" i="2" s="1"/>
  <c r="AJ196" i="2" s="1"/>
  <c r="AK197" i="2" s="1"/>
  <c r="AL211" i="2"/>
  <c r="AJ214" i="2"/>
  <c r="AJ202" i="2"/>
  <c r="AJ208" i="2" s="1"/>
  <c r="AJ203" i="2"/>
  <c r="AL225" i="2" l="1"/>
  <c r="AJ217" i="2"/>
  <c r="AJ216" i="2"/>
  <c r="AJ222" i="2" s="1"/>
  <c r="AJ228" i="2"/>
  <c r="AJ204" i="2"/>
  <c r="AJ205" i="2" s="1"/>
  <c r="AJ206" i="2" s="1"/>
  <c r="AJ207" i="2" s="1"/>
  <c r="AJ210" i="2" s="1"/>
  <c r="AK211" i="2" s="1"/>
  <c r="AJ242" i="2" l="1"/>
  <c r="AL239" i="2"/>
  <c r="AJ230" i="2"/>
  <c r="AJ231" i="2"/>
  <c r="AJ218" i="2"/>
  <c r="AJ219" i="2" s="1"/>
  <c r="AJ220" i="2" s="1"/>
  <c r="AJ221" i="2" s="1"/>
  <c r="AJ224" i="2" s="1"/>
  <c r="AK225" i="2" s="1"/>
  <c r="AL253" i="2" l="1"/>
  <c r="AJ245" i="2"/>
  <c r="AJ244" i="2"/>
  <c r="AJ250" i="2" s="1"/>
  <c r="AJ256" i="2"/>
  <c r="AJ236" i="2"/>
  <c r="AJ232" i="2"/>
  <c r="AJ233" i="2" s="1"/>
  <c r="AJ234" i="2" s="1"/>
  <c r="AJ235" i="2" s="1"/>
  <c r="AJ238" i="2" l="1"/>
  <c r="AK239" i="2" s="1"/>
  <c r="AJ246" i="2"/>
  <c r="AJ247" i="2" s="1"/>
  <c r="AJ248" i="2" s="1"/>
  <c r="AJ249" i="2" s="1"/>
  <c r="AJ252" i="2" s="1"/>
  <c r="AK253" i="2" s="1"/>
  <c r="AJ259" i="2"/>
  <c r="AJ270" i="2"/>
  <c r="AL267" i="2"/>
  <c r="AJ258" i="2"/>
  <c r="AJ260" i="2" l="1"/>
  <c r="AJ261" i="2" s="1"/>
  <c r="AJ262" i="2" s="1"/>
  <c r="AJ263" i="2" s="1"/>
  <c r="AJ264" i="2"/>
  <c r="AJ272" i="2"/>
  <c r="AJ278" i="2" s="1"/>
  <c r="AJ284" i="2"/>
  <c r="AL281" i="2"/>
  <c r="AJ273" i="2"/>
  <c r="AJ266" i="2" l="1"/>
  <c r="AK267" i="2" s="1"/>
  <c r="AJ274" i="2"/>
  <c r="AJ275" i="2" s="1"/>
  <c r="AJ276" i="2" s="1"/>
  <c r="AJ277" i="2" s="1"/>
  <c r="AJ280" i="2" s="1"/>
  <c r="AK281" i="2" s="1"/>
  <c r="AJ287" i="2"/>
  <c r="AJ286" i="2"/>
  <c r="AJ292" i="2" s="1"/>
  <c r="AJ298" i="2"/>
  <c r="AL295" i="2"/>
  <c r="AJ288" i="2" l="1"/>
  <c r="AJ289" i="2" s="1"/>
  <c r="AL309" i="2"/>
  <c r="AJ301" i="2"/>
  <c r="AJ312" i="2"/>
  <c r="AJ300" i="2"/>
  <c r="AJ302" i="2" l="1"/>
  <c r="AJ303" i="2" s="1"/>
  <c r="AJ304" i="2" s="1"/>
  <c r="AJ305" i="2" s="1"/>
  <c r="AJ306" i="2"/>
  <c r="AJ326" i="2"/>
  <c r="AL323" i="2"/>
  <c r="AJ314" i="2"/>
  <c r="AJ320" i="2" s="1"/>
  <c r="AJ315" i="2"/>
  <c r="AJ290" i="2"/>
  <c r="AJ291" i="2" s="1"/>
  <c r="AJ294" i="2" s="1"/>
  <c r="AK295" i="2" s="1"/>
  <c r="AJ308" i="2" l="1"/>
  <c r="AK309" i="2" s="1"/>
  <c r="AJ316" i="2"/>
  <c r="AJ317" i="2" s="1"/>
  <c r="AJ340" i="2"/>
  <c r="AL337" i="2"/>
  <c r="AJ329" i="2"/>
  <c r="AJ328" i="2"/>
  <c r="AJ334" i="2" s="1"/>
  <c r="AJ318" i="2" l="1"/>
  <c r="AJ319" i="2" s="1"/>
  <c r="AJ322" i="2" s="1"/>
  <c r="AK323" i="2" s="1"/>
  <c r="AJ342" i="2"/>
  <c r="AJ343" i="2"/>
  <c r="AJ354" i="2"/>
  <c r="AL351" i="2"/>
  <c r="AJ330" i="2"/>
  <c r="AJ331" i="2" s="1"/>
  <c r="AJ356" i="2" l="1"/>
  <c r="AJ362" i="2" s="1"/>
  <c r="AJ357" i="2"/>
  <c r="AJ368" i="2"/>
  <c r="AL365" i="2"/>
  <c r="AJ332" i="2"/>
  <c r="AJ333" i="2" s="1"/>
  <c r="AJ336" i="2" s="1"/>
  <c r="AK337" i="2" s="1"/>
  <c r="AJ348" i="2"/>
  <c r="AJ344" i="2"/>
  <c r="AJ345" i="2" s="1"/>
  <c r="AJ358" i="2" l="1"/>
  <c r="AJ359" i="2" s="1"/>
  <c r="AJ360" i="2" s="1"/>
  <c r="AJ361" i="2" s="1"/>
  <c r="AJ364" i="2" s="1"/>
  <c r="AK365" i="2" s="1"/>
  <c r="AJ346" i="2"/>
  <c r="AJ347" i="2" s="1"/>
  <c r="AJ350" i="2" s="1"/>
  <c r="AK351" i="2" s="1"/>
  <c r="AJ382" i="2"/>
  <c r="AJ370" i="2"/>
  <c r="AJ371" i="2"/>
  <c r="AL379" i="2"/>
  <c r="AJ372" i="2" l="1"/>
  <c r="AJ373" i="2" s="1"/>
  <c r="AJ374" i="2" s="1"/>
  <c r="AJ375" i="2" s="1"/>
  <c r="AJ376" i="2"/>
  <c r="AL393" i="2"/>
  <c r="AJ384" i="2"/>
  <c r="AJ390" i="2" s="1"/>
  <c r="AJ396" i="2"/>
  <c r="AJ385" i="2"/>
  <c r="AJ378" i="2" l="1"/>
  <c r="AK379" i="2" s="1"/>
  <c r="AJ399" i="2"/>
  <c r="AJ410" i="2"/>
  <c r="AL407" i="2"/>
  <c r="AJ398" i="2"/>
  <c r="AJ386" i="2"/>
  <c r="AJ387" i="2" s="1"/>
  <c r="AJ388" i="2" s="1"/>
  <c r="AJ389" i="2" s="1"/>
  <c r="AJ392" i="2" s="1"/>
  <c r="AK393" i="2" s="1"/>
  <c r="AJ404" i="2" l="1"/>
  <c r="AJ400" i="2"/>
  <c r="AJ401" i="2" s="1"/>
  <c r="AJ412" i="2"/>
  <c r="AJ418" i="2" s="1"/>
  <c r="AJ424" i="2"/>
  <c r="AL421" i="2"/>
  <c r="AJ413" i="2"/>
  <c r="AJ402" i="2" l="1"/>
  <c r="AJ403" i="2" s="1"/>
  <c r="AJ406" i="2" s="1"/>
  <c r="AK407" i="2" s="1"/>
  <c r="AL435" i="2"/>
  <c r="AJ426" i="2"/>
  <c r="AJ432" i="2" s="1"/>
  <c r="AJ427" i="2"/>
  <c r="AJ438" i="2"/>
  <c r="AJ414" i="2"/>
  <c r="AJ415" i="2" s="1"/>
  <c r="AJ416" i="2" s="1"/>
  <c r="AJ417" i="2" s="1"/>
  <c r="AJ420" i="2" s="1"/>
  <c r="AK421" i="2" s="1"/>
  <c r="AJ452" i="2" l="1"/>
  <c r="AL449" i="2"/>
  <c r="AJ441" i="2"/>
  <c r="AJ440" i="2"/>
  <c r="AJ446" i="2" s="1"/>
  <c r="AJ428" i="2"/>
  <c r="AJ429" i="2" s="1"/>
  <c r="AJ442" i="2" l="1"/>
  <c r="AJ443" i="2" s="1"/>
  <c r="AJ444" i="2" s="1"/>
  <c r="AJ445" i="2" s="1"/>
  <c r="AJ448" i="2" s="1"/>
  <c r="AK449" i="2" s="1"/>
  <c r="AJ455" i="2"/>
  <c r="AJ466" i="2"/>
  <c r="AL463" i="2"/>
  <c r="AJ454" i="2"/>
  <c r="AJ430" i="2"/>
  <c r="AJ431" i="2" s="1"/>
  <c r="AJ434" i="2" s="1"/>
  <c r="AK435" i="2" s="1"/>
  <c r="AJ456" i="2" l="1"/>
  <c r="AJ457" i="2" s="1"/>
  <c r="AJ458" i="2" s="1"/>
  <c r="AJ459" i="2" s="1"/>
  <c r="AJ460" i="2"/>
  <c r="AJ468" i="2"/>
  <c r="AJ474" i="2" s="1"/>
  <c r="AJ480" i="2"/>
  <c r="AL477" i="2"/>
  <c r="AJ469" i="2"/>
  <c r="AJ462" i="2" l="1"/>
  <c r="AK463" i="2" s="1"/>
  <c r="AL491" i="2"/>
  <c r="AJ482" i="2"/>
  <c r="AJ483" i="2"/>
  <c r="AJ494" i="2"/>
  <c r="AJ470" i="2"/>
  <c r="AJ471" i="2" s="1"/>
  <c r="AJ472" i="2" s="1"/>
  <c r="AJ473" i="2" s="1"/>
  <c r="AJ476" i="2" s="1"/>
  <c r="AK477" i="2" s="1"/>
  <c r="AJ484" i="2" l="1"/>
  <c r="AJ485" i="2" s="1"/>
  <c r="AJ486" i="2" s="1"/>
  <c r="AJ487" i="2" s="1"/>
  <c r="AJ488" i="2"/>
  <c r="AJ508" i="2"/>
  <c r="AL505" i="2"/>
  <c r="AJ497" i="2"/>
  <c r="AJ496" i="2"/>
  <c r="AJ490" i="2" l="1"/>
  <c r="AK491" i="2" s="1"/>
  <c r="AJ498" i="2"/>
  <c r="AJ499" i="2" s="1"/>
  <c r="AJ500" i="2" s="1"/>
  <c r="AJ501" i="2" s="1"/>
  <c r="AL519" i="2"/>
  <c r="AJ510" i="2"/>
  <c r="AJ516" i="2" s="1"/>
  <c r="AJ511" i="2"/>
  <c r="AJ522" i="2"/>
  <c r="AJ502" i="2"/>
  <c r="AJ504" i="2" l="1"/>
  <c r="AK505" i="2" s="1"/>
  <c r="AL533" i="2"/>
  <c r="AJ525" i="2"/>
  <c r="AJ524" i="2"/>
  <c r="AJ530" i="2" s="1"/>
  <c r="AJ536" i="2"/>
  <c r="AJ512" i="2"/>
  <c r="AJ513" i="2" s="1"/>
  <c r="AJ514" i="2" s="1"/>
  <c r="AJ515" i="2" s="1"/>
  <c r="AJ518" i="2" s="1"/>
  <c r="AK519" i="2" s="1"/>
  <c r="AJ550" i="2" l="1"/>
  <c r="AL547" i="2"/>
  <c r="AJ538" i="2"/>
  <c r="AJ544" i="2" s="1"/>
  <c r="AJ539" i="2"/>
  <c r="AJ526" i="2"/>
  <c r="AJ527" i="2" s="1"/>
  <c r="AJ528" i="2" s="1"/>
  <c r="AJ529" i="2" s="1"/>
  <c r="AJ532" i="2" s="1"/>
  <c r="AK533" i="2" s="1"/>
  <c r="AJ540" i="2" l="1"/>
  <c r="AJ541" i="2" s="1"/>
  <c r="AJ542" i="2" s="1"/>
  <c r="AJ543" i="2" s="1"/>
  <c r="AJ546" i="2" s="1"/>
  <c r="AK547" i="2" s="1"/>
  <c r="AJ553" i="2"/>
  <c r="AL561" i="2"/>
  <c r="AJ552" i="2"/>
  <c r="AJ558" i="2" s="1"/>
  <c r="AJ564" i="2"/>
  <c r="AL575" i="2" l="1"/>
  <c r="AJ567" i="2"/>
  <c r="AJ578" i="2"/>
  <c r="AJ566" i="2"/>
  <c r="AJ572" i="2" s="1"/>
  <c r="AJ554" i="2"/>
  <c r="AJ555" i="2" s="1"/>
  <c r="AJ556" i="2" s="1"/>
  <c r="AJ557" i="2" s="1"/>
  <c r="AJ560" i="2" s="1"/>
  <c r="AK561" i="2" s="1"/>
  <c r="AJ581" i="2" l="1"/>
  <c r="AL589" i="2"/>
  <c r="AJ580" i="2"/>
  <c r="AJ586" i="2" s="1"/>
  <c r="AJ592" i="2"/>
  <c r="AJ568" i="2"/>
  <c r="AJ569" i="2" s="1"/>
  <c r="AJ570" i="2" l="1"/>
  <c r="AJ571" i="2" s="1"/>
  <c r="AJ574" i="2" s="1"/>
  <c r="AK575" i="2" s="1"/>
  <c r="AL603" i="2"/>
  <c r="AJ594" i="2"/>
  <c r="AJ600" i="2" s="1"/>
  <c r="AJ595" i="2"/>
  <c r="AJ606" i="2"/>
  <c r="AJ582" i="2"/>
  <c r="AJ583" i="2" s="1"/>
  <c r="AJ584" i="2" s="1"/>
  <c r="AJ585" i="2" s="1"/>
  <c r="AJ588" i="2" s="1"/>
  <c r="AK589" i="2" s="1"/>
  <c r="AJ609" i="2" l="1"/>
  <c r="AJ608" i="2"/>
  <c r="AJ614" i="2" s="1"/>
  <c r="AJ620" i="2"/>
  <c r="AL617" i="2"/>
  <c r="AJ596" i="2"/>
  <c r="AJ597" i="2" s="1"/>
  <c r="AJ598" i="2" l="1"/>
  <c r="AJ599" i="2" s="1"/>
  <c r="AJ602" i="2" s="1"/>
  <c r="AK603" i="2" s="1"/>
  <c r="AL631" i="2"/>
  <c r="AJ623" i="2"/>
  <c r="AJ634" i="2"/>
  <c r="AJ622" i="2"/>
  <c r="AJ610" i="2"/>
  <c r="AJ611" i="2" s="1"/>
  <c r="AJ612" i="2" s="1"/>
  <c r="AJ613" i="2" s="1"/>
  <c r="AJ616" i="2" s="1"/>
  <c r="AK617" i="2" s="1"/>
  <c r="AJ624" i="2" l="1"/>
  <c r="AJ625" i="2" s="1"/>
  <c r="AJ626" i="2" s="1"/>
  <c r="AJ627" i="2" s="1"/>
  <c r="AL645" i="2"/>
  <c r="AJ637" i="2"/>
  <c r="AJ636" i="2"/>
  <c r="AJ642" i="2" s="1"/>
  <c r="AJ648" i="2"/>
  <c r="AJ628" i="2"/>
  <c r="AJ630" i="2" l="1"/>
  <c r="AK631" i="2" s="1"/>
  <c r="AJ651" i="2"/>
  <c r="AJ650" i="2"/>
  <c r="AJ656" i="2" s="1"/>
  <c r="AJ662" i="2"/>
  <c r="AL659" i="2"/>
  <c r="AJ638" i="2"/>
  <c r="AJ639" i="2" s="1"/>
  <c r="AJ640" i="2" s="1"/>
  <c r="AJ641" i="2" s="1"/>
  <c r="AJ644" i="2" s="1"/>
  <c r="AK645" i="2" s="1"/>
  <c r="AJ676" i="2" l="1"/>
  <c r="AL673" i="2"/>
  <c r="AJ665" i="2"/>
  <c r="AJ664" i="2"/>
  <c r="AJ670" i="2" s="1"/>
  <c r="AJ652" i="2"/>
  <c r="AJ653" i="2" s="1"/>
  <c r="AJ679" i="2" l="1"/>
  <c r="AL687" i="2"/>
  <c r="AJ678" i="2"/>
  <c r="AJ684" i="2" s="1"/>
  <c r="AJ690" i="2"/>
  <c r="AJ654" i="2"/>
  <c r="AJ655" i="2" s="1"/>
  <c r="AJ658" i="2" s="1"/>
  <c r="AK659" i="2" s="1"/>
  <c r="AJ666" i="2"/>
  <c r="AJ667" i="2" s="1"/>
  <c r="AJ668" i="2" s="1"/>
  <c r="AJ669" i="2" s="1"/>
  <c r="AJ672" i="2" s="1"/>
  <c r="AK673" i="2" s="1"/>
  <c r="AJ680" i="2" l="1"/>
  <c r="AJ681" i="2" s="1"/>
  <c r="AJ682" i="2" s="1"/>
  <c r="AJ683" i="2" s="1"/>
  <c r="AJ686" i="2" s="1"/>
  <c r="AK687" i="2" s="1"/>
  <c r="AJ692" i="2"/>
  <c r="AJ698" i="2" s="1"/>
  <c r="AL701" i="2"/>
  <c r="AJ693" i="2"/>
  <c r="AJ704" i="2"/>
  <c r="AJ694" i="2" l="1"/>
  <c r="AJ695" i="2" s="1"/>
  <c r="AJ696" i="2" s="1"/>
  <c r="AJ697" i="2" s="1"/>
  <c r="AJ700" i="2" s="1"/>
  <c r="AK701" i="2" s="1"/>
  <c r="AJ706" i="2"/>
  <c r="AJ712" i="2" s="1"/>
  <c r="AJ707" i="2"/>
  <c r="AJ718" i="2"/>
  <c r="AL715" i="2"/>
  <c r="AJ708" i="2" l="1"/>
  <c r="AJ709" i="2" s="1"/>
  <c r="AJ710" i="2" s="1"/>
  <c r="AJ711" i="2" s="1"/>
  <c r="AJ714" i="2" s="1"/>
  <c r="AK715" i="2" s="1"/>
  <c r="AJ732" i="2"/>
  <c r="AJ721" i="2"/>
  <c r="AJ720" i="2"/>
  <c r="AL729" i="2"/>
  <c r="AJ722" i="2" l="1"/>
  <c r="AJ723" i="2" s="1"/>
  <c r="AJ724" i="2" s="1"/>
  <c r="AJ725" i="2" s="1"/>
  <c r="AL743" i="2"/>
  <c r="AJ734" i="2"/>
  <c r="AJ740" i="2" s="1"/>
  <c r="AJ735" i="2"/>
  <c r="AJ746" i="2"/>
  <c r="AJ726" i="2"/>
  <c r="AJ728" i="2" l="1"/>
  <c r="AK729" i="2" s="1"/>
  <c r="AJ736" i="2"/>
  <c r="AJ737" i="2" s="1"/>
  <c r="AJ738" i="2" s="1"/>
  <c r="AJ739" i="2" s="1"/>
  <c r="AJ742" i="2" s="1"/>
  <c r="AK743" i="2" s="1"/>
  <c r="AJ748" i="2"/>
  <c r="AJ749" i="2"/>
  <c r="AJ760" i="2"/>
  <c r="AL757" i="2"/>
  <c r="AJ750" i="2" l="1"/>
  <c r="AJ751" i="2" s="1"/>
  <c r="AJ752" i="2" s="1"/>
  <c r="AJ753" i="2" s="1"/>
  <c r="AJ774" i="2"/>
  <c r="AJ762" i="2"/>
  <c r="AJ763" i="2"/>
  <c r="AL771" i="2"/>
  <c r="AJ754" i="2"/>
  <c r="AJ756" i="2" l="1"/>
  <c r="AK757" i="2" s="1"/>
  <c r="AJ764" i="2"/>
  <c r="AJ765" i="2" s="1"/>
  <c r="AJ766" i="2" s="1"/>
  <c r="AJ767" i="2" s="1"/>
  <c r="AJ768" i="2"/>
  <c r="AJ788" i="2"/>
  <c r="AL785" i="2"/>
  <c r="AJ777" i="2"/>
  <c r="AJ776" i="2"/>
  <c r="AJ782" i="2" s="1"/>
  <c r="AJ770" i="2" l="1"/>
  <c r="AK771" i="2" s="1"/>
  <c r="AL799" i="2"/>
  <c r="AJ802" i="2"/>
  <c r="AJ790" i="2"/>
  <c r="AJ796" i="2" s="1"/>
  <c r="AJ791" i="2"/>
  <c r="AJ778" i="2"/>
  <c r="AJ779" i="2" s="1"/>
  <c r="AJ780" i="2" s="1"/>
  <c r="AJ781" i="2" s="1"/>
  <c r="AJ784" i="2" s="1"/>
  <c r="AK785" i="2" s="1"/>
  <c r="AJ792" i="2" l="1"/>
  <c r="AJ793" i="2" s="1"/>
  <c r="AJ794" i="2" s="1"/>
  <c r="AJ795" i="2" s="1"/>
  <c r="AJ798" i="2" s="1"/>
  <c r="AK799" i="2" s="1"/>
  <c r="AL813" i="2"/>
  <c r="AJ805" i="2"/>
  <c r="AJ804" i="2"/>
  <c r="AJ810" i="2" s="1"/>
  <c r="AJ816" i="2"/>
  <c r="AJ818" i="2" l="1"/>
  <c r="AL827" i="2"/>
  <c r="AJ819" i="2"/>
  <c r="AJ830" i="2"/>
  <c r="AJ806" i="2"/>
  <c r="AJ807" i="2" s="1"/>
  <c r="AJ808" i="2" s="1"/>
  <c r="AJ809" i="2" s="1"/>
  <c r="AJ812" i="2" s="1"/>
  <c r="AK813" i="2" s="1"/>
  <c r="AJ820" i="2" l="1"/>
  <c r="AJ824" i="2"/>
  <c r="AJ832" i="2"/>
  <c r="AJ838" i="2" s="1"/>
  <c r="AJ833" i="2"/>
  <c r="AJ844" i="2"/>
  <c r="AL841" i="2"/>
  <c r="AJ821" i="2" l="1"/>
  <c r="AJ822" i="2" s="1"/>
  <c r="AJ823" i="2" s="1"/>
  <c r="AJ826" i="2" s="1"/>
  <c r="AK827" i="2" s="1"/>
  <c r="AJ834" i="2"/>
  <c r="AJ835" i="2" s="1"/>
  <c r="AJ836" i="2" s="1"/>
  <c r="AJ837" i="2" s="1"/>
  <c r="AJ840" i="2" s="1"/>
  <c r="AL855" i="2"/>
  <c r="AJ858" i="2"/>
  <c r="AJ846" i="2"/>
  <c r="AJ852" i="2" s="1"/>
  <c r="AJ847" i="2"/>
  <c r="AK841" i="2" l="1"/>
  <c r="AJ848" i="2"/>
  <c r="AJ849" i="2" s="1"/>
  <c r="AJ872" i="2"/>
  <c r="AL869" i="2"/>
  <c r="AJ861" i="2"/>
  <c r="AJ860" i="2"/>
  <c r="AJ866" i="2" s="1"/>
  <c r="AJ862" i="2" l="1"/>
  <c r="AJ850" i="2"/>
  <c r="AJ851" i="2" s="1"/>
  <c r="AJ854" i="2" s="1"/>
  <c r="AK855" i="2" s="1"/>
  <c r="AL883" i="2"/>
  <c r="AJ874" i="2"/>
  <c r="AJ875" i="2"/>
  <c r="AJ886" i="2"/>
  <c r="AJ863" i="2" l="1"/>
  <c r="AJ864" i="2" s="1"/>
  <c r="AJ865" i="2" s="1"/>
  <c r="AJ868" i="2" s="1"/>
  <c r="AK869" i="2" s="1"/>
  <c r="AJ876" i="2"/>
  <c r="AJ880" i="2"/>
  <c r="AL897" i="2"/>
  <c r="AJ900" i="2"/>
  <c r="AJ889" i="2"/>
  <c r="AJ888" i="2"/>
  <c r="AJ877" i="2" l="1"/>
  <c r="AJ878" i="2" s="1"/>
  <c r="AJ879" i="2" s="1"/>
  <c r="AJ882" i="2" s="1"/>
  <c r="AK883" i="2" s="1"/>
  <c r="AL911" i="2"/>
  <c r="AJ903" i="2"/>
  <c r="AJ902" i="2"/>
  <c r="AJ908" i="2" s="1"/>
  <c r="AJ914" i="2"/>
  <c r="AJ890" i="2"/>
  <c r="AJ894" i="2"/>
  <c r="AJ917" i="2" l="1"/>
  <c r="AJ916" i="2"/>
  <c r="AJ928" i="2"/>
  <c r="AL925" i="2"/>
  <c r="AJ891" i="2"/>
  <c r="AJ892" i="2" s="1"/>
  <c r="AJ893" i="2" s="1"/>
  <c r="AJ896" i="2" s="1"/>
  <c r="AK897" i="2" s="1"/>
  <c r="AJ904" i="2"/>
  <c r="AJ918" i="2" l="1"/>
  <c r="AJ922" i="2"/>
  <c r="AJ942" i="2"/>
  <c r="AL939" i="2"/>
  <c r="AJ931" i="2"/>
  <c r="AJ930" i="2"/>
  <c r="AJ905" i="2"/>
  <c r="AJ919" i="2" l="1"/>
  <c r="AJ920" i="2" s="1"/>
  <c r="AJ921" i="2" s="1"/>
  <c r="AJ924" i="2" s="1"/>
  <c r="AK925" i="2" s="1"/>
  <c r="AJ906" i="2"/>
  <c r="AJ907" i="2" s="1"/>
  <c r="AJ910" i="2" s="1"/>
  <c r="AK911" i="2" s="1"/>
  <c r="AJ956" i="2"/>
  <c r="AJ945" i="2"/>
  <c r="AL953" i="2"/>
  <c r="AJ944" i="2"/>
  <c r="AJ932" i="2"/>
  <c r="AJ936" i="2"/>
  <c r="AJ946" i="2" l="1"/>
  <c r="AJ947" i="2" s="1"/>
  <c r="AJ948" i="2" s="1"/>
  <c r="AJ949" i="2" s="1"/>
  <c r="AL967" i="2"/>
  <c r="AJ959" i="2"/>
  <c r="AJ958" i="2"/>
  <c r="AJ970" i="2"/>
  <c r="AJ933" i="2"/>
  <c r="AJ934" i="2" s="1"/>
  <c r="AJ935" i="2" s="1"/>
  <c r="AJ938" i="2" s="1"/>
  <c r="AK939" i="2" s="1"/>
  <c r="AJ950" i="2"/>
  <c r="AJ960" i="2" l="1"/>
  <c r="AJ961" i="2" s="1"/>
  <c r="AJ952" i="2"/>
  <c r="AK953" i="2" s="1"/>
  <c r="AJ984" i="2"/>
  <c r="AL981" i="2"/>
  <c r="AJ973" i="2"/>
  <c r="AJ972" i="2"/>
  <c r="AJ964" i="2"/>
  <c r="AJ974" i="2" l="1"/>
  <c r="AJ986" i="2"/>
  <c r="AL995" i="2"/>
  <c r="AJ987" i="2"/>
  <c r="AJ998" i="2"/>
  <c r="AJ962" i="2"/>
  <c r="AJ963" i="2" s="1"/>
  <c r="AJ966" i="2" s="1"/>
  <c r="AK967" i="2" s="1"/>
  <c r="AJ978" i="2"/>
  <c r="AJ988" i="2" l="1"/>
  <c r="AJ989" i="2" s="1"/>
  <c r="AJ975" i="2"/>
  <c r="AL1009" i="2"/>
  <c r="AJ1001" i="2"/>
  <c r="AJ1000" i="2"/>
  <c r="AJ1006" i="2" s="1"/>
  <c r="AJ1012" i="2"/>
  <c r="AJ992" i="2"/>
  <c r="AJ976" i="2" l="1"/>
  <c r="AJ977" i="2" s="1"/>
  <c r="AJ980" i="2" s="1"/>
  <c r="AK981" i="2" s="1"/>
  <c r="AJ1014" i="2"/>
  <c r="AJ1020" i="2" s="1"/>
  <c r="AJ1026" i="2"/>
  <c r="AL1023" i="2"/>
  <c r="AJ1015" i="2"/>
  <c r="AJ990" i="2"/>
  <c r="AJ991" i="2" s="1"/>
  <c r="AJ994" i="2" s="1"/>
  <c r="AK995" i="2" s="1"/>
  <c r="AJ1002" i="2"/>
  <c r="AJ1016" i="2" l="1"/>
  <c r="AJ1017" i="2" s="1"/>
  <c r="AJ1028" i="2"/>
  <c r="AJ1034" i="2" s="1"/>
  <c r="AJ1040" i="2"/>
  <c r="AJ1029" i="2"/>
  <c r="AL1037" i="2"/>
  <c r="AJ1003" i="2"/>
  <c r="AJ1004" i="2" s="1"/>
  <c r="AJ1005" i="2" s="1"/>
  <c r="AJ1008" i="2" s="1"/>
  <c r="AK1009" i="2" s="1"/>
  <c r="AJ1030" i="2" l="1"/>
  <c r="AJ1031" i="2" s="1"/>
  <c r="AJ1018" i="2"/>
  <c r="AJ1019" i="2" s="1"/>
  <c r="AJ1022" i="2" s="1"/>
  <c r="AK1023" i="2" s="1"/>
  <c r="AJ1054" i="2"/>
  <c r="AL1051" i="2"/>
  <c r="AJ1042" i="2"/>
  <c r="AJ1043" i="2"/>
  <c r="AJ1044" i="2" l="1"/>
  <c r="AL1065" i="2"/>
  <c r="AJ1057" i="2"/>
  <c r="AJ1056" i="2"/>
  <c r="AJ1062" i="2" s="1"/>
  <c r="AJ1068" i="2"/>
  <c r="AJ1032" i="2"/>
  <c r="AJ1033" i="2" s="1"/>
  <c r="AJ1036" i="2" s="1"/>
  <c r="AK1037" i="2" s="1"/>
  <c r="AJ1048" i="2"/>
  <c r="AJ1045" i="2" l="1"/>
  <c r="AJ1046" i="2" s="1"/>
  <c r="AJ1047" i="2" s="1"/>
  <c r="AJ1050" i="2" s="1"/>
  <c r="AK1051" i="2" s="1"/>
  <c r="AJ1058" i="2"/>
  <c r="AJ1059" i="2" s="1"/>
  <c r="AJ1060" i="2" s="1"/>
  <c r="AJ1061" i="2" s="1"/>
  <c r="AJ1064" i="2" s="1"/>
  <c r="AJ1070" i="2"/>
  <c r="AJ1076" i="2" s="1"/>
  <c r="AL1079" i="2"/>
  <c r="AJ1082" i="2"/>
  <c r="AJ1071" i="2"/>
  <c r="AK1065" i="2" l="1"/>
  <c r="AL1093" i="2"/>
  <c r="AJ1096" i="2"/>
  <c r="AJ1085" i="2"/>
  <c r="AJ1084" i="2"/>
  <c r="AJ1090" i="2" s="1"/>
  <c r="AJ1072" i="2"/>
  <c r="AJ1073" i="2" l="1"/>
  <c r="AJ1074" i="2" s="1"/>
  <c r="AJ1075" i="2" s="1"/>
  <c r="AJ1078" i="2" s="1"/>
  <c r="AK1079" i="2" s="1"/>
  <c r="AL1107" i="2"/>
  <c r="AJ1098" i="2"/>
  <c r="AJ1104" i="2" s="1"/>
  <c r="AJ1110" i="2"/>
  <c r="AJ1099" i="2"/>
  <c r="AJ1086" i="2"/>
  <c r="AJ1112" i="2" l="1"/>
  <c r="AJ1124" i="2"/>
  <c r="AL1121" i="2"/>
  <c r="AJ1113" i="2"/>
  <c r="AJ1087" i="2"/>
  <c r="AJ1088" i="2" s="1"/>
  <c r="AJ1089" i="2" s="1"/>
  <c r="AJ1092" i="2" s="1"/>
  <c r="AK1093" i="2" s="1"/>
  <c r="AJ1100" i="2"/>
  <c r="AJ1114" i="2" l="1"/>
  <c r="AJ1115" i="2" s="1"/>
  <c r="AJ1116" i="2" s="1"/>
  <c r="AJ1117" i="2" s="1"/>
  <c r="AJ1118" i="2"/>
  <c r="AJ1127" i="2"/>
  <c r="AJ1138" i="2"/>
  <c r="AJ1126" i="2"/>
  <c r="AL1135" i="2"/>
  <c r="AJ1101" i="2"/>
  <c r="AJ1102" i="2" s="1"/>
  <c r="AJ1103" i="2" s="1"/>
  <c r="AJ1106" i="2" s="1"/>
  <c r="AK1107" i="2" s="1"/>
  <c r="AJ1128" i="2" l="1"/>
  <c r="AJ1129" i="2" s="1"/>
  <c r="AJ1130" i="2" s="1"/>
  <c r="AJ1131" i="2" s="1"/>
  <c r="AJ1120" i="2"/>
  <c r="AK1121" i="2" s="1"/>
  <c r="AJ1152" i="2"/>
  <c r="AL1149" i="2"/>
  <c r="AJ1141" i="2"/>
  <c r="AJ1140" i="2"/>
  <c r="AJ1132" i="2"/>
  <c r="AJ1134" i="2" l="1"/>
  <c r="AK1135" i="2" s="1"/>
  <c r="AJ1142" i="2"/>
  <c r="AJ1143" i="2" s="1"/>
  <c r="AJ1155" i="2"/>
  <c r="AJ1166" i="2"/>
  <c r="AL1163" i="2"/>
  <c r="AJ1154" i="2"/>
  <c r="AJ1146" i="2"/>
  <c r="AJ1156" i="2" l="1"/>
  <c r="AJ1157" i="2" s="1"/>
  <c r="AJ1160" i="2"/>
  <c r="AJ1144" i="2"/>
  <c r="AJ1145" i="2" s="1"/>
  <c r="AJ1148" i="2" s="1"/>
  <c r="AK1149" i="2" s="1"/>
  <c r="AJ1168" i="2"/>
  <c r="AL1177" i="2"/>
  <c r="AJ1180" i="2"/>
  <c r="AJ1169" i="2"/>
  <c r="AJ1170" i="2" l="1"/>
  <c r="AJ1174" i="2"/>
  <c r="AJ1158" i="2"/>
  <c r="AJ1159" i="2" s="1"/>
  <c r="AJ1162" i="2" s="1"/>
  <c r="AK1163" i="2" s="1"/>
  <c r="AJ1182" i="2"/>
  <c r="AJ1188" i="2" s="1"/>
  <c r="AL1191" i="2"/>
  <c r="AJ1194" i="2"/>
  <c r="AJ1183" i="2"/>
  <c r="AJ1171" i="2" l="1"/>
  <c r="AJ1172" i="2" s="1"/>
  <c r="AJ1173" i="2" s="1"/>
  <c r="AJ1176" i="2" s="1"/>
  <c r="AK1177" i="2" s="1"/>
  <c r="AJ1184" i="2"/>
  <c r="AJ1197" i="2"/>
  <c r="AJ1208" i="2"/>
  <c r="AL1205" i="2"/>
  <c r="AJ1196" i="2"/>
  <c r="AJ1198" i="2" l="1"/>
  <c r="AJ1199" i="2" s="1"/>
  <c r="AJ1185" i="2"/>
  <c r="AJ1222" i="2"/>
  <c r="AL1219" i="2"/>
  <c r="AJ1211" i="2"/>
  <c r="AJ1210" i="2"/>
  <c r="AJ1202" i="2"/>
  <c r="AJ1212" i="2" l="1"/>
  <c r="AJ1213" i="2" s="1"/>
  <c r="AJ1214" i="2" s="1"/>
  <c r="AJ1215" i="2" s="1"/>
  <c r="AL1233" i="2"/>
  <c r="AJ1225" i="2"/>
  <c r="AJ1224" i="2"/>
  <c r="AJ1236" i="2"/>
  <c r="AJ1200" i="2"/>
  <c r="AJ1201" i="2" s="1"/>
  <c r="AJ1204" i="2" s="1"/>
  <c r="AK1205" i="2" s="1"/>
  <c r="AJ1216" i="2"/>
  <c r="AJ1186" i="2"/>
  <c r="AJ1187" i="2" s="1"/>
  <c r="AJ1190" i="2" s="1"/>
  <c r="AK1191" i="2" s="1"/>
  <c r="AJ1218" i="2" l="1"/>
  <c r="AK1219" i="2" s="1"/>
  <c r="AJ1226" i="2"/>
  <c r="AJ1227" i="2" s="1"/>
  <c r="AJ1228" i="2" s="1"/>
  <c r="AJ1229" i="2" s="1"/>
  <c r="AJ1238" i="2"/>
  <c r="AJ1250" i="2"/>
  <c r="AL1247" i="2"/>
  <c r="AJ1239" i="2"/>
  <c r="AJ1230" i="2"/>
  <c r="AJ1232" i="2" l="1"/>
  <c r="AK1233" i="2" s="1"/>
  <c r="AL1261" i="2"/>
  <c r="AJ1264" i="2"/>
  <c r="AJ1252" i="2"/>
  <c r="AJ1258" i="2" s="1"/>
  <c r="AJ1253" i="2"/>
  <c r="AJ1240" i="2"/>
  <c r="AJ1244" i="2"/>
  <c r="AJ1254" i="2" l="1"/>
  <c r="AJ1241" i="2"/>
  <c r="AJ1242" i="2" s="1"/>
  <c r="AJ1243" i="2" s="1"/>
  <c r="AJ1246" i="2" s="1"/>
  <c r="AK1247" i="2" s="1"/>
  <c r="AJ1278" i="2"/>
  <c r="AL1275" i="2"/>
  <c r="AJ1267" i="2"/>
  <c r="AJ1266" i="2"/>
  <c r="AJ1272" i="2" s="1"/>
  <c r="AJ1255" i="2" l="1"/>
  <c r="AJ1256" i="2" s="1"/>
  <c r="AJ1257" i="2" s="1"/>
  <c r="AJ1260" i="2" s="1"/>
  <c r="AK1261" i="2" s="1"/>
  <c r="AJ1292" i="2"/>
  <c r="AL1289" i="2"/>
  <c r="AJ1281" i="2"/>
  <c r="AJ1280" i="2"/>
  <c r="AJ1268" i="2"/>
  <c r="AJ1269" i="2" l="1"/>
  <c r="AJ1270" i="2" s="1"/>
  <c r="AJ1271" i="2" s="1"/>
  <c r="AJ1274" i="2" s="1"/>
  <c r="AK1275" i="2" s="1"/>
  <c r="AJ1294" i="2"/>
  <c r="AJ1300" i="2" s="1"/>
  <c r="AL1303" i="2"/>
  <c r="AJ1306" i="2"/>
  <c r="AJ1295" i="2"/>
  <c r="AJ1282" i="2"/>
  <c r="AJ1286" i="2"/>
  <c r="AL1317" i="2" l="1"/>
  <c r="AJ1308" i="2"/>
  <c r="AJ1320" i="2"/>
  <c r="AJ1309" i="2"/>
  <c r="AJ1283" i="2"/>
  <c r="AJ1284" i="2" s="1"/>
  <c r="AJ1285" i="2" s="1"/>
  <c r="AJ1288" i="2" s="1"/>
  <c r="AK1289" i="2" s="1"/>
  <c r="AJ1296" i="2"/>
  <c r="AJ1310" i="2" l="1"/>
  <c r="AJ1311" i="2" s="1"/>
  <c r="AJ1314" i="2"/>
  <c r="AJ1323" i="2"/>
  <c r="AL1331" i="2"/>
  <c r="AJ1322" i="2"/>
  <c r="AJ1334" i="2"/>
  <c r="AJ1297" i="2"/>
  <c r="AJ1324" i="2" l="1"/>
  <c r="AJ1325" i="2" s="1"/>
  <c r="AJ1298" i="2"/>
  <c r="AJ1299" i="2" s="1"/>
  <c r="AJ1302" i="2" s="1"/>
  <c r="AK1303" i="2" s="1"/>
  <c r="AJ1328" i="2"/>
  <c r="AJ1312" i="2"/>
  <c r="AJ1313" i="2" s="1"/>
  <c r="AJ1316" i="2" s="1"/>
  <c r="AK1317" i="2" s="1"/>
  <c r="AJ1348" i="2"/>
  <c r="AL1345" i="2"/>
  <c r="AJ1336" i="2"/>
  <c r="AJ1337" i="2"/>
  <c r="AJ1342" i="2" l="1"/>
  <c r="AJ1338" i="2"/>
  <c r="AJ1326" i="2"/>
  <c r="AJ1327" i="2" s="1"/>
  <c r="AJ1330" i="2" s="1"/>
  <c r="AK1331" i="2" s="1"/>
  <c r="AJ1351" i="2"/>
  <c r="AJ1362" i="2"/>
  <c r="AL1359" i="2"/>
  <c r="AJ1350" i="2"/>
  <c r="AJ1352" i="2" l="1"/>
  <c r="AJ1339" i="2"/>
  <c r="AJ1340" i="2" s="1"/>
  <c r="AJ1341" i="2" s="1"/>
  <c r="AJ1344" i="2" s="1"/>
  <c r="AK1345" i="2" s="1"/>
  <c r="AJ1376" i="2"/>
  <c r="AJ1364" i="2"/>
  <c r="AL1373" i="2"/>
  <c r="AJ1365" i="2"/>
  <c r="AJ1356" i="2"/>
  <c r="AJ1353" i="2" l="1"/>
  <c r="AJ1354" i="2" s="1"/>
  <c r="AJ1355" i="2" s="1"/>
  <c r="AJ1358" i="2" s="1"/>
  <c r="AK1359" i="2" s="1"/>
  <c r="AJ1366" i="2"/>
  <c r="AJ1367" i="2" s="1"/>
  <c r="AJ1379" i="2"/>
  <c r="AJ1390" i="2"/>
  <c r="AJ1378" i="2"/>
  <c r="AJ1384" i="2" s="1"/>
  <c r="AL1387" i="2"/>
  <c r="AJ1370" i="2"/>
  <c r="AJ1392" i="2" l="1"/>
  <c r="AL1401" i="2"/>
  <c r="AJ1393" i="2"/>
  <c r="AJ1404" i="2"/>
  <c r="AJ1368" i="2"/>
  <c r="AJ1369" i="2" s="1"/>
  <c r="AJ1372" i="2" s="1"/>
  <c r="AK1373" i="2" s="1"/>
  <c r="AJ1380" i="2"/>
  <c r="AJ1394" i="2" l="1"/>
  <c r="AJ1395" i="2" s="1"/>
  <c r="AJ1398" i="2"/>
  <c r="AJ1381" i="2"/>
  <c r="AJ1382" i="2" s="1"/>
  <c r="AJ1383" i="2" s="1"/>
  <c r="AJ1386" i="2" s="1"/>
  <c r="AK1387" i="2" s="1"/>
  <c r="AJ1418" i="2"/>
  <c r="AJ1407" i="2"/>
  <c r="AL1415" i="2"/>
  <c r="AJ1406" i="2"/>
  <c r="AJ1412" i="2" s="1"/>
  <c r="AJ1421" i="2" l="1"/>
  <c r="AJ1432" i="2"/>
  <c r="AJ1420" i="2"/>
  <c r="AL1429" i="2"/>
  <c r="AJ1396" i="2"/>
  <c r="AJ1397" i="2" s="1"/>
  <c r="AJ1400" i="2" s="1"/>
  <c r="AK1401" i="2" s="1"/>
  <c r="AJ1408" i="2"/>
  <c r="AJ1422" i="2" l="1"/>
  <c r="AJ1435" i="2"/>
  <c r="AJ1434" i="2"/>
  <c r="AL1443" i="2"/>
  <c r="AJ1446" i="2"/>
  <c r="AJ1409" i="2"/>
  <c r="AJ1410" i="2" s="1"/>
  <c r="AJ1411" i="2" s="1"/>
  <c r="AJ1414" i="2" s="1"/>
  <c r="AK1415" i="2" s="1"/>
  <c r="AJ1426" i="2"/>
  <c r="AJ1423" i="2" l="1"/>
  <c r="AJ1424" i="2" s="1"/>
  <c r="AJ1425" i="2" s="1"/>
  <c r="AJ1428" i="2" s="1"/>
  <c r="AK1429" i="2" s="1"/>
  <c r="AJ1460" i="2"/>
  <c r="AL1457" i="2"/>
  <c r="AJ1449" i="2"/>
  <c r="AJ1448" i="2"/>
  <c r="AJ1436" i="2"/>
  <c r="AJ1440" i="2"/>
  <c r="AL1471" i="2" l="1"/>
  <c r="AJ1474" i="2"/>
  <c r="AJ1463" i="2"/>
  <c r="AJ1462" i="2"/>
  <c r="AJ1437" i="2"/>
  <c r="AJ1438" i="2" s="1"/>
  <c r="AJ1439" i="2" s="1"/>
  <c r="AJ1442" i="2" s="1"/>
  <c r="AK1443" i="2" s="1"/>
  <c r="AJ1450" i="2"/>
  <c r="AJ1454" i="2"/>
  <c r="AJ1464" i="2" l="1"/>
  <c r="AJ1465" i="2" s="1"/>
  <c r="AJ1466" i="2" s="1"/>
  <c r="AJ1467" i="2" s="1"/>
  <c r="AJ1477" i="2"/>
  <c r="AL1485" i="2"/>
  <c r="AJ1488" i="2"/>
  <c r="AJ1476" i="2"/>
  <c r="AJ1451" i="2"/>
  <c r="AJ1468" i="2"/>
  <c r="AJ1470" i="2" l="1"/>
  <c r="AK1471" i="2" s="1"/>
  <c r="AJ1478" i="2"/>
  <c r="AJ1479" i="2" s="1"/>
  <c r="AJ1452" i="2"/>
  <c r="AJ1453" i="2" s="1"/>
  <c r="AJ1456" i="2" s="1"/>
  <c r="AK1457" i="2" s="1"/>
  <c r="AL1499" i="2"/>
  <c r="AJ1490" i="2"/>
  <c r="AJ1496" i="2" s="1"/>
  <c r="AJ1491" i="2"/>
  <c r="AJ1502" i="2"/>
  <c r="AJ1482" i="2"/>
  <c r="AJ1516" i="2" l="1"/>
  <c r="AJ1505" i="2"/>
  <c r="AJ1504" i="2"/>
  <c r="AJ1510" i="2" s="1"/>
  <c r="AL1513" i="2"/>
  <c r="AJ1480" i="2"/>
  <c r="AJ1481" i="2" s="1"/>
  <c r="AJ1484" i="2" s="1"/>
  <c r="AK1485" i="2" s="1"/>
  <c r="AJ1492" i="2"/>
  <c r="AJ1530" i="2" l="1"/>
  <c r="AJ1519" i="2"/>
  <c r="AJ1518" i="2"/>
  <c r="AJ1524" i="2" s="1"/>
  <c r="AL1527" i="2"/>
  <c r="AJ1493" i="2"/>
  <c r="AJ1494" i="2" s="1"/>
  <c r="AJ1495" i="2" s="1"/>
  <c r="AJ1498" i="2" s="1"/>
  <c r="AK1499" i="2" s="1"/>
  <c r="AJ1506" i="2"/>
  <c r="AL1541" i="2" l="1"/>
  <c r="AJ1532" i="2"/>
  <c r="AJ1533" i="2"/>
  <c r="AJ1544" i="2"/>
  <c r="AJ1507" i="2"/>
  <c r="AJ1520" i="2"/>
  <c r="AJ1534" i="2" l="1"/>
  <c r="AJ1535" i="2" s="1"/>
  <c r="AJ1508" i="2"/>
  <c r="AJ1509" i="2" s="1"/>
  <c r="AJ1512" i="2" s="1"/>
  <c r="AK1513" i="2" s="1"/>
  <c r="AJ1558" i="2"/>
  <c r="AL1555" i="2"/>
  <c r="AJ1547" i="2"/>
  <c r="AJ1546" i="2"/>
  <c r="AJ1521" i="2"/>
  <c r="AJ1522" i="2" s="1"/>
  <c r="AJ1523" i="2" s="1"/>
  <c r="AJ1526" i="2" s="1"/>
  <c r="AK1527" i="2" s="1"/>
  <c r="AJ1538" i="2"/>
  <c r="AJ1548" i="2" l="1"/>
  <c r="AJ1549" i="2" s="1"/>
  <c r="AJ1550" i="2" s="1"/>
  <c r="AJ1551" i="2" s="1"/>
  <c r="AJ1561" i="2"/>
  <c r="AJ1572" i="2"/>
  <c r="AL1569" i="2"/>
  <c r="AJ1560" i="2"/>
  <c r="AJ1536" i="2"/>
  <c r="AJ1537" i="2" s="1"/>
  <c r="AJ1540" i="2" s="1"/>
  <c r="AK1541" i="2" s="1"/>
  <c r="AJ1552" i="2"/>
  <c r="AJ1554" i="2" l="1"/>
  <c r="AK1555" i="2" s="1"/>
  <c r="AJ1562" i="2"/>
  <c r="AJ1563" i="2" s="1"/>
  <c r="AJ1566" i="2"/>
  <c r="AJ1574" i="2"/>
  <c r="AJ1580" i="2" s="1"/>
  <c r="AJ1586" i="2"/>
  <c r="AL1583" i="2"/>
  <c r="AJ1575" i="2"/>
  <c r="AJ1564" i="2" l="1"/>
  <c r="AJ1565" i="2" s="1"/>
  <c r="AJ1568" i="2" s="1"/>
  <c r="AK1569" i="2" s="1"/>
  <c r="AJ1589" i="2"/>
  <c r="AJ1588" i="2"/>
  <c r="AJ1594" i="2" s="1"/>
  <c r="AL1597" i="2"/>
  <c r="AJ1600" i="2"/>
  <c r="AJ1576" i="2"/>
  <c r="AJ1603" i="2" l="1"/>
  <c r="AJ1602" i="2"/>
  <c r="AL1611" i="2"/>
  <c r="AJ1614" i="2"/>
  <c r="AJ1577" i="2"/>
  <c r="AJ1578" i="2" s="1"/>
  <c r="AJ1579" i="2" s="1"/>
  <c r="AJ1582" i="2" s="1"/>
  <c r="AK1583" i="2" s="1"/>
  <c r="AJ1590" i="2"/>
  <c r="AJ1604" i="2" l="1"/>
  <c r="AL1625" i="2"/>
  <c r="AJ1616" i="2"/>
  <c r="AJ1622" i="2" s="1"/>
  <c r="AJ1617" i="2"/>
  <c r="AJ1628" i="2"/>
  <c r="AJ1591" i="2"/>
  <c r="AJ1608" i="2"/>
  <c r="AJ1605" i="2" l="1"/>
  <c r="AJ1606" i="2" s="1"/>
  <c r="AJ1607" i="2" s="1"/>
  <c r="AJ1631" i="2"/>
  <c r="AJ1642" i="2"/>
  <c r="AL1639" i="2"/>
  <c r="AJ1630" i="2"/>
  <c r="AJ1592" i="2"/>
  <c r="AJ1593" i="2" s="1"/>
  <c r="AJ1596" i="2" s="1"/>
  <c r="AK1597" i="2" s="1"/>
  <c r="AJ1618" i="2"/>
  <c r="AJ1632" i="2" l="1"/>
  <c r="AJ1633" i="2" s="1"/>
  <c r="AJ1610" i="2"/>
  <c r="AK1611" i="2" s="1"/>
  <c r="AJ1619" i="2"/>
  <c r="AJ1620" i="2" s="1"/>
  <c r="AJ1621" i="2" s="1"/>
  <c r="AJ1624" i="2" s="1"/>
  <c r="AK1625" i="2" s="1"/>
  <c r="AL1653" i="2"/>
  <c r="AJ1644" i="2"/>
  <c r="AJ1650" i="2" s="1"/>
  <c r="AJ1645" i="2"/>
  <c r="AJ1656" i="2"/>
  <c r="AJ1636" i="2"/>
  <c r="AJ1634" i="2" l="1"/>
  <c r="AJ1635" i="2" s="1"/>
  <c r="AJ1638" i="2" s="1"/>
  <c r="AK1639" i="2" s="1"/>
  <c r="AJ1659" i="2"/>
  <c r="AL1667" i="2"/>
  <c r="AJ1670" i="2"/>
  <c r="AJ1658" i="2"/>
  <c r="AJ1646" i="2"/>
  <c r="AJ1660" i="2" l="1"/>
  <c r="AJ1661" i="2" s="1"/>
  <c r="AJ1662" i="2" s="1"/>
  <c r="AJ1663" i="2" s="1"/>
  <c r="AJ1673" i="2"/>
  <c r="AJ1684" i="2"/>
  <c r="AJ1672" i="2"/>
  <c r="AL1681" i="2"/>
  <c r="AJ1647" i="2"/>
  <c r="AJ1664" i="2"/>
  <c r="AJ1666" i="2" l="1"/>
  <c r="AK1667" i="2" s="1"/>
  <c r="AJ1687" i="2"/>
  <c r="AL1695" i="2"/>
  <c r="AJ1686" i="2"/>
  <c r="AJ1692" i="2" s="1"/>
  <c r="AJ1698" i="2"/>
  <c r="AJ1674" i="2"/>
  <c r="AJ1648" i="2"/>
  <c r="AJ1649" i="2" s="1"/>
  <c r="AJ1652" i="2" s="1"/>
  <c r="AK1653" i="2" s="1"/>
  <c r="AJ1678" i="2"/>
  <c r="AJ1675" i="2" l="1"/>
  <c r="AJ1700" i="2"/>
  <c r="AJ1706" i="2" s="1"/>
  <c r="AJ1712" i="2"/>
  <c r="AL1709" i="2"/>
  <c r="AJ1701" i="2"/>
  <c r="AJ1688" i="2"/>
  <c r="AJ1676" i="2" l="1"/>
  <c r="AJ1677" i="2" s="1"/>
  <c r="AJ1680" i="2" s="1"/>
  <c r="AK1681" i="2" s="1"/>
  <c r="AJ1689" i="2"/>
  <c r="AJ1690" i="2" s="1"/>
  <c r="AJ1691" i="2" s="1"/>
  <c r="AJ1694" i="2" s="1"/>
  <c r="AK1695" i="2" s="1"/>
  <c r="AL1723" i="2"/>
  <c r="AJ1714" i="2"/>
  <c r="AJ1715" i="2"/>
  <c r="AJ1726" i="2"/>
  <c r="AJ1702" i="2"/>
  <c r="AJ1716" i="2" l="1"/>
  <c r="AJ1717" i="2" s="1"/>
  <c r="AJ1740" i="2"/>
  <c r="AJ1728" i="2"/>
  <c r="AL1737" i="2"/>
  <c r="AJ1729" i="2"/>
  <c r="AJ1703" i="2"/>
  <c r="AJ1720" i="2"/>
  <c r="AJ1730" i="2" l="1"/>
  <c r="AJ1734" i="2"/>
  <c r="AL1751" i="2"/>
  <c r="AJ1754" i="2"/>
  <c r="AJ1743" i="2"/>
  <c r="AJ1742" i="2"/>
  <c r="AJ1718" i="2"/>
  <c r="AJ1719" i="2" s="1"/>
  <c r="AJ1722" i="2" s="1"/>
  <c r="AK1723" i="2" s="1"/>
  <c r="AJ1704" i="2"/>
  <c r="AJ1705" i="2" s="1"/>
  <c r="AJ1708" i="2" s="1"/>
  <c r="AK1709" i="2" s="1"/>
  <c r="AJ1731" i="2" l="1"/>
  <c r="AJ1744" i="2"/>
  <c r="AJ1748" i="2"/>
  <c r="AJ1768" i="2"/>
  <c r="AL1765" i="2"/>
  <c r="AJ1757" i="2"/>
  <c r="AJ1756" i="2"/>
  <c r="AJ1745" i="2" l="1"/>
  <c r="AJ1732" i="2"/>
  <c r="AJ1733" i="2" s="1"/>
  <c r="AJ1736" i="2" s="1"/>
  <c r="AK1737" i="2" s="1"/>
  <c r="AL1779" i="2"/>
  <c r="AJ1771" i="2"/>
  <c r="AJ1770" i="2"/>
  <c r="AJ1776" i="2" s="1"/>
  <c r="AJ1782" i="2"/>
  <c r="AJ1758" i="2"/>
  <c r="AJ1762" i="2"/>
  <c r="AJ1746" i="2" l="1"/>
  <c r="AJ1747" i="2" s="1"/>
  <c r="AJ1750" i="2" s="1"/>
  <c r="AK1751" i="2" s="1"/>
  <c r="AJ1796" i="2"/>
  <c r="AJ1785" i="2"/>
  <c r="AJ1784" i="2"/>
  <c r="AJ1790" i="2" s="1"/>
  <c r="AL1793" i="2"/>
  <c r="AJ1759" i="2"/>
  <c r="AJ1772" i="2"/>
  <c r="AJ1760" i="2" l="1"/>
  <c r="AJ1761" i="2" s="1"/>
  <c r="AJ1764" i="2" s="1"/>
  <c r="AK1765" i="2" s="1"/>
  <c r="AL1807" i="2"/>
  <c r="AJ1810" i="2"/>
  <c r="AJ1799" i="2"/>
  <c r="AJ1798" i="2"/>
  <c r="AJ1773" i="2"/>
  <c r="AJ1786" i="2"/>
  <c r="AJ1787" i="2" l="1"/>
  <c r="AJ1774" i="2"/>
  <c r="AJ1775" i="2" s="1"/>
  <c r="AJ1778" i="2" s="1"/>
  <c r="AK1779" i="2" s="1"/>
  <c r="AJ1812" i="2"/>
  <c r="AJ1818" i="2" s="1"/>
  <c r="AJ1824" i="2"/>
  <c r="AL1821" i="2"/>
  <c r="AJ1813" i="2"/>
  <c r="AJ1800" i="2"/>
  <c r="AJ1804" i="2"/>
  <c r="AJ1814" i="2" l="1"/>
  <c r="AJ1815" i="2" s="1"/>
  <c r="AJ1788" i="2"/>
  <c r="AJ1789" i="2" s="1"/>
  <c r="AJ1792" i="2" s="1"/>
  <c r="AK1793" i="2" s="1"/>
  <c r="AJ1801" i="2"/>
  <c r="AJ1827" i="2"/>
  <c r="AJ1826" i="2"/>
  <c r="AJ1838" i="2"/>
  <c r="AL1835" i="2"/>
  <c r="AJ1828" i="2" l="1"/>
  <c r="AJ1832" i="2"/>
  <c r="AJ1816" i="2"/>
  <c r="AJ1817" i="2" s="1"/>
  <c r="AJ1820" i="2" s="1"/>
  <c r="AK1821" i="2" s="1"/>
  <c r="AJ1802" i="2"/>
  <c r="AJ1803" i="2" s="1"/>
  <c r="AJ1806" i="2" s="1"/>
  <c r="AK1807" i="2" s="1"/>
  <c r="AJ1840" i="2"/>
  <c r="AJ1846" i="2" s="1"/>
  <c r="AJ1852" i="2"/>
  <c r="AL1849" i="2"/>
  <c r="AJ1841" i="2"/>
  <c r="AJ1829" i="2" l="1"/>
  <c r="AJ1842" i="2"/>
  <c r="AJ1855" i="2"/>
  <c r="AL1863" i="2"/>
  <c r="AJ1854" i="2"/>
  <c r="AJ1866" i="2"/>
  <c r="AJ1856" i="2" l="1"/>
  <c r="AJ1830" i="2"/>
  <c r="AJ1831" i="2" s="1"/>
  <c r="AJ1834" i="2" s="1"/>
  <c r="AK1835" i="2" s="1"/>
  <c r="AJ1869" i="2"/>
  <c r="AJ1880" i="2"/>
  <c r="AJ1868" i="2"/>
  <c r="AL1877" i="2"/>
  <c r="AJ1843" i="2"/>
  <c r="AJ1860" i="2"/>
  <c r="AJ1870" i="2" l="1"/>
  <c r="AJ1871" i="2" s="1"/>
  <c r="AJ1857" i="2"/>
  <c r="AJ1858" i="2" s="1"/>
  <c r="AJ1859" i="2" s="1"/>
  <c r="AJ1874" i="2"/>
  <c r="AJ1844" i="2"/>
  <c r="AJ1845" i="2" s="1"/>
  <c r="AJ1848" i="2" s="1"/>
  <c r="AK1849" i="2" s="1"/>
  <c r="AJ1894" i="2"/>
  <c r="AJ1883" i="2"/>
  <c r="AL1891" i="2"/>
  <c r="AJ1882" i="2"/>
  <c r="AJ1862" i="2" l="1"/>
  <c r="AK1863" i="2" s="1"/>
  <c r="AJ1884" i="2"/>
  <c r="AJ1872" i="2"/>
  <c r="AJ1873" i="2" s="1"/>
  <c r="AJ1876" i="2" s="1"/>
  <c r="AK1877" i="2" s="1"/>
  <c r="AJ1897" i="2"/>
  <c r="AJ1908" i="2"/>
  <c r="AJ1896" i="2"/>
  <c r="AL1905" i="2"/>
  <c r="AJ1888" i="2"/>
  <c r="AJ1898" i="2" l="1"/>
  <c r="AJ1899" i="2" s="1"/>
  <c r="AJ1885" i="2"/>
  <c r="AJ1886" i="2" s="1"/>
  <c r="AJ1887" i="2" s="1"/>
  <c r="AJ1902" i="2"/>
  <c r="AJ1911" i="2"/>
  <c r="AJ1910" i="2"/>
  <c r="AJ1916" i="2" s="1"/>
  <c r="AJ1922" i="2"/>
  <c r="AL1919" i="2"/>
  <c r="AJ1890" i="2" l="1"/>
  <c r="AK1891" i="2" s="1"/>
  <c r="AJ1900" i="2"/>
  <c r="AJ1901" i="2" s="1"/>
  <c r="AJ1904" i="2" s="1"/>
  <c r="AK1905" i="2" s="1"/>
  <c r="AJ1912" i="2"/>
  <c r="AJ1936" i="2"/>
  <c r="AL1933" i="2"/>
  <c r="AJ1925" i="2"/>
  <c r="AJ1924" i="2"/>
  <c r="AJ1913" i="2" l="1"/>
  <c r="AJ1939" i="2"/>
  <c r="AJ1938" i="2"/>
  <c r="AJ1944" i="2" s="1"/>
  <c r="AJ1950" i="2"/>
  <c r="AL1947" i="2"/>
  <c r="AJ1926" i="2"/>
  <c r="AJ1930" i="2"/>
  <c r="AJ1952" i="2" l="1"/>
  <c r="AJ1958" i="2" s="1"/>
  <c r="AJ1953" i="2"/>
  <c r="AJ1964" i="2"/>
  <c r="AL1961" i="2"/>
  <c r="AJ1914" i="2"/>
  <c r="AJ1915" i="2" s="1"/>
  <c r="AJ1918" i="2" s="1"/>
  <c r="AK1919" i="2" s="1"/>
  <c r="AJ1927" i="2"/>
  <c r="AJ1940" i="2"/>
  <c r="AJ1941" i="2" l="1"/>
  <c r="AJ1928" i="2"/>
  <c r="AJ1929" i="2" s="1"/>
  <c r="AJ1932" i="2" s="1"/>
  <c r="AK1933" i="2" s="1"/>
  <c r="AJ1954" i="2"/>
  <c r="AJ1966" i="2"/>
  <c r="AJ1972" i="2" s="1"/>
  <c r="AJ1978" i="2"/>
  <c r="AL1975" i="2"/>
  <c r="AJ1967" i="2"/>
  <c r="AJ1968" i="2" l="1"/>
  <c r="AJ1942" i="2"/>
  <c r="AJ1943" i="2" s="1"/>
  <c r="AJ1946" i="2" s="1"/>
  <c r="AK1947" i="2" s="1"/>
  <c r="AJ1980" i="2"/>
  <c r="AJ1986" i="2" s="1"/>
  <c r="AJ1981" i="2"/>
  <c r="AJ1992" i="2"/>
  <c r="AL1989" i="2"/>
  <c r="AJ1955" i="2"/>
  <c r="AJ1969" i="2" l="1"/>
  <c r="AJ1970" i="2" s="1"/>
  <c r="AJ1971" i="2" s="1"/>
  <c r="AJ1956" i="2"/>
  <c r="AJ1957" i="2" s="1"/>
  <c r="AJ1960" i="2" s="1"/>
  <c r="AK1961" i="2" s="1"/>
  <c r="AJ1982" i="2"/>
  <c r="AJ2006" i="2"/>
  <c r="AL2003" i="2"/>
  <c r="AJ1995" i="2"/>
  <c r="AJ1994" i="2"/>
  <c r="AJ1974" i="2" l="1"/>
  <c r="AK1975" i="2" s="1"/>
  <c r="AJ1996" i="2"/>
  <c r="AL2017" i="2"/>
  <c r="AJ2009" i="2"/>
  <c r="AJ2020" i="2"/>
  <c r="AJ2008" i="2"/>
  <c r="AJ2014" i="2" s="1"/>
  <c r="AJ1983" i="2"/>
  <c r="AJ2000" i="2"/>
  <c r="AJ1997" i="2" l="1"/>
  <c r="AJ1998" i="2" s="1"/>
  <c r="AJ1999" i="2" s="1"/>
  <c r="AJ2002" i="2" s="1"/>
  <c r="AK2003" i="2" s="1"/>
  <c r="AJ2034" i="2"/>
  <c r="AJ2023" i="2"/>
  <c r="AJ2022" i="2"/>
  <c r="AJ2028" i="2" s="1"/>
  <c r="AL2031" i="2"/>
  <c r="AJ1984" i="2"/>
  <c r="AJ1985" i="2" s="1"/>
  <c r="AJ1988" i="2" s="1"/>
  <c r="AK1989" i="2" s="1"/>
  <c r="AJ2010" i="2"/>
  <c r="AJ2036" i="2" l="1"/>
  <c r="AJ2037" i="2"/>
  <c r="AL2045" i="2"/>
  <c r="AJ2048" i="2"/>
  <c r="AJ2011" i="2"/>
  <c r="AJ2024" i="2"/>
  <c r="AJ2038" i="2" l="1"/>
  <c r="AJ2039" i="2" s="1"/>
  <c r="AJ2042" i="2"/>
  <c r="AJ2012" i="2"/>
  <c r="AJ2013" i="2" s="1"/>
  <c r="AJ2016" i="2" s="1"/>
  <c r="AK2017" i="2" s="1"/>
  <c r="AJ2025" i="2"/>
  <c r="AL2059" i="2"/>
  <c r="AJ2050" i="2"/>
  <c r="AJ2056" i="2" s="1"/>
  <c r="AJ2051" i="2"/>
  <c r="AJ2062" i="2"/>
  <c r="AJ2065" i="2" l="1"/>
  <c r="AJ2076" i="2"/>
  <c r="AJ2064" i="2"/>
  <c r="AL2073" i="2"/>
  <c r="AJ2040" i="2"/>
  <c r="AJ2041" i="2" s="1"/>
  <c r="AJ2044" i="2" s="1"/>
  <c r="AK2045" i="2" s="1"/>
  <c r="AJ2026" i="2"/>
  <c r="AJ2027" i="2" s="1"/>
  <c r="AJ2030" i="2" s="1"/>
  <c r="AK2031" i="2" s="1"/>
  <c r="AJ2052" i="2"/>
  <c r="AJ2066" i="2" l="1"/>
  <c r="AJ2067" i="2" s="1"/>
  <c r="AJ2070" i="2"/>
  <c r="AJ2053" i="2"/>
  <c r="AJ2090" i="2"/>
  <c r="AL2087" i="2"/>
  <c r="AJ2078" i="2"/>
  <c r="AJ2079" i="2"/>
  <c r="AJ2080" i="2" l="1"/>
  <c r="AJ2081" i="2" s="1"/>
  <c r="AJ2084" i="2"/>
  <c r="AJ2068" i="2"/>
  <c r="AJ2069" i="2" s="1"/>
  <c r="AJ2072" i="2" s="1"/>
  <c r="AK2073" i="2" s="1"/>
  <c r="AJ2054" i="2"/>
  <c r="AJ2055" i="2" s="1"/>
  <c r="AJ2058" i="2" s="1"/>
  <c r="AK2059" i="2" s="1"/>
  <c r="AJ2092" i="2"/>
  <c r="AJ2098" i="2" s="1"/>
  <c r="AJ2104" i="2"/>
  <c r="AL2101" i="2"/>
  <c r="AJ2093" i="2"/>
  <c r="AL2115" i="2" l="1"/>
  <c r="AJ2106" i="2"/>
  <c r="AJ2107" i="2"/>
  <c r="AJ2118" i="2"/>
  <c r="AJ2082" i="2"/>
  <c r="AJ2083" i="2" s="1"/>
  <c r="AJ2086" i="2" s="1"/>
  <c r="AK2087" i="2" s="1"/>
  <c r="AJ2094" i="2"/>
  <c r="AJ2108" i="2" l="1"/>
  <c r="AJ2109" i="2" s="1"/>
  <c r="AJ2112" i="2"/>
  <c r="AJ2095" i="2"/>
  <c r="AJ2121" i="2"/>
  <c r="AL2129" i="2"/>
  <c r="AJ2132" i="2"/>
  <c r="AJ2120" i="2"/>
  <c r="AJ2122" i="2" l="1"/>
  <c r="AJ2096" i="2"/>
  <c r="AJ2097" i="2" s="1"/>
  <c r="AJ2100" i="2" s="1"/>
  <c r="AK2101" i="2" s="1"/>
  <c r="AJ2110" i="2"/>
  <c r="AJ2111" i="2" s="1"/>
  <c r="AJ2114" i="2" s="1"/>
  <c r="AK2115" i="2" s="1"/>
  <c r="AJ2126" i="2"/>
  <c r="AJ2146" i="2"/>
  <c r="AL2143" i="2"/>
  <c r="AJ2134" i="2"/>
  <c r="AJ2135" i="2"/>
  <c r="AJ2136" i="2" l="1"/>
  <c r="AJ2137" i="2" s="1"/>
  <c r="AJ2123" i="2"/>
  <c r="AJ2140" i="2"/>
  <c r="AJ2148" i="2"/>
  <c r="AL2157" i="2"/>
  <c r="AJ2149" i="2"/>
  <c r="AJ2160" i="2"/>
  <c r="AJ2124" i="2" l="1"/>
  <c r="AJ2125" i="2" s="1"/>
  <c r="AJ2128" i="2" s="1"/>
  <c r="AK2129" i="2" s="1"/>
  <c r="AJ2150" i="2"/>
  <c r="AJ2151" i="2" s="1"/>
  <c r="AJ2154" i="2"/>
  <c r="AL2171" i="2"/>
  <c r="AJ2163" i="2"/>
  <c r="AJ2162" i="2"/>
  <c r="AJ2168" i="2" s="1"/>
  <c r="AJ2174" i="2"/>
  <c r="AJ2138" i="2"/>
  <c r="AJ2139" i="2" s="1"/>
  <c r="AJ2142" i="2" s="1"/>
  <c r="AK2143" i="2" s="1"/>
  <c r="AJ2164" i="2" l="1"/>
  <c r="AJ2152" i="2"/>
  <c r="AJ2153" i="2" s="1"/>
  <c r="AJ2156" i="2" s="1"/>
  <c r="AK2157" i="2" s="1"/>
  <c r="AL2185" i="2"/>
  <c r="AJ2188" i="2"/>
  <c r="AJ2176" i="2"/>
  <c r="AJ2182" i="2" s="1"/>
  <c r="AJ2177" i="2"/>
  <c r="AJ2165" i="2" l="1"/>
  <c r="AJ2166" i="2" s="1"/>
  <c r="AJ2167" i="2" s="1"/>
  <c r="AJ2178" i="2"/>
  <c r="AJ2179" i="2" s="1"/>
  <c r="AJ2191" i="2"/>
  <c r="AJ2190" i="2"/>
  <c r="AJ2196" i="2" s="1"/>
  <c r="AJ2202" i="2"/>
  <c r="AL2199" i="2"/>
  <c r="AJ2170" i="2" l="1"/>
  <c r="AK2171" i="2" s="1"/>
  <c r="AJ2204" i="2"/>
  <c r="AJ2210" i="2" s="1"/>
  <c r="AL2213" i="2"/>
  <c r="AJ2205" i="2"/>
  <c r="AJ2216" i="2"/>
  <c r="AJ2180" i="2"/>
  <c r="AJ2181" i="2" s="1"/>
  <c r="AJ2184" i="2" s="1"/>
  <c r="AK2185" i="2" s="1"/>
  <c r="AJ2192" i="2"/>
  <c r="AJ2206" i="2" l="1"/>
  <c r="AJ2193" i="2"/>
  <c r="AJ2218" i="2"/>
  <c r="AJ2224" i="2" s="1"/>
  <c r="AJ2219" i="2"/>
  <c r="AJ2230" i="2"/>
  <c r="AL2227" i="2"/>
  <c r="AJ2220" i="2" l="1"/>
  <c r="AJ2221" i="2" s="1"/>
  <c r="AJ2207" i="2"/>
  <c r="AJ2232" i="2"/>
  <c r="AJ2238" i="2" s="1"/>
  <c r="AL2241" i="2"/>
  <c r="AJ2233" i="2"/>
  <c r="AJ2244" i="2"/>
  <c r="AJ2194" i="2"/>
  <c r="AJ2195" i="2" s="1"/>
  <c r="AJ2198" i="2" s="1"/>
  <c r="AK2199" i="2" s="1"/>
  <c r="AJ2208" i="2" l="1"/>
  <c r="AJ2209" i="2" s="1"/>
  <c r="AJ2212" i="2" s="1"/>
  <c r="AK2213" i="2" s="1"/>
  <c r="AJ2234" i="2"/>
  <c r="AJ2222" i="2"/>
  <c r="AJ2223" i="2" s="1"/>
  <c r="AJ2226" i="2" s="1"/>
  <c r="AK2227" i="2" s="1"/>
  <c r="AJ2247" i="2"/>
  <c r="AJ2258" i="2"/>
  <c r="AL2255" i="2"/>
  <c r="AJ2246" i="2"/>
  <c r="AJ2248" i="2" l="1"/>
  <c r="AJ2249" i="2" s="1"/>
  <c r="AJ2261" i="2"/>
  <c r="AJ2260" i="2"/>
  <c r="AJ2266" i="2" s="1"/>
  <c r="AL2269" i="2"/>
  <c r="AJ2272" i="2"/>
  <c r="AJ2235" i="2"/>
  <c r="AJ2252" i="2"/>
  <c r="AJ2262" i="2" l="1"/>
  <c r="AJ2236" i="2"/>
  <c r="AJ2237" i="2" s="1"/>
  <c r="AJ2240" i="2" s="1"/>
  <c r="AK2241" i="2" s="1"/>
  <c r="AJ2250" i="2"/>
  <c r="AJ2251" i="2" s="1"/>
  <c r="AJ2254" i="2" s="1"/>
  <c r="AK2255" i="2" s="1"/>
  <c r="AJ2275" i="2"/>
  <c r="AL2283" i="2"/>
  <c r="AJ2274" i="2"/>
  <c r="AJ2286" i="2"/>
  <c r="AJ2276" i="2" l="1"/>
  <c r="AJ2277" i="2" s="1"/>
  <c r="AJ2263" i="2"/>
  <c r="AJ2264" i="2" s="1"/>
  <c r="AJ2265" i="2" s="1"/>
  <c r="AJ2300" i="2"/>
  <c r="AL2297" i="2"/>
  <c r="AJ2289" i="2"/>
  <c r="AJ2288" i="2"/>
  <c r="AJ2280" i="2"/>
  <c r="AJ2268" i="2" l="1"/>
  <c r="AK2269" i="2" s="1"/>
  <c r="AJ2278" i="2"/>
  <c r="AJ2279" i="2" s="1"/>
  <c r="AJ2282" i="2" s="1"/>
  <c r="AK2283" i="2" s="1"/>
  <c r="AL2311" i="2"/>
  <c r="AJ2302" i="2"/>
  <c r="AJ2308" i="2" s="1"/>
  <c r="AJ2314" i="2"/>
  <c r="AJ2303" i="2"/>
  <c r="AJ2290" i="2"/>
  <c r="AJ2294" i="2"/>
  <c r="AL2325" i="2" l="1"/>
  <c r="AJ2328" i="2"/>
  <c r="AJ2316" i="2"/>
  <c r="AJ2317" i="2"/>
  <c r="AJ2291" i="2"/>
  <c r="AJ2304" i="2"/>
  <c r="AJ2318" i="2" l="1"/>
  <c r="AJ2322" i="2"/>
  <c r="AJ2292" i="2"/>
  <c r="AJ2293" i="2" s="1"/>
  <c r="AJ2296" i="2" s="1"/>
  <c r="AK2297" i="2" s="1"/>
  <c r="AJ2330" i="2"/>
  <c r="AJ2336" i="2" s="1"/>
  <c r="AJ2342" i="2"/>
  <c r="AL2339" i="2"/>
  <c r="AJ2331" i="2"/>
  <c r="AJ2305" i="2"/>
  <c r="AJ2319" i="2" l="1"/>
  <c r="AJ2320" i="2" s="1"/>
  <c r="AJ2321" i="2" s="1"/>
  <c r="AJ2306" i="2"/>
  <c r="AJ2307" i="2" s="1"/>
  <c r="AJ2310" i="2" s="1"/>
  <c r="AK2311" i="2" s="1"/>
  <c r="AL2353" i="2"/>
  <c r="AJ2344" i="2"/>
  <c r="AJ2345" i="2"/>
  <c r="AJ2356" i="2"/>
  <c r="AJ2332" i="2"/>
  <c r="AJ2324" i="2" l="1"/>
  <c r="AK2325" i="2" s="1"/>
  <c r="AJ2346" i="2"/>
  <c r="AJ2347" i="2" s="1"/>
  <c r="AJ2333" i="2"/>
  <c r="AJ2350" i="2"/>
  <c r="AJ2370" i="2"/>
  <c r="AL2367" i="2"/>
  <c r="AJ2359" i="2"/>
  <c r="AJ2358" i="2"/>
  <c r="AJ2360" i="2" l="1"/>
  <c r="AJ2348" i="2"/>
  <c r="AJ2349" i="2" s="1"/>
  <c r="AJ2352" i="2" s="1"/>
  <c r="AK2353" i="2" s="1"/>
  <c r="AJ2334" i="2"/>
  <c r="AJ2335" i="2" s="1"/>
  <c r="AJ2338" i="2" s="1"/>
  <c r="AK2339" i="2" s="1"/>
  <c r="AL2381" i="2"/>
  <c r="AJ2384" i="2"/>
  <c r="AJ2372" i="2"/>
  <c r="AJ2373" i="2"/>
  <c r="AJ2364" i="2"/>
  <c r="AJ2361" i="2" l="1"/>
  <c r="AJ2374" i="2"/>
  <c r="AJ2375" i="2" s="1"/>
  <c r="AJ2398" i="2"/>
  <c r="AJ2386" i="2"/>
  <c r="AJ2392" i="2" s="1"/>
  <c r="AL2395" i="2"/>
  <c r="AJ2387" i="2"/>
  <c r="AJ2378" i="2"/>
  <c r="AJ2362" i="2" l="1"/>
  <c r="AJ2363" i="2" s="1"/>
  <c r="AJ2366" i="2" s="1"/>
  <c r="AK2367" i="2" s="1"/>
  <c r="AL2409" i="2"/>
  <c r="AJ2401" i="2"/>
  <c r="AJ2412" i="2"/>
  <c r="AJ2400" i="2"/>
  <c r="AJ2406" i="2" s="1"/>
  <c r="AJ2376" i="2"/>
  <c r="AJ2377" i="2" s="1"/>
  <c r="AJ2380" i="2" s="1"/>
  <c r="AK2381" i="2" s="1"/>
  <c r="AJ2388" i="2"/>
  <c r="AJ2426" i="2" l="1"/>
  <c r="AJ2415" i="2"/>
  <c r="AJ2414" i="2"/>
  <c r="AJ2420" i="2" s="1"/>
  <c r="AL2423" i="2"/>
  <c r="AJ2389" i="2"/>
  <c r="AJ2402" i="2"/>
  <c r="AJ2390" i="2" l="1"/>
  <c r="AJ2391" i="2" s="1"/>
  <c r="AJ2394" i="2" s="1"/>
  <c r="AK2395" i="2" s="1"/>
  <c r="AJ2428" i="2"/>
  <c r="AJ2434" i="2" s="1"/>
  <c r="AL2437" i="2"/>
  <c r="AJ2440" i="2"/>
  <c r="AJ2429" i="2"/>
  <c r="AJ2403" i="2"/>
  <c r="AJ2416" i="2"/>
  <c r="AJ2442" i="2" l="1"/>
  <c r="AJ2448" i="2" s="1"/>
  <c r="AJ2443" i="2"/>
  <c r="AJ2454" i="2"/>
  <c r="AL2451" i="2"/>
  <c r="AJ2417" i="2"/>
  <c r="AJ2404" i="2"/>
  <c r="AJ2405" i="2" s="1"/>
  <c r="AJ2408" i="2" s="1"/>
  <c r="AK2409" i="2" s="1"/>
  <c r="AJ2430" i="2"/>
  <c r="AJ2444" i="2" l="1"/>
  <c r="AJ2431" i="2"/>
  <c r="AJ2418" i="2"/>
  <c r="AJ2419" i="2" s="1"/>
  <c r="AJ2422" i="2" s="1"/>
  <c r="AK2423" i="2" s="1"/>
  <c r="AL2465" i="2"/>
  <c r="AJ2468" i="2"/>
  <c r="AJ2457" i="2"/>
  <c r="AJ2456" i="2"/>
  <c r="AJ2458" i="2" l="1"/>
  <c r="AJ2459" i="2" s="1"/>
  <c r="AJ2445" i="2"/>
  <c r="AJ2432" i="2"/>
  <c r="AJ2433" i="2" s="1"/>
  <c r="AJ2436" i="2" s="1"/>
  <c r="AK2437" i="2" s="1"/>
  <c r="AL2479" i="2"/>
  <c r="AJ2471" i="2"/>
  <c r="AJ2482" i="2"/>
  <c r="AJ2470" i="2"/>
  <c r="AJ2462" i="2"/>
  <c r="AJ2472" i="2" l="1"/>
  <c r="AJ2485" i="2"/>
  <c r="AJ2496" i="2"/>
  <c r="AJ2484" i="2"/>
  <c r="AJ2490" i="2" s="1"/>
  <c r="AL2493" i="2"/>
  <c r="AJ2446" i="2"/>
  <c r="AJ2447" i="2" s="1"/>
  <c r="AJ2450" i="2" s="1"/>
  <c r="AK2451" i="2" s="1"/>
  <c r="AJ2460" i="2"/>
  <c r="AJ2461" i="2" s="1"/>
  <c r="AJ2464" i="2" s="1"/>
  <c r="AK2465" i="2" s="1"/>
  <c r="AJ2476" i="2"/>
  <c r="AJ2473" i="2" l="1"/>
  <c r="AJ2474" i="2" s="1"/>
  <c r="AJ2475" i="2" s="1"/>
  <c r="AJ2486" i="2"/>
  <c r="AJ2510" i="2"/>
  <c r="AL2507" i="2"/>
  <c r="AJ2498" i="2"/>
  <c r="AJ2504" i="2" s="1"/>
  <c r="AJ2499" i="2"/>
  <c r="AJ2478" i="2" l="1"/>
  <c r="AK2479" i="2" s="1"/>
  <c r="AJ2487" i="2"/>
  <c r="AJ2488" i="2" s="1"/>
  <c r="AJ2489" i="2" s="1"/>
  <c r="AJ2500" i="2"/>
  <c r="AJ2512" i="2"/>
  <c r="AJ2518" i="2" s="1"/>
  <c r="AJ2513" i="2"/>
  <c r="AJ2524" i="2"/>
  <c r="AL2521" i="2"/>
  <c r="AJ2492" i="2" l="1"/>
  <c r="AK2493" i="2" s="1"/>
  <c r="AJ2501" i="2"/>
  <c r="AJ2502" i="2" s="1"/>
  <c r="AJ2503" i="2" s="1"/>
  <c r="AJ2514" i="2"/>
  <c r="AL2535" i="2"/>
  <c r="AJ2526" i="2"/>
  <c r="AJ2527" i="2"/>
  <c r="AJ2538" i="2"/>
  <c r="AJ2506" i="2" l="1"/>
  <c r="AK2507" i="2" s="1"/>
  <c r="AJ2541" i="2"/>
  <c r="AJ2552" i="2"/>
  <c r="AJ2540" i="2"/>
  <c r="AJ2546" i="2" s="1"/>
  <c r="AL2549" i="2"/>
  <c r="AJ2515" i="2"/>
  <c r="AJ2528" i="2"/>
  <c r="AJ2532" i="2"/>
  <c r="AJ2516" i="2" l="1"/>
  <c r="AJ2517" i="2" s="1"/>
  <c r="AJ2520" i="2" s="1"/>
  <c r="AK2521" i="2" s="1"/>
  <c r="AJ2555" i="2"/>
  <c r="AJ2554" i="2"/>
  <c r="AL2563" i="2"/>
  <c r="AJ2566" i="2"/>
  <c r="AJ2529" i="2"/>
  <c r="AJ2542" i="2"/>
  <c r="AJ2556" i="2" l="1"/>
  <c r="AJ2557" i="2" s="1"/>
  <c r="AJ2543" i="2"/>
  <c r="AJ2530" i="2"/>
  <c r="AJ2531" i="2" s="1"/>
  <c r="AJ2534" i="2" s="1"/>
  <c r="AK2535" i="2" s="1"/>
  <c r="AJ2569" i="2"/>
  <c r="AJ2568" i="2"/>
  <c r="AJ2574" i="2" s="1"/>
  <c r="AL2577" i="2"/>
  <c r="AJ2580" i="2"/>
  <c r="AJ2560" i="2"/>
  <c r="AJ2558" i="2" l="1"/>
  <c r="AJ2559" i="2" s="1"/>
  <c r="AJ2562" i="2" s="1"/>
  <c r="AK2563" i="2" s="1"/>
  <c r="AJ2544" i="2"/>
  <c r="AJ2545" i="2" s="1"/>
  <c r="AJ2548" i="2" s="1"/>
  <c r="AK2549" i="2" s="1"/>
  <c r="AJ2582" i="2"/>
  <c r="AJ2588" i="2" s="1"/>
  <c r="AJ2583" i="2"/>
  <c r="AL2591" i="2"/>
  <c r="AJ2594" i="2"/>
  <c r="AJ2570" i="2"/>
  <c r="AJ2584" i="2" l="1"/>
  <c r="AJ2571" i="2"/>
  <c r="AJ2597" i="2"/>
  <c r="AJ2596" i="2"/>
  <c r="AJ2608" i="2"/>
  <c r="AL2605" i="2"/>
  <c r="AJ2598" i="2" l="1"/>
  <c r="AJ2599" i="2" s="1"/>
  <c r="AJ2585" i="2"/>
  <c r="AJ2622" i="2"/>
  <c r="AL2619" i="2"/>
  <c r="AJ2611" i="2"/>
  <c r="AJ2610" i="2"/>
  <c r="AJ2616" i="2" s="1"/>
  <c r="AJ2572" i="2"/>
  <c r="AJ2573" i="2" s="1"/>
  <c r="AJ2576" i="2" s="1"/>
  <c r="AK2577" i="2" s="1"/>
  <c r="AJ2602" i="2"/>
  <c r="AJ2625" i="2" l="1"/>
  <c r="AJ2636" i="2"/>
  <c r="AL2633" i="2"/>
  <c r="AJ2624" i="2"/>
  <c r="AJ2630" i="2" s="1"/>
  <c r="AJ2600" i="2"/>
  <c r="AJ2601" i="2" s="1"/>
  <c r="AJ2604" i="2" s="1"/>
  <c r="AK2605" i="2" s="1"/>
  <c r="AJ2586" i="2"/>
  <c r="AJ2587" i="2" s="1"/>
  <c r="AJ2590" i="2" s="1"/>
  <c r="AK2591" i="2" s="1"/>
  <c r="AJ2612" i="2"/>
  <c r="AJ2613" i="2" l="1"/>
  <c r="AJ2638" i="2"/>
  <c r="AJ2639" i="2"/>
  <c r="AJ2650" i="2"/>
  <c r="AL2647" i="2"/>
  <c r="AJ2626" i="2"/>
  <c r="AJ2640" i="2" l="1"/>
  <c r="AJ2641" i="2" s="1"/>
  <c r="AJ2644" i="2"/>
  <c r="AJ2652" i="2"/>
  <c r="AJ2653" i="2"/>
  <c r="AJ2664" i="2"/>
  <c r="AL2661" i="2"/>
  <c r="AJ2614" i="2"/>
  <c r="AJ2615" i="2" s="1"/>
  <c r="AJ2618" i="2" s="1"/>
  <c r="AK2619" i="2" s="1"/>
  <c r="AJ2627" i="2"/>
  <c r="AJ2654" i="2" l="1"/>
  <c r="AJ2655" i="2" s="1"/>
  <c r="AJ2642" i="2"/>
  <c r="AJ2643" i="2" s="1"/>
  <c r="AJ2646" i="2" s="1"/>
  <c r="AK2647" i="2" s="1"/>
  <c r="AJ2628" i="2"/>
  <c r="AJ2629" i="2" s="1"/>
  <c r="AJ2632" i="2" s="1"/>
  <c r="AK2633" i="2" s="1"/>
  <c r="AJ2667" i="2"/>
  <c r="AJ2678" i="2"/>
  <c r="AJ2666" i="2"/>
  <c r="AL2675" i="2"/>
  <c r="AJ2658" i="2"/>
  <c r="AJ2668" i="2" l="1"/>
  <c r="AJ2669" i="2" s="1"/>
  <c r="AJ2656" i="2"/>
  <c r="AJ2657" i="2" s="1"/>
  <c r="AJ2660" i="2" s="1"/>
  <c r="AK2661" i="2" s="1"/>
  <c r="AJ2672" i="2"/>
  <c r="AJ2681" i="2"/>
  <c r="AJ2692" i="2"/>
  <c r="AL2689" i="2"/>
  <c r="AJ2680" i="2"/>
  <c r="AJ2682" i="2" l="1"/>
  <c r="AJ2683" i="2" s="1"/>
  <c r="AJ2670" i="2"/>
  <c r="AJ2671" i="2" s="1"/>
  <c r="AJ2674" i="2" s="1"/>
  <c r="AK2675" i="2" s="1"/>
  <c r="AJ2695" i="2"/>
  <c r="AJ2706" i="2"/>
  <c r="AL2703" i="2"/>
  <c r="AJ2694" i="2"/>
  <c r="AJ2686" i="2"/>
  <c r="AJ2696" i="2" l="1"/>
  <c r="AJ2697" i="2" s="1"/>
  <c r="AJ2700" i="2"/>
  <c r="AJ2684" i="2"/>
  <c r="AJ2685" i="2" s="1"/>
  <c r="AJ2688" i="2" s="1"/>
  <c r="AK2689" i="2" s="1"/>
  <c r="AJ2709" i="2"/>
  <c r="AL2717" i="2"/>
  <c r="AJ2708" i="2"/>
  <c r="AJ2714" i="2" s="1"/>
  <c r="AJ2720" i="2"/>
  <c r="AJ2734" i="2" l="1"/>
  <c r="AJ2723" i="2"/>
  <c r="AJ2722" i="2"/>
  <c r="AJ2728" i="2" s="1"/>
  <c r="AL2731" i="2"/>
  <c r="AJ2698" i="2"/>
  <c r="AJ2699" i="2" s="1"/>
  <c r="AJ2702" i="2" s="1"/>
  <c r="AK2703" i="2" s="1"/>
  <c r="AJ2710" i="2"/>
  <c r="AJ2736" i="2" l="1"/>
  <c r="AJ2742" i="2" s="1"/>
  <c r="AJ2737" i="2"/>
  <c r="AJ2748" i="2"/>
  <c r="AL2745" i="2"/>
  <c r="AJ2711" i="2"/>
  <c r="AJ2724" i="2"/>
  <c r="AJ2738" i="2" l="1"/>
  <c r="AJ2739" i="2" s="1"/>
  <c r="AJ2712" i="2"/>
  <c r="AJ2713" i="2" s="1"/>
  <c r="AJ2716" i="2" s="1"/>
  <c r="AK2717" i="2" s="1"/>
  <c r="AL2759" i="2"/>
  <c r="AJ2751" i="2"/>
  <c r="AJ2762" i="2"/>
  <c r="AJ2750" i="2"/>
  <c r="AJ2725" i="2"/>
  <c r="AJ2752" i="2" l="1"/>
  <c r="AJ2753" i="2" s="1"/>
  <c r="AJ2740" i="2"/>
  <c r="AJ2741" i="2" s="1"/>
  <c r="AJ2744" i="2" s="1"/>
  <c r="AK2745" i="2" s="1"/>
  <c r="AJ2726" i="2"/>
  <c r="AJ2727" i="2" s="1"/>
  <c r="AJ2730" i="2" s="1"/>
  <c r="AK2731" i="2" s="1"/>
  <c r="AJ2764" i="2"/>
  <c r="AJ2770" i="2" s="1"/>
  <c r="AJ2776" i="2"/>
  <c r="AL2773" i="2"/>
  <c r="AJ2765" i="2"/>
  <c r="AJ2756" i="2"/>
  <c r="AJ2779" i="2" l="1"/>
  <c r="AJ2778" i="2"/>
  <c r="AL2787" i="2"/>
  <c r="AJ2790" i="2"/>
  <c r="AJ2754" i="2"/>
  <c r="AJ2755" i="2" s="1"/>
  <c r="AJ2758" i="2" s="1"/>
  <c r="AK2759" i="2" s="1"/>
  <c r="AJ2766" i="2"/>
  <c r="AJ2780" i="2" l="1"/>
  <c r="AJ2781" i="2" s="1"/>
  <c r="AJ2784" i="2"/>
  <c r="AJ2767" i="2"/>
  <c r="AJ2793" i="2"/>
  <c r="AJ2804" i="2"/>
  <c r="AJ2792" i="2"/>
  <c r="AJ2798" i="2" s="1"/>
  <c r="AL2801" i="2"/>
  <c r="AJ2768" i="2" l="1"/>
  <c r="AJ2769" i="2" s="1"/>
  <c r="AJ2772" i="2" s="1"/>
  <c r="AK2773" i="2" s="1"/>
  <c r="AJ2806" i="2"/>
  <c r="AJ2812" i="2" s="1"/>
  <c r="AJ2818" i="2"/>
  <c r="AL2815" i="2"/>
  <c r="AJ2807" i="2"/>
  <c r="AJ2782" i="2"/>
  <c r="AJ2783" i="2" s="1"/>
  <c r="AJ2786" i="2" s="1"/>
  <c r="AK2787" i="2" s="1"/>
  <c r="AJ2794" i="2"/>
  <c r="AJ2795" i="2" l="1"/>
  <c r="AJ2820" i="2"/>
  <c r="AL2829" i="2"/>
  <c r="AJ2821" i="2"/>
  <c r="AJ2832" i="2"/>
  <c r="AJ2808" i="2"/>
  <c r="AJ2822" i="2" l="1"/>
  <c r="AJ2796" i="2"/>
  <c r="AJ2797" i="2" s="1"/>
  <c r="AJ2800" i="2" s="1"/>
  <c r="AK2801" i="2" s="1"/>
  <c r="AJ2835" i="2"/>
  <c r="AL2843" i="2"/>
  <c r="AJ2846" i="2"/>
  <c r="AJ2834" i="2"/>
  <c r="AJ2809" i="2"/>
  <c r="AJ2826" i="2"/>
  <c r="AJ2836" i="2" l="1"/>
  <c r="AJ2837" i="2" s="1"/>
  <c r="AL2857" i="2"/>
  <c r="AJ2860" i="2"/>
  <c r="AJ2849" i="2"/>
  <c r="AJ2848" i="2"/>
  <c r="AJ2854" i="2" s="1"/>
  <c r="AJ2810" i="2"/>
  <c r="AJ2811" i="2" s="1"/>
  <c r="AJ2814" i="2" s="1"/>
  <c r="AK2815" i="2" s="1"/>
  <c r="AJ2823" i="2"/>
  <c r="AJ2840" i="2"/>
  <c r="AJ2838" i="2" l="1"/>
  <c r="AJ2839" i="2" s="1"/>
  <c r="AJ2842" i="2" s="1"/>
  <c r="AK2843" i="2" s="1"/>
  <c r="AJ2874" i="2"/>
  <c r="AL2871" i="2"/>
  <c r="AJ2863" i="2"/>
  <c r="AJ2862" i="2"/>
  <c r="AJ2824" i="2"/>
  <c r="AJ2825" i="2" s="1"/>
  <c r="AJ2828" i="2" s="1"/>
  <c r="AK2829" i="2" s="1"/>
  <c r="AJ2850" i="2"/>
  <c r="AJ2851" i="2" l="1"/>
  <c r="AJ2888" i="2"/>
  <c r="AJ2877" i="2"/>
  <c r="AL2885" i="2"/>
  <c r="AJ2876" i="2"/>
  <c r="AJ2882" i="2" s="1"/>
  <c r="AJ2864" i="2"/>
  <c r="AJ2868" i="2"/>
  <c r="AJ2878" i="2" l="1"/>
  <c r="AJ2852" i="2"/>
  <c r="AJ2853" i="2" s="1"/>
  <c r="AJ2856" i="2" s="1"/>
  <c r="AK2857" i="2" s="1"/>
  <c r="AJ2891" i="2"/>
  <c r="AL2899" i="2"/>
  <c r="AJ2902" i="2"/>
  <c r="AJ2890" i="2"/>
  <c r="AJ2896" i="2" s="1"/>
  <c r="AJ2865" i="2"/>
  <c r="AJ2879" i="2" l="1"/>
  <c r="AJ2880" i="2" s="1"/>
  <c r="AJ2881" i="2" s="1"/>
  <c r="AJ2866" i="2"/>
  <c r="AJ2867" i="2" s="1"/>
  <c r="AJ2870" i="2" s="1"/>
  <c r="AK2871" i="2" s="1"/>
  <c r="AJ2904" i="2"/>
  <c r="AJ2910" i="2" s="1"/>
  <c r="AJ2916" i="2"/>
  <c r="AL2913" i="2"/>
  <c r="AJ2905" i="2"/>
  <c r="AJ2892" i="2"/>
  <c r="AJ2884" i="2" l="1"/>
  <c r="AK2885" i="2" s="1"/>
  <c r="AJ2906" i="2"/>
  <c r="AJ2893" i="2"/>
  <c r="AJ2919" i="2"/>
  <c r="AJ2918" i="2"/>
  <c r="AJ2930" i="2"/>
  <c r="AL2927" i="2"/>
  <c r="AJ2920" i="2" l="1"/>
  <c r="AJ2907" i="2"/>
  <c r="AJ2894" i="2"/>
  <c r="AJ2895" i="2" s="1"/>
  <c r="AJ2898" i="2" s="1"/>
  <c r="AK2899" i="2" s="1"/>
  <c r="AL2941" i="2"/>
  <c r="AJ2933" i="2"/>
  <c r="AJ2932" i="2"/>
  <c r="AJ2944" i="2"/>
  <c r="AJ2924" i="2"/>
  <c r="AJ2934" i="2" l="1"/>
  <c r="AJ2938" i="2"/>
  <c r="AJ2921" i="2"/>
  <c r="AJ2958" i="2"/>
  <c r="AJ2946" i="2"/>
  <c r="AJ2952" i="2" s="1"/>
  <c r="AL2955" i="2"/>
  <c r="AJ2947" i="2"/>
  <c r="AJ2908" i="2"/>
  <c r="AJ2909" i="2" s="1"/>
  <c r="AJ2912" i="2" s="1"/>
  <c r="AK2913" i="2" s="1"/>
  <c r="AJ2935" i="2" l="1"/>
  <c r="AJ2936" i="2" s="1"/>
  <c r="AJ2937" i="2" s="1"/>
  <c r="AJ2972" i="2"/>
  <c r="AJ2960" i="2"/>
  <c r="AL2969" i="2"/>
  <c r="AJ2961" i="2"/>
  <c r="AJ2922" i="2"/>
  <c r="AJ2923" i="2" s="1"/>
  <c r="AJ2926" i="2" s="1"/>
  <c r="AK2927" i="2" s="1"/>
  <c r="AJ2948" i="2"/>
  <c r="AJ2940" i="2" l="1"/>
  <c r="AK2941" i="2" s="1"/>
  <c r="AJ2962" i="2"/>
  <c r="AJ2963" i="2" s="1"/>
  <c r="AJ2949" i="2"/>
  <c r="AL2983" i="2"/>
  <c r="AJ2975" i="2"/>
  <c r="AJ2986" i="2"/>
  <c r="AJ2974" i="2"/>
  <c r="AJ2966" i="2"/>
  <c r="AJ2976" i="2" l="1"/>
  <c r="AJ2964" i="2"/>
  <c r="AJ2965" i="2" s="1"/>
  <c r="AJ2968" i="2" s="1"/>
  <c r="AK2969" i="2" s="1"/>
  <c r="AJ2989" i="2"/>
  <c r="AJ2988" i="2"/>
  <c r="AJ3000" i="2"/>
  <c r="AL2997" i="2"/>
  <c r="AJ2950" i="2"/>
  <c r="AJ2951" i="2" s="1"/>
  <c r="AJ2954" i="2" s="1"/>
  <c r="AK2955" i="2" s="1"/>
  <c r="AJ2980" i="2"/>
  <c r="AJ2977" i="2" l="1"/>
  <c r="AJ2990" i="2"/>
  <c r="AJ3003" i="2"/>
  <c r="AJ3014" i="2"/>
  <c r="AJ3002" i="2"/>
  <c r="AL3011" i="2"/>
  <c r="AJ2994" i="2"/>
  <c r="AJ2978" i="2" l="1"/>
  <c r="AJ2979" i="2" s="1"/>
  <c r="AJ2982" i="2" s="1"/>
  <c r="AK2983" i="2" s="1"/>
  <c r="AJ3004" i="2"/>
  <c r="AJ3005" i="2" s="1"/>
  <c r="AJ2991" i="2"/>
  <c r="AJ3017" i="2"/>
  <c r="AJ3016" i="2"/>
  <c r="AJ3022" i="2" s="1"/>
  <c r="AJ3028" i="2"/>
  <c r="AL3025" i="2"/>
  <c r="AJ3008" i="2"/>
  <c r="AJ2992" i="2" l="1"/>
  <c r="AJ2993" i="2" s="1"/>
  <c r="AJ2996" i="2" s="1"/>
  <c r="AK2997" i="2" s="1"/>
  <c r="AJ3030" i="2"/>
  <c r="AL3039" i="2"/>
  <c r="AJ3031" i="2"/>
  <c r="AJ3042" i="2"/>
  <c r="AJ3006" i="2"/>
  <c r="AJ3007" i="2" s="1"/>
  <c r="AJ3010" i="2" s="1"/>
  <c r="AK3011" i="2" s="1"/>
  <c r="AJ3018" i="2"/>
  <c r="AJ3045" i="2" l="1"/>
  <c r="AJ3044" i="2"/>
  <c r="AJ3056" i="2"/>
  <c r="AL3053" i="2"/>
  <c r="AJ3032" i="2"/>
  <c r="AJ3019" i="2"/>
  <c r="AJ3036" i="2"/>
  <c r="AJ3046" i="2" l="1"/>
  <c r="AJ3047" i="2" s="1"/>
  <c r="AJ3033" i="2"/>
  <c r="AJ3020" i="2"/>
  <c r="AJ3021" i="2" s="1"/>
  <c r="AJ3024" i="2" s="1"/>
  <c r="AK3025" i="2" s="1"/>
  <c r="AJ3070" i="2"/>
  <c r="AJ3059" i="2"/>
  <c r="AJ3058" i="2"/>
  <c r="AL3067" i="2"/>
  <c r="AJ3050" i="2"/>
  <c r="AJ3060" i="2" l="1"/>
  <c r="AJ3034" i="2"/>
  <c r="AJ3035" i="2" s="1"/>
  <c r="AJ3038" i="2" s="1"/>
  <c r="AK3039" i="2" s="1"/>
  <c r="AJ3072" i="2"/>
  <c r="AJ3078" i="2" s="1"/>
  <c r="AJ3084" i="2"/>
  <c r="AL3081" i="2"/>
  <c r="AJ3073" i="2"/>
  <c r="AJ3048" i="2"/>
  <c r="AJ3049" i="2" s="1"/>
  <c r="AJ3052" i="2" s="1"/>
  <c r="AK3053" i="2" s="1"/>
  <c r="AJ3064" i="2"/>
  <c r="AJ3074" i="2" l="1"/>
  <c r="AJ3075" i="2" s="1"/>
  <c r="AJ3061" i="2"/>
  <c r="AJ3087" i="2"/>
  <c r="AJ3098" i="2"/>
  <c r="AJ3086" i="2"/>
  <c r="AL3095" i="2"/>
  <c r="AJ3062" i="2" l="1"/>
  <c r="AJ3063" i="2" s="1"/>
  <c r="AJ3066" i="2" s="1"/>
  <c r="AK3067" i="2" s="1"/>
  <c r="AJ3088" i="2"/>
  <c r="AJ3076" i="2"/>
  <c r="AJ3077" i="2" s="1"/>
  <c r="AJ3080" i="2" s="1"/>
  <c r="AK3081" i="2" s="1"/>
  <c r="AJ3100" i="2"/>
  <c r="AJ3106" i="2" s="1"/>
  <c r="AL3109" i="2"/>
  <c r="AJ3112" i="2"/>
  <c r="AJ3101" i="2"/>
  <c r="AJ3092" i="2"/>
  <c r="AJ3089" i="2" l="1"/>
  <c r="AJ3126" i="2"/>
  <c r="AJ3114" i="2"/>
  <c r="AL3123" i="2"/>
  <c r="AJ3115" i="2"/>
  <c r="AJ3102" i="2"/>
  <c r="AJ3090" i="2" l="1"/>
  <c r="AJ3091" i="2" s="1"/>
  <c r="AJ3094" i="2" s="1"/>
  <c r="AK3095" i="2" s="1"/>
  <c r="AJ3116" i="2"/>
  <c r="AJ3117" i="2" s="1"/>
  <c r="AJ3140" i="2"/>
  <c r="AL3137" i="2"/>
  <c r="AJ3129" i="2"/>
  <c r="AJ3128" i="2"/>
  <c r="AJ3120" i="2"/>
  <c r="AJ3103" i="2"/>
  <c r="AJ3130" i="2" l="1"/>
  <c r="AJ3104" i="2"/>
  <c r="AJ3105" i="2" s="1"/>
  <c r="AJ3108" i="2" s="1"/>
  <c r="AK3109" i="2" s="1"/>
  <c r="AJ3118" i="2"/>
  <c r="AJ3119" i="2" s="1"/>
  <c r="AJ3122" i="2" s="1"/>
  <c r="AK3123" i="2" s="1"/>
  <c r="AJ3154" i="2"/>
  <c r="AJ3142" i="2"/>
  <c r="AJ3148" i="2" s="1"/>
  <c r="AL3151" i="2"/>
  <c r="AJ3143" i="2"/>
  <c r="AJ3134" i="2"/>
  <c r="AJ3131" i="2" l="1"/>
  <c r="AL3165" i="2"/>
  <c r="AJ3157" i="2"/>
  <c r="AJ3156" i="2"/>
  <c r="AJ3162" i="2" s="1"/>
  <c r="AJ3168" i="2"/>
  <c r="AJ3144" i="2"/>
  <c r="AJ3132" i="2" l="1"/>
  <c r="AJ3133" i="2" s="1"/>
  <c r="AJ3136" i="2" s="1"/>
  <c r="AK3137" i="2" s="1"/>
  <c r="AJ3145" i="2"/>
  <c r="AJ3182" i="2"/>
  <c r="AJ3170" i="2"/>
  <c r="AJ3176" i="2" s="1"/>
  <c r="AL3179" i="2"/>
  <c r="AJ3171" i="2"/>
  <c r="AJ3158" i="2"/>
  <c r="AJ3146" i="2" l="1"/>
  <c r="AJ3147" i="2" s="1"/>
  <c r="AJ3150" i="2" s="1"/>
  <c r="AK3151" i="2" s="1"/>
  <c r="AL3193" i="2"/>
  <c r="AJ3185" i="2"/>
  <c r="AJ3184" i="2"/>
  <c r="AJ3196" i="2"/>
  <c r="AJ3159" i="2"/>
  <c r="AJ3172" i="2"/>
  <c r="AJ3173" i="2" l="1"/>
  <c r="AJ3210" i="2"/>
  <c r="AJ3198" i="2"/>
  <c r="AJ3204" i="2" s="1"/>
  <c r="AL3207" i="2"/>
  <c r="AJ3199" i="2"/>
  <c r="AJ3160" i="2"/>
  <c r="AJ3161" i="2" s="1"/>
  <c r="AJ3164" i="2" s="1"/>
  <c r="AK3165" i="2" s="1"/>
  <c r="AJ3186" i="2"/>
  <c r="AJ3190" i="2"/>
  <c r="AJ3213" i="2" l="1"/>
  <c r="AJ3212" i="2"/>
  <c r="AL3221" i="2"/>
  <c r="AJ3224" i="2"/>
  <c r="AJ3174" i="2"/>
  <c r="AJ3175" i="2" s="1"/>
  <c r="AJ3178" i="2" s="1"/>
  <c r="AK3179" i="2" s="1"/>
  <c r="AJ3187" i="2"/>
  <c r="AJ3200" i="2"/>
  <c r="AJ3214" i="2" l="1"/>
  <c r="AJ3215" i="2" s="1"/>
  <c r="AJ3201" i="2"/>
  <c r="AJ3188" i="2"/>
  <c r="AJ3189" i="2" s="1"/>
  <c r="AJ3192" i="2" s="1"/>
  <c r="AK3193" i="2" s="1"/>
  <c r="AJ3227" i="2"/>
  <c r="AJ3238" i="2"/>
  <c r="AL3235" i="2"/>
  <c r="AJ3226" i="2"/>
  <c r="AJ3218" i="2"/>
  <c r="AJ3228" i="2" l="1"/>
  <c r="AJ3229" i="2" s="1"/>
  <c r="AJ3216" i="2"/>
  <c r="AJ3217" i="2" s="1"/>
  <c r="AJ3220" i="2" s="1"/>
  <c r="AK3221" i="2" s="1"/>
  <c r="AJ3202" i="2"/>
  <c r="AJ3203" i="2" s="1"/>
  <c r="AJ3206" i="2" s="1"/>
  <c r="AK3207" i="2" s="1"/>
  <c r="AJ3232" i="2"/>
  <c r="AJ3252" i="2"/>
  <c r="AL3249" i="2"/>
  <c r="AJ3241" i="2"/>
  <c r="AJ3240" i="2"/>
  <c r="AJ3246" i="2" s="1"/>
  <c r="AJ3230" i="2" l="1"/>
  <c r="AJ3231" i="2" s="1"/>
  <c r="AJ3234" i="2" s="1"/>
  <c r="AK3235" i="2" s="1"/>
  <c r="AJ3242" i="2"/>
  <c r="AJ3266" i="2"/>
  <c r="AJ3255" i="2"/>
  <c r="AJ3254" i="2"/>
  <c r="AL3263" i="2"/>
  <c r="AJ3243" i="2" l="1"/>
  <c r="AJ3268" i="2"/>
  <c r="AJ3274" i="2" s="1"/>
  <c r="AJ3280" i="2"/>
  <c r="AJ3269" i="2"/>
  <c r="AL3277" i="2"/>
  <c r="AJ3256" i="2"/>
  <c r="AJ3260" i="2"/>
  <c r="AJ3244" i="2" l="1"/>
  <c r="AJ3245" i="2" s="1"/>
  <c r="AJ3248" i="2" s="1"/>
  <c r="AK3249" i="2" s="1"/>
  <c r="AJ3257" i="2"/>
  <c r="AJ3283" i="2"/>
  <c r="AJ3294" i="2"/>
  <c r="AJ3282" i="2"/>
  <c r="AJ3288" i="2" s="1"/>
  <c r="AL3291" i="2"/>
  <c r="AJ3270" i="2"/>
  <c r="AJ3271" i="2" l="1"/>
  <c r="AJ3308" i="2"/>
  <c r="AL3305" i="2"/>
  <c r="AJ3297" i="2"/>
  <c r="AJ3296" i="2"/>
  <c r="AJ3284" i="2"/>
  <c r="AJ3258" i="2"/>
  <c r="AJ3259" i="2" s="1"/>
  <c r="AJ3262" i="2" s="1"/>
  <c r="AK3263" i="2" s="1"/>
  <c r="AJ3272" i="2" l="1"/>
  <c r="AJ3273" i="2" s="1"/>
  <c r="AJ3276" i="2" s="1"/>
  <c r="AK3277" i="2" s="1"/>
  <c r="AJ3298" i="2"/>
  <c r="AL3319" i="2"/>
  <c r="AJ3322" i="2"/>
  <c r="AJ3310" i="2"/>
  <c r="AJ3311" i="2"/>
  <c r="AJ3285" i="2"/>
  <c r="AJ3302" i="2"/>
  <c r="AJ3312" i="2" l="1"/>
  <c r="AJ3313" i="2" s="1"/>
  <c r="AJ3286" i="2"/>
  <c r="AJ3287" i="2" s="1"/>
  <c r="AJ3290" i="2" s="1"/>
  <c r="AK3291" i="2" s="1"/>
  <c r="AJ3336" i="2"/>
  <c r="AJ3324" i="2"/>
  <c r="AJ3330" i="2" s="1"/>
  <c r="AL3333" i="2"/>
  <c r="AJ3325" i="2"/>
  <c r="AJ3299" i="2"/>
  <c r="AJ3316" i="2"/>
  <c r="AJ3300" i="2" l="1"/>
  <c r="AJ3301" i="2" s="1"/>
  <c r="AJ3304" i="2" s="1"/>
  <c r="AK3305" i="2" s="1"/>
  <c r="AL3347" i="2"/>
  <c r="AJ3339" i="2"/>
  <c r="AJ3350" i="2"/>
  <c r="AJ3338" i="2"/>
  <c r="AJ3314" i="2"/>
  <c r="AJ3315" i="2" s="1"/>
  <c r="AJ3318" i="2" s="1"/>
  <c r="AK3319" i="2" s="1"/>
  <c r="AJ3326" i="2"/>
  <c r="AJ3340" i="2" l="1"/>
  <c r="AJ3341" i="2" s="1"/>
  <c r="AJ3327" i="2"/>
  <c r="AL3361" i="2"/>
  <c r="AJ3353" i="2"/>
  <c r="AJ3364" i="2"/>
  <c r="AJ3352" i="2"/>
  <c r="AJ3344" i="2"/>
  <c r="AJ3354" i="2" l="1"/>
  <c r="AJ3355" i="2" s="1"/>
  <c r="AJ3328" i="2"/>
  <c r="AJ3329" i="2" s="1"/>
  <c r="AJ3332" i="2" s="1"/>
  <c r="AK3333" i="2" s="1"/>
  <c r="AJ3366" i="2"/>
  <c r="AL3375" i="2"/>
  <c r="AJ3367" i="2"/>
  <c r="AJ3378" i="2"/>
  <c r="AJ3342" i="2"/>
  <c r="AJ3343" i="2" s="1"/>
  <c r="AJ3346" i="2" s="1"/>
  <c r="AK3347" i="2" s="1"/>
  <c r="AJ3358" i="2"/>
  <c r="AJ3381" i="2" l="1"/>
  <c r="AJ3380" i="2"/>
  <c r="AJ3392" i="2"/>
  <c r="AL3389" i="2"/>
  <c r="AJ3368" i="2"/>
  <c r="AJ3356" i="2"/>
  <c r="AJ3357" i="2" s="1"/>
  <c r="AJ3360" i="2" s="1"/>
  <c r="AK3361" i="2" s="1"/>
  <c r="AJ3372" i="2"/>
  <c r="AJ3382" i="2" l="1"/>
  <c r="AJ3383" i="2" s="1"/>
  <c r="AJ3369" i="2"/>
  <c r="AJ3394" i="2"/>
  <c r="AJ3395" i="2"/>
  <c r="AL3403" i="2"/>
  <c r="AJ3406" i="2"/>
  <c r="AJ3386" i="2"/>
  <c r="AJ3396" i="2" l="1"/>
  <c r="AJ3400" i="2"/>
  <c r="AJ3384" i="2"/>
  <c r="AJ3385" i="2" s="1"/>
  <c r="AJ3388" i="2" s="1"/>
  <c r="AK3389" i="2" s="1"/>
  <c r="AJ3370" i="2"/>
  <c r="AJ3371" i="2" s="1"/>
  <c r="AJ3374" i="2" s="1"/>
  <c r="AK3375" i="2" s="1"/>
  <c r="AJ3409" i="2"/>
  <c r="AL3417" i="2"/>
  <c r="AJ3408" i="2"/>
  <c r="AJ3420" i="2"/>
  <c r="AJ3397" i="2" l="1"/>
  <c r="AJ3410" i="2"/>
  <c r="AJ3411" i="2" s="1"/>
  <c r="AJ3434" i="2"/>
  <c r="AL3431" i="2"/>
  <c r="AJ3423" i="2"/>
  <c r="AJ3422" i="2"/>
  <c r="AJ3414" i="2"/>
  <c r="AJ3398" i="2" l="1"/>
  <c r="AJ3399" i="2" s="1"/>
  <c r="AJ3402" i="2" s="1"/>
  <c r="AK3403" i="2" s="1"/>
  <c r="AJ3424" i="2"/>
  <c r="AJ3428" i="2"/>
  <c r="AJ3412" i="2"/>
  <c r="AJ3413" i="2" s="1"/>
  <c r="AJ3416" i="2" s="1"/>
  <c r="AK3417" i="2" s="1"/>
  <c r="AL3445" i="2"/>
  <c r="AJ3437" i="2"/>
  <c r="AJ3436" i="2"/>
  <c r="AJ3442" i="2" s="1"/>
  <c r="AJ3448" i="2"/>
  <c r="AJ3438" i="2" l="1"/>
  <c r="AJ3425" i="2"/>
  <c r="AJ3451" i="2"/>
  <c r="AJ3462" i="2"/>
  <c r="AJ3450" i="2"/>
  <c r="AL3459" i="2"/>
  <c r="AJ3452" i="2" l="1"/>
  <c r="AJ3476" i="2"/>
  <c r="AJ3465" i="2"/>
  <c r="AL3473" i="2"/>
  <c r="AJ3464" i="2"/>
  <c r="AJ3439" i="2"/>
  <c r="AJ3426" i="2"/>
  <c r="AJ3427" i="2" s="1"/>
  <c r="AJ3430" i="2" s="1"/>
  <c r="AK3431" i="2" s="1"/>
  <c r="AJ3456" i="2"/>
  <c r="AJ3453" i="2" l="1"/>
  <c r="AJ3454" i="2" s="1"/>
  <c r="AJ3455" i="2" s="1"/>
  <c r="AJ3466" i="2"/>
  <c r="AJ3467" i="2" s="1"/>
  <c r="AJ3478" i="2"/>
  <c r="AJ3479" i="2"/>
  <c r="AJ3490" i="2"/>
  <c r="AL3487" i="2"/>
  <c r="AJ3470" i="2"/>
  <c r="AJ3440" i="2"/>
  <c r="AJ3441" i="2" s="1"/>
  <c r="AJ3444" i="2" s="1"/>
  <c r="AK3445" i="2" s="1"/>
  <c r="AJ3458" i="2" l="1"/>
  <c r="AK3459" i="2" s="1"/>
  <c r="AJ3480" i="2"/>
  <c r="AJ3484" i="2"/>
  <c r="AJ3468" i="2"/>
  <c r="AJ3469" i="2" s="1"/>
  <c r="AJ3472" i="2" s="1"/>
  <c r="AK3473" i="2" s="1"/>
  <c r="AJ3492" i="2"/>
  <c r="AJ3498" i="2" s="1"/>
  <c r="AJ3504" i="2"/>
  <c r="AJ3493" i="2"/>
  <c r="AL3501" i="2"/>
  <c r="AJ3481" i="2" l="1"/>
  <c r="AJ3482" i="2" s="1"/>
  <c r="AJ3483" i="2" s="1"/>
  <c r="AJ3494" i="2"/>
  <c r="AJ3495" i="2" s="1"/>
  <c r="AJ3506" i="2"/>
  <c r="AJ3512" i="2" s="1"/>
  <c r="AL3515" i="2"/>
  <c r="AJ3507" i="2"/>
  <c r="AJ3518" i="2"/>
  <c r="AJ3486" i="2" l="1"/>
  <c r="AK3487" i="2" s="1"/>
  <c r="AJ3508" i="2"/>
  <c r="AJ3532" i="2"/>
  <c r="AL3529" i="2"/>
  <c r="AJ3520" i="2"/>
  <c r="AJ3521" i="2"/>
  <c r="AJ3496" i="2"/>
  <c r="AJ3497" i="2" s="1"/>
  <c r="AJ3500" i="2" s="1"/>
  <c r="AK3501" i="2" s="1"/>
  <c r="AJ3522" i="2" l="1"/>
  <c r="AJ3509" i="2"/>
  <c r="AJ3546" i="2"/>
  <c r="AL3543" i="2"/>
  <c r="AJ3534" i="2"/>
  <c r="AJ3540" i="2" s="1"/>
  <c r="AJ3535" i="2"/>
  <c r="AJ3526" i="2"/>
  <c r="AJ3523" i="2" l="1"/>
  <c r="AJ3536" i="2"/>
  <c r="AJ3537" i="2" s="1"/>
  <c r="AJ3548" i="2"/>
  <c r="AJ3554" i="2" s="1"/>
  <c r="AJ3560" i="2"/>
  <c r="AJ3549" i="2"/>
  <c r="AL3557" i="2"/>
  <c r="AJ3510" i="2"/>
  <c r="AJ3511" i="2" s="1"/>
  <c r="AJ3514" i="2" s="1"/>
  <c r="AK3515" i="2" s="1"/>
  <c r="AJ3524" i="2" l="1"/>
  <c r="AJ3525" i="2" s="1"/>
  <c r="AJ3528" i="2" s="1"/>
  <c r="AK3529" i="2" s="1"/>
  <c r="AJ3563" i="2"/>
  <c r="AL3571" i="2"/>
  <c r="AJ3574" i="2"/>
  <c r="AJ3562" i="2"/>
  <c r="AJ3538" i="2"/>
  <c r="AJ3539" i="2" s="1"/>
  <c r="AJ3542" i="2" s="1"/>
  <c r="AK3543" i="2" s="1"/>
  <c r="AJ3550" i="2"/>
  <c r="AJ3564" i="2" l="1"/>
  <c r="AJ3551" i="2"/>
  <c r="AJ3576" i="2"/>
  <c r="AJ3577" i="2"/>
  <c r="AJ3588" i="2"/>
  <c r="AL3585" i="2"/>
  <c r="AJ3568" i="2"/>
  <c r="AJ3578" i="2" l="1"/>
  <c r="AJ3579" i="2" s="1"/>
  <c r="AJ3565" i="2"/>
  <c r="AJ3566" i="2" s="1"/>
  <c r="AJ3567" i="2" s="1"/>
  <c r="AJ3591" i="2"/>
  <c r="AJ3602" i="2"/>
  <c r="AL3599" i="2"/>
  <c r="AJ3590" i="2"/>
  <c r="AJ3596" i="2" s="1"/>
  <c r="AJ3552" i="2"/>
  <c r="AJ3553" i="2" s="1"/>
  <c r="AJ3556" i="2" s="1"/>
  <c r="AK3557" i="2" s="1"/>
  <c r="AJ3582" i="2"/>
  <c r="AJ3570" i="2" l="1"/>
  <c r="AK3571" i="2" s="1"/>
  <c r="AJ3604" i="2"/>
  <c r="AJ3610" i="2" s="1"/>
  <c r="AJ3616" i="2"/>
  <c r="AJ3605" i="2"/>
  <c r="AL3613" i="2"/>
  <c r="AJ3580" i="2"/>
  <c r="AJ3581" i="2" s="1"/>
  <c r="AJ3584" i="2" s="1"/>
  <c r="AK3585" i="2" s="1"/>
  <c r="AJ3592" i="2"/>
  <c r="AJ3606" i="2" l="1"/>
  <c r="AJ3607" i="2" s="1"/>
  <c r="AL3627" i="2"/>
  <c r="AJ3619" i="2"/>
  <c r="AJ3630" i="2"/>
  <c r="AJ3618" i="2"/>
  <c r="AJ3593" i="2"/>
  <c r="AJ3620" i="2" l="1"/>
  <c r="AJ3594" i="2"/>
  <c r="AJ3595" i="2" s="1"/>
  <c r="AJ3598" i="2" s="1"/>
  <c r="AK3599" i="2" s="1"/>
  <c r="AJ3632" i="2"/>
  <c r="AJ3638" i="2" s="1"/>
  <c r="AJ3633" i="2"/>
  <c r="AJ3644" i="2"/>
  <c r="AL3641" i="2"/>
  <c r="AJ3608" i="2"/>
  <c r="AJ3609" i="2" s="1"/>
  <c r="AJ3612" i="2" s="1"/>
  <c r="AK3613" i="2" s="1"/>
  <c r="AJ3624" i="2"/>
  <c r="AJ3621" i="2" l="1"/>
  <c r="AJ3634" i="2"/>
  <c r="AJ3635" i="2" s="1"/>
  <c r="AJ3658" i="2"/>
  <c r="AJ3646" i="2"/>
  <c r="AJ3652" i="2" s="1"/>
  <c r="AJ3647" i="2"/>
  <c r="AL3655" i="2"/>
  <c r="AJ3622" i="2" l="1"/>
  <c r="AJ3623" i="2" s="1"/>
  <c r="AJ3626" i="2" s="1"/>
  <c r="AK3627" i="2" s="1"/>
  <c r="AJ3648" i="2"/>
  <c r="AJ3636" i="2"/>
  <c r="AJ3637" i="2" s="1"/>
  <c r="AJ3640" i="2" s="1"/>
  <c r="AK3641" i="2" s="1"/>
  <c r="AL3669" i="2"/>
  <c r="AJ3661" i="2"/>
  <c r="AJ3660" i="2"/>
  <c r="AJ3672" i="2"/>
  <c r="AJ3649" i="2" l="1"/>
  <c r="AJ3662" i="2"/>
  <c r="AJ3666" i="2"/>
  <c r="AJ3686" i="2"/>
  <c r="AJ3675" i="2"/>
  <c r="AJ3674" i="2"/>
  <c r="AJ3680" i="2" s="1"/>
  <c r="AL3683" i="2"/>
  <c r="AJ3650" i="2" l="1"/>
  <c r="AJ3651" i="2" s="1"/>
  <c r="AJ3654" i="2" s="1"/>
  <c r="AK3655" i="2" s="1"/>
  <c r="AL3697" i="2"/>
  <c r="AJ3700" i="2"/>
  <c r="AJ3688" i="2"/>
  <c r="AJ3694" i="2" s="1"/>
  <c r="AJ3689" i="2"/>
  <c r="AJ3663" i="2"/>
  <c r="AJ3676" i="2"/>
  <c r="AJ3690" i="2" l="1"/>
  <c r="AJ3691" i="2" s="1"/>
  <c r="AJ3703" i="2"/>
  <c r="AJ3702" i="2"/>
  <c r="AJ3708" i="2" s="1"/>
  <c r="AJ3714" i="2"/>
  <c r="AL3711" i="2"/>
  <c r="AJ3664" i="2"/>
  <c r="AJ3665" i="2" s="1"/>
  <c r="AJ3668" i="2" s="1"/>
  <c r="AK3669" i="2" s="1"/>
  <c r="AJ3677" i="2"/>
  <c r="AJ3704" i="2" l="1"/>
  <c r="AJ3705" i="2" s="1"/>
  <c r="AJ3678" i="2"/>
  <c r="AJ3679" i="2" s="1"/>
  <c r="AJ3682" i="2" s="1"/>
  <c r="AK3683" i="2" s="1"/>
  <c r="AJ3692" i="2"/>
  <c r="AJ3693" i="2" s="1"/>
  <c r="AJ3696" i="2" s="1"/>
  <c r="AK3697" i="2" s="1"/>
  <c r="AJ3716" i="2"/>
  <c r="AJ3717" i="2"/>
  <c r="AL3725" i="2"/>
  <c r="AJ3728" i="2"/>
  <c r="AJ3706" i="2" l="1"/>
  <c r="AJ3707" i="2" s="1"/>
  <c r="AJ3710" i="2" s="1"/>
  <c r="AK3711" i="2" s="1"/>
  <c r="AJ3730" i="2"/>
  <c r="AJ3736" i="2" s="1"/>
  <c r="AL3739" i="2"/>
  <c r="AJ3731" i="2"/>
  <c r="AJ3742" i="2"/>
  <c r="AJ3718" i="2"/>
  <c r="AJ3722" i="2"/>
  <c r="AJ3756" i="2" l="1"/>
  <c r="AJ3744" i="2"/>
  <c r="AJ3750" i="2" s="1"/>
  <c r="AL3753" i="2"/>
  <c r="AJ3745" i="2"/>
  <c r="AJ3719" i="2"/>
  <c r="AJ3732" i="2"/>
  <c r="AJ3746" i="2" l="1"/>
  <c r="AJ3747" i="2" s="1"/>
  <c r="AL3767" i="2"/>
  <c r="AJ3758" i="2"/>
  <c r="AJ3764" i="2" s="1"/>
  <c r="AJ3759" i="2"/>
  <c r="AJ3770" i="2"/>
  <c r="AJ3720" i="2"/>
  <c r="AJ3721" i="2" s="1"/>
  <c r="AJ3724" i="2" s="1"/>
  <c r="AK3725" i="2" s="1"/>
  <c r="AJ3733" i="2"/>
  <c r="AJ3784" i="2" l="1"/>
  <c r="AL3781" i="2"/>
  <c r="AJ3772" i="2"/>
  <c r="AJ3773" i="2"/>
  <c r="AJ3748" i="2"/>
  <c r="AJ3749" i="2" s="1"/>
  <c r="AJ3752" i="2" s="1"/>
  <c r="AK3753" i="2" s="1"/>
  <c r="AJ3734" i="2"/>
  <c r="AJ3735" i="2" s="1"/>
  <c r="AJ3738" i="2" s="1"/>
  <c r="AK3739" i="2" s="1"/>
  <c r="AJ3760" i="2"/>
  <c r="AJ3774" i="2" l="1"/>
  <c r="AJ3775" i="2" s="1"/>
  <c r="AJ3778" i="2"/>
  <c r="AJ3798" i="2"/>
  <c r="AJ3786" i="2"/>
  <c r="AJ3792" i="2" s="1"/>
  <c r="AL3795" i="2"/>
  <c r="AJ3787" i="2"/>
  <c r="AJ3761" i="2"/>
  <c r="AJ3812" i="2" l="1"/>
  <c r="AJ3800" i="2"/>
  <c r="AJ3801" i="2"/>
  <c r="AL3809" i="2"/>
  <c r="AJ3762" i="2"/>
  <c r="AJ3763" i="2" s="1"/>
  <c r="AJ3766" i="2" s="1"/>
  <c r="AK3767" i="2" s="1"/>
  <c r="AJ3776" i="2"/>
  <c r="AJ3777" i="2" s="1"/>
  <c r="AJ3780" i="2" s="1"/>
  <c r="AK3781" i="2" s="1"/>
  <c r="AJ3788" i="2"/>
  <c r="AJ3802" i="2" l="1"/>
  <c r="AJ3806" i="2"/>
  <c r="AJ3826" i="2"/>
  <c r="AJ3814" i="2"/>
  <c r="AJ3820" i="2" s="1"/>
  <c r="AL3823" i="2"/>
  <c r="AJ3815" i="2"/>
  <c r="AJ3789" i="2"/>
  <c r="AJ3803" i="2" l="1"/>
  <c r="AJ3804" i="2" s="1"/>
  <c r="AJ3805" i="2" s="1"/>
  <c r="AJ3816" i="2"/>
  <c r="AJ3817" i="2" s="1"/>
  <c r="AJ3829" i="2"/>
  <c r="AJ3840" i="2"/>
  <c r="AJ3828" i="2"/>
  <c r="AL3837" i="2"/>
  <c r="AJ3790" i="2"/>
  <c r="AJ3791" i="2" s="1"/>
  <c r="AJ3794" i="2" s="1"/>
  <c r="AK3795" i="2" s="1"/>
  <c r="AJ3808" i="2" l="1"/>
  <c r="AK3809" i="2" s="1"/>
  <c r="AJ3830" i="2"/>
  <c r="AJ3831" i="2" s="1"/>
  <c r="AJ3834" i="2"/>
  <c r="AJ3843" i="2"/>
  <c r="AJ3854" i="2"/>
  <c r="AL3851" i="2"/>
  <c r="AJ3842" i="2"/>
  <c r="AJ3818" i="2"/>
  <c r="AJ3819" i="2" s="1"/>
  <c r="AJ3822" i="2" s="1"/>
  <c r="AK3823" i="2" s="1"/>
  <c r="AJ3844" i="2" l="1"/>
  <c r="AJ3845" i="2" s="1"/>
  <c r="AJ3832" i="2"/>
  <c r="AJ3833" i="2" s="1"/>
  <c r="AJ3836" i="2" s="1"/>
  <c r="AK3837" i="2" s="1"/>
  <c r="AL3865" i="2"/>
  <c r="AJ3868" i="2"/>
  <c r="AJ3856" i="2"/>
  <c r="AJ3857" i="2"/>
  <c r="AJ3848" i="2"/>
  <c r="AJ3858" i="2" l="1"/>
  <c r="AJ3859" i="2" s="1"/>
  <c r="AJ3846" i="2"/>
  <c r="AJ3847" i="2" s="1"/>
  <c r="AJ3850" i="2" s="1"/>
  <c r="AK3851" i="2" s="1"/>
  <c r="AJ3862" i="2"/>
  <c r="AJ3871" i="2"/>
  <c r="AL3879" i="2"/>
  <c r="AJ3870" i="2"/>
  <c r="AJ3882" i="2"/>
  <c r="AJ3872" i="2" l="1"/>
  <c r="AJ3885" i="2"/>
  <c r="AJ3896" i="2"/>
  <c r="AJ3884" i="2"/>
  <c r="AJ3890" i="2" s="1"/>
  <c r="AL3893" i="2"/>
  <c r="AJ3860" i="2"/>
  <c r="AJ3861" i="2" s="1"/>
  <c r="AJ3864" i="2" s="1"/>
  <c r="AK3865" i="2" s="1"/>
  <c r="AJ3876" i="2"/>
  <c r="AJ3873" i="2" l="1"/>
  <c r="AJ3898" i="2"/>
  <c r="AJ3904" i="2" s="1"/>
  <c r="AJ3910" i="2"/>
  <c r="AJ3899" i="2"/>
  <c r="AL3907" i="2"/>
  <c r="AJ3886" i="2"/>
  <c r="AJ3874" i="2" l="1"/>
  <c r="AJ3875" i="2" s="1"/>
  <c r="AJ3878" i="2" s="1"/>
  <c r="AK3879" i="2" s="1"/>
  <c r="AJ3887" i="2"/>
  <c r="AJ3924" i="2"/>
  <c r="AL3921" i="2"/>
  <c r="AJ3912" i="2"/>
  <c r="AJ3918" i="2" s="1"/>
  <c r="AJ3913" i="2"/>
  <c r="AJ3900" i="2"/>
  <c r="AJ3901" i="2" l="1"/>
  <c r="AJ3938" i="2"/>
  <c r="AJ3926" i="2"/>
  <c r="AJ3932" i="2" s="1"/>
  <c r="AL3935" i="2"/>
  <c r="AJ3927" i="2"/>
  <c r="AJ3888" i="2"/>
  <c r="AJ3889" i="2" s="1"/>
  <c r="AJ3892" i="2" s="1"/>
  <c r="AK3893" i="2" s="1"/>
  <c r="AJ3914" i="2"/>
  <c r="AJ3902" i="2" l="1"/>
  <c r="AJ3903" i="2" s="1"/>
  <c r="AJ3906" i="2" s="1"/>
  <c r="AK3907" i="2" s="1"/>
  <c r="AJ3928" i="2"/>
  <c r="AJ3915" i="2"/>
  <c r="AJ3940" i="2"/>
  <c r="AJ3941" i="2"/>
  <c r="AJ3952" i="2"/>
  <c r="AL3949" i="2"/>
  <c r="AJ3942" i="2" l="1"/>
  <c r="AJ3943" i="2" s="1"/>
  <c r="AJ3946" i="2"/>
  <c r="AJ3929" i="2"/>
  <c r="AJ3966" i="2"/>
  <c r="AL3963" i="2"/>
  <c r="AJ3954" i="2"/>
  <c r="AJ3960" i="2" s="1"/>
  <c r="AJ3955" i="2"/>
  <c r="AJ3916" i="2"/>
  <c r="AJ3917" i="2" s="1"/>
  <c r="AJ3920" i="2" s="1"/>
  <c r="AK3921" i="2" s="1"/>
  <c r="AJ3930" i="2" l="1"/>
  <c r="AJ3931" i="2" s="1"/>
  <c r="AJ3934" i="2" s="1"/>
  <c r="AK3935" i="2" s="1"/>
  <c r="AJ3968" i="2"/>
  <c r="AJ3974" i="2" s="1"/>
  <c r="AJ3980" i="2"/>
  <c r="AJ3969" i="2"/>
  <c r="AL3977" i="2"/>
  <c r="AJ3944" i="2"/>
  <c r="AJ3945" i="2" s="1"/>
  <c r="AJ3948" i="2" s="1"/>
  <c r="AK3949" i="2" s="1"/>
  <c r="AJ3956" i="2"/>
  <c r="AJ3957" i="2" l="1"/>
  <c r="AJ3982" i="2"/>
  <c r="AJ3988" i="2" s="1"/>
  <c r="AJ3994" i="2"/>
  <c r="AL3991" i="2"/>
  <c r="AJ3983" i="2"/>
  <c r="AJ3970" i="2"/>
  <c r="AJ3958" i="2" l="1"/>
  <c r="AJ3959" i="2" s="1"/>
  <c r="AJ3962" i="2" s="1"/>
  <c r="AK3963" i="2" s="1"/>
  <c r="AJ3984" i="2"/>
  <c r="AJ3971" i="2"/>
  <c r="AJ4008" i="2"/>
  <c r="AL4005" i="2"/>
  <c r="AJ3997" i="2"/>
  <c r="AJ3996" i="2"/>
  <c r="AJ3998" i="2" l="1"/>
  <c r="AJ4010" i="2"/>
  <c r="AJ4016" i="2" s="1"/>
  <c r="AL4019" i="2"/>
  <c r="AJ4022" i="2"/>
  <c r="AJ4011" i="2"/>
  <c r="AJ3985" i="2"/>
  <c r="AJ4002" i="2"/>
  <c r="AJ3972" i="2"/>
  <c r="AJ3973" i="2" s="1"/>
  <c r="AJ3976" i="2" s="1"/>
  <c r="AK3977" i="2" s="1"/>
  <c r="AJ3999" i="2" l="1"/>
  <c r="AJ3986" i="2"/>
  <c r="AJ3987" i="2" s="1"/>
  <c r="AJ3990" i="2" s="1"/>
  <c r="AK3991" i="2" s="1"/>
  <c r="AJ4036" i="2"/>
  <c r="AJ4025" i="2"/>
  <c r="AJ4024" i="2"/>
  <c r="AL4033" i="2"/>
  <c r="AJ4012" i="2"/>
  <c r="AJ4000" i="2" l="1"/>
  <c r="AJ4001" i="2" s="1"/>
  <c r="AJ4004" i="2" s="1"/>
  <c r="AK4005" i="2" s="1"/>
  <c r="AJ4026" i="2"/>
  <c r="AJ4027" i="2" s="1"/>
  <c r="AJ4013" i="2"/>
  <c r="AJ4050" i="2"/>
  <c r="AJ4039" i="2"/>
  <c r="AJ4038" i="2"/>
  <c r="AL4047" i="2"/>
  <c r="AJ4030" i="2"/>
  <c r="AJ4028" i="2" l="1"/>
  <c r="AJ4029" i="2" s="1"/>
  <c r="AJ4032" i="2" s="1"/>
  <c r="AK4033" i="2" s="1"/>
  <c r="AJ4014" i="2"/>
  <c r="AJ4015" i="2" s="1"/>
  <c r="AJ4018" i="2" s="1"/>
  <c r="AK4019" i="2" s="1"/>
  <c r="AJ4040" i="2"/>
  <c r="AJ4053" i="2"/>
  <c r="AJ4064" i="2"/>
  <c r="AJ4052" i="2"/>
  <c r="AL4061" i="2"/>
  <c r="AJ4044" i="2"/>
  <c r="AJ4054" i="2" l="1"/>
  <c r="AJ4055" i="2" s="1"/>
  <c r="AJ4041" i="2"/>
  <c r="AJ4066" i="2"/>
  <c r="AJ4072" i="2" s="1"/>
  <c r="AJ4067" i="2"/>
  <c r="AL4075" i="2"/>
  <c r="AJ4078" i="2"/>
  <c r="AJ4058" i="2"/>
  <c r="AJ4068" i="2" l="1"/>
  <c r="AJ4069" i="2" s="1"/>
  <c r="AJ4056" i="2"/>
  <c r="AJ4057" i="2" s="1"/>
  <c r="AJ4060" i="2" s="1"/>
  <c r="AK4061" i="2" s="1"/>
  <c r="AL4089" i="2"/>
  <c r="AJ4080" i="2"/>
  <c r="AJ4092" i="2"/>
  <c r="AJ4081" i="2"/>
  <c r="AJ4042" i="2"/>
  <c r="AJ4043" i="2" s="1"/>
  <c r="AJ4046" i="2" s="1"/>
  <c r="AK4047" i="2" s="1"/>
  <c r="AJ4082" i="2" l="1"/>
  <c r="AJ4086" i="2"/>
  <c r="AJ4070" i="2"/>
  <c r="AJ4071" i="2" s="1"/>
  <c r="AJ4074" i="2" s="1"/>
  <c r="AK4075" i="2" s="1"/>
  <c r="AJ4106" i="2"/>
  <c r="AL4103" i="2"/>
  <c r="AJ4094" i="2"/>
  <c r="AJ4095" i="2"/>
  <c r="AJ4083" i="2" l="1"/>
  <c r="AJ4084" i="2" s="1"/>
  <c r="AJ4085" i="2" s="1"/>
  <c r="AJ4096" i="2"/>
  <c r="AJ4100" i="2"/>
  <c r="AJ4108" i="2"/>
  <c r="AJ4114" i="2" s="1"/>
  <c r="AL4117" i="2"/>
  <c r="AJ4109" i="2"/>
  <c r="AJ4120" i="2"/>
  <c r="AJ4097" i="2" l="1"/>
  <c r="AJ4098" i="2" s="1"/>
  <c r="AJ4099" i="2" s="1"/>
  <c r="AJ4088" i="2"/>
  <c r="AK4089" i="2" s="1"/>
  <c r="AL4131" i="2"/>
  <c r="AJ4134" i="2"/>
  <c r="AJ4123" i="2"/>
  <c r="AJ4122" i="2"/>
  <c r="AJ4110" i="2"/>
  <c r="AJ4102" i="2" l="1"/>
  <c r="AK4103" i="2" s="1"/>
  <c r="AJ4111" i="2"/>
  <c r="AJ4136" i="2"/>
  <c r="AJ4148" i="2"/>
  <c r="AJ4137" i="2"/>
  <c r="AL4145" i="2"/>
  <c r="AJ4124" i="2"/>
  <c r="AJ4128" i="2"/>
  <c r="AJ4151" i="2" l="1"/>
  <c r="AJ4150" i="2"/>
  <c r="AJ4156" i="2" s="1"/>
  <c r="AJ4162" i="2"/>
  <c r="AL4159" i="2"/>
  <c r="AJ4112" i="2"/>
  <c r="AJ4113" i="2" s="1"/>
  <c r="AJ4116" i="2" s="1"/>
  <c r="AK4117" i="2" s="1"/>
  <c r="AJ4125" i="2"/>
  <c r="AJ4138" i="2"/>
  <c r="AJ4142" i="2"/>
  <c r="AJ4139" i="2" l="1"/>
  <c r="AJ4176" i="2"/>
  <c r="AJ4165" i="2"/>
  <c r="AL4173" i="2"/>
  <c r="AJ4164" i="2"/>
  <c r="AJ4126" i="2"/>
  <c r="AJ4127" i="2" s="1"/>
  <c r="AJ4130" i="2" s="1"/>
  <c r="AK4131" i="2" s="1"/>
  <c r="AJ4152" i="2"/>
  <c r="AJ4166" i="2" l="1"/>
  <c r="AJ4167" i="2" s="1"/>
  <c r="AJ4153" i="2"/>
  <c r="AJ4179" i="2"/>
  <c r="AL4187" i="2"/>
  <c r="AJ4178" i="2"/>
  <c r="AJ4190" i="2"/>
  <c r="AJ4170" i="2"/>
  <c r="AJ4140" i="2"/>
  <c r="AJ4141" i="2" s="1"/>
  <c r="AJ4144" i="2" s="1"/>
  <c r="AK4145" i="2" s="1"/>
  <c r="AJ4180" i="2" l="1"/>
  <c r="AJ4181" i="2" s="1"/>
  <c r="AJ4154" i="2"/>
  <c r="AJ4155" i="2" s="1"/>
  <c r="AJ4158" i="2" s="1"/>
  <c r="AK4159" i="2" s="1"/>
  <c r="AJ4204" i="2"/>
  <c r="AL4201" i="2"/>
  <c r="AJ4193" i="2"/>
  <c r="AJ4192" i="2"/>
  <c r="AJ4168" i="2"/>
  <c r="AJ4169" i="2" s="1"/>
  <c r="AJ4172" i="2" s="1"/>
  <c r="AK4173" i="2" s="1"/>
  <c r="AJ4184" i="2"/>
  <c r="AJ4182" i="2" l="1"/>
  <c r="AJ4183" i="2" s="1"/>
  <c r="AJ4186" i="2" s="1"/>
  <c r="AK4187" i="2" s="1"/>
  <c r="AJ4198" i="2"/>
  <c r="AJ4194" i="2"/>
  <c r="AL4215" i="2"/>
  <c r="AJ4207" i="2"/>
  <c r="AJ4206" i="2"/>
  <c r="AJ4212" i="2" s="1"/>
  <c r="AJ4218" i="2"/>
  <c r="AJ4232" i="2" l="1"/>
  <c r="AJ4221" i="2"/>
  <c r="AJ4220" i="2"/>
  <c r="AJ4226" i="2" s="1"/>
  <c r="AL4229" i="2"/>
  <c r="AJ4195" i="2"/>
  <c r="AJ4208" i="2"/>
  <c r="AJ4196" i="2" l="1"/>
  <c r="AJ4197" i="2" s="1"/>
  <c r="AJ4200" i="2" s="1"/>
  <c r="AK4201" i="2" s="1"/>
  <c r="AL4243" i="2"/>
  <c r="AJ4246" i="2"/>
  <c r="AJ4234" i="2"/>
  <c r="AJ4235" i="2"/>
  <c r="AJ4209" i="2"/>
  <c r="AJ4222" i="2"/>
  <c r="AJ4236" i="2" l="1"/>
  <c r="AJ4223" i="2"/>
  <c r="AJ4210" i="2"/>
  <c r="AJ4211" i="2" s="1"/>
  <c r="AJ4214" i="2" s="1"/>
  <c r="AK4215" i="2" s="1"/>
  <c r="AJ4260" i="2"/>
  <c r="AJ4249" i="2"/>
  <c r="AL4257" i="2"/>
  <c r="AJ4248" i="2"/>
  <c r="AJ4240" i="2"/>
  <c r="AJ4250" i="2" l="1"/>
  <c r="AJ4251" i="2" s="1"/>
  <c r="AJ4237" i="2"/>
  <c r="AJ4274" i="2"/>
  <c r="AL4271" i="2"/>
  <c r="AJ4262" i="2"/>
  <c r="AJ4263" i="2"/>
  <c r="AJ4254" i="2"/>
  <c r="AJ4224" i="2"/>
  <c r="AJ4225" i="2" s="1"/>
  <c r="AJ4228" i="2" s="1"/>
  <c r="AK4229" i="2" s="1"/>
  <c r="AJ4238" i="2" l="1"/>
  <c r="AJ4239" i="2" s="1"/>
  <c r="AJ4242" i="2" s="1"/>
  <c r="AK4243" i="2" s="1"/>
  <c r="AJ4264" i="2"/>
  <c r="AJ4265" i="2" s="1"/>
  <c r="AJ4268" i="2"/>
  <c r="AJ4276" i="2"/>
  <c r="AJ4282" i="2" s="1"/>
  <c r="AJ4277" i="2"/>
  <c r="AJ4288" i="2"/>
  <c r="AL4285" i="2"/>
  <c r="AJ4252" i="2"/>
  <c r="AJ4253" i="2" s="1"/>
  <c r="AJ4256" i="2" s="1"/>
  <c r="AK4257" i="2" s="1"/>
  <c r="AJ4278" i="2" l="1"/>
  <c r="AJ4266" i="2"/>
  <c r="AJ4267" i="2" s="1"/>
  <c r="AJ4270" i="2" s="1"/>
  <c r="AK4271" i="2" s="1"/>
  <c r="AL4299" i="2"/>
  <c r="AJ4290" i="2"/>
  <c r="AJ4302" i="2"/>
  <c r="AJ4291" i="2"/>
  <c r="AJ4292" i="2" l="1"/>
  <c r="AJ4293" i="2" s="1"/>
  <c r="AJ4304" i="2"/>
  <c r="AJ4305" i="2"/>
  <c r="AL4313" i="2"/>
  <c r="AJ4316" i="2"/>
  <c r="AJ4279" i="2"/>
  <c r="AJ4296" i="2"/>
  <c r="AJ4306" i="2" l="1"/>
  <c r="AJ4307" i="2" s="1"/>
  <c r="AL4327" i="2"/>
  <c r="AJ4319" i="2"/>
  <c r="AJ4318" i="2"/>
  <c r="AJ4330" i="2"/>
  <c r="AJ4310" i="2"/>
  <c r="AJ4294" i="2"/>
  <c r="AJ4295" i="2" s="1"/>
  <c r="AJ4298" i="2" s="1"/>
  <c r="AK4299" i="2" s="1"/>
  <c r="AJ4280" i="2"/>
  <c r="AJ4281" i="2" s="1"/>
  <c r="AJ4284" i="2" s="1"/>
  <c r="AK4285" i="2" s="1"/>
  <c r="AJ4320" i="2" l="1"/>
  <c r="AJ4321" i="2" s="1"/>
  <c r="AJ4324" i="2"/>
  <c r="AL4341" i="2"/>
  <c r="AJ4332" i="2"/>
  <c r="AJ4344" i="2"/>
  <c r="AJ4333" i="2"/>
  <c r="AJ4308" i="2"/>
  <c r="AJ4309" i="2" s="1"/>
  <c r="AJ4312" i="2" s="1"/>
  <c r="AK4313" i="2" s="1"/>
  <c r="AJ4334" i="2" l="1"/>
  <c r="AJ4338" i="2"/>
  <c r="AL4355" i="2"/>
  <c r="AJ4358" i="2"/>
  <c r="AJ4347" i="2"/>
  <c r="AJ4346" i="2"/>
  <c r="AJ4322" i="2"/>
  <c r="AJ4323" i="2" s="1"/>
  <c r="AJ4326" i="2" s="1"/>
  <c r="AK4327" i="2" s="1"/>
  <c r="AJ4335" i="2" l="1"/>
  <c r="AJ4348" i="2"/>
  <c r="AJ4360" i="2"/>
  <c r="AJ4372" i="2"/>
  <c r="AJ4361" i="2"/>
  <c r="AL4369" i="2"/>
  <c r="AJ4352" i="2"/>
  <c r="AJ4336" i="2" l="1"/>
  <c r="AJ4337" i="2" s="1"/>
  <c r="AJ4340" i="2" s="1"/>
  <c r="AK4341" i="2" s="1"/>
  <c r="AJ4362" i="2"/>
  <c r="AJ4363" i="2" s="1"/>
  <c r="AJ4366" i="2"/>
  <c r="AJ4386" i="2"/>
  <c r="AJ4375" i="2"/>
  <c r="AJ4374" i="2"/>
  <c r="AJ4380" i="2" s="1"/>
  <c r="AL4383" i="2"/>
  <c r="AJ4349" i="2"/>
  <c r="AJ4364" i="2" l="1"/>
  <c r="AJ4365" i="2" s="1"/>
  <c r="AJ4368" i="2" s="1"/>
  <c r="AK4369" i="2" s="1"/>
  <c r="AJ4350" i="2"/>
  <c r="AJ4351" i="2" s="1"/>
  <c r="AJ4354" i="2" s="1"/>
  <c r="AK4355" i="2" s="1"/>
  <c r="AJ4400" i="2"/>
  <c r="AL4397" i="2"/>
  <c r="AJ4388" i="2"/>
  <c r="AJ4389" i="2"/>
  <c r="AJ4376" i="2"/>
  <c r="AJ4390" i="2" l="1"/>
  <c r="AJ4414" i="2"/>
  <c r="AJ4403" i="2"/>
  <c r="AL4411" i="2"/>
  <c r="AJ4402" i="2"/>
  <c r="AJ4377" i="2"/>
  <c r="AJ4394" i="2"/>
  <c r="AJ4391" i="2" l="1"/>
  <c r="AJ4404" i="2"/>
  <c r="AJ4405" i="2" s="1"/>
  <c r="AJ4416" i="2"/>
  <c r="AJ4422" i="2" s="1"/>
  <c r="AJ4417" i="2"/>
  <c r="AL4425" i="2"/>
  <c r="AJ4428" i="2"/>
  <c r="AJ4378" i="2"/>
  <c r="AJ4379" i="2" s="1"/>
  <c r="AJ4382" i="2" s="1"/>
  <c r="AK4383" i="2" s="1"/>
  <c r="AJ4408" i="2"/>
  <c r="AJ4392" i="2" l="1"/>
  <c r="AJ4393" i="2" s="1"/>
  <c r="AJ4396" i="2" s="1"/>
  <c r="AK4397" i="2" s="1"/>
  <c r="AJ4406" i="2"/>
  <c r="AJ4407" i="2" s="1"/>
  <c r="AJ4410" i="2" s="1"/>
  <c r="AK4411" i="2" s="1"/>
  <c r="AJ4442" i="2"/>
  <c r="AJ4431" i="2"/>
  <c r="AJ4430" i="2"/>
  <c r="AL4439" i="2"/>
  <c r="AJ4418" i="2"/>
  <c r="AJ4419" i="2" l="1"/>
  <c r="AJ4444" i="2"/>
  <c r="AJ4450" i="2" s="1"/>
  <c r="AJ4456" i="2"/>
  <c r="AL4453" i="2"/>
  <c r="AJ4445" i="2"/>
  <c r="AJ4432" i="2"/>
  <c r="AJ4436" i="2"/>
  <c r="AJ4470" i="2" l="1"/>
  <c r="AJ4458" i="2"/>
  <c r="AJ4464" i="2" s="1"/>
  <c r="AJ4459" i="2"/>
  <c r="AL4467" i="2"/>
  <c r="AJ4420" i="2"/>
  <c r="AJ4421" i="2" s="1"/>
  <c r="AJ4424" i="2" s="1"/>
  <c r="AK4425" i="2" s="1"/>
  <c r="AJ4433" i="2"/>
  <c r="AJ4446" i="2"/>
  <c r="AJ4460" i="2" l="1"/>
  <c r="AJ4473" i="2"/>
  <c r="AL4481" i="2"/>
  <c r="AJ4472" i="2"/>
  <c r="AJ4478" i="2" s="1"/>
  <c r="AJ4484" i="2"/>
  <c r="AJ4447" i="2"/>
  <c r="AJ4434" i="2"/>
  <c r="AJ4435" i="2" s="1"/>
  <c r="AJ4438" i="2" s="1"/>
  <c r="AK4439" i="2" s="1"/>
  <c r="AJ4461" i="2" l="1"/>
  <c r="AJ4448" i="2"/>
  <c r="AJ4449" i="2" s="1"/>
  <c r="AJ4452" i="2" s="1"/>
  <c r="AK4453" i="2" s="1"/>
  <c r="AJ4498" i="2"/>
  <c r="AJ4487" i="2"/>
  <c r="AL4495" i="2"/>
  <c r="AJ4486" i="2"/>
  <c r="AJ4474" i="2"/>
  <c r="AJ4462" i="2" l="1"/>
  <c r="AJ4463" i="2" s="1"/>
  <c r="AJ4466" i="2" s="1"/>
  <c r="AK4467" i="2" s="1"/>
  <c r="AJ4488" i="2"/>
  <c r="AJ4489" i="2" s="1"/>
  <c r="AJ4475" i="2"/>
  <c r="AJ4512" i="2"/>
  <c r="AJ4501" i="2"/>
  <c r="AL4509" i="2"/>
  <c r="AJ4500" i="2"/>
  <c r="AJ4492" i="2"/>
  <c r="AJ4502" i="2" l="1"/>
  <c r="AJ4476" i="2"/>
  <c r="AJ4477" i="2" s="1"/>
  <c r="AJ4480" i="2" s="1"/>
  <c r="AK4481" i="2" s="1"/>
  <c r="AJ4514" i="2"/>
  <c r="AJ4520" i="2" s="1"/>
  <c r="AJ4515" i="2"/>
  <c r="AJ4526" i="2"/>
  <c r="AL4523" i="2"/>
  <c r="AJ4506" i="2"/>
  <c r="AJ4490" i="2"/>
  <c r="AJ4491" i="2" s="1"/>
  <c r="AJ4494" i="2" s="1"/>
  <c r="AK4495" i="2" s="1"/>
  <c r="AJ4503" i="2" l="1"/>
  <c r="AJ4504" i="2" s="1"/>
  <c r="AJ4505" i="2" s="1"/>
  <c r="AJ4516" i="2"/>
  <c r="AJ4540" i="2"/>
  <c r="AJ4529" i="2"/>
  <c r="AJ4528" i="2"/>
  <c r="AL4537" i="2"/>
  <c r="AJ4508" i="2" l="1"/>
  <c r="AK4509" i="2" s="1"/>
  <c r="AJ4530" i="2"/>
  <c r="AJ4531" i="2" s="1"/>
  <c r="AJ4517" i="2"/>
  <c r="AJ4518" i="2" s="1"/>
  <c r="AJ4519" i="2" s="1"/>
  <c r="AL4551" i="2"/>
  <c r="AJ4542" i="2"/>
  <c r="AJ4554" i="2"/>
  <c r="AJ4543" i="2"/>
  <c r="AJ4534" i="2"/>
  <c r="AJ4522" i="2" l="1"/>
  <c r="AK4523" i="2" s="1"/>
  <c r="AJ4544" i="2"/>
  <c r="AJ4548" i="2"/>
  <c r="AJ4532" i="2"/>
  <c r="AJ4533" i="2" s="1"/>
  <c r="AJ4536" i="2" s="1"/>
  <c r="AK4537" i="2" s="1"/>
  <c r="AJ4556" i="2"/>
  <c r="AJ4557" i="2"/>
  <c r="AJ4568" i="2"/>
  <c r="AL4565" i="2"/>
  <c r="AJ4545" i="2" l="1"/>
  <c r="AJ4558" i="2"/>
  <c r="AL4579" i="2"/>
  <c r="AJ4571" i="2"/>
  <c r="AJ4570" i="2"/>
  <c r="AJ4576" i="2" s="1"/>
  <c r="AJ4582" i="2"/>
  <c r="AJ4562" i="2"/>
  <c r="AJ4559" i="2" l="1"/>
  <c r="AJ4546" i="2"/>
  <c r="AJ4547" i="2" s="1"/>
  <c r="AJ4550" i="2" s="1"/>
  <c r="AK4551" i="2" s="1"/>
  <c r="AJ4584" i="2"/>
  <c r="AJ4590" i="2" s="1"/>
  <c r="AJ4585" i="2"/>
  <c r="AL4593" i="2"/>
  <c r="AJ4596" i="2"/>
  <c r="AJ4572" i="2"/>
  <c r="AJ4560" i="2" l="1"/>
  <c r="AJ4561" i="2" s="1"/>
  <c r="AJ4564" i="2" s="1"/>
  <c r="AK4565" i="2" s="1"/>
  <c r="AJ4586" i="2"/>
  <c r="AJ4598" i="2"/>
  <c r="AJ4604" i="2" s="1"/>
  <c r="AJ4610" i="2"/>
  <c r="AL4607" i="2"/>
  <c r="AJ4599" i="2"/>
  <c r="AJ4573" i="2"/>
  <c r="AJ4600" i="2" l="1"/>
  <c r="AJ4587" i="2"/>
  <c r="AJ4574" i="2"/>
  <c r="AJ4575" i="2" s="1"/>
  <c r="AJ4578" i="2" s="1"/>
  <c r="AK4579" i="2" s="1"/>
  <c r="AJ4624" i="2"/>
  <c r="AL4621" i="2"/>
  <c r="AJ4613" i="2"/>
  <c r="AJ4612" i="2"/>
  <c r="AJ4588" i="2" l="1"/>
  <c r="AJ4589" i="2" s="1"/>
  <c r="AJ4592" i="2" s="1"/>
  <c r="AK4593" i="2" s="1"/>
  <c r="AJ4601" i="2"/>
  <c r="AJ4638" i="2"/>
  <c r="AJ4627" i="2"/>
  <c r="AL4635" i="2"/>
  <c r="AJ4626" i="2"/>
  <c r="AJ4614" i="2"/>
  <c r="AJ4618" i="2"/>
  <c r="AJ4602" i="2" l="1"/>
  <c r="AJ4603" i="2" s="1"/>
  <c r="AJ4606" i="2" s="1"/>
  <c r="AK4607" i="2" s="1"/>
  <c r="AJ4640" i="2"/>
  <c r="AJ4646" i="2" s="1"/>
  <c r="AJ4652" i="2"/>
  <c r="AL4649" i="2"/>
  <c r="AJ4641" i="2"/>
  <c r="AJ4615" i="2"/>
  <c r="AJ4628" i="2"/>
  <c r="AJ4632" i="2"/>
  <c r="AJ4616" i="2" l="1"/>
  <c r="AJ4617" i="2" s="1"/>
  <c r="AJ4620" i="2" s="1"/>
  <c r="AK4621" i="2" s="1"/>
  <c r="AJ4654" i="2"/>
  <c r="AJ4660" i="2" s="1"/>
  <c r="AL4663" i="2"/>
  <c r="AJ4655" i="2"/>
  <c r="AJ4629" i="2"/>
  <c r="AJ4642" i="2"/>
  <c r="AJ4630" i="2" l="1"/>
  <c r="AJ4631" i="2" s="1"/>
  <c r="AJ4634" i="2" s="1"/>
  <c r="AK4635" i="2" s="1"/>
  <c r="AJ4643" i="2"/>
  <c r="AJ4656" i="2"/>
  <c r="AJ4657" i="2" l="1"/>
  <c r="AJ4644" i="2"/>
  <c r="AJ4645" i="2" s="1"/>
  <c r="AJ4648" i="2" s="1"/>
  <c r="AK4649" i="2" s="1"/>
  <c r="AJ4658" i="2" l="1"/>
  <c r="AJ4659" i="2" s="1"/>
  <c r="AJ4662" i="2" s="1"/>
  <c r="AK4663" i="2" s="1"/>
  <c r="AL18" i="2" s="1"/>
  <c r="AL20" i="2" s="1"/>
  <c r="AL19" i="2" l="1"/>
  <c r="AM33" i="2" l="1"/>
  <c r="AM35" i="2" s="1"/>
  <c r="AM41" i="2" s="1"/>
  <c r="P40" i="3"/>
  <c r="AM36" i="2" l="1"/>
  <c r="AM37" i="2" s="1"/>
  <c r="AM38" i="2" s="1"/>
  <c r="AO44" i="2"/>
  <c r="O44" i="3"/>
  <c r="O41" i="3" s="1"/>
  <c r="O40" i="3"/>
  <c r="N44" i="3" s="1"/>
  <c r="N41" i="3" s="1"/>
  <c r="AM46" i="2"/>
  <c r="AO57" i="2" s="1"/>
  <c r="AM48" i="2" l="1"/>
  <c r="AM54" i="2" s="1"/>
  <c r="AM49" i="2"/>
  <c r="AM60" i="2"/>
  <c r="AM63" i="2" s="1"/>
  <c r="AM39" i="2"/>
  <c r="AM40" i="2" s="1"/>
  <c r="AM43" i="2" s="1"/>
  <c r="AN44" i="2" s="1"/>
  <c r="AM62" i="2" l="1"/>
  <c r="AM68" i="2" s="1"/>
  <c r="AM74" i="2"/>
  <c r="AM88" i="2" s="1"/>
  <c r="AM50" i="2"/>
  <c r="AM51" i="2" s="1"/>
  <c r="AM52" i="2" s="1"/>
  <c r="AM53" i="2" s="1"/>
  <c r="AM56" i="2" s="1"/>
  <c r="AN57" i="2" s="1"/>
  <c r="AO71" i="2"/>
  <c r="AM76" i="2" l="1"/>
  <c r="AM82" i="2" s="1"/>
  <c r="AO85" i="2"/>
  <c r="AM77" i="2"/>
  <c r="AM64" i="2"/>
  <c r="AM65" i="2" s="1"/>
  <c r="AM66" i="2" s="1"/>
  <c r="AM67" i="2" s="1"/>
  <c r="AM70" i="2" s="1"/>
  <c r="AN71" i="2" s="1"/>
  <c r="AM102" i="2"/>
  <c r="AM90" i="2"/>
  <c r="AO99" i="2"/>
  <c r="AM91" i="2"/>
  <c r="AM78" i="2" l="1"/>
  <c r="AM79" i="2" s="1"/>
  <c r="AM80" i="2" s="1"/>
  <c r="AM81" i="2" s="1"/>
  <c r="AM84" i="2" s="1"/>
  <c r="AN85" i="2" s="1"/>
  <c r="AM105" i="2"/>
  <c r="AM116" i="2"/>
  <c r="AM104" i="2"/>
  <c r="AM110" i="2" s="1"/>
  <c r="AO113" i="2"/>
  <c r="AM92" i="2"/>
  <c r="AM93" i="2" s="1"/>
  <c r="AM96" i="2"/>
  <c r="AM94" i="2" l="1"/>
  <c r="AM95" i="2" s="1"/>
  <c r="AM98" i="2" s="1"/>
  <c r="AN99" i="2" s="1"/>
  <c r="AM130" i="2"/>
  <c r="AM118" i="2"/>
  <c r="AO127" i="2"/>
  <c r="AM119" i="2"/>
  <c r="AM106" i="2"/>
  <c r="AM107" i="2" s="1"/>
  <c r="AO141" i="2" l="1"/>
  <c r="AM132" i="2"/>
  <c r="AM144" i="2"/>
  <c r="AM133" i="2"/>
  <c r="AM108" i="2"/>
  <c r="AM109" i="2" s="1"/>
  <c r="AM112" i="2" s="1"/>
  <c r="AN113" i="2" s="1"/>
  <c r="AM124" i="2"/>
  <c r="AM120" i="2"/>
  <c r="AM121" i="2" s="1"/>
  <c r="AM122" i="2" l="1"/>
  <c r="AM123" i="2" s="1"/>
  <c r="AM126" i="2" s="1"/>
  <c r="AN127" i="2" s="1"/>
  <c r="AM146" i="2"/>
  <c r="AM152" i="2" s="1"/>
  <c r="AM158" i="2"/>
  <c r="AM147" i="2"/>
  <c r="AO155" i="2"/>
  <c r="AM134" i="2"/>
  <c r="AM135" i="2" s="1"/>
  <c r="AM138" i="2"/>
  <c r="AM136" i="2" l="1"/>
  <c r="AM137" i="2" s="1"/>
  <c r="AM140" i="2" s="1"/>
  <c r="AN141" i="2" s="1"/>
  <c r="AM172" i="2"/>
  <c r="AM160" i="2"/>
  <c r="AM166" i="2" s="1"/>
  <c r="AO169" i="2"/>
  <c r="AM161" i="2"/>
  <c r="AM148" i="2"/>
  <c r="AM149" i="2" s="1"/>
  <c r="AM150" i="2" s="1"/>
  <c r="AM151" i="2" s="1"/>
  <c r="AM154" i="2" s="1"/>
  <c r="AN155" i="2" s="1"/>
  <c r="AM186" i="2" l="1"/>
  <c r="AM175" i="2"/>
  <c r="AO183" i="2"/>
  <c r="AM174" i="2"/>
  <c r="AM162" i="2"/>
  <c r="AM163" i="2" s="1"/>
  <c r="AM176" i="2" l="1"/>
  <c r="AM177" i="2" s="1"/>
  <c r="AM178" i="2" s="1"/>
  <c r="AM179" i="2" s="1"/>
  <c r="AM180" i="2"/>
  <c r="AM164" i="2"/>
  <c r="AM165" i="2" s="1"/>
  <c r="AM168" i="2" s="1"/>
  <c r="AN169" i="2" s="1"/>
  <c r="AO197" i="2"/>
  <c r="AM189" i="2"/>
  <c r="AM188" i="2"/>
  <c r="AM200" i="2"/>
  <c r="AM182" i="2" l="1"/>
  <c r="AN183" i="2" s="1"/>
  <c r="AM190" i="2"/>
  <c r="AM191" i="2" s="1"/>
  <c r="AM192" i="2" s="1"/>
  <c r="AM193" i="2" s="1"/>
  <c r="AM203" i="2"/>
  <c r="AM214" i="2"/>
  <c r="AM202" i="2"/>
  <c r="AM208" i="2" s="1"/>
  <c r="AO211" i="2"/>
  <c r="AM194" i="2"/>
  <c r="AM196" i="2" l="1"/>
  <c r="AN197" i="2" s="1"/>
  <c r="AM204" i="2"/>
  <c r="AM205" i="2" s="1"/>
  <c r="AM206" i="2" s="1"/>
  <c r="AM207" i="2" s="1"/>
  <c r="AM210" i="2" s="1"/>
  <c r="AN211" i="2" s="1"/>
  <c r="AM217" i="2"/>
  <c r="AM216" i="2"/>
  <c r="AM222" i="2" s="1"/>
  <c r="AM228" i="2"/>
  <c r="AO225" i="2"/>
  <c r="AM231" i="2" l="1"/>
  <c r="AM230" i="2"/>
  <c r="AM242" i="2"/>
  <c r="AO239" i="2"/>
  <c r="AM218" i="2"/>
  <c r="AM219" i="2" s="1"/>
  <c r="AM220" i="2" s="1"/>
  <c r="AM221" i="2" s="1"/>
  <c r="AM224" i="2" s="1"/>
  <c r="AN225" i="2" s="1"/>
  <c r="AM232" i="2" l="1"/>
  <c r="AM233" i="2" s="1"/>
  <c r="AM234" i="2" s="1"/>
  <c r="AM235" i="2" s="1"/>
  <c r="AM256" i="2"/>
  <c r="AO253" i="2"/>
  <c r="AM245" i="2"/>
  <c r="AM244" i="2"/>
  <c r="AM236" i="2"/>
  <c r="AM238" i="2" l="1"/>
  <c r="AN239" i="2" s="1"/>
  <c r="AM258" i="2"/>
  <c r="AM264" i="2" s="1"/>
  <c r="AM270" i="2"/>
  <c r="AO267" i="2"/>
  <c r="AM259" i="2"/>
  <c r="AM246" i="2"/>
  <c r="AM247" i="2" s="1"/>
  <c r="AM248" i="2" s="1"/>
  <c r="AM249" i="2" s="1"/>
  <c r="AM250" i="2"/>
  <c r="AM252" i="2" l="1"/>
  <c r="AN253" i="2" s="1"/>
  <c r="AM260" i="2"/>
  <c r="AM261" i="2" s="1"/>
  <c r="AM262" i="2" s="1"/>
  <c r="AM263" i="2" s="1"/>
  <c r="AM272" i="2"/>
  <c r="AM284" i="2"/>
  <c r="AO281" i="2"/>
  <c r="AM273" i="2"/>
  <c r="AM266" i="2" l="1"/>
  <c r="AN267" i="2" s="1"/>
  <c r="AM274" i="2"/>
  <c r="AM275" i="2" s="1"/>
  <c r="AM276" i="2" s="1"/>
  <c r="AM277" i="2" s="1"/>
  <c r="AM278" i="2"/>
  <c r="AM298" i="2"/>
  <c r="AO295" i="2"/>
  <c r="AM287" i="2"/>
  <c r="AM286" i="2"/>
  <c r="AM280" i="2" l="1"/>
  <c r="AN281" i="2" s="1"/>
  <c r="AM288" i="2"/>
  <c r="AM289" i="2" s="1"/>
  <c r="AM312" i="2"/>
  <c r="AM300" i="2"/>
  <c r="AM306" i="2" s="1"/>
  <c r="AO309" i="2"/>
  <c r="AM301" i="2"/>
  <c r="AM292" i="2"/>
  <c r="AM290" i="2" l="1"/>
  <c r="AM291" i="2" s="1"/>
  <c r="AM294" i="2" s="1"/>
  <c r="AN295" i="2" s="1"/>
  <c r="AM326" i="2"/>
  <c r="AO323" i="2"/>
  <c r="AM315" i="2"/>
  <c r="AM314" i="2"/>
  <c r="AM302" i="2"/>
  <c r="AM303" i="2" s="1"/>
  <c r="AM304" i="2" s="1"/>
  <c r="AM305" i="2" s="1"/>
  <c r="AM308" i="2" s="1"/>
  <c r="AN309" i="2" s="1"/>
  <c r="AM316" i="2" l="1"/>
  <c r="AM317" i="2" s="1"/>
  <c r="AM318" i="2" s="1"/>
  <c r="AM319" i="2" s="1"/>
  <c r="AM320" i="2"/>
  <c r="AM340" i="2"/>
  <c r="AM328" i="2"/>
  <c r="AO337" i="2"/>
  <c r="AM329" i="2"/>
  <c r="AM322" i="2" l="1"/>
  <c r="AN323" i="2" s="1"/>
  <c r="AM330" i="2"/>
  <c r="AM331" i="2" s="1"/>
  <c r="AM332" i="2" s="1"/>
  <c r="AM333" i="2" s="1"/>
  <c r="AM343" i="2"/>
  <c r="AM342" i="2"/>
  <c r="AM348" i="2" s="1"/>
  <c r="AM354" i="2"/>
  <c r="AO351" i="2"/>
  <c r="AM334" i="2"/>
  <c r="AM336" i="2" l="1"/>
  <c r="AN337" i="2" s="1"/>
  <c r="AO365" i="2"/>
  <c r="AM357" i="2"/>
  <c r="AM356" i="2"/>
  <c r="AM362" i="2" s="1"/>
  <c r="AM368" i="2"/>
  <c r="AM344" i="2"/>
  <c r="AM345" i="2" s="1"/>
  <c r="AM382" i="2" l="1"/>
  <c r="AM371" i="2"/>
  <c r="AM370" i="2"/>
  <c r="AM376" i="2" s="1"/>
  <c r="AO379" i="2"/>
  <c r="AM346" i="2"/>
  <c r="AM347" i="2" s="1"/>
  <c r="AM350" i="2" s="1"/>
  <c r="AN351" i="2" s="1"/>
  <c r="AM358" i="2"/>
  <c r="AM359" i="2" s="1"/>
  <c r="AM384" i="2" l="1"/>
  <c r="AM390" i="2" s="1"/>
  <c r="AM396" i="2"/>
  <c r="AO393" i="2"/>
  <c r="AM385" i="2"/>
  <c r="AM360" i="2"/>
  <c r="AM361" i="2" s="1"/>
  <c r="AM364" i="2" s="1"/>
  <c r="AN365" i="2" s="1"/>
  <c r="AM372" i="2"/>
  <c r="AM373" i="2" s="1"/>
  <c r="AM374" i="2" s="1"/>
  <c r="AM375" i="2" s="1"/>
  <c r="AM378" i="2" s="1"/>
  <c r="AN379" i="2" s="1"/>
  <c r="AM410" i="2" l="1"/>
  <c r="AM399" i="2"/>
  <c r="AM398" i="2"/>
  <c r="AO407" i="2"/>
  <c r="AM386" i="2"/>
  <c r="AM387" i="2" s="1"/>
  <c r="AO421" i="2" l="1"/>
  <c r="AM413" i="2"/>
  <c r="AM412" i="2"/>
  <c r="AM418" i="2" s="1"/>
  <c r="AM424" i="2"/>
  <c r="AM400" i="2"/>
  <c r="AM401" i="2" s="1"/>
  <c r="AM402" i="2" s="1"/>
  <c r="AM403" i="2" s="1"/>
  <c r="AM388" i="2"/>
  <c r="AM389" i="2" s="1"/>
  <c r="AM392" i="2" s="1"/>
  <c r="AN393" i="2" s="1"/>
  <c r="AM404" i="2"/>
  <c r="AM406" i="2" l="1"/>
  <c r="AN407" i="2" s="1"/>
  <c r="AM438" i="2"/>
  <c r="AO435" i="2"/>
  <c r="AM427" i="2"/>
  <c r="AM426" i="2"/>
  <c r="AM432" i="2" s="1"/>
  <c r="AM414" i="2"/>
  <c r="AM415" i="2" s="1"/>
  <c r="AM452" i="2" l="1"/>
  <c r="AO449" i="2"/>
  <c r="AM441" i="2"/>
  <c r="AM440" i="2"/>
  <c r="AM446" i="2" s="1"/>
  <c r="AM416" i="2"/>
  <c r="AM417" i="2" s="1"/>
  <c r="AM420" i="2" s="1"/>
  <c r="AN421" i="2" s="1"/>
  <c r="AM428" i="2"/>
  <c r="AM429" i="2" s="1"/>
  <c r="AM430" i="2" s="1"/>
  <c r="AM431" i="2" s="1"/>
  <c r="AM434" i="2" s="1"/>
  <c r="AN435" i="2" s="1"/>
  <c r="AM454" i="2" l="1"/>
  <c r="AM466" i="2"/>
  <c r="AO463" i="2"/>
  <c r="AM455" i="2"/>
  <c r="AM442" i="2"/>
  <c r="AM443" i="2" s="1"/>
  <c r="AM456" i="2" l="1"/>
  <c r="AM457" i="2" s="1"/>
  <c r="AM458" i="2" s="1"/>
  <c r="AM459" i="2" s="1"/>
  <c r="AM460" i="2"/>
  <c r="AM444" i="2"/>
  <c r="AM445" i="2" s="1"/>
  <c r="AM448" i="2" s="1"/>
  <c r="AN449" i="2" s="1"/>
  <c r="AM480" i="2"/>
  <c r="AM468" i="2"/>
  <c r="AO477" i="2"/>
  <c r="AM469" i="2"/>
  <c r="AM462" i="2" l="1"/>
  <c r="AN463" i="2" s="1"/>
  <c r="AM470" i="2"/>
  <c r="AM471" i="2" s="1"/>
  <c r="AM472" i="2" s="1"/>
  <c r="AM473" i="2" s="1"/>
  <c r="AM476" i="2" s="1"/>
  <c r="AN477" i="2" s="1"/>
  <c r="AM474" i="2"/>
  <c r="AO491" i="2"/>
  <c r="AM483" i="2"/>
  <c r="AM482" i="2"/>
  <c r="AM488" i="2" s="1"/>
  <c r="AM494" i="2"/>
  <c r="AO505" i="2" l="1"/>
  <c r="AM497" i="2"/>
  <c r="AM496" i="2"/>
  <c r="AM502" i="2" s="1"/>
  <c r="AM508" i="2"/>
  <c r="AM484" i="2"/>
  <c r="AM485" i="2" s="1"/>
  <c r="AM486" i="2" s="1"/>
  <c r="AM487" i="2" s="1"/>
  <c r="AM490" i="2" s="1"/>
  <c r="AN491" i="2" s="1"/>
  <c r="AM511" i="2" l="1"/>
  <c r="AM510" i="2"/>
  <c r="AM516" i="2" s="1"/>
  <c r="AM522" i="2"/>
  <c r="AO519" i="2"/>
  <c r="AM498" i="2"/>
  <c r="AM499" i="2" s="1"/>
  <c r="AM500" i="2" s="1"/>
  <c r="AM501" i="2" s="1"/>
  <c r="AM504" i="2" s="1"/>
  <c r="AN505" i="2" s="1"/>
  <c r="AM525" i="2" l="1"/>
  <c r="AM524" i="2"/>
  <c r="AM536" i="2"/>
  <c r="AO533" i="2"/>
  <c r="AM512" i="2"/>
  <c r="AM513" i="2" s="1"/>
  <c r="AM526" i="2" l="1"/>
  <c r="AM527" i="2" s="1"/>
  <c r="AM528" i="2" s="1"/>
  <c r="AM529" i="2" s="1"/>
  <c r="AM514" i="2"/>
  <c r="AM515" i="2" s="1"/>
  <c r="AM518" i="2" s="1"/>
  <c r="AN519" i="2" s="1"/>
  <c r="AM539" i="2"/>
  <c r="AM538" i="2"/>
  <c r="AM550" i="2"/>
  <c r="AO547" i="2"/>
  <c r="AM530" i="2"/>
  <c r="AM540" i="2" l="1"/>
  <c r="AM541" i="2" s="1"/>
  <c r="AM542" i="2" s="1"/>
  <c r="AM543" i="2" s="1"/>
  <c r="AM532" i="2"/>
  <c r="AN533" i="2" s="1"/>
  <c r="AM564" i="2"/>
  <c r="AM553" i="2"/>
  <c r="AO561" i="2"/>
  <c r="AM552" i="2"/>
  <c r="AM558" i="2" s="1"/>
  <c r="AM544" i="2"/>
  <c r="AM546" i="2" l="1"/>
  <c r="AN547" i="2" s="1"/>
  <c r="AM554" i="2"/>
  <c r="AM555" i="2" s="1"/>
  <c r="AM556" i="2" s="1"/>
  <c r="AM557" i="2" s="1"/>
  <c r="AM560" i="2" s="1"/>
  <c r="AN561" i="2" s="1"/>
  <c r="AO575" i="2"/>
  <c r="AM578" i="2"/>
  <c r="AM567" i="2"/>
  <c r="AM566" i="2"/>
  <c r="AM572" i="2" s="1"/>
  <c r="AO589" i="2" l="1"/>
  <c r="AM580" i="2"/>
  <c r="AM581" i="2"/>
  <c r="AM592" i="2"/>
  <c r="AM568" i="2"/>
  <c r="AM569" i="2" s="1"/>
  <c r="AM570" i="2" s="1"/>
  <c r="AM571" i="2" s="1"/>
  <c r="AM574" i="2" s="1"/>
  <c r="AN575" i="2" s="1"/>
  <c r="AM582" i="2" l="1"/>
  <c r="AM583" i="2" s="1"/>
  <c r="AM584" i="2" s="1"/>
  <c r="AM585" i="2" s="1"/>
  <c r="AM586" i="2"/>
  <c r="AM606" i="2"/>
  <c r="AM594" i="2"/>
  <c r="AM600" i="2" s="1"/>
  <c r="AO603" i="2"/>
  <c r="AM595" i="2"/>
  <c r="AM588" i="2" l="1"/>
  <c r="AN589" i="2" s="1"/>
  <c r="AM620" i="2"/>
  <c r="AM608" i="2"/>
  <c r="AO617" i="2"/>
  <c r="AM609" i="2"/>
  <c r="AM596" i="2"/>
  <c r="AM610" i="2" l="1"/>
  <c r="AM611" i="2" s="1"/>
  <c r="AM612" i="2" s="1"/>
  <c r="AM613" i="2" s="1"/>
  <c r="AM614" i="2"/>
  <c r="AM622" i="2"/>
  <c r="AM628" i="2" s="1"/>
  <c r="AM634" i="2"/>
  <c r="AO631" i="2"/>
  <c r="AM623" i="2"/>
  <c r="AM597" i="2"/>
  <c r="AM616" i="2" l="1"/>
  <c r="AN617" i="2" s="1"/>
  <c r="AM624" i="2"/>
  <c r="AM625" i="2" s="1"/>
  <c r="AM598" i="2"/>
  <c r="AM599" i="2" s="1"/>
  <c r="AM602" i="2" s="1"/>
  <c r="AN603" i="2" s="1"/>
  <c r="AM636" i="2"/>
  <c r="AM642" i="2" s="1"/>
  <c r="AM648" i="2"/>
  <c r="AO645" i="2"/>
  <c r="AM637" i="2"/>
  <c r="AM638" i="2" l="1"/>
  <c r="AM639" i="2" s="1"/>
  <c r="AM640" i="2" s="1"/>
  <c r="AM641" i="2" s="1"/>
  <c r="AM644" i="2" s="1"/>
  <c r="AM651" i="2"/>
  <c r="AM650" i="2"/>
  <c r="AM656" i="2" s="1"/>
  <c r="AO659" i="2"/>
  <c r="AM662" i="2"/>
  <c r="AM626" i="2"/>
  <c r="AM627" i="2" s="1"/>
  <c r="AM630" i="2" s="1"/>
  <c r="AN631" i="2" s="1"/>
  <c r="AN645" i="2" l="1"/>
  <c r="AO673" i="2"/>
  <c r="AM665" i="2"/>
  <c r="AM664" i="2"/>
  <c r="AM670" i="2" s="1"/>
  <c r="AM676" i="2"/>
  <c r="AM652" i="2"/>
  <c r="AM653" i="2" l="1"/>
  <c r="AM654" i="2" s="1"/>
  <c r="AM655" i="2" s="1"/>
  <c r="AM658" i="2" s="1"/>
  <c r="AN659" i="2" s="1"/>
  <c r="AM679" i="2"/>
  <c r="AO687" i="2"/>
  <c r="AM678" i="2"/>
  <c r="AM690" i="2"/>
  <c r="AM666" i="2"/>
  <c r="AM680" i="2" l="1"/>
  <c r="AM681" i="2" s="1"/>
  <c r="AM682" i="2" s="1"/>
  <c r="AM683" i="2" s="1"/>
  <c r="AM693" i="2"/>
  <c r="AM692" i="2"/>
  <c r="AM698" i="2" s="1"/>
  <c r="AM704" i="2"/>
  <c r="AO701" i="2"/>
  <c r="AM667" i="2"/>
  <c r="AM668" i="2" s="1"/>
  <c r="AM669" i="2" s="1"/>
  <c r="AM672" i="2" s="1"/>
  <c r="AN673" i="2" s="1"/>
  <c r="AM684" i="2"/>
  <c r="AM686" i="2" l="1"/>
  <c r="AN687" i="2" s="1"/>
  <c r="AM707" i="2"/>
  <c r="AM706" i="2"/>
  <c r="AM712" i="2" s="1"/>
  <c r="AO715" i="2"/>
  <c r="AM718" i="2"/>
  <c r="AM694" i="2"/>
  <c r="AM695" i="2" l="1"/>
  <c r="AM696" i="2" s="1"/>
  <c r="AM697" i="2" s="1"/>
  <c r="AM700" i="2" s="1"/>
  <c r="AN701" i="2" s="1"/>
  <c r="AM732" i="2"/>
  <c r="AM720" i="2"/>
  <c r="AM726" i="2" s="1"/>
  <c r="AO729" i="2"/>
  <c r="AM721" i="2"/>
  <c r="AM708" i="2"/>
  <c r="AO743" i="2" l="1"/>
  <c r="AM735" i="2"/>
  <c r="AM734" i="2"/>
  <c r="AM740" i="2" s="1"/>
  <c r="AM746" i="2"/>
  <c r="AM709" i="2"/>
  <c r="AM710" i="2" s="1"/>
  <c r="AM711" i="2" s="1"/>
  <c r="AM714" i="2" s="1"/>
  <c r="AN715" i="2" s="1"/>
  <c r="AM722" i="2"/>
  <c r="AM723" i="2" l="1"/>
  <c r="AM724" i="2" s="1"/>
  <c r="AM725" i="2" s="1"/>
  <c r="AM728" i="2" s="1"/>
  <c r="AN729" i="2" s="1"/>
  <c r="AM760" i="2"/>
  <c r="AM748" i="2"/>
  <c r="AM754" i="2" s="1"/>
  <c r="AO757" i="2"/>
  <c r="AM749" i="2"/>
  <c r="AM736" i="2"/>
  <c r="AM763" i="2" l="1"/>
  <c r="AM774" i="2"/>
  <c r="AO771" i="2"/>
  <c r="AM762" i="2"/>
  <c r="AM768" i="2" s="1"/>
  <c r="AM737" i="2"/>
  <c r="AM738" i="2" s="1"/>
  <c r="AM739" i="2" s="1"/>
  <c r="AM742" i="2" s="1"/>
  <c r="AN743" i="2" s="1"/>
  <c r="AM750" i="2"/>
  <c r="AM776" i="2" l="1"/>
  <c r="AO785" i="2"/>
  <c r="AM777" i="2"/>
  <c r="AM788" i="2"/>
  <c r="AM751" i="2"/>
  <c r="AM752" i="2" s="1"/>
  <c r="AM753" i="2" s="1"/>
  <c r="AM756" i="2" s="1"/>
  <c r="AN757" i="2" s="1"/>
  <c r="AM764" i="2"/>
  <c r="AM778" i="2" l="1"/>
  <c r="AM779" i="2" s="1"/>
  <c r="AM780" i="2" s="1"/>
  <c r="AM781" i="2" s="1"/>
  <c r="AM782" i="2"/>
  <c r="AM765" i="2"/>
  <c r="AM766" i="2" s="1"/>
  <c r="AM767" i="2" s="1"/>
  <c r="AM770" i="2" s="1"/>
  <c r="AN771" i="2" s="1"/>
  <c r="AM790" i="2"/>
  <c r="AO799" i="2"/>
  <c r="AM791" i="2"/>
  <c r="AM802" i="2"/>
  <c r="AM784" i="2" l="1"/>
  <c r="AN785" i="2" s="1"/>
  <c r="AM792" i="2"/>
  <c r="AO813" i="2"/>
  <c r="AM805" i="2"/>
  <c r="AM804" i="2"/>
  <c r="AM810" i="2" s="1"/>
  <c r="AM816" i="2"/>
  <c r="AM796" i="2"/>
  <c r="AM793" i="2" l="1"/>
  <c r="AM794" i="2" s="1"/>
  <c r="AM795" i="2" s="1"/>
  <c r="AM798" i="2" s="1"/>
  <c r="AN799" i="2" s="1"/>
  <c r="AO827" i="2"/>
  <c r="AM818" i="2"/>
  <c r="AM824" i="2" s="1"/>
  <c r="AM819" i="2"/>
  <c r="AM830" i="2"/>
  <c r="AM806" i="2"/>
  <c r="AM820" i="2" l="1"/>
  <c r="AM821" i="2" s="1"/>
  <c r="AM822" i="2" s="1"/>
  <c r="AM823" i="2" s="1"/>
  <c r="AM826" i="2" s="1"/>
  <c r="AM807" i="2"/>
  <c r="AO841" i="2"/>
  <c r="AM832" i="2"/>
  <c r="AM844" i="2"/>
  <c r="AM833" i="2"/>
  <c r="AN827" i="2" l="1"/>
  <c r="AM834" i="2"/>
  <c r="AM835" i="2" s="1"/>
  <c r="AM836" i="2" s="1"/>
  <c r="AM837" i="2" s="1"/>
  <c r="AM838" i="2"/>
  <c r="AM808" i="2"/>
  <c r="AM809" i="2" s="1"/>
  <c r="AM812" i="2" s="1"/>
  <c r="AN813" i="2" s="1"/>
  <c r="AM847" i="2"/>
  <c r="AM858" i="2"/>
  <c r="AM846" i="2"/>
  <c r="AO855" i="2"/>
  <c r="AM840" i="2" l="1"/>
  <c r="AN841" i="2" s="1"/>
  <c r="AM848" i="2"/>
  <c r="AM852" i="2"/>
  <c r="AM872" i="2"/>
  <c r="AO869" i="2"/>
  <c r="AM861" i="2"/>
  <c r="AM860" i="2"/>
  <c r="AM849" i="2" l="1"/>
  <c r="AM850" i="2" s="1"/>
  <c r="AM851" i="2" s="1"/>
  <c r="AM854" i="2" s="1"/>
  <c r="AN855" i="2" s="1"/>
  <c r="AM862" i="2"/>
  <c r="AM875" i="2"/>
  <c r="AM874" i="2"/>
  <c r="AM880" i="2" s="1"/>
  <c r="AM886" i="2"/>
  <c r="AO883" i="2"/>
  <c r="AM866" i="2"/>
  <c r="AM863" i="2" l="1"/>
  <c r="AM864" i="2" s="1"/>
  <c r="AM865" i="2" s="1"/>
  <c r="AM868" i="2" s="1"/>
  <c r="AN869" i="2" s="1"/>
  <c r="AM889" i="2"/>
  <c r="AM888" i="2"/>
  <c r="AM894" i="2" s="1"/>
  <c r="AO897" i="2"/>
  <c r="AM900" i="2"/>
  <c r="AM876" i="2"/>
  <c r="AM914" i="2" l="1"/>
  <c r="AO911" i="2"/>
  <c r="AM903" i="2"/>
  <c r="AM902" i="2"/>
  <c r="AM908" i="2" s="1"/>
  <c r="AM877" i="2"/>
  <c r="AM878" i="2" s="1"/>
  <c r="AM879" i="2" s="1"/>
  <c r="AM882" i="2" s="1"/>
  <c r="AN883" i="2" s="1"/>
  <c r="AM890" i="2"/>
  <c r="AM917" i="2" l="1"/>
  <c r="AM916" i="2"/>
  <c r="AM922" i="2" s="1"/>
  <c r="AM928" i="2"/>
  <c r="AO925" i="2"/>
  <c r="AM891" i="2"/>
  <c r="AM892" i="2" s="1"/>
  <c r="AM893" i="2" s="1"/>
  <c r="AM896" i="2" s="1"/>
  <c r="AN897" i="2" s="1"/>
  <c r="AM904" i="2"/>
  <c r="AO939" i="2" l="1"/>
  <c r="AM931" i="2"/>
  <c r="AM930" i="2"/>
  <c r="AM936" i="2" s="1"/>
  <c r="AM942" i="2"/>
  <c r="AM905" i="2"/>
  <c r="AM918" i="2"/>
  <c r="AM906" i="2" l="1"/>
  <c r="AM907" i="2" s="1"/>
  <c r="AM910" i="2" s="1"/>
  <c r="AN911" i="2" s="1"/>
  <c r="AO953" i="2"/>
  <c r="AM945" i="2"/>
  <c r="AM944" i="2"/>
  <c r="AM956" i="2"/>
  <c r="AM919" i="2"/>
  <c r="AM920" i="2" s="1"/>
  <c r="AM921" i="2" s="1"/>
  <c r="AM924" i="2" s="1"/>
  <c r="AN925" i="2" s="1"/>
  <c r="AM932" i="2"/>
  <c r="AM933" i="2" l="1"/>
  <c r="AM934" i="2" s="1"/>
  <c r="AM935" i="2" s="1"/>
  <c r="AM938" i="2" s="1"/>
  <c r="AN939" i="2" s="1"/>
  <c r="AM970" i="2"/>
  <c r="AM959" i="2"/>
  <c r="AO967" i="2"/>
  <c r="AM958" i="2"/>
  <c r="AM946" i="2"/>
  <c r="AM950" i="2"/>
  <c r="AM960" i="2" l="1"/>
  <c r="AM961" i="2" s="1"/>
  <c r="AM962" i="2" s="1"/>
  <c r="AM963" i="2" s="1"/>
  <c r="AM973" i="2"/>
  <c r="AM984" i="2"/>
  <c r="AM972" i="2"/>
  <c r="AO981" i="2"/>
  <c r="AM947" i="2"/>
  <c r="AM948" i="2" s="1"/>
  <c r="AM949" i="2" s="1"/>
  <c r="AM952" i="2" s="1"/>
  <c r="AN953" i="2" s="1"/>
  <c r="AM964" i="2"/>
  <c r="AM966" i="2" l="1"/>
  <c r="AN967" i="2" s="1"/>
  <c r="AM974" i="2"/>
  <c r="AM975" i="2" s="1"/>
  <c r="AM978" i="2"/>
  <c r="AM998" i="2"/>
  <c r="AM987" i="2"/>
  <c r="AO995" i="2"/>
  <c r="AM986" i="2"/>
  <c r="AM992" i="2" s="1"/>
  <c r="AM976" i="2" l="1"/>
  <c r="AM977" i="2" s="1"/>
  <c r="AM980" i="2" s="1"/>
  <c r="AN981" i="2" s="1"/>
  <c r="AM1001" i="2"/>
  <c r="AM1000" i="2"/>
  <c r="AM1006" i="2" s="1"/>
  <c r="AM1012" i="2"/>
  <c r="AO1009" i="2"/>
  <c r="AM988" i="2"/>
  <c r="AO1023" i="2" l="1"/>
  <c r="AM1015" i="2"/>
  <c r="AM1014" i="2"/>
  <c r="AM1020" i="2" s="1"/>
  <c r="AM1026" i="2"/>
  <c r="AM989" i="2"/>
  <c r="AM1002" i="2"/>
  <c r="AM990" i="2" l="1"/>
  <c r="AM991" i="2" s="1"/>
  <c r="AM994" i="2" s="1"/>
  <c r="AN995" i="2" s="1"/>
  <c r="AM1003" i="2"/>
  <c r="AM1004" i="2" s="1"/>
  <c r="AM1005" i="2" s="1"/>
  <c r="AM1008" i="2" s="1"/>
  <c r="AN1009" i="2" s="1"/>
  <c r="AO1037" i="2"/>
  <c r="AM1029" i="2"/>
  <c r="AM1040" i="2"/>
  <c r="AM1028" i="2"/>
  <c r="AM1016" i="2"/>
  <c r="AM1030" i="2" l="1"/>
  <c r="AM1031" i="2" s="1"/>
  <c r="AM1032" i="2" s="1"/>
  <c r="AM1033" i="2" s="1"/>
  <c r="AM1034" i="2"/>
  <c r="AM1017" i="2"/>
  <c r="AM1018" i="2" s="1"/>
  <c r="AM1019" i="2" s="1"/>
  <c r="AM1022" i="2" s="1"/>
  <c r="AN1023" i="2" s="1"/>
  <c r="AM1043" i="2"/>
  <c r="AM1042" i="2"/>
  <c r="AM1048" i="2" s="1"/>
  <c r="AM1054" i="2"/>
  <c r="AO1051" i="2"/>
  <c r="AM1036" i="2" l="1"/>
  <c r="AN1037" i="2" s="1"/>
  <c r="AM1068" i="2"/>
  <c r="AM1057" i="2"/>
  <c r="AO1065" i="2"/>
  <c r="AM1056" i="2"/>
  <c r="AM1044" i="2"/>
  <c r="AM1058" i="2" l="1"/>
  <c r="AM1082" i="2"/>
  <c r="AO1079" i="2"/>
  <c r="AM1071" i="2"/>
  <c r="AM1070" i="2"/>
  <c r="AM1045" i="2"/>
  <c r="AM1062" i="2"/>
  <c r="AM1072" i="2" l="1"/>
  <c r="AM1073" i="2" s="1"/>
  <c r="AM1074" i="2" s="1"/>
  <c r="AM1075" i="2" s="1"/>
  <c r="AM1059" i="2"/>
  <c r="AM1060" i="2" s="1"/>
  <c r="AM1061" i="2" s="1"/>
  <c r="AM1064" i="2" s="1"/>
  <c r="AN1065" i="2" s="1"/>
  <c r="AM1085" i="2"/>
  <c r="AM1096" i="2"/>
  <c r="AO1093" i="2"/>
  <c r="AM1084" i="2"/>
  <c r="AM1046" i="2"/>
  <c r="AM1047" i="2" s="1"/>
  <c r="AM1050" i="2" s="1"/>
  <c r="AN1051" i="2" s="1"/>
  <c r="AM1076" i="2"/>
  <c r="AM1086" i="2" l="1"/>
  <c r="AM1087" i="2" s="1"/>
  <c r="AM1088" i="2" s="1"/>
  <c r="AM1089" i="2" s="1"/>
  <c r="AM1078" i="2"/>
  <c r="AN1079" i="2" s="1"/>
  <c r="AM1090" i="2"/>
  <c r="AM1110" i="2"/>
  <c r="AM1098" i="2"/>
  <c r="AO1107" i="2"/>
  <c r="AM1099" i="2"/>
  <c r="AM1092" i="2" l="1"/>
  <c r="AN1093" i="2" s="1"/>
  <c r="AM1112" i="2"/>
  <c r="AM1118" i="2" s="1"/>
  <c r="AM1113" i="2"/>
  <c r="AM1124" i="2"/>
  <c r="AO1121" i="2"/>
  <c r="AM1100" i="2"/>
  <c r="AM1104" i="2"/>
  <c r="AM1114" i="2" l="1"/>
  <c r="AM1101" i="2"/>
  <c r="AM1127" i="2"/>
  <c r="AM1138" i="2"/>
  <c r="AM1126" i="2"/>
  <c r="AO1135" i="2"/>
  <c r="AM1115" i="2" l="1"/>
  <c r="AM1116" i="2" s="1"/>
  <c r="AM1117" i="2" s="1"/>
  <c r="AM1120" i="2" s="1"/>
  <c r="AN1121" i="2" s="1"/>
  <c r="AM1128" i="2"/>
  <c r="AM1129" i="2" s="1"/>
  <c r="AM1141" i="2"/>
  <c r="AO1149" i="2"/>
  <c r="AM1140" i="2"/>
  <c r="AM1146" i="2" s="1"/>
  <c r="AM1152" i="2"/>
  <c r="AM1102" i="2"/>
  <c r="AM1103" i="2" s="1"/>
  <c r="AM1106" i="2" s="1"/>
  <c r="AN1107" i="2" s="1"/>
  <c r="AM1132" i="2"/>
  <c r="AM1130" i="2" l="1"/>
  <c r="AM1131" i="2" s="1"/>
  <c r="AM1134" i="2" s="1"/>
  <c r="AN1135" i="2" s="1"/>
  <c r="AO1163" i="2"/>
  <c r="AM1166" i="2"/>
  <c r="AM1155" i="2"/>
  <c r="AM1154" i="2"/>
  <c r="AM1160" i="2" s="1"/>
  <c r="AM1142" i="2"/>
  <c r="AM1143" i="2" l="1"/>
  <c r="AM1144" i="2" s="1"/>
  <c r="AM1145" i="2" s="1"/>
  <c r="AM1148" i="2" s="1"/>
  <c r="AN1149" i="2" s="1"/>
  <c r="AM1168" i="2"/>
  <c r="AM1169" i="2"/>
  <c r="AM1180" i="2"/>
  <c r="AO1177" i="2"/>
  <c r="AM1156" i="2"/>
  <c r="AM1170" i="2" l="1"/>
  <c r="AM1171" i="2" s="1"/>
  <c r="AM1172" i="2" s="1"/>
  <c r="AM1173" i="2" s="1"/>
  <c r="AM1174" i="2"/>
  <c r="AM1183" i="2"/>
  <c r="AO1191" i="2"/>
  <c r="AM1182" i="2"/>
  <c r="AM1188" i="2" s="1"/>
  <c r="AM1194" i="2"/>
  <c r="AM1157" i="2"/>
  <c r="AM1176" i="2" l="1"/>
  <c r="AN1177" i="2" s="1"/>
  <c r="AM1158" i="2"/>
  <c r="AM1159" i="2" s="1"/>
  <c r="AM1162" i="2" s="1"/>
  <c r="AN1163" i="2" s="1"/>
  <c r="AM1196" i="2"/>
  <c r="AM1202" i="2" s="1"/>
  <c r="AO1205" i="2"/>
  <c r="AM1197" i="2"/>
  <c r="AM1208" i="2"/>
  <c r="AM1184" i="2"/>
  <c r="AO1219" i="2" l="1"/>
  <c r="AM1211" i="2"/>
  <c r="AM1210" i="2"/>
  <c r="AM1216" i="2" s="1"/>
  <c r="AM1222" i="2"/>
  <c r="AM1185" i="2"/>
  <c r="AM1198" i="2"/>
  <c r="AM1186" i="2" l="1"/>
  <c r="AM1187" i="2" s="1"/>
  <c r="AM1190" i="2" s="1"/>
  <c r="AN1191" i="2" s="1"/>
  <c r="AM1199" i="2"/>
  <c r="AM1225" i="2"/>
  <c r="AM1224" i="2"/>
  <c r="AM1230" i="2" s="1"/>
  <c r="AM1236" i="2"/>
  <c r="AO1233" i="2"/>
  <c r="AM1212" i="2"/>
  <c r="AO1247" i="2" l="1"/>
  <c r="AM1239" i="2"/>
  <c r="AM1238" i="2"/>
  <c r="AM1244" i="2" s="1"/>
  <c r="AM1250" i="2"/>
  <c r="AM1226" i="2"/>
  <c r="AM1213" i="2"/>
  <c r="AM1214" i="2" s="1"/>
  <c r="AM1215" i="2" s="1"/>
  <c r="AM1218" i="2" s="1"/>
  <c r="AN1219" i="2" s="1"/>
  <c r="AM1200" i="2"/>
  <c r="AM1201" i="2" s="1"/>
  <c r="AM1204" i="2" s="1"/>
  <c r="AN1205" i="2" s="1"/>
  <c r="AO1261" i="2" l="1"/>
  <c r="AM1264" i="2"/>
  <c r="AM1253" i="2"/>
  <c r="AM1252" i="2"/>
  <c r="AM1258" i="2" s="1"/>
  <c r="AM1227" i="2"/>
  <c r="AM1228" i="2" s="1"/>
  <c r="AM1229" i="2" s="1"/>
  <c r="AM1232" i="2" s="1"/>
  <c r="AN1233" i="2" s="1"/>
  <c r="AM1240" i="2"/>
  <c r="AM1266" i="2" l="1"/>
  <c r="AO1275" i="2"/>
  <c r="AM1278" i="2"/>
  <c r="AM1267" i="2"/>
  <c r="AM1241" i="2"/>
  <c r="AM1254" i="2"/>
  <c r="AM1268" i="2" l="1"/>
  <c r="AM1269" i="2" s="1"/>
  <c r="AM1272" i="2"/>
  <c r="AM1242" i="2"/>
  <c r="AM1243" i="2" s="1"/>
  <c r="AM1246" i="2" s="1"/>
  <c r="AN1247" i="2" s="1"/>
  <c r="AO1289" i="2"/>
  <c r="AM1292" i="2"/>
  <c r="AM1281" i="2"/>
  <c r="AM1280" i="2"/>
  <c r="AM1286" i="2" s="1"/>
  <c r="AM1255" i="2"/>
  <c r="AM1256" i="2" s="1"/>
  <c r="AM1257" i="2" s="1"/>
  <c r="AM1260" i="2" s="1"/>
  <c r="AN1261" i="2" s="1"/>
  <c r="AM1294" i="2" l="1"/>
  <c r="AO1303" i="2"/>
  <c r="AM1295" i="2"/>
  <c r="AM1306" i="2"/>
  <c r="AM1270" i="2"/>
  <c r="AM1271" i="2" s="1"/>
  <c r="AM1274" i="2" s="1"/>
  <c r="AN1275" i="2" s="1"/>
  <c r="AM1282" i="2"/>
  <c r="AM1296" i="2" l="1"/>
  <c r="AM1297" i="2" s="1"/>
  <c r="AM1300" i="2"/>
  <c r="AO1317" i="2"/>
  <c r="AM1309" i="2"/>
  <c r="AM1308" i="2"/>
  <c r="AM1314" i="2" s="1"/>
  <c r="AM1320" i="2"/>
  <c r="AM1283" i="2"/>
  <c r="AM1298" i="2" l="1"/>
  <c r="AM1299" i="2" s="1"/>
  <c r="AM1302" i="2" s="1"/>
  <c r="AN1303" i="2" s="1"/>
  <c r="AM1284" i="2"/>
  <c r="AM1285" i="2" s="1"/>
  <c r="AM1288" i="2" s="1"/>
  <c r="AN1289" i="2" s="1"/>
  <c r="AM1322" i="2"/>
  <c r="AO1331" i="2"/>
  <c r="AM1323" i="2"/>
  <c r="AM1334" i="2"/>
  <c r="AM1310" i="2"/>
  <c r="AM1324" i="2" l="1"/>
  <c r="AM1325" i="2" s="1"/>
  <c r="AM1326" i="2" s="1"/>
  <c r="AM1327" i="2" s="1"/>
  <c r="AM1328" i="2"/>
  <c r="AM1336" i="2"/>
  <c r="AM1342" i="2" s="1"/>
  <c r="AO1345" i="2"/>
  <c r="AM1348" i="2"/>
  <c r="AM1337" i="2"/>
  <c r="AM1311" i="2"/>
  <c r="AM1312" i="2" s="1"/>
  <c r="AM1313" i="2" s="1"/>
  <c r="AM1316" i="2" s="1"/>
  <c r="AN1317" i="2" s="1"/>
  <c r="AM1330" i="2" l="1"/>
  <c r="AN1331" i="2" s="1"/>
  <c r="AM1338" i="2"/>
  <c r="AM1362" i="2"/>
  <c r="AO1359" i="2"/>
  <c r="AM1350" i="2"/>
  <c r="AM1356" i="2" s="1"/>
  <c r="AM1351" i="2"/>
  <c r="AM1339" i="2" l="1"/>
  <c r="AM1340" i="2" s="1"/>
  <c r="AM1341" i="2" s="1"/>
  <c r="AM1344" i="2" s="1"/>
  <c r="AN1345" i="2" s="1"/>
  <c r="AM1352" i="2"/>
  <c r="AM1353" i="2" s="1"/>
  <c r="AM1354" i="2" s="1"/>
  <c r="AM1355" i="2" s="1"/>
  <c r="AM1358" i="2" s="1"/>
  <c r="AO1373" i="2"/>
  <c r="AM1376" i="2"/>
  <c r="AM1364" i="2"/>
  <c r="AM1370" i="2" s="1"/>
  <c r="AM1365" i="2"/>
  <c r="AN1359" i="2" l="1"/>
  <c r="AM1366" i="2"/>
  <c r="AM1390" i="2"/>
  <c r="AO1387" i="2"/>
  <c r="AM1379" i="2"/>
  <c r="AM1378" i="2"/>
  <c r="AM1384" i="2" s="1"/>
  <c r="AM1367" i="2" l="1"/>
  <c r="AM1368" i="2" s="1"/>
  <c r="AM1369" i="2" s="1"/>
  <c r="AM1372" i="2" s="1"/>
  <c r="AN1373" i="2" s="1"/>
  <c r="AM1392" i="2"/>
  <c r="AM1404" i="2"/>
  <c r="AM1393" i="2"/>
  <c r="AO1401" i="2"/>
  <c r="AM1380" i="2"/>
  <c r="AM1394" i="2" l="1"/>
  <c r="AM1381" i="2"/>
  <c r="AM1406" i="2"/>
  <c r="AM1418" i="2"/>
  <c r="AM1407" i="2"/>
  <c r="AO1415" i="2"/>
  <c r="AM1398" i="2"/>
  <c r="AM1395" i="2" l="1"/>
  <c r="AM1396" i="2" s="1"/>
  <c r="AM1397" i="2" s="1"/>
  <c r="AM1400" i="2" s="1"/>
  <c r="AN1401" i="2" s="1"/>
  <c r="AM1408" i="2"/>
  <c r="AM1432" i="2"/>
  <c r="AM1421" i="2"/>
  <c r="AO1429" i="2"/>
  <c r="AM1420" i="2"/>
  <c r="AM1382" i="2"/>
  <c r="AM1383" i="2" s="1"/>
  <c r="AM1386" i="2" s="1"/>
  <c r="AN1387" i="2" s="1"/>
  <c r="AM1412" i="2"/>
  <c r="AM1409" i="2" l="1"/>
  <c r="AM1410" i="2" s="1"/>
  <c r="AM1411" i="2" s="1"/>
  <c r="AM1414" i="2" s="1"/>
  <c r="AN1415" i="2" s="1"/>
  <c r="AM1434" i="2"/>
  <c r="AO1443" i="2"/>
  <c r="AM1446" i="2"/>
  <c r="AM1435" i="2"/>
  <c r="AM1422" i="2"/>
  <c r="AM1426" i="2"/>
  <c r="AM1448" i="2" l="1"/>
  <c r="AM1454" i="2" s="1"/>
  <c r="AM1460" i="2"/>
  <c r="AM1449" i="2"/>
  <c r="AO1457" i="2"/>
  <c r="AM1423" i="2"/>
  <c r="AM1436" i="2"/>
  <c r="AM1440" i="2"/>
  <c r="AM1450" i="2" l="1"/>
  <c r="AM1424" i="2"/>
  <c r="AM1425" i="2" s="1"/>
  <c r="AM1428" i="2" s="1"/>
  <c r="AN1429" i="2" s="1"/>
  <c r="AM1474" i="2"/>
  <c r="AM1463" i="2"/>
  <c r="AM1462" i="2"/>
  <c r="AO1471" i="2"/>
  <c r="AM1437" i="2"/>
  <c r="AM1438" i="2" s="1"/>
  <c r="AM1439" i="2" s="1"/>
  <c r="AM1442" i="2" s="1"/>
  <c r="AN1443" i="2" s="1"/>
  <c r="AM1451" i="2" l="1"/>
  <c r="AM1452" i="2" s="1"/>
  <c r="AM1453" i="2" s="1"/>
  <c r="AM1456" i="2" s="1"/>
  <c r="AN1457" i="2" s="1"/>
  <c r="AM1488" i="2"/>
  <c r="AM1476" i="2"/>
  <c r="AM1477" i="2"/>
  <c r="AO1485" i="2"/>
  <c r="AM1464" i="2"/>
  <c r="AM1468" i="2"/>
  <c r="AM1478" i="2" l="1"/>
  <c r="AM1479" i="2" s="1"/>
  <c r="AM1482" i="2"/>
  <c r="AM1491" i="2"/>
  <c r="AM1502" i="2"/>
  <c r="AO1499" i="2"/>
  <c r="AM1490" i="2"/>
  <c r="AM1496" i="2" s="1"/>
  <c r="AM1465" i="2"/>
  <c r="AM1466" i="2" s="1"/>
  <c r="AM1467" i="2" s="1"/>
  <c r="AM1470" i="2" s="1"/>
  <c r="AN1471" i="2" s="1"/>
  <c r="AM1516" i="2" l="1"/>
  <c r="AM1505" i="2"/>
  <c r="AO1513" i="2"/>
  <c r="AM1504" i="2"/>
  <c r="AM1510" i="2" s="1"/>
  <c r="AM1480" i="2"/>
  <c r="AM1481" i="2" s="1"/>
  <c r="AM1484" i="2" s="1"/>
  <c r="AN1485" i="2" s="1"/>
  <c r="AM1492" i="2"/>
  <c r="AM1518" i="2" l="1"/>
  <c r="AM1519" i="2"/>
  <c r="AO1527" i="2"/>
  <c r="AM1530" i="2"/>
  <c r="AM1493" i="2"/>
  <c r="AM1506" i="2"/>
  <c r="AM1520" i="2" l="1"/>
  <c r="AM1521" i="2" s="1"/>
  <c r="AM1524" i="2"/>
  <c r="AM1494" i="2"/>
  <c r="AM1495" i="2" s="1"/>
  <c r="AM1498" i="2" s="1"/>
  <c r="AN1499" i="2" s="1"/>
  <c r="AO1541" i="2"/>
  <c r="AM1544" i="2"/>
  <c r="AM1532" i="2"/>
  <c r="AM1533" i="2"/>
  <c r="AM1507" i="2"/>
  <c r="AM1534" i="2" l="1"/>
  <c r="AM1535" i="2" s="1"/>
  <c r="AM1522" i="2"/>
  <c r="AM1523" i="2" s="1"/>
  <c r="AM1526" i="2" s="1"/>
  <c r="AN1527" i="2" s="1"/>
  <c r="AM1508" i="2"/>
  <c r="AM1509" i="2" s="1"/>
  <c r="AM1512" i="2" s="1"/>
  <c r="AN1513" i="2" s="1"/>
  <c r="AM1547" i="2"/>
  <c r="AM1546" i="2"/>
  <c r="AM1552" i="2" s="1"/>
  <c r="AO1555" i="2"/>
  <c r="AM1558" i="2"/>
  <c r="AM1538" i="2"/>
  <c r="AM1560" i="2" l="1"/>
  <c r="AM1572" i="2"/>
  <c r="AM1561" i="2"/>
  <c r="AO1569" i="2"/>
  <c r="AM1536" i="2"/>
  <c r="AM1537" i="2" s="1"/>
  <c r="AM1540" i="2" s="1"/>
  <c r="AN1541" i="2" s="1"/>
  <c r="AM1548" i="2"/>
  <c r="AM1562" i="2" l="1"/>
  <c r="AM1563" i="2" s="1"/>
  <c r="AO1583" i="2"/>
  <c r="AM1586" i="2"/>
  <c r="AM1574" i="2"/>
  <c r="AM1575" i="2"/>
  <c r="AM1549" i="2"/>
  <c r="AM1566" i="2"/>
  <c r="AM1576" i="2" l="1"/>
  <c r="AM1577" i="2" s="1"/>
  <c r="AM1564" i="2"/>
  <c r="AM1565" i="2" s="1"/>
  <c r="AM1568" i="2" s="1"/>
  <c r="AN1569" i="2" s="1"/>
  <c r="AM1550" i="2"/>
  <c r="AM1551" i="2" s="1"/>
  <c r="AM1554" i="2" s="1"/>
  <c r="AN1555" i="2" s="1"/>
  <c r="AM1588" i="2"/>
  <c r="AM1594" i="2" s="1"/>
  <c r="AM1600" i="2"/>
  <c r="AM1589" i="2"/>
  <c r="AO1597" i="2"/>
  <c r="AM1580" i="2"/>
  <c r="AM1590" i="2" l="1"/>
  <c r="AM1603" i="2"/>
  <c r="AO1611" i="2"/>
  <c r="AM1602" i="2"/>
  <c r="AM1614" i="2"/>
  <c r="AM1578" i="2"/>
  <c r="AM1579" i="2" s="1"/>
  <c r="AM1582" i="2" s="1"/>
  <c r="AN1583" i="2" s="1"/>
  <c r="AM1591" i="2" l="1"/>
  <c r="AM1617" i="2"/>
  <c r="AM1616" i="2"/>
  <c r="AO1625" i="2"/>
  <c r="AM1628" i="2"/>
  <c r="AM1604" i="2"/>
  <c r="AM1608" i="2"/>
  <c r="AM1592" i="2" l="1"/>
  <c r="AM1593" i="2" s="1"/>
  <c r="AM1596" i="2" s="1"/>
  <c r="AN1597" i="2" s="1"/>
  <c r="AM1605" i="2"/>
  <c r="AM1622" i="2"/>
  <c r="AM1618" i="2"/>
  <c r="AM1642" i="2"/>
  <c r="AO1639" i="2"/>
  <c r="AM1631" i="2"/>
  <c r="AM1630" i="2"/>
  <c r="AM1632" i="2" l="1"/>
  <c r="AM1619" i="2"/>
  <c r="AM1644" i="2"/>
  <c r="AM1650" i="2" s="1"/>
  <c r="AM1645" i="2"/>
  <c r="AM1656" i="2"/>
  <c r="AO1653" i="2"/>
  <c r="AM1606" i="2"/>
  <c r="AM1607" i="2" s="1"/>
  <c r="AM1610" i="2" s="1"/>
  <c r="AN1611" i="2" s="1"/>
  <c r="AM1636" i="2"/>
  <c r="AM1646" i="2" l="1"/>
  <c r="AM1647" i="2" s="1"/>
  <c r="AM1633" i="2"/>
  <c r="AM1634" i="2" s="1"/>
  <c r="AM1635" i="2" s="1"/>
  <c r="AM1658" i="2"/>
  <c r="AM1670" i="2"/>
  <c r="AM1659" i="2"/>
  <c r="AO1667" i="2"/>
  <c r="AM1620" i="2"/>
  <c r="AM1621" i="2" s="1"/>
  <c r="AM1624" i="2" s="1"/>
  <c r="AN1625" i="2" s="1"/>
  <c r="AM1638" i="2" l="1"/>
  <c r="AN1639" i="2" s="1"/>
  <c r="AM1660" i="2"/>
  <c r="AM1664" i="2"/>
  <c r="AM1648" i="2"/>
  <c r="AM1649" i="2" s="1"/>
  <c r="AM1652" i="2" s="1"/>
  <c r="AN1653" i="2" s="1"/>
  <c r="AM1684" i="2"/>
  <c r="AO1681" i="2"/>
  <c r="AM1672" i="2"/>
  <c r="AM1673" i="2"/>
  <c r="AM1661" i="2" l="1"/>
  <c r="AM1662" i="2" s="1"/>
  <c r="AM1663" i="2" s="1"/>
  <c r="AM1674" i="2"/>
  <c r="AM1675" i="2" s="1"/>
  <c r="AM1698" i="2"/>
  <c r="AM1687" i="2"/>
  <c r="AM1686" i="2"/>
  <c r="AM1692" i="2" s="1"/>
  <c r="AO1695" i="2"/>
  <c r="AM1678" i="2"/>
  <c r="AM1666" i="2" l="1"/>
  <c r="AN1667" i="2" s="1"/>
  <c r="AO1709" i="2"/>
  <c r="AM1701" i="2"/>
  <c r="AM1700" i="2"/>
  <c r="AM1712" i="2"/>
  <c r="AM1676" i="2"/>
  <c r="AM1677" i="2" s="1"/>
  <c r="AM1680" i="2" s="1"/>
  <c r="AN1681" i="2" s="1"/>
  <c r="AM1688" i="2"/>
  <c r="AM1702" i="2" l="1"/>
  <c r="AM1703" i="2" s="1"/>
  <c r="AM1689" i="2"/>
  <c r="AM1714" i="2"/>
  <c r="AM1726" i="2"/>
  <c r="AM1715" i="2"/>
  <c r="AO1723" i="2"/>
  <c r="AM1706" i="2"/>
  <c r="AM1716" i="2" l="1"/>
  <c r="AM1717" i="2" s="1"/>
  <c r="AM1720" i="2"/>
  <c r="AM1690" i="2"/>
  <c r="AM1691" i="2" s="1"/>
  <c r="AM1694" i="2" s="1"/>
  <c r="AN1695" i="2" s="1"/>
  <c r="AM1704" i="2"/>
  <c r="AM1705" i="2" s="1"/>
  <c r="AM1708" i="2" s="1"/>
  <c r="AN1709" i="2" s="1"/>
  <c r="AO1737" i="2"/>
  <c r="AM1740" i="2"/>
  <c r="AM1728" i="2"/>
  <c r="AM1729" i="2"/>
  <c r="AM1730" i="2" l="1"/>
  <c r="AM1731" i="2" s="1"/>
  <c r="AM1734" i="2"/>
  <c r="AM1743" i="2"/>
  <c r="AO1751" i="2"/>
  <c r="AM1742" i="2"/>
  <c r="AM1754" i="2"/>
  <c r="AM1718" i="2"/>
  <c r="AM1719" i="2" s="1"/>
  <c r="AM1722" i="2" s="1"/>
  <c r="AN1723" i="2" s="1"/>
  <c r="AM1744" i="2" l="1"/>
  <c r="AM1732" i="2"/>
  <c r="AM1733" i="2" s="1"/>
  <c r="AM1736" i="2" s="1"/>
  <c r="AN1737" i="2" s="1"/>
  <c r="AM1768" i="2"/>
  <c r="AO1765" i="2"/>
  <c r="AM1756" i="2"/>
  <c r="AM1757" i="2"/>
  <c r="AM1748" i="2"/>
  <c r="AM1745" i="2" l="1"/>
  <c r="AM1758" i="2"/>
  <c r="AM1759" i="2" s="1"/>
  <c r="AM1770" i="2"/>
  <c r="AM1782" i="2"/>
  <c r="AM1771" i="2"/>
  <c r="AO1779" i="2"/>
  <c r="AM1762" i="2"/>
  <c r="AM1746" i="2" l="1"/>
  <c r="AM1747" i="2" s="1"/>
  <c r="AM1750" i="2" s="1"/>
  <c r="AN1751" i="2" s="1"/>
  <c r="AM1760" i="2"/>
  <c r="AM1761" i="2" s="1"/>
  <c r="AM1764" i="2" s="1"/>
  <c r="AN1765" i="2" s="1"/>
  <c r="AM1784" i="2"/>
  <c r="AM1790" i="2" s="1"/>
  <c r="AM1785" i="2"/>
  <c r="AO1793" i="2"/>
  <c r="AM1796" i="2"/>
  <c r="AM1772" i="2"/>
  <c r="AM1776" i="2"/>
  <c r="AM1786" i="2" l="1"/>
  <c r="AM1787" i="2" s="1"/>
  <c r="AM1810" i="2"/>
  <c r="AM1799" i="2"/>
  <c r="AM1798" i="2"/>
  <c r="AM1804" i="2" s="1"/>
  <c r="AO1807" i="2"/>
  <c r="AM1773" i="2"/>
  <c r="AM1788" i="2" l="1"/>
  <c r="AM1789" i="2" s="1"/>
  <c r="AM1792" i="2" s="1"/>
  <c r="AN1793" i="2" s="1"/>
  <c r="AO1821" i="2"/>
  <c r="AM1813" i="2"/>
  <c r="AM1812" i="2"/>
  <c r="AM1818" i="2" s="1"/>
  <c r="AM1824" i="2"/>
  <c r="AM1774" i="2"/>
  <c r="AM1775" i="2" s="1"/>
  <c r="AM1778" i="2" s="1"/>
  <c r="AN1779" i="2" s="1"/>
  <c r="AM1800" i="2"/>
  <c r="AM1801" i="2" l="1"/>
  <c r="AM1826" i="2"/>
  <c r="AM1827" i="2"/>
  <c r="AO1835" i="2"/>
  <c r="AM1838" i="2"/>
  <c r="AM1814" i="2"/>
  <c r="AM1828" i="2" l="1"/>
  <c r="AM1815" i="2"/>
  <c r="AM1802" i="2"/>
  <c r="AM1803" i="2" s="1"/>
  <c r="AM1806" i="2" s="1"/>
  <c r="AN1807" i="2" s="1"/>
  <c r="AM1841" i="2"/>
  <c r="AO1849" i="2"/>
  <c r="AM1840" i="2"/>
  <c r="AM1846" i="2" s="1"/>
  <c r="AM1852" i="2"/>
  <c r="AM1832" i="2"/>
  <c r="AM1829" i="2" l="1"/>
  <c r="AM1866" i="2"/>
  <c r="AO1863" i="2"/>
  <c r="AM1855" i="2"/>
  <c r="AM1854" i="2"/>
  <c r="AM1816" i="2"/>
  <c r="AM1817" i="2" s="1"/>
  <c r="AM1820" i="2" s="1"/>
  <c r="AN1821" i="2" s="1"/>
  <c r="AM1842" i="2"/>
  <c r="AM1830" i="2" l="1"/>
  <c r="AM1831" i="2" s="1"/>
  <c r="AM1834" i="2" s="1"/>
  <c r="AN1835" i="2" s="1"/>
  <c r="AM1860" i="2"/>
  <c r="AM1856" i="2"/>
  <c r="AM1843" i="2"/>
  <c r="AM1880" i="2"/>
  <c r="AM1869" i="2"/>
  <c r="AM1868" i="2"/>
  <c r="AO1877" i="2"/>
  <c r="AM1870" i="2" l="1"/>
  <c r="AM1844" i="2"/>
  <c r="AM1845" i="2" s="1"/>
  <c r="AM1848" i="2" s="1"/>
  <c r="AN1849" i="2" s="1"/>
  <c r="AO1891" i="2"/>
  <c r="AM1883" i="2"/>
  <c r="AM1882" i="2"/>
  <c r="AM1894" i="2"/>
  <c r="AM1857" i="2"/>
  <c r="AM1874" i="2"/>
  <c r="AM1884" i="2" l="1"/>
  <c r="AM1885" i="2" s="1"/>
  <c r="AM1871" i="2"/>
  <c r="AM1872" i="2" s="1"/>
  <c r="AM1873" i="2" s="1"/>
  <c r="AO1905" i="2"/>
  <c r="AM1908" i="2"/>
  <c r="AM1896" i="2"/>
  <c r="AM1897" i="2"/>
  <c r="AM1858" i="2"/>
  <c r="AM1859" i="2" s="1"/>
  <c r="AM1862" i="2" s="1"/>
  <c r="AN1863" i="2" s="1"/>
  <c r="AM1888" i="2"/>
  <c r="AM1876" i="2" l="1"/>
  <c r="AN1877" i="2" s="1"/>
  <c r="AM1910" i="2"/>
  <c r="AM1916" i="2" s="1"/>
  <c r="AM1922" i="2"/>
  <c r="AO1919" i="2"/>
  <c r="AM1911" i="2"/>
  <c r="AM1902" i="2"/>
  <c r="AM1898" i="2"/>
  <c r="AM1886" i="2"/>
  <c r="AM1887" i="2" s="1"/>
  <c r="AM1890" i="2" s="1"/>
  <c r="AN1891" i="2" s="1"/>
  <c r="AM1899" i="2" l="1"/>
  <c r="AO1933" i="2"/>
  <c r="AM1936" i="2"/>
  <c r="AM1924" i="2"/>
  <c r="AM1925" i="2"/>
  <c r="AM1912" i="2"/>
  <c r="AM1926" i="2" l="1"/>
  <c r="AM1927" i="2" s="1"/>
  <c r="AM1930" i="2"/>
  <c r="AM1913" i="2"/>
  <c r="AM1950" i="2"/>
  <c r="AM1939" i="2"/>
  <c r="AO1947" i="2"/>
  <c r="AM1938" i="2"/>
  <c r="AM1900" i="2"/>
  <c r="AM1901" i="2" s="1"/>
  <c r="AM1904" i="2" s="1"/>
  <c r="AN1905" i="2" s="1"/>
  <c r="AM1914" i="2" l="1"/>
  <c r="AM1915" i="2" s="1"/>
  <c r="AM1918" i="2" s="1"/>
  <c r="AN1919" i="2" s="1"/>
  <c r="AM1944" i="2"/>
  <c r="AM1940" i="2"/>
  <c r="AM1928" i="2"/>
  <c r="AM1929" i="2" s="1"/>
  <c r="AM1932" i="2" s="1"/>
  <c r="AN1933" i="2" s="1"/>
  <c r="AO1961" i="2"/>
  <c r="AM1964" i="2"/>
  <c r="AM1952" i="2"/>
  <c r="AM1953" i="2"/>
  <c r="AM1954" i="2" l="1"/>
  <c r="AM1955" i="2" s="1"/>
  <c r="AM1958" i="2"/>
  <c r="AM1966" i="2"/>
  <c r="AM1972" i="2" s="1"/>
  <c r="AM1978" i="2"/>
  <c r="AO1975" i="2"/>
  <c r="AM1967" i="2"/>
  <c r="AM1941" i="2"/>
  <c r="AM1956" i="2" l="1"/>
  <c r="AM1957" i="2" s="1"/>
  <c r="AM1960" i="2" s="1"/>
  <c r="AN1961" i="2" s="1"/>
  <c r="AM1942" i="2"/>
  <c r="AM1943" i="2" s="1"/>
  <c r="AM1946" i="2" s="1"/>
  <c r="AN1947" i="2" s="1"/>
  <c r="AM1992" i="2"/>
  <c r="AO1989" i="2"/>
  <c r="AM1981" i="2"/>
  <c r="AM1980" i="2"/>
  <c r="AM1968" i="2"/>
  <c r="AO2003" i="2" l="1"/>
  <c r="AM1995" i="2"/>
  <c r="AM1994" i="2"/>
  <c r="AM2006" i="2"/>
  <c r="AM1969" i="2"/>
  <c r="AM1982" i="2"/>
  <c r="AM1986" i="2"/>
  <c r="AM1996" i="2" l="1"/>
  <c r="AM1983" i="2"/>
  <c r="AO2017" i="2"/>
  <c r="AM2020" i="2"/>
  <c r="AM2008" i="2"/>
  <c r="AM2009" i="2"/>
  <c r="AM1970" i="2"/>
  <c r="AM1971" i="2" s="1"/>
  <c r="AM1974" i="2" s="1"/>
  <c r="AN1975" i="2" s="1"/>
  <c r="AM2000" i="2"/>
  <c r="AM1997" i="2" l="1"/>
  <c r="AM1998" i="2" s="1"/>
  <c r="AM1999" i="2" s="1"/>
  <c r="AM2010" i="2"/>
  <c r="AO2031" i="2"/>
  <c r="AM2034" i="2"/>
  <c r="AM2023" i="2"/>
  <c r="AM2022" i="2"/>
  <c r="AM1984" i="2"/>
  <c r="AM1985" i="2" s="1"/>
  <c r="AM1988" i="2" s="1"/>
  <c r="AN1989" i="2" s="1"/>
  <c r="AM2014" i="2"/>
  <c r="AM2024" i="2" l="1"/>
  <c r="AM2002" i="2"/>
  <c r="AN2003" i="2" s="1"/>
  <c r="AM2028" i="2"/>
  <c r="AM2011" i="2"/>
  <c r="AM2012" i="2" s="1"/>
  <c r="AM2013" i="2" s="1"/>
  <c r="AM2048" i="2"/>
  <c r="AM2037" i="2"/>
  <c r="AO2045" i="2"/>
  <c r="AM2036" i="2"/>
  <c r="AM2042" i="2" s="1"/>
  <c r="AM2016" i="2" l="1"/>
  <c r="AN2017" i="2" s="1"/>
  <c r="AM2025" i="2"/>
  <c r="AM2026" i="2" s="1"/>
  <c r="AM2027" i="2" s="1"/>
  <c r="AM2062" i="2"/>
  <c r="AM2051" i="2"/>
  <c r="AO2059" i="2"/>
  <c r="AM2050" i="2"/>
  <c r="AM2038" i="2"/>
  <c r="AM2030" i="2" l="1"/>
  <c r="AN2031" i="2" s="1"/>
  <c r="AM2052" i="2"/>
  <c r="AM2056" i="2"/>
  <c r="AM2039" i="2"/>
  <c r="AM2076" i="2"/>
  <c r="AM2065" i="2"/>
  <c r="AO2073" i="2"/>
  <c r="AM2064" i="2"/>
  <c r="AM2066" i="2" l="1"/>
  <c r="AM2053" i="2"/>
  <c r="AM2054" i="2" s="1"/>
  <c r="AM2055" i="2" s="1"/>
  <c r="AO2087" i="2"/>
  <c r="AM2090" i="2"/>
  <c r="AM2078" i="2"/>
  <c r="AM2079" i="2"/>
  <c r="AM2040" i="2"/>
  <c r="AM2041" i="2" s="1"/>
  <c r="AM2044" i="2" s="1"/>
  <c r="AN2045" i="2" s="1"/>
  <c r="AM2070" i="2"/>
  <c r="AM2067" i="2" l="1"/>
  <c r="AM2068" i="2" s="1"/>
  <c r="AM2069" i="2" s="1"/>
  <c r="AM2058" i="2"/>
  <c r="AN2059" i="2" s="1"/>
  <c r="AM2080" i="2"/>
  <c r="AM2081" i="2" s="1"/>
  <c r="AM2104" i="2"/>
  <c r="AM2093" i="2"/>
  <c r="AO2101" i="2"/>
  <c r="AM2092" i="2"/>
  <c r="AM2084" i="2"/>
  <c r="AM2072" i="2" l="1"/>
  <c r="AN2073" i="2" s="1"/>
  <c r="AM2094" i="2"/>
  <c r="AM2106" i="2"/>
  <c r="AM2107" i="2"/>
  <c r="AO2115" i="2"/>
  <c r="AM2118" i="2"/>
  <c r="AM2082" i="2"/>
  <c r="AM2083" i="2" s="1"/>
  <c r="AM2086" i="2" s="1"/>
  <c r="AN2087" i="2" s="1"/>
  <c r="AM2098" i="2"/>
  <c r="AM2108" i="2" l="1"/>
  <c r="AM2109" i="2" s="1"/>
  <c r="AM2095" i="2"/>
  <c r="AO2129" i="2"/>
  <c r="AM2132" i="2"/>
  <c r="AM2120" i="2"/>
  <c r="AM2121" i="2"/>
  <c r="AM2112" i="2"/>
  <c r="AM2122" i="2" l="1"/>
  <c r="AM2123" i="2" s="1"/>
  <c r="AM2096" i="2"/>
  <c r="AM2097" i="2" s="1"/>
  <c r="AM2100" i="2" s="1"/>
  <c r="AN2101" i="2" s="1"/>
  <c r="AM2126" i="2"/>
  <c r="AM2146" i="2"/>
  <c r="AO2143" i="2"/>
  <c r="AM2134" i="2"/>
  <c r="AM2135" i="2"/>
  <c r="AM2110" i="2"/>
  <c r="AM2111" i="2" s="1"/>
  <c r="AM2114" i="2" s="1"/>
  <c r="AN2115" i="2" s="1"/>
  <c r="AM2136" i="2" l="1"/>
  <c r="AO2157" i="2"/>
  <c r="AM2160" i="2"/>
  <c r="AM2148" i="2"/>
  <c r="AM2154" i="2" s="1"/>
  <c r="AM2149" i="2"/>
  <c r="AM2124" i="2"/>
  <c r="AM2125" i="2" s="1"/>
  <c r="AM2128" i="2" s="1"/>
  <c r="AN2129" i="2" s="1"/>
  <c r="AM2140" i="2"/>
  <c r="AM2137" i="2" l="1"/>
  <c r="AM2150" i="2"/>
  <c r="AM2174" i="2"/>
  <c r="AM2163" i="2"/>
  <c r="AO2171" i="2"/>
  <c r="AM2162" i="2"/>
  <c r="AM2138" i="2" l="1"/>
  <c r="AM2139" i="2" s="1"/>
  <c r="AM2142" i="2" s="1"/>
  <c r="AN2143" i="2" s="1"/>
  <c r="AM2151" i="2"/>
  <c r="AM2188" i="2"/>
  <c r="AM2177" i="2"/>
  <c r="AO2185" i="2"/>
  <c r="AM2176" i="2"/>
  <c r="AM2182" i="2" s="1"/>
  <c r="AM2164" i="2"/>
  <c r="AM2168" i="2"/>
  <c r="AM2152" i="2" l="1"/>
  <c r="AM2153" i="2" s="1"/>
  <c r="AM2156" i="2" s="1"/>
  <c r="AN2157" i="2" s="1"/>
  <c r="AM2165" i="2"/>
  <c r="AM2202" i="2"/>
  <c r="AM2191" i="2"/>
  <c r="AO2199" i="2"/>
  <c r="AM2190" i="2"/>
  <c r="AM2178" i="2"/>
  <c r="AM2192" i="2" l="1"/>
  <c r="AM2193" i="2" s="1"/>
  <c r="AM2166" i="2"/>
  <c r="AM2167" i="2" s="1"/>
  <c r="AM2170" i="2" s="1"/>
  <c r="AN2171" i="2" s="1"/>
  <c r="AM2216" i="2"/>
  <c r="AM2205" i="2"/>
  <c r="AM2204" i="2"/>
  <c r="AO2213" i="2"/>
  <c r="AM2179" i="2"/>
  <c r="AM2196" i="2"/>
  <c r="AM2206" i="2" l="1"/>
  <c r="AM2207" i="2" s="1"/>
  <c r="AM2218" i="2"/>
  <c r="AO2227" i="2"/>
  <c r="AM2230" i="2"/>
  <c r="AM2219" i="2"/>
  <c r="AM2180" i="2"/>
  <c r="AM2181" i="2" s="1"/>
  <c r="AM2184" i="2" s="1"/>
  <c r="AN2185" i="2" s="1"/>
  <c r="AM2194" i="2"/>
  <c r="AM2195" i="2" s="1"/>
  <c r="AM2198" i="2" s="1"/>
  <c r="AN2199" i="2" s="1"/>
  <c r="AM2210" i="2"/>
  <c r="AM2220" i="2" l="1"/>
  <c r="AM2208" i="2"/>
  <c r="AM2209" i="2" s="1"/>
  <c r="AM2212" i="2" s="1"/>
  <c r="AN2213" i="2" s="1"/>
  <c r="AM2232" i="2"/>
  <c r="AM2233" i="2"/>
  <c r="AM2244" i="2"/>
  <c r="AO2241" i="2"/>
  <c r="AM2224" i="2"/>
  <c r="AM2221" i="2" l="1"/>
  <c r="AM2238" i="2"/>
  <c r="AM2234" i="2"/>
  <c r="AM2258" i="2"/>
  <c r="AO2255" i="2"/>
  <c r="AM2247" i="2"/>
  <c r="AM2246" i="2"/>
  <c r="AM2248" i="2" l="1"/>
  <c r="AM2249" i="2" s="1"/>
  <c r="AM2222" i="2"/>
  <c r="AM2223" i="2" s="1"/>
  <c r="AM2226" i="2" s="1"/>
  <c r="AN2227" i="2" s="1"/>
  <c r="AM2252" i="2"/>
  <c r="AM2235" i="2"/>
  <c r="AO2269" i="2"/>
  <c r="AM2261" i="2"/>
  <c r="AM2260" i="2"/>
  <c r="AM2272" i="2"/>
  <c r="AM2262" i="2" l="1"/>
  <c r="AM2263" i="2" s="1"/>
  <c r="AM2286" i="2"/>
  <c r="AM2275" i="2"/>
  <c r="AO2283" i="2"/>
  <c r="AM2274" i="2"/>
  <c r="AM2236" i="2"/>
  <c r="AM2237" i="2" s="1"/>
  <c r="AM2240" i="2" s="1"/>
  <c r="AN2241" i="2" s="1"/>
  <c r="AM2250" i="2"/>
  <c r="AM2251" i="2" s="1"/>
  <c r="AM2254" i="2" s="1"/>
  <c r="AN2255" i="2" s="1"/>
  <c r="AM2266" i="2"/>
  <c r="AM2276" i="2" l="1"/>
  <c r="AM2264" i="2"/>
  <c r="AM2265" i="2" s="1"/>
  <c r="AM2268" i="2" s="1"/>
  <c r="AN2269" i="2" s="1"/>
  <c r="AM2300" i="2"/>
  <c r="AM2289" i="2"/>
  <c r="AO2297" i="2"/>
  <c r="AM2288" i="2"/>
  <c r="AM2294" i="2" s="1"/>
  <c r="AM2280" i="2"/>
  <c r="AM2277" i="2" l="1"/>
  <c r="AM2278" i="2" s="1"/>
  <c r="AM2279" i="2" s="1"/>
  <c r="AM2302" i="2"/>
  <c r="AM2303" i="2"/>
  <c r="AO2311" i="2"/>
  <c r="AM2314" i="2"/>
  <c r="AM2290" i="2"/>
  <c r="AM2304" i="2" l="1"/>
  <c r="AM2305" i="2" s="1"/>
  <c r="AM2308" i="2"/>
  <c r="AM2282" i="2"/>
  <c r="AN2283" i="2" s="1"/>
  <c r="AM2291" i="2"/>
  <c r="AM2328" i="2"/>
  <c r="AM2317" i="2"/>
  <c r="AO2325" i="2"/>
  <c r="AM2316" i="2"/>
  <c r="AM2322" i="2" s="1"/>
  <c r="AM2330" i="2" l="1"/>
  <c r="AM2336" i="2" s="1"/>
  <c r="AO2339" i="2"/>
  <c r="AM2342" i="2"/>
  <c r="AM2331" i="2"/>
  <c r="AM2306" i="2"/>
  <c r="AM2307" i="2" s="1"/>
  <c r="AM2310" i="2" s="1"/>
  <c r="AN2311" i="2" s="1"/>
  <c r="AM2292" i="2"/>
  <c r="AM2293" i="2" s="1"/>
  <c r="AM2296" i="2" s="1"/>
  <c r="AN2297" i="2" s="1"/>
  <c r="AM2318" i="2"/>
  <c r="AM2319" i="2" l="1"/>
  <c r="AM2344" i="2"/>
  <c r="AM2350" i="2" s="1"/>
  <c r="AO2353" i="2"/>
  <c r="AM2356" i="2"/>
  <c r="AM2345" i="2"/>
  <c r="AM2332" i="2"/>
  <c r="AM2358" i="2" l="1"/>
  <c r="AO2367" i="2"/>
  <c r="AM2370" i="2"/>
  <c r="AM2359" i="2"/>
  <c r="AM2320" i="2"/>
  <c r="AM2321" i="2" s="1"/>
  <c r="AM2324" i="2" s="1"/>
  <c r="AN2325" i="2" s="1"/>
  <c r="AM2333" i="2"/>
  <c r="AM2346" i="2"/>
  <c r="AM2360" i="2" l="1"/>
  <c r="AM2361" i="2" s="1"/>
  <c r="AM2364" i="2"/>
  <c r="AM2347" i="2"/>
  <c r="AM2334" i="2"/>
  <c r="AM2335" i="2" s="1"/>
  <c r="AM2338" i="2" s="1"/>
  <c r="AN2339" i="2" s="1"/>
  <c r="AM2384" i="2"/>
  <c r="AM2373" i="2"/>
  <c r="AO2381" i="2"/>
  <c r="AM2372" i="2"/>
  <c r="AM2374" i="2" l="1"/>
  <c r="AM2375" i="2" s="1"/>
  <c r="AM2362" i="2"/>
  <c r="AM2363" i="2" s="1"/>
  <c r="AM2366" i="2" s="1"/>
  <c r="AN2367" i="2" s="1"/>
  <c r="AM2386" i="2"/>
  <c r="AM2392" i="2" s="1"/>
  <c r="AM2398" i="2"/>
  <c r="AM2387" i="2"/>
  <c r="AO2395" i="2"/>
  <c r="AM2348" i="2"/>
  <c r="AM2349" i="2" s="1"/>
  <c r="AM2352" i="2" s="1"/>
  <c r="AN2353" i="2" s="1"/>
  <c r="AM2378" i="2"/>
  <c r="AM2376" i="2" l="1"/>
  <c r="AM2377" i="2" s="1"/>
  <c r="AM2380" i="2" s="1"/>
  <c r="AN2381" i="2" s="1"/>
  <c r="AO2409" i="2"/>
  <c r="AM2412" i="2"/>
  <c r="AM2400" i="2"/>
  <c r="AM2401" i="2"/>
  <c r="AM2388" i="2"/>
  <c r="AM2402" i="2" l="1"/>
  <c r="AM2403" i="2" s="1"/>
  <c r="AM2389" i="2"/>
  <c r="AM2426" i="2"/>
  <c r="AM2414" i="2"/>
  <c r="AM2415" i="2"/>
  <c r="AO2423" i="2"/>
  <c r="AM2406" i="2"/>
  <c r="AM2416" i="2" l="1"/>
  <c r="AM2440" i="2"/>
  <c r="AO2437" i="2"/>
  <c r="AM2428" i="2"/>
  <c r="AM2434" i="2" s="1"/>
  <c r="AM2429" i="2"/>
  <c r="AM2420" i="2"/>
  <c r="AM2404" i="2"/>
  <c r="AM2405" i="2" s="1"/>
  <c r="AM2408" i="2" s="1"/>
  <c r="AN2409" i="2" s="1"/>
  <c r="AM2390" i="2"/>
  <c r="AM2391" i="2" s="1"/>
  <c r="AM2394" i="2" s="1"/>
  <c r="AN2395" i="2" s="1"/>
  <c r="AM2417" i="2" l="1"/>
  <c r="AM2418" i="2" s="1"/>
  <c r="AM2419" i="2" s="1"/>
  <c r="AM2454" i="2"/>
  <c r="AM2443" i="2"/>
  <c r="AM2442" i="2"/>
  <c r="AO2451" i="2"/>
  <c r="AM2430" i="2"/>
  <c r="AM2422" i="2" l="1"/>
  <c r="AN2423" i="2" s="1"/>
  <c r="AM2444" i="2"/>
  <c r="AM2445" i="2" s="1"/>
  <c r="AM2448" i="2"/>
  <c r="AM2468" i="2"/>
  <c r="AO2465" i="2"/>
  <c r="AM2456" i="2"/>
  <c r="AM2457" i="2"/>
  <c r="AM2431" i="2"/>
  <c r="AM2458" i="2" l="1"/>
  <c r="AM2459" i="2" s="1"/>
  <c r="AM2470" i="2"/>
  <c r="AM2482" i="2"/>
  <c r="AM2471" i="2"/>
  <c r="AO2479" i="2"/>
  <c r="AM2432" i="2"/>
  <c r="AM2433" i="2" s="1"/>
  <c r="AM2436" i="2" s="1"/>
  <c r="AN2437" i="2" s="1"/>
  <c r="AM2446" i="2"/>
  <c r="AM2447" i="2" s="1"/>
  <c r="AM2450" i="2" s="1"/>
  <c r="AN2451" i="2" s="1"/>
  <c r="AM2462" i="2"/>
  <c r="AM2472" i="2" l="1"/>
  <c r="AM2473" i="2" s="1"/>
  <c r="AM2485" i="2"/>
  <c r="AM2496" i="2"/>
  <c r="AO2493" i="2"/>
  <c r="AM2484" i="2"/>
  <c r="AM2490" i="2" s="1"/>
  <c r="AM2460" i="2"/>
  <c r="AM2461" i="2" s="1"/>
  <c r="AM2464" i="2" s="1"/>
  <c r="AN2465" i="2" s="1"/>
  <c r="AM2476" i="2"/>
  <c r="AM2474" i="2" l="1"/>
  <c r="AM2475" i="2" s="1"/>
  <c r="AM2478" i="2" s="1"/>
  <c r="AN2479" i="2" s="1"/>
  <c r="AO2507" i="2"/>
  <c r="AM2499" i="2"/>
  <c r="AM2498" i="2"/>
  <c r="AM2510" i="2"/>
  <c r="AM2486" i="2"/>
  <c r="AM2500" i="2" l="1"/>
  <c r="AM2504" i="2"/>
  <c r="AM2512" i="2"/>
  <c r="AM2518" i="2" s="1"/>
  <c r="AO2521" i="2"/>
  <c r="AM2524" i="2"/>
  <c r="AM2513" i="2"/>
  <c r="AM2487" i="2"/>
  <c r="AM2501" i="2" l="1"/>
  <c r="AM2488" i="2"/>
  <c r="AM2489" i="2" s="1"/>
  <c r="AM2492" i="2" s="1"/>
  <c r="AN2493" i="2" s="1"/>
  <c r="AM2526" i="2"/>
  <c r="AM2527" i="2"/>
  <c r="AO2535" i="2"/>
  <c r="AM2538" i="2"/>
  <c r="AM2514" i="2"/>
  <c r="AM2528" i="2" l="1"/>
  <c r="AM2502" i="2"/>
  <c r="AM2503" i="2" s="1"/>
  <c r="AM2506" i="2" s="1"/>
  <c r="AN2507" i="2" s="1"/>
  <c r="AM2532" i="2"/>
  <c r="AO2549" i="2"/>
  <c r="AM2552" i="2"/>
  <c r="AM2540" i="2"/>
  <c r="AM2541" i="2"/>
  <c r="AM2515" i="2"/>
  <c r="AM2529" i="2" l="1"/>
  <c r="AM2542" i="2"/>
  <c r="AM2516" i="2"/>
  <c r="AM2517" i="2" s="1"/>
  <c r="AM2520" i="2" s="1"/>
  <c r="AN2521" i="2" s="1"/>
  <c r="AM2554" i="2"/>
  <c r="AM2560" i="2" s="1"/>
  <c r="AO2563" i="2"/>
  <c r="AM2566" i="2"/>
  <c r="AM2555" i="2"/>
  <c r="AM2546" i="2"/>
  <c r="AM2530" i="2" l="1"/>
  <c r="AM2531" i="2" s="1"/>
  <c r="AM2534" i="2" s="1"/>
  <c r="AN2535" i="2" s="1"/>
  <c r="AM2543" i="2"/>
  <c r="AM2544" i="2" s="1"/>
  <c r="AM2545" i="2" s="1"/>
  <c r="AM2568" i="2"/>
  <c r="AM2580" i="2"/>
  <c r="AM2569" i="2"/>
  <c r="AO2577" i="2"/>
  <c r="AM2556" i="2"/>
  <c r="AM2570" i="2" l="1"/>
  <c r="AM2548" i="2"/>
  <c r="AN2549" i="2" s="1"/>
  <c r="AM2557" i="2"/>
  <c r="AM2594" i="2"/>
  <c r="AM2583" i="2"/>
  <c r="AO2591" i="2"/>
  <c r="AM2582" i="2"/>
  <c r="AM2588" i="2" s="1"/>
  <c r="AM2574" i="2"/>
  <c r="AM2571" i="2" l="1"/>
  <c r="AO2605" i="2"/>
  <c r="AM2608" i="2"/>
  <c r="AM2596" i="2"/>
  <c r="AM2602" i="2" s="1"/>
  <c r="AM2597" i="2"/>
  <c r="AM2558" i="2"/>
  <c r="AM2559" i="2" s="1"/>
  <c r="AM2562" i="2" s="1"/>
  <c r="AN2563" i="2" s="1"/>
  <c r="AM2584" i="2"/>
  <c r="AM2572" i="2" l="1"/>
  <c r="AM2573" i="2" s="1"/>
  <c r="AM2576" i="2" s="1"/>
  <c r="AN2577" i="2" s="1"/>
  <c r="AM2598" i="2"/>
  <c r="AM2585" i="2"/>
  <c r="AM2611" i="2"/>
  <c r="AO2619" i="2"/>
  <c r="AM2610" i="2"/>
  <c r="AM2622" i="2"/>
  <c r="AM2612" i="2" l="1"/>
  <c r="AM2613" i="2" s="1"/>
  <c r="AM2599" i="2"/>
  <c r="AM2600" i="2" s="1"/>
  <c r="AM2601" i="2" s="1"/>
  <c r="AM2586" i="2"/>
  <c r="AM2587" i="2" s="1"/>
  <c r="AM2590" i="2" s="1"/>
  <c r="AN2591" i="2" s="1"/>
  <c r="AM2636" i="2"/>
  <c r="AO2633" i="2"/>
  <c r="AM2624" i="2"/>
  <c r="AM2625" i="2"/>
  <c r="AM2616" i="2"/>
  <c r="AM2604" i="2" l="1"/>
  <c r="AN2605" i="2" s="1"/>
  <c r="AM2626" i="2"/>
  <c r="AM2627" i="2" s="1"/>
  <c r="AM2614" i="2"/>
  <c r="AM2615" i="2" s="1"/>
  <c r="AM2618" i="2" s="1"/>
  <c r="AN2619" i="2" s="1"/>
  <c r="AM2650" i="2"/>
  <c r="AO2647" i="2"/>
  <c r="AM2638" i="2"/>
  <c r="AM2644" i="2" s="1"/>
  <c r="AM2639" i="2"/>
  <c r="AM2630" i="2"/>
  <c r="AM2628" i="2" l="1"/>
  <c r="AM2629" i="2" s="1"/>
  <c r="AM2632" i="2" s="1"/>
  <c r="AN2633" i="2" s="1"/>
  <c r="AM2652" i="2"/>
  <c r="AM2658" i="2" s="1"/>
  <c r="AM2653" i="2"/>
  <c r="AM2664" i="2"/>
  <c r="AO2661" i="2"/>
  <c r="AM2640" i="2"/>
  <c r="AM2654" i="2" l="1"/>
  <c r="AM2678" i="2"/>
  <c r="AM2667" i="2"/>
  <c r="AO2675" i="2"/>
  <c r="AM2666" i="2"/>
  <c r="AM2672" i="2" s="1"/>
  <c r="AM2641" i="2"/>
  <c r="AM2655" i="2" l="1"/>
  <c r="AM2680" i="2"/>
  <c r="AO2689" i="2"/>
  <c r="AM2692" i="2"/>
  <c r="AM2681" i="2"/>
  <c r="AM2642" i="2"/>
  <c r="AM2643" i="2" s="1"/>
  <c r="AM2646" i="2" s="1"/>
  <c r="AN2647" i="2" s="1"/>
  <c r="AM2668" i="2"/>
  <c r="AM2656" i="2" l="1"/>
  <c r="AM2657" i="2" s="1"/>
  <c r="AM2660" i="2" s="1"/>
  <c r="AN2661" i="2" s="1"/>
  <c r="AM2669" i="2"/>
  <c r="AM2706" i="2"/>
  <c r="AM2695" i="2"/>
  <c r="AO2703" i="2"/>
  <c r="AM2694" i="2"/>
  <c r="AM2700" i="2" s="1"/>
  <c r="AM2682" i="2"/>
  <c r="AM2686" i="2"/>
  <c r="AM2696" i="2" l="1"/>
  <c r="AM2670" i="2"/>
  <c r="AM2671" i="2" s="1"/>
  <c r="AM2674" i="2" s="1"/>
  <c r="AN2675" i="2" s="1"/>
  <c r="AO2717" i="2"/>
  <c r="AM2720" i="2"/>
  <c r="AM2709" i="2"/>
  <c r="AM2708" i="2"/>
  <c r="AM2683" i="2"/>
  <c r="AM2697" i="2" l="1"/>
  <c r="AM2684" i="2"/>
  <c r="AM2685" i="2" s="1"/>
  <c r="AM2688" i="2" s="1"/>
  <c r="AN2689" i="2" s="1"/>
  <c r="AO2731" i="2"/>
  <c r="AM2734" i="2"/>
  <c r="AM2723" i="2"/>
  <c r="AM2722" i="2"/>
  <c r="AM2714" i="2"/>
  <c r="AM2710" i="2"/>
  <c r="AM2698" i="2" l="1"/>
  <c r="AM2699" i="2" s="1"/>
  <c r="AM2702" i="2" s="1"/>
  <c r="AN2703" i="2" s="1"/>
  <c r="AM2728" i="2"/>
  <c r="AM2724" i="2"/>
  <c r="AM2711" i="2"/>
  <c r="AM2736" i="2"/>
  <c r="AM2748" i="2"/>
  <c r="AM2737" i="2"/>
  <c r="AO2745" i="2"/>
  <c r="AM2738" i="2" l="1"/>
  <c r="AM2739" i="2" s="1"/>
  <c r="AM2742" i="2"/>
  <c r="AM2762" i="2"/>
  <c r="AM2751" i="2"/>
  <c r="AO2759" i="2"/>
  <c r="AM2750" i="2"/>
  <c r="AM2725" i="2"/>
  <c r="AM2712" i="2"/>
  <c r="AM2713" i="2" s="1"/>
  <c r="AM2716" i="2" s="1"/>
  <c r="AN2717" i="2" s="1"/>
  <c r="AM2752" i="2" l="1"/>
  <c r="AM2753" i="2" s="1"/>
  <c r="AM2740" i="2"/>
  <c r="AM2741" i="2" s="1"/>
  <c r="AM2744" i="2" s="1"/>
  <c r="AN2745" i="2" s="1"/>
  <c r="AM2764" i="2"/>
  <c r="AM2770" i="2" s="1"/>
  <c r="AM2776" i="2"/>
  <c r="AO2773" i="2"/>
  <c r="AM2765" i="2"/>
  <c r="AM2726" i="2"/>
  <c r="AM2727" i="2" s="1"/>
  <c r="AM2730" i="2" s="1"/>
  <c r="AN2731" i="2" s="1"/>
  <c r="AM2756" i="2"/>
  <c r="AM2778" i="2" l="1"/>
  <c r="AO2787" i="2"/>
  <c r="AM2790" i="2"/>
  <c r="AM2779" i="2"/>
  <c r="AM2754" i="2"/>
  <c r="AM2755" i="2" s="1"/>
  <c r="AM2758" i="2" s="1"/>
  <c r="AN2759" i="2" s="1"/>
  <c r="AM2766" i="2"/>
  <c r="AM2767" i="2" l="1"/>
  <c r="AO2801" i="2"/>
  <c r="AM2792" i="2"/>
  <c r="AM2798" i="2" s="1"/>
  <c r="AM2804" i="2"/>
  <c r="AM2793" i="2"/>
  <c r="AM2780" i="2"/>
  <c r="AM2784" i="2"/>
  <c r="AM2768" i="2" l="1"/>
  <c r="AM2769" i="2" s="1"/>
  <c r="AM2772" i="2" s="1"/>
  <c r="AN2773" i="2" s="1"/>
  <c r="AM2807" i="2"/>
  <c r="AO2815" i="2"/>
  <c r="AM2806" i="2"/>
  <c r="AM2818" i="2"/>
  <c r="AM2781" i="2"/>
  <c r="AM2794" i="2"/>
  <c r="AM2808" i="2" l="1"/>
  <c r="AM2809" i="2" s="1"/>
  <c r="AM2782" i="2"/>
  <c r="AM2783" i="2" s="1"/>
  <c r="AM2786" i="2" s="1"/>
  <c r="AN2787" i="2" s="1"/>
  <c r="AM2795" i="2"/>
  <c r="AO2829" i="2"/>
  <c r="AM2820" i="2"/>
  <c r="AM2826" i="2" s="1"/>
  <c r="AM2832" i="2"/>
  <c r="AM2821" i="2"/>
  <c r="AM2812" i="2"/>
  <c r="AM2810" i="2" l="1"/>
  <c r="AM2811" i="2" s="1"/>
  <c r="AM2814" i="2" s="1"/>
  <c r="AN2815" i="2" s="1"/>
  <c r="AM2796" i="2"/>
  <c r="AM2797" i="2" s="1"/>
  <c r="AM2800" i="2" s="1"/>
  <c r="AN2801" i="2" s="1"/>
  <c r="AO2843" i="2"/>
  <c r="AM2834" i="2"/>
  <c r="AM2840" i="2" s="1"/>
  <c r="AM2846" i="2"/>
  <c r="AM2835" i="2"/>
  <c r="AM2822" i="2"/>
  <c r="AM2823" i="2" l="1"/>
  <c r="AM2848" i="2"/>
  <c r="AM2860" i="2"/>
  <c r="AO2857" i="2"/>
  <c r="AM2849" i="2"/>
  <c r="AM2836" i="2"/>
  <c r="AM2824" i="2" l="1"/>
  <c r="AM2825" i="2" s="1"/>
  <c r="AM2828" i="2" s="1"/>
  <c r="AN2829" i="2" s="1"/>
  <c r="AM2837" i="2"/>
  <c r="AM2854" i="2"/>
  <c r="AM2850" i="2"/>
  <c r="AM2862" i="2"/>
  <c r="AM2868" i="2" s="1"/>
  <c r="AM2874" i="2"/>
  <c r="AM2863" i="2"/>
  <c r="AO2871" i="2"/>
  <c r="AM2864" i="2" l="1"/>
  <c r="AM2851" i="2"/>
  <c r="AM2888" i="2"/>
  <c r="AM2877" i="2"/>
  <c r="AO2885" i="2"/>
  <c r="AM2876" i="2"/>
  <c r="AM2838" i="2"/>
  <c r="AM2839" i="2" s="1"/>
  <c r="AM2842" i="2" s="1"/>
  <c r="AN2843" i="2" s="1"/>
  <c r="AM2852" i="2" l="1"/>
  <c r="AM2853" i="2" s="1"/>
  <c r="AM2856" i="2" s="1"/>
  <c r="AN2857" i="2" s="1"/>
  <c r="AM2890" i="2"/>
  <c r="AM2896" i="2" s="1"/>
  <c r="AM2902" i="2"/>
  <c r="AM2891" i="2"/>
  <c r="AO2899" i="2"/>
  <c r="AM2865" i="2"/>
  <c r="AM2878" i="2"/>
  <c r="AM2882" i="2"/>
  <c r="AM2879" i="2" l="1"/>
  <c r="AM2866" i="2"/>
  <c r="AM2867" i="2" s="1"/>
  <c r="AM2870" i="2" s="1"/>
  <c r="AN2871" i="2" s="1"/>
  <c r="AM2904" i="2"/>
  <c r="AM2910" i="2" s="1"/>
  <c r="AM2916" i="2"/>
  <c r="AM2905" i="2"/>
  <c r="AO2913" i="2"/>
  <c r="AM2892" i="2"/>
  <c r="AM2893" i="2" l="1"/>
  <c r="AM2930" i="2"/>
  <c r="AM2919" i="2"/>
  <c r="AO2927" i="2"/>
  <c r="AM2918" i="2"/>
  <c r="AM2906" i="2"/>
  <c r="AM2880" i="2"/>
  <c r="AM2881" i="2" s="1"/>
  <c r="AM2884" i="2" s="1"/>
  <c r="AN2885" i="2" s="1"/>
  <c r="AM2920" i="2" l="1"/>
  <c r="AM2894" i="2"/>
  <c r="AM2895" i="2" s="1"/>
  <c r="AM2898" i="2" s="1"/>
  <c r="AN2899" i="2" s="1"/>
  <c r="AM2944" i="2"/>
  <c r="AM2932" i="2"/>
  <c r="AM2933" i="2"/>
  <c r="AO2941" i="2"/>
  <c r="AM2907" i="2"/>
  <c r="AM2924" i="2"/>
  <c r="AM2921" i="2" l="1"/>
  <c r="AM2922" i="2" s="1"/>
  <c r="AM2923" i="2" s="1"/>
  <c r="AM2934" i="2"/>
  <c r="AM2935" i="2" s="1"/>
  <c r="AM2908" i="2"/>
  <c r="AM2909" i="2" s="1"/>
  <c r="AM2912" i="2" s="1"/>
  <c r="AN2913" i="2" s="1"/>
  <c r="AM2946" i="2"/>
  <c r="AM2952" i="2" s="1"/>
  <c r="AM2958" i="2"/>
  <c r="AM2947" i="2"/>
  <c r="AO2955" i="2"/>
  <c r="AM2938" i="2"/>
  <c r="AM2926" i="2" l="1"/>
  <c r="AN2927" i="2" s="1"/>
  <c r="AM2936" i="2"/>
  <c r="AM2937" i="2" s="1"/>
  <c r="AM2940" i="2" s="1"/>
  <c r="AN2941" i="2" s="1"/>
  <c r="AO2969" i="2"/>
  <c r="AM2972" i="2"/>
  <c r="AM2960" i="2"/>
  <c r="AM2961" i="2"/>
  <c r="AM2948" i="2"/>
  <c r="AM2962" i="2" l="1"/>
  <c r="AM2966" i="2"/>
  <c r="AM2949" i="2"/>
  <c r="AM2974" i="2"/>
  <c r="AM2980" i="2" s="1"/>
  <c r="AO2983" i="2"/>
  <c r="AM2986" i="2"/>
  <c r="AM2975" i="2"/>
  <c r="AM2963" i="2" l="1"/>
  <c r="AM2976" i="2"/>
  <c r="AM2977" i="2" s="1"/>
  <c r="AO2997" i="2"/>
  <c r="AM2988" i="2"/>
  <c r="AM3000" i="2"/>
  <c r="AM2989" i="2"/>
  <c r="AM2950" i="2"/>
  <c r="AM2951" i="2" s="1"/>
  <c r="AM2954" i="2" s="1"/>
  <c r="AN2955" i="2" s="1"/>
  <c r="AM2964" i="2" l="1"/>
  <c r="AM2965" i="2" s="1"/>
  <c r="AM2968" i="2" s="1"/>
  <c r="AN2969" i="2" s="1"/>
  <c r="AM2990" i="2"/>
  <c r="AM2991" i="2" s="1"/>
  <c r="AM2994" i="2"/>
  <c r="AM2978" i="2"/>
  <c r="AM2979" i="2" s="1"/>
  <c r="AM2982" i="2" s="1"/>
  <c r="AN2983" i="2" s="1"/>
  <c r="AM3014" i="2"/>
  <c r="AM3003" i="2"/>
  <c r="AO3011" i="2"/>
  <c r="AM3002" i="2"/>
  <c r="AM3008" i="2" s="1"/>
  <c r="AM3028" i="2" l="1"/>
  <c r="AM3017" i="2"/>
  <c r="AO3025" i="2"/>
  <c r="AM3016" i="2"/>
  <c r="AM3004" i="2"/>
  <c r="AM2992" i="2"/>
  <c r="AM2993" i="2" s="1"/>
  <c r="AM2996" i="2" s="1"/>
  <c r="AN2997" i="2" s="1"/>
  <c r="AM3005" i="2" l="1"/>
  <c r="AM3042" i="2"/>
  <c r="AM3031" i="2"/>
  <c r="AO3039" i="2"/>
  <c r="AM3030" i="2"/>
  <c r="AM3036" i="2" s="1"/>
  <c r="AM3018" i="2"/>
  <c r="AM3022" i="2"/>
  <c r="AM3032" i="2" l="1"/>
  <c r="AM3033" i="2" s="1"/>
  <c r="AM3006" i="2"/>
  <c r="AM3007" i="2" s="1"/>
  <c r="AM3010" i="2" s="1"/>
  <c r="AN3011" i="2" s="1"/>
  <c r="AM3044" i="2"/>
  <c r="AM3050" i="2" s="1"/>
  <c r="AM3056" i="2"/>
  <c r="AM3045" i="2"/>
  <c r="AO3053" i="2"/>
  <c r="AM3019" i="2"/>
  <c r="AM3046" i="2" l="1"/>
  <c r="AM3070" i="2"/>
  <c r="AM3058" i="2"/>
  <c r="AM3064" i="2" s="1"/>
  <c r="AM3059" i="2"/>
  <c r="AO3067" i="2"/>
  <c r="AM3020" i="2"/>
  <c r="AM3021" i="2" s="1"/>
  <c r="AM3024" i="2" s="1"/>
  <c r="AN3025" i="2" s="1"/>
  <c r="AM3034" i="2"/>
  <c r="AM3035" i="2" s="1"/>
  <c r="AM3038" i="2" s="1"/>
  <c r="AN3039" i="2" s="1"/>
  <c r="AM3047" i="2" l="1"/>
  <c r="AM3048" i="2" s="1"/>
  <c r="AM3049" i="2" s="1"/>
  <c r="AM3072" i="2"/>
  <c r="AM3078" i="2" s="1"/>
  <c r="AM3084" i="2"/>
  <c r="AO3081" i="2"/>
  <c r="AM3073" i="2"/>
  <c r="AM3060" i="2"/>
  <c r="AM3052" i="2" l="1"/>
  <c r="AN3053" i="2" s="1"/>
  <c r="AM3074" i="2"/>
  <c r="AM3098" i="2"/>
  <c r="AO3095" i="2"/>
  <c r="AM3086" i="2"/>
  <c r="AM3087" i="2"/>
  <c r="AM3061" i="2"/>
  <c r="AM3088" i="2" l="1"/>
  <c r="AM3089" i="2" s="1"/>
  <c r="AM3092" i="2"/>
  <c r="AM3075" i="2"/>
  <c r="AM3100" i="2"/>
  <c r="AO3109" i="2"/>
  <c r="AM3112" i="2"/>
  <c r="AM3101" i="2"/>
  <c r="AM3062" i="2"/>
  <c r="AM3063" i="2" s="1"/>
  <c r="AM3066" i="2" s="1"/>
  <c r="AN3067" i="2" s="1"/>
  <c r="AM3115" i="2" l="1"/>
  <c r="AM3126" i="2"/>
  <c r="AO3123" i="2"/>
  <c r="AM3114" i="2"/>
  <c r="AM3120" i="2" s="1"/>
  <c r="AM3076" i="2"/>
  <c r="AM3077" i="2" s="1"/>
  <c r="AM3080" i="2" s="1"/>
  <c r="AN3081" i="2" s="1"/>
  <c r="AM3090" i="2"/>
  <c r="AM3091" i="2" s="1"/>
  <c r="AM3094" i="2" s="1"/>
  <c r="AN3095" i="2" s="1"/>
  <c r="AM3102" i="2"/>
  <c r="AM3106" i="2"/>
  <c r="AM3103" i="2" l="1"/>
  <c r="AM3128" i="2"/>
  <c r="AM3134" i="2" s="1"/>
  <c r="AM3140" i="2"/>
  <c r="AM3129" i="2"/>
  <c r="AO3137" i="2"/>
  <c r="AM3116" i="2"/>
  <c r="AM3104" i="2" l="1"/>
  <c r="AM3105" i="2" s="1"/>
  <c r="AM3108" i="2" s="1"/>
  <c r="AN3109" i="2" s="1"/>
  <c r="AM3117" i="2"/>
  <c r="AO3151" i="2"/>
  <c r="AM3142" i="2"/>
  <c r="AM3154" i="2"/>
  <c r="AM3143" i="2"/>
  <c r="AM3130" i="2"/>
  <c r="AM3144" i="2" l="1"/>
  <c r="AM3145" i="2" s="1"/>
  <c r="AM3131" i="2"/>
  <c r="AM3148" i="2"/>
  <c r="AM3156" i="2"/>
  <c r="AM3168" i="2"/>
  <c r="AM3157" i="2"/>
  <c r="AO3165" i="2"/>
  <c r="AM3118" i="2"/>
  <c r="AM3119" i="2" s="1"/>
  <c r="AM3122" i="2" s="1"/>
  <c r="AN3123" i="2" s="1"/>
  <c r="AM3158" i="2" l="1"/>
  <c r="AM3132" i="2"/>
  <c r="AM3133" i="2" s="1"/>
  <c r="AM3136" i="2" s="1"/>
  <c r="AN3137" i="2" s="1"/>
  <c r="AM3162" i="2"/>
  <c r="AM3182" i="2"/>
  <c r="AO3179" i="2"/>
  <c r="AM3170" i="2"/>
  <c r="AM3176" i="2" s="1"/>
  <c r="AM3171" i="2"/>
  <c r="AM3146" i="2"/>
  <c r="AM3147" i="2" s="1"/>
  <c r="AM3150" i="2" s="1"/>
  <c r="AN3151" i="2" s="1"/>
  <c r="AM3159" i="2" l="1"/>
  <c r="AM3172" i="2"/>
  <c r="AM3196" i="2"/>
  <c r="AM3185" i="2"/>
  <c r="AO3193" i="2"/>
  <c r="AM3184" i="2"/>
  <c r="AM3160" i="2" l="1"/>
  <c r="AM3161" i="2" s="1"/>
  <c r="AM3164" i="2" s="1"/>
  <c r="AN3165" i="2" s="1"/>
  <c r="AM3173" i="2"/>
  <c r="AM3186" i="2"/>
  <c r="AM3198" i="2"/>
  <c r="AM3210" i="2"/>
  <c r="AM3199" i="2"/>
  <c r="AO3207" i="2"/>
  <c r="AM3190" i="2"/>
  <c r="AM3200" i="2" l="1"/>
  <c r="AM3174" i="2"/>
  <c r="AM3175" i="2" s="1"/>
  <c r="AM3178" i="2" s="1"/>
  <c r="AN3179" i="2" s="1"/>
  <c r="AM3187" i="2"/>
  <c r="AO3221" i="2"/>
  <c r="AM3212" i="2"/>
  <c r="AM3224" i="2"/>
  <c r="AM3213" i="2"/>
  <c r="AM3204" i="2"/>
  <c r="AM3214" i="2" l="1"/>
  <c r="AM3215" i="2" s="1"/>
  <c r="AM3201" i="2"/>
  <c r="AM3202" i="2" s="1"/>
  <c r="AM3203" i="2" s="1"/>
  <c r="AM3238" i="2"/>
  <c r="AM3227" i="2"/>
  <c r="AO3235" i="2"/>
  <c r="AM3226" i="2"/>
  <c r="AM3232" i="2" s="1"/>
  <c r="AM3188" i="2"/>
  <c r="AM3189" i="2" s="1"/>
  <c r="AM3192" i="2" s="1"/>
  <c r="AN3193" i="2" s="1"/>
  <c r="AM3218" i="2"/>
  <c r="AM3206" i="2" l="1"/>
  <c r="AN3207" i="2" s="1"/>
  <c r="AM3241" i="2"/>
  <c r="AM3240" i="2"/>
  <c r="AM3246" i="2" s="1"/>
  <c r="AM3252" i="2"/>
  <c r="AO3249" i="2"/>
  <c r="AM3216" i="2"/>
  <c r="AM3217" i="2" s="1"/>
  <c r="AM3220" i="2" s="1"/>
  <c r="AN3221" i="2" s="1"/>
  <c r="AM3228" i="2"/>
  <c r="AM3242" i="2" l="1"/>
  <c r="AO3263" i="2"/>
  <c r="AM3266" i="2"/>
  <c r="AM3255" i="2"/>
  <c r="AM3254" i="2"/>
  <c r="AM3229" i="2"/>
  <c r="AM3256" i="2" l="1"/>
  <c r="AM3257" i="2" s="1"/>
  <c r="AM3243" i="2"/>
  <c r="AM3230" i="2"/>
  <c r="AM3231" i="2" s="1"/>
  <c r="AM3234" i="2" s="1"/>
  <c r="AN3235" i="2" s="1"/>
  <c r="AO3277" i="2"/>
  <c r="AM3268" i="2"/>
  <c r="AM3274" i="2" s="1"/>
  <c r="AM3280" i="2"/>
  <c r="AM3269" i="2"/>
  <c r="AM3260" i="2"/>
  <c r="AM3258" i="2" l="1"/>
  <c r="AM3259" i="2" s="1"/>
  <c r="AM3262" i="2" s="1"/>
  <c r="AN3263" i="2" s="1"/>
  <c r="AM3294" i="2"/>
  <c r="AM3283" i="2"/>
  <c r="AO3291" i="2"/>
  <c r="AM3282" i="2"/>
  <c r="AM3244" i="2"/>
  <c r="AM3245" i="2" s="1"/>
  <c r="AM3248" i="2" s="1"/>
  <c r="AN3249" i="2" s="1"/>
  <c r="AM3270" i="2"/>
  <c r="AO3305" i="2" l="1"/>
  <c r="AM3296" i="2"/>
  <c r="AM3302" i="2" s="1"/>
  <c r="AM3308" i="2"/>
  <c r="AM3297" i="2"/>
  <c r="AM3271" i="2"/>
  <c r="AM3288" i="2"/>
  <c r="AM3284" i="2"/>
  <c r="AM3285" i="2" l="1"/>
  <c r="AM3272" i="2"/>
  <c r="AM3273" i="2" s="1"/>
  <c r="AM3276" i="2" s="1"/>
  <c r="AN3277" i="2" s="1"/>
  <c r="AM3298" i="2"/>
  <c r="AM3322" i="2"/>
  <c r="AM3311" i="2"/>
  <c r="AO3319" i="2"/>
  <c r="AM3310" i="2"/>
  <c r="AM3312" i="2" l="1"/>
  <c r="AM3313" i="2" s="1"/>
  <c r="AM3299" i="2"/>
  <c r="AM3286" i="2"/>
  <c r="AM3287" i="2" s="1"/>
  <c r="AM3290" i="2" s="1"/>
  <c r="AN3291" i="2" s="1"/>
  <c r="AM3325" i="2"/>
  <c r="AO3333" i="2"/>
  <c r="AM3324" i="2"/>
  <c r="AM3336" i="2"/>
  <c r="AM3316" i="2"/>
  <c r="AO3347" i="2" l="1"/>
  <c r="AM3338" i="2"/>
  <c r="AM3350" i="2"/>
  <c r="AM3339" i="2"/>
  <c r="AM3330" i="2"/>
  <c r="AM3326" i="2"/>
  <c r="AM3314" i="2"/>
  <c r="AM3315" i="2" s="1"/>
  <c r="AM3318" i="2" s="1"/>
  <c r="AN3319" i="2" s="1"/>
  <c r="AM3300" i="2"/>
  <c r="AM3301" i="2" s="1"/>
  <c r="AM3304" i="2" s="1"/>
  <c r="AN3305" i="2" s="1"/>
  <c r="AM3340" i="2" l="1"/>
  <c r="AM3341" i="2" s="1"/>
  <c r="AM3344" i="2"/>
  <c r="AM3327" i="2"/>
  <c r="AM3364" i="2"/>
  <c r="AM3353" i="2"/>
  <c r="AO3361" i="2"/>
  <c r="AM3352" i="2"/>
  <c r="AM3354" i="2" l="1"/>
  <c r="AM3355" i="2" s="1"/>
  <c r="AM3358" i="2"/>
  <c r="AM3342" i="2"/>
  <c r="AM3343" i="2" s="1"/>
  <c r="AM3346" i="2" s="1"/>
  <c r="AN3347" i="2" s="1"/>
  <c r="AM3366" i="2"/>
  <c r="AM3378" i="2"/>
  <c r="AM3367" i="2"/>
  <c r="AO3375" i="2"/>
  <c r="AM3328" i="2"/>
  <c r="AM3329" i="2" s="1"/>
  <c r="AM3332" i="2" s="1"/>
  <c r="AN3333" i="2" s="1"/>
  <c r="AM3372" i="2" l="1"/>
  <c r="AM3368" i="2"/>
  <c r="AO3389" i="2"/>
  <c r="AM3381" i="2"/>
  <c r="AM3380" i="2"/>
  <c r="AM3392" i="2"/>
  <c r="AM3356" i="2"/>
  <c r="AM3357" i="2" s="1"/>
  <c r="AM3360" i="2" s="1"/>
  <c r="AN3361" i="2" s="1"/>
  <c r="AM3382" i="2" l="1"/>
  <c r="AM3386" i="2"/>
  <c r="AM3394" i="2"/>
  <c r="AM3400" i="2" s="1"/>
  <c r="AM3406" i="2"/>
  <c r="AM3395" i="2"/>
  <c r="AO3403" i="2"/>
  <c r="AM3369" i="2"/>
  <c r="AM3383" i="2" l="1"/>
  <c r="AM3384" i="2" s="1"/>
  <c r="AM3385" i="2" s="1"/>
  <c r="AM3370" i="2"/>
  <c r="AM3371" i="2" s="1"/>
  <c r="AM3374" i="2" s="1"/>
  <c r="AN3375" i="2" s="1"/>
  <c r="AO3417" i="2"/>
  <c r="AM3420" i="2"/>
  <c r="AM3409" i="2"/>
  <c r="AM3408" i="2"/>
  <c r="AM3396" i="2"/>
  <c r="AM3388" i="2" l="1"/>
  <c r="AN3389" i="2" s="1"/>
  <c r="AM3397" i="2"/>
  <c r="AM3414" i="2"/>
  <c r="AM3410" i="2"/>
  <c r="AM3422" i="2"/>
  <c r="AO3431" i="2"/>
  <c r="AM3434" i="2"/>
  <c r="AM3423" i="2"/>
  <c r="AM3424" i="2" l="1"/>
  <c r="AM3425" i="2" s="1"/>
  <c r="AM3428" i="2"/>
  <c r="AM3398" i="2"/>
  <c r="AM3399" i="2" s="1"/>
  <c r="AM3402" i="2" s="1"/>
  <c r="AN3403" i="2" s="1"/>
  <c r="AM3448" i="2"/>
  <c r="AM3437" i="2"/>
  <c r="AO3445" i="2"/>
  <c r="AM3436" i="2"/>
  <c r="AM3411" i="2"/>
  <c r="AM3438" i="2" l="1"/>
  <c r="AM3426" i="2"/>
  <c r="AM3427" i="2" s="1"/>
  <c r="AM3430" i="2" s="1"/>
  <c r="AN3431" i="2" s="1"/>
  <c r="AM3412" i="2"/>
  <c r="AM3413" i="2" s="1"/>
  <c r="AM3416" i="2" s="1"/>
  <c r="AN3417" i="2" s="1"/>
  <c r="AM3442" i="2"/>
  <c r="AM3462" i="2"/>
  <c r="AM3451" i="2"/>
  <c r="AO3459" i="2"/>
  <c r="AM3450" i="2"/>
  <c r="AM3439" i="2" l="1"/>
  <c r="AM3452" i="2"/>
  <c r="AM3464" i="2"/>
  <c r="AM3470" i="2" s="1"/>
  <c r="AO3473" i="2"/>
  <c r="AM3465" i="2"/>
  <c r="AM3476" i="2"/>
  <c r="AM3456" i="2"/>
  <c r="AM3440" i="2" l="1"/>
  <c r="AM3441" i="2" s="1"/>
  <c r="AM3444" i="2" s="1"/>
  <c r="AN3445" i="2" s="1"/>
  <c r="AM3453" i="2"/>
  <c r="AO3487" i="2"/>
  <c r="AM3479" i="2"/>
  <c r="AM3478" i="2"/>
  <c r="AM3490" i="2"/>
  <c r="AM3466" i="2"/>
  <c r="AM3480" i="2" l="1"/>
  <c r="AO3501" i="2"/>
  <c r="AM3493" i="2"/>
  <c r="AM3492" i="2"/>
  <c r="AM3504" i="2"/>
  <c r="AM3454" i="2"/>
  <c r="AM3455" i="2" s="1"/>
  <c r="AM3458" i="2" s="1"/>
  <c r="AN3459" i="2" s="1"/>
  <c r="AM3467" i="2"/>
  <c r="AM3484" i="2"/>
  <c r="AM3494" i="2" l="1"/>
  <c r="AM3481" i="2"/>
  <c r="AM3482" i="2" s="1"/>
  <c r="AM3483" i="2" s="1"/>
  <c r="AM3498" i="2"/>
  <c r="AM3468" i="2"/>
  <c r="AM3469" i="2" s="1"/>
  <c r="AM3472" i="2" s="1"/>
  <c r="AN3473" i="2" s="1"/>
  <c r="AO3515" i="2"/>
  <c r="AM3506" i="2"/>
  <c r="AM3518" i="2"/>
  <c r="AM3507" i="2"/>
  <c r="AM3495" i="2" l="1"/>
  <c r="AM3486" i="2"/>
  <c r="AN3487" i="2" s="1"/>
  <c r="AM3508" i="2"/>
  <c r="AM3509" i="2" s="1"/>
  <c r="AM3520" i="2"/>
  <c r="AM3526" i="2" s="1"/>
  <c r="AM3532" i="2"/>
  <c r="AM3521" i="2"/>
  <c r="AO3529" i="2"/>
  <c r="AM3512" i="2"/>
  <c r="AM3496" i="2" l="1"/>
  <c r="AM3497" i="2" s="1"/>
  <c r="AM3500" i="2" s="1"/>
  <c r="AN3501" i="2" s="1"/>
  <c r="AM3522" i="2"/>
  <c r="AM3523" i="2" s="1"/>
  <c r="AM3534" i="2"/>
  <c r="AM3546" i="2"/>
  <c r="AO3543" i="2"/>
  <c r="AM3535" i="2"/>
  <c r="AM3510" i="2"/>
  <c r="AM3511" i="2" s="1"/>
  <c r="AM3514" i="2" s="1"/>
  <c r="AN3515" i="2" s="1"/>
  <c r="AM3524" i="2" l="1"/>
  <c r="AM3525" i="2" s="1"/>
  <c r="AM3528" i="2" s="1"/>
  <c r="AN3529" i="2" s="1"/>
  <c r="AM3536" i="2"/>
  <c r="AM3549" i="2"/>
  <c r="AM3560" i="2"/>
  <c r="AM3548" i="2"/>
  <c r="AO3557" i="2"/>
  <c r="AM3540" i="2"/>
  <c r="AM3550" i="2" l="1"/>
  <c r="AM3551" i="2" s="1"/>
  <c r="AO3571" i="2"/>
  <c r="AM3574" i="2"/>
  <c r="AM3563" i="2"/>
  <c r="AM3562" i="2"/>
  <c r="AM3537" i="2"/>
  <c r="AM3554" i="2"/>
  <c r="AM3564" i="2" l="1"/>
  <c r="AM3565" i="2" s="1"/>
  <c r="AM3568" i="2"/>
  <c r="AM3552" i="2"/>
  <c r="AM3553" i="2" s="1"/>
  <c r="AM3556" i="2" s="1"/>
  <c r="AN3557" i="2" s="1"/>
  <c r="AM3576" i="2"/>
  <c r="AM3582" i="2" s="1"/>
  <c r="AM3588" i="2"/>
  <c r="AO3585" i="2"/>
  <c r="AM3577" i="2"/>
  <c r="AM3538" i="2"/>
  <c r="AM3539" i="2" s="1"/>
  <c r="AM3542" i="2" s="1"/>
  <c r="AN3543" i="2" s="1"/>
  <c r="AM3578" i="2" l="1"/>
  <c r="AM3579" i="2" s="1"/>
  <c r="AM3566" i="2"/>
  <c r="AM3567" i="2" s="1"/>
  <c r="AM3570" i="2" s="1"/>
  <c r="AN3571" i="2" s="1"/>
  <c r="AM3602" i="2"/>
  <c r="AO3599" i="2"/>
  <c r="AM3591" i="2"/>
  <c r="AM3590" i="2"/>
  <c r="AM3596" i="2" s="1"/>
  <c r="AO3613" i="2" l="1"/>
  <c r="AM3605" i="2"/>
  <c r="AM3604" i="2"/>
  <c r="AM3610" i="2" s="1"/>
  <c r="AM3616" i="2"/>
  <c r="AM3580" i="2"/>
  <c r="AM3581" i="2" s="1"/>
  <c r="AM3584" i="2" s="1"/>
  <c r="AN3585" i="2" s="1"/>
  <c r="AM3592" i="2"/>
  <c r="AM3593" i="2" l="1"/>
  <c r="AM3619" i="2"/>
  <c r="AM3618" i="2"/>
  <c r="AM3624" i="2" s="1"/>
  <c r="AM3630" i="2"/>
  <c r="AO3627" i="2"/>
  <c r="AM3606" i="2"/>
  <c r="AM3594" i="2" l="1"/>
  <c r="AM3595" i="2" s="1"/>
  <c r="AM3598" i="2" s="1"/>
  <c r="AN3599" i="2" s="1"/>
  <c r="AM3644" i="2"/>
  <c r="AO3641" i="2"/>
  <c r="AM3633" i="2"/>
  <c r="AM3632" i="2"/>
  <c r="AM3607" i="2"/>
  <c r="AM3620" i="2"/>
  <c r="AM3621" i="2" l="1"/>
  <c r="AM3608" i="2"/>
  <c r="AM3609" i="2" s="1"/>
  <c r="AM3612" i="2" s="1"/>
  <c r="AN3613" i="2" s="1"/>
  <c r="AM3646" i="2"/>
  <c r="AM3658" i="2"/>
  <c r="AM3647" i="2"/>
  <c r="AO3655" i="2"/>
  <c r="AM3634" i="2"/>
  <c r="AM3638" i="2"/>
  <c r="AM3648" i="2" l="1"/>
  <c r="AM3672" i="2"/>
  <c r="AM3660" i="2"/>
  <c r="AM3666" i="2" s="1"/>
  <c r="AO3669" i="2"/>
  <c r="AM3661" i="2"/>
  <c r="AM3622" i="2"/>
  <c r="AM3623" i="2" s="1"/>
  <c r="AM3626" i="2" s="1"/>
  <c r="AN3627" i="2" s="1"/>
  <c r="AM3635" i="2"/>
  <c r="AM3652" i="2"/>
  <c r="AM3649" i="2" l="1"/>
  <c r="AM3636" i="2"/>
  <c r="AM3637" i="2" s="1"/>
  <c r="AM3640" i="2" s="1"/>
  <c r="AN3641" i="2" s="1"/>
  <c r="AO3683" i="2"/>
  <c r="AM3674" i="2"/>
  <c r="AM3680" i="2" s="1"/>
  <c r="AM3675" i="2"/>
  <c r="AM3686" i="2"/>
  <c r="AM3662" i="2"/>
  <c r="AM3650" i="2" l="1"/>
  <c r="AM3651" i="2" s="1"/>
  <c r="AM3654" i="2" s="1"/>
  <c r="AN3655" i="2" s="1"/>
  <c r="AM3663" i="2"/>
  <c r="AM3689" i="2"/>
  <c r="AM3700" i="2"/>
  <c r="AO3697" i="2"/>
  <c r="AM3688" i="2"/>
  <c r="AM3676" i="2"/>
  <c r="AM3690" i="2" l="1"/>
  <c r="AM3691" i="2" s="1"/>
  <c r="AM3664" i="2"/>
  <c r="AM3665" i="2" s="1"/>
  <c r="AM3668" i="2" s="1"/>
  <c r="AN3669" i="2" s="1"/>
  <c r="AM3703" i="2"/>
  <c r="AO3711" i="2"/>
  <c r="AM3702" i="2"/>
  <c r="AM3714" i="2"/>
  <c r="AM3677" i="2"/>
  <c r="AM3694" i="2"/>
  <c r="AM3704" i="2" l="1"/>
  <c r="AM3705" i="2" s="1"/>
  <c r="AM3678" i="2"/>
  <c r="AM3679" i="2" s="1"/>
  <c r="AM3682" i="2" s="1"/>
  <c r="AN3683" i="2" s="1"/>
  <c r="AO3725" i="2"/>
  <c r="AM3728" i="2"/>
  <c r="AM3717" i="2"/>
  <c r="AM3716" i="2"/>
  <c r="AM3692" i="2"/>
  <c r="AM3693" i="2" s="1"/>
  <c r="AM3696" i="2" s="1"/>
  <c r="AN3697" i="2" s="1"/>
  <c r="AM3708" i="2"/>
  <c r="AM3718" i="2" l="1"/>
  <c r="AM3719" i="2" s="1"/>
  <c r="AM3731" i="2"/>
  <c r="AM3730" i="2"/>
  <c r="AM3742" i="2"/>
  <c r="AO3739" i="2"/>
  <c r="AM3706" i="2"/>
  <c r="AM3707" i="2" s="1"/>
  <c r="AM3710" i="2" s="1"/>
  <c r="AN3711" i="2" s="1"/>
  <c r="AM3722" i="2"/>
  <c r="AM3720" i="2" l="1"/>
  <c r="AM3721" i="2" s="1"/>
  <c r="AM3724" i="2" s="1"/>
  <c r="AN3725" i="2" s="1"/>
  <c r="AM3732" i="2"/>
  <c r="AM3745" i="2"/>
  <c r="AM3744" i="2"/>
  <c r="AO3753" i="2"/>
  <c r="AM3756" i="2"/>
  <c r="AM3736" i="2"/>
  <c r="AM3733" i="2" l="1"/>
  <c r="AM3758" i="2"/>
  <c r="AM3764" i="2" s="1"/>
  <c r="AM3770" i="2"/>
  <c r="AM3759" i="2"/>
  <c r="AO3767" i="2"/>
  <c r="AM3746" i="2"/>
  <c r="AM3750" i="2"/>
  <c r="AM3734" i="2" l="1"/>
  <c r="AM3735" i="2" s="1"/>
  <c r="AM3738" i="2" s="1"/>
  <c r="AN3739" i="2" s="1"/>
  <c r="AM3747" i="2"/>
  <c r="AO3781" i="2"/>
  <c r="AM3772" i="2"/>
  <c r="AM3773" i="2"/>
  <c r="AM3784" i="2"/>
  <c r="AM3760" i="2"/>
  <c r="AM3774" i="2" l="1"/>
  <c r="AM3775" i="2" s="1"/>
  <c r="AM3761" i="2"/>
  <c r="AM3778" i="2"/>
  <c r="AM3748" i="2"/>
  <c r="AM3749" i="2" s="1"/>
  <c r="AM3752" i="2" s="1"/>
  <c r="AN3753" i="2" s="1"/>
  <c r="AM3787" i="2"/>
  <c r="AO3795" i="2"/>
  <c r="AM3786" i="2"/>
  <c r="AM3798" i="2"/>
  <c r="AM3788" i="2" l="1"/>
  <c r="AM3789" i="2" s="1"/>
  <c r="AM3792" i="2"/>
  <c r="AM3762" i="2"/>
  <c r="AM3763" i="2" s="1"/>
  <c r="AM3766" i="2" s="1"/>
  <c r="AN3767" i="2" s="1"/>
  <c r="AM3776" i="2"/>
  <c r="AM3777" i="2" s="1"/>
  <c r="AM3780" i="2" s="1"/>
  <c r="AN3781" i="2" s="1"/>
  <c r="AM3800" i="2"/>
  <c r="AM3806" i="2" s="1"/>
  <c r="AM3812" i="2"/>
  <c r="AO3809" i="2"/>
  <c r="AM3801" i="2"/>
  <c r="AM3826" i="2" l="1"/>
  <c r="AO3823" i="2"/>
  <c r="AM3815" i="2"/>
  <c r="AM3814" i="2"/>
  <c r="AM3790" i="2"/>
  <c r="AM3791" i="2" s="1"/>
  <c r="AM3794" i="2" s="1"/>
  <c r="AN3795" i="2" s="1"/>
  <c r="AM3802" i="2"/>
  <c r="AM3816" i="2" l="1"/>
  <c r="AM3828" i="2"/>
  <c r="AM3840" i="2"/>
  <c r="AO3837" i="2"/>
  <c r="AM3829" i="2"/>
  <c r="AM3820" i="2"/>
  <c r="AM3803" i="2"/>
  <c r="AM3817" i="2" l="1"/>
  <c r="AM3818" i="2" s="1"/>
  <c r="AM3819" i="2" s="1"/>
  <c r="AM3822" i="2" s="1"/>
  <c r="AN3823" i="2" s="1"/>
  <c r="AM3804" i="2"/>
  <c r="AM3805" i="2" s="1"/>
  <c r="AM3808" i="2" s="1"/>
  <c r="AN3809" i="2" s="1"/>
  <c r="AO3851" i="2"/>
  <c r="AM3854" i="2"/>
  <c r="AM3843" i="2"/>
  <c r="AM3842" i="2"/>
  <c r="AM3830" i="2"/>
  <c r="AM3834" i="2"/>
  <c r="AM3831" i="2" l="1"/>
  <c r="AM3857" i="2"/>
  <c r="AO3865" i="2"/>
  <c r="AM3856" i="2"/>
  <c r="AM3868" i="2"/>
  <c r="AM3844" i="2"/>
  <c r="AM3848" i="2"/>
  <c r="AM3858" i="2" l="1"/>
  <c r="AM3832" i="2"/>
  <c r="AM3833" i="2" s="1"/>
  <c r="AM3836" i="2" s="1"/>
  <c r="AN3837" i="2" s="1"/>
  <c r="AO3879" i="2"/>
  <c r="AM3870" i="2"/>
  <c r="AM3876" i="2" s="1"/>
  <c r="AM3871" i="2"/>
  <c r="AM3882" i="2"/>
  <c r="AM3845" i="2"/>
  <c r="AM3862" i="2"/>
  <c r="AM3859" i="2" l="1"/>
  <c r="AM3860" i="2" s="1"/>
  <c r="AM3861" i="2" s="1"/>
  <c r="AM3872" i="2"/>
  <c r="AM3846" i="2"/>
  <c r="AM3847" i="2" s="1"/>
  <c r="AM3850" i="2" s="1"/>
  <c r="AN3851" i="2" s="1"/>
  <c r="AM3885" i="2"/>
  <c r="AO3893" i="2"/>
  <c r="AM3884" i="2"/>
  <c r="AM3896" i="2"/>
  <c r="AM3864" i="2" l="1"/>
  <c r="AN3865" i="2" s="1"/>
  <c r="AM3873" i="2"/>
  <c r="AM3886" i="2"/>
  <c r="AM3890" i="2"/>
  <c r="AO3907" i="2"/>
  <c r="AM3898" i="2"/>
  <c r="AM3899" i="2"/>
  <c r="AM3910" i="2"/>
  <c r="AM3887" i="2" l="1"/>
  <c r="AM3874" i="2"/>
  <c r="AM3875" i="2" s="1"/>
  <c r="AM3878" i="2" s="1"/>
  <c r="AN3879" i="2" s="1"/>
  <c r="AM3900" i="2"/>
  <c r="AM3924" i="2"/>
  <c r="AO3921" i="2"/>
  <c r="AM3913" i="2"/>
  <c r="AM3912" i="2"/>
  <c r="AM3904" i="2"/>
  <c r="AM3888" i="2" l="1"/>
  <c r="AM3889" i="2" s="1"/>
  <c r="AM3892" i="2" s="1"/>
  <c r="AN3893" i="2" s="1"/>
  <c r="AM3901" i="2"/>
  <c r="AM3902" i="2" s="1"/>
  <c r="AM3903" i="2" s="1"/>
  <c r="AO3935" i="2"/>
  <c r="AM3927" i="2"/>
  <c r="AM3926" i="2"/>
  <c r="AM3938" i="2"/>
  <c r="AM3914" i="2"/>
  <c r="AM3918" i="2"/>
  <c r="AM3928" i="2" l="1"/>
  <c r="AM3929" i="2" s="1"/>
  <c r="AM3906" i="2"/>
  <c r="AN3907" i="2" s="1"/>
  <c r="AO3949" i="2"/>
  <c r="AM3952" i="2"/>
  <c r="AM3941" i="2"/>
  <c r="AM3940" i="2"/>
  <c r="AM3946" i="2" s="1"/>
  <c r="AM3915" i="2"/>
  <c r="AM3932" i="2"/>
  <c r="AM3930" i="2" l="1"/>
  <c r="AM3931" i="2" s="1"/>
  <c r="AM3934" i="2" s="1"/>
  <c r="AN3935" i="2" s="1"/>
  <c r="AM3916" i="2"/>
  <c r="AM3917" i="2" s="1"/>
  <c r="AM3920" i="2" s="1"/>
  <c r="AN3921" i="2" s="1"/>
  <c r="AM3955" i="2"/>
  <c r="AM3954" i="2"/>
  <c r="AM3966" i="2"/>
  <c r="AO3963" i="2"/>
  <c r="AM3942" i="2"/>
  <c r="AM3956" i="2" l="1"/>
  <c r="AM3957" i="2" s="1"/>
  <c r="AM3969" i="2"/>
  <c r="AM3968" i="2"/>
  <c r="AM3974" i="2" s="1"/>
  <c r="AM3980" i="2"/>
  <c r="AO3977" i="2"/>
  <c r="AM3960" i="2"/>
  <c r="AM3943" i="2"/>
  <c r="AM3958" i="2" l="1"/>
  <c r="AM3959" i="2" s="1"/>
  <c r="AM3962" i="2" s="1"/>
  <c r="AN3963" i="2" s="1"/>
  <c r="AM3944" i="2"/>
  <c r="AM3945" i="2" s="1"/>
  <c r="AM3948" i="2" s="1"/>
  <c r="AN3949" i="2" s="1"/>
  <c r="AM3982" i="2"/>
  <c r="AM3988" i="2" s="1"/>
  <c r="AM3994" i="2"/>
  <c r="AO3991" i="2"/>
  <c r="AM3983" i="2"/>
  <c r="AM3970" i="2"/>
  <c r="AM3971" i="2" l="1"/>
  <c r="AM4008" i="2"/>
  <c r="AO4005" i="2"/>
  <c r="AM3997" i="2"/>
  <c r="AM3996" i="2"/>
  <c r="AM3984" i="2"/>
  <c r="AM3972" i="2" l="1"/>
  <c r="AM3973" i="2" s="1"/>
  <c r="AM3976" i="2" s="1"/>
  <c r="AN3977" i="2" s="1"/>
  <c r="AM3985" i="2"/>
  <c r="AM4010" i="2"/>
  <c r="AM4022" i="2"/>
  <c r="AM4011" i="2"/>
  <c r="AO4019" i="2"/>
  <c r="AM3998" i="2"/>
  <c r="AM4002" i="2"/>
  <c r="AM4012" i="2" l="1"/>
  <c r="AM4013" i="2" s="1"/>
  <c r="AM4024" i="2"/>
  <c r="AM4030" i="2" s="1"/>
  <c r="AM4036" i="2"/>
  <c r="AO4033" i="2"/>
  <c r="AM4025" i="2"/>
  <c r="AM3999" i="2"/>
  <c r="AM3986" i="2"/>
  <c r="AM3987" i="2" s="1"/>
  <c r="AM3990" i="2" s="1"/>
  <c r="AN3991" i="2" s="1"/>
  <c r="AM4016" i="2"/>
  <c r="AM4000" i="2" l="1"/>
  <c r="AM4001" i="2" s="1"/>
  <c r="AM4004" i="2" s="1"/>
  <c r="AN4005" i="2" s="1"/>
  <c r="AM4014" i="2"/>
  <c r="AM4015" i="2" s="1"/>
  <c r="AM4018" i="2" s="1"/>
  <c r="AN4019" i="2" s="1"/>
  <c r="AM4026" i="2"/>
  <c r="AM4039" i="2"/>
  <c r="AM4038" i="2"/>
  <c r="AM4044" i="2" s="1"/>
  <c r="AO4047" i="2"/>
  <c r="AM4050" i="2"/>
  <c r="AM4053" i="2" l="1"/>
  <c r="AM4052" i="2"/>
  <c r="AM4058" i="2" s="1"/>
  <c r="AO4061" i="2"/>
  <c r="AM4064" i="2"/>
  <c r="AM4027" i="2"/>
  <c r="AM4040" i="2"/>
  <c r="AO4075" i="2" l="1"/>
  <c r="AM4078" i="2"/>
  <c r="AM4067" i="2"/>
  <c r="AM4066" i="2"/>
  <c r="AM4028" i="2"/>
  <c r="AM4029" i="2" s="1"/>
  <c r="AM4032" i="2" s="1"/>
  <c r="AN4033" i="2" s="1"/>
  <c r="AM4041" i="2"/>
  <c r="AM4054" i="2"/>
  <c r="AM4068" i="2" l="1"/>
  <c r="AM4055" i="2"/>
  <c r="AM4080" i="2"/>
  <c r="AM4092" i="2"/>
  <c r="AM4081" i="2"/>
  <c r="AO4089" i="2"/>
  <c r="AM4042" i="2"/>
  <c r="AM4043" i="2" s="1"/>
  <c r="AM4046" i="2" s="1"/>
  <c r="AN4047" i="2" s="1"/>
  <c r="AM4072" i="2"/>
  <c r="AM4082" i="2" l="1"/>
  <c r="AM4083" i="2" s="1"/>
  <c r="AM4069" i="2"/>
  <c r="AO4103" i="2"/>
  <c r="AM4106" i="2"/>
  <c r="AM4095" i="2"/>
  <c r="AM4094" i="2"/>
  <c r="AM4100" i="2" s="1"/>
  <c r="AM4056" i="2"/>
  <c r="AM4057" i="2" s="1"/>
  <c r="AM4060" i="2" s="1"/>
  <c r="AN4061" i="2" s="1"/>
  <c r="AM4086" i="2"/>
  <c r="AM4070" i="2" l="1"/>
  <c r="AM4071" i="2" s="1"/>
  <c r="AM4074" i="2" s="1"/>
  <c r="AN4075" i="2" s="1"/>
  <c r="AM4084" i="2"/>
  <c r="AM4085" i="2" s="1"/>
  <c r="AM4088" i="2" s="1"/>
  <c r="AN4089" i="2" s="1"/>
  <c r="AM4096" i="2"/>
  <c r="AM4109" i="2"/>
  <c r="AM4108" i="2"/>
  <c r="AM4114" i="2" s="1"/>
  <c r="AM4120" i="2"/>
  <c r="AO4117" i="2"/>
  <c r="AM4110" i="2" l="1"/>
  <c r="AM4097" i="2"/>
  <c r="AM4123" i="2"/>
  <c r="AM4134" i="2"/>
  <c r="AO4131" i="2"/>
  <c r="AM4122" i="2"/>
  <c r="AM4111" i="2" l="1"/>
  <c r="AM4124" i="2"/>
  <c r="AM4125" i="2" s="1"/>
  <c r="AM4136" i="2"/>
  <c r="AM4142" i="2" s="1"/>
  <c r="AM4148" i="2"/>
  <c r="AO4145" i="2"/>
  <c r="AM4137" i="2"/>
  <c r="AM4098" i="2"/>
  <c r="AM4099" i="2" s="1"/>
  <c r="AM4102" i="2" s="1"/>
  <c r="AN4103" i="2" s="1"/>
  <c r="AM4128" i="2"/>
  <c r="AM4112" i="2" l="1"/>
  <c r="AM4113" i="2" s="1"/>
  <c r="AM4116" i="2" s="1"/>
  <c r="AN4117" i="2" s="1"/>
  <c r="AM4126" i="2"/>
  <c r="AM4127" i="2" s="1"/>
  <c r="AM4130" i="2" s="1"/>
  <c r="AN4131" i="2" s="1"/>
  <c r="AM4138" i="2"/>
  <c r="AM4151" i="2"/>
  <c r="AM4150" i="2"/>
  <c r="AM4162" i="2"/>
  <c r="AO4159" i="2"/>
  <c r="AM4152" i="2" l="1"/>
  <c r="AM4153" i="2" s="1"/>
  <c r="AM4156" i="2"/>
  <c r="AM4139" i="2"/>
  <c r="AM4164" i="2"/>
  <c r="AM4170" i="2" s="1"/>
  <c r="AM4176" i="2"/>
  <c r="AO4173" i="2"/>
  <c r="AM4165" i="2"/>
  <c r="AM4166" i="2" l="1"/>
  <c r="AM4190" i="2"/>
  <c r="AO4187" i="2"/>
  <c r="AM4179" i="2"/>
  <c r="AM4178" i="2"/>
  <c r="AM4184" i="2" s="1"/>
  <c r="AM4154" i="2"/>
  <c r="AM4155" i="2" s="1"/>
  <c r="AM4158" i="2" s="1"/>
  <c r="AN4159" i="2" s="1"/>
  <c r="AM4140" i="2"/>
  <c r="AM4141" i="2" s="1"/>
  <c r="AM4144" i="2" s="1"/>
  <c r="AN4145" i="2" s="1"/>
  <c r="AM4167" i="2" l="1"/>
  <c r="AM4168" i="2" s="1"/>
  <c r="AM4169" i="2" s="1"/>
  <c r="AM4192" i="2"/>
  <c r="AM4198" i="2" s="1"/>
  <c r="AO4201" i="2"/>
  <c r="AM4193" i="2"/>
  <c r="AM4204" i="2"/>
  <c r="AM4180" i="2"/>
  <c r="AM4172" i="2" l="1"/>
  <c r="AN4173" i="2" s="1"/>
  <c r="AM4206" i="2"/>
  <c r="AM4218" i="2"/>
  <c r="AM4207" i="2"/>
  <c r="AO4215" i="2"/>
  <c r="AM4181" i="2"/>
  <c r="AM4194" i="2"/>
  <c r="AM4208" i="2" l="1"/>
  <c r="AM4220" i="2"/>
  <c r="AM4226" i="2" s="1"/>
  <c r="AM4232" i="2"/>
  <c r="AO4229" i="2"/>
  <c r="AM4221" i="2"/>
  <c r="AM4182" i="2"/>
  <c r="AM4183" i="2" s="1"/>
  <c r="AM4186" i="2" s="1"/>
  <c r="AN4187" i="2" s="1"/>
  <c r="AM4195" i="2"/>
  <c r="AM4212" i="2"/>
  <c r="AM4209" i="2" l="1"/>
  <c r="AM4222" i="2"/>
  <c r="AM4223" i="2" s="1"/>
  <c r="AM4196" i="2"/>
  <c r="AM4197" i="2" s="1"/>
  <c r="AM4200" i="2" s="1"/>
  <c r="AN4201" i="2" s="1"/>
  <c r="AM4235" i="2"/>
  <c r="AO4243" i="2"/>
  <c r="AM4234" i="2"/>
  <c r="AM4246" i="2"/>
  <c r="AM4210" i="2" l="1"/>
  <c r="AM4211" i="2" s="1"/>
  <c r="AM4214" i="2" s="1"/>
  <c r="AN4215" i="2" s="1"/>
  <c r="AM4236" i="2"/>
  <c r="AM4249" i="2"/>
  <c r="AM4248" i="2"/>
  <c r="AO4257" i="2"/>
  <c r="AM4260" i="2"/>
  <c r="AM4224" i="2"/>
  <c r="AM4225" i="2" s="1"/>
  <c r="AM4228" i="2" s="1"/>
  <c r="AN4229" i="2" s="1"/>
  <c r="AM4240" i="2"/>
  <c r="AM4237" i="2" l="1"/>
  <c r="AM4238" i="2" s="1"/>
  <c r="AM4239" i="2" s="1"/>
  <c r="AM4263" i="2"/>
  <c r="AM4262" i="2"/>
  <c r="AM4274" i="2"/>
  <c r="AO4271" i="2"/>
  <c r="AM4250" i="2"/>
  <c r="AM4254" i="2"/>
  <c r="AM4242" i="2" l="1"/>
  <c r="AN4243" i="2" s="1"/>
  <c r="AM4264" i="2"/>
  <c r="AM4277" i="2"/>
  <c r="AO4285" i="2"/>
  <c r="AM4276" i="2"/>
  <c r="AM4288" i="2"/>
  <c r="AM4251" i="2"/>
  <c r="AM4268" i="2"/>
  <c r="AM4278" i="2" l="1"/>
  <c r="AM4279" i="2" s="1"/>
  <c r="AM4265" i="2"/>
  <c r="AM4266" i="2" s="1"/>
  <c r="AM4267" i="2" s="1"/>
  <c r="AM4291" i="2"/>
  <c r="AM4290" i="2"/>
  <c r="AM4296" i="2" s="1"/>
  <c r="AM4302" i="2"/>
  <c r="AO4299" i="2"/>
  <c r="AM4252" i="2"/>
  <c r="AM4253" i="2" s="1"/>
  <c r="AM4256" i="2" s="1"/>
  <c r="AN4257" i="2" s="1"/>
  <c r="AM4282" i="2"/>
  <c r="AM4270" i="2" l="1"/>
  <c r="AN4271" i="2" s="1"/>
  <c r="AM4280" i="2"/>
  <c r="AM4281" i="2" s="1"/>
  <c r="AM4284" i="2" s="1"/>
  <c r="AN4285" i="2" s="1"/>
  <c r="AM4304" i="2"/>
  <c r="AM4310" i="2" s="1"/>
  <c r="AM4316" i="2"/>
  <c r="AO4313" i="2"/>
  <c r="AM4305" i="2"/>
  <c r="AM4292" i="2"/>
  <c r="AM4293" i="2" l="1"/>
  <c r="AM4319" i="2"/>
  <c r="AM4318" i="2"/>
  <c r="AM4324" i="2" s="1"/>
  <c r="AM4330" i="2"/>
  <c r="AO4327" i="2"/>
  <c r="AM4306" i="2"/>
  <c r="AM4332" i="2" l="1"/>
  <c r="AM4344" i="2"/>
  <c r="AO4341" i="2"/>
  <c r="AM4333" i="2"/>
  <c r="AM4294" i="2"/>
  <c r="AM4295" i="2" s="1"/>
  <c r="AM4298" i="2" s="1"/>
  <c r="AN4299" i="2" s="1"/>
  <c r="AM4307" i="2"/>
  <c r="AM4320" i="2"/>
  <c r="AM4334" i="2" l="1"/>
  <c r="AM4335" i="2" s="1"/>
  <c r="AM4338" i="2"/>
  <c r="AM4308" i="2"/>
  <c r="AM4309" i="2" s="1"/>
  <c r="AM4312" i="2" s="1"/>
  <c r="AN4313" i="2" s="1"/>
  <c r="AM4321" i="2"/>
  <c r="AM4347" i="2"/>
  <c r="AM4346" i="2"/>
  <c r="AM4358" i="2"/>
  <c r="AO4355" i="2"/>
  <c r="AM4348" i="2" l="1"/>
  <c r="AM4349" i="2" s="1"/>
  <c r="AM4322" i="2"/>
  <c r="AM4323" i="2" s="1"/>
  <c r="AM4326" i="2" s="1"/>
  <c r="AN4327" i="2" s="1"/>
  <c r="AO4369" i="2"/>
  <c r="AM4372" i="2"/>
  <c r="AM4361" i="2"/>
  <c r="AM4360" i="2"/>
  <c r="AM4366" i="2" s="1"/>
  <c r="AM4336" i="2"/>
  <c r="AM4337" i="2" s="1"/>
  <c r="AM4340" i="2" s="1"/>
  <c r="AN4341" i="2" s="1"/>
  <c r="AM4352" i="2"/>
  <c r="AM4375" i="2" l="1"/>
  <c r="AO4383" i="2"/>
  <c r="AM4374" i="2"/>
  <c r="AM4380" i="2" s="1"/>
  <c r="AM4386" i="2"/>
  <c r="AM4350" i="2"/>
  <c r="AM4351" i="2" s="1"/>
  <c r="AM4354" i="2" s="1"/>
  <c r="AN4355" i="2" s="1"/>
  <c r="AM4362" i="2"/>
  <c r="AM4363" i="2" l="1"/>
  <c r="AM4388" i="2"/>
  <c r="AM4394" i="2" s="1"/>
  <c r="AO4397" i="2"/>
  <c r="AM4389" i="2"/>
  <c r="AM4400" i="2"/>
  <c r="AM4376" i="2"/>
  <c r="AM4402" i="2" l="1"/>
  <c r="AM4408" i="2" s="1"/>
  <c r="AM4414" i="2"/>
  <c r="AO4411" i="2"/>
  <c r="AM4403" i="2"/>
  <c r="AM4364" i="2"/>
  <c r="AM4365" i="2" s="1"/>
  <c r="AM4368" i="2" s="1"/>
  <c r="AN4369" i="2" s="1"/>
  <c r="AM4377" i="2"/>
  <c r="AM4390" i="2"/>
  <c r="AM4391" i="2" l="1"/>
  <c r="AM4404" i="2"/>
  <c r="AM4417" i="2"/>
  <c r="AM4416" i="2"/>
  <c r="AM4422" i="2" s="1"/>
  <c r="AM4428" i="2"/>
  <c r="AO4425" i="2"/>
  <c r="AM4378" i="2"/>
  <c r="AM4379" i="2" s="1"/>
  <c r="AM4382" i="2" s="1"/>
  <c r="AN4383" i="2" s="1"/>
  <c r="AM4418" i="2" l="1"/>
  <c r="AM4431" i="2"/>
  <c r="AO4439" i="2"/>
  <c r="AM4430" i="2"/>
  <c r="AM4442" i="2"/>
  <c r="AM4392" i="2"/>
  <c r="AM4393" i="2" s="1"/>
  <c r="AM4396" i="2" s="1"/>
  <c r="AN4397" i="2" s="1"/>
  <c r="AM4405" i="2"/>
  <c r="AM4432" i="2" l="1"/>
  <c r="AM4419" i="2"/>
  <c r="AM4420" i="2" s="1"/>
  <c r="AM4421" i="2" s="1"/>
  <c r="AM4406" i="2"/>
  <c r="AM4407" i="2" s="1"/>
  <c r="AM4410" i="2" s="1"/>
  <c r="AN4411" i="2" s="1"/>
  <c r="AO4453" i="2"/>
  <c r="AM4456" i="2"/>
  <c r="AM4445" i="2"/>
  <c r="AM4444" i="2"/>
  <c r="AM4436" i="2"/>
  <c r="AM4433" i="2" l="1"/>
  <c r="AM4434" i="2" s="1"/>
  <c r="AM4435" i="2" s="1"/>
  <c r="AM4424" i="2"/>
  <c r="AN4425" i="2" s="1"/>
  <c r="AM4446" i="2"/>
  <c r="AM4450" i="2"/>
  <c r="AM4459" i="2"/>
  <c r="AO4467" i="2"/>
  <c r="AM4458" i="2"/>
  <c r="AM4464" i="2" s="1"/>
  <c r="AM4470" i="2"/>
  <c r="AM4438" i="2" l="1"/>
  <c r="AN4439" i="2" s="1"/>
  <c r="AM4447" i="2"/>
  <c r="AM4460" i="2"/>
  <c r="AM4472" i="2"/>
  <c r="AM4478" i="2" s="1"/>
  <c r="AM4484" i="2"/>
  <c r="AO4481" i="2"/>
  <c r="AM4473" i="2"/>
  <c r="AM4486" i="2" l="1"/>
  <c r="AM4492" i="2" s="1"/>
  <c r="AM4498" i="2"/>
  <c r="AO4495" i="2"/>
  <c r="AM4487" i="2"/>
  <c r="AM4448" i="2"/>
  <c r="AM4449" i="2" s="1"/>
  <c r="AM4452" i="2" s="1"/>
  <c r="AN4453" i="2" s="1"/>
  <c r="AM4461" i="2"/>
  <c r="AM4474" i="2"/>
  <c r="AM4488" i="2" l="1"/>
  <c r="AM4489" i="2" s="1"/>
  <c r="AM4475" i="2"/>
  <c r="AM4501" i="2"/>
  <c r="AM4512" i="2"/>
  <c r="AO4509" i="2"/>
  <c r="AM4500" i="2"/>
  <c r="AM4462" i="2"/>
  <c r="AM4463" i="2" s="1"/>
  <c r="AM4466" i="2" s="1"/>
  <c r="AN4467" i="2" s="1"/>
  <c r="AM4502" i="2" l="1"/>
  <c r="AM4503" i="2" s="1"/>
  <c r="AM4506" i="2"/>
  <c r="AM4476" i="2"/>
  <c r="AM4477" i="2" s="1"/>
  <c r="AM4480" i="2" s="1"/>
  <c r="AN4481" i="2" s="1"/>
  <c r="AO4523" i="2"/>
  <c r="AM4526" i="2"/>
  <c r="AM4515" i="2"/>
  <c r="AM4514" i="2"/>
  <c r="AM4490" i="2"/>
  <c r="AM4491" i="2" s="1"/>
  <c r="AM4494" i="2" s="1"/>
  <c r="AN4495" i="2" s="1"/>
  <c r="AM4516" i="2" l="1"/>
  <c r="AM4504" i="2"/>
  <c r="AM4505" i="2" s="1"/>
  <c r="AM4508" i="2" s="1"/>
  <c r="AN4509" i="2" s="1"/>
  <c r="AM4529" i="2"/>
  <c r="AO4537" i="2"/>
  <c r="AM4528" i="2"/>
  <c r="AM4540" i="2"/>
  <c r="AM4520" i="2"/>
  <c r="AM4530" i="2" l="1"/>
  <c r="AM4531" i="2" s="1"/>
  <c r="AM4517" i="2"/>
  <c r="AM4543" i="2"/>
  <c r="AO4551" i="2"/>
  <c r="AM4542" i="2"/>
  <c r="AM4548" i="2" s="1"/>
  <c r="AM4554" i="2"/>
  <c r="AM4534" i="2"/>
  <c r="AM4518" i="2" l="1"/>
  <c r="AM4519" i="2" s="1"/>
  <c r="AM4522" i="2" s="1"/>
  <c r="AN4523" i="2" s="1"/>
  <c r="AM4532" i="2"/>
  <c r="AM4533" i="2" s="1"/>
  <c r="AM4536" i="2" s="1"/>
  <c r="AN4537" i="2" s="1"/>
  <c r="AM4556" i="2"/>
  <c r="AM4568" i="2"/>
  <c r="AO4565" i="2"/>
  <c r="AM4557" i="2"/>
  <c r="AM4544" i="2"/>
  <c r="AM4571" i="2" l="1"/>
  <c r="AM4570" i="2"/>
  <c r="AM4582" i="2"/>
  <c r="AO4579" i="2"/>
  <c r="AM4558" i="2"/>
  <c r="AM4562" i="2"/>
  <c r="AM4545" i="2"/>
  <c r="AM4584" i="2" l="1"/>
  <c r="AM4596" i="2"/>
  <c r="AM4585" i="2"/>
  <c r="AO4593" i="2"/>
  <c r="AM4559" i="2"/>
  <c r="AM4546" i="2"/>
  <c r="AM4547" i="2" s="1"/>
  <c r="AM4550" i="2" s="1"/>
  <c r="AN4551" i="2" s="1"/>
  <c r="AM4572" i="2"/>
  <c r="AM4576" i="2"/>
  <c r="AM4586" i="2" l="1"/>
  <c r="AM4573" i="2"/>
  <c r="AM4560" i="2"/>
  <c r="AM4561" i="2" s="1"/>
  <c r="AM4564" i="2" s="1"/>
  <c r="AN4565" i="2" s="1"/>
  <c r="AM4598" i="2"/>
  <c r="AM4604" i="2" s="1"/>
  <c r="AM4610" i="2"/>
  <c r="AO4607" i="2"/>
  <c r="AM4599" i="2"/>
  <c r="AM4590" i="2"/>
  <c r="AM4587" i="2" l="1"/>
  <c r="AM4588" i="2" s="1"/>
  <c r="AM4589" i="2" s="1"/>
  <c r="AM4613" i="2"/>
  <c r="AM4612" i="2"/>
  <c r="AM4618" i="2" s="1"/>
  <c r="AM4624" i="2"/>
  <c r="AO4621" i="2"/>
  <c r="AM4574" i="2"/>
  <c r="AM4575" i="2" s="1"/>
  <c r="AM4578" i="2" s="1"/>
  <c r="AN4579" i="2" s="1"/>
  <c r="AM4600" i="2"/>
  <c r="AM4592" i="2" l="1"/>
  <c r="AN4593" i="2" s="1"/>
  <c r="AO4635" i="2"/>
  <c r="AM4626" i="2"/>
  <c r="AM4627" i="2"/>
  <c r="AM4638" i="2"/>
  <c r="AM4601" i="2"/>
  <c r="AM4614" i="2"/>
  <c r="AM4628" i="2" l="1"/>
  <c r="AM4629" i="2" s="1"/>
  <c r="AM4632" i="2"/>
  <c r="AM4602" i="2"/>
  <c r="AM4603" i="2" s="1"/>
  <c r="AM4606" i="2" s="1"/>
  <c r="AN4607" i="2" s="1"/>
  <c r="AM4615" i="2"/>
  <c r="AO4649" i="2"/>
  <c r="AM4652" i="2"/>
  <c r="AM4641" i="2"/>
  <c r="AM4640" i="2"/>
  <c r="AM4646" i="2" s="1"/>
  <c r="AM4616" i="2" l="1"/>
  <c r="AM4617" i="2" s="1"/>
  <c r="AM4620" i="2" s="1"/>
  <c r="AN4621" i="2" s="1"/>
  <c r="AM4630" i="2"/>
  <c r="AM4631" i="2" s="1"/>
  <c r="AM4634" i="2" s="1"/>
  <c r="AN4635" i="2" s="1"/>
  <c r="AM4642" i="2"/>
  <c r="AM4654" i="2"/>
  <c r="AM4655" i="2"/>
  <c r="AO4663" i="2"/>
  <c r="AM4656" i="2" l="1"/>
  <c r="AM4657" i="2" s="1"/>
  <c r="AM4643" i="2"/>
  <c r="AM4660" i="2"/>
  <c r="AM4644" i="2" l="1"/>
  <c r="AM4645" i="2" s="1"/>
  <c r="AM4648" i="2" s="1"/>
  <c r="AN4649" i="2" s="1"/>
  <c r="AM4658" i="2"/>
  <c r="AM4659" i="2" s="1"/>
  <c r="AM4662" i="2" s="1"/>
  <c r="AN4663" i="2" s="1"/>
  <c r="AO18" i="2" s="1"/>
  <c r="AO20" i="2" s="1"/>
  <c r="AO19" i="2" l="1"/>
  <c r="AP33" i="2" l="1"/>
  <c r="AP35" i="2" s="1"/>
  <c r="AP41" i="2" s="1"/>
  <c r="R40" i="3"/>
  <c r="AP36" i="2" l="1"/>
  <c r="AP37" i="2" s="1"/>
  <c r="AP38" i="2" s="1"/>
  <c r="Q44" i="3"/>
  <c r="Q41" i="3" s="1"/>
  <c r="Q40" i="3"/>
  <c r="P44" i="3" s="1"/>
  <c r="P41" i="3" s="1"/>
  <c r="AP46" i="2"/>
  <c r="AR57" i="2" s="1"/>
  <c r="AR44" i="2"/>
  <c r="AP60" i="2" l="1"/>
  <c r="AP74" i="2" s="1"/>
  <c r="AP49" i="2"/>
  <c r="AP48" i="2"/>
  <c r="AP54" i="2" s="1"/>
  <c r="AP39" i="2"/>
  <c r="AP40" i="2" s="1"/>
  <c r="AP43" i="2" s="1"/>
  <c r="AQ44" i="2" s="1"/>
  <c r="AR71" i="2" l="1"/>
  <c r="AP63" i="2"/>
  <c r="AP62" i="2"/>
  <c r="AP50" i="2"/>
  <c r="AP51" i="2" s="1"/>
  <c r="AP52" i="2" s="1"/>
  <c r="AP53" i="2" s="1"/>
  <c r="AP77" i="2"/>
  <c r="AR85" i="2"/>
  <c r="AP76" i="2"/>
  <c r="AP88" i="2"/>
  <c r="AP64" i="2" l="1"/>
  <c r="AP65" i="2" s="1"/>
  <c r="AP66" i="2" s="1"/>
  <c r="AP67" i="2" s="1"/>
  <c r="AP68" i="2"/>
  <c r="AP56" i="2"/>
  <c r="AQ57" i="2" s="1"/>
  <c r="AP78" i="2"/>
  <c r="AP79" i="2" s="1"/>
  <c r="AP80" i="2" s="1"/>
  <c r="AP81" i="2" s="1"/>
  <c r="AP102" i="2"/>
  <c r="AP91" i="2"/>
  <c r="AR99" i="2"/>
  <c r="AP90" i="2"/>
  <c r="AP96" i="2" s="1"/>
  <c r="AP82" i="2"/>
  <c r="AP70" i="2" l="1"/>
  <c r="AQ71" i="2" s="1"/>
  <c r="AP84" i="2"/>
  <c r="AQ85" i="2" s="1"/>
  <c r="AR113" i="2"/>
  <c r="AP104" i="2"/>
  <c r="AP105" i="2"/>
  <c r="AP116" i="2"/>
  <c r="AP92" i="2"/>
  <c r="AP93" i="2" s="1"/>
  <c r="AP94" i="2" s="1"/>
  <c r="AP95" i="2" s="1"/>
  <c r="AP98" i="2" s="1"/>
  <c r="AQ99" i="2" s="1"/>
  <c r="AR127" i="2" l="1"/>
  <c r="AP130" i="2"/>
  <c r="AP118" i="2"/>
  <c r="AP124" i="2" s="1"/>
  <c r="AP119" i="2"/>
  <c r="AP110" i="2"/>
  <c r="AP106" i="2"/>
  <c r="AP107" i="2" s="1"/>
  <c r="AR141" i="2" l="1"/>
  <c r="AP132" i="2"/>
  <c r="AP133" i="2"/>
  <c r="AP144" i="2"/>
  <c r="AP108" i="2"/>
  <c r="AP109" i="2" s="1"/>
  <c r="AP112" i="2" s="1"/>
  <c r="AQ113" i="2" s="1"/>
  <c r="AP120" i="2"/>
  <c r="AP121" i="2" s="1"/>
  <c r="AP122" i="2" s="1"/>
  <c r="AP123" i="2" s="1"/>
  <c r="AP126" i="2" s="1"/>
  <c r="AQ127" i="2" s="1"/>
  <c r="AP134" i="2" l="1"/>
  <c r="AP135" i="2" s="1"/>
  <c r="AP136" i="2" s="1"/>
  <c r="AP137" i="2" s="1"/>
  <c r="AP138" i="2"/>
  <c r="AP158" i="2"/>
  <c r="AP147" i="2"/>
  <c r="AR155" i="2"/>
  <c r="AP146" i="2"/>
  <c r="AP152" i="2" s="1"/>
  <c r="AP140" i="2" l="1"/>
  <c r="AQ141" i="2" s="1"/>
  <c r="AP172" i="2"/>
  <c r="AP161" i="2"/>
  <c r="AR169" i="2"/>
  <c r="AP160" i="2"/>
  <c r="AP166" i="2" s="1"/>
  <c r="AP148" i="2"/>
  <c r="AP149" i="2" s="1"/>
  <c r="AP150" i="2" s="1"/>
  <c r="AP151" i="2" s="1"/>
  <c r="AP154" i="2" s="1"/>
  <c r="AQ155" i="2" s="1"/>
  <c r="AP186" i="2" l="1"/>
  <c r="AR183" i="2"/>
  <c r="AP174" i="2"/>
  <c r="AP180" i="2" s="1"/>
  <c r="AP175" i="2"/>
  <c r="AP162" i="2"/>
  <c r="AP163" i="2" s="1"/>
  <c r="AP164" i="2" s="1"/>
  <c r="AP165" i="2" s="1"/>
  <c r="AP168" i="2" s="1"/>
  <c r="AQ169" i="2" s="1"/>
  <c r="AP176" i="2" l="1"/>
  <c r="AP177" i="2" s="1"/>
  <c r="AP178" i="2" s="1"/>
  <c r="AP179" i="2" s="1"/>
  <c r="AP182" i="2" s="1"/>
  <c r="AQ183" i="2" s="1"/>
  <c r="AP188" i="2"/>
  <c r="AP194" i="2" s="1"/>
  <c r="AP200" i="2"/>
  <c r="AP189" i="2"/>
  <c r="AR197" i="2"/>
  <c r="AP190" i="2" l="1"/>
  <c r="AP191" i="2" s="1"/>
  <c r="AP192" i="2" s="1"/>
  <c r="AP193" i="2" s="1"/>
  <c r="AP196" i="2" s="1"/>
  <c r="AQ197" i="2" s="1"/>
  <c r="AP214" i="2"/>
  <c r="AR211" i="2"/>
  <c r="AP202" i="2"/>
  <c r="AP208" i="2" s="1"/>
  <c r="AP203" i="2"/>
  <c r="AP204" i="2" l="1"/>
  <c r="AP205" i="2" s="1"/>
  <c r="AP206" i="2" s="1"/>
  <c r="AP207" i="2" s="1"/>
  <c r="AP210" i="2" s="1"/>
  <c r="AQ211" i="2" s="1"/>
  <c r="AP216" i="2"/>
  <c r="AP217" i="2"/>
  <c r="AP228" i="2"/>
  <c r="AR225" i="2"/>
  <c r="AP218" i="2" l="1"/>
  <c r="AP219" i="2" s="1"/>
  <c r="AP220" i="2" s="1"/>
  <c r="AP221" i="2" s="1"/>
  <c r="AP222" i="2"/>
  <c r="AP230" i="2"/>
  <c r="AP236" i="2" s="1"/>
  <c r="AP242" i="2"/>
  <c r="AP231" i="2"/>
  <c r="AR239" i="2"/>
  <c r="AP224" i="2" l="1"/>
  <c r="AQ225" i="2" s="1"/>
  <c r="AP256" i="2"/>
  <c r="AR253" i="2"/>
  <c r="AP244" i="2"/>
  <c r="AP250" i="2" s="1"/>
  <c r="AP245" i="2"/>
  <c r="AP232" i="2"/>
  <c r="AP233" i="2" s="1"/>
  <c r="AP234" i="2" s="1"/>
  <c r="AP235" i="2" s="1"/>
  <c r="AP238" i="2" s="1"/>
  <c r="AQ239" i="2" s="1"/>
  <c r="AP246" i="2" l="1"/>
  <c r="AP247" i="2" s="1"/>
  <c r="AP248" i="2" s="1"/>
  <c r="AP249" i="2" s="1"/>
  <c r="AP252" i="2" s="1"/>
  <c r="AQ253" i="2" s="1"/>
  <c r="AR267" i="2"/>
  <c r="AP258" i="2"/>
  <c r="AP264" i="2" s="1"/>
  <c r="AP259" i="2"/>
  <c r="AP270" i="2"/>
  <c r="AP260" i="2" l="1"/>
  <c r="AP261" i="2" s="1"/>
  <c r="AP262" i="2" s="1"/>
  <c r="AP263" i="2" s="1"/>
  <c r="AP266" i="2" s="1"/>
  <c r="AQ267" i="2" s="1"/>
  <c r="AR281" i="2"/>
  <c r="AP284" i="2"/>
  <c r="AP272" i="2"/>
  <c r="AP278" i="2" s="1"/>
  <c r="AP273" i="2"/>
  <c r="AP274" i="2" l="1"/>
  <c r="AP275" i="2" s="1"/>
  <c r="AP276" i="2" s="1"/>
  <c r="AP277" i="2" s="1"/>
  <c r="AP280" i="2" s="1"/>
  <c r="AQ281" i="2" s="1"/>
  <c r="AP286" i="2"/>
  <c r="AP292" i="2" s="1"/>
  <c r="AR295" i="2"/>
  <c r="AP298" i="2"/>
  <c r="AP287" i="2"/>
  <c r="AP288" i="2" l="1"/>
  <c r="AP289" i="2" s="1"/>
  <c r="AP290" i="2" s="1"/>
  <c r="AP291" i="2" s="1"/>
  <c r="AP294" i="2" s="1"/>
  <c r="AQ295" i="2" s="1"/>
  <c r="AR309" i="2"/>
  <c r="AP312" i="2"/>
  <c r="AP300" i="2"/>
  <c r="AP301" i="2"/>
  <c r="AP302" i="2" l="1"/>
  <c r="AP303" i="2" s="1"/>
  <c r="AP304" i="2" s="1"/>
  <c r="AP305" i="2" s="1"/>
  <c r="AR323" i="2"/>
  <c r="AP315" i="2"/>
  <c r="AP314" i="2"/>
  <c r="AP320" i="2" s="1"/>
  <c r="AP326" i="2"/>
  <c r="AP306" i="2"/>
  <c r="AP308" i="2" l="1"/>
  <c r="AQ309" i="2" s="1"/>
  <c r="AP328" i="2"/>
  <c r="AR337" i="2"/>
  <c r="AP329" i="2"/>
  <c r="AP340" i="2"/>
  <c r="AP316" i="2"/>
  <c r="AP317" i="2" s="1"/>
  <c r="AP330" i="2" l="1"/>
  <c r="AP331" i="2" s="1"/>
  <c r="AP332" i="2" s="1"/>
  <c r="AP333" i="2" s="1"/>
  <c r="AP334" i="2"/>
  <c r="AP318" i="2"/>
  <c r="AP319" i="2" s="1"/>
  <c r="AP322" i="2" s="1"/>
  <c r="AQ323" i="2" s="1"/>
  <c r="AP343" i="2"/>
  <c r="AR351" i="2"/>
  <c r="AP354" i="2"/>
  <c r="AP342" i="2"/>
  <c r="AP336" i="2" l="1"/>
  <c r="AQ337" i="2" s="1"/>
  <c r="AP344" i="2"/>
  <c r="AP345" i="2" s="1"/>
  <c r="AP346" i="2" s="1"/>
  <c r="AP347" i="2" s="1"/>
  <c r="AP348" i="2"/>
  <c r="AP356" i="2"/>
  <c r="AP362" i="2" s="1"/>
  <c r="AP357" i="2"/>
  <c r="AR365" i="2"/>
  <c r="AP368" i="2"/>
  <c r="AP350" i="2" l="1"/>
  <c r="AQ351" i="2" s="1"/>
  <c r="AP358" i="2"/>
  <c r="AP359" i="2" s="1"/>
  <c r="AP360" i="2" s="1"/>
  <c r="AP361" i="2" s="1"/>
  <c r="AP364" i="2" s="1"/>
  <c r="AQ365" i="2" s="1"/>
  <c r="AR379" i="2"/>
  <c r="AP370" i="2"/>
  <c r="AP382" i="2"/>
  <c r="AP371" i="2"/>
  <c r="AP372" i="2" l="1"/>
  <c r="AP373" i="2" s="1"/>
  <c r="AP374" i="2" s="1"/>
  <c r="AP375" i="2" s="1"/>
  <c r="AR393" i="2"/>
  <c r="AP384" i="2"/>
  <c r="AP385" i="2"/>
  <c r="AP396" i="2"/>
  <c r="AP376" i="2"/>
  <c r="AP378" i="2" l="1"/>
  <c r="AQ379" i="2" s="1"/>
  <c r="AP386" i="2"/>
  <c r="AP387" i="2" s="1"/>
  <c r="AP388" i="2" s="1"/>
  <c r="AP389" i="2" s="1"/>
  <c r="AP392" i="2" s="1"/>
  <c r="AQ393" i="2" s="1"/>
  <c r="AP390" i="2"/>
  <c r="AR407" i="2"/>
  <c r="AP410" i="2"/>
  <c r="AP398" i="2"/>
  <c r="AP399" i="2"/>
  <c r="AP400" i="2" l="1"/>
  <c r="AP401" i="2" s="1"/>
  <c r="AP402" i="2" s="1"/>
  <c r="AP403" i="2" s="1"/>
  <c r="AP412" i="2"/>
  <c r="AP418" i="2" s="1"/>
  <c r="AR421" i="2"/>
  <c r="AP424" i="2"/>
  <c r="AP413" i="2"/>
  <c r="AP404" i="2"/>
  <c r="AP406" i="2" l="1"/>
  <c r="AQ407" i="2" s="1"/>
  <c r="AP414" i="2"/>
  <c r="AP438" i="2"/>
  <c r="AP427" i="2"/>
  <c r="AP426" i="2"/>
  <c r="AR435" i="2"/>
  <c r="AP428" i="2" l="1"/>
  <c r="AP429" i="2" s="1"/>
  <c r="AP415" i="2"/>
  <c r="AP416" i="2" s="1"/>
  <c r="AP417" i="2" s="1"/>
  <c r="AP420" i="2" s="1"/>
  <c r="AQ421" i="2" s="1"/>
  <c r="AP432" i="2"/>
  <c r="AP452" i="2"/>
  <c r="AP440" i="2"/>
  <c r="AP441" i="2"/>
  <c r="AR449" i="2"/>
  <c r="AP442" i="2" l="1"/>
  <c r="AP443" i="2" s="1"/>
  <c r="AP430" i="2"/>
  <c r="AP431" i="2" s="1"/>
  <c r="AP434" i="2" s="1"/>
  <c r="AQ435" i="2" s="1"/>
  <c r="AP466" i="2"/>
  <c r="AP454" i="2"/>
  <c r="AP455" i="2"/>
  <c r="AR463" i="2"/>
  <c r="AP446" i="2"/>
  <c r="AP456" i="2" l="1"/>
  <c r="AP457" i="2" s="1"/>
  <c r="AP480" i="2"/>
  <c r="AP469" i="2"/>
  <c r="AP468" i="2"/>
  <c r="AR477" i="2"/>
  <c r="AP444" i="2"/>
  <c r="AP445" i="2" s="1"/>
  <c r="AP448" i="2" s="1"/>
  <c r="AQ449" i="2" s="1"/>
  <c r="AP460" i="2"/>
  <c r="AP458" i="2" l="1"/>
  <c r="AP459" i="2" s="1"/>
  <c r="AP462" i="2" s="1"/>
  <c r="AQ463" i="2" s="1"/>
  <c r="AP470" i="2"/>
  <c r="AP482" i="2"/>
  <c r="AP488" i="2" s="1"/>
  <c r="AR491" i="2"/>
  <c r="AP494" i="2"/>
  <c r="AP483" i="2"/>
  <c r="AP474" i="2"/>
  <c r="AR505" i="2" l="1"/>
  <c r="AP508" i="2"/>
  <c r="AP496" i="2"/>
  <c r="AP497" i="2"/>
  <c r="AP471" i="2"/>
  <c r="AP472" i="2" s="1"/>
  <c r="AP473" i="2" s="1"/>
  <c r="AP476" i="2" s="1"/>
  <c r="AQ477" i="2" s="1"/>
  <c r="AP484" i="2"/>
  <c r="AP498" i="2" l="1"/>
  <c r="AP499" i="2" s="1"/>
  <c r="AP500" i="2" s="1"/>
  <c r="AP501" i="2" s="1"/>
  <c r="AP502" i="2"/>
  <c r="AP522" i="2"/>
  <c r="AP510" i="2"/>
  <c r="AP511" i="2"/>
  <c r="AR519" i="2"/>
  <c r="AP485" i="2"/>
  <c r="AP504" i="2" l="1"/>
  <c r="AQ505" i="2" s="1"/>
  <c r="AP512" i="2"/>
  <c r="AP513" i="2" s="1"/>
  <c r="AP514" i="2" s="1"/>
  <c r="AP515" i="2" s="1"/>
  <c r="AP486" i="2"/>
  <c r="AP487" i="2" s="1"/>
  <c r="AP490" i="2" s="1"/>
  <c r="AQ491" i="2" s="1"/>
  <c r="AP524" i="2"/>
  <c r="AR533" i="2"/>
  <c r="AP536" i="2"/>
  <c r="AP525" i="2"/>
  <c r="AP516" i="2"/>
  <c r="AP518" i="2" l="1"/>
  <c r="AQ519" i="2" s="1"/>
  <c r="AP538" i="2"/>
  <c r="AR547" i="2"/>
  <c r="AP550" i="2"/>
  <c r="AP539" i="2"/>
  <c r="AP526" i="2"/>
  <c r="AP530" i="2"/>
  <c r="AP540" i="2" l="1"/>
  <c r="AP541" i="2" s="1"/>
  <c r="AP544" i="2"/>
  <c r="AP527" i="2"/>
  <c r="AP564" i="2"/>
  <c r="AP552" i="2"/>
  <c r="AR561" i="2"/>
  <c r="AP553" i="2"/>
  <c r="AP554" i="2" l="1"/>
  <c r="AP555" i="2" s="1"/>
  <c r="AP558" i="2"/>
  <c r="AP578" i="2"/>
  <c r="AP566" i="2"/>
  <c r="AP567" i="2"/>
  <c r="AR575" i="2"/>
  <c r="AP542" i="2"/>
  <c r="AP543" i="2" s="1"/>
  <c r="AP546" i="2" s="1"/>
  <c r="AQ547" i="2" s="1"/>
  <c r="AP528" i="2"/>
  <c r="AP529" i="2" s="1"/>
  <c r="AP532" i="2" s="1"/>
  <c r="AQ533" i="2" s="1"/>
  <c r="AP568" i="2" l="1"/>
  <c r="AP569" i="2" s="1"/>
  <c r="AP570" i="2" s="1"/>
  <c r="AP571" i="2" s="1"/>
  <c r="AP556" i="2"/>
  <c r="AP557" i="2" s="1"/>
  <c r="AP560" i="2" s="1"/>
  <c r="AQ561" i="2" s="1"/>
  <c r="AP580" i="2"/>
  <c r="AR589" i="2"/>
  <c r="AP592" i="2"/>
  <c r="AP581" i="2"/>
  <c r="AP572" i="2"/>
  <c r="AP574" i="2" l="1"/>
  <c r="AQ575" i="2" s="1"/>
  <c r="AP582" i="2"/>
  <c r="AP583" i="2" s="1"/>
  <c r="AP584" i="2" s="1"/>
  <c r="AP585" i="2" s="1"/>
  <c r="AP586" i="2"/>
  <c r="AP594" i="2"/>
  <c r="AP600" i="2" s="1"/>
  <c r="AP606" i="2"/>
  <c r="AP595" i="2"/>
  <c r="AR603" i="2"/>
  <c r="AP588" i="2" l="1"/>
  <c r="AQ589" i="2" s="1"/>
  <c r="AP620" i="2"/>
  <c r="AP608" i="2"/>
  <c r="AP609" i="2"/>
  <c r="AR617" i="2"/>
  <c r="AP596" i="2"/>
  <c r="AP610" i="2" l="1"/>
  <c r="AP611" i="2" s="1"/>
  <c r="AP614" i="2"/>
  <c r="AP623" i="2"/>
  <c r="AR631" i="2"/>
  <c r="AP634" i="2"/>
  <c r="AP622" i="2"/>
  <c r="AP628" i="2" s="1"/>
  <c r="AP597" i="2"/>
  <c r="AP598" i="2" s="1"/>
  <c r="AP599" i="2" s="1"/>
  <c r="AP602" i="2" s="1"/>
  <c r="AQ603" i="2" s="1"/>
  <c r="AP637" i="2" l="1"/>
  <c r="AP648" i="2"/>
  <c r="AP636" i="2"/>
  <c r="AP642" i="2" s="1"/>
  <c r="AR645" i="2"/>
  <c r="AP612" i="2"/>
  <c r="AP613" i="2" s="1"/>
  <c r="AP616" i="2" s="1"/>
  <c r="AQ617" i="2" s="1"/>
  <c r="AP624" i="2"/>
  <c r="AP662" i="2" l="1"/>
  <c r="AP651" i="2"/>
  <c r="AP650" i="2"/>
  <c r="AP656" i="2" s="1"/>
  <c r="AR659" i="2"/>
  <c r="AP625" i="2"/>
  <c r="AP638" i="2"/>
  <c r="AP626" i="2" l="1"/>
  <c r="AP627" i="2" s="1"/>
  <c r="AP630" i="2" s="1"/>
  <c r="AQ631" i="2" s="1"/>
  <c r="AP665" i="2"/>
  <c r="AR673" i="2"/>
  <c r="AP676" i="2"/>
  <c r="AP664" i="2"/>
  <c r="AP639" i="2"/>
  <c r="AP640" i="2" s="1"/>
  <c r="AP641" i="2" s="1"/>
  <c r="AP644" i="2" s="1"/>
  <c r="AQ645" i="2" s="1"/>
  <c r="AP652" i="2"/>
  <c r="AP666" i="2" l="1"/>
  <c r="AP667" i="2" s="1"/>
  <c r="AP668" i="2" s="1"/>
  <c r="AP669" i="2" s="1"/>
  <c r="AP653" i="2"/>
  <c r="AP654" i="2" s="1"/>
  <c r="AP655" i="2" s="1"/>
  <c r="AP658" i="2" s="1"/>
  <c r="AQ659" i="2" s="1"/>
  <c r="AP679" i="2"/>
  <c r="AP678" i="2"/>
  <c r="AP684" i="2" s="1"/>
  <c r="AR687" i="2"/>
  <c r="AP690" i="2"/>
  <c r="AP670" i="2"/>
  <c r="AP672" i="2" l="1"/>
  <c r="AQ673" i="2" s="1"/>
  <c r="AR701" i="2"/>
  <c r="AP704" i="2"/>
  <c r="AP693" i="2"/>
  <c r="AP692" i="2"/>
  <c r="AP698" i="2" s="1"/>
  <c r="AP680" i="2"/>
  <c r="AP681" i="2" l="1"/>
  <c r="AP682" i="2" s="1"/>
  <c r="AP683" i="2" s="1"/>
  <c r="AP686" i="2" s="1"/>
  <c r="AQ687" i="2" s="1"/>
  <c r="AR715" i="2"/>
  <c r="AP718" i="2"/>
  <c r="AP707" i="2"/>
  <c r="AP706" i="2"/>
  <c r="AP694" i="2"/>
  <c r="AP721" i="2" l="1"/>
  <c r="AR729" i="2"/>
  <c r="AP732" i="2"/>
  <c r="AP720" i="2"/>
  <c r="AP726" i="2" s="1"/>
  <c r="AP708" i="2"/>
  <c r="AP695" i="2"/>
  <c r="AP696" i="2" s="1"/>
  <c r="AP697" i="2" s="1"/>
  <c r="AP700" i="2" s="1"/>
  <c r="AQ701" i="2" s="1"/>
  <c r="AP712" i="2"/>
  <c r="AP709" i="2" l="1"/>
  <c r="AP734" i="2"/>
  <c r="AP735" i="2"/>
  <c r="AR743" i="2"/>
  <c r="AP746" i="2"/>
  <c r="AP722" i="2"/>
  <c r="AP736" i="2" l="1"/>
  <c r="AP737" i="2" s="1"/>
  <c r="AP738" i="2" s="1"/>
  <c r="AP739" i="2" s="1"/>
  <c r="AP740" i="2"/>
  <c r="AR757" i="2"/>
  <c r="AP760" i="2"/>
  <c r="AP749" i="2"/>
  <c r="AP748" i="2"/>
  <c r="AP710" i="2"/>
  <c r="AP711" i="2" s="1"/>
  <c r="AP714" i="2" s="1"/>
  <c r="AQ715" i="2" s="1"/>
  <c r="AP723" i="2"/>
  <c r="AP742" i="2" l="1"/>
  <c r="AQ743" i="2" s="1"/>
  <c r="AP750" i="2"/>
  <c r="AP751" i="2" s="1"/>
  <c r="AP752" i="2" s="1"/>
  <c r="AP753" i="2" s="1"/>
  <c r="AP754" i="2"/>
  <c r="AP724" i="2"/>
  <c r="AP725" i="2" s="1"/>
  <c r="AP728" i="2" s="1"/>
  <c r="AQ729" i="2" s="1"/>
  <c r="AR771" i="2"/>
  <c r="AP774" i="2"/>
  <c r="AP763" i="2"/>
  <c r="AP762" i="2"/>
  <c r="AP768" i="2" s="1"/>
  <c r="AP756" i="2" l="1"/>
  <c r="AQ757" i="2" s="1"/>
  <c r="AP777" i="2"/>
  <c r="AR785" i="2"/>
  <c r="AP788" i="2"/>
  <c r="AP776" i="2"/>
  <c r="AP782" i="2" s="1"/>
  <c r="AP764" i="2"/>
  <c r="AP765" i="2" l="1"/>
  <c r="AP766" i="2" s="1"/>
  <c r="AP767" i="2" s="1"/>
  <c r="AP770" i="2" s="1"/>
  <c r="AQ771" i="2" s="1"/>
  <c r="AP791" i="2"/>
  <c r="AP790" i="2"/>
  <c r="AP796" i="2" s="1"/>
  <c r="AR799" i="2"/>
  <c r="AP802" i="2"/>
  <c r="AP778" i="2"/>
  <c r="AP805" i="2" l="1"/>
  <c r="AP804" i="2"/>
  <c r="AP810" i="2" s="1"/>
  <c r="AR813" i="2"/>
  <c r="AP816" i="2"/>
  <c r="AP779" i="2"/>
  <c r="AP792" i="2"/>
  <c r="AP780" i="2" l="1"/>
  <c r="AP781" i="2" s="1"/>
  <c r="AP784" i="2" s="1"/>
  <c r="AQ785" i="2" s="1"/>
  <c r="AP793" i="2"/>
  <c r="AP830" i="2"/>
  <c r="AR827" i="2"/>
  <c r="AP819" i="2"/>
  <c r="AP818" i="2"/>
  <c r="AP824" i="2" s="1"/>
  <c r="AP806" i="2"/>
  <c r="AP833" i="2" l="1"/>
  <c r="AR841" i="2"/>
  <c r="AP844" i="2"/>
  <c r="AP832" i="2"/>
  <c r="AP807" i="2"/>
  <c r="AP808" i="2" s="1"/>
  <c r="AP809" i="2" s="1"/>
  <c r="AP812" i="2" s="1"/>
  <c r="AQ813" i="2" s="1"/>
  <c r="AP794" i="2"/>
  <c r="AP795" i="2" s="1"/>
  <c r="AP798" i="2" s="1"/>
  <c r="AQ799" i="2" s="1"/>
  <c r="AP820" i="2"/>
  <c r="AP834" i="2" l="1"/>
  <c r="AP835" i="2" s="1"/>
  <c r="AP836" i="2" s="1"/>
  <c r="AP837" i="2" s="1"/>
  <c r="AP821" i="2"/>
  <c r="AP822" i="2" s="1"/>
  <c r="AP823" i="2" s="1"/>
  <c r="AP826" i="2" s="1"/>
  <c r="AQ827" i="2" s="1"/>
  <c r="AP838" i="2"/>
  <c r="AR855" i="2"/>
  <c r="AP858" i="2"/>
  <c r="AP846" i="2"/>
  <c r="AP847" i="2"/>
  <c r="AP840" i="2" l="1"/>
  <c r="AQ841" i="2" s="1"/>
  <c r="AP848" i="2"/>
  <c r="AP849" i="2" s="1"/>
  <c r="AP852" i="2"/>
  <c r="AR869" i="2"/>
  <c r="AP872" i="2"/>
  <c r="AP861" i="2"/>
  <c r="AP860" i="2"/>
  <c r="AP862" i="2" l="1"/>
  <c r="AP866" i="2"/>
  <c r="AP850" i="2"/>
  <c r="AP851" i="2" s="1"/>
  <c r="AP854" i="2" s="1"/>
  <c r="AQ855" i="2" s="1"/>
  <c r="AP886" i="2"/>
  <c r="AR883" i="2"/>
  <c r="AP875" i="2"/>
  <c r="AP874" i="2"/>
  <c r="AP876" i="2" l="1"/>
  <c r="AP877" i="2" s="1"/>
  <c r="AP878" i="2" s="1"/>
  <c r="AP879" i="2" s="1"/>
  <c r="AP863" i="2"/>
  <c r="AP864" i="2" s="1"/>
  <c r="AP865" i="2" s="1"/>
  <c r="AP868" i="2" s="1"/>
  <c r="AQ869" i="2" s="1"/>
  <c r="AP880" i="2"/>
  <c r="AR897" i="2"/>
  <c r="AP900" i="2"/>
  <c r="AP888" i="2"/>
  <c r="AP889" i="2"/>
  <c r="AP882" i="2" l="1"/>
  <c r="AQ883" i="2" s="1"/>
  <c r="AP890" i="2"/>
  <c r="AP891" i="2" s="1"/>
  <c r="AP903" i="2"/>
  <c r="AP902" i="2"/>
  <c r="AP908" i="2" s="1"/>
  <c r="AR911" i="2"/>
  <c r="AP914" i="2"/>
  <c r="AP894" i="2"/>
  <c r="AP892" i="2" l="1"/>
  <c r="AP893" i="2" s="1"/>
  <c r="AP896" i="2" s="1"/>
  <c r="AQ897" i="2" s="1"/>
  <c r="AP916" i="2"/>
  <c r="AP922" i="2" s="1"/>
  <c r="AP928" i="2"/>
  <c r="AR925" i="2"/>
  <c r="AP917" i="2"/>
  <c r="AP904" i="2"/>
  <c r="AP905" i="2" l="1"/>
  <c r="AP906" i="2" s="1"/>
  <c r="AP907" i="2" s="1"/>
  <c r="AP910" i="2" s="1"/>
  <c r="AQ911" i="2" s="1"/>
  <c r="AP930" i="2"/>
  <c r="AP936" i="2" s="1"/>
  <c r="AP942" i="2"/>
  <c r="AR939" i="2"/>
  <c r="AP931" i="2"/>
  <c r="AP918" i="2"/>
  <c r="AP919" i="2" l="1"/>
  <c r="AP945" i="2"/>
  <c r="AP956" i="2"/>
  <c r="AR953" i="2"/>
  <c r="AP944" i="2"/>
  <c r="AP932" i="2"/>
  <c r="AP946" i="2" l="1"/>
  <c r="AP947" i="2" s="1"/>
  <c r="AP920" i="2"/>
  <c r="AP921" i="2" s="1"/>
  <c r="AP924" i="2" s="1"/>
  <c r="AQ925" i="2" s="1"/>
  <c r="AP933" i="2"/>
  <c r="AP934" i="2" s="1"/>
  <c r="AP935" i="2" s="1"/>
  <c r="AP938" i="2" s="1"/>
  <c r="AQ939" i="2" s="1"/>
  <c r="AP970" i="2"/>
  <c r="AP959" i="2"/>
  <c r="AR967" i="2"/>
  <c r="AP958" i="2"/>
  <c r="AP950" i="2"/>
  <c r="AR981" i="2" l="1"/>
  <c r="AP972" i="2"/>
  <c r="AP978" i="2" s="1"/>
  <c r="AP984" i="2"/>
  <c r="AP973" i="2"/>
  <c r="AP948" i="2"/>
  <c r="AP949" i="2" s="1"/>
  <c r="AP952" i="2" s="1"/>
  <c r="AQ953" i="2" s="1"/>
  <c r="AP964" i="2"/>
  <c r="AP960" i="2"/>
  <c r="AP961" i="2" l="1"/>
  <c r="AP962" i="2" s="1"/>
  <c r="AP963" i="2" s="1"/>
  <c r="AP966" i="2" s="1"/>
  <c r="AQ967" i="2" s="1"/>
  <c r="AR995" i="2"/>
  <c r="AP998" i="2"/>
  <c r="AP987" i="2"/>
  <c r="AP986" i="2"/>
  <c r="AP974" i="2"/>
  <c r="AP988" i="2" l="1"/>
  <c r="AP989" i="2" s="1"/>
  <c r="AP975" i="2"/>
  <c r="AP976" i="2" s="1"/>
  <c r="AP977" i="2" s="1"/>
  <c r="AP980" i="2" s="1"/>
  <c r="AQ981" i="2" s="1"/>
  <c r="AP1012" i="2"/>
  <c r="AP1000" i="2"/>
  <c r="AP1001" i="2"/>
  <c r="AR1009" i="2"/>
  <c r="AP992" i="2"/>
  <c r="AP1002" i="2" l="1"/>
  <c r="AP1003" i="2" s="1"/>
  <c r="AP1004" i="2" s="1"/>
  <c r="AP1005" i="2" s="1"/>
  <c r="AP1006" i="2"/>
  <c r="AP990" i="2"/>
  <c r="AP991" i="2" s="1"/>
  <c r="AP994" i="2" s="1"/>
  <c r="AQ995" i="2" s="1"/>
  <c r="AP1014" i="2"/>
  <c r="AP1020" i="2" s="1"/>
  <c r="AP1015" i="2"/>
  <c r="AR1023" i="2"/>
  <c r="AP1026" i="2"/>
  <c r="AP1008" i="2" l="1"/>
  <c r="AQ1009" i="2" s="1"/>
  <c r="AP1016" i="2"/>
  <c r="AP1017" i="2" s="1"/>
  <c r="AP1018" i="2" s="1"/>
  <c r="AP1019" i="2" s="1"/>
  <c r="AP1022" i="2" s="1"/>
  <c r="AQ1023" i="2" s="1"/>
  <c r="AP1029" i="2"/>
  <c r="AP1028" i="2"/>
  <c r="AP1034" i="2" s="1"/>
  <c r="AR1037" i="2"/>
  <c r="AP1040" i="2"/>
  <c r="AR1051" i="2" l="1"/>
  <c r="AP1054" i="2"/>
  <c r="AP1043" i="2"/>
  <c r="AP1042" i="2"/>
  <c r="AP1030" i="2"/>
  <c r="AP1044" i="2" l="1"/>
  <c r="AP1045" i="2" s="1"/>
  <c r="AP1031" i="2"/>
  <c r="AP1032" i="2" s="1"/>
  <c r="AP1033" i="2" s="1"/>
  <c r="AP1036" i="2" s="1"/>
  <c r="AQ1037" i="2" s="1"/>
  <c r="AP1068" i="2"/>
  <c r="AP1056" i="2"/>
  <c r="AP1057" i="2"/>
  <c r="AR1065" i="2"/>
  <c r="AP1048" i="2"/>
  <c r="AP1058" i="2" l="1"/>
  <c r="AP1059" i="2" s="1"/>
  <c r="AP1071" i="2"/>
  <c r="AR1079" i="2"/>
  <c r="AP1082" i="2"/>
  <c r="AP1070" i="2"/>
  <c r="AP1046" i="2"/>
  <c r="AP1047" i="2" s="1"/>
  <c r="AP1050" i="2" s="1"/>
  <c r="AQ1051" i="2" s="1"/>
  <c r="AP1062" i="2"/>
  <c r="AP1072" i="2" l="1"/>
  <c r="AP1073" i="2" s="1"/>
  <c r="AP1074" i="2" s="1"/>
  <c r="AP1075" i="2" s="1"/>
  <c r="AP1076" i="2"/>
  <c r="AR1093" i="2"/>
  <c r="AP1096" i="2"/>
  <c r="AP1085" i="2"/>
  <c r="AP1084" i="2"/>
  <c r="AP1060" i="2"/>
  <c r="AP1061" i="2" s="1"/>
  <c r="AP1064" i="2" s="1"/>
  <c r="AQ1065" i="2" s="1"/>
  <c r="AP1078" i="2" l="1"/>
  <c r="AQ1079" i="2" s="1"/>
  <c r="AR1107" i="2"/>
  <c r="AP1098" i="2"/>
  <c r="AP1110" i="2"/>
  <c r="AP1099" i="2"/>
  <c r="AP1086" i="2"/>
  <c r="AP1090" i="2"/>
  <c r="AP1100" i="2" l="1"/>
  <c r="AP1101" i="2" s="1"/>
  <c r="AP1104" i="2"/>
  <c r="AP1087" i="2"/>
  <c r="AP1088" i="2" s="1"/>
  <c r="AP1089" i="2" s="1"/>
  <c r="AP1092" i="2" s="1"/>
  <c r="AQ1093" i="2" s="1"/>
  <c r="AP1124" i="2"/>
  <c r="AP1113" i="2"/>
  <c r="AP1112" i="2"/>
  <c r="AP1118" i="2" s="1"/>
  <c r="AR1121" i="2"/>
  <c r="AP1138" i="2" l="1"/>
  <c r="AP1126" i="2"/>
  <c r="AP1132" i="2" s="1"/>
  <c r="AR1135" i="2"/>
  <c r="AP1127" i="2"/>
  <c r="AP1102" i="2"/>
  <c r="AP1103" i="2" s="1"/>
  <c r="AP1106" i="2" s="1"/>
  <c r="AQ1107" i="2" s="1"/>
  <c r="AP1114" i="2"/>
  <c r="AP1152" i="2" l="1"/>
  <c r="AP1140" i="2"/>
  <c r="AP1141" i="2"/>
  <c r="AR1149" i="2"/>
  <c r="AP1115" i="2"/>
  <c r="AP1116" i="2" s="1"/>
  <c r="AP1117" i="2" s="1"/>
  <c r="AP1120" i="2" s="1"/>
  <c r="AQ1121" i="2" s="1"/>
  <c r="AP1128" i="2"/>
  <c r="AP1142" i="2" l="1"/>
  <c r="AP1143" i="2" s="1"/>
  <c r="AP1146" i="2"/>
  <c r="AP1166" i="2"/>
  <c r="AP1154" i="2"/>
  <c r="AP1160" i="2" s="1"/>
  <c r="AP1155" i="2"/>
  <c r="AR1163" i="2"/>
  <c r="AP1129" i="2"/>
  <c r="AP1130" i="2" s="1"/>
  <c r="AP1131" i="2" s="1"/>
  <c r="AP1134" i="2" s="1"/>
  <c r="AQ1135" i="2" s="1"/>
  <c r="AP1156" i="2" l="1"/>
  <c r="AP1157" i="2" s="1"/>
  <c r="AR1177" i="2"/>
  <c r="AP1168" i="2"/>
  <c r="AP1180" i="2"/>
  <c r="AP1169" i="2"/>
  <c r="AP1144" i="2"/>
  <c r="AP1145" i="2" s="1"/>
  <c r="AP1148" i="2" s="1"/>
  <c r="AQ1149" i="2" s="1"/>
  <c r="AP1170" i="2" l="1"/>
  <c r="AP1171" i="2" s="1"/>
  <c r="AP1158" i="2"/>
  <c r="AP1159" i="2" s="1"/>
  <c r="AP1162" i="2" s="1"/>
  <c r="AQ1163" i="2" s="1"/>
  <c r="AP1182" i="2"/>
  <c r="AP1188" i="2" s="1"/>
  <c r="AR1191" i="2"/>
  <c r="AP1183" i="2"/>
  <c r="AP1194" i="2"/>
  <c r="AP1174" i="2"/>
  <c r="AP1172" i="2" l="1"/>
  <c r="AP1173" i="2" s="1"/>
  <c r="AP1176" i="2" s="1"/>
  <c r="AQ1177" i="2" s="1"/>
  <c r="AP1184" i="2"/>
  <c r="AP1208" i="2"/>
  <c r="AP1197" i="2"/>
  <c r="AP1196" i="2"/>
  <c r="AR1205" i="2"/>
  <c r="AP1185" i="2" l="1"/>
  <c r="AR1219" i="2"/>
  <c r="AP1222" i="2"/>
  <c r="AP1211" i="2"/>
  <c r="AP1210" i="2"/>
  <c r="AP1198" i="2"/>
  <c r="AP1202" i="2"/>
  <c r="AP1212" i="2" l="1"/>
  <c r="AP1186" i="2"/>
  <c r="AP1187" i="2" s="1"/>
  <c r="AP1190" i="2" s="1"/>
  <c r="AQ1191" i="2" s="1"/>
  <c r="AP1199" i="2"/>
  <c r="AP1200" i="2" s="1"/>
  <c r="AP1201" i="2" s="1"/>
  <c r="AP1204" i="2" s="1"/>
  <c r="AQ1205" i="2" s="1"/>
  <c r="AP1224" i="2"/>
  <c r="AP1225" i="2"/>
  <c r="AR1233" i="2"/>
  <c r="AP1236" i="2"/>
  <c r="AP1216" i="2"/>
  <c r="AP1213" i="2" l="1"/>
  <c r="AP1214" i="2" s="1"/>
  <c r="AP1215" i="2" s="1"/>
  <c r="AP1238" i="2"/>
  <c r="AP1244" i="2" s="1"/>
  <c r="AP1250" i="2"/>
  <c r="AP1239" i="2"/>
  <c r="AR1247" i="2"/>
  <c r="AP1230" i="2"/>
  <c r="AP1226" i="2"/>
  <c r="AP1240" i="2" l="1"/>
  <c r="AP1241" i="2" s="1"/>
  <c r="AP1242" i="2" s="1"/>
  <c r="AP1243" i="2" s="1"/>
  <c r="AP1246" i="2" s="1"/>
  <c r="AQ1247" i="2" s="1"/>
  <c r="AP1218" i="2"/>
  <c r="AQ1219" i="2" s="1"/>
  <c r="AP1252" i="2"/>
  <c r="AR1261" i="2"/>
  <c r="AP1253" i="2"/>
  <c r="AP1264" i="2"/>
  <c r="AP1227" i="2"/>
  <c r="AP1254" i="2" l="1"/>
  <c r="AP1278" i="2"/>
  <c r="AP1266" i="2"/>
  <c r="AP1272" i="2" s="1"/>
  <c r="AR1275" i="2"/>
  <c r="AP1267" i="2"/>
  <c r="AP1228" i="2"/>
  <c r="AP1229" i="2" s="1"/>
  <c r="AP1232" i="2" s="1"/>
  <c r="AQ1233" i="2" s="1"/>
  <c r="AP1258" i="2"/>
  <c r="AP1255" i="2" l="1"/>
  <c r="AP1256" i="2" s="1"/>
  <c r="AP1257" i="2" s="1"/>
  <c r="AP1260" i="2" s="1"/>
  <c r="AQ1261" i="2" s="1"/>
  <c r="AP1292" i="2"/>
  <c r="AP1281" i="2"/>
  <c r="AR1289" i="2"/>
  <c r="AP1280" i="2"/>
  <c r="AP1268" i="2"/>
  <c r="AP1282" i="2" l="1"/>
  <c r="AP1269" i="2"/>
  <c r="AR1303" i="2"/>
  <c r="AP1306" i="2"/>
  <c r="AP1294" i="2"/>
  <c r="AP1300" i="2" s="1"/>
  <c r="AP1295" i="2"/>
  <c r="AP1286" i="2"/>
  <c r="AP1283" i="2" l="1"/>
  <c r="AP1296" i="2"/>
  <c r="AP1320" i="2"/>
  <c r="AP1309" i="2"/>
  <c r="AR1317" i="2"/>
  <c r="AP1308" i="2"/>
  <c r="AP1314" i="2" s="1"/>
  <c r="AP1270" i="2"/>
  <c r="AP1271" i="2" s="1"/>
  <c r="AP1274" i="2" s="1"/>
  <c r="AQ1275" i="2" s="1"/>
  <c r="AP1297" i="2" l="1"/>
  <c r="AP1284" i="2"/>
  <c r="AP1285" i="2" s="1"/>
  <c r="AP1288" i="2" s="1"/>
  <c r="AQ1289" i="2" s="1"/>
  <c r="AR1331" i="2"/>
  <c r="AP1323" i="2"/>
  <c r="AP1322" i="2"/>
  <c r="AP1334" i="2"/>
  <c r="AP1310" i="2"/>
  <c r="AP1298" i="2" l="1"/>
  <c r="AP1299" i="2" s="1"/>
  <c r="AP1302" i="2" s="1"/>
  <c r="AQ1303" i="2" s="1"/>
  <c r="AP1324" i="2"/>
  <c r="AP1325" i="2" s="1"/>
  <c r="AR1345" i="2"/>
  <c r="AP1336" i="2"/>
  <c r="AP1342" i="2" s="1"/>
  <c r="AP1348" i="2"/>
  <c r="AP1337" i="2"/>
  <c r="AP1328" i="2"/>
  <c r="AP1311" i="2"/>
  <c r="AP1362" i="2" l="1"/>
  <c r="AP1350" i="2"/>
  <c r="AP1351" i="2"/>
  <c r="AR1359" i="2"/>
  <c r="AP1326" i="2"/>
  <c r="AP1327" i="2" s="1"/>
  <c r="AP1330" i="2" s="1"/>
  <c r="AQ1331" i="2" s="1"/>
  <c r="AP1312" i="2"/>
  <c r="AP1313" i="2" s="1"/>
  <c r="AP1316" i="2" s="1"/>
  <c r="AQ1317" i="2" s="1"/>
  <c r="AP1338" i="2"/>
  <c r="AP1352" i="2" l="1"/>
  <c r="AP1353" i="2" s="1"/>
  <c r="AP1356" i="2"/>
  <c r="AP1376" i="2"/>
  <c r="AP1365" i="2"/>
  <c r="AR1373" i="2"/>
  <c r="AP1364" i="2"/>
  <c r="AP1339" i="2"/>
  <c r="AP1378" i="2" l="1"/>
  <c r="AR1387" i="2"/>
  <c r="AP1379" i="2"/>
  <c r="AP1390" i="2"/>
  <c r="AP1366" i="2"/>
  <c r="AP1340" i="2"/>
  <c r="AP1341" i="2" s="1"/>
  <c r="AP1344" i="2" s="1"/>
  <c r="AQ1345" i="2" s="1"/>
  <c r="AP1354" i="2"/>
  <c r="AP1355" i="2" s="1"/>
  <c r="AP1358" i="2" s="1"/>
  <c r="AQ1359" i="2" s="1"/>
  <c r="AP1370" i="2"/>
  <c r="AP1367" i="2" l="1"/>
  <c r="AR1401" i="2"/>
  <c r="AP1393" i="2"/>
  <c r="AP1404" i="2"/>
  <c r="AP1392" i="2"/>
  <c r="AP1380" i="2"/>
  <c r="AP1384" i="2"/>
  <c r="AP1394" i="2" l="1"/>
  <c r="AP1395" i="2" s="1"/>
  <c r="AP1398" i="2"/>
  <c r="AP1406" i="2"/>
  <c r="AP1412" i="2" s="1"/>
  <c r="AP1407" i="2"/>
  <c r="AR1415" i="2"/>
  <c r="AP1418" i="2"/>
  <c r="AP1368" i="2"/>
  <c r="AP1369" i="2" s="1"/>
  <c r="AP1372" i="2" s="1"/>
  <c r="AQ1373" i="2" s="1"/>
  <c r="AP1381" i="2"/>
  <c r="AP1408" i="2" l="1"/>
  <c r="AP1382" i="2"/>
  <c r="AP1383" i="2" s="1"/>
  <c r="AP1386" i="2" s="1"/>
  <c r="AQ1387" i="2" s="1"/>
  <c r="AP1396" i="2"/>
  <c r="AP1397" i="2" s="1"/>
  <c r="AP1400" i="2" s="1"/>
  <c r="AQ1401" i="2" s="1"/>
  <c r="AP1432" i="2"/>
  <c r="AP1421" i="2"/>
  <c r="AP1420" i="2"/>
  <c r="AP1426" i="2" s="1"/>
  <c r="AR1429" i="2"/>
  <c r="AP1409" i="2" l="1"/>
  <c r="AR1443" i="2"/>
  <c r="AP1434" i="2"/>
  <c r="AP1440" i="2" s="1"/>
  <c r="AP1446" i="2"/>
  <c r="AP1435" i="2"/>
  <c r="AP1422" i="2"/>
  <c r="AP1448" i="2" l="1"/>
  <c r="AP1454" i="2" s="1"/>
  <c r="AP1460" i="2"/>
  <c r="AP1449" i="2"/>
  <c r="AR1457" i="2"/>
  <c r="AP1410" i="2"/>
  <c r="AP1411" i="2" s="1"/>
  <c r="AP1414" i="2" s="1"/>
  <c r="AQ1415" i="2" s="1"/>
  <c r="AP1423" i="2"/>
  <c r="AP1436" i="2"/>
  <c r="AP1450" i="2" l="1"/>
  <c r="AP1451" i="2" s="1"/>
  <c r="AP1424" i="2"/>
  <c r="AP1425" i="2" s="1"/>
  <c r="AP1428" i="2" s="1"/>
  <c r="AQ1429" i="2" s="1"/>
  <c r="AP1437" i="2"/>
  <c r="AP1474" i="2"/>
  <c r="AP1463" i="2"/>
  <c r="AR1471" i="2"/>
  <c r="AP1462" i="2"/>
  <c r="AP1468" i="2" s="1"/>
  <c r="AP1438" i="2" l="1"/>
  <c r="AP1439" i="2" s="1"/>
  <c r="AP1442" i="2" s="1"/>
  <c r="AQ1443" i="2" s="1"/>
  <c r="AP1452" i="2"/>
  <c r="AP1453" i="2" s="1"/>
  <c r="AP1456" i="2" s="1"/>
  <c r="AQ1457" i="2" s="1"/>
  <c r="AP1488" i="2"/>
  <c r="AR1485" i="2"/>
  <c r="AP1477" i="2"/>
  <c r="AP1476" i="2"/>
  <c r="AP1482" i="2" s="1"/>
  <c r="AP1464" i="2"/>
  <c r="AP1465" i="2" l="1"/>
  <c r="AR1499" i="2"/>
  <c r="AP1502" i="2"/>
  <c r="AP1491" i="2"/>
  <c r="AP1490" i="2"/>
  <c r="AP1478" i="2"/>
  <c r="AP1466" i="2" l="1"/>
  <c r="AP1467" i="2" s="1"/>
  <c r="AP1470" i="2" s="1"/>
  <c r="AQ1471" i="2" s="1"/>
  <c r="AP1504" i="2"/>
  <c r="AR1513" i="2"/>
  <c r="AP1516" i="2"/>
  <c r="AP1505" i="2"/>
  <c r="AP1479" i="2"/>
  <c r="AP1492" i="2"/>
  <c r="AP1496" i="2"/>
  <c r="AP1506" i="2" l="1"/>
  <c r="AP1480" i="2"/>
  <c r="AP1481" i="2" s="1"/>
  <c r="AP1484" i="2" s="1"/>
  <c r="AQ1485" i="2" s="1"/>
  <c r="AP1530" i="2"/>
  <c r="AR1527" i="2"/>
  <c r="AP1518" i="2"/>
  <c r="AP1519" i="2"/>
  <c r="AP1493" i="2"/>
  <c r="AP1510" i="2"/>
  <c r="AP1520" i="2" l="1"/>
  <c r="AP1494" i="2"/>
  <c r="AP1495" i="2" s="1"/>
  <c r="AP1498" i="2" s="1"/>
  <c r="AQ1499" i="2" s="1"/>
  <c r="AP1544" i="2"/>
  <c r="AP1532" i="2"/>
  <c r="AP1538" i="2" s="1"/>
  <c r="AP1533" i="2"/>
  <c r="AR1541" i="2"/>
  <c r="AP1507" i="2"/>
  <c r="AP1524" i="2"/>
  <c r="AP1521" i="2" l="1"/>
  <c r="AP1546" i="2"/>
  <c r="AP1552" i="2" s="1"/>
  <c r="AR1555" i="2"/>
  <c r="AP1558" i="2"/>
  <c r="AP1547" i="2"/>
  <c r="AP1508" i="2"/>
  <c r="AP1509" i="2" s="1"/>
  <c r="AP1512" i="2" s="1"/>
  <c r="AQ1513" i="2" s="1"/>
  <c r="AP1534" i="2"/>
  <c r="AP1548" i="2" l="1"/>
  <c r="AP1522" i="2"/>
  <c r="AP1523" i="2" s="1"/>
  <c r="AP1526" i="2" s="1"/>
  <c r="AQ1527" i="2" s="1"/>
  <c r="AP1560" i="2"/>
  <c r="AR1569" i="2"/>
  <c r="AP1561" i="2"/>
  <c r="AP1572" i="2"/>
  <c r="AP1535" i="2"/>
  <c r="AP1549" i="2" l="1"/>
  <c r="AP1550" i="2" s="1"/>
  <c r="AP1551" i="2" s="1"/>
  <c r="AP1562" i="2"/>
  <c r="AP1563" i="2" s="1"/>
  <c r="AP1566" i="2"/>
  <c r="AP1536" i="2"/>
  <c r="AP1537" i="2" s="1"/>
  <c r="AP1540" i="2" s="1"/>
  <c r="AQ1541" i="2" s="1"/>
  <c r="AR1583" i="2"/>
  <c r="AP1586" i="2"/>
  <c r="AP1574" i="2"/>
  <c r="AP1575" i="2"/>
  <c r="AP1554" i="2" l="1"/>
  <c r="AQ1555" i="2" s="1"/>
  <c r="AP1576" i="2"/>
  <c r="AP1600" i="2"/>
  <c r="AP1588" i="2"/>
  <c r="AP1594" i="2" s="1"/>
  <c r="AP1589" i="2"/>
  <c r="AR1597" i="2"/>
  <c r="AP1564" i="2"/>
  <c r="AP1565" i="2" s="1"/>
  <c r="AP1568" i="2" s="1"/>
  <c r="AQ1569" i="2" s="1"/>
  <c r="AP1580" i="2"/>
  <c r="AP1577" i="2" l="1"/>
  <c r="AP1578" i="2" s="1"/>
  <c r="AP1579" i="2" s="1"/>
  <c r="AP1590" i="2"/>
  <c r="AP1591" i="2" s="1"/>
  <c r="AP1602" i="2"/>
  <c r="AP1608" i="2" s="1"/>
  <c r="AP1614" i="2"/>
  <c r="AR1611" i="2"/>
  <c r="AP1603" i="2"/>
  <c r="AP1582" i="2" l="1"/>
  <c r="AQ1583" i="2" s="1"/>
  <c r="AP1592" i="2"/>
  <c r="AP1593" i="2" s="1"/>
  <c r="AP1596" i="2" s="1"/>
  <c r="AQ1597" i="2" s="1"/>
  <c r="AP1616" i="2"/>
  <c r="AP1622" i="2" s="1"/>
  <c r="AR1625" i="2"/>
  <c r="AP1617" i="2"/>
  <c r="AP1628" i="2"/>
  <c r="AP1604" i="2"/>
  <c r="AP1642" i="2" l="1"/>
  <c r="AP1631" i="2"/>
  <c r="AR1639" i="2"/>
  <c r="AP1630" i="2"/>
  <c r="AP1636" i="2" s="1"/>
  <c r="AP1605" i="2"/>
  <c r="AP1618" i="2"/>
  <c r="AP1606" i="2" l="1"/>
  <c r="AP1607" i="2" s="1"/>
  <c r="AP1610" i="2" s="1"/>
  <c r="AQ1611" i="2" s="1"/>
  <c r="AP1644" i="2"/>
  <c r="AP1650" i="2" s="1"/>
  <c r="AR1653" i="2"/>
  <c r="AP1656" i="2"/>
  <c r="AP1645" i="2"/>
  <c r="AP1619" i="2"/>
  <c r="AP1632" i="2"/>
  <c r="AP1670" i="2" l="1"/>
  <c r="AP1659" i="2"/>
  <c r="AR1667" i="2"/>
  <c r="AP1658" i="2"/>
  <c r="AP1664" i="2" s="1"/>
  <c r="AP1633" i="2"/>
  <c r="AP1620" i="2"/>
  <c r="AP1621" i="2" s="1"/>
  <c r="AP1624" i="2" s="1"/>
  <c r="AQ1625" i="2" s="1"/>
  <c r="AP1646" i="2"/>
  <c r="AP1673" i="2" l="1"/>
  <c r="AP1684" i="2"/>
  <c r="AR1681" i="2"/>
  <c r="AP1672" i="2"/>
  <c r="AP1647" i="2"/>
  <c r="AP1634" i="2"/>
  <c r="AP1635" i="2" s="1"/>
  <c r="AP1638" i="2" s="1"/>
  <c r="AQ1639" i="2" s="1"/>
  <c r="AP1660" i="2"/>
  <c r="AP1674" i="2" l="1"/>
  <c r="AP1661" i="2"/>
  <c r="AP1648" i="2"/>
  <c r="AP1649" i="2" s="1"/>
  <c r="AP1652" i="2" s="1"/>
  <c r="AQ1653" i="2" s="1"/>
  <c r="AP1698" i="2"/>
  <c r="AP1686" i="2"/>
  <c r="AP1692" i="2" s="1"/>
  <c r="AP1687" i="2"/>
  <c r="AR1695" i="2"/>
  <c r="AP1678" i="2"/>
  <c r="AP1675" i="2" l="1"/>
  <c r="AP1701" i="2"/>
  <c r="AR1709" i="2"/>
  <c r="AP1712" i="2"/>
  <c r="AP1700" i="2"/>
  <c r="AP1662" i="2"/>
  <c r="AP1663" i="2" s="1"/>
  <c r="AP1666" i="2" s="1"/>
  <c r="AQ1667" i="2" s="1"/>
  <c r="AP1688" i="2"/>
  <c r="AP1702" i="2" l="1"/>
  <c r="AP1703" i="2" s="1"/>
  <c r="AP1676" i="2"/>
  <c r="AP1677" i="2" s="1"/>
  <c r="AP1680" i="2" s="1"/>
  <c r="AQ1681" i="2" s="1"/>
  <c r="AP1689" i="2"/>
  <c r="AR1723" i="2"/>
  <c r="AP1726" i="2"/>
  <c r="AP1715" i="2"/>
  <c r="AP1714" i="2"/>
  <c r="AP1706" i="2"/>
  <c r="AP1716" i="2" l="1"/>
  <c r="AP1704" i="2"/>
  <c r="AP1705" i="2" s="1"/>
  <c r="AP1708" i="2" s="1"/>
  <c r="AQ1709" i="2" s="1"/>
  <c r="AP1690" i="2"/>
  <c r="AP1691" i="2" s="1"/>
  <c r="AP1694" i="2" s="1"/>
  <c r="AQ1695" i="2" s="1"/>
  <c r="AP1728" i="2"/>
  <c r="AP1734" i="2" s="1"/>
  <c r="AR1737" i="2"/>
  <c r="AP1729" i="2"/>
  <c r="AP1740" i="2"/>
  <c r="AP1720" i="2"/>
  <c r="AP1717" i="2" l="1"/>
  <c r="AP1718" i="2" s="1"/>
  <c r="AP1719" i="2" s="1"/>
  <c r="AP1730" i="2"/>
  <c r="AP1754" i="2"/>
  <c r="AR1751" i="2"/>
  <c r="AP1742" i="2"/>
  <c r="AP1743" i="2"/>
  <c r="AP1722" i="2" l="1"/>
  <c r="AQ1723" i="2" s="1"/>
  <c r="AP1768" i="2"/>
  <c r="AP1756" i="2"/>
  <c r="AP1757" i="2"/>
  <c r="AR1765" i="2"/>
  <c r="AP1731" i="2"/>
  <c r="AP1748" i="2"/>
  <c r="AP1744" i="2"/>
  <c r="AP1732" i="2" l="1"/>
  <c r="AP1733" i="2" s="1"/>
  <c r="AP1736" i="2" s="1"/>
  <c r="AQ1737" i="2" s="1"/>
  <c r="AP1762" i="2"/>
  <c r="AP1758" i="2"/>
  <c r="AR1779" i="2"/>
  <c r="AP1782" i="2"/>
  <c r="AP1771" i="2"/>
  <c r="AP1770" i="2"/>
  <c r="AP1745" i="2"/>
  <c r="AP1772" i="2" l="1"/>
  <c r="AP1773" i="2" s="1"/>
  <c r="AP1776" i="2"/>
  <c r="AP1746" i="2"/>
  <c r="AP1747" i="2" s="1"/>
  <c r="AP1750" i="2" s="1"/>
  <c r="AQ1751" i="2" s="1"/>
  <c r="AR1793" i="2"/>
  <c r="AP1796" i="2"/>
  <c r="AP1784" i="2"/>
  <c r="AP1785" i="2"/>
  <c r="AP1759" i="2"/>
  <c r="AP1786" i="2" l="1"/>
  <c r="AP1787" i="2" s="1"/>
  <c r="AP1760" i="2"/>
  <c r="AP1761" i="2" s="1"/>
  <c r="AP1764" i="2" s="1"/>
  <c r="AQ1765" i="2" s="1"/>
  <c r="AP1774" i="2"/>
  <c r="AP1775" i="2" s="1"/>
  <c r="AP1778" i="2" s="1"/>
  <c r="AQ1779" i="2" s="1"/>
  <c r="AP1799" i="2"/>
  <c r="AR1807" i="2"/>
  <c r="AP1810" i="2"/>
  <c r="AP1798" i="2"/>
  <c r="AP1790" i="2"/>
  <c r="AP1800" i="2" l="1"/>
  <c r="AP1801" i="2" s="1"/>
  <c r="AP1824" i="2"/>
  <c r="AP1812" i="2"/>
  <c r="AP1818" i="2" s="1"/>
  <c r="AR1821" i="2"/>
  <c r="AP1813" i="2"/>
  <c r="AP1788" i="2"/>
  <c r="AP1789" i="2" s="1"/>
  <c r="AP1792" i="2" s="1"/>
  <c r="AQ1793" i="2" s="1"/>
  <c r="AP1804" i="2"/>
  <c r="AR1835" i="2" l="1"/>
  <c r="AP1826" i="2"/>
  <c r="AP1838" i="2"/>
  <c r="AP1827" i="2"/>
  <c r="AP1802" i="2"/>
  <c r="AP1803" i="2" s="1"/>
  <c r="AP1806" i="2" s="1"/>
  <c r="AQ1807" i="2" s="1"/>
  <c r="AP1814" i="2"/>
  <c r="AP1828" i="2" l="1"/>
  <c r="AP1829" i="2" s="1"/>
  <c r="AP1815" i="2"/>
  <c r="AR1849" i="2"/>
  <c r="AP1841" i="2"/>
  <c r="AP1852" i="2"/>
  <c r="AP1840" i="2"/>
  <c r="AP1846" i="2" s="1"/>
  <c r="AP1832" i="2"/>
  <c r="AP1830" i="2" l="1"/>
  <c r="AP1831" i="2" s="1"/>
  <c r="AP1834" i="2" s="1"/>
  <c r="AQ1835" i="2" s="1"/>
  <c r="AP1855" i="2"/>
  <c r="AP1854" i="2"/>
  <c r="AR1863" i="2"/>
  <c r="AP1866" i="2"/>
  <c r="AP1816" i="2"/>
  <c r="AP1817" i="2" s="1"/>
  <c r="AP1820" i="2" s="1"/>
  <c r="AQ1821" i="2" s="1"/>
  <c r="AP1842" i="2"/>
  <c r="AP1856" i="2" l="1"/>
  <c r="AP1843" i="2"/>
  <c r="AP1880" i="2"/>
  <c r="AP1869" i="2"/>
  <c r="AR1877" i="2"/>
  <c r="AP1868" i="2"/>
  <c r="AP1860" i="2"/>
  <c r="AP1870" i="2" l="1"/>
  <c r="AP1871" i="2" s="1"/>
  <c r="AP1857" i="2"/>
  <c r="AP1874" i="2"/>
  <c r="AR1891" i="2"/>
  <c r="AP1882" i="2"/>
  <c r="AP1894" i="2"/>
  <c r="AP1883" i="2"/>
  <c r="AP1844" i="2"/>
  <c r="AP1845" i="2" s="1"/>
  <c r="AP1848" i="2" s="1"/>
  <c r="AQ1849" i="2" s="1"/>
  <c r="AP1858" i="2" l="1"/>
  <c r="AP1859" i="2" s="1"/>
  <c r="AP1862" i="2" s="1"/>
  <c r="AQ1863" i="2" s="1"/>
  <c r="AP1896" i="2"/>
  <c r="AP1902" i="2" s="1"/>
  <c r="AR1905" i="2"/>
  <c r="AP1908" i="2"/>
  <c r="AP1897" i="2"/>
  <c r="AP1872" i="2"/>
  <c r="AP1873" i="2" s="1"/>
  <c r="AP1876" i="2" s="1"/>
  <c r="AQ1877" i="2" s="1"/>
  <c r="AP1884" i="2"/>
  <c r="AP1888" i="2"/>
  <c r="AP1898" i="2" l="1"/>
  <c r="AP1899" i="2" s="1"/>
  <c r="AP1911" i="2"/>
  <c r="AP1910" i="2"/>
  <c r="AP1916" i="2" s="1"/>
  <c r="AR1919" i="2"/>
  <c r="AP1922" i="2"/>
  <c r="AP1885" i="2"/>
  <c r="AP1886" i="2" l="1"/>
  <c r="AP1887" i="2" s="1"/>
  <c r="AP1890" i="2" s="1"/>
  <c r="AQ1891" i="2" s="1"/>
  <c r="AP1936" i="2"/>
  <c r="AP1924" i="2"/>
  <c r="AR1933" i="2"/>
  <c r="AP1925" i="2"/>
  <c r="AP1900" i="2"/>
  <c r="AP1901" i="2" s="1"/>
  <c r="AP1904" i="2" s="1"/>
  <c r="AQ1905" i="2" s="1"/>
  <c r="AP1912" i="2"/>
  <c r="AP1926" i="2" l="1"/>
  <c r="AP1927" i="2" s="1"/>
  <c r="AP1913" i="2"/>
  <c r="AP1930" i="2"/>
  <c r="AP1938" i="2"/>
  <c r="AP1944" i="2" s="1"/>
  <c r="AR1947" i="2"/>
  <c r="AP1950" i="2"/>
  <c r="AP1939" i="2"/>
  <c r="AP1940" i="2" l="1"/>
  <c r="AP1928" i="2"/>
  <c r="AP1929" i="2" s="1"/>
  <c r="AP1932" i="2" s="1"/>
  <c r="AQ1933" i="2" s="1"/>
  <c r="AP1914" i="2"/>
  <c r="AP1915" i="2" s="1"/>
  <c r="AP1918" i="2" s="1"/>
  <c r="AQ1919" i="2" s="1"/>
  <c r="AP1952" i="2"/>
  <c r="AP1958" i="2" s="1"/>
  <c r="AR1961" i="2"/>
  <c r="AP1964" i="2"/>
  <c r="AP1953" i="2"/>
  <c r="AP1941" i="2" l="1"/>
  <c r="AP1942" i="2" s="1"/>
  <c r="AP1943" i="2" s="1"/>
  <c r="AP1978" i="2"/>
  <c r="AP1966" i="2"/>
  <c r="AP1972" i="2" s="1"/>
  <c r="AP1967" i="2"/>
  <c r="AR1975" i="2"/>
  <c r="AP1954" i="2"/>
  <c r="AP1946" i="2" l="1"/>
  <c r="AQ1947" i="2" s="1"/>
  <c r="AP1968" i="2"/>
  <c r="AP1969" i="2" s="1"/>
  <c r="AP1981" i="2"/>
  <c r="AP1992" i="2"/>
  <c r="AR1989" i="2"/>
  <c r="AP1980" i="2"/>
  <c r="AP1955" i="2"/>
  <c r="AP1982" i="2" l="1"/>
  <c r="AP1956" i="2"/>
  <c r="AP1957" i="2" s="1"/>
  <c r="AP1960" i="2" s="1"/>
  <c r="AQ1961" i="2" s="1"/>
  <c r="AP2006" i="2"/>
  <c r="AP1995" i="2"/>
  <c r="AP1994" i="2"/>
  <c r="AR2003" i="2"/>
  <c r="AP1970" i="2"/>
  <c r="AP1971" i="2" s="1"/>
  <c r="AP1974" i="2" s="1"/>
  <c r="AQ1975" i="2" s="1"/>
  <c r="AP1986" i="2"/>
  <c r="AP1983" i="2" l="1"/>
  <c r="AP1996" i="2"/>
  <c r="AP2020" i="2"/>
  <c r="AR2017" i="2"/>
  <c r="AP2008" i="2"/>
  <c r="AP2009" i="2"/>
  <c r="AP2000" i="2"/>
  <c r="AP1984" i="2" l="1"/>
  <c r="AP1985" i="2" s="1"/>
  <c r="AP1988" i="2" s="1"/>
  <c r="AQ1989" i="2" s="1"/>
  <c r="AP2010" i="2"/>
  <c r="AP1997" i="2"/>
  <c r="AP2022" i="2"/>
  <c r="AR2031" i="2"/>
  <c r="AP2023" i="2"/>
  <c r="AP2034" i="2"/>
  <c r="AP2014" i="2"/>
  <c r="AP2011" i="2" l="1"/>
  <c r="AP2028" i="2"/>
  <c r="AP2024" i="2"/>
  <c r="AP1998" i="2"/>
  <c r="AP1999" i="2" s="1"/>
  <c r="AP2002" i="2" s="1"/>
  <c r="AQ2003" i="2" s="1"/>
  <c r="AP2036" i="2"/>
  <c r="AR2045" i="2"/>
  <c r="AP2037" i="2"/>
  <c r="AP2048" i="2"/>
  <c r="AP2012" i="2" l="1"/>
  <c r="AP2013" i="2" s="1"/>
  <c r="AP2016" i="2" s="1"/>
  <c r="AQ2017" i="2" s="1"/>
  <c r="AP2025" i="2"/>
  <c r="AP2042" i="2"/>
  <c r="AP2038" i="2"/>
  <c r="AP2062" i="2"/>
  <c r="AP2050" i="2"/>
  <c r="AR2059" i="2"/>
  <c r="AP2051" i="2"/>
  <c r="AP2052" i="2" l="1"/>
  <c r="AP2053" i="2" s="1"/>
  <c r="AP2076" i="2"/>
  <c r="AP2065" i="2"/>
  <c r="AP2064" i="2"/>
  <c r="AP2070" i="2" s="1"/>
  <c r="AR2073" i="2"/>
  <c r="AP2026" i="2"/>
  <c r="AP2027" i="2" s="1"/>
  <c r="AP2030" i="2" s="1"/>
  <c r="AQ2031" i="2" s="1"/>
  <c r="AP2056" i="2"/>
  <c r="AP2039" i="2"/>
  <c r="AP2066" i="2" l="1"/>
  <c r="AP2054" i="2"/>
  <c r="AP2055" i="2" s="1"/>
  <c r="AP2058" i="2" s="1"/>
  <c r="AQ2059" i="2" s="1"/>
  <c r="AP2079" i="2"/>
  <c r="AP2090" i="2"/>
  <c r="AP2078" i="2"/>
  <c r="AR2087" i="2"/>
  <c r="AP2040" i="2"/>
  <c r="AP2041" i="2" s="1"/>
  <c r="AP2044" i="2" s="1"/>
  <c r="AQ2045" i="2" s="1"/>
  <c r="AP2080" i="2" l="1"/>
  <c r="AP2081" i="2" s="1"/>
  <c r="AP2092" i="2"/>
  <c r="AP2104" i="2"/>
  <c r="AP2093" i="2"/>
  <c r="AR2101" i="2"/>
  <c r="AP2067" i="2"/>
  <c r="AP2084" i="2"/>
  <c r="AP2094" i="2" l="1"/>
  <c r="AP2095" i="2" s="1"/>
  <c r="AP2098" i="2"/>
  <c r="AP2068" i="2"/>
  <c r="AP2069" i="2" s="1"/>
  <c r="AP2072" i="2" s="1"/>
  <c r="AQ2073" i="2" s="1"/>
  <c r="AP2118" i="2"/>
  <c r="AP2107" i="2"/>
  <c r="AP2106" i="2"/>
  <c r="AP2112" i="2" s="1"/>
  <c r="AR2115" i="2"/>
  <c r="AP2082" i="2"/>
  <c r="AP2083" i="2" s="1"/>
  <c r="AP2086" i="2" s="1"/>
  <c r="AQ2087" i="2" s="1"/>
  <c r="AP2096" i="2" l="1"/>
  <c r="AP2097" i="2" s="1"/>
  <c r="AP2100" i="2" s="1"/>
  <c r="AQ2101" i="2" s="1"/>
  <c r="AP2132" i="2"/>
  <c r="AP2121" i="2"/>
  <c r="AR2129" i="2"/>
  <c r="AP2120" i="2"/>
  <c r="AP2108" i="2"/>
  <c r="AP2122" i="2" l="1"/>
  <c r="AP2123" i="2" s="1"/>
  <c r="AP2146" i="2"/>
  <c r="AR2143" i="2"/>
  <c r="AP2134" i="2"/>
  <c r="AP2135" i="2"/>
  <c r="AP2109" i="2"/>
  <c r="AP2126" i="2"/>
  <c r="AP2136" i="2" l="1"/>
  <c r="AP2137" i="2" s="1"/>
  <c r="AP2140" i="2"/>
  <c r="AP2110" i="2"/>
  <c r="AP2111" i="2" s="1"/>
  <c r="AP2114" i="2" s="1"/>
  <c r="AQ2115" i="2" s="1"/>
  <c r="AP2160" i="2"/>
  <c r="AP2149" i="2"/>
  <c r="AR2157" i="2"/>
  <c r="AP2148" i="2"/>
  <c r="AP2124" i="2"/>
  <c r="AP2125" i="2" s="1"/>
  <c r="AP2128" i="2" s="1"/>
  <c r="AQ2129" i="2" s="1"/>
  <c r="AP2154" i="2" l="1"/>
  <c r="AP2150" i="2"/>
  <c r="AP2174" i="2"/>
  <c r="AP2163" i="2"/>
  <c r="AP2162" i="2"/>
  <c r="AR2171" i="2"/>
  <c r="AP2138" i="2"/>
  <c r="AP2139" i="2" s="1"/>
  <c r="AP2142" i="2" s="1"/>
  <c r="AQ2143" i="2" s="1"/>
  <c r="AP2164" i="2" l="1"/>
  <c r="AP2165" i="2" s="1"/>
  <c r="AP2151" i="2"/>
  <c r="AP2176" i="2"/>
  <c r="AP2177" i="2"/>
  <c r="AR2185" i="2"/>
  <c r="AP2188" i="2"/>
  <c r="AP2168" i="2"/>
  <c r="AP2178" i="2" l="1"/>
  <c r="AP2179" i="2" s="1"/>
  <c r="AP2190" i="2"/>
  <c r="AP2196" i="2" s="1"/>
  <c r="AP2202" i="2"/>
  <c r="AP2191" i="2"/>
  <c r="AR2199" i="2"/>
  <c r="AP2166" i="2"/>
  <c r="AP2167" i="2" s="1"/>
  <c r="AP2170" i="2" s="1"/>
  <c r="AQ2171" i="2" s="1"/>
  <c r="AP2182" i="2"/>
  <c r="AP2152" i="2"/>
  <c r="AP2153" i="2" s="1"/>
  <c r="AP2156" i="2" s="1"/>
  <c r="AQ2157" i="2" s="1"/>
  <c r="AP2192" i="2" l="1"/>
  <c r="AP2180" i="2"/>
  <c r="AP2181" i="2" s="1"/>
  <c r="AP2184" i="2" s="1"/>
  <c r="AQ2185" i="2" s="1"/>
  <c r="AR2213" i="2"/>
  <c r="AP2216" i="2"/>
  <c r="AP2204" i="2"/>
  <c r="AP2210" i="2" s="1"/>
  <c r="AP2205" i="2"/>
  <c r="AP2193" i="2" l="1"/>
  <c r="AP2218" i="2"/>
  <c r="AP2224" i="2" s="1"/>
  <c r="AR2227" i="2"/>
  <c r="AP2230" i="2"/>
  <c r="AP2219" i="2"/>
  <c r="AP2206" i="2"/>
  <c r="AP2194" i="2" l="1"/>
  <c r="AP2195" i="2" s="1"/>
  <c r="AP2198" i="2" s="1"/>
  <c r="AQ2199" i="2" s="1"/>
  <c r="AR2241" i="2"/>
  <c r="AP2244" i="2"/>
  <c r="AP2232" i="2"/>
  <c r="AP2238" i="2" s="1"/>
  <c r="AP2233" i="2"/>
  <c r="AP2207" i="2"/>
  <c r="AP2220" i="2"/>
  <c r="AP2247" i="2" l="1"/>
  <c r="AP2258" i="2"/>
  <c r="AR2255" i="2"/>
  <c r="AP2246" i="2"/>
  <c r="AP2252" i="2" s="1"/>
  <c r="AP2208" i="2"/>
  <c r="AP2209" i="2" s="1"/>
  <c r="AP2212" i="2" s="1"/>
  <c r="AQ2213" i="2" s="1"/>
  <c r="AP2221" i="2"/>
  <c r="AP2234" i="2"/>
  <c r="AP2235" i="2" l="1"/>
  <c r="AP2261" i="2"/>
  <c r="AR2269" i="2"/>
  <c r="AP2272" i="2"/>
  <c r="AP2260" i="2"/>
  <c r="AP2222" i="2"/>
  <c r="AP2223" i="2" s="1"/>
  <c r="AP2226" i="2" s="1"/>
  <c r="AQ2227" i="2" s="1"/>
  <c r="AP2248" i="2"/>
  <c r="AP2262" i="2" l="1"/>
  <c r="AP2263" i="2" s="1"/>
  <c r="AP2286" i="2"/>
  <c r="AR2283" i="2"/>
  <c r="AP2275" i="2"/>
  <c r="AP2274" i="2"/>
  <c r="AP2280" i="2" s="1"/>
  <c r="AP2236" i="2"/>
  <c r="AP2237" i="2" s="1"/>
  <c r="AP2240" i="2" s="1"/>
  <c r="AQ2241" i="2" s="1"/>
  <c r="AP2249" i="2"/>
  <c r="AP2266" i="2"/>
  <c r="AP2264" i="2" l="1"/>
  <c r="AP2265" i="2" s="1"/>
  <c r="AP2268" i="2" s="1"/>
  <c r="AQ2269" i="2" s="1"/>
  <c r="AP2250" i="2"/>
  <c r="AP2251" i="2" s="1"/>
  <c r="AP2254" i="2" s="1"/>
  <c r="AQ2255" i="2" s="1"/>
  <c r="AP2288" i="2"/>
  <c r="AP2289" i="2"/>
  <c r="AR2297" i="2"/>
  <c r="AP2300" i="2"/>
  <c r="AP2276" i="2"/>
  <c r="AP2290" i="2" l="1"/>
  <c r="AP2291" i="2" s="1"/>
  <c r="AP2302" i="2"/>
  <c r="AP2308" i="2" s="1"/>
  <c r="AR2311" i="2"/>
  <c r="AP2314" i="2"/>
  <c r="AP2303" i="2"/>
  <c r="AP2294" i="2"/>
  <c r="AP2277" i="2"/>
  <c r="AP2304" i="2" l="1"/>
  <c r="AP2316" i="2"/>
  <c r="AP2328" i="2"/>
  <c r="AP2317" i="2"/>
  <c r="AR2325" i="2"/>
  <c r="AP2292" i="2"/>
  <c r="AP2293" i="2" s="1"/>
  <c r="AP2296" i="2" s="1"/>
  <c r="AQ2297" i="2" s="1"/>
  <c r="AP2278" i="2"/>
  <c r="AP2279" i="2" s="1"/>
  <c r="AP2282" i="2" s="1"/>
  <c r="AQ2283" i="2" s="1"/>
  <c r="AP2318" i="2" l="1"/>
  <c r="AP2319" i="2" s="1"/>
  <c r="AP2322" i="2"/>
  <c r="AP2305" i="2"/>
  <c r="AP2331" i="2"/>
  <c r="AP2342" i="2"/>
  <c r="AR2339" i="2"/>
  <c r="AP2330" i="2"/>
  <c r="AP2332" i="2" l="1"/>
  <c r="AP2333" i="2" s="1"/>
  <c r="AP2306" i="2"/>
  <c r="AP2307" i="2" s="1"/>
  <c r="AP2310" i="2" s="1"/>
  <c r="AQ2311" i="2" s="1"/>
  <c r="AP2320" i="2"/>
  <c r="AP2321" i="2" s="1"/>
  <c r="AP2324" i="2" s="1"/>
  <c r="AQ2325" i="2" s="1"/>
  <c r="AP2356" i="2"/>
  <c r="AP2345" i="2"/>
  <c r="AR2353" i="2"/>
  <c r="AP2344" i="2"/>
  <c r="AP2336" i="2"/>
  <c r="AP2346" i="2" l="1"/>
  <c r="AP2350" i="2"/>
  <c r="AP2334" i="2"/>
  <c r="AP2335" i="2" s="1"/>
  <c r="AP2338" i="2" s="1"/>
  <c r="AQ2339" i="2" s="1"/>
  <c r="AP2358" i="2"/>
  <c r="AP2364" i="2" s="1"/>
  <c r="AP2370" i="2"/>
  <c r="AP2359" i="2"/>
  <c r="AR2367" i="2"/>
  <c r="AP2347" i="2" l="1"/>
  <c r="AP2360" i="2"/>
  <c r="AP2373" i="2"/>
  <c r="AR2381" i="2"/>
  <c r="AP2384" i="2"/>
  <c r="AP2372" i="2"/>
  <c r="AP2378" i="2" s="1"/>
  <c r="AP2361" i="2" l="1"/>
  <c r="AP2362" i="2" s="1"/>
  <c r="AP2363" i="2" s="1"/>
  <c r="AP2348" i="2"/>
  <c r="AP2349" i="2" s="1"/>
  <c r="AP2352" i="2" s="1"/>
  <c r="AQ2353" i="2" s="1"/>
  <c r="AP2387" i="2"/>
  <c r="AP2386" i="2"/>
  <c r="AP2392" i="2" s="1"/>
  <c r="AP2398" i="2"/>
  <c r="AR2395" i="2"/>
  <c r="AP2374" i="2"/>
  <c r="AP2366" i="2" l="1"/>
  <c r="AQ2367" i="2" s="1"/>
  <c r="AP2401" i="2"/>
  <c r="AP2412" i="2"/>
  <c r="AP2400" i="2"/>
  <c r="AP2406" i="2" s="1"/>
  <c r="AR2409" i="2"/>
  <c r="AP2375" i="2"/>
  <c r="AP2388" i="2"/>
  <c r="AP2376" i="2" l="1"/>
  <c r="AP2377" i="2" s="1"/>
  <c r="AP2380" i="2" s="1"/>
  <c r="AQ2381" i="2" s="1"/>
  <c r="AP2426" i="2"/>
  <c r="AR2423" i="2"/>
  <c r="AP2414" i="2"/>
  <c r="AP2415" i="2"/>
  <c r="AP2389" i="2"/>
  <c r="AP2402" i="2"/>
  <c r="AP2416" i="2" l="1"/>
  <c r="AP2417" i="2" s="1"/>
  <c r="AP2390" i="2"/>
  <c r="AP2391" i="2" s="1"/>
  <c r="AP2394" i="2" s="1"/>
  <c r="AQ2395" i="2" s="1"/>
  <c r="AP2403" i="2"/>
  <c r="AP2428" i="2"/>
  <c r="AP2434" i="2" s="1"/>
  <c r="AP2429" i="2"/>
  <c r="AR2437" i="2"/>
  <c r="AP2440" i="2"/>
  <c r="AP2420" i="2"/>
  <c r="AP2430" i="2" l="1"/>
  <c r="AP2418" i="2"/>
  <c r="AP2419" i="2" s="1"/>
  <c r="AP2422" i="2" s="1"/>
  <c r="AQ2423" i="2" s="1"/>
  <c r="AP2443" i="2"/>
  <c r="AP2454" i="2"/>
  <c r="AR2451" i="2"/>
  <c r="AP2442" i="2"/>
  <c r="AP2448" i="2" s="1"/>
  <c r="AP2404" i="2"/>
  <c r="AP2405" i="2" s="1"/>
  <c r="AP2408" i="2" s="1"/>
  <c r="AQ2409" i="2" s="1"/>
  <c r="AP2431" i="2" l="1"/>
  <c r="AP2432" i="2" s="1"/>
  <c r="AP2433" i="2" s="1"/>
  <c r="AP2444" i="2"/>
  <c r="AP2445" i="2" s="1"/>
  <c r="AP2457" i="2"/>
  <c r="AR2465" i="2"/>
  <c r="AP2468" i="2"/>
  <c r="AP2456" i="2"/>
  <c r="AP2462" i="2" s="1"/>
  <c r="AP2436" i="2" l="1"/>
  <c r="AQ2437" i="2" s="1"/>
  <c r="AP2446" i="2"/>
  <c r="AP2447" i="2" s="1"/>
  <c r="AP2450" i="2" s="1"/>
  <c r="AQ2451" i="2" s="1"/>
  <c r="AR2479" i="2"/>
  <c r="AP2471" i="2"/>
  <c r="AP2470" i="2"/>
  <c r="AP2482" i="2"/>
  <c r="AP2458" i="2"/>
  <c r="AP2472" i="2" l="1"/>
  <c r="AP2473" i="2" s="1"/>
  <c r="AP2484" i="2"/>
  <c r="AP2490" i="2" s="1"/>
  <c r="AP2496" i="2"/>
  <c r="AP2485" i="2"/>
  <c r="AR2493" i="2"/>
  <c r="AP2459" i="2"/>
  <c r="AP2476" i="2"/>
  <c r="AP2474" i="2" l="1"/>
  <c r="AP2475" i="2" s="1"/>
  <c r="AP2478" i="2" s="1"/>
  <c r="AQ2479" i="2" s="1"/>
  <c r="AP2486" i="2"/>
  <c r="AP2460" i="2"/>
  <c r="AP2461" i="2" s="1"/>
  <c r="AP2464" i="2" s="1"/>
  <c r="AQ2465" i="2" s="1"/>
  <c r="AP2498" i="2"/>
  <c r="AP2504" i="2" s="1"/>
  <c r="AP2510" i="2"/>
  <c r="AP2499" i="2"/>
  <c r="AR2507" i="2"/>
  <c r="AP2500" i="2" l="1"/>
  <c r="AP2487" i="2"/>
  <c r="AP2512" i="2"/>
  <c r="AR2521" i="2"/>
  <c r="AP2513" i="2"/>
  <c r="AP2524" i="2"/>
  <c r="AP2501" i="2" l="1"/>
  <c r="AP2514" i="2"/>
  <c r="AP2515" i="2" s="1"/>
  <c r="AP2518" i="2"/>
  <c r="AR2535" i="2"/>
  <c r="AP2538" i="2"/>
  <c r="AP2527" i="2"/>
  <c r="AP2526" i="2"/>
  <c r="AP2532" i="2" s="1"/>
  <c r="AP2488" i="2"/>
  <c r="AP2489" i="2" s="1"/>
  <c r="AP2492" i="2" s="1"/>
  <c r="AQ2493" i="2" s="1"/>
  <c r="AP2502" i="2" l="1"/>
  <c r="AP2503" i="2" s="1"/>
  <c r="AP2506" i="2" s="1"/>
  <c r="AQ2507" i="2" s="1"/>
  <c r="AP2516" i="2"/>
  <c r="AP2517" i="2" s="1"/>
  <c r="AP2520" i="2" s="1"/>
  <c r="AQ2521" i="2" s="1"/>
  <c r="AP2541" i="2"/>
  <c r="AP2552" i="2"/>
  <c r="AR2549" i="2"/>
  <c r="AP2540" i="2"/>
  <c r="AP2528" i="2"/>
  <c r="AP2542" i="2" l="1"/>
  <c r="AP2543" i="2" s="1"/>
  <c r="AP2529" i="2"/>
  <c r="AP2566" i="2"/>
  <c r="AP2554" i="2"/>
  <c r="AP2560" i="2" s="1"/>
  <c r="AR2563" i="2"/>
  <c r="AP2555" i="2"/>
  <c r="AP2546" i="2"/>
  <c r="AP2556" i="2" l="1"/>
  <c r="AR2577" i="2"/>
  <c r="AP2580" i="2"/>
  <c r="AP2569" i="2"/>
  <c r="AP2568" i="2"/>
  <c r="AP2574" i="2" s="1"/>
  <c r="AP2544" i="2"/>
  <c r="AP2545" i="2" s="1"/>
  <c r="AP2548" i="2" s="1"/>
  <c r="AQ2549" i="2" s="1"/>
  <c r="AP2530" i="2"/>
  <c r="AP2531" i="2" s="1"/>
  <c r="AP2534" i="2" s="1"/>
  <c r="AQ2535" i="2" s="1"/>
  <c r="AP2557" i="2" l="1"/>
  <c r="AP2558" i="2" s="1"/>
  <c r="AP2559" i="2" s="1"/>
  <c r="AR2591" i="2"/>
  <c r="AP2594" i="2"/>
  <c r="AP2582" i="2"/>
  <c r="AP2583" i="2"/>
  <c r="AP2570" i="2"/>
  <c r="AP2562" i="2" l="1"/>
  <c r="AQ2563" i="2" s="1"/>
  <c r="AP2584" i="2"/>
  <c r="AP2571" i="2"/>
  <c r="AP2608" i="2"/>
  <c r="AP2597" i="2"/>
  <c r="AR2605" i="2"/>
  <c r="AP2596" i="2"/>
  <c r="AP2602" i="2" s="1"/>
  <c r="AP2588" i="2"/>
  <c r="AP2585" i="2" l="1"/>
  <c r="AP2586" i="2" s="1"/>
  <c r="AP2587" i="2" s="1"/>
  <c r="AR2619" i="2"/>
  <c r="AP2622" i="2"/>
  <c r="AP2611" i="2"/>
  <c r="AP2610" i="2"/>
  <c r="AP2616" i="2" s="1"/>
  <c r="AP2572" i="2"/>
  <c r="AP2573" i="2" s="1"/>
  <c r="AP2576" i="2" s="1"/>
  <c r="AQ2577" i="2" s="1"/>
  <c r="AP2598" i="2"/>
  <c r="AP2590" i="2" l="1"/>
  <c r="AQ2591" i="2" s="1"/>
  <c r="AP2599" i="2"/>
  <c r="AR2633" i="2"/>
  <c r="AP2624" i="2"/>
  <c r="AP2630" i="2" s="1"/>
  <c r="AP2625" i="2"/>
  <c r="AP2636" i="2"/>
  <c r="AP2612" i="2"/>
  <c r="AP2600" i="2" l="1"/>
  <c r="AP2601" i="2" s="1"/>
  <c r="AP2604" i="2" s="1"/>
  <c r="AQ2605" i="2" s="1"/>
  <c r="AR2647" i="2"/>
  <c r="AP2638" i="2"/>
  <c r="AP2650" i="2"/>
  <c r="AP2639" i="2"/>
  <c r="AP2613" i="2"/>
  <c r="AP2626" i="2"/>
  <c r="AP2640" i="2" l="1"/>
  <c r="AP2627" i="2"/>
  <c r="AP2664" i="2"/>
  <c r="AR2661" i="2"/>
  <c r="AP2652" i="2"/>
  <c r="AP2658" i="2" s="1"/>
  <c r="AP2653" i="2"/>
  <c r="AP2614" i="2"/>
  <c r="AP2615" i="2" s="1"/>
  <c r="AP2618" i="2" s="1"/>
  <c r="AQ2619" i="2" s="1"/>
  <c r="AP2644" i="2"/>
  <c r="AP2641" i="2" l="1"/>
  <c r="AP2654" i="2"/>
  <c r="AP2655" i="2" s="1"/>
  <c r="AR2675" i="2"/>
  <c r="AP2666" i="2"/>
  <c r="AP2672" i="2" s="1"/>
  <c r="AP2678" i="2"/>
  <c r="AP2667" i="2"/>
  <c r="AP2628" i="2"/>
  <c r="AP2629" i="2" s="1"/>
  <c r="AP2632" i="2" s="1"/>
  <c r="AQ2633" i="2" s="1"/>
  <c r="AP2642" i="2" l="1"/>
  <c r="AP2643" i="2" s="1"/>
  <c r="AP2646" i="2" s="1"/>
  <c r="AQ2647" i="2" s="1"/>
  <c r="AP2656" i="2"/>
  <c r="AP2657" i="2" s="1"/>
  <c r="AP2660" i="2" s="1"/>
  <c r="AQ2661" i="2" s="1"/>
  <c r="AR2689" i="2"/>
  <c r="AP2681" i="2"/>
  <c r="AP2692" i="2"/>
  <c r="AP2680" i="2"/>
  <c r="AP2668" i="2"/>
  <c r="AP2682" i="2" l="1"/>
  <c r="AP2683" i="2" s="1"/>
  <c r="AP2695" i="2"/>
  <c r="AP2694" i="2"/>
  <c r="AP2700" i="2" s="1"/>
  <c r="AP2706" i="2"/>
  <c r="AR2703" i="2"/>
  <c r="AP2669" i="2"/>
  <c r="AP2686" i="2"/>
  <c r="AP2684" i="2" l="1"/>
  <c r="AP2685" i="2" s="1"/>
  <c r="AP2688" i="2" s="1"/>
  <c r="AQ2689" i="2" s="1"/>
  <c r="AP2670" i="2"/>
  <c r="AP2671" i="2" s="1"/>
  <c r="AP2674" i="2" s="1"/>
  <c r="AQ2675" i="2" s="1"/>
  <c r="AR2717" i="2"/>
  <c r="AP2720" i="2"/>
  <c r="AP2708" i="2"/>
  <c r="AP2714" i="2" s="1"/>
  <c r="AP2709" i="2"/>
  <c r="AP2696" i="2"/>
  <c r="AP2697" i="2" l="1"/>
  <c r="AP2722" i="2"/>
  <c r="AP2728" i="2" s="1"/>
  <c r="AP2723" i="2"/>
  <c r="AP2734" i="2"/>
  <c r="AR2731" i="2"/>
  <c r="AP2710" i="2"/>
  <c r="AP2724" i="2" l="1"/>
  <c r="AP2725" i="2" s="1"/>
  <c r="AP2698" i="2"/>
  <c r="AP2699" i="2" s="1"/>
  <c r="AP2702" i="2" s="1"/>
  <c r="AQ2703" i="2" s="1"/>
  <c r="AP2736" i="2"/>
  <c r="AP2742" i="2" s="1"/>
  <c r="AR2745" i="2"/>
  <c r="AP2737" i="2"/>
  <c r="AP2748" i="2"/>
  <c r="AP2711" i="2"/>
  <c r="AP2712" i="2" l="1"/>
  <c r="AP2713" i="2" s="1"/>
  <c r="AP2716" i="2" s="1"/>
  <c r="AQ2717" i="2" s="1"/>
  <c r="AP2726" i="2"/>
  <c r="AP2727" i="2" s="1"/>
  <c r="AP2730" i="2" s="1"/>
  <c r="AQ2731" i="2" s="1"/>
  <c r="AP2751" i="2"/>
  <c r="AR2759" i="2"/>
  <c r="AP2750" i="2"/>
  <c r="AP2756" i="2" s="1"/>
  <c r="AP2762" i="2"/>
  <c r="AP2738" i="2"/>
  <c r="AP2752" i="2" l="1"/>
  <c r="AP2739" i="2"/>
  <c r="AR2773" i="2"/>
  <c r="AP2765" i="2"/>
  <c r="AP2764" i="2"/>
  <c r="AP2770" i="2" s="1"/>
  <c r="AP2776" i="2"/>
  <c r="AP2740" i="2" l="1"/>
  <c r="AP2741" i="2" s="1"/>
  <c r="AP2744" i="2" s="1"/>
  <c r="AQ2745" i="2" s="1"/>
  <c r="AP2753" i="2"/>
  <c r="AR2787" i="2"/>
  <c r="AP2778" i="2"/>
  <c r="AP2784" i="2" s="1"/>
  <c r="AP2779" i="2"/>
  <c r="AP2790" i="2"/>
  <c r="AP2766" i="2"/>
  <c r="AP2780" i="2" l="1"/>
  <c r="AP2767" i="2"/>
  <c r="AP2792" i="2"/>
  <c r="AR2801" i="2"/>
  <c r="AP2793" i="2"/>
  <c r="AP2804" i="2"/>
  <c r="AP2754" i="2"/>
  <c r="AP2755" i="2" s="1"/>
  <c r="AP2758" i="2" s="1"/>
  <c r="AQ2759" i="2" s="1"/>
  <c r="AP2794" i="2" l="1"/>
  <c r="AP2781" i="2"/>
  <c r="AP2782" i="2" s="1"/>
  <c r="AP2783" i="2" s="1"/>
  <c r="AP2798" i="2"/>
  <c r="AP2806" i="2"/>
  <c r="AP2812" i="2" s="1"/>
  <c r="AP2818" i="2"/>
  <c r="AP2807" i="2"/>
  <c r="AR2815" i="2"/>
  <c r="AP2768" i="2"/>
  <c r="AP2769" i="2" s="1"/>
  <c r="AP2772" i="2" s="1"/>
  <c r="AQ2773" i="2" s="1"/>
  <c r="AP2795" i="2" l="1"/>
  <c r="AP2796" i="2" s="1"/>
  <c r="AP2797" i="2" s="1"/>
  <c r="AP2786" i="2"/>
  <c r="AQ2787" i="2" s="1"/>
  <c r="AP2820" i="2"/>
  <c r="AP2826" i="2" s="1"/>
  <c r="AP2832" i="2"/>
  <c r="AP2821" i="2"/>
  <c r="AR2829" i="2"/>
  <c r="AP2808" i="2"/>
  <c r="AP2800" i="2" l="1"/>
  <c r="AQ2801" i="2" s="1"/>
  <c r="AP2822" i="2"/>
  <c r="AP2809" i="2"/>
  <c r="AP2835" i="2"/>
  <c r="AP2834" i="2"/>
  <c r="AP2846" i="2"/>
  <c r="AR2843" i="2"/>
  <c r="AP2823" i="2" l="1"/>
  <c r="AP2824" i="2" s="1"/>
  <c r="AP2825" i="2" s="1"/>
  <c r="AP2836" i="2"/>
  <c r="AP2837" i="2" s="1"/>
  <c r="AP2810" i="2"/>
  <c r="AP2811" i="2" s="1"/>
  <c r="AP2814" i="2" s="1"/>
  <c r="AQ2815" i="2" s="1"/>
  <c r="AP2860" i="2"/>
  <c r="AR2857" i="2"/>
  <c r="AP2849" i="2"/>
  <c r="AP2848" i="2"/>
  <c r="AP2840" i="2"/>
  <c r="AP2828" i="2" l="1"/>
  <c r="AQ2829" i="2" s="1"/>
  <c r="AP2850" i="2"/>
  <c r="AP2851" i="2" s="1"/>
  <c r="AP2854" i="2"/>
  <c r="AP2874" i="2"/>
  <c r="AR2871" i="2"/>
  <c r="AP2862" i="2"/>
  <c r="AP2863" i="2"/>
  <c r="AP2838" i="2"/>
  <c r="AP2839" i="2" s="1"/>
  <c r="AP2842" i="2" s="1"/>
  <c r="AQ2843" i="2" s="1"/>
  <c r="AP2864" i="2" l="1"/>
  <c r="AP2868" i="2"/>
  <c r="AP2852" i="2"/>
  <c r="AP2853" i="2" s="1"/>
  <c r="AP2856" i="2" s="1"/>
  <c r="AQ2857" i="2" s="1"/>
  <c r="AP2876" i="2"/>
  <c r="AP2882" i="2" s="1"/>
  <c r="AP2888" i="2"/>
  <c r="AR2885" i="2"/>
  <c r="AP2877" i="2"/>
  <c r="AP2865" i="2" l="1"/>
  <c r="AP2878" i="2"/>
  <c r="AP2891" i="2"/>
  <c r="AP2890" i="2"/>
  <c r="AP2902" i="2"/>
  <c r="AR2899" i="2"/>
  <c r="AP2866" i="2" l="1"/>
  <c r="AP2867" i="2" s="1"/>
  <c r="AP2870" i="2" s="1"/>
  <c r="AQ2871" i="2" s="1"/>
  <c r="AP2892" i="2"/>
  <c r="AP2879" i="2"/>
  <c r="AP2880" i="2" s="1"/>
  <c r="AP2881" i="2" s="1"/>
  <c r="AR2913" i="2"/>
  <c r="AP2916" i="2"/>
  <c r="AP2905" i="2"/>
  <c r="AP2904" i="2"/>
  <c r="AP2896" i="2"/>
  <c r="AP2906" i="2" l="1"/>
  <c r="AP2884" i="2"/>
  <c r="AQ2885" i="2" s="1"/>
  <c r="AP2893" i="2"/>
  <c r="AP2894" i="2" s="1"/>
  <c r="AP2895" i="2" s="1"/>
  <c r="AP2918" i="2"/>
  <c r="AP2924" i="2" s="1"/>
  <c r="AP2930" i="2"/>
  <c r="AP2919" i="2"/>
  <c r="AR2927" i="2"/>
  <c r="AP2910" i="2"/>
  <c r="AP2898" i="2" l="1"/>
  <c r="AQ2899" i="2" s="1"/>
  <c r="AP2907" i="2"/>
  <c r="AP2920" i="2"/>
  <c r="AR2941" i="2"/>
  <c r="AP2932" i="2"/>
  <c r="AP2944" i="2"/>
  <c r="AP2933" i="2"/>
  <c r="AP2934" i="2" l="1"/>
  <c r="AP2935" i="2" s="1"/>
  <c r="AP2908" i="2"/>
  <c r="AP2909" i="2" s="1"/>
  <c r="AP2912" i="2" s="1"/>
  <c r="AQ2913" i="2" s="1"/>
  <c r="AP2958" i="2"/>
  <c r="AR2955" i="2"/>
  <c r="AP2946" i="2"/>
  <c r="AP2952" i="2" s="1"/>
  <c r="AP2947" i="2"/>
  <c r="AP2921" i="2"/>
  <c r="AP2938" i="2"/>
  <c r="AP2948" i="2" l="1"/>
  <c r="AP2936" i="2"/>
  <c r="AP2937" i="2" s="1"/>
  <c r="AP2940" i="2" s="1"/>
  <c r="AQ2941" i="2" s="1"/>
  <c r="AR2969" i="2"/>
  <c r="AP2961" i="2"/>
  <c r="AP2960" i="2"/>
  <c r="AP2966" i="2" s="1"/>
  <c r="AP2972" i="2"/>
  <c r="AP2922" i="2"/>
  <c r="AP2923" i="2" s="1"/>
  <c r="AP2926" i="2" s="1"/>
  <c r="AQ2927" i="2" s="1"/>
  <c r="AP2949" i="2" l="1"/>
  <c r="AP2975" i="2"/>
  <c r="AR2983" i="2"/>
  <c r="AP2974" i="2"/>
  <c r="AP2980" i="2" s="1"/>
  <c r="AP2986" i="2"/>
  <c r="AP2962" i="2"/>
  <c r="AP2950" i="2" l="1"/>
  <c r="AP2951" i="2" s="1"/>
  <c r="AP2954" i="2" s="1"/>
  <c r="AQ2955" i="2" s="1"/>
  <c r="AP2963" i="2"/>
  <c r="AP2988" i="2"/>
  <c r="AP2994" i="2" s="1"/>
  <c r="AP3000" i="2"/>
  <c r="AP2989" i="2"/>
  <c r="AR2997" i="2"/>
  <c r="AP2976" i="2"/>
  <c r="AP2964" i="2" l="1"/>
  <c r="AP2965" i="2" s="1"/>
  <c r="AP2968" i="2" s="1"/>
  <c r="AQ2969" i="2" s="1"/>
  <c r="AP2977" i="2"/>
  <c r="AP3014" i="2"/>
  <c r="AR3011" i="2"/>
  <c r="AP3003" i="2"/>
  <c r="AP3002" i="2"/>
  <c r="AP3008" i="2" s="1"/>
  <c r="AP2990" i="2"/>
  <c r="AP3017" i="2" l="1"/>
  <c r="AP3016" i="2"/>
  <c r="AP3028" i="2"/>
  <c r="AR3025" i="2"/>
  <c r="AP2991" i="2"/>
  <c r="AP2978" i="2"/>
  <c r="AP2979" i="2" s="1"/>
  <c r="AP2982" i="2" s="1"/>
  <c r="AQ2983" i="2" s="1"/>
  <c r="AP3004" i="2"/>
  <c r="AP3018" i="2" l="1"/>
  <c r="AP3005" i="2"/>
  <c r="AP2992" i="2"/>
  <c r="AP2993" i="2" s="1"/>
  <c r="AP2996" i="2" s="1"/>
  <c r="AQ2997" i="2" s="1"/>
  <c r="AP3031" i="2"/>
  <c r="AR3039" i="2"/>
  <c r="AP3030" i="2"/>
  <c r="AP3042" i="2"/>
  <c r="AP3022" i="2"/>
  <c r="AP3032" i="2" l="1"/>
  <c r="AP3033" i="2" s="1"/>
  <c r="AP3019" i="2"/>
  <c r="AP3020" i="2" s="1"/>
  <c r="AP3021" i="2" s="1"/>
  <c r="AP3056" i="2"/>
  <c r="AR3053" i="2"/>
  <c r="AP3044" i="2"/>
  <c r="AP3050" i="2" s="1"/>
  <c r="AP3045" i="2"/>
  <c r="AP3006" i="2"/>
  <c r="AP3007" i="2" s="1"/>
  <c r="AP3010" i="2" s="1"/>
  <c r="AQ3011" i="2" s="1"/>
  <c r="AP3036" i="2"/>
  <c r="AP3024" i="2" l="1"/>
  <c r="AQ3025" i="2" s="1"/>
  <c r="AP3034" i="2"/>
  <c r="AP3035" i="2" s="1"/>
  <c r="AP3038" i="2" s="1"/>
  <c r="AQ3039" i="2" s="1"/>
  <c r="AP3058" i="2"/>
  <c r="AP3059" i="2"/>
  <c r="AP3070" i="2"/>
  <c r="AR3067" i="2"/>
  <c r="AP3046" i="2"/>
  <c r="AR3081" i="2" l="1"/>
  <c r="AP3084" i="2"/>
  <c r="AP3073" i="2"/>
  <c r="AP3072" i="2"/>
  <c r="AP3078" i="2" s="1"/>
  <c r="AP3047" i="2"/>
  <c r="AP3060" i="2"/>
  <c r="AP3064" i="2"/>
  <c r="AP3098" i="2" l="1"/>
  <c r="AR3095" i="2"/>
  <c r="AP3086" i="2"/>
  <c r="AP3092" i="2" s="1"/>
  <c r="AP3087" i="2"/>
  <c r="AP3048" i="2"/>
  <c r="AP3049" i="2" s="1"/>
  <c r="AP3052" i="2" s="1"/>
  <c r="AQ3053" i="2" s="1"/>
  <c r="AP3061" i="2"/>
  <c r="AP3074" i="2"/>
  <c r="AP3062" i="2" l="1"/>
  <c r="AP3063" i="2" s="1"/>
  <c r="AP3066" i="2" s="1"/>
  <c r="AQ3067" i="2" s="1"/>
  <c r="AP3112" i="2"/>
  <c r="AP3101" i="2"/>
  <c r="AR3109" i="2"/>
  <c r="AP3100" i="2"/>
  <c r="AP3075" i="2"/>
  <c r="AP3088" i="2"/>
  <c r="AP3102" i="2" l="1"/>
  <c r="AP3089" i="2"/>
  <c r="AP3126" i="2"/>
  <c r="AR3123" i="2"/>
  <c r="AP3115" i="2"/>
  <c r="AP3114" i="2"/>
  <c r="AP3076" i="2"/>
  <c r="AP3077" i="2" s="1"/>
  <c r="AP3080" i="2" s="1"/>
  <c r="AQ3081" i="2" s="1"/>
  <c r="AP3106" i="2"/>
  <c r="AP3103" i="2" l="1"/>
  <c r="AP3116" i="2"/>
  <c r="AP3117" i="2" s="1"/>
  <c r="AP3140" i="2"/>
  <c r="AR3137" i="2"/>
  <c r="AP3129" i="2"/>
  <c r="AP3128" i="2"/>
  <c r="AP3134" i="2" s="1"/>
  <c r="AP3090" i="2"/>
  <c r="AP3091" i="2" s="1"/>
  <c r="AP3094" i="2" s="1"/>
  <c r="AQ3095" i="2" s="1"/>
  <c r="AP3120" i="2"/>
  <c r="AP3104" i="2" l="1"/>
  <c r="AP3105" i="2" s="1"/>
  <c r="AP3108" i="2" s="1"/>
  <c r="AQ3109" i="2" s="1"/>
  <c r="AP3118" i="2"/>
  <c r="AP3119" i="2" s="1"/>
  <c r="AP3122" i="2" s="1"/>
  <c r="AQ3123" i="2" s="1"/>
  <c r="AP3143" i="2"/>
  <c r="AR3151" i="2"/>
  <c r="AP3142" i="2"/>
  <c r="AP3154" i="2"/>
  <c r="AP3130" i="2"/>
  <c r="AP3144" i="2" l="1"/>
  <c r="AP3145" i="2" s="1"/>
  <c r="AR3165" i="2"/>
  <c r="AP3156" i="2"/>
  <c r="AP3162" i="2" s="1"/>
  <c r="AP3168" i="2"/>
  <c r="AP3157" i="2"/>
  <c r="AP3148" i="2"/>
  <c r="AP3131" i="2"/>
  <c r="AP3132" i="2" l="1"/>
  <c r="AP3133" i="2" s="1"/>
  <c r="AP3136" i="2" s="1"/>
  <c r="AQ3137" i="2" s="1"/>
  <c r="AP3146" i="2"/>
  <c r="AP3147" i="2" s="1"/>
  <c r="AP3150" i="2" s="1"/>
  <c r="AQ3151" i="2" s="1"/>
  <c r="AP3158" i="2"/>
  <c r="AP3171" i="2"/>
  <c r="AP3170" i="2"/>
  <c r="AP3176" i="2" s="1"/>
  <c r="AP3182" i="2"/>
  <c r="AR3179" i="2"/>
  <c r="AP3159" i="2" l="1"/>
  <c r="AP3196" i="2"/>
  <c r="AR3193" i="2"/>
  <c r="AP3185" i="2"/>
  <c r="AP3184" i="2"/>
  <c r="AP3190" i="2" s="1"/>
  <c r="AP3172" i="2"/>
  <c r="AP3160" i="2" l="1"/>
  <c r="AP3161" i="2" s="1"/>
  <c r="AP3164" i="2" s="1"/>
  <c r="AQ3165" i="2" s="1"/>
  <c r="AP3199" i="2"/>
  <c r="AR3207" i="2"/>
  <c r="AP3198" i="2"/>
  <c r="AP3210" i="2"/>
  <c r="AP3186" i="2"/>
  <c r="AP3173" i="2"/>
  <c r="AP3200" i="2" l="1"/>
  <c r="AP3201" i="2" s="1"/>
  <c r="AP3174" i="2"/>
  <c r="AP3175" i="2" s="1"/>
  <c r="AP3178" i="2" s="1"/>
  <c r="AQ3179" i="2" s="1"/>
  <c r="AP3212" i="2"/>
  <c r="AP3213" i="2"/>
  <c r="AR3221" i="2"/>
  <c r="AP3224" i="2"/>
  <c r="AP3204" i="2"/>
  <c r="AP3187" i="2"/>
  <c r="AP3214" i="2" l="1"/>
  <c r="AP3215" i="2" s="1"/>
  <c r="AP3188" i="2"/>
  <c r="AP3189" i="2" s="1"/>
  <c r="AP3192" i="2" s="1"/>
  <c r="AQ3193" i="2" s="1"/>
  <c r="AP3226" i="2"/>
  <c r="AP3232" i="2" s="1"/>
  <c r="AP3227" i="2"/>
  <c r="AP3238" i="2"/>
  <c r="AR3235" i="2"/>
  <c r="AP3202" i="2"/>
  <c r="AP3203" i="2" s="1"/>
  <c r="AP3206" i="2" s="1"/>
  <c r="AQ3207" i="2" s="1"/>
  <c r="AP3218" i="2"/>
  <c r="AP3240" i="2" l="1"/>
  <c r="AP3241" i="2"/>
  <c r="AP3252" i="2"/>
  <c r="AR3249" i="2"/>
  <c r="AP3216" i="2"/>
  <c r="AP3217" i="2" s="1"/>
  <c r="AP3220" i="2" s="1"/>
  <c r="AQ3221" i="2" s="1"/>
  <c r="AP3228" i="2"/>
  <c r="AP3242" i="2" l="1"/>
  <c r="AR3263" i="2"/>
  <c r="AP3255" i="2"/>
  <c r="AP3254" i="2"/>
  <c r="AP3260" i="2" s="1"/>
  <c r="AP3266" i="2"/>
  <c r="AP3229" i="2"/>
  <c r="AP3246" i="2"/>
  <c r="AP3243" i="2" l="1"/>
  <c r="AP3244" i="2" s="1"/>
  <c r="AP3245" i="2" s="1"/>
  <c r="AP3269" i="2"/>
  <c r="AR3277" i="2"/>
  <c r="AP3268" i="2"/>
  <c r="AP3280" i="2"/>
  <c r="AP3230" i="2"/>
  <c r="AP3231" i="2" s="1"/>
  <c r="AP3234" i="2" s="1"/>
  <c r="AQ3235" i="2" s="1"/>
  <c r="AP3256" i="2"/>
  <c r="AP3270" i="2" l="1"/>
  <c r="AP3248" i="2"/>
  <c r="AQ3249" i="2" s="1"/>
  <c r="AP3257" i="2"/>
  <c r="AP3274" i="2"/>
  <c r="AP3294" i="2"/>
  <c r="AR3291" i="2"/>
  <c r="AP3283" i="2"/>
  <c r="AP3282" i="2"/>
  <c r="AP3271" i="2" l="1"/>
  <c r="AP3272" i="2" s="1"/>
  <c r="AP3273" i="2" s="1"/>
  <c r="AP3276" i="2" s="1"/>
  <c r="AQ3277" i="2" s="1"/>
  <c r="AP3284" i="2"/>
  <c r="AP3285" i="2" s="1"/>
  <c r="AR3305" i="2"/>
  <c r="AP3296" i="2"/>
  <c r="AP3302" i="2" s="1"/>
  <c r="AP3308" i="2"/>
  <c r="AP3297" i="2"/>
  <c r="AP3258" i="2"/>
  <c r="AP3259" i="2" s="1"/>
  <c r="AP3262" i="2" s="1"/>
  <c r="AQ3263" i="2" s="1"/>
  <c r="AP3288" i="2"/>
  <c r="AP3286" i="2" l="1"/>
  <c r="AP3287" i="2" s="1"/>
  <c r="AP3290" i="2" s="1"/>
  <c r="AQ3291" i="2" s="1"/>
  <c r="AP3310" i="2"/>
  <c r="AP3316" i="2" s="1"/>
  <c r="AP3322" i="2"/>
  <c r="AP3311" i="2"/>
  <c r="AR3319" i="2"/>
  <c r="AP3298" i="2"/>
  <c r="AP3299" i="2" l="1"/>
  <c r="AP3336" i="2"/>
  <c r="AP3325" i="2"/>
  <c r="AR3333" i="2"/>
  <c r="AP3324" i="2"/>
  <c r="AP3312" i="2"/>
  <c r="AP3326" i="2" l="1"/>
  <c r="AP3327" i="2" s="1"/>
  <c r="AP3330" i="2"/>
  <c r="AP3300" i="2"/>
  <c r="AP3301" i="2" s="1"/>
  <c r="AP3304" i="2" s="1"/>
  <c r="AQ3305" i="2" s="1"/>
  <c r="AP3339" i="2"/>
  <c r="AP3338" i="2"/>
  <c r="AP3344" i="2" s="1"/>
  <c r="AP3350" i="2"/>
  <c r="AR3347" i="2"/>
  <c r="AP3313" i="2"/>
  <c r="AP3314" i="2" l="1"/>
  <c r="AP3315" i="2" s="1"/>
  <c r="AP3318" i="2" s="1"/>
  <c r="AQ3319" i="2" s="1"/>
  <c r="AR3361" i="2"/>
  <c r="AP3353" i="2"/>
  <c r="AP3352" i="2"/>
  <c r="AP3364" i="2"/>
  <c r="AP3328" i="2"/>
  <c r="AP3329" i="2" s="1"/>
  <c r="AP3332" i="2" s="1"/>
  <c r="AQ3333" i="2" s="1"/>
  <c r="AP3340" i="2"/>
  <c r="AP3354" i="2" l="1"/>
  <c r="AP3341" i="2"/>
  <c r="AP3367" i="2"/>
  <c r="AP3366" i="2"/>
  <c r="AP3372" i="2" s="1"/>
  <c r="AR3375" i="2"/>
  <c r="AP3378" i="2"/>
  <c r="AP3358" i="2"/>
  <c r="AP3355" i="2" l="1"/>
  <c r="AP3356" i="2" s="1"/>
  <c r="AP3357" i="2" s="1"/>
  <c r="AP3392" i="2"/>
  <c r="AP3381" i="2"/>
  <c r="AR3389" i="2"/>
  <c r="AP3380" i="2"/>
  <c r="AP3342" i="2"/>
  <c r="AP3343" i="2" s="1"/>
  <c r="AP3346" i="2" s="1"/>
  <c r="AQ3347" i="2" s="1"/>
  <c r="AP3368" i="2"/>
  <c r="AP3360" i="2" l="1"/>
  <c r="AQ3361" i="2" s="1"/>
  <c r="AP3382" i="2"/>
  <c r="AP3395" i="2"/>
  <c r="AP3406" i="2"/>
  <c r="AP3394" i="2"/>
  <c r="AR3403" i="2"/>
  <c r="AP3369" i="2"/>
  <c r="AP3386" i="2"/>
  <c r="AP3396" i="2" l="1"/>
  <c r="AP3397" i="2" s="1"/>
  <c r="AP3400" i="2"/>
  <c r="AP3383" i="2"/>
  <c r="AP3384" i="2" s="1"/>
  <c r="AP3385" i="2" s="1"/>
  <c r="AP3370" i="2"/>
  <c r="AP3371" i="2" s="1"/>
  <c r="AP3374" i="2" s="1"/>
  <c r="AQ3375" i="2" s="1"/>
  <c r="AP3408" i="2"/>
  <c r="AP3414" i="2" s="1"/>
  <c r="AR3417" i="2"/>
  <c r="AP3420" i="2"/>
  <c r="AP3409" i="2"/>
  <c r="AP3388" i="2" l="1"/>
  <c r="AQ3389" i="2" s="1"/>
  <c r="AP3422" i="2"/>
  <c r="AP3434" i="2"/>
  <c r="AP3423" i="2"/>
  <c r="AR3431" i="2"/>
  <c r="AP3398" i="2"/>
  <c r="AP3399" i="2" s="1"/>
  <c r="AP3402" i="2" s="1"/>
  <c r="AQ3403" i="2" s="1"/>
  <c r="AP3410" i="2"/>
  <c r="AP3424" i="2" l="1"/>
  <c r="AP3437" i="2"/>
  <c r="AP3436" i="2"/>
  <c r="AP3442" i="2" s="1"/>
  <c r="AP3448" i="2"/>
  <c r="AR3445" i="2"/>
  <c r="AP3411" i="2"/>
  <c r="AP3428" i="2"/>
  <c r="AP3425" i="2" l="1"/>
  <c r="AP3412" i="2"/>
  <c r="AP3413" i="2" s="1"/>
  <c r="AP3416" i="2" s="1"/>
  <c r="AQ3417" i="2" s="1"/>
  <c r="AP3451" i="2"/>
  <c r="AP3450" i="2"/>
  <c r="AP3462" i="2"/>
  <c r="AR3459" i="2"/>
  <c r="AP3438" i="2"/>
  <c r="AP3426" i="2" l="1"/>
  <c r="AP3427" i="2" s="1"/>
  <c r="AP3430" i="2" s="1"/>
  <c r="AQ3431" i="2" s="1"/>
  <c r="AP3452" i="2"/>
  <c r="AP3453" i="2" s="1"/>
  <c r="AP3439" i="2"/>
  <c r="AP3456" i="2"/>
  <c r="AR3473" i="2"/>
  <c r="AP3464" i="2"/>
  <c r="AP3476" i="2"/>
  <c r="AP3465" i="2"/>
  <c r="AP3466" i="2" l="1"/>
  <c r="AP3470" i="2"/>
  <c r="AP3440" i="2"/>
  <c r="AP3441" i="2" s="1"/>
  <c r="AP3444" i="2" s="1"/>
  <c r="AQ3445" i="2" s="1"/>
  <c r="AP3454" i="2"/>
  <c r="AP3455" i="2" s="1"/>
  <c r="AP3458" i="2" s="1"/>
  <c r="AQ3459" i="2" s="1"/>
  <c r="AP3490" i="2"/>
  <c r="AP3478" i="2"/>
  <c r="AP3484" i="2" s="1"/>
  <c r="AR3487" i="2"/>
  <c r="AP3479" i="2"/>
  <c r="AP3467" i="2" l="1"/>
  <c r="AP3468" i="2" s="1"/>
  <c r="AP3469" i="2" s="1"/>
  <c r="AP3504" i="2"/>
  <c r="AR3501" i="2"/>
  <c r="AP3492" i="2"/>
  <c r="AP3493" i="2"/>
  <c r="AP3480" i="2"/>
  <c r="AP3494" i="2" l="1"/>
  <c r="AP3495" i="2" s="1"/>
  <c r="AP3472" i="2"/>
  <c r="AQ3473" i="2" s="1"/>
  <c r="AP3518" i="2"/>
  <c r="AP3507" i="2"/>
  <c r="AR3515" i="2"/>
  <c r="AP3506" i="2"/>
  <c r="AP3481" i="2"/>
  <c r="AP3498" i="2"/>
  <c r="AP3496" i="2" l="1"/>
  <c r="AP3497" i="2" s="1"/>
  <c r="AP3500" i="2" s="1"/>
  <c r="AQ3501" i="2" s="1"/>
  <c r="AP3520" i="2"/>
  <c r="AP3526" i="2" s="1"/>
  <c r="AP3532" i="2"/>
  <c r="AP3521" i="2"/>
  <c r="AR3529" i="2"/>
  <c r="AP3482" i="2"/>
  <c r="AP3483" i="2" s="1"/>
  <c r="AP3486" i="2" s="1"/>
  <c r="AQ3487" i="2" s="1"/>
  <c r="AP3508" i="2"/>
  <c r="AP3512" i="2"/>
  <c r="AP3509" i="2" l="1"/>
  <c r="AP3534" i="2"/>
  <c r="AP3540" i="2" s="1"/>
  <c r="AP3546" i="2"/>
  <c r="AR3543" i="2"/>
  <c r="AP3535" i="2"/>
  <c r="AP3522" i="2"/>
  <c r="AP3510" i="2" l="1"/>
  <c r="AP3511" i="2" s="1"/>
  <c r="AP3514" i="2" s="1"/>
  <c r="AQ3515" i="2" s="1"/>
  <c r="AP3560" i="2"/>
  <c r="AP3549" i="2"/>
  <c r="AP3548" i="2"/>
  <c r="AR3557" i="2"/>
  <c r="AP3523" i="2"/>
  <c r="AP3536" i="2"/>
  <c r="AP3524" i="2" l="1"/>
  <c r="AP3525" i="2" s="1"/>
  <c r="AP3528" i="2" s="1"/>
  <c r="AQ3529" i="2" s="1"/>
  <c r="AP3537" i="2"/>
  <c r="AP3563" i="2"/>
  <c r="AP3562" i="2"/>
  <c r="AP3568" i="2" s="1"/>
  <c r="AP3574" i="2"/>
  <c r="AR3571" i="2"/>
  <c r="AP3550" i="2"/>
  <c r="AP3554" i="2"/>
  <c r="AP3551" i="2" l="1"/>
  <c r="AP3577" i="2"/>
  <c r="AR3585" i="2"/>
  <c r="AP3576" i="2"/>
  <c r="AP3582" i="2" s="1"/>
  <c r="AP3588" i="2"/>
  <c r="AP3538" i="2"/>
  <c r="AP3539" i="2" s="1"/>
  <c r="AP3542" i="2" s="1"/>
  <c r="AQ3543" i="2" s="1"/>
  <c r="AP3564" i="2"/>
  <c r="AP3578" i="2" l="1"/>
  <c r="AP3565" i="2"/>
  <c r="AP3590" i="2"/>
  <c r="AP3602" i="2"/>
  <c r="AR3599" i="2"/>
  <c r="AP3591" i="2"/>
  <c r="AP3552" i="2"/>
  <c r="AP3553" i="2" s="1"/>
  <c r="AP3556" i="2" s="1"/>
  <c r="AQ3557" i="2" s="1"/>
  <c r="AP3592" i="2" l="1"/>
  <c r="AR3613" i="2"/>
  <c r="AP3605" i="2"/>
  <c r="AP3604" i="2"/>
  <c r="AP3610" i="2" s="1"/>
  <c r="AP3616" i="2"/>
  <c r="AP3579" i="2"/>
  <c r="AP3566" i="2"/>
  <c r="AP3567" i="2" s="1"/>
  <c r="AP3570" i="2" s="1"/>
  <c r="AQ3571" i="2" s="1"/>
  <c r="AP3596" i="2"/>
  <c r="AP3593" i="2" l="1"/>
  <c r="AP3594" i="2" s="1"/>
  <c r="AP3595" i="2" s="1"/>
  <c r="AP3606" i="2"/>
  <c r="AP3580" i="2"/>
  <c r="AP3581" i="2" s="1"/>
  <c r="AP3584" i="2" s="1"/>
  <c r="AQ3585" i="2" s="1"/>
  <c r="AP3618" i="2"/>
  <c r="AP3624" i="2" s="1"/>
  <c r="AP3619" i="2"/>
  <c r="AP3630" i="2"/>
  <c r="AR3627" i="2"/>
  <c r="AP3598" i="2" l="1"/>
  <c r="AQ3599" i="2" s="1"/>
  <c r="AP3620" i="2"/>
  <c r="AP3621" i="2" s="1"/>
  <c r="AP3607" i="2"/>
  <c r="AP3644" i="2"/>
  <c r="AP3633" i="2"/>
  <c r="AR3641" i="2"/>
  <c r="AP3632" i="2"/>
  <c r="AP3634" i="2" l="1"/>
  <c r="AP3635" i="2" s="1"/>
  <c r="AP3608" i="2"/>
  <c r="AP3609" i="2" s="1"/>
  <c r="AP3612" i="2" s="1"/>
  <c r="AQ3613" i="2" s="1"/>
  <c r="AP3646" i="2"/>
  <c r="AP3647" i="2"/>
  <c r="AP3658" i="2"/>
  <c r="AR3655" i="2"/>
  <c r="AP3622" i="2"/>
  <c r="AP3623" i="2" s="1"/>
  <c r="AP3626" i="2" s="1"/>
  <c r="AQ3627" i="2" s="1"/>
  <c r="AP3638" i="2"/>
  <c r="AP3648" i="2" l="1"/>
  <c r="AP3652" i="2"/>
  <c r="AP3636" i="2"/>
  <c r="AP3637" i="2" s="1"/>
  <c r="AP3640" i="2" s="1"/>
  <c r="AQ3641" i="2" s="1"/>
  <c r="AR3669" i="2"/>
  <c r="AP3661" i="2"/>
  <c r="AP3660" i="2"/>
  <c r="AP3666" i="2" s="1"/>
  <c r="AP3672" i="2"/>
  <c r="AP3649" i="2" l="1"/>
  <c r="AP3650" i="2" s="1"/>
  <c r="AP3651" i="2" s="1"/>
  <c r="AP3674" i="2"/>
  <c r="AR3683" i="2"/>
  <c r="AP3686" i="2"/>
  <c r="AP3675" i="2"/>
  <c r="AP3662" i="2"/>
  <c r="AP3654" i="2" l="1"/>
  <c r="AQ3655" i="2" s="1"/>
  <c r="AP3676" i="2"/>
  <c r="AR3697" i="2"/>
  <c r="AP3700" i="2"/>
  <c r="AP3688" i="2"/>
  <c r="AP3689" i="2"/>
  <c r="AP3663" i="2"/>
  <c r="AP3680" i="2"/>
  <c r="AP3677" i="2" l="1"/>
  <c r="AP3690" i="2"/>
  <c r="AP3703" i="2"/>
  <c r="AP3702" i="2"/>
  <c r="AP3714" i="2"/>
  <c r="AR3711" i="2"/>
  <c r="AP3664" i="2"/>
  <c r="AP3665" i="2" s="1"/>
  <c r="AP3668" i="2" s="1"/>
  <c r="AQ3669" i="2" s="1"/>
  <c r="AP3694" i="2"/>
  <c r="AP3704" i="2" l="1"/>
  <c r="AP3691" i="2"/>
  <c r="AP3678" i="2"/>
  <c r="AP3679" i="2" s="1"/>
  <c r="AP3682" i="2" s="1"/>
  <c r="AQ3683" i="2" s="1"/>
  <c r="AP3728" i="2"/>
  <c r="AP3717" i="2"/>
  <c r="AR3725" i="2"/>
  <c r="AP3716" i="2"/>
  <c r="AP3708" i="2"/>
  <c r="AP3705" i="2" l="1"/>
  <c r="AP3742" i="2"/>
  <c r="AR3739" i="2"/>
  <c r="AP3730" i="2"/>
  <c r="AP3736" i="2" s="1"/>
  <c r="AP3731" i="2"/>
  <c r="AP3718" i="2"/>
  <c r="AP3692" i="2"/>
  <c r="AP3693" i="2" s="1"/>
  <c r="AP3696" i="2" s="1"/>
  <c r="AQ3697" i="2" s="1"/>
  <c r="AP3722" i="2"/>
  <c r="AP3706" i="2" l="1"/>
  <c r="AP3707" i="2" s="1"/>
  <c r="AP3710" i="2" s="1"/>
  <c r="AQ3711" i="2" s="1"/>
  <c r="AP3744" i="2"/>
  <c r="AR3753" i="2"/>
  <c r="AP3756" i="2"/>
  <c r="AP3745" i="2"/>
  <c r="AP3719" i="2"/>
  <c r="AP3732" i="2"/>
  <c r="AP3746" i="2" l="1"/>
  <c r="AP3720" i="2"/>
  <c r="AP3721" i="2" s="1"/>
  <c r="AP3724" i="2" s="1"/>
  <c r="AQ3725" i="2" s="1"/>
  <c r="AP3733" i="2"/>
  <c r="AR3767" i="2"/>
  <c r="AP3758" i="2"/>
  <c r="AP3764" i="2" s="1"/>
  <c r="AP3770" i="2"/>
  <c r="AP3759" i="2"/>
  <c r="AP3750" i="2"/>
  <c r="AP3760" i="2" l="1"/>
  <c r="AP3734" i="2"/>
  <c r="AP3735" i="2" s="1"/>
  <c r="AP3738" i="2" s="1"/>
  <c r="AQ3739" i="2" s="1"/>
  <c r="AP3747" i="2"/>
  <c r="AR3781" i="2"/>
  <c r="AP3773" i="2"/>
  <c r="AP3772" i="2"/>
  <c r="AP3784" i="2"/>
  <c r="AP3761" i="2" l="1"/>
  <c r="AP3786" i="2"/>
  <c r="AP3792" i="2" s="1"/>
  <c r="AP3798" i="2"/>
  <c r="AP3787" i="2"/>
  <c r="AR3795" i="2"/>
  <c r="AP3748" i="2"/>
  <c r="AP3749" i="2" s="1"/>
  <c r="AP3752" i="2" s="1"/>
  <c r="AQ3753" i="2" s="1"/>
  <c r="AP3774" i="2"/>
  <c r="AP3778" i="2"/>
  <c r="AP3762" i="2" l="1"/>
  <c r="AP3763" i="2" s="1"/>
  <c r="AP3766" i="2" s="1"/>
  <c r="AQ3767" i="2" s="1"/>
  <c r="AP3775" i="2"/>
  <c r="AR3809" i="2"/>
  <c r="AP3812" i="2"/>
  <c r="AP3801" i="2"/>
  <c r="AP3800" i="2"/>
  <c r="AP3806" i="2" s="1"/>
  <c r="AP3788" i="2"/>
  <c r="AP3776" i="2" l="1"/>
  <c r="AP3777" i="2" s="1"/>
  <c r="AP3780" i="2" s="1"/>
  <c r="AQ3781" i="2" s="1"/>
  <c r="AP3789" i="2"/>
  <c r="AP3814" i="2"/>
  <c r="AP3820" i="2" s="1"/>
  <c r="AR3823" i="2"/>
  <c r="AP3826" i="2"/>
  <c r="AP3815" i="2"/>
  <c r="AP3802" i="2"/>
  <c r="AP3816" i="2" l="1"/>
  <c r="AP3817" i="2" s="1"/>
  <c r="AP3803" i="2"/>
  <c r="AP3829" i="2"/>
  <c r="AR3837" i="2"/>
  <c r="AP3828" i="2"/>
  <c r="AP3834" i="2" s="1"/>
  <c r="AP3840" i="2"/>
  <c r="AP3790" i="2"/>
  <c r="AP3791" i="2" s="1"/>
  <c r="AP3794" i="2" s="1"/>
  <c r="AQ3795" i="2" s="1"/>
  <c r="AP3818" i="2" l="1"/>
  <c r="AP3819" i="2" s="1"/>
  <c r="AP3822" i="2" s="1"/>
  <c r="AQ3823" i="2" s="1"/>
  <c r="AP3854" i="2"/>
  <c r="AR3851" i="2"/>
  <c r="AP3842" i="2"/>
  <c r="AP3843" i="2"/>
  <c r="AP3804" i="2"/>
  <c r="AP3805" i="2" s="1"/>
  <c r="AP3808" i="2" s="1"/>
  <c r="AQ3809" i="2" s="1"/>
  <c r="AP3830" i="2"/>
  <c r="AP3844" i="2" l="1"/>
  <c r="AP3831" i="2"/>
  <c r="AP3856" i="2"/>
  <c r="AP3868" i="2"/>
  <c r="AP3857" i="2"/>
  <c r="AR3865" i="2"/>
  <c r="AP3848" i="2"/>
  <c r="AP3858" i="2" l="1"/>
  <c r="AP3859" i="2" s="1"/>
  <c r="AP3845" i="2"/>
  <c r="AP3870" i="2"/>
  <c r="AP3876" i="2" s="1"/>
  <c r="AP3871" i="2"/>
  <c r="AP3882" i="2"/>
  <c r="AR3879" i="2"/>
  <c r="AP3832" i="2"/>
  <c r="AP3833" i="2" s="1"/>
  <c r="AP3836" i="2" s="1"/>
  <c r="AQ3837" i="2" s="1"/>
  <c r="AP3862" i="2"/>
  <c r="AP3846" i="2" l="1"/>
  <c r="AP3847" i="2" s="1"/>
  <c r="AP3850" i="2" s="1"/>
  <c r="AQ3851" i="2" s="1"/>
  <c r="AR3893" i="2"/>
  <c r="AP3884" i="2"/>
  <c r="AP3885" i="2"/>
  <c r="AP3896" i="2"/>
  <c r="AP3872" i="2"/>
  <c r="AP3860" i="2"/>
  <c r="AP3861" i="2" s="1"/>
  <c r="AP3864" i="2" s="1"/>
  <c r="AQ3865" i="2" s="1"/>
  <c r="AP3886" i="2" l="1"/>
  <c r="AP3887" i="2" s="1"/>
  <c r="AP3898" i="2"/>
  <c r="AP3899" i="2"/>
  <c r="AR3907" i="2"/>
  <c r="AP3910" i="2"/>
  <c r="AP3873" i="2"/>
  <c r="AP3890" i="2"/>
  <c r="AP3900" i="2" l="1"/>
  <c r="AP3901" i="2" s="1"/>
  <c r="AP3904" i="2"/>
  <c r="AP3874" i="2"/>
  <c r="AP3875" i="2" s="1"/>
  <c r="AP3878" i="2" s="1"/>
  <c r="AQ3879" i="2" s="1"/>
  <c r="AP3888" i="2"/>
  <c r="AP3889" i="2" s="1"/>
  <c r="AP3892" i="2" s="1"/>
  <c r="AQ3893" i="2" s="1"/>
  <c r="AR3921" i="2"/>
  <c r="AP3912" i="2"/>
  <c r="AP3918" i="2" s="1"/>
  <c r="AP3913" i="2"/>
  <c r="AP3924" i="2"/>
  <c r="AP3926" i="2" l="1"/>
  <c r="AP3938" i="2"/>
  <c r="AR3935" i="2"/>
  <c r="AP3927" i="2"/>
  <c r="AP3902" i="2"/>
  <c r="AP3903" i="2" s="1"/>
  <c r="AP3906" i="2" s="1"/>
  <c r="AQ3907" i="2" s="1"/>
  <c r="AP3914" i="2"/>
  <c r="AP3928" i="2" l="1"/>
  <c r="AP3929" i="2" s="1"/>
  <c r="AP3932" i="2"/>
  <c r="AP3941" i="2"/>
  <c r="AP3952" i="2"/>
  <c r="AP3940" i="2"/>
  <c r="AR3949" i="2"/>
  <c r="AP3915" i="2"/>
  <c r="AP3942" i="2" l="1"/>
  <c r="AP3946" i="2"/>
  <c r="AP3930" i="2"/>
  <c r="AP3931" i="2" s="1"/>
  <c r="AP3934" i="2" s="1"/>
  <c r="AQ3935" i="2" s="1"/>
  <c r="AP3916" i="2"/>
  <c r="AP3917" i="2" s="1"/>
  <c r="AP3920" i="2" s="1"/>
  <c r="AQ3921" i="2" s="1"/>
  <c r="AR3963" i="2"/>
  <c r="AP3966" i="2"/>
  <c r="AP3955" i="2"/>
  <c r="AP3954" i="2"/>
  <c r="AP3960" i="2" s="1"/>
  <c r="AP3943" i="2" l="1"/>
  <c r="AP3944" i="2" s="1"/>
  <c r="AP3945" i="2" s="1"/>
  <c r="AP3969" i="2"/>
  <c r="AP3968" i="2"/>
  <c r="AP3974" i="2" s="1"/>
  <c r="AP3980" i="2"/>
  <c r="AR3977" i="2"/>
  <c r="AP3956" i="2"/>
  <c r="AP3948" i="2" l="1"/>
  <c r="AQ3949" i="2" s="1"/>
  <c r="AP3982" i="2"/>
  <c r="AP3988" i="2" s="1"/>
  <c r="AP3994" i="2"/>
  <c r="AR3991" i="2"/>
  <c r="AP3983" i="2"/>
  <c r="AP3957" i="2"/>
  <c r="AP3970" i="2"/>
  <c r="AP3984" i="2" l="1"/>
  <c r="AP3996" i="2"/>
  <c r="AP4002" i="2" s="1"/>
  <c r="AP3997" i="2"/>
  <c r="AP4008" i="2"/>
  <c r="AR4005" i="2"/>
  <c r="AP3958" i="2"/>
  <c r="AP3959" i="2" s="1"/>
  <c r="AP3962" i="2" s="1"/>
  <c r="AQ3963" i="2" s="1"/>
  <c r="AP3971" i="2"/>
  <c r="AP3985" i="2" l="1"/>
  <c r="AP3986" i="2" s="1"/>
  <c r="AP3987" i="2" s="1"/>
  <c r="AP3998" i="2"/>
  <c r="AP3999" i="2" s="1"/>
  <c r="AP3972" i="2"/>
  <c r="AP3973" i="2" s="1"/>
  <c r="AP3976" i="2" s="1"/>
  <c r="AQ3977" i="2" s="1"/>
  <c r="AP4022" i="2"/>
  <c r="AP4010" i="2"/>
  <c r="AP4011" i="2"/>
  <c r="AR4019" i="2"/>
  <c r="AP3990" i="2" l="1"/>
  <c r="AQ3991" i="2" s="1"/>
  <c r="AP4036" i="2"/>
  <c r="AR4033" i="2"/>
  <c r="AP4024" i="2"/>
  <c r="AP4025" i="2"/>
  <c r="AP4016" i="2"/>
  <c r="AP4012" i="2"/>
  <c r="AP4000" i="2"/>
  <c r="AP4001" i="2" s="1"/>
  <c r="AP4004" i="2" s="1"/>
  <c r="AQ4005" i="2" s="1"/>
  <c r="AP4038" i="2" l="1"/>
  <c r="AP4044" i="2" s="1"/>
  <c r="AP4039" i="2"/>
  <c r="AP4050" i="2"/>
  <c r="AR4047" i="2"/>
  <c r="AP4013" i="2"/>
  <c r="AP4030" i="2"/>
  <c r="AP4026" i="2"/>
  <c r="AP4027" i="2" l="1"/>
  <c r="AP4040" i="2"/>
  <c r="AP4014" i="2"/>
  <c r="AP4015" i="2" s="1"/>
  <c r="AP4018" i="2" s="1"/>
  <c r="AQ4019" i="2" s="1"/>
  <c r="AR4061" i="2"/>
  <c r="AP4052" i="2"/>
  <c r="AP4058" i="2" s="1"/>
  <c r="AP4053" i="2"/>
  <c r="AP4064" i="2"/>
  <c r="AP4028" i="2" l="1"/>
  <c r="AP4029" i="2" s="1"/>
  <c r="AP4032" i="2" s="1"/>
  <c r="AQ4033" i="2" s="1"/>
  <c r="AP4041" i="2"/>
  <c r="AP4054" i="2"/>
  <c r="AP4066" i="2"/>
  <c r="AP4072" i="2" s="1"/>
  <c r="AP4067" i="2"/>
  <c r="AP4078" i="2"/>
  <c r="AR4075" i="2"/>
  <c r="AP4068" i="2" l="1"/>
  <c r="AP4069" i="2" s="1"/>
  <c r="AP4055" i="2"/>
  <c r="AP4042" i="2"/>
  <c r="AP4043" i="2" s="1"/>
  <c r="AP4046" i="2" s="1"/>
  <c r="AQ4047" i="2" s="1"/>
  <c r="AP4081" i="2"/>
  <c r="AR4089" i="2"/>
  <c r="AP4080" i="2"/>
  <c r="AP4092" i="2"/>
  <c r="AP4082" i="2" l="1"/>
  <c r="AP4056" i="2"/>
  <c r="AP4057" i="2" s="1"/>
  <c r="AP4060" i="2" s="1"/>
  <c r="AQ4061" i="2" s="1"/>
  <c r="AP4094" i="2"/>
  <c r="AP4100" i="2" s="1"/>
  <c r="AR4103" i="2"/>
  <c r="AP4095" i="2"/>
  <c r="AP4106" i="2"/>
  <c r="AP4070" i="2"/>
  <c r="AP4071" i="2" s="1"/>
  <c r="AP4074" i="2" s="1"/>
  <c r="AQ4075" i="2" s="1"/>
  <c r="AP4086" i="2"/>
  <c r="AP4083" i="2" l="1"/>
  <c r="AP4096" i="2"/>
  <c r="AR4117" i="2"/>
  <c r="AP4108" i="2"/>
  <c r="AP4109" i="2"/>
  <c r="AP4120" i="2"/>
  <c r="AP4110" i="2" l="1"/>
  <c r="AP4084" i="2"/>
  <c r="AP4085" i="2" s="1"/>
  <c r="AP4088" i="2" s="1"/>
  <c r="AQ4089" i="2" s="1"/>
  <c r="AP4097" i="2"/>
  <c r="AP4122" i="2"/>
  <c r="AP4128" i="2" s="1"/>
  <c r="AP4123" i="2"/>
  <c r="AR4131" i="2"/>
  <c r="AP4134" i="2"/>
  <c r="AP4114" i="2"/>
  <c r="AP4111" i="2" l="1"/>
  <c r="AP4124" i="2"/>
  <c r="AR4145" i="2"/>
  <c r="AP4148" i="2"/>
  <c r="AP4137" i="2"/>
  <c r="AP4136" i="2"/>
  <c r="AP4098" i="2"/>
  <c r="AP4099" i="2" s="1"/>
  <c r="AP4102" i="2" s="1"/>
  <c r="AQ4103" i="2" s="1"/>
  <c r="AP4112" i="2" l="1"/>
  <c r="AP4113" i="2" s="1"/>
  <c r="AP4116" i="2" s="1"/>
  <c r="AQ4117" i="2" s="1"/>
  <c r="AP4150" i="2"/>
  <c r="AP4162" i="2"/>
  <c r="AR4159" i="2"/>
  <c r="AP4151" i="2"/>
  <c r="AP4125" i="2"/>
  <c r="AP4138" i="2"/>
  <c r="AP4142" i="2"/>
  <c r="AP4126" i="2" l="1"/>
  <c r="AP4127" i="2" s="1"/>
  <c r="AP4130" i="2" s="1"/>
  <c r="AQ4131" i="2" s="1"/>
  <c r="AP4164" i="2"/>
  <c r="AP4170" i="2" s="1"/>
  <c r="AR4173" i="2"/>
  <c r="AP4165" i="2"/>
  <c r="AP4176" i="2"/>
  <c r="AP4139" i="2"/>
  <c r="AP4152" i="2"/>
  <c r="AP4156" i="2"/>
  <c r="AP4140" i="2" l="1"/>
  <c r="AP4141" i="2" s="1"/>
  <c r="AP4144" i="2" s="1"/>
  <c r="AQ4145" i="2" s="1"/>
  <c r="AP4153" i="2"/>
  <c r="AR4187" i="2"/>
  <c r="AP4190" i="2"/>
  <c r="AP4178" i="2"/>
  <c r="AP4184" i="2" s="1"/>
  <c r="AP4179" i="2"/>
  <c r="AP4166" i="2"/>
  <c r="AP4167" i="2" l="1"/>
  <c r="AR4201" i="2"/>
  <c r="AP4204" i="2"/>
  <c r="AP4192" i="2"/>
  <c r="AP4193" i="2"/>
  <c r="AP4154" i="2"/>
  <c r="AP4155" i="2" s="1"/>
  <c r="AP4158" i="2" s="1"/>
  <c r="AQ4159" i="2" s="1"/>
  <c r="AP4180" i="2"/>
  <c r="AP4194" i="2" l="1"/>
  <c r="AP4181" i="2"/>
  <c r="AP4168" i="2"/>
  <c r="AP4169" i="2" s="1"/>
  <c r="AP4172" i="2" s="1"/>
  <c r="AQ4173" i="2" s="1"/>
  <c r="AP4198" i="2"/>
  <c r="AP4206" i="2"/>
  <c r="AP4212" i="2" s="1"/>
  <c r="AP4207" i="2"/>
  <c r="AP4218" i="2"/>
  <c r="AR4215" i="2"/>
  <c r="AP4195" i="2" l="1"/>
  <c r="AP4196" i="2" s="1"/>
  <c r="AP4197" i="2" s="1"/>
  <c r="AR4229" i="2"/>
  <c r="AP4220" i="2"/>
  <c r="AP4221" i="2"/>
  <c r="AP4232" i="2"/>
  <c r="AP4182" i="2"/>
  <c r="AP4183" i="2" s="1"/>
  <c r="AP4186" i="2" s="1"/>
  <c r="AQ4187" i="2" s="1"/>
  <c r="AP4208" i="2"/>
  <c r="AP4222" i="2" l="1"/>
  <c r="AP4223" i="2" s="1"/>
  <c r="AP4200" i="2"/>
  <c r="AQ4201" i="2" s="1"/>
  <c r="AP4234" i="2"/>
  <c r="AP4240" i="2" s="1"/>
  <c r="AP4235" i="2"/>
  <c r="AP4246" i="2"/>
  <c r="AR4243" i="2"/>
  <c r="AP4226" i="2"/>
  <c r="AP4209" i="2"/>
  <c r="AP4236" i="2" l="1"/>
  <c r="AP4224" i="2"/>
  <c r="AP4225" i="2" s="1"/>
  <c r="AP4228" i="2" s="1"/>
  <c r="AQ4229" i="2" s="1"/>
  <c r="AP4248" i="2"/>
  <c r="AP4249" i="2"/>
  <c r="AR4257" i="2"/>
  <c r="AP4260" i="2"/>
  <c r="AP4210" i="2"/>
  <c r="AP4211" i="2" s="1"/>
  <c r="AP4214" i="2" s="1"/>
  <c r="AQ4215" i="2" s="1"/>
  <c r="AP4237" i="2" l="1"/>
  <c r="AP4238" i="2" s="1"/>
  <c r="AP4239" i="2" s="1"/>
  <c r="AP4250" i="2"/>
  <c r="AP4251" i="2" s="1"/>
  <c r="AP4254" i="2"/>
  <c r="AP4262" i="2"/>
  <c r="AP4268" i="2" s="1"/>
  <c r="AP4274" i="2"/>
  <c r="AR4271" i="2"/>
  <c r="AP4263" i="2"/>
  <c r="AP4242" i="2" l="1"/>
  <c r="AQ4243" i="2" s="1"/>
  <c r="AP4264" i="2"/>
  <c r="AP4288" i="2"/>
  <c r="AP4277" i="2"/>
  <c r="AR4285" i="2"/>
  <c r="AP4276" i="2"/>
  <c r="AP4252" i="2"/>
  <c r="AP4253" i="2" s="1"/>
  <c r="AP4256" i="2" s="1"/>
  <c r="AQ4257" i="2" s="1"/>
  <c r="AP4265" i="2" l="1"/>
  <c r="AP4266" i="2" s="1"/>
  <c r="AP4267" i="2" s="1"/>
  <c r="AP4278" i="2"/>
  <c r="AP4282" i="2"/>
  <c r="AP4290" i="2"/>
  <c r="AP4296" i="2" s="1"/>
  <c r="AP4291" i="2"/>
  <c r="AP4302" i="2"/>
  <c r="AR4299" i="2"/>
  <c r="AP4270" i="2" l="1"/>
  <c r="AQ4271" i="2" s="1"/>
  <c r="AP4279" i="2"/>
  <c r="AP4304" i="2"/>
  <c r="AP4310" i="2" s="1"/>
  <c r="AP4305" i="2"/>
  <c r="AR4313" i="2"/>
  <c r="AP4316" i="2"/>
  <c r="AP4292" i="2"/>
  <c r="AP4280" i="2" l="1"/>
  <c r="AP4281" i="2" s="1"/>
  <c r="AP4284" i="2" s="1"/>
  <c r="AQ4285" i="2" s="1"/>
  <c r="AP4306" i="2"/>
  <c r="AP4307" i="2" s="1"/>
  <c r="AR4327" i="2"/>
  <c r="AP4319" i="2"/>
  <c r="AP4318" i="2"/>
  <c r="AP4324" i="2" s="1"/>
  <c r="AP4330" i="2"/>
  <c r="AP4293" i="2"/>
  <c r="AP4294" i="2" l="1"/>
  <c r="AP4295" i="2" s="1"/>
  <c r="AP4298" i="2" s="1"/>
  <c r="AQ4299" i="2" s="1"/>
  <c r="AP4344" i="2"/>
  <c r="AP4332" i="2"/>
  <c r="AR4341" i="2"/>
  <c r="AP4333" i="2"/>
  <c r="AP4308" i="2"/>
  <c r="AP4309" i="2" s="1"/>
  <c r="AP4312" i="2" s="1"/>
  <c r="AQ4313" i="2" s="1"/>
  <c r="AP4320" i="2"/>
  <c r="AP4334" i="2" l="1"/>
  <c r="AP4335" i="2" s="1"/>
  <c r="AP4321" i="2"/>
  <c r="AP4346" i="2"/>
  <c r="AP4352" i="2" s="1"/>
  <c r="AP4347" i="2"/>
  <c r="AR4355" i="2"/>
  <c r="AP4358" i="2"/>
  <c r="AP4338" i="2"/>
  <c r="AP4348" i="2" l="1"/>
  <c r="AP4360" i="2"/>
  <c r="AP4372" i="2"/>
  <c r="AP4361" i="2"/>
  <c r="AR4369" i="2"/>
  <c r="AP4322" i="2"/>
  <c r="AP4323" i="2" s="1"/>
  <c r="AP4326" i="2" s="1"/>
  <c r="AQ4327" i="2" s="1"/>
  <c r="AP4336" i="2"/>
  <c r="AP4337" i="2" s="1"/>
  <c r="AP4340" i="2" s="1"/>
  <c r="AQ4341" i="2" s="1"/>
  <c r="AP4362" i="2" l="1"/>
  <c r="AP4349" i="2"/>
  <c r="AP4375" i="2"/>
  <c r="AP4386" i="2"/>
  <c r="AP4374" i="2"/>
  <c r="AP4380" i="2" s="1"/>
  <c r="AR4383" i="2"/>
  <c r="AP4366" i="2"/>
  <c r="AP4363" i="2" l="1"/>
  <c r="AP4364" i="2" s="1"/>
  <c r="AP4365" i="2" s="1"/>
  <c r="AP4350" i="2"/>
  <c r="AP4351" i="2" s="1"/>
  <c r="AP4354" i="2" s="1"/>
  <c r="AQ4355" i="2" s="1"/>
  <c r="AP4400" i="2"/>
  <c r="AP4389" i="2"/>
  <c r="AR4397" i="2"/>
  <c r="AP4388" i="2"/>
  <c r="AP4376" i="2"/>
  <c r="AP4368" i="2" l="1"/>
  <c r="AQ4369" i="2" s="1"/>
  <c r="AP4390" i="2"/>
  <c r="AR4411" i="2"/>
  <c r="AP4414" i="2"/>
  <c r="AP4403" i="2"/>
  <c r="AP4402" i="2"/>
  <c r="AP4377" i="2"/>
  <c r="AP4394" i="2"/>
  <c r="AP4404" i="2" l="1"/>
  <c r="AP4405" i="2" s="1"/>
  <c r="AP4391" i="2"/>
  <c r="AP4392" i="2" s="1"/>
  <c r="AP4393" i="2" s="1"/>
  <c r="AP4378" i="2"/>
  <c r="AP4379" i="2" s="1"/>
  <c r="AP4382" i="2" s="1"/>
  <c r="AQ4383" i="2" s="1"/>
  <c r="AP4416" i="2"/>
  <c r="AP4422" i="2" s="1"/>
  <c r="AP4428" i="2"/>
  <c r="AR4425" i="2"/>
  <c r="AP4417" i="2"/>
  <c r="AP4408" i="2"/>
  <c r="AP4396" i="2" l="1"/>
  <c r="AQ4397" i="2" s="1"/>
  <c r="AP4406" i="2"/>
  <c r="AP4407" i="2" s="1"/>
  <c r="AP4410" i="2" s="1"/>
  <c r="AQ4411" i="2" s="1"/>
  <c r="AP4430" i="2"/>
  <c r="AP4436" i="2" s="1"/>
  <c r="AP4431" i="2"/>
  <c r="AP4442" i="2"/>
  <c r="AR4439" i="2"/>
  <c r="AP4418" i="2"/>
  <c r="AP4432" i="2" l="1"/>
  <c r="AP4433" i="2" s="1"/>
  <c r="AP4444" i="2"/>
  <c r="AP4450" i="2" s="1"/>
  <c r="AP4445" i="2"/>
  <c r="AP4456" i="2"/>
  <c r="AR4453" i="2"/>
  <c r="AP4419" i="2"/>
  <c r="AP4446" i="2" l="1"/>
  <c r="AP4447" i="2" s="1"/>
  <c r="AP4470" i="2"/>
  <c r="AR4467" i="2"/>
  <c r="AP4459" i="2"/>
  <c r="AP4458" i="2"/>
  <c r="AP4434" i="2"/>
  <c r="AP4435" i="2" s="1"/>
  <c r="AP4438" i="2" s="1"/>
  <c r="AQ4439" i="2" s="1"/>
  <c r="AP4420" i="2"/>
  <c r="AP4421" i="2" s="1"/>
  <c r="AP4424" i="2" s="1"/>
  <c r="AQ4425" i="2" s="1"/>
  <c r="AP4460" i="2" l="1"/>
  <c r="AP4461" i="2" s="1"/>
  <c r="AP4484" i="2"/>
  <c r="AP4473" i="2"/>
  <c r="AR4481" i="2"/>
  <c r="AP4472" i="2"/>
  <c r="AP4478" i="2" s="1"/>
  <c r="AP4448" i="2"/>
  <c r="AP4449" i="2" s="1"/>
  <c r="AP4452" i="2" s="1"/>
  <c r="AQ4453" i="2" s="1"/>
  <c r="AP4464" i="2"/>
  <c r="AP4474" i="2" l="1"/>
  <c r="AP4475" i="2" s="1"/>
  <c r="AP4462" i="2"/>
  <c r="AP4463" i="2" s="1"/>
  <c r="AP4466" i="2" s="1"/>
  <c r="AQ4467" i="2" s="1"/>
  <c r="AR4495" i="2"/>
  <c r="AP4486" i="2"/>
  <c r="AP4492" i="2" s="1"/>
  <c r="AP4487" i="2"/>
  <c r="AP4498" i="2"/>
  <c r="AP4488" i="2" l="1"/>
  <c r="AP4476" i="2"/>
  <c r="AP4477" i="2" s="1"/>
  <c r="AP4480" i="2" s="1"/>
  <c r="AQ4481" i="2" s="1"/>
  <c r="AP4512" i="2"/>
  <c r="AP4501" i="2"/>
  <c r="AR4509" i="2"/>
  <c r="AP4500" i="2"/>
  <c r="AP4502" i="2" l="1"/>
  <c r="AP4489" i="2"/>
  <c r="AP4506" i="2"/>
  <c r="AP4515" i="2"/>
  <c r="AP4514" i="2"/>
  <c r="AP4520" i="2" s="1"/>
  <c r="AR4523" i="2"/>
  <c r="AP4526" i="2"/>
  <c r="AP4503" i="2" l="1"/>
  <c r="AP4490" i="2"/>
  <c r="AP4491" i="2" s="1"/>
  <c r="AP4494" i="2" s="1"/>
  <c r="AQ4495" i="2" s="1"/>
  <c r="AP4528" i="2"/>
  <c r="AP4534" i="2" s="1"/>
  <c r="AR4537" i="2"/>
  <c r="AP4540" i="2"/>
  <c r="AP4529" i="2"/>
  <c r="AP4516" i="2"/>
  <c r="AP4504" i="2" l="1"/>
  <c r="AP4505" i="2" s="1"/>
  <c r="AP4508" i="2" s="1"/>
  <c r="AQ4509" i="2" s="1"/>
  <c r="AP4554" i="2"/>
  <c r="AP4543" i="2"/>
  <c r="AR4551" i="2"/>
  <c r="AP4542" i="2"/>
  <c r="AP4517" i="2"/>
  <c r="AP4530" i="2"/>
  <c r="AP4544" i="2" l="1"/>
  <c r="AP4545" i="2" s="1"/>
  <c r="AP4518" i="2"/>
  <c r="AP4519" i="2" s="1"/>
  <c r="AP4522" i="2" s="1"/>
  <c r="AQ4523" i="2" s="1"/>
  <c r="AP4531" i="2"/>
  <c r="AP4568" i="2"/>
  <c r="AR4565" i="2"/>
  <c r="AP4557" i="2"/>
  <c r="AP4556" i="2"/>
  <c r="AP4562" i="2" s="1"/>
  <c r="AP4548" i="2"/>
  <c r="AP4546" i="2" l="1"/>
  <c r="AP4547" i="2" s="1"/>
  <c r="AP4550" i="2" s="1"/>
  <c r="AQ4551" i="2" s="1"/>
  <c r="AP4571" i="2"/>
  <c r="AR4579" i="2"/>
  <c r="AP4570" i="2"/>
  <c r="AP4576" i="2" s="1"/>
  <c r="AP4582" i="2"/>
  <c r="AP4532" i="2"/>
  <c r="AP4533" i="2" s="1"/>
  <c r="AP4536" i="2" s="1"/>
  <c r="AQ4537" i="2" s="1"/>
  <c r="AP4558" i="2"/>
  <c r="AP4559" i="2" l="1"/>
  <c r="AP4572" i="2"/>
  <c r="AR4593" i="2"/>
  <c r="AP4584" i="2"/>
  <c r="AP4596" i="2"/>
  <c r="AP4585" i="2"/>
  <c r="AP4586" i="2" l="1"/>
  <c r="AP4587" i="2" s="1"/>
  <c r="AR4607" i="2"/>
  <c r="AP4598" i="2"/>
  <c r="AP4604" i="2" s="1"/>
  <c r="AP4610" i="2"/>
  <c r="AP4599" i="2"/>
  <c r="AP4573" i="2"/>
  <c r="AP4560" i="2"/>
  <c r="AP4561" i="2" s="1"/>
  <c r="AP4564" i="2" s="1"/>
  <c r="AQ4565" i="2" s="1"/>
  <c r="AP4590" i="2"/>
  <c r="AP4574" i="2" l="1"/>
  <c r="AP4575" i="2" s="1"/>
  <c r="AP4578" i="2" s="1"/>
  <c r="AQ4579" i="2" s="1"/>
  <c r="AP4612" i="2"/>
  <c r="AP4618" i="2" s="1"/>
  <c r="AP4624" i="2"/>
  <c r="AR4621" i="2"/>
  <c r="AP4613" i="2"/>
  <c r="AP4588" i="2"/>
  <c r="AP4589" i="2" s="1"/>
  <c r="AP4592" i="2" s="1"/>
  <c r="AQ4593" i="2" s="1"/>
  <c r="AP4600" i="2"/>
  <c r="AP4601" i="2" l="1"/>
  <c r="AP4627" i="2"/>
  <c r="AR4635" i="2"/>
  <c r="AP4626" i="2"/>
  <c r="AP4638" i="2"/>
  <c r="AP4614" i="2"/>
  <c r="AP4628" i="2" l="1"/>
  <c r="AP4629" i="2" s="1"/>
  <c r="AP4602" i="2"/>
  <c r="AP4603" i="2" s="1"/>
  <c r="AP4606" i="2" s="1"/>
  <c r="AQ4607" i="2" s="1"/>
  <c r="AP4640" i="2"/>
  <c r="AP4646" i="2" s="1"/>
  <c r="AR4649" i="2"/>
  <c r="AP4652" i="2"/>
  <c r="AP4641" i="2"/>
  <c r="AP4615" i="2"/>
  <c r="AP4632" i="2"/>
  <c r="AP4642" i="2" l="1"/>
  <c r="AP4643" i="2" s="1"/>
  <c r="AP4630" i="2"/>
  <c r="AP4631" i="2" s="1"/>
  <c r="AP4634" i="2" s="1"/>
  <c r="AQ4635" i="2" s="1"/>
  <c r="AP4616" i="2"/>
  <c r="AP4617" i="2" s="1"/>
  <c r="AP4620" i="2" s="1"/>
  <c r="AQ4621" i="2" s="1"/>
  <c r="AP4655" i="2"/>
  <c r="AR4663" i="2"/>
  <c r="AP4654" i="2"/>
  <c r="AP4656" i="2" l="1"/>
  <c r="AP4657" i="2" s="1"/>
  <c r="AP4660" i="2"/>
  <c r="AP4644" i="2"/>
  <c r="AP4645" i="2" s="1"/>
  <c r="AP4648" i="2" s="1"/>
  <c r="AQ4649" i="2" s="1"/>
  <c r="AP4658" i="2" l="1"/>
  <c r="AP4659" i="2" s="1"/>
  <c r="AP4662" i="2" s="1"/>
  <c r="AQ4663" i="2" s="1"/>
  <c r="AR18" i="2" s="1"/>
  <c r="AR19" i="2" s="1"/>
  <c r="T40" i="3" s="1"/>
  <c r="S44" i="3" l="1"/>
  <c r="S41" i="3" s="1"/>
  <c r="S40" i="3"/>
  <c r="R44" i="3" s="1"/>
  <c r="R41" i="3" s="1"/>
  <c r="AR20" i="2"/>
  <c r="AS33" i="2"/>
  <c r="AS35" i="2" l="1"/>
  <c r="AS41" i="2" s="1"/>
  <c r="AS36" i="2"/>
  <c r="AS46" i="2"/>
  <c r="AU44" i="2"/>
  <c r="AU57" i="2" l="1"/>
  <c r="AS49" i="2"/>
  <c r="AS48" i="2"/>
  <c r="AS54" i="2" s="1"/>
  <c r="AS60" i="2"/>
  <c r="AS37" i="2"/>
  <c r="AS38" i="2" s="1"/>
  <c r="AS39" i="2" s="1"/>
  <c r="AS40" i="2" s="1"/>
  <c r="AS43" i="2" s="1"/>
  <c r="AT44" i="2" s="1"/>
  <c r="AU71" i="2" l="1"/>
  <c r="AS63" i="2"/>
  <c r="AS62" i="2"/>
  <c r="AS68" i="2" s="1"/>
  <c r="AS74" i="2"/>
  <c r="AS50" i="2"/>
  <c r="AS51" i="2" s="1"/>
  <c r="AS52" i="2" s="1"/>
  <c r="AS53" i="2" s="1"/>
  <c r="AS56" i="2" s="1"/>
  <c r="AT57" i="2" s="1"/>
  <c r="AU85" i="2" l="1"/>
  <c r="AS77" i="2"/>
  <c r="AS76" i="2"/>
  <c r="AS82" i="2" s="1"/>
  <c r="AS88" i="2"/>
  <c r="AS64" i="2"/>
  <c r="AS65" i="2" s="1"/>
  <c r="AS66" i="2" s="1"/>
  <c r="AS67" i="2" s="1"/>
  <c r="AS70" i="2" s="1"/>
  <c r="AT71" i="2" s="1"/>
  <c r="AS91" i="2" l="1"/>
  <c r="AS90" i="2"/>
  <c r="AS96" i="2" s="1"/>
  <c r="AS102" i="2"/>
  <c r="AU99" i="2"/>
  <c r="AS78" i="2"/>
  <c r="AS79" i="2" s="1"/>
  <c r="AS80" i="2" s="1"/>
  <c r="AS81" i="2" s="1"/>
  <c r="AS84" i="2" s="1"/>
  <c r="AT85" i="2" s="1"/>
  <c r="AU113" i="2" l="1"/>
  <c r="AS105" i="2"/>
  <c r="AS104" i="2"/>
  <c r="AS110" i="2" s="1"/>
  <c r="AS116" i="2"/>
  <c r="AS92" i="2"/>
  <c r="AS93" i="2" s="1"/>
  <c r="AS94" i="2" l="1"/>
  <c r="AS95" i="2" s="1"/>
  <c r="AS98" i="2" s="1"/>
  <c r="AT99" i="2" s="1"/>
  <c r="AS119" i="2"/>
  <c r="AU127" i="2"/>
  <c r="AS118" i="2"/>
  <c r="AS130" i="2"/>
  <c r="AS106" i="2"/>
  <c r="AS107" i="2" s="1"/>
  <c r="AS108" i="2" s="1"/>
  <c r="AS109" i="2" s="1"/>
  <c r="AS112" i="2" s="1"/>
  <c r="AT113" i="2" s="1"/>
  <c r="AS120" i="2" l="1"/>
  <c r="AS121" i="2" s="1"/>
  <c r="AS122" i="2" s="1"/>
  <c r="AS123" i="2" s="1"/>
  <c r="AS124" i="2"/>
  <c r="AU141" i="2"/>
  <c r="AS133" i="2"/>
  <c r="AS132" i="2"/>
  <c r="AS138" i="2" s="1"/>
  <c r="AS144" i="2"/>
  <c r="AS126" i="2" l="1"/>
  <c r="AT127" i="2" s="1"/>
  <c r="AS147" i="2"/>
  <c r="AS146" i="2"/>
  <c r="AS152" i="2" s="1"/>
  <c r="AS158" i="2"/>
  <c r="AU155" i="2"/>
  <c r="AS134" i="2"/>
  <c r="AS135" i="2" s="1"/>
  <c r="AS136" i="2" s="1"/>
  <c r="AS137" i="2" s="1"/>
  <c r="AS140" i="2" s="1"/>
  <c r="AT141" i="2" s="1"/>
  <c r="AS160" i="2" l="1"/>
  <c r="AS166" i="2" s="1"/>
  <c r="AU169" i="2"/>
  <c r="AS161" i="2"/>
  <c r="AS172" i="2"/>
  <c r="AS148" i="2"/>
  <c r="AS149" i="2" s="1"/>
  <c r="AS150" i="2" s="1"/>
  <c r="AS151" i="2" s="1"/>
  <c r="AS154" i="2" s="1"/>
  <c r="AT155" i="2" s="1"/>
  <c r="AS162" i="2" l="1"/>
  <c r="AS163" i="2" s="1"/>
  <c r="AS164" i="2" s="1"/>
  <c r="AS165" i="2" s="1"/>
  <c r="AS168" i="2" s="1"/>
  <c r="AT169" i="2" s="1"/>
  <c r="AS175" i="2"/>
  <c r="AS174" i="2"/>
  <c r="AS186" i="2"/>
  <c r="AU183" i="2"/>
  <c r="AS200" i="2" l="1"/>
  <c r="AU197" i="2"/>
  <c r="AS189" i="2"/>
  <c r="AS188" i="2"/>
  <c r="AS176" i="2"/>
  <c r="AS177" i="2" s="1"/>
  <c r="AS180" i="2"/>
  <c r="AS190" i="2" l="1"/>
  <c r="AS191" i="2" s="1"/>
  <c r="AS192" i="2" s="1"/>
  <c r="AS193" i="2" s="1"/>
  <c r="AS194" i="2"/>
  <c r="AS178" i="2"/>
  <c r="AS179" i="2" s="1"/>
  <c r="AS182" i="2" s="1"/>
  <c r="AT183" i="2" s="1"/>
  <c r="AS202" i="2"/>
  <c r="AS208" i="2" s="1"/>
  <c r="AS214" i="2"/>
  <c r="AU211" i="2"/>
  <c r="AS203" i="2"/>
  <c r="AS196" i="2" l="1"/>
  <c r="AT197" i="2" s="1"/>
  <c r="AS217" i="2"/>
  <c r="AU225" i="2"/>
  <c r="AS216" i="2"/>
  <c r="AS222" i="2" s="1"/>
  <c r="AS228" i="2"/>
  <c r="AS204" i="2"/>
  <c r="AS205" i="2" s="1"/>
  <c r="AS206" i="2" s="1"/>
  <c r="AS207" i="2" s="1"/>
  <c r="AS210" i="2" s="1"/>
  <c r="AT211" i="2" s="1"/>
  <c r="AS230" i="2" l="1"/>
  <c r="AS236" i="2" s="1"/>
  <c r="AU239" i="2"/>
  <c r="AS231" i="2"/>
  <c r="AS242" i="2"/>
  <c r="AS218" i="2"/>
  <c r="AS219" i="2" s="1"/>
  <c r="AS220" i="2" s="1"/>
  <c r="AS221" i="2" s="1"/>
  <c r="AS224" i="2" s="1"/>
  <c r="AT225" i="2" s="1"/>
  <c r="AS232" i="2" l="1"/>
  <c r="AS233" i="2" s="1"/>
  <c r="AS234" i="2" s="1"/>
  <c r="AS235" i="2" s="1"/>
  <c r="AS238" i="2" s="1"/>
  <c r="AT239" i="2" s="1"/>
  <c r="AS245" i="2"/>
  <c r="AU253" i="2"/>
  <c r="AS244" i="2"/>
  <c r="AS250" i="2" s="1"/>
  <c r="AS256" i="2"/>
  <c r="AU267" i="2" l="1"/>
  <c r="AS259" i="2"/>
  <c r="AS258" i="2"/>
  <c r="AS264" i="2" s="1"/>
  <c r="AS270" i="2"/>
  <c r="AS246" i="2"/>
  <c r="AS247" i="2" l="1"/>
  <c r="AS248" i="2" s="1"/>
  <c r="AS249" i="2" s="1"/>
  <c r="AS252" i="2" s="1"/>
  <c r="AT253" i="2" s="1"/>
  <c r="AS273" i="2"/>
  <c r="AS272" i="2"/>
  <c r="AS278" i="2" s="1"/>
  <c r="AS284" i="2"/>
  <c r="AU281" i="2"/>
  <c r="AS260" i="2"/>
  <c r="AS287" i="2" l="1"/>
  <c r="AS286" i="2"/>
  <c r="AS292" i="2" s="1"/>
  <c r="AU295" i="2"/>
  <c r="AS298" i="2"/>
  <c r="AS261" i="2"/>
  <c r="AS262" i="2" s="1"/>
  <c r="AS263" i="2" s="1"/>
  <c r="AS266" i="2" s="1"/>
  <c r="AT267" i="2" s="1"/>
  <c r="AS274" i="2"/>
  <c r="AU309" i="2" l="1"/>
  <c r="AS301" i="2"/>
  <c r="AS300" i="2"/>
  <c r="AS306" i="2" s="1"/>
  <c r="AS312" i="2"/>
  <c r="AS275" i="2"/>
  <c r="AS276" i="2" s="1"/>
  <c r="AS277" i="2" s="1"/>
  <c r="AS280" i="2" s="1"/>
  <c r="AT281" i="2" s="1"/>
  <c r="AS288" i="2"/>
  <c r="AS314" i="2" l="1"/>
  <c r="AS326" i="2"/>
  <c r="AS315" i="2"/>
  <c r="AU323" i="2"/>
  <c r="AS289" i="2"/>
  <c r="AS290" i="2" s="1"/>
  <c r="AS291" i="2" s="1"/>
  <c r="AS294" i="2" s="1"/>
  <c r="AT295" i="2" s="1"/>
  <c r="AS302" i="2"/>
  <c r="AU337" i="2" l="1"/>
  <c r="AS328" i="2"/>
  <c r="AS334" i="2" s="1"/>
  <c r="AS329" i="2"/>
  <c r="AS340" i="2"/>
  <c r="AS316" i="2"/>
  <c r="AS303" i="2"/>
  <c r="AS304" i="2" s="1"/>
  <c r="AS305" i="2" s="1"/>
  <c r="AS308" i="2" s="1"/>
  <c r="AT309" i="2" s="1"/>
  <c r="AS320" i="2"/>
  <c r="AS317" i="2" l="1"/>
  <c r="AS318" i="2" s="1"/>
  <c r="AS319" i="2" s="1"/>
  <c r="AS322" i="2" s="1"/>
  <c r="AT323" i="2" s="1"/>
  <c r="AS330" i="2"/>
  <c r="AS342" i="2"/>
  <c r="AS348" i="2" s="1"/>
  <c r="AS354" i="2"/>
  <c r="AS343" i="2"/>
  <c r="AU351" i="2"/>
  <c r="AS356" i="2" l="1"/>
  <c r="AS362" i="2" s="1"/>
  <c r="AS368" i="2"/>
  <c r="AU365" i="2"/>
  <c r="AS357" i="2"/>
  <c r="AS331" i="2"/>
  <c r="AS344" i="2"/>
  <c r="AS358" i="2" l="1"/>
  <c r="AS332" i="2"/>
  <c r="AS333" i="2" s="1"/>
  <c r="AS336" i="2" s="1"/>
  <c r="AT337" i="2" s="1"/>
  <c r="AS371" i="2"/>
  <c r="AS382" i="2"/>
  <c r="AU379" i="2"/>
  <c r="AS370" i="2"/>
  <c r="AS345" i="2"/>
  <c r="AS346" i="2" s="1"/>
  <c r="AS347" i="2" s="1"/>
  <c r="AS350" i="2" s="1"/>
  <c r="AT351" i="2" s="1"/>
  <c r="AS372" i="2" l="1"/>
  <c r="AS373" i="2" s="1"/>
  <c r="AS374" i="2" s="1"/>
  <c r="AS375" i="2" s="1"/>
  <c r="AS384" i="2"/>
  <c r="AS390" i="2" s="1"/>
  <c r="AS396" i="2"/>
  <c r="AU393" i="2"/>
  <c r="AS385" i="2"/>
  <c r="AS359" i="2"/>
  <c r="AS360" i="2" s="1"/>
  <c r="AS361" i="2" s="1"/>
  <c r="AS364" i="2" s="1"/>
  <c r="AT365" i="2" s="1"/>
  <c r="AS376" i="2"/>
  <c r="AS378" i="2" l="1"/>
  <c r="AT379" i="2" s="1"/>
  <c r="AS399" i="2"/>
  <c r="AS398" i="2"/>
  <c r="AS410" i="2"/>
  <c r="AU407" i="2"/>
  <c r="AS386" i="2"/>
  <c r="AS400" i="2" l="1"/>
  <c r="AS401" i="2" s="1"/>
  <c r="AS402" i="2" s="1"/>
  <c r="AS403" i="2" s="1"/>
  <c r="AS387" i="2"/>
  <c r="AS388" i="2" s="1"/>
  <c r="AS389" i="2" s="1"/>
  <c r="AS392" i="2" s="1"/>
  <c r="AT393" i="2" s="1"/>
  <c r="AS412" i="2"/>
  <c r="AS424" i="2"/>
  <c r="AU421" i="2"/>
  <c r="AS413" i="2"/>
  <c r="AS404" i="2"/>
  <c r="AS406" i="2" l="1"/>
  <c r="AT407" i="2" s="1"/>
  <c r="AS414" i="2"/>
  <c r="AS426" i="2"/>
  <c r="AU435" i="2"/>
  <c r="AS427" i="2"/>
  <c r="AS438" i="2"/>
  <c r="AS418" i="2"/>
  <c r="AS415" i="2" l="1"/>
  <c r="AS416" i="2" s="1"/>
  <c r="AS417" i="2" s="1"/>
  <c r="AS420" i="2" s="1"/>
  <c r="AT421" i="2" s="1"/>
  <c r="AS441" i="2"/>
  <c r="AS440" i="2"/>
  <c r="AS446" i="2" s="1"/>
  <c r="AS452" i="2"/>
  <c r="AU449" i="2"/>
  <c r="AS428" i="2"/>
  <c r="AS432" i="2"/>
  <c r="AS466" i="2" l="1"/>
  <c r="AU463" i="2"/>
  <c r="AS455" i="2"/>
  <c r="AS454" i="2"/>
  <c r="AS429" i="2"/>
  <c r="AS442" i="2"/>
  <c r="AS456" i="2" l="1"/>
  <c r="AS460" i="2"/>
  <c r="AS430" i="2"/>
  <c r="AS431" i="2" s="1"/>
  <c r="AS434" i="2" s="1"/>
  <c r="AT435" i="2" s="1"/>
  <c r="AS469" i="2"/>
  <c r="AS468" i="2"/>
  <c r="AS474" i="2" s="1"/>
  <c r="AS480" i="2"/>
  <c r="AU477" i="2"/>
  <c r="AS443" i="2"/>
  <c r="AS444" i="2" s="1"/>
  <c r="AS445" i="2" s="1"/>
  <c r="AS448" i="2" s="1"/>
  <c r="AT449" i="2" s="1"/>
  <c r="AS457" i="2" l="1"/>
  <c r="AS458" i="2" s="1"/>
  <c r="AS459" i="2" s="1"/>
  <c r="AS462" i="2" s="1"/>
  <c r="AT463" i="2" s="1"/>
  <c r="AU491" i="2"/>
  <c r="AS483" i="2"/>
  <c r="AS482" i="2"/>
  <c r="AS488" i="2" s="1"/>
  <c r="AS494" i="2"/>
  <c r="AS470" i="2"/>
  <c r="AS496" i="2" l="1"/>
  <c r="AS508" i="2"/>
  <c r="AU505" i="2"/>
  <c r="AS497" i="2"/>
  <c r="AS471" i="2"/>
  <c r="AS472" i="2" s="1"/>
  <c r="AS473" i="2" s="1"/>
  <c r="AS476" i="2" s="1"/>
  <c r="AT477" i="2" s="1"/>
  <c r="AS484" i="2"/>
  <c r="AS498" i="2" l="1"/>
  <c r="AS510" i="2"/>
  <c r="AS522" i="2"/>
  <c r="AU519" i="2"/>
  <c r="AS511" i="2"/>
  <c r="AS485" i="2"/>
  <c r="AS486" i="2" s="1"/>
  <c r="AS487" i="2" s="1"/>
  <c r="AS490" i="2" s="1"/>
  <c r="AT491" i="2" s="1"/>
  <c r="AS502" i="2"/>
  <c r="AS499" i="2" l="1"/>
  <c r="AS500" i="2" s="1"/>
  <c r="AS501" i="2" s="1"/>
  <c r="AS504" i="2" s="1"/>
  <c r="AT505" i="2" s="1"/>
  <c r="AS525" i="2"/>
  <c r="AS524" i="2"/>
  <c r="AS530" i="2" s="1"/>
  <c r="AS536" i="2"/>
  <c r="AU533" i="2"/>
  <c r="AS512" i="2"/>
  <c r="AS516" i="2"/>
  <c r="AS538" i="2" l="1"/>
  <c r="AU547" i="2"/>
  <c r="AS539" i="2"/>
  <c r="AS550" i="2"/>
  <c r="AS513" i="2"/>
  <c r="AS514" i="2" s="1"/>
  <c r="AS515" i="2" s="1"/>
  <c r="AS518" i="2" s="1"/>
  <c r="AT519" i="2" s="1"/>
  <c r="AS526" i="2"/>
  <c r="AS540" i="2" l="1"/>
  <c r="AS541" i="2" s="1"/>
  <c r="AS542" i="2" s="1"/>
  <c r="AS543" i="2" s="1"/>
  <c r="AS553" i="2"/>
  <c r="AS552" i="2"/>
  <c r="AS558" i="2" s="1"/>
  <c r="AS564" i="2"/>
  <c r="AU561" i="2"/>
  <c r="AS544" i="2"/>
  <c r="AS527" i="2"/>
  <c r="AS528" i="2" s="1"/>
  <c r="AS529" i="2" s="1"/>
  <c r="AS532" i="2" s="1"/>
  <c r="AT533" i="2" s="1"/>
  <c r="AS546" i="2" l="1"/>
  <c r="AT547" i="2" s="1"/>
  <c r="AS567" i="2"/>
  <c r="AU575" i="2"/>
  <c r="AS566" i="2"/>
  <c r="AS572" i="2" s="1"/>
  <c r="AS578" i="2"/>
  <c r="AS554" i="2"/>
  <c r="AS555" i="2" l="1"/>
  <c r="AS556" i="2" s="1"/>
  <c r="AS557" i="2" s="1"/>
  <c r="AS560" i="2" s="1"/>
  <c r="AT561" i="2" s="1"/>
  <c r="AS581" i="2"/>
  <c r="AS580" i="2"/>
  <c r="AS592" i="2"/>
  <c r="AU589" i="2"/>
  <c r="AS568" i="2"/>
  <c r="AS582" i="2" l="1"/>
  <c r="AS583" i="2" s="1"/>
  <c r="AS595" i="2"/>
  <c r="AS606" i="2"/>
  <c r="AU603" i="2"/>
  <c r="AS594" i="2"/>
  <c r="AS569" i="2"/>
  <c r="AS586" i="2"/>
  <c r="AS596" i="2" l="1"/>
  <c r="AS597" i="2" s="1"/>
  <c r="AS598" i="2" s="1"/>
  <c r="AS599" i="2" s="1"/>
  <c r="AS600" i="2"/>
  <c r="AS609" i="2"/>
  <c r="AS620" i="2"/>
  <c r="AU617" i="2"/>
  <c r="AS608" i="2"/>
  <c r="AS584" i="2"/>
  <c r="AS585" i="2" s="1"/>
  <c r="AS588" i="2" s="1"/>
  <c r="AT589" i="2" s="1"/>
  <c r="AS570" i="2"/>
  <c r="AS571" i="2" s="1"/>
  <c r="AS574" i="2" s="1"/>
  <c r="AT575" i="2" s="1"/>
  <c r="AS602" i="2" l="1"/>
  <c r="AT603" i="2" s="1"/>
  <c r="AS610" i="2"/>
  <c r="AS611" i="2" s="1"/>
  <c r="AS612" i="2" s="1"/>
  <c r="AS613" i="2" s="1"/>
  <c r="AS623" i="2"/>
  <c r="AS622" i="2"/>
  <c r="AS634" i="2"/>
  <c r="AU631" i="2"/>
  <c r="AS614" i="2"/>
  <c r="AS616" i="2" l="1"/>
  <c r="AT617" i="2" s="1"/>
  <c r="AS648" i="2"/>
  <c r="AU645" i="2"/>
  <c r="AS637" i="2"/>
  <c r="AS636" i="2"/>
  <c r="AS624" i="2"/>
  <c r="AS628" i="2"/>
  <c r="AS638" i="2" l="1"/>
  <c r="AS642" i="2"/>
  <c r="AS625" i="2"/>
  <c r="AS626" i="2" s="1"/>
  <c r="AS627" i="2" s="1"/>
  <c r="AS630" i="2" s="1"/>
  <c r="AT631" i="2" s="1"/>
  <c r="AS650" i="2"/>
  <c r="AS656" i="2" s="1"/>
  <c r="AS662" i="2"/>
  <c r="AU659" i="2"/>
  <c r="AS651" i="2"/>
  <c r="AS639" i="2" l="1"/>
  <c r="AS640" i="2" s="1"/>
  <c r="AS641" i="2" s="1"/>
  <c r="AS644" i="2" s="1"/>
  <c r="AT645" i="2" s="1"/>
  <c r="AS664" i="2"/>
  <c r="AS670" i="2" s="1"/>
  <c r="AU673" i="2"/>
  <c r="AS665" i="2"/>
  <c r="AS676" i="2"/>
  <c r="AS652" i="2"/>
  <c r="AS666" i="2" l="1"/>
  <c r="AS678" i="2"/>
  <c r="AS690" i="2"/>
  <c r="AU687" i="2"/>
  <c r="AS679" i="2"/>
  <c r="AS653" i="2"/>
  <c r="AS667" i="2" l="1"/>
  <c r="AS668" i="2" s="1"/>
  <c r="AS669" i="2" s="1"/>
  <c r="AS672" i="2" s="1"/>
  <c r="AT673" i="2" s="1"/>
  <c r="AU701" i="2"/>
  <c r="AS704" i="2"/>
  <c r="AS693" i="2"/>
  <c r="AS692" i="2"/>
  <c r="AS654" i="2"/>
  <c r="AS655" i="2" s="1"/>
  <c r="AS658" i="2" s="1"/>
  <c r="AT659" i="2" s="1"/>
  <c r="AS680" i="2"/>
  <c r="AS684" i="2"/>
  <c r="AS694" i="2" l="1"/>
  <c r="AS698" i="2"/>
  <c r="AS707" i="2"/>
  <c r="AS718" i="2"/>
  <c r="AU715" i="2"/>
  <c r="AS706" i="2"/>
  <c r="AS681" i="2"/>
  <c r="AS682" i="2" s="1"/>
  <c r="AS683" i="2" s="1"/>
  <c r="AS686" i="2" s="1"/>
  <c r="AT687" i="2" s="1"/>
  <c r="AS708" i="2" l="1"/>
  <c r="AS709" i="2" s="1"/>
  <c r="AS710" i="2" s="1"/>
  <c r="AS711" i="2" s="1"/>
  <c r="AS695" i="2"/>
  <c r="AS696" i="2" s="1"/>
  <c r="AS697" i="2" s="1"/>
  <c r="AS700" i="2" s="1"/>
  <c r="AT701" i="2" s="1"/>
  <c r="AS712" i="2"/>
  <c r="AS721" i="2"/>
  <c r="AS720" i="2"/>
  <c r="AS732" i="2"/>
  <c r="AU729" i="2"/>
  <c r="AS722" i="2" l="1"/>
  <c r="AS714" i="2"/>
  <c r="AT715" i="2" s="1"/>
  <c r="AS726" i="2"/>
  <c r="AS735" i="2"/>
  <c r="AS734" i="2"/>
  <c r="AS740" i="2" s="1"/>
  <c r="AS746" i="2"/>
  <c r="AU743" i="2"/>
  <c r="AS723" i="2" l="1"/>
  <c r="AS724" i="2" s="1"/>
  <c r="AS725" i="2" s="1"/>
  <c r="AS728" i="2" s="1"/>
  <c r="AT729" i="2" s="1"/>
  <c r="AS748" i="2"/>
  <c r="AS754" i="2" s="1"/>
  <c r="AU757" i="2"/>
  <c r="AS749" i="2"/>
  <c r="AS760" i="2"/>
  <c r="AS736" i="2"/>
  <c r="AS750" i="2" l="1"/>
  <c r="AS751" i="2" s="1"/>
  <c r="AS752" i="2" s="1"/>
  <c r="AS753" i="2" s="1"/>
  <c r="AS756" i="2" s="1"/>
  <c r="AT757" i="2" s="1"/>
  <c r="AS763" i="2"/>
  <c r="AS774" i="2"/>
  <c r="AU771" i="2"/>
  <c r="AS762" i="2"/>
  <c r="AS737" i="2"/>
  <c r="AS738" i="2" s="1"/>
  <c r="AS739" i="2" s="1"/>
  <c r="AS742" i="2" s="1"/>
  <c r="AT743" i="2" s="1"/>
  <c r="AS764" i="2" l="1"/>
  <c r="AS777" i="2"/>
  <c r="AU785" i="2"/>
  <c r="AS776" i="2"/>
  <c r="AS788" i="2"/>
  <c r="AS768" i="2"/>
  <c r="AS778" i="2" l="1"/>
  <c r="AS779" i="2" s="1"/>
  <c r="AS780" i="2" s="1"/>
  <c r="AS781" i="2" s="1"/>
  <c r="AS765" i="2"/>
  <c r="AS766" i="2" s="1"/>
  <c r="AS767" i="2" s="1"/>
  <c r="AS770" i="2" s="1"/>
  <c r="AT771" i="2" s="1"/>
  <c r="AS791" i="2"/>
  <c r="AU799" i="2"/>
  <c r="AS790" i="2"/>
  <c r="AS802" i="2"/>
  <c r="AS782" i="2"/>
  <c r="AS784" i="2" l="1"/>
  <c r="AT785" i="2" s="1"/>
  <c r="AS792" i="2"/>
  <c r="AS804" i="2"/>
  <c r="AS810" i="2" s="1"/>
  <c r="AU813" i="2"/>
  <c r="AS805" i="2"/>
  <c r="AS816" i="2"/>
  <c r="AS796" i="2"/>
  <c r="AS793" i="2" l="1"/>
  <c r="AS794" i="2" s="1"/>
  <c r="AS795" i="2" s="1"/>
  <c r="AS798" i="2" s="1"/>
  <c r="AT799" i="2" s="1"/>
  <c r="AS806" i="2"/>
  <c r="AS819" i="2"/>
  <c r="AS830" i="2"/>
  <c r="AU827" i="2"/>
  <c r="AS818" i="2"/>
  <c r="AS807" i="2" l="1"/>
  <c r="AS808" i="2" s="1"/>
  <c r="AS809" i="2" s="1"/>
  <c r="AS812" i="2" s="1"/>
  <c r="AT813" i="2" s="1"/>
  <c r="AS820" i="2"/>
  <c r="AS821" i="2" s="1"/>
  <c r="AS822" i="2" s="1"/>
  <c r="AS823" i="2" s="1"/>
  <c r="AS824" i="2"/>
  <c r="AS833" i="2"/>
  <c r="AS832" i="2"/>
  <c r="AS838" i="2" s="1"/>
  <c r="AS844" i="2"/>
  <c r="AU841" i="2"/>
  <c r="AS826" i="2" l="1"/>
  <c r="AT827" i="2" s="1"/>
  <c r="AS834" i="2"/>
  <c r="AS846" i="2"/>
  <c r="AS858" i="2"/>
  <c r="AU855" i="2"/>
  <c r="AS847" i="2"/>
  <c r="AS835" i="2" l="1"/>
  <c r="AS836" i="2" s="1"/>
  <c r="AS837" i="2" s="1"/>
  <c r="AS840" i="2" s="1"/>
  <c r="AT841" i="2" s="1"/>
  <c r="AS848" i="2"/>
  <c r="AU869" i="2"/>
  <c r="AS861" i="2"/>
  <c r="AS860" i="2"/>
  <c r="AS866" i="2" s="1"/>
  <c r="AS872" i="2"/>
  <c r="AS852" i="2"/>
  <c r="AS875" i="2" l="1"/>
  <c r="AS874" i="2"/>
  <c r="AS880" i="2" s="1"/>
  <c r="AU883" i="2"/>
  <c r="AS886" i="2"/>
  <c r="AS849" i="2"/>
  <c r="AS850" i="2" s="1"/>
  <c r="AS851" i="2" s="1"/>
  <c r="AS854" i="2" s="1"/>
  <c r="AT855" i="2" s="1"/>
  <c r="AS862" i="2"/>
  <c r="AS888" i="2" l="1"/>
  <c r="AS900" i="2"/>
  <c r="AU897" i="2"/>
  <c r="AS889" i="2"/>
  <c r="AS863" i="2"/>
  <c r="AS864" i="2" s="1"/>
  <c r="AS865" i="2" s="1"/>
  <c r="AS868" i="2" s="1"/>
  <c r="AT869" i="2" s="1"/>
  <c r="AS876" i="2"/>
  <c r="AS903" i="2" l="1"/>
  <c r="AS902" i="2"/>
  <c r="AS914" i="2"/>
  <c r="AU911" i="2"/>
  <c r="AS877" i="2"/>
  <c r="AS878" i="2" s="1"/>
  <c r="AS879" i="2" s="1"/>
  <c r="AS882" i="2" s="1"/>
  <c r="AT883" i="2" s="1"/>
  <c r="AS890" i="2"/>
  <c r="AS894" i="2"/>
  <c r="AS917" i="2" l="1"/>
  <c r="AS916" i="2"/>
  <c r="AS922" i="2" s="1"/>
  <c r="AU925" i="2"/>
  <c r="AS928" i="2"/>
  <c r="AS891" i="2"/>
  <c r="AS892" i="2" s="1"/>
  <c r="AS893" i="2" s="1"/>
  <c r="AS896" i="2" s="1"/>
  <c r="AT897" i="2" s="1"/>
  <c r="AS904" i="2"/>
  <c r="AS908" i="2"/>
  <c r="AS930" i="2" l="1"/>
  <c r="AS936" i="2" s="1"/>
  <c r="AS942" i="2"/>
  <c r="AU939" i="2"/>
  <c r="AS931" i="2"/>
  <c r="AS905" i="2"/>
  <c r="AS906" i="2" s="1"/>
  <c r="AS907" i="2" s="1"/>
  <c r="AS910" i="2" s="1"/>
  <c r="AT911" i="2" s="1"/>
  <c r="AS918" i="2"/>
  <c r="AS945" i="2" l="1"/>
  <c r="AS944" i="2"/>
  <c r="AS956" i="2"/>
  <c r="AU953" i="2"/>
  <c r="AS919" i="2"/>
  <c r="AS932" i="2"/>
  <c r="AS946" i="2" l="1"/>
  <c r="AS920" i="2"/>
  <c r="AS921" i="2" s="1"/>
  <c r="AS924" i="2" s="1"/>
  <c r="AT925" i="2" s="1"/>
  <c r="AS959" i="2"/>
  <c r="AU967" i="2"/>
  <c r="AS958" i="2"/>
  <c r="AS964" i="2" s="1"/>
  <c r="AS970" i="2"/>
  <c r="AS933" i="2"/>
  <c r="AS934" i="2" s="1"/>
  <c r="AS935" i="2" s="1"/>
  <c r="AS938" i="2" s="1"/>
  <c r="AT939" i="2" s="1"/>
  <c r="AS950" i="2"/>
  <c r="AS947" i="2" l="1"/>
  <c r="AS948" i="2" s="1"/>
  <c r="AS949" i="2" s="1"/>
  <c r="AS952" i="2" s="1"/>
  <c r="AT953" i="2" s="1"/>
  <c r="AS973" i="2"/>
  <c r="AS984" i="2"/>
  <c r="AU981" i="2"/>
  <c r="AS972" i="2"/>
  <c r="AS960" i="2"/>
  <c r="AS974" i="2" l="1"/>
  <c r="AS975" i="2" s="1"/>
  <c r="AS961" i="2"/>
  <c r="AS962" i="2" s="1"/>
  <c r="AS963" i="2" s="1"/>
  <c r="AS966" i="2" s="1"/>
  <c r="AT967" i="2" s="1"/>
  <c r="AS987" i="2"/>
  <c r="AS986" i="2"/>
  <c r="AS992" i="2" s="1"/>
  <c r="AU995" i="2"/>
  <c r="AS998" i="2"/>
  <c r="AS978" i="2"/>
  <c r="AS1000" i="2" l="1"/>
  <c r="AS1012" i="2"/>
  <c r="AU1009" i="2"/>
  <c r="AS1001" i="2"/>
  <c r="AS988" i="2"/>
  <c r="AS976" i="2"/>
  <c r="AS977" i="2" s="1"/>
  <c r="AS980" i="2" s="1"/>
  <c r="AT981" i="2" s="1"/>
  <c r="AS989" i="2" l="1"/>
  <c r="AS990" i="2" s="1"/>
  <c r="AS991" i="2" s="1"/>
  <c r="AS994" i="2" s="1"/>
  <c r="AT995" i="2" s="1"/>
  <c r="AS1015" i="2"/>
  <c r="AS1026" i="2"/>
  <c r="AS1014" i="2"/>
  <c r="AU1023" i="2"/>
  <c r="AS1002" i="2"/>
  <c r="AS1006" i="2"/>
  <c r="AS1016" i="2" l="1"/>
  <c r="AS1017" i="2" s="1"/>
  <c r="AS1018" i="2" s="1"/>
  <c r="AS1019" i="2" s="1"/>
  <c r="AS1020" i="2"/>
  <c r="AS1003" i="2"/>
  <c r="AS1004" i="2" s="1"/>
  <c r="AS1005" i="2" s="1"/>
  <c r="AS1008" i="2" s="1"/>
  <c r="AT1009" i="2" s="1"/>
  <c r="AS1029" i="2"/>
  <c r="AS1028" i="2"/>
  <c r="AS1034" i="2" s="1"/>
  <c r="AU1037" i="2"/>
  <c r="AS1040" i="2"/>
  <c r="AS1022" i="2" l="1"/>
  <c r="AT1023" i="2" s="1"/>
  <c r="AS1043" i="2"/>
  <c r="AS1054" i="2"/>
  <c r="AU1051" i="2"/>
  <c r="AS1042" i="2"/>
  <c r="AS1030" i="2"/>
  <c r="AS1044" i="2" l="1"/>
  <c r="AS1048" i="2"/>
  <c r="AS1031" i="2"/>
  <c r="AS1032" i="2" s="1"/>
  <c r="AS1033" i="2" s="1"/>
  <c r="AS1036" i="2" s="1"/>
  <c r="AT1037" i="2" s="1"/>
  <c r="AS1057" i="2"/>
  <c r="AU1065" i="2"/>
  <c r="AS1056" i="2"/>
  <c r="AS1062" i="2" s="1"/>
  <c r="AS1068" i="2"/>
  <c r="AS1045" i="2" l="1"/>
  <c r="AS1046" i="2" s="1"/>
  <c r="AS1047" i="2" s="1"/>
  <c r="AS1050" i="2" s="1"/>
  <c r="AT1051" i="2" s="1"/>
  <c r="AS1071" i="2"/>
  <c r="AU1079" i="2"/>
  <c r="AS1070" i="2"/>
  <c r="AS1076" i="2" s="1"/>
  <c r="AS1082" i="2"/>
  <c r="AS1058" i="2"/>
  <c r="AS1059" i="2" l="1"/>
  <c r="AS1060" i="2" s="1"/>
  <c r="AS1061" i="2" s="1"/>
  <c r="AS1064" i="2" s="1"/>
  <c r="AT1065" i="2" s="1"/>
  <c r="AS1084" i="2"/>
  <c r="AS1090" i="2" s="1"/>
  <c r="AU1093" i="2"/>
  <c r="AS1085" i="2"/>
  <c r="AS1096" i="2"/>
  <c r="AS1072" i="2"/>
  <c r="AS1099" i="2" l="1"/>
  <c r="AS1110" i="2"/>
  <c r="AU1107" i="2"/>
  <c r="AS1098" i="2"/>
  <c r="AS1073" i="2"/>
  <c r="AS1074" i="2" s="1"/>
  <c r="AS1075" i="2" s="1"/>
  <c r="AS1078" i="2" s="1"/>
  <c r="AT1079" i="2" s="1"/>
  <c r="AS1086" i="2"/>
  <c r="AS1100" i="2" l="1"/>
  <c r="AS1104" i="2"/>
  <c r="AS1113" i="2"/>
  <c r="AS1112" i="2"/>
  <c r="AS1124" i="2"/>
  <c r="AU1121" i="2"/>
  <c r="AS1087" i="2"/>
  <c r="AS1088" i="2" s="1"/>
  <c r="AS1089" i="2" s="1"/>
  <c r="AS1092" i="2" s="1"/>
  <c r="AT1093" i="2" s="1"/>
  <c r="AS1114" i="2" l="1"/>
  <c r="AS1115" i="2" s="1"/>
  <c r="AS1116" i="2" s="1"/>
  <c r="AS1117" i="2" s="1"/>
  <c r="AS1101" i="2"/>
  <c r="AS1102" i="2" s="1"/>
  <c r="AS1103" i="2" s="1"/>
  <c r="AS1106" i="2" s="1"/>
  <c r="AT1107" i="2" s="1"/>
  <c r="AS1127" i="2"/>
  <c r="AU1135" i="2"/>
  <c r="AS1126" i="2"/>
  <c r="AS1132" i="2" s="1"/>
  <c r="AS1138" i="2"/>
  <c r="AS1118" i="2"/>
  <c r="AS1120" i="2" l="1"/>
  <c r="AT1121" i="2" s="1"/>
  <c r="AS1128" i="2"/>
  <c r="AS1140" i="2"/>
  <c r="AS1146" i="2" s="1"/>
  <c r="AU1149" i="2"/>
  <c r="AS1141" i="2"/>
  <c r="AS1152" i="2"/>
  <c r="AS1129" i="2" l="1"/>
  <c r="AS1130" i="2" s="1"/>
  <c r="AS1131" i="2" s="1"/>
  <c r="AS1134" i="2" s="1"/>
  <c r="AT1135" i="2" s="1"/>
  <c r="AS1154" i="2"/>
  <c r="AS1160" i="2" s="1"/>
  <c r="AU1163" i="2"/>
  <c r="AS1155" i="2"/>
  <c r="AS1166" i="2"/>
  <c r="AS1142" i="2"/>
  <c r="AS1169" i="2" l="1"/>
  <c r="AS1168" i="2"/>
  <c r="AS1174" i="2" s="1"/>
  <c r="AS1180" i="2"/>
  <c r="AU1177" i="2"/>
  <c r="AS1143" i="2"/>
  <c r="AS1156" i="2"/>
  <c r="AS1144" i="2" l="1"/>
  <c r="AS1145" i="2" s="1"/>
  <c r="AS1148" i="2" s="1"/>
  <c r="AT1149" i="2" s="1"/>
  <c r="AS1157" i="2"/>
  <c r="AS1182" i="2"/>
  <c r="AS1188" i="2" s="1"/>
  <c r="AS1194" i="2"/>
  <c r="AU1191" i="2"/>
  <c r="AS1183" i="2"/>
  <c r="AS1170" i="2"/>
  <c r="AS1184" i="2" l="1"/>
  <c r="AS1185" i="2" s="1"/>
  <c r="AS1171" i="2"/>
  <c r="AU1205" i="2"/>
  <c r="AS1197" i="2"/>
  <c r="AS1196" i="2"/>
  <c r="AS1202" i="2" s="1"/>
  <c r="AS1208" i="2"/>
  <c r="AS1158" i="2"/>
  <c r="AS1159" i="2" s="1"/>
  <c r="AS1162" i="2" s="1"/>
  <c r="AT1163" i="2" s="1"/>
  <c r="AS1172" i="2" l="1"/>
  <c r="AS1173" i="2" s="1"/>
  <c r="AS1176" i="2" s="1"/>
  <c r="AT1177" i="2" s="1"/>
  <c r="AS1186" i="2"/>
  <c r="AS1187" i="2" s="1"/>
  <c r="AS1190" i="2" s="1"/>
  <c r="AT1191" i="2" s="1"/>
  <c r="AU1219" i="2"/>
  <c r="AS1211" i="2"/>
  <c r="AS1210" i="2"/>
  <c r="AS1216" i="2" s="1"/>
  <c r="AS1222" i="2"/>
  <c r="AS1198" i="2"/>
  <c r="AS1199" i="2" l="1"/>
  <c r="AU1233" i="2"/>
  <c r="AS1225" i="2"/>
  <c r="AS1224" i="2"/>
  <c r="AS1236" i="2"/>
  <c r="AS1212" i="2"/>
  <c r="AS1226" i="2" l="1"/>
  <c r="AS1227" i="2" s="1"/>
  <c r="AS1238" i="2"/>
  <c r="AS1250" i="2"/>
  <c r="AU1247" i="2"/>
  <c r="AS1239" i="2"/>
  <c r="AS1200" i="2"/>
  <c r="AS1201" i="2" s="1"/>
  <c r="AS1204" i="2" s="1"/>
  <c r="AT1205" i="2" s="1"/>
  <c r="AS1213" i="2"/>
  <c r="AS1230" i="2"/>
  <c r="AS1214" i="2" l="1"/>
  <c r="AS1215" i="2" s="1"/>
  <c r="AS1218" i="2" s="1"/>
  <c r="AT1219" i="2" s="1"/>
  <c r="AS1228" i="2"/>
  <c r="AS1229" i="2" s="1"/>
  <c r="AS1232" i="2" s="1"/>
  <c r="AT1233" i="2" s="1"/>
  <c r="AS1240" i="2"/>
  <c r="AS1244" i="2"/>
  <c r="AS1253" i="2"/>
  <c r="AS1264" i="2"/>
  <c r="AU1261" i="2"/>
  <c r="AS1252" i="2"/>
  <c r="AS1254" i="2" l="1"/>
  <c r="AS1255" i="2" s="1"/>
  <c r="AS1267" i="2"/>
  <c r="AS1278" i="2"/>
  <c r="AU1275" i="2"/>
  <c r="AS1266" i="2"/>
  <c r="AS1241" i="2"/>
  <c r="AS1258" i="2"/>
  <c r="AS1268" i="2" l="1"/>
  <c r="AS1269" i="2" s="1"/>
  <c r="AS1242" i="2"/>
  <c r="AS1243" i="2" s="1"/>
  <c r="AS1246" i="2" s="1"/>
  <c r="AT1247" i="2" s="1"/>
  <c r="AS1281" i="2"/>
  <c r="AU1289" i="2"/>
  <c r="AS1280" i="2"/>
  <c r="AS1292" i="2"/>
  <c r="AS1256" i="2"/>
  <c r="AS1257" i="2" s="1"/>
  <c r="AS1260" i="2" s="1"/>
  <c r="AT1261" i="2" s="1"/>
  <c r="AS1272" i="2"/>
  <c r="AS1282" i="2" l="1"/>
  <c r="AS1270" i="2"/>
  <c r="AS1271" i="2" s="1"/>
  <c r="AS1274" i="2" s="1"/>
  <c r="AT1275" i="2" s="1"/>
  <c r="AS1286" i="2"/>
  <c r="AS1295" i="2"/>
  <c r="AS1306" i="2"/>
  <c r="AU1303" i="2"/>
  <c r="AS1294" i="2"/>
  <c r="AS1296" i="2" l="1"/>
  <c r="AS1283" i="2"/>
  <c r="AS1309" i="2"/>
  <c r="AU1317" i="2"/>
  <c r="AS1308" i="2"/>
  <c r="AS1320" i="2"/>
  <c r="AS1300" i="2"/>
  <c r="AS1284" i="2" l="1"/>
  <c r="AS1285" i="2" s="1"/>
  <c r="AS1288" i="2" s="1"/>
  <c r="AT1289" i="2" s="1"/>
  <c r="AS1297" i="2"/>
  <c r="AS1298" i="2" s="1"/>
  <c r="AS1299" i="2" s="1"/>
  <c r="AS1310" i="2"/>
  <c r="AS1311" i="2" s="1"/>
  <c r="AS1314" i="2"/>
  <c r="AS1322" i="2"/>
  <c r="AS1334" i="2"/>
  <c r="AU1331" i="2"/>
  <c r="AS1323" i="2"/>
  <c r="AS1302" i="2" l="1"/>
  <c r="AT1303" i="2" s="1"/>
  <c r="AS1324" i="2"/>
  <c r="AS1328" i="2"/>
  <c r="AS1337" i="2"/>
  <c r="AS1336" i="2"/>
  <c r="AS1342" i="2" s="1"/>
  <c r="AU1345" i="2"/>
  <c r="AS1348" i="2"/>
  <c r="AS1312" i="2"/>
  <c r="AS1313" i="2" s="1"/>
  <c r="AS1316" i="2" s="1"/>
  <c r="AT1317" i="2" s="1"/>
  <c r="AS1338" i="2" l="1"/>
  <c r="AS1339" i="2" s="1"/>
  <c r="AS1325" i="2"/>
  <c r="AS1362" i="2"/>
  <c r="AU1359" i="2"/>
  <c r="AS1351" i="2"/>
  <c r="AS1350" i="2"/>
  <c r="AS1352" i="2" l="1"/>
  <c r="AS1353" i="2" s="1"/>
  <c r="AS1340" i="2"/>
  <c r="AS1341" i="2" s="1"/>
  <c r="AS1344" i="2" s="1"/>
  <c r="AT1345" i="2" s="1"/>
  <c r="AS1365" i="2"/>
  <c r="AS1364" i="2"/>
  <c r="AS1370" i="2" s="1"/>
  <c r="AS1376" i="2"/>
  <c r="AU1373" i="2"/>
  <c r="AS1356" i="2"/>
  <c r="AS1326" i="2"/>
  <c r="AS1327" i="2" s="1"/>
  <c r="AS1330" i="2" s="1"/>
  <c r="AT1331" i="2" s="1"/>
  <c r="AS1354" i="2" l="1"/>
  <c r="AS1355" i="2" s="1"/>
  <c r="AS1358" i="2" s="1"/>
  <c r="AT1359" i="2" s="1"/>
  <c r="AS1378" i="2"/>
  <c r="AS1384" i="2" s="1"/>
  <c r="AS1390" i="2"/>
  <c r="AU1387" i="2"/>
  <c r="AS1379" i="2"/>
  <c r="AS1366" i="2"/>
  <c r="AS1367" i="2" l="1"/>
  <c r="AS1393" i="2"/>
  <c r="AS1404" i="2"/>
  <c r="AU1401" i="2"/>
  <c r="AS1392" i="2"/>
  <c r="AS1380" i="2"/>
  <c r="AS1394" i="2" l="1"/>
  <c r="AS1395" i="2" s="1"/>
  <c r="AU1415" i="2"/>
  <c r="AS1407" i="2"/>
  <c r="AS1406" i="2"/>
  <c r="AS1412" i="2" s="1"/>
  <c r="AS1418" i="2"/>
  <c r="AS1368" i="2"/>
  <c r="AS1369" i="2" s="1"/>
  <c r="AS1372" i="2" s="1"/>
  <c r="AT1373" i="2" s="1"/>
  <c r="AS1381" i="2"/>
  <c r="AS1398" i="2"/>
  <c r="AS1408" i="2" l="1"/>
  <c r="AS1421" i="2"/>
  <c r="AS1420" i="2"/>
  <c r="AS1432" i="2"/>
  <c r="AU1429" i="2"/>
  <c r="AS1382" i="2"/>
  <c r="AS1383" i="2" s="1"/>
  <c r="AS1386" i="2" s="1"/>
  <c r="AT1387" i="2" s="1"/>
  <c r="AS1396" i="2"/>
  <c r="AS1397" i="2" s="1"/>
  <c r="AS1400" i="2" s="1"/>
  <c r="AT1401" i="2" s="1"/>
  <c r="AS1422" i="2" l="1"/>
  <c r="AS1409" i="2"/>
  <c r="AS1434" i="2"/>
  <c r="AS1446" i="2"/>
  <c r="AU1443" i="2"/>
  <c r="AS1435" i="2"/>
  <c r="AS1426" i="2"/>
  <c r="AS1423" i="2" l="1"/>
  <c r="AS1424" i="2" s="1"/>
  <c r="AS1425" i="2" s="1"/>
  <c r="AS1410" i="2"/>
  <c r="AS1411" i="2" s="1"/>
  <c r="AS1414" i="2" s="1"/>
  <c r="AT1415" i="2" s="1"/>
  <c r="AS1436" i="2"/>
  <c r="AS1437" i="2" s="1"/>
  <c r="AS1449" i="2"/>
  <c r="AS1448" i="2"/>
  <c r="AU1457" i="2"/>
  <c r="AS1460" i="2"/>
  <c r="AS1440" i="2"/>
  <c r="AS1428" i="2" l="1"/>
  <c r="AT1429" i="2" s="1"/>
  <c r="AS1450" i="2"/>
  <c r="AS1438" i="2"/>
  <c r="AS1439" i="2" s="1"/>
  <c r="AS1442" i="2" s="1"/>
  <c r="AT1443" i="2" s="1"/>
  <c r="AS1454" i="2"/>
  <c r="AS1474" i="2"/>
  <c r="AU1471" i="2"/>
  <c r="AS1463" i="2"/>
  <c r="AS1462" i="2"/>
  <c r="AS1464" i="2" l="1"/>
  <c r="AS1451" i="2"/>
  <c r="AS1452" i="2" s="1"/>
  <c r="AS1453" i="2" s="1"/>
  <c r="AS1477" i="2"/>
  <c r="AS1476" i="2"/>
  <c r="AS1482" i="2" s="1"/>
  <c r="AS1488" i="2"/>
  <c r="AU1485" i="2"/>
  <c r="AS1468" i="2"/>
  <c r="AS1456" i="2" l="1"/>
  <c r="AT1457" i="2" s="1"/>
  <c r="AS1465" i="2"/>
  <c r="AS1490" i="2"/>
  <c r="AS1502" i="2"/>
  <c r="AU1499" i="2"/>
  <c r="AS1491" i="2"/>
  <c r="AS1478" i="2"/>
  <c r="AS1466" i="2" l="1"/>
  <c r="AS1467" i="2" s="1"/>
  <c r="AS1470" i="2" s="1"/>
  <c r="AT1471" i="2" s="1"/>
  <c r="AS1479" i="2"/>
  <c r="AS1505" i="2"/>
  <c r="AS1516" i="2"/>
  <c r="AU1513" i="2"/>
  <c r="AS1504" i="2"/>
  <c r="AS1492" i="2"/>
  <c r="AS1496" i="2"/>
  <c r="AS1506" i="2" l="1"/>
  <c r="AS1507" i="2" s="1"/>
  <c r="AS1518" i="2"/>
  <c r="AU1527" i="2"/>
  <c r="AS1519" i="2"/>
  <c r="AS1530" i="2"/>
  <c r="AS1480" i="2"/>
  <c r="AS1481" i="2" s="1"/>
  <c r="AS1484" i="2" s="1"/>
  <c r="AT1485" i="2" s="1"/>
  <c r="AS1493" i="2"/>
  <c r="AS1510" i="2"/>
  <c r="AS1520" i="2" l="1"/>
  <c r="AS1521" i="2" s="1"/>
  <c r="AS1494" i="2"/>
  <c r="AS1495" i="2" s="1"/>
  <c r="AS1498" i="2" s="1"/>
  <c r="AT1499" i="2" s="1"/>
  <c r="AS1533" i="2"/>
  <c r="AS1532" i="2"/>
  <c r="AS1544" i="2"/>
  <c r="AU1541" i="2"/>
  <c r="AS1524" i="2"/>
  <c r="AS1508" i="2"/>
  <c r="AS1509" i="2" s="1"/>
  <c r="AS1512" i="2" s="1"/>
  <c r="AT1513" i="2" s="1"/>
  <c r="AS1534" i="2" l="1"/>
  <c r="AS1535" i="2" s="1"/>
  <c r="AS1546" i="2"/>
  <c r="AS1558" i="2"/>
  <c r="AU1555" i="2"/>
  <c r="AS1547" i="2"/>
  <c r="AS1522" i="2"/>
  <c r="AS1523" i="2" s="1"/>
  <c r="AS1526" i="2" s="1"/>
  <c r="AT1527" i="2" s="1"/>
  <c r="AS1538" i="2"/>
  <c r="AS1536" i="2" l="1"/>
  <c r="AS1537" i="2" s="1"/>
  <c r="AS1540" i="2" s="1"/>
  <c r="AT1541" i="2" s="1"/>
  <c r="AS1548" i="2"/>
  <c r="AS1552" i="2"/>
  <c r="AS1561" i="2"/>
  <c r="AS1572" i="2"/>
  <c r="AU1569" i="2"/>
  <c r="AS1560" i="2"/>
  <c r="AS1562" i="2" l="1"/>
  <c r="AS1563" i="2" s="1"/>
  <c r="AU1583" i="2"/>
  <c r="AS1575" i="2"/>
  <c r="AS1574" i="2"/>
  <c r="AS1580" i="2" s="1"/>
  <c r="AS1586" i="2"/>
  <c r="AS1549" i="2"/>
  <c r="AS1566" i="2"/>
  <c r="AS1550" i="2" l="1"/>
  <c r="AS1551" i="2" s="1"/>
  <c r="AS1554" i="2" s="1"/>
  <c r="AT1555" i="2" s="1"/>
  <c r="AS1589" i="2"/>
  <c r="AS1588" i="2"/>
  <c r="AS1600" i="2"/>
  <c r="AU1597" i="2"/>
  <c r="AS1564" i="2"/>
  <c r="AS1565" i="2" s="1"/>
  <c r="AS1568" i="2" s="1"/>
  <c r="AT1569" i="2" s="1"/>
  <c r="AS1576" i="2"/>
  <c r="AS1590" i="2" l="1"/>
  <c r="AS1591" i="2" s="1"/>
  <c r="AS1577" i="2"/>
  <c r="AS1602" i="2"/>
  <c r="AS1614" i="2"/>
  <c r="AS1603" i="2"/>
  <c r="AU1611" i="2"/>
  <c r="AS1594" i="2"/>
  <c r="AS1592" i="2" l="1"/>
  <c r="AS1593" i="2" s="1"/>
  <c r="AS1596" i="2" s="1"/>
  <c r="AT1597" i="2" s="1"/>
  <c r="AS1604" i="2"/>
  <c r="AS1617" i="2"/>
  <c r="AS1616" i="2"/>
  <c r="AU1625" i="2"/>
  <c r="AS1628" i="2"/>
  <c r="AS1578" i="2"/>
  <c r="AS1579" i="2" s="1"/>
  <c r="AS1582" i="2" s="1"/>
  <c r="AT1583" i="2" s="1"/>
  <c r="AS1608" i="2"/>
  <c r="AS1605" i="2" l="1"/>
  <c r="AS1630" i="2"/>
  <c r="AS1636" i="2" s="1"/>
  <c r="AU1639" i="2"/>
  <c r="AS1631" i="2"/>
  <c r="AS1642" i="2"/>
  <c r="AS1618" i="2"/>
  <c r="AS1622" i="2"/>
  <c r="AS1606" i="2" l="1"/>
  <c r="AS1607" i="2" s="1"/>
  <c r="AS1610" i="2" s="1"/>
  <c r="AT1611" i="2" s="1"/>
  <c r="AS1645" i="2"/>
  <c r="AU1653" i="2"/>
  <c r="AS1644" i="2"/>
  <c r="AS1656" i="2"/>
  <c r="AS1619" i="2"/>
  <c r="AS1632" i="2"/>
  <c r="AS1646" i="2" l="1"/>
  <c r="AS1647" i="2" s="1"/>
  <c r="AS1633" i="2"/>
  <c r="AS1658" i="2"/>
  <c r="AS1670" i="2"/>
  <c r="AU1667" i="2"/>
  <c r="AS1659" i="2"/>
  <c r="AS1650" i="2"/>
  <c r="AS1620" i="2"/>
  <c r="AS1621" i="2" s="1"/>
  <c r="AS1624" i="2" s="1"/>
  <c r="AT1625" i="2" s="1"/>
  <c r="AS1673" i="2" l="1"/>
  <c r="AS1672" i="2"/>
  <c r="AS1678" i="2" s="1"/>
  <c r="AU1681" i="2"/>
  <c r="AS1684" i="2"/>
  <c r="AS1634" i="2"/>
  <c r="AS1635" i="2" s="1"/>
  <c r="AS1638" i="2" s="1"/>
  <c r="AT1639" i="2" s="1"/>
  <c r="AS1648" i="2"/>
  <c r="AS1649" i="2" s="1"/>
  <c r="AS1652" i="2" s="1"/>
  <c r="AT1653" i="2" s="1"/>
  <c r="AS1660" i="2"/>
  <c r="AS1664" i="2"/>
  <c r="AS1661" i="2" l="1"/>
  <c r="AS1674" i="2"/>
  <c r="AS1698" i="2"/>
  <c r="AU1695" i="2"/>
  <c r="AS1687" i="2"/>
  <c r="AS1686" i="2"/>
  <c r="AS1701" i="2" l="1"/>
  <c r="AS1700" i="2"/>
  <c r="AS1706" i="2" s="1"/>
  <c r="AS1712" i="2"/>
  <c r="AU1709" i="2"/>
  <c r="AS1662" i="2"/>
  <c r="AS1663" i="2" s="1"/>
  <c r="AS1666" i="2" s="1"/>
  <c r="AT1667" i="2" s="1"/>
  <c r="AS1688" i="2"/>
  <c r="AS1675" i="2"/>
  <c r="AS1692" i="2"/>
  <c r="AS1676" i="2" l="1"/>
  <c r="AS1677" i="2" s="1"/>
  <c r="AS1680" i="2" s="1"/>
  <c r="AT1681" i="2" s="1"/>
  <c r="AS1689" i="2"/>
  <c r="AS1714" i="2"/>
  <c r="AS1726" i="2"/>
  <c r="AU1723" i="2"/>
  <c r="AS1715" i="2"/>
  <c r="AS1702" i="2"/>
  <c r="AS1703" i="2" l="1"/>
  <c r="AS1729" i="2"/>
  <c r="AS1728" i="2"/>
  <c r="AU1737" i="2"/>
  <c r="AS1740" i="2"/>
  <c r="AS1716" i="2"/>
  <c r="AS1690" i="2"/>
  <c r="AS1691" i="2" s="1"/>
  <c r="AS1694" i="2" s="1"/>
  <c r="AT1695" i="2" s="1"/>
  <c r="AS1720" i="2"/>
  <c r="AS1730" i="2" l="1"/>
  <c r="AS1704" i="2"/>
  <c r="AS1705" i="2" s="1"/>
  <c r="AS1708" i="2" s="1"/>
  <c r="AT1709" i="2" s="1"/>
  <c r="AS1742" i="2"/>
  <c r="AS1748" i="2" s="1"/>
  <c r="AS1754" i="2"/>
  <c r="AU1751" i="2"/>
  <c r="AS1743" i="2"/>
  <c r="AS1717" i="2"/>
  <c r="AS1734" i="2"/>
  <c r="AS1731" i="2" l="1"/>
  <c r="AS1718" i="2"/>
  <c r="AS1719" i="2" s="1"/>
  <c r="AS1722" i="2" s="1"/>
  <c r="AT1723" i="2" s="1"/>
  <c r="AS1757" i="2"/>
  <c r="AS1756" i="2"/>
  <c r="AS1768" i="2"/>
  <c r="AU1765" i="2"/>
  <c r="AS1744" i="2"/>
  <c r="AS1732" i="2" l="1"/>
  <c r="AS1733" i="2" s="1"/>
  <c r="AS1736" i="2" s="1"/>
  <c r="AT1737" i="2" s="1"/>
  <c r="AS1745" i="2"/>
  <c r="AS1770" i="2"/>
  <c r="AS1776" i="2" s="1"/>
  <c r="AS1782" i="2"/>
  <c r="AS1771" i="2"/>
  <c r="AU1779" i="2"/>
  <c r="AS1758" i="2"/>
  <c r="AS1762" i="2"/>
  <c r="AS1746" i="2" l="1"/>
  <c r="AS1747" i="2" s="1"/>
  <c r="AS1750" i="2" s="1"/>
  <c r="AT1751" i="2" s="1"/>
  <c r="AS1759" i="2"/>
  <c r="AS1785" i="2"/>
  <c r="AS1796" i="2"/>
  <c r="AU1793" i="2"/>
  <c r="AS1784" i="2"/>
  <c r="AS1772" i="2"/>
  <c r="AS1786" i="2" l="1"/>
  <c r="AS1787" i="2" s="1"/>
  <c r="AS1798" i="2"/>
  <c r="AS1804" i="2" s="1"/>
  <c r="AU1807" i="2"/>
  <c r="AS1799" i="2"/>
  <c r="AS1810" i="2"/>
  <c r="AS1790" i="2"/>
  <c r="AS1773" i="2"/>
  <c r="AS1760" i="2"/>
  <c r="AS1761" i="2" s="1"/>
  <c r="AS1764" i="2" s="1"/>
  <c r="AT1765" i="2" s="1"/>
  <c r="AS1813" i="2" l="1"/>
  <c r="AU1821" i="2"/>
  <c r="AS1812" i="2"/>
  <c r="AS1818" i="2" s="1"/>
  <c r="AS1824" i="2"/>
  <c r="AS1774" i="2"/>
  <c r="AS1775" i="2" s="1"/>
  <c r="AS1778" i="2" s="1"/>
  <c r="AT1779" i="2" s="1"/>
  <c r="AS1788" i="2"/>
  <c r="AS1789" i="2" s="1"/>
  <c r="AS1792" i="2" s="1"/>
  <c r="AT1793" i="2" s="1"/>
  <c r="AS1800" i="2"/>
  <c r="AS1801" i="2" l="1"/>
  <c r="AS1826" i="2"/>
  <c r="AS1832" i="2" s="1"/>
  <c r="AS1838" i="2"/>
  <c r="AU1835" i="2"/>
  <c r="AS1827" i="2"/>
  <c r="AS1814" i="2"/>
  <c r="AS1802" i="2" l="1"/>
  <c r="AS1803" i="2" s="1"/>
  <c r="AS1806" i="2" s="1"/>
  <c r="AT1807" i="2" s="1"/>
  <c r="AS1815" i="2"/>
  <c r="AS1841" i="2"/>
  <c r="AS1852" i="2"/>
  <c r="AU1849" i="2"/>
  <c r="AS1840" i="2"/>
  <c r="AS1828" i="2"/>
  <c r="AS1842" i="2" l="1"/>
  <c r="AS1843" i="2" s="1"/>
  <c r="AS1829" i="2"/>
  <c r="AS1846" i="2"/>
  <c r="AS1854" i="2"/>
  <c r="AS1860" i="2" s="1"/>
  <c r="AS1866" i="2"/>
  <c r="AU1863" i="2"/>
  <c r="AS1855" i="2"/>
  <c r="AS1816" i="2"/>
  <c r="AS1817" i="2" s="1"/>
  <c r="AS1820" i="2" s="1"/>
  <c r="AT1821" i="2" s="1"/>
  <c r="AS1856" i="2" l="1"/>
  <c r="AS1830" i="2"/>
  <c r="AS1831" i="2" s="1"/>
  <c r="AS1834" i="2" s="1"/>
  <c r="AT1835" i="2" s="1"/>
  <c r="AS1869" i="2"/>
  <c r="AU1877" i="2"/>
  <c r="AS1868" i="2"/>
  <c r="AS1880" i="2"/>
  <c r="AS1844" i="2"/>
  <c r="AS1845" i="2" s="1"/>
  <c r="AS1848" i="2" s="1"/>
  <c r="AT1849" i="2" s="1"/>
  <c r="AS1870" i="2" l="1"/>
  <c r="AS1857" i="2"/>
  <c r="AS1882" i="2"/>
  <c r="AS1894" i="2"/>
  <c r="AS1883" i="2"/>
  <c r="AU1891" i="2"/>
  <c r="AS1874" i="2"/>
  <c r="AS1884" i="2" l="1"/>
  <c r="AS1871" i="2"/>
  <c r="AS1858" i="2"/>
  <c r="AS1859" i="2" s="1"/>
  <c r="AS1862" i="2" s="1"/>
  <c r="AT1863" i="2" s="1"/>
  <c r="AS1896" i="2"/>
  <c r="AU1905" i="2"/>
  <c r="AS1897" i="2"/>
  <c r="AS1908" i="2"/>
  <c r="AS1888" i="2"/>
  <c r="AS1885" i="2" l="1"/>
  <c r="AS1872" i="2"/>
  <c r="AS1873" i="2" s="1"/>
  <c r="AS1876" i="2" s="1"/>
  <c r="AT1877" i="2" s="1"/>
  <c r="AS1898" i="2"/>
  <c r="AS1899" i="2" s="1"/>
  <c r="AS1922" i="2"/>
  <c r="AU1919" i="2"/>
  <c r="AS1911" i="2"/>
  <c r="AS1910" i="2"/>
  <c r="AS1902" i="2"/>
  <c r="AS1886" i="2" l="1"/>
  <c r="AS1887" i="2" s="1"/>
  <c r="AS1890" i="2" s="1"/>
  <c r="AT1891" i="2" s="1"/>
  <c r="AS1912" i="2"/>
  <c r="AS1913" i="2" s="1"/>
  <c r="AS1900" i="2"/>
  <c r="AS1901" i="2" s="1"/>
  <c r="AS1904" i="2" s="1"/>
  <c r="AT1905" i="2" s="1"/>
  <c r="AS1925" i="2"/>
  <c r="AU1933" i="2"/>
  <c r="AS1924" i="2"/>
  <c r="AS1930" i="2" s="1"/>
  <c r="AS1936" i="2"/>
  <c r="AS1916" i="2"/>
  <c r="AS1914" i="2" l="1"/>
  <c r="AS1915" i="2" s="1"/>
  <c r="AS1918" i="2" s="1"/>
  <c r="AT1919" i="2" s="1"/>
  <c r="AS1938" i="2"/>
  <c r="AS1944" i="2" s="1"/>
  <c r="AS1950" i="2"/>
  <c r="AU1947" i="2"/>
  <c r="AS1939" i="2"/>
  <c r="AS1926" i="2"/>
  <c r="AS1927" i="2" l="1"/>
  <c r="AS1953" i="2"/>
  <c r="AS1952" i="2"/>
  <c r="AU1961" i="2"/>
  <c r="AS1964" i="2"/>
  <c r="AS1940" i="2"/>
  <c r="AS1954" i="2" l="1"/>
  <c r="AS1958" i="2"/>
  <c r="AS1928" i="2"/>
  <c r="AS1929" i="2" s="1"/>
  <c r="AS1932" i="2" s="1"/>
  <c r="AT1933" i="2" s="1"/>
  <c r="AS1967" i="2"/>
  <c r="AS1966" i="2"/>
  <c r="AS1972" i="2" s="1"/>
  <c r="AS1978" i="2"/>
  <c r="AU1975" i="2"/>
  <c r="AS1941" i="2"/>
  <c r="AS1955" i="2" l="1"/>
  <c r="AS1956" i="2" s="1"/>
  <c r="AS1957" i="2" s="1"/>
  <c r="AS1942" i="2"/>
  <c r="AS1943" i="2" s="1"/>
  <c r="AS1946" i="2" s="1"/>
  <c r="AT1947" i="2" s="1"/>
  <c r="AU1989" i="2"/>
  <c r="AS1981" i="2"/>
  <c r="AS1980" i="2"/>
  <c r="AS1986" i="2" s="1"/>
  <c r="AS1992" i="2"/>
  <c r="AS1968" i="2"/>
  <c r="AS1960" i="2" l="1"/>
  <c r="AT1961" i="2" s="1"/>
  <c r="AS2006" i="2"/>
  <c r="AU2003" i="2"/>
  <c r="AS1995" i="2"/>
  <c r="AS1994" i="2"/>
  <c r="AS2000" i="2" s="1"/>
  <c r="AS1969" i="2"/>
  <c r="AS1982" i="2"/>
  <c r="AS1996" i="2" l="1"/>
  <c r="AS2009" i="2"/>
  <c r="AS2008" i="2"/>
  <c r="AS2020" i="2"/>
  <c r="AU2017" i="2"/>
  <c r="AS1970" i="2"/>
  <c r="AS1971" i="2" s="1"/>
  <c r="AS1974" i="2" s="1"/>
  <c r="AT1975" i="2" s="1"/>
  <c r="AS1983" i="2"/>
  <c r="AS1997" i="2" l="1"/>
  <c r="AS2010" i="2"/>
  <c r="AS1984" i="2"/>
  <c r="AS1985" i="2" s="1"/>
  <c r="AS1988" i="2" s="1"/>
  <c r="AT1989" i="2" s="1"/>
  <c r="AS2022" i="2"/>
  <c r="AS2028" i="2" s="1"/>
  <c r="AS2034" i="2"/>
  <c r="AU2031" i="2"/>
  <c r="AS2023" i="2"/>
  <c r="AS2014" i="2"/>
  <c r="AS1998" i="2" l="1"/>
  <c r="AS1999" i="2" s="1"/>
  <c r="AS2002" i="2" s="1"/>
  <c r="AT2003" i="2" s="1"/>
  <c r="AS2011" i="2"/>
  <c r="AS2037" i="2"/>
  <c r="AS2048" i="2"/>
  <c r="AU2045" i="2"/>
  <c r="AS2036" i="2"/>
  <c r="AS2024" i="2"/>
  <c r="AS2038" i="2" l="1"/>
  <c r="AS2039" i="2" s="1"/>
  <c r="AS2012" i="2"/>
  <c r="AS2013" i="2" s="1"/>
  <c r="AS2016" i="2" s="1"/>
  <c r="AT2017" i="2" s="1"/>
  <c r="AS2050" i="2"/>
  <c r="AS2056" i="2" s="1"/>
  <c r="AS2062" i="2"/>
  <c r="AU2059" i="2"/>
  <c r="AS2051" i="2"/>
  <c r="AS2025" i="2"/>
  <c r="AS2042" i="2"/>
  <c r="AS2065" i="2" l="1"/>
  <c r="AU2073" i="2"/>
  <c r="AS2064" i="2"/>
  <c r="AS2070" i="2" s="1"/>
  <c r="AS2076" i="2"/>
  <c r="AS2040" i="2"/>
  <c r="AS2041" i="2" s="1"/>
  <c r="AS2044" i="2" s="1"/>
  <c r="AT2045" i="2" s="1"/>
  <c r="AS2026" i="2"/>
  <c r="AS2027" i="2" s="1"/>
  <c r="AS2030" i="2" s="1"/>
  <c r="AT2031" i="2" s="1"/>
  <c r="AS2052" i="2"/>
  <c r="AS2053" i="2" l="1"/>
  <c r="AS2078" i="2"/>
  <c r="AS2084" i="2" s="1"/>
  <c r="AS2090" i="2"/>
  <c r="AU2087" i="2"/>
  <c r="AS2079" i="2"/>
  <c r="AS2066" i="2"/>
  <c r="AS2054" i="2" l="1"/>
  <c r="AS2055" i="2" s="1"/>
  <c r="AS2058" i="2" s="1"/>
  <c r="AT2059" i="2" s="1"/>
  <c r="AS2067" i="2"/>
  <c r="AS2104" i="2"/>
  <c r="AU2101" i="2"/>
  <c r="AS2093" i="2"/>
  <c r="AS2092" i="2"/>
  <c r="AS2080" i="2"/>
  <c r="AS2094" i="2" l="1"/>
  <c r="AS2118" i="2"/>
  <c r="AU2115" i="2"/>
  <c r="AS2107" i="2"/>
  <c r="AS2106" i="2"/>
  <c r="AS2081" i="2"/>
  <c r="AS2068" i="2"/>
  <c r="AS2069" i="2" s="1"/>
  <c r="AS2072" i="2" s="1"/>
  <c r="AT2073" i="2" s="1"/>
  <c r="AS2098" i="2"/>
  <c r="AS2108" i="2" l="1"/>
  <c r="AS2109" i="2" s="1"/>
  <c r="AS2095" i="2"/>
  <c r="AS2096" i="2" s="1"/>
  <c r="AS2097" i="2" s="1"/>
  <c r="AS2121" i="2"/>
  <c r="AU2129" i="2"/>
  <c r="AS2120" i="2"/>
  <c r="AS2126" i="2" s="1"/>
  <c r="AS2132" i="2"/>
  <c r="AS2112" i="2"/>
  <c r="AS2082" i="2"/>
  <c r="AS2083" i="2" s="1"/>
  <c r="AS2086" i="2" s="1"/>
  <c r="AT2087" i="2" s="1"/>
  <c r="AS2100" i="2" l="1"/>
  <c r="AT2101" i="2" s="1"/>
  <c r="AS2122" i="2"/>
  <c r="AS2134" i="2"/>
  <c r="AS2140" i="2" s="1"/>
  <c r="AS2146" i="2"/>
  <c r="AS2135" i="2"/>
  <c r="AU2143" i="2"/>
  <c r="AS2110" i="2"/>
  <c r="AS2111" i="2" s="1"/>
  <c r="AS2114" i="2" s="1"/>
  <c r="AT2115" i="2" s="1"/>
  <c r="AS2136" i="2" l="1"/>
  <c r="AS2149" i="2"/>
  <c r="AS2148" i="2"/>
  <c r="AS2154" i="2" s="1"/>
  <c r="AU2157" i="2"/>
  <c r="AS2160" i="2"/>
  <c r="AS2123" i="2"/>
  <c r="AS2137" i="2" l="1"/>
  <c r="AS2174" i="2"/>
  <c r="AU2171" i="2"/>
  <c r="AS2163" i="2"/>
  <c r="AS2162" i="2"/>
  <c r="AS2124" i="2"/>
  <c r="AS2125" i="2" s="1"/>
  <c r="AS2128" i="2" s="1"/>
  <c r="AT2129" i="2" s="1"/>
  <c r="AS2150" i="2"/>
  <c r="AS2138" i="2" l="1"/>
  <c r="AS2139" i="2" s="1"/>
  <c r="AS2142" i="2" s="1"/>
  <c r="AT2143" i="2" s="1"/>
  <c r="AS2164" i="2"/>
  <c r="AS2165" i="2" s="1"/>
  <c r="AS2151" i="2"/>
  <c r="AS2177" i="2"/>
  <c r="AS2176" i="2"/>
  <c r="AS2182" i="2" s="1"/>
  <c r="AS2188" i="2"/>
  <c r="AU2185" i="2"/>
  <c r="AS2168" i="2"/>
  <c r="AS2166" i="2" l="1"/>
  <c r="AS2167" i="2" s="1"/>
  <c r="AS2170" i="2" s="1"/>
  <c r="AT2171" i="2" s="1"/>
  <c r="AS2152" i="2"/>
  <c r="AS2153" i="2" s="1"/>
  <c r="AS2156" i="2" s="1"/>
  <c r="AT2157" i="2" s="1"/>
  <c r="AS2190" i="2"/>
  <c r="AS2202" i="2"/>
  <c r="AS2191" i="2"/>
  <c r="AU2199" i="2"/>
  <c r="AS2178" i="2"/>
  <c r="AS2192" i="2" l="1"/>
  <c r="AS2193" i="2" s="1"/>
  <c r="AS2179" i="2"/>
  <c r="AS2204" i="2"/>
  <c r="AS2210" i="2" s="1"/>
  <c r="AU2213" i="2"/>
  <c r="AS2205" i="2"/>
  <c r="AS2216" i="2"/>
  <c r="AS2196" i="2"/>
  <c r="AS2180" i="2" l="1"/>
  <c r="AS2181" i="2" s="1"/>
  <c r="AS2184" i="2" s="1"/>
  <c r="AT2185" i="2" s="1"/>
  <c r="AU2227" i="2"/>
  <c r="AS2219" i="2"/>
  <c r="AS2218" i="2"/>
  <c r="AS2230" i="2"/>
  <c r="AS2194" i="2"/>
  <c r="AS2195" i="2" s="1"/>
  <c r="AS2198" i="2" s="1"/>
  <c r="AT2199" i="2" s="1"/>
  <c r="AS2206" i="2"/>
  <c r="AS2233" i="2" l="1"/>
  <c r="AU2241" i="2"/>
  <c r="AS2232" i="2"/>
  <c r="AS2238" i="2" s="1"/>
  <c r="AS2244" i="2"/>
  <c r="AS2207" i="2"/>
  <c r="AS2220" i="2"/>
  <c r="AS2224" i="2"/>
  <c r="AS2208" i="2" l="1"/>
  <c r="AS2209" i="2" s="1"/>
  <c r="AS2212" i="2" s="1"/>
  <c r="AT2213" i="2" s="1"/>
  <c r="AS2221" i="2"/>
  <c r="AS2246" i="2"/>
  <c r="AS2252" i="2" s="1"/>
  <c r="AS2258" i="2"/>
  <c r="AU2255" i="2"/>
  <c r="AS2247" i="2"/>
  <c r="AS2234" i="2"/>
  <c r="AS2248" i="2" l="1"/>
  <c r="AS2235" i="2"/>
  <c r="AS2261" i="2"/>
  <c r="AS2272" i="2"/>
  <c r="AU2269" i="2"/>
  <c r="AS2260" i="2"/>
  <c r="AS2222" i="2"/>
  <c r="AS2223" i="2" s="1"/>
  <c r="AS2226" i="2" s="1"/>
  <c r="AT2227" i="2" s="1"/>
  <c r="AS2249" i="2" l="1"/>
  <c r="AS2275" i="2"/>
  <c r="AU2283" i="2"/>
  <c r="AS2274" i="2"/>
  <c r="AS2286" i="2"/>
  <c r="AS2236" i="2"/>
  <c r="AS2237" i="2" s="1"/>
  <c r="AS2240" i="2" s="1"/>
  <c r="AT2241" i="2" s="1"/>
  <c r="AS2262" i="2"/>
  <c r="AS2266" i="2"/>
  <c r="AS2276" i="2" l="1"/>
  <c r="AS2277" i="2" s="1"/>
  <c r="AS2280" i="2"/>
  <c r="AS2263" i="2"/>
  <c r="AS2250" i="2"/>
  <c r="AS2251" i="2" s="1"/>
  <c r="AS2254" i="2" s="1"/>
  <c r="AT2255" i="2" s="1"/>
  <c r="AS2289" i="2"/>
  <c r="AU2297" i="2"/>
  <c r="AS2288" i="2"/>
  <c r="AS2300" i="2"/>
  <c r="AS2290" i="2" l="1"/>
  <c r="AS2291" i="2" s="1"/>
  <c r="AS2294" i="2"/>
  <c r="AS2264" i="2"/>
  <c r="AS2265" i="2" s="1"/>
  <c r="AS2268" i="2" s="1"/>
  <c r="AT2269" i="2" s="1"/>
  <c r="AS2302" i="2"/>
  <c r="AS2314" i="2"/>
  <c r="AU2311" i="2"/>
  <c r="AS2303" i="2"/>
  <c r="AS2278" i="2"/>
  <c r="AS2279" i="2" s="1"/>
  <c r="AS2282" i="2" s="1"/>
  <c r="AT2283" i="2" s="1"/>
  <c r="AS2292" i="2" l="1"/>
  <c r="AS2293" i="2" s="1"/>
  <c r="AS2296" i="2" s="1"/>
  <c r="AT2297" i="2" s="1"/>
  <c r="AS2304" i="2"/>
  <c r="AS2328" i="2"/>
  <c r="AU2325" i="2"/>
  <c r="AS2317" i="2"/>
  <c r="AS2316" i="2"/>
  <c r="AS2308" i="2"/>
  <c r="AS2305" i="2" l="1"/>
  <c r="AS2342" i="2"/>
  <c r="AS2331" i="2"/>
  <c r="AS2330" i="2"/>
  <c r="AU2339" i="2"/>
  <c r="AS2318" i="2"/>
  <c r="AS2322" i="2"/>
  <c r="AS2332" i="2" l="1"/>
  <c r="AS2333" i="2" s="1"/>
  <c r="AS2336" i="2"/>
  <c r="AS2306" i="2"/>
  <c r="AS2307" i="2" s="1"/>
  <c r="AS2310" i="2" s="1"/>
  <c r="AT2311" i="2" s="1"/>
  <c r="AS2356" i="2"/>
  <c r="AS2344" i="2"/>
  <c r="AS2350" i="2" s="1"/>
  <c r="AU2353" i="2"/>
  <c r="AS2345" i="2"/>
  <c r="AS2319" i="2"/>
  <c r="AU2367" i="2" l="1"/>
  <c r="AS2359" i="2"/>
  <c r="AS2358" i="2"/>
  <c r="AS2370" i="2"/>
  <c r="AS2334" i="2"/>
  <c r="AS2335" i="2" s="1"/>
  <c r="AS2338" i="2" s="1"/>
  <c r="AT2339" i="2" s="1"/>
  <c r="AS2320" i="2"/>
  <c r="AS2321" i="2" s="1"/>
  <c r="AS2324" i="2" s="1"/>
  <c r="AT2325" i="2" s="1"/>
  <c r="AS2346" i="2"/>
  <c r="AS2347" i="2" l="1"/>
  <c r="AS2360" i="2"/>
  <c r="AS2364" i="2"/>
  <c r="AS2373" i="2"/>
  <c r="AS2372" i="2"/>
  <c r="AS2384" i="2"/>
  <c r="AU2381" i="2"/>
  <c r="AS2374" i="2" l="1"/>
  <c r="AS2386" i="2"/>
  <c r="AS2392" i="2" s="1"/>
  <c r="AS2398" i="2"/>
  <c r="AU2395" i="2"/>
  <c r="AS2387" i="2"/>
  <c r="AS2361" i="2"/>
  <c r="AS2348" i="2"/>
  <c r="AS2349" i="2" s="1"/>
  <c r="AS2352" i="2" s="1"/>
  <c r="AT2353" i="2" s="1"/>
  <c r="AS2378" i="2"/>
  <c r="AS2375" i="2" l="1"/>
  <c r="AS2388" i="2"/>
  <c r="AS2401" i="2"/>
  <c r="AS2400" i="2"/>
  <c r="AU2409" i="2"/>
  <c r="AS2412" i="2"/>
  <c r="AS2362" i="2"/>
  <c r="AS2363" i="2" s="1"/>
  <c r="AS2366" i="2" s="1"/>
  <c r="AT2367" i="2" s="1"/>
  <c r="AS2376" i="2" l="1"/>
  <c r="AS2377" i="2" s="1"/>
  <c r="AS2380" i="2" s="1"/>
  <c r="AT2381" i="2" s="1"/>
  <c r="AS2402" i="2"/>
  <c r="AS2403" i="2" s="1"/>
  <c r="AS2389" i="2"/>
  <c r="AS2414" i="2"/>
  <c r="AU2423" i="2"/>
  <c r="AS2415" i="2"/>
  <c r="AS2426" i="2"/>
  <c r="AS2406" i="2"/>
  <c r="AS2416" i="2" l="1"/>
  <c r="AS2417" i="2" s="1"/>
  <c r="AS2429" i="2"/>
  <c r="AU2437" i="2"/>
  <c r="AS2428" i="2"/>
  <c r="AS2434" i="2" s="1"/>
  <c r="AS2440" i="2"/>
  <c r="AS2390" i="2"/>
  <c r="AS2391" i="2" s="1"/>
  <c r="AS2394" i="2" s="1"/>
  <c r="AT2395" i="2" s="1"/>
  <c r="AS2420" i="2"/>
  <c r="AS2404" i="2"/>
  <c r="AS2405" i="2" s="1"/>
  <c r="AS2408" i="2" s="1"/>
  <c r="AT2409" i="2" s="1"/>
  <c r="AS2418" i="2" l="1"/>
  <c r="AS2419" i="2" s="1"/>
  <c r="AS2422" i="2" s="1"/>
  <c r="AT2423" i="2" s="1"/>
  <c r="AS2442" i="2"/>
  <c r="AS2448" i="2" s="1"/>
  <c r="AS2454" i="2"/>
  <c r="AU2451" i="2"/>
  <c r="AS2443" i="2"/>
  <c r="AS2430" i="2"/>
  <c r="AS2431" i="2" l="1"/>
  <c r="AS2456" i="2"/>
  <c r="AS2462" i="2" s="1"/>
  <c r="AU2465" i="2"/>
  <c r="AS2457" i="2"/>
  <c r="AS2468" i="2"/>
  <c r="AS2444" i="2"/>
  <c r="AS2432" i="2" l="1"/>
  <c r="AS2433" i="2" s="1"/>
  <c r="AS2436" i="2" s="1"/>
  <c r="AT2437" i="2" s="1"/>
  <c r="AS2482" i="2"/>
  <c r="AU2479" i="2"/>
  <c r="AS2471" i="2"/>
  <c r="AS2470" i="2"/>
  <c r="AS2445" i="2"/>
  <c r="AS2458" i="2"/>
  <c r="AS2459" i="2" l="1"/>
  <c r="AS2446" i="2"/>
  <c r="AS2447" i="2" s="1"/>
  <c r="AS2450" i="2" s="1"/>
  <c r="AT2451" i="2" s="1"/>
  <c r="AS2485" i="2"/>
  <c r="AU2493" i="2"/>
  <c r="AS2484" i="2"/>
  <c r="AS2490" i="2" s="1"/>
  <c r="AS2496" i="2"/>
  <c r="AS2472" i="2"/>
  <c r="AS2476" i="2"/>
  <c r="AS2486" i="2" l="1"/>
  <c r="AS2460" i="2"/>
  <c r="AS2461" i="2" s="1"/>
  <c r="AS2464" i="2" s="1"/>
  <c r="AT2465" i="2" s="1"/>
  <c r="AS2473" i="2"/>
  <c r="AS2498" i="2"/>
  <c r="AS2504" i="2" s="1"/>
  <c r="AS2510" i="2"/>
  <c r="AS2499" i="2"/>
  <c r="AU2507" i="2"/>
  <c r="AS2500" i="2" l="1"/>
  <c r="AS2501" i="2" s="1"/>
  <c r="AS2487" i="2"/>
  <c r="AS2513" i="2"/>
  <c r="AS2512" i="2"/>
  <c r="AS2518" i="2" s="1"/>
  <c r="AU2521" i="2"/>
  <c r="AS2524" i="2"/>
  <c r="AS2474" i="2"/>
  <c r="AS2475" i="2" s="1"/>
  <c r="AS2478" i="2" s="1"/>
  <c r="AT2479" i="2" s="1"/>
  <c r="AS2514" i="2" l="1"/>
  <c r="AS2526" i="2"/>
  <c r="AS2532" i="2" s="1"/>
  <c r="AS2538" i="2"/>
  <c r="AU2535" i="2"/>
  <c r="AS2527" i="2"/>
  <c r="AS2488" i="2"/>
  <c r="AS2489" i="2" s="1"/>
  <c r="AS2492" i="2" s="1"/>
  <c r="AT2493" i="2" s="1"/>
  <c r="AS2502" i="2"/>
  <c r="AS2503" i="2" s="1"/>
  <c r="AS2506" i="2" s="1"/>
  <c r="AT2507" i="2" s="1"/>
  <c r="AS2515" i="2" l="1"/>
  <c r="AS2541" i="2"/>
  <c r="AS2540" i="2"/>
  <c r="AS2546" i="2" s="1"/>
  <c r="AS2552" i="2"/>
  <c r="AU2549" i="2"/>
  <c r="AS2528" i="2"/>
  <c r="AS2554" i="2" l="1"/>
  <c r="AS2566" i="2"/>
  <c r="AU2563" i="2"/>
  <c r="AS2555" i="2"/>
  <c r="AS2516" i="2"/>
  <c r="AS2517" i="2" s="1"/>
  <c r="AS2520" i="2" s="1"/>
  <c r="AT2521" i="2" s="1"/>
  <c r="AS2529" i="2"/>
  <c r="AS2542" i="2"/>
  <c r="AS2543" i="2" l="1"/>
  <c r="AS2569" i="2"/>
  <c r="AS2568" i="2"/>
  <c r="AU2577" i="2"/>
  <c r="AS2580" i="2"/>
  <c r="AS2556" i="2"/>
  <c r="AS2530" i="2"/>
  <c r="AS2531" i="2" s="1"/>
  <c r="AS2534" i="2" s="1"/>
  <c r="AT2535" i="2" s="1"/>
  <c r="AS2560" i="2"/>
  <c r="AS2570" i="2" l="1"/>
  <c r="AS2544" i="2"/>
  <c r="AS2545" i="2" s="1"/>
  <c r="AS2548" i="2" s="1"/>
  <c r="AT2549" i="2" s="1"/>
  <c r="AU2591" i="2"/>
  <c r="AS2583" i="2"/>
  <c r="AS2582" i="2"/>
  <c r="AS2588" i="2" s="1"/>
  <c r="AS2594" i="2"/>
  <c r="AS2557" i="2"/>
  <c r="AS2574" i="2"/>
  <c r="AS2571" i="2" l="1"/>
  <c r="AS2558" i="2"/>
  <c r="AS2559" i="2" s="1"/>
  <c r="AS2562" i="2" s="1"/>
  <c r="AT2563" i="2" s="1"/>
  <c r="AS2597" i="2"/>
  <c r="AU2605" i="2"/>
  <c r="AS2596" i="2"/>
  <c r="AS2608" i="2"/>
  <c r="AS2584" i="2"/>
  <c r="AS2598" i="2" l="1"/>
  <c r="AS2599" i="2" s="1"/>
  <c r="AS2572" i="2"/>
  <c r="AS2573" i="2" s="1"/>
  <c r="AS2576" i="2" s="1"/>
  <c r="AT2577" i="2" s="1"/>
  <c r="AS2602" i="2"/>
  <c r="AS2610" i="2"/>
  <c r="AS2622" i="2"/>
  <c r="AU2619" i="2"/>
  <c r="AS2611" i="2"/>
  <c r="AS2585" i="2"/>
  <c r="AS2612" i="2" l="1"/>
  <c r="AS2600" i="2"/>
  <c r="AS2601" i="2" s="1"/>
  <c r="AS2604" i="2" s="1"/>
  <c r="AT2605" i="2" s="1"/>
  <c r="AS2625" i="2"/>
  <c r="AS2624" i="2"/>
  <c r="AU2633" i="2"/>
  <c r="AS2636" i="2"/>
  <c r="AS2586" i="2"/>
  <c r="AS2587" i="2" s="1"/>
  <c r="AS2590" i="2" s="1"/>
  <c r="AT2591" i="2" s="1"/>
  <c r="AS2616" i="2"/>
  <c r="AS2613" i="2" l="1"/>
  <c r="AS2638" i="2"/>
  <c r="AS2644" i="2" s="1"/>
  <c r="AU2647" i="2"/>
  <c r="AS2639" i="2"/>
  <c r="AS2650" i="2"/>
  <c r="AS2626" i="2"/>
  <c r="AS2630" i="2"/>
  <c r="AS2614" i="2" l="1"/>
  <c r="AS2615" i="2" s="1"/>
  <c r="AS2618" i="2" s="1"/>
  <c r="AT2619" i="2" s="1"/>
  <c r="AS2653" i="2"/>
  <c r="AS2652" i="2"/>
  <c r="AS2658" i="2" s="1"/>
  <c r="AS2664" i="2"/>
  <c r="AU2661" i="2"/>
  <c r="AS2627" i="2"/>
  <c r="AS2640" i="2"/>
  <c r="AS2641" i="2" l="1"/>
  <c r="AS2666" i="2"/>
  <c r="AS2678" i="2"/>
  <c r="AU2675" i="2"/>
  <c r="AS2667" i="2"/>
  <c r="AS2628" i="2"/>
  <c r="AS2629" i="2" s="1"/>
  <c r="AS2632" i="2" s="1"/>
  <c r="AT2633" i="2" s="1"/>
  <c r="AS2654" i="2"/>
  <c r="AS2655" i="2" l="1"/>
  <c r="AS2642" i="2"/>
  <c r="AS2643" i="2" s="1"/>
  <c r="AS2646" i="2" s="1"/>
  <c r="AT2647" i="2" s="1"/>
  <c r="AS2668" i="2"/>
  <c r="AS2672" i="2"/>
  <c r="AU2689" i="2"/>
  <c r="AS2680" i="2"/>
  <c r="AS2686" i="2" s="1"/>
  <c r="AS2692" i="2"/>
  <c r="AS2681" i="2"/>
  <c r="AS2669" i="2" l="1"/>
  <c r="AS2682" i="2"/>
  <c r="AS2695" i="2"/>
  <c r="AU2703" i="2"/>
  <c r="AS2694" i="2"/>
  <c r="AS2706" i="2"/>
  <c r="AS2656" i="2"/>
  <c r="AS2657" i="2" s="1"/>
  <c r="AS2660" i="2" s="1"/>
  <c r="AT2661" i="2" s="1"/>
  <c r="AS2683" i="2" l="1"/>
  <c r="AS2696" i="2"/>
  <c r="AS2670" i="2"/>
  <c r="AS2671" i="2" s="1"/>
  <c r="AS2674" i="2" s="1"/>
  <c r="AT2675" i="2" s="1"/>
  <c r="AS2709" i="2"/>
  <c r="AU2717" i="2"/>
  <c r="AS2708" i="2"/>
  <c r="AS2714" i="2" s="1"/>
  <c r="AS2720" i="2"/>
  <c r="AS2700" i="2"/>
  <c r="AS2684" i="2" l="1"/>
  <c r="AS2685" i="2" s="1"/>
  <c r="AS2688" i="2" s="1"/>
  <c r="AT2689" i="2" s="1"/>
  <c r="AS2697" i="2"/>
  <c r="AS2722" i="2"/>
  <c r="AS2734" i="2"/>
  <c r="AS2723" i="2"/>
  <c r="AU2731" i="2"/>
  <c r="AS2710" i="2"/>
  <c r="AS2724" i="2" l="1"/>
  <c r="AS2725" i="2" s="1"/>
  <c r="AS2711" i="2"/>
  <c r="AS2737" i="2"/>
  <c r="AS2736" i="2"/>
  <c r="AS2742" i="2" s="1"/>
  <c r="AS2748" i="2"/>
  <c r="AU2745" i="2"/>
  <c r="AS2698" i="2"/>
  <c r="AS2699" i="2" s="1"/>
  <c r="AS2702" i="2" s="1"/>
  <c r="AT2703" i="2" s="1"/>
  <c r="AS2728" i="2"/>
  <c r="AS2726" i="2" l="1"/>
  <c r="AS2727" i="2" s="1"/>
  <c r="AS2730" i="2" s="1"/>
  <c r="AT2731" i="2" s="1"/>
  <c r="AS2738" i="2"/>
  <c r="AS2751" i="2"/>
  <c r="AS2750" i="2"/>
  <c r="AU2759" i="2"/>
  <c r="AS2762" i="2"/>
  <c r="AS2712" i="2"/>
  <c r="AS2713" i="2" s="1"/>
  <c r="AS2716" i="2" s="1"/>
  <c r="AT2717" i="2" s="1"/>
  <c r="AS2739" i="2" l="1"/>
  <c r="AS2752" i="2"/>
  <c r="AS2765" i="2"/>
  <c r="AS2764" i="2"/>
  <c r="AS2776" i="2"/>
  <c r="AU2773" i="2"/>
  <c r="AS2756" i="2"/>
  <c r="AS2766" i="2" l="1"/>
  <c r="AS2767" i="2" s="1"/>
  <c r="AS2740" i="2"/>
  <c r="AS2741" i="2" s="1"/>
  <c r="AS2744" i="2" s="1"/>
  <c r="AT2745" i="2" s="1"/>
  <c r="AS2778" i="2"/>
  <c r="AS2784" i="2" s="1"/>
  <c r="AS2790" i="2"/>
  <c r="AS2779" i="2"/>
  <c r="AU2787" i="2"/>
  <c r="AS2753" i="2"/>
  <c r="AS2770" i="2"/>
  <c r="AU2801" i="2" l="1"/>
  <c r="AS2792" i="2"/>
  <c r="AS2798" i="2" s="1"/>
  <c r="AS2804" i="2"/>
  <c r="AS2793" i="2"/>
  <c r="AS2768" i="2"/>
  <c r="AS2769" i="2" s="1"/>
  <c r="AS2772" i="2" s="1"/>
  <c r="AT2773" i="2" s="1"/>
  <c r="AS2780" i="2"/>
  <c r="AS2754" i="2"/>
  <c r="AS2755" i="2" s="1"/>
  <c r="AS2758" i="2" s="1"/>
  <c r="AT2759" i="2" s="1"/>
  <c r="AS2781" i="2" l="1"/>
  <c r="AS2807" i="2"/>
  <c r="AS2806" i="2"/>
  <c r="AS2812" i="2" s="1"/>
  <c r="AS2818" i="2"/>
  <c r="AU2815" i="2"/>
  <c r="AS2794" i="2"/>
  <c r="AU2829" i="2" l="1"/>
  <c r="AS2821" i="2"/>
  <c r="AS2820" i="2"/>
  <c r="AS2826" i="2" s="1"/>
  <c r="AS2832" i="2"/>
  <c r="AS2782" i="2"/>
  <c r="AS2783" i="2" s="1"/>
  <c r="AS2786" i="2" s="1"/>
  <c r="AT2787" i="2" s="1"/>
  <c r="AS2795" i="2"/>
  <c r="AS2808" i="2"/>
  <c r="AS2809" i="2" l="1"/>
  <c r="AS2796" i="2"/>
  <c r="AS2797" i="2" s="1"/>
  <c r="AS2800" i="2" s="1"/>
  <c r="AT2801" i="2" s="1"/>
  <c r="AS2834" i="2"/>
  <c r="AS2840" i="2" s="1"/>
  <c r="AS2846" i="2"/>
  <c r="AU2843" i="2"/>
  <c r="AS2835" i="2"/>
  <c r="AS2822" i="2"/>
  <c r="AS2823" i="2" l="1"/>
  <c r="AS2848" i="2"/>
  <c r="AS2854" i="2" s="1"/>
  <c r="AS2860" i="2"/>
  <c r="AU2857" i="2"/>
  <c r="AS2849" i="2"/>
  <c r="AS2810" i="2"/>
  <c r="AS2811" i="2" s="1"/>
  <c r="AS2814" i="2" s="1"/>
  <c r="AT2815" i="2" s="1"/>
  <c r="AS2836" i="2"/>
  <c r="AS2824" i="2" l="1"/>
  <c r="AS2825" i="2" s="1"/>
  <c r="AS2828" i="2" s="1"/>
  <c r="AT2829" i="2" s="1"/>
  <c r="AS2837" i="2"/>
  <c r="AU2871" i="2"/>
  <c r="AS2863" i="2"/>
  <c r="AS2862" i="2"/>
  <c r="AS2868" i="2" s="1"/>
  <c r="AS2874" i="2"/>
  <c r="AS2850" i="2"/>
  <c r="AS2877" i="2" l="1"/>
  <c r="AU2885" i="2"/>
  <c r="AS2876" i="2"/>
  <c r="AS2888" i="2"/>
  <c r="AS2851" i="2"/>
  <c r="AS2838" i="2"/>
  <c r="AS2839" i="2" s="1"/>
  <c r="AS2842" i="2" s="1"/>
  <c r="AT2843" i="2" s="1"/>
  <c r="AS2864" i="2"/>
  <c r="AS2878" i="2" l="1"/>
  <c r="AS2879" i="2" s="1"/>
  <c r="AS2865" i="2"/>
  <c r="AS2852" i="2"/>
  <c r="AS2853" i="2" s="1"/>
  <c r="AS2856" i="2" s="1"/>
  <c r="AT2857" i="2" s="1"/>
  <c r="AS2882" i="2"/>
  <c r="AS2891" i="2"/>
  <c r="AS2890" i="2"/>
  <c r="AS2896" i="2" s="1"/>
  <c r="AS2902" i="2"/>
  <c r="AU2899" i="2"/>
  <c r="AS2892" i="2" l="1"/>
  <c r="AS2893" i="2" s="1"/>
  <c r="AS2866" i="2"/>
  <c r="AS2867" i="2" s="1"/>
  <c r="AS2870" i="2" s="1"/>
  <c r="AT2871" i="2" s="1"/>
  <c r="AS2904" i="2"/>
  <c r="AS2916" i="2"/>
  <c r="AU2913" i="2"/>
  <c r="AS2905" i="2"/>
  <c r="AS2880" i="2"/>
  <c r="AS2881" i="2" s="1"/>
  <c r="AS2884" i="2" s="1"/>
  <c r="AT2885" i="2" s="1"/>
  <c r="AS2906" i="2" l="1"/>
  <c r="AS2894" i="2"/>
  <c r="AS2895" i="2" s="1"/>
  <c r="AS2898" i="2" s="1"/>
  <c r="AT2899" i="2" s="1"/>
  <c r="AS2919" i="2"/>
  <c r="AS2918" i="2"/>
  <c r="AS2930" i="2"/>
  <c r="AU2927" i="2"/>
  <c r="AS2910" i="2"/>
  <c r="AS2920" i="2" l="1"/>
  <c r="AS2921" i="2" s="1"/>
  <c r="AS2907" i="2"/>
  <c r="AU2941" i="2"/>
  <c r="AS2933" i="2"/>
  <c r="AS2932" i="2"/>
  <c r="AS2944" i="2"/>
  <c r="AS2924" i="2"/>
  <c r="AS2908" i="2" l="1"/>
  <c r="AS2909" i="2" s="1"/>
  <c r="AS2912" i="2" s="1"/>
  <c r="AT2913" i="2" s="1"/>
  <c r="AS2934" i="2"/>
  <c r="AS2935" i="2" s="1"/>
  <c r="AS2938" i="2"/>
  <c r="AS2946" i="2"/>
  <c r="AS2952" i="2" s="1"/>
  <c r="AS2958" i="2"/>
  <c r="AU2955" i="2"/>
  <c r="AS2947" i="2"/>
  <c r="AS2922" i="2"/>
  <c r="AS2923" i="2" s="1"/>
  <c r="AS2926" i="2" s="1"/>
  <c r="AT2927" i="2" s="1"/>
  <c r="AS2936" i="2" l="1"/>
  <c r="AS2937" i="2" s="1"/>
  <c r="AS2940" i="2" s="1"/>
  <c r="AT2941" i="2" s="1"/>
  <c r="AS2960" i="2"/>
  <c r="AS2966" i="2" s="1"/>
  <c r="AS2972" i="2"/>
  <c r="AU2969" i="2"/>
  <c r="AS2961" i="2"/>
  <c r="AS2948" i="2"/>
  <c r="AS2974" i="2" l="1"/>
  <c r="AS2986" i="2"/>
  <c r="AU2983" i="2"/>
  <c r="AS2975" i="2"/>
  <c r="AS2949" i="2"/>
  <c r="AS2962" i="2"/>
  <c r="AS2976" i="2" l="1"/>
  <c r="AU2997" i="2"/>
  <c r="AS2989" i="2"/>
  <c r="AS2988" i="2"/>
  <c r="AS2994" i="2" s="1"/>
  <c r="AS3000" i="2"/>
  <c r="AS2950" i="2"/>
  <c r="AS2951" i="2" s="1"/>
  <c r="AS2954" i="2" s="1"/>
  <c r="AT2955" i="2" s="1"/>
  <c r="AS2963" i="2"/>
  <c r="AS2980" i="2"/>
  <c r="AS2964" i="2" l="1"/>
  <c r="AS2965" i="2" s="1"/>
  <c r="AS2968" i="2" s="1"/>
  <c r="AT2969" i="2" s="1"/>
  <c r="AS3003" i="2"/>
  <c r="AS3002" i="2"/>
  <c r="AS3008" i="2" s="1"/>
  <c r="AS3014" i="2"/>
  <c r="AU3011" i="2"/>
  <c r="AS2977" i="2"/>
  <c r="AS2990" i="2"/>
  <c r="AU3025" i="2" l="1"/>
  <c r="AS3017" i="2"/>
  <c r="AS3016" i="2"/>
  <c r="AS3022" i="2" s="1"/>
  <c r="AS3028" i="2"/>
  <c r="AS2978" i="2"/>
  <c r="AS2979" i="2" s="1"/>
  <c r="AS2982" i="2" s="1"/>
  <c r="AT2983" i="2" s="1"/>
  <c r="AS2991" i="2"/>
  <c r="AS3004" i="2"/>
  <c r="AS3005" i="2" l="1"/>
  <c r="AU3039" i="2"/>
  <c r="AS3031" i="2"/>
  <c r="AS3030" i="2"/>
  <c r="AS3042" i="2"/>
  <c r="AS2992" i="2"/>
  <c r="AS2993" i="2" s="1"/>
  <c r="AS2996" i="2" s="1"/>
  <c r="AT2997" i="2" s="1"/>
  <c r="AS3018" i="2"/>
  <c r="AS3032" i="2" l="1"/>
  <c r="AS3033" i="2" s="1"/>
  <c r="AS3036" i="2"/>
  <c r="AS3006" i="2"/>
  <c r="AS3007" i="2" s="1"/>
  <c r="AS3010" i="2" s="1"/>
  <c r="AT3011" i="2" s="1"/>
  <c r="AS3019" i="2"/>
  <c r="AS3045" i="2"/>
  <c r="AS3044" i="2"/>
  <c r="AS3056" i="2"/>
  <c r="AU3053" i="2"/>
  <c r="AS3046" i="2" l="1"/>
  <c r="AS3047" i="2" s="1"/>
  <c r="AS3058" i="2"/>
  <c r="AS3070" i="2"/>
  <c r="AS3059" i="2"/>
  <c r="AU3067" i="2"/>
  <c r="AS3020" i="2"/>
  <c r="AS3021" i="2" s="1"/>
  <c r="AS3024" i="2" s="1"/>
  <c r="AT3025" i="2" s="1"/>
  <c r="AS3034" i="2"/>
  <c r="AS3035" i="2" s="1"/>
  <c r="AS3038" i="2" s="1"/>
  <c r="AT3039" i="2" s="1"/>
  <c r="AS3050" i="2"/>
  <c r="AS3060" i="2" l="1"/>
  <c r="AS3061" i="2" s="1"/>
  <c r="AS3073" i="2"/>
  <c r="AS3084" i="2"/>
  <c r="AU3081" i="2"/>
  <c r="AS3072" i="2"/>
  <c r="AS3048" i="2"/>
  <c r="AS3049" i="2" s="1"/>
  <c r="AS3052" i="2" s="1"/>
  <c r="AT3053" i="2" s="1"/>
  <c r="AS3064" i="2"/>
  <c r="AS3074" i="2" l="1"/>
  <c r="AS3062" i="2"/>
  <c r="AS3063" i="2" s="1"/>
  <c r="AS3066" i="2" s="1"/>
  <c r="AT3067" i="2" s="1"/>
  <c r="AS3078" i="2"/>
  <c r="AS3087" i="2"/>
  <c r="AS3098" i="2"/>
  <c r="AU3095" i="2"/>
  <c r="AS3086" i="2"/>
  <c r="AS3088" i="2" l="1"/>
  <c r="AS3075" i="2"/>
  <c r="AS3076" i="2" s="1"/>
  <c r="AS3077" i="2" s="1"/>
  <c r="AS3101" i="2"/>
  <c r="AU3109" i="2"/>
  <c r="AS3100" i="2"/>
  <c r="AS3106" i="2" s="1"/>
  <c r="AS3112" i="2"/>
  <c r="AS3092" i="2"/>
  <c r="AS3089" i="2" l="1"/>
  <c r="AS3080" i="2"/>
  <c r="AT3081" i="2" s="1"/>
  <c r="AS3102" i="2"/>
  <c r="AS3115" i="2"/>
  <c r="AS3114" i="2"/>
  <c r="AS3126" i="2"/>
  <c r="AU3123" i="2"/>
  <c r="AS3090" i="2" l="1"/>
  <c r="AS3091" i="2" s="1"/>
  <c r="AS3094" i="2" s="1"/>
  <c r="AT3095" i="2" s="1"/>
  <c r="AS3116" i="2"/>
  <c r="AS3103" i="2"/>
  <c r="AS3128" i="2"/>
  <c r="AS3140" i="2"/>
  <c r="AU3137" i="2"/>
  <c r="AS3129" i="2"/>
  <c r="AS3120" i="2"/>
  <c r="AS3117" i="2" l="1"/>
  <c r="AS3130" i="2"/>
  <c r="AS3134" i="2"/>
  <c r="AS3142" i="2"/>
  <c r="AS3148" i="2" s="1"/>
  <c r="AS3154" i="2"/>
  <c r="AU3151" i="2"/>
  <c r="AS3143" i="2"/>
  <c r="AS3104" i="2"/>
  <c r="AS3105" i="2" s="1"/>
  <c r="AS3108" i="2" s="1"/>
  <c r="AT3109" i="2" s="1"/>
  <c r="AS3118" i="2" l="1"/>
  <c r="AS3119" i="2" s="1"/>
  <c r="AS3122" i="2" s="1"/>
  <c r="AT3123" i="2" s="1"/>
  <c r="AS3131" i="2"/>
  <c r="AS3144" i="2"/>
  <c r="AU3165" i="2"/>
  <c r="AS3157" i="2"/>
  <c r="AS3156" i="2"/>
  <c r="AS3168" i="2"/>
  <c r="AS3132" i="2" l="1"/>
  <c r="AS3133" i="2" s="1"/>
  <c r="AS3136" i="2" s="1"/>
  <c r="AT3137" i="2" s="1"/>
  <c r="AS3145" i="2"/>
  <c r="AS3171" i="2"/>
  <c r="AS3170" i="2"/>
  <c r="AS3182" i="2"/>
  <c r="AU3179" i="2"/>
  <c r="AS3158" i="2"/>
  <c r="AS3162" i="2"/>
  <c r="AS3184" i="2" l="1"/>
  <c r="AS3196" i="2"/>
  <c r="AU3193" i="2"/>
  <c r="AS3185" i="2"/>
  <c r="AS3146" i="2"/>
  <c r="AS3147" i="2" s="1"/>
  <c r="AS3150" i="2" s="1"/>
  <c r="AT3151" i="2" s="1"/>
  <c r="AS3159" i="2"/>
  <c r="AS3172" i="2"/>
  <c r="AS3176" i="2"/>
  <c r="AS3173" i="2" l="1"/>
  <c r="AS3198" i="2"/>
  <c r="AS3204" i="2" s="1"/>
  <c r="AS3210" i="2"/>
  <c r="AU3207" i="2"/>
  <c r="AS3199" i="2"/>
  <c r="AS3160" i="2"/>
  <c r="AS3161" i="2" s="1"/>
  <c r="AS3164" i="2" s="1"/>
  <c r="AT3165" i="2" s="1"/>
  <c r="AS3186" i="2"/>
  <c r="AS3190" i="2"/>
  <c r="AS3200" i="2" l="1"/>
  <c r="AS3187" i="2"/>
  <c r="AS3174" i="2"/>
  <c r="AS3175" i="2" s="1"/>
  <c r="AS3178" i="2" s="1"/>
  <c r="AT3179" i="2" s="1"/>
  <c r="AS3213" i="2"/>
  <c r="AS3212" i="2"/>
  <c r="AU3221" i="2"/>
  <c r="AS3224" i="2"/>
  <c r="AS3201" i="2" l="1"/>
  <c r="AS3188" i="2"/>
  <c r="AS3189" i="2" s="1"/>
  <c r="AS3192" i="2" s="1"/>
  <c r="AT3193" i="2" s="1"/>
  <c r="AS3226" i="2"/>
  <c r="AS3232" i="2" s="1"/>
  <c r="AS3238" i="2"/>
  <c r="AU3235" i="2"/>
  <c r="AS3227" i="2"/>
  <c r="AS3214" i="2"/>
  <c r="AS3218" i="2"/>
  <c r="AS3228" i="2" l="1"/>
  <c r="AS3215" i="2"/>
  <c r="AU3249" i="2"/>
  <c r="AS3241" i="2"/>
  <c r="AS3240" i="2"/>
  <c r="AS3252" i="2"/>
  <c r="AS3202" i="2"/>
  <c r="AS3203" i="2" s="1"/>
  <c r="AS3206" i="2" s="1"/>
  <c r="AT3207" i="2" s="1"/>
  <c r="AS3216" i="2" l="1"/>
  <c r="AS3217" i="2" s="1"/>
  <c r="AS3220" i="2" s="1"/>
  <c r="AT3221" i="2" s="1"/>
  <c r="AS3229" i="2"/>
  <c r="AS3254" i="2"/>
  <c r="AS3260" i="2" s="1"/>
  <c r="AS3266" i="2"/>
  <c r="AU3263" i="2"/>
  <c r="AS3255" i="2"/>
  <c r="AS3242" i="2"/>
  <c r="AS3246" i="2"/>
  <c r="AS3243" i="2" l="1"/>
  <c r="AS3269" i="2"/>
  <c r="AS3268" i="2"/>
  <c r="AS3274" i="2" s="1"/>
  <c r="AU3277" i="2"/>
  <c r="AS3280" i="2"/>
  <c r="AS3230" i="2"/>
  <c r="AS3231" i="2" s="1"/>
  <c r="AS3234" i="2" s="1"/>
  <c r="AT3235" i="2" s="1"/>
  <c r="AS3256" i="2"/>
  <c r="AS3244" i="2" l="1"/>
  <c r="AS3245" i="2" s="1"/>
  <c r="AS3248" i="2" s="1"/>
  <c r="AT3249" i="2" s="1"/>
  <c r="AS3257" i="2"/>
  <c r="AS3282" i="2"/>
  <c r="AU3291" i="2"/>
  <c r="AS3283" i="2"/>
  <c r="AS3294" i="2"/>
  <c r="AS3270" i="2"/>
  <c r="AS3284" i="2" l="1"/>
  <c r="AS3285" i="2" s="1"/>
  <c r="AS3288" i="2"/>
  <c r="AS3271" i="2"/>
  <c r="AS3297" i="2"/>
  <c r="AS3296" i="2"/>
  <c r="AS3302" i="2" s="1"/>
  <c r="AS3308" i="2"/>
  <c r="AU3305" i="2"/>
  <c r="AS3258" i="2"/>
  <c r="AS3259" i="2" s="1"/>
  <c r="AS3262" i="2" s="1"/>
  <c r="AT3263" i="2" s="1"/>
  <c r="AS3286" i="2" l="1"/>
  <c r="AS3287" i="2" s="1"/>
  <c r="AS3290" i="2" s="1"/>
  <c r="AT3291" i="2" s="1"/>
  <c r="AS3272" i="2"/>
  <c r="AS3273" i="2" s="1"/>
  <c r="AS3276" i="2" s="1"/>
  <c r="AT3277" i="2" s="1"/>
  <c r="AS3310" i="2"/>
  <c r="AS3322" i="2"/>
  <c r="AU3319" i="2"/>
  <c r="AS3311" i="2"/>
  <c r="AS3298" i="2"/>
  <c r="AS3312" i="2" l="1"/>
  <c r="AS3299" i="2"/>
  <c r="AU3333" i="2"/>
  <c r="AS3325" i="2"/>
  <c r="AS3324" i="2"/>
  <c r="AS3336" i="2"/>
  <c r="AS3316" i="2"/>
  <c r="AS3313" i="2" l="1"/>
  <c r="AS3300" i="2"/>
  <c r="AS3301" i="2" s="1"/>
  <c r="AS3304" i="2" s="1"/>
  <c r="AT3305" i="2" s="1"/>
  <c r="AU3347" i="2"/>
  <c r="AS3339" i="2"/>
  <c r="AS3338" i="2"/>
  <c r="AS3350" i="2"/>
  <c r="AS3326" i="2"/>
  <c r="AS3330" i="2"/>
  <c r="AS3314" i="2" l="1"/>
  <c r="AS3315" i="2" s="1"/>
  <c r="AS3318" i="2" s="1"/>
  <c r="AT3319" i="2" s="1"/>
  <c r="AS3340" i="2"/>
  <c r="AS3344" i="2"/>
  <c r="AS3327" i="2"/>
  <c r="AU3361" i="2"/>
  <c r="AS3353" i="2"/>
  <c r="AS3352" i="2"/>
  <c r="AS3364" i="2"/>
  <c r="AS3354" i="2" l="1"/>
  <c r="AS3328" i="2"/>
  <c r="AS3329" i="2" s="1"/>
  <c r="AS3332" i="2" s="1"/>
  <c r="AT3333" i="2" s="1"/>
  <c r="AS3367" i="2"/>
  <c r="AS3366" i="2"/>
  <c r="AS3372" i="2" s="1"/>
  <c r="AU3375" i="2"/>
  <c r="AS3378" i="2"/>
  <c r="AS3341" i="2"/>
  <c r="AS3358" i="2"/>
  <c r="AS3355" i="2" l="1"/>
  <c r="AS3392" i="2"/>
  <c r="AU3389" i="2"/>
  <c r="AS3381" i="2"/>
  <c r="AS3380" i="2"/>
  <c r="AS3342" i="2"/>
  <c r="AS3343" i="2" s="1"/>
  <c r="AS3346" i="2" s="1"/>
  <c r="AT3347" i="2" s="1"/>
  <c r="AS3368" i="2"/>
  <c r="AS3356" i="2" l="1"/>
  <c r="AS3357" i="2" s="1"/>
  <c r="AS3360" i="2" s="1"/>
  <c r="AT3361" i="2" s="1"/>
  <c r="AS3382" i="2"/>
  <c r="AS3386" i="2"/>
  <c r="AS3369" i="2"/>
  <c r="AS3395" i="2"/>
  <c r="AU3403" i="2"/>
  <c r="AS3394" i="2"/>
  <c r="AS3406" i="2"/>
  <c r="AS3396" i="2" l="1"/>
  <c r="AS3383" i="2"/>
  <c r="AS3400" i="2"/>
  <c r="AS3408" i="2"/>
  <c r="AS3420" i="2"/>
  <c r="AS3409" i="2"/>
  <c r="AU3417" i="2"/>
  <c r="AS3370" i="2"/>
  <c r="AS3371" i="2" s="1"/>
  <c r="AS3374" i="2" s="1"/>
  <c r="AT3375" i="2" s="1"/>
  <c r="AS3384" i="2" l="1"/>
  <c r="AS3385" i="2" s="1"/>
  <c r="AS3388" i="2" s="1"/>
  <c r="AT3389" i="2" s="1"/>
  <c r="AS3397" i="2"/>
  <c r="AS3410" i="2"/>
  <c r="AS3423" i="2"/>
  <c r="AS3422" i="2"/>
  <c r="AU3431" i="2"/>
  <c r="AS3434" i="2"/>
  <c r="AS3414" i="2"/>
  <c r="AS3424" i="2" l="1"/>
  <c r="AS3398" i="2"/>
  <c r="AS3399" i="2" s="1"/>
  <c r="AS3402" i="2" s="1"/>
  <c r="AT3403" i="2" s="1"/>
  <c r="AS3411" i="2"/>
  <c r="AS3412" i="2" s="1"/>
  <c r="AS3413" i="2" s="1"/>
  <c r="AS3436" i="2"/>
  <c r="AS3442" i="2" s="1"/>
  <c r="AU3445" i="2"/>
  <c r="AS3437" i="2"/>
  <c r="AS3448" i="2"/>
  <c r="AS3428" i="2"/>
  <c r="AS3425" i="2" l="1"/>
  <c r="AS3426" i="2" s="1"/>
  <c r="AS3427" i="2" s="1"/>
  <c r="AS3430" i="2" s="1"/>
  <c r="AT3431" i="2" s="1"/>
  <c r="AS3416" i="2"/>
  <c r="AT3417" i="2" s="1"/>
  <c r="AS3438" i="2"/>
  <c r="AS3439" i="2" s="1"/>
  <c r="AS3451" i="2"/>
  <c r="AS3450" i="2"/>
  <c r="AS3462" i="2"/>
  <c r="AU3459" i="2"/>
  <c r="AS3476" i="2" l="1"/>
  <c r="AS3464" i="2"/>
  <c r="AU3473" i="2"/>
  <c r="AS3465" i="2"/>
  <c r="AS3440" i="2"/>
  <c r="AS3441" i="2" s="1"/>
  <c r="AS3444" i="2" s="1"/>
  <c r="AT3445" i="2" s="1"/>
  <c r="AS3452" i="2"/>
  <c r="AS3456" i="2"/>
  <c r="AS3466" i="2" l="1"/>
  <c r="AS3478" i="2"/>
  <c r="AS3490" i="2"/>
  <c r="AS3479" i="2"/>
  <c r="AU3487" i="2"/>
  <c r="AS3453" i="2"/>
  <c r="AS3470" i="2"/>
  <c r="AS3467" i="2" l="1"/>
  <c r="AS3480" i="2"/>
  <c r="AS3492" i="2"/>
  <c r="AS3498" i="2" s="1"/>
  <c r="AS3504" i="2"/>
  <c r="AS3493" i="2"/>
  <c r="AU3501" i="2"/>
  <c r="AS3454" i="2"/>
  <c r="AS3455" i="2" s="1"/>
  <c r="AS3458" i="2" s="1"/>
  <c r="AT3459" i="2" s="1"/>
  <c r="AS3484" i="2"/>
  <c r="AS3468" i="2" l="1"/>
  <c r="AS3469" i="2" s="1"/>
  <c r="AS3472" i="2" s="1"/>
  <c r="AT3473" i="2" s="1"/>
  <c r="AS3506" i="2"/>
  <c r="AS3518" i="2"/>
  <c r="AS3507" i="2"/>
  <c r="AU3515" i="2"/>
  <c r="AS3481" i="2"/>
  <c r="AS3494" i="2"/>
  <c r="AS3508" i="2" l="1"/>
  <c r="AS3509" i="2" s="1"/>
  <c r="AS3482" i="2"/>
  <c r="AS3483" i="2" s="1"/>
  <c r="AS3486" i="2" s="1"/>
  <c r="AT3487" i="2" s="1"/>
  <c r="AU3529" i="2"/>
  <c r="AS3520" i="2"/>
  <c r="AS3532" i="2"/>
  <c r="AS3521" i="2"/>
  <c r="AS3495" i="2"/>
  <c r="AS3512" i="2"/>
  <c r="AS3522" i="2" l="1"/>
  <c r="AS3496" i="2"/>
  <c r="AS3497" i="2" s="1"/>
  <c r="AS3500" i="2" s="1"/>
  <c r="AT3501" i="2" s="1"/>
  <c r="AS3510" i="2"/>
  <c r="AS3511" i="2" s="1"/>
  <c r="AS3514" i="2" s="1"/>
  <c r="AT3515" i="2" s="1"/>
  <c r="AS3526" i="2"/>
  <c r="AS3534" i="2"/>
  <c r="AS3540" i="2" s="1"/>
  <c r="AS3546" i="2"/>
  <c r="AS3535" i="2"/>
  <c r="AU3543" i="2"/>
  <c r="AS3523" i="2" l="1"/>
  <c r="AS3549" i="2"/>
  <c r="AU3557" i="2"/>
  <c r="AS3548" i="2"/>
  <c r="AS3554" i="2" s="1"/>
  <c r="AS3560" i="2"/>
  <c r="AS3536" i="2"/>
  <c r="AS3524" i="2" l="1"/>
  <c r="AS3525" i="2" s="1"/>
  <c r="AS3528" i="2" s="1"/>
  <c r="AT3529" i="2" s="1"/>
  <c r="AS3537" i="2"/>
  <c r="AU3571" i="2"/>
  <c r="AS3563" i="2"/>
  <c r="AS3562" i="2"/>
  <c r="AS3574" i="2"/>
  <c r="AS3550" i="2"/>
  <c r="AS3564" i="2" l="1"/>
  <c r="AS3588" i="2"/>
  <c r="AS3577" i="2"/>
  <c r="AU3585" i="2"/>
  <c r="AS3576" i="2"/>
  <c r="AS3582" i="2" s="1"/>
  <c r="AS3538" i="2"/>
  <c r="AS3539" i="2" s="1"/>
  <c r="AS3542" i="2" s="1"/>
  <c r="AT3543" i="2" s="1"/>
  <c r="AS3551" i="2"/>
  <c r="AS3568" i="2"/>
  <c r="AS3565" i="2" l="1"/>
  <c r="AS3566" i="2" s="1"/>
  <c r="AS3567" i="2" s="1"/>
  <c r="AS3552" i="2"/>
  <c r="AS3553" i="2" s="1"/>
  <c r="AS3556" i="2" s="1"/>
  <c r="AT3557" i="2" s="1"/>
  <c r="AS3590" i="2"/>
  <c r="AS3596" i="2" s="1"/>
  <c r="AS3602" i="2"/>
  <c r="AS3591" i="2"/>
  <c r="AU3599" i="2"/>
  <c r="AS3578" i="2"/>
  <c r="AS3570" i="2" l="1"/>
  <c r="AT3571" i="2" s="1"/>
  <c r="AS3579" i="2"/>
  <c r="AU3613" i="2"/>
  <c r="AS3604" i="2"/>
  <c r="AS3610" i="2" s="1"/>
  <c r="AS3616" i="2"/>
  <c r="AS3605" i="2"/>
  <c r="AS3592" i="2"/>
  <c r="AU3627" i="2" l="1"/>
  <c r="AS3619" i="2"/>
  <c r="AS3618" i="2"/>
  <c r="AS3624" i="2" s="1"/>
  <c r="AS3630" i="2"/>
  <c r="AS3580" i="2"/>
  <c r="AS3581" i="2" s="1"/>
  <c r="AS3584" i="2" s="1"/>
  <c r="AT3585" i="2" s="1"/>
  <c r="AS3593" i="2"/>
  <c r="AS3606" i="2"/>
  <c r="AU3641" i="2" l="1"/>
  <c r="AS3633" i="2"/>
  <c r="AS3632" i="2"/>
  <c r="AS3638" i="2" s="1"/>
  <c r="AS3644" i="2"/>
  <c r="AS3607" i="2"/>
  <c r="AS3594" i="2"/>
  <c r="AS3595" i="2" s="1"/>
  <c r="AS3598" i="2" s="1"/>
  <c r="AT3599" i="2" s="1"/>
  <c r="AS3620" i="2"/>
  <c r="AS3608" i="2" l="1"/>
  <c r="AS3609" i="2" s="1"/>
  <c r="AS3612" i="2" s="1"/>
  <c r="AT3613" i="2" s="1"/>
  <c r="AS3634" i="2"/>
  <c r="AS3621" i="2"/>
  <c r="AS3646" i="2"/>
  <c r="AU3655" i="2"/>
  <c r="AS3647" i="2"/>
  <c r="AS3658" i="2"/>
  <c r="AS3648" i="2" l="1"/>
  <c r="AS3649" i="2" s="1"/>
  <c r="AS3652" i="2"/>
  <c r="AS3635" i="2"/>
  <c r="AU3669" i="2"/>
  <c r="AS3660" i="2"/>
  <c r="AS3661" i="2"/>
  <c r="AS3672" i="2"/>
  <c r="AS3622" i="2"/>
  <c r="AS3623" i="2" s="1"/>
  <c r="AS3626" i="2" s="1"/>
  <c r="AT3627" i="2" s="1"/>
  <c r="AS3662" i="2" l="1"/>
  <c r="AS3663" i="2" s="1"/>
  <c r="AS3650" i="2"/>
  <c r="AS3651" i="2" s="1"/>
  <c r="AS3654" i="2" s="1"/>
  <c r="AT3655" i="2" s="1"/>
  <c r="AU3683" i="2"/>
  <c r="AS3675" i="2"/>
  <c r="AS3674" i="2"/>
  <c r="AS3686" i="2"/>
  <c r="AS3636" i="2"/>
  <c r="AS3637" i="2" s="1"/>
  <c r="AS3640" i="2" s="1"/>
  <c r="AT3641" i="2" s="1"/>
  <c r="AS3666" i="2"/>
  <c r="AS3676" i="2" l="1"/>
  <c r="AS3677" i="2" s="1"/>
  <c r="AS3680" i="2"/>
  <c r="AS3688" i="2"/>
  <c r="AS3689" i="2"/>
  <c r="AS3700" i="2"/>
  <c r="AU3697" i="2"/>
  <c r="AS3664" i="2"/>
  <c r="AS3665" i="2" s="1"/>
  <c r="AS3668" i="2" s="1"/>
  <c r="AT3669" i="2" s="1"/>
  <c r="AS3678" i="2" l="1"/>
  <c r="AS3679" i="2" s="1"/>
  <c r="AS3682" i="2" s="1"/>
  <c r="AT3683" i="2" s="1"/>
  <c r="AS3690" i="2"/>
  <c r="AU3711" i="2"/>
  <c r="AS3703" i="2"/>
  <c r="AS3702" i="2"/>
  <c r="AS3714" i="2"/>
  <c r="AS3694" i="2"/>
  <c r="AS3691" i="2" l="1"/>
  <c r="AS3704" i="2"/>
  <c r="AU3725" i="2"/>
  <c r="AS3728" i="2"/>
  <c r="AS3717" i="2"/>
  <c r="AS3716" i="2"/>
  <c r="AS3708" i="2"/>
  <c r="AS3730" i="2" l="1"/>
  <c r="AU3739" i="2"/>
  <c r="AS3731" i="2"/>
  <c r="AS3742" i="2"/>
  <c r="AS3692" i="2"/>
  <c r="AS3693" i="2" s="1"/>
  <c r="AS3696" i="2" s="1"/>
  <c r="AT3697" i="2" s="1"/>
  <c r="AS3705" i="2"/>
  <c r="AS3718" i="2"/>
  <c r="AS3722" i="2"/>
  <c r="AS3732" i="2" l="1"/>
  <c r="AS3733" i="2" s="1"/>
  <c r="AS3736" i="2"/>
  <c r="AS3719" i="2"/>
  <c r="AS3706" i="2"/>
  <c r="AS3707" i="2" s="1"/>
  <c r="AS3710" i="2" s="1"/>
  <c r="AT3711" i="2" s="1"/>
  <c r="AS3744" i="2"/>
  <c r="AS3750" i="2" s="1"/>
  <c r="AS3745" i="2"/>
  <c r="AS3756" i="2"/>
  <c r="AU3753" i="2"/>
  <c r="AS3746" i="2" l="1"/>
  <c r="AS3758" i="2"/>
  <c r="AS3759" i="2"/>
  <c r="AS3770" i="2"/>
  <c r="AU3767" i="2"/>
  <c r="AS3720" i="2"/>
  <c r="AS3721" i="2" s="1"/>
  <c r="AS3724" i="2" s="1"/>
  <c r="AT3725" i="2" s="1"/>
  <c r="AS3734" i="2"/>
  <c r="AS3735" i="2" s="1"/>
  <c r="AS3738" i="2" s="1"/>
  <c r="AT3739" i="2" s="1"/>
  <c r="AS3747" i="2" l="1"/>
  <c r="AS3748" i="2" s="1"/>
  <c r="AS3749" i="2" s="1"/>
  <c r="AS3760" i="2"/>
  <c r="AU3781" i="2"/>
  <c r="AS3773" i="2"/>
  <c r="AS3772" i="2"/>
  <c r="AS3778" i="2" s="1"/>
  <c r="AS3784" i="2"/>
  <c r="AS3764" i="2"/>
  <c r="AS3752" i="2" l="1"/>
  <c r="AT3753" i="2" s="1"/>
  <c r="AS3761" i="2"/>
  <c r="AU3795" i="2"/>
  <c r="AS3786" i="2"/>
  <c r="AS3792" i="2" s="1"/>
  <c r="AS3787" i="2"/>
  <c r="AS3798" i="2"/>
  <c r="AS3774" i="2"/>
  <c r="AS3762" i="2" l="1"/>
  <c r="AS3763" i="2" s="1"/>
  <c r="AS3766" i="2" s="1"/>
  <c r="AT3767" i="2" s="1"/>
  <c r="AS3800" i="2"/>
  <c r="AS3806" i="2" s="1"/>
  <c r="AU3809" i="2"/>
  <c r="AS3812" i="2"/>
  <c r="AS3801" i="2"/>
  <c r="AS3775" i="2"/>
  <c r="AS3788" i="2"/>
  <c r="AS3789" i="2" l="1"/>
  <c r="AU3823" i="2"/>
  <c r="AS3814" i="2"/>
  <c r="AS3820" i="2" s="1"/>
  <c r="AS3826" i="2"/>
  <c r="AS3815" i="2"/>
  <c r="AS3776" i="2"/>
  <c r="AS3777" i="2" s="1"/>
  <c r="AS3780" i="2" s="1"/>
  <c r="AT3781" i="2" s="1"/>
  <c r="AS3802" i="2"/>
  <c r="AU3837" i="2" l="1"/>
  <c r="AS3829" i="2"/>
  <c r="AS3828" i="2"/>
  <c r="AS3834" i="2" s="1"/>
  <c r="AS3840" i="2"/>
  <c r="AS3790" i="2"/>
  <c r="AS3791" i="2" s="1"/>
  <c r="AS3794" i="2" s="1"/>
  <c r="AT3795" i="2" s="1"/>
  <c r="AS3803" i="2"/>
  <c r="AS3816" i="2"/>
  <c r="AS3842" i="2" l="1"/>
  <c r="AS3843" i="2"/>
  <c r="AS3854" i="2"/>
  <c r="AU3851" i="2"/>
  <c r="AS3817" i="2"/>
  <c r="AS3804" i="2"/>
  <c r="AS3805" i="2" s="1"/>
  <c r="AS3808" i="2" s="1"/>
  <c r="AT3809" i="2" s="1"/>
  <c r="AS3830" i="2"/>
  <c r="AS3844" i="2" l="1"/>
  <c r="AS3831" i="2"/>
  <c r="AS3818" i="2"/>
  <c r="AS3819" i="2" s="1"/>
  <c r="AS3822" i="2" s="1"/>
  <c r="AT3823" i="2" s="1"/>
  <c r="AS3856" i="2"/>
  <c r="AS3862" i="2" s="1"/>
  <c r="AS3868" i="2"/>
  <c r="AU3865" i="2"/>
  <c r="AS3857" i="2"/>
  <c r="AS3848" i="2"/>
  <c r="AS3845" i="2" l="1"/>
  <c r="AS3832" i="2"/>
  <c r="AS3833" i="2" s="1"/>
  <c r="AS3836" i="2" s="1"/>
  <c r="AT3837" i="2" s="1"/>
  <c r="AS3858" i="2"/>
  <c r="AS3870" i="2"/>
  <c r="AS3871" i="2"/>
  <c r="AS3882" i="2"/>
  <c r="AU3879" i="2"/>
  <c r="AS3846" i="2" l="1"/>
  <c r="AS3847" i="2" s="1"/>
  <c r="AS3850" i="2" s="1"/>
  <c r="AT3851" i="2" s="1"/>
  <c r="AS3872" i="2"/>
  <c r="AS3873" i="2" s="1"/>
  <c r="AS3876" i="2"/>
  <c r="AS3859" i="2"/>
  <c r="AU3893" i="2"/>
  <c r="AS3885" i="2"/>
  <c r="AS3884" i="2"/>
  <c r="AS3896" i="2"/>
  <c r="AS3886" i="2" l="1"/>
  <c r="AS3887" i="2" s="1"/>
  <c r="AS3860" i="2"/>
  <c r="AS3861" i="2" s="1"/>
  <c r="AS3864" i="2" s="1"/>
  <c r="AT3865" i="2" s="1"/>
  <c r="AU3907" i="2"/>
  <c r="AS3899" i="2"/>
  <c r="AS3898" i="2"/>
  <c r="AS3910" i="2"/>
  <c r="AS3874" i="2"/>
  <c r="AS3875" i="2" s="1"/>
  <c r="AS3878" i="2" s="1"/>
  <c r="AT3879" i="2" s="1"/>
  <c r="AS3890" i="2"/>
  <c r="AS3900" i="2" l="1"/>
  <c r="AS3901" i="2" s="1"/>
  <c r="AS3904" i="2"/>
  <c r="AS3912" i="2"/>
  <c r="AU3921" i="2"/>
  <c r="AS3913" i="2"/>
  <c r="AS3924" i="2"/>
  <c r="AS3888" i="2"/>
  <c r="AS3889" i="2" s="1"/>
  <c r="AS3892" i="2" s="1"/>
  <c r="AT3893" i="2" s="1"/>
  <c r="AS3914" i="2" l="1"/>
  <c r="AU3935" i="2"/>
  <c r="AS3927" i="2"/>
  <c r="AS3926" i="2"/>
  <c r="AS3932" i="2" s="1"/>
  <c r="AS3938" i="2"/>
  <c r="AS3918" i="2"/>
  <c r="AS3902" i="2"/>
  <c r="AS3903" i="2" s="1"/>
  <c r="AS3906" i="2" s="1"/>
  <c r="AT3907" i="2" s="1"/>
  <c r="AS3915" i="2" l="1"/>
  <c r="AS3916" i="2" s="1"/>
  <c r="AS3917" i="2" s="1"/>
  <c r="AU3949" i="2"/>
  <c r="AS3941" i="2"/>
  <c r="AS3940" i="2"/>
  <c r="AS3946" i="2" s="1"/>
  <c r="AS3952" i="2"/>
  <c r="AS3928" i="2"/>
  <c r="AS3920" i="2" l="1"/>
  <c r="AT3921" i="2" s="1"/>
  <c r="AS3954" i="2"/>
  <c r="AU3963" i="2"/>
  <c r="AS3966" i="2"/>
  <c r="AS3955" i="2"/>
  <c r="AS3929" i="2"/>
  <c r="AS3942" i="2"/>
  <c r="AS3956" i="2" l="1"/>
  <c r="AS3930" i="2"/>
  <c r="AS3931" i="2" s="1"/>
  <c r="AS3934" i="2" s="1"/>
  <c r="AT3935" i="2" s="1"/>
  <c r="AS3968" i="2"/>
  <c r="AS3974" i="2" s="1"/>
  <c r="AU3977" i="2"/>
  <c r="AS3980" i="2"/>
  <c r="AS3969" i="2"/>
  <c r="AS3943" i="2"/>
  <c r="AS3960" i="2"/>
  <c r="AS3944" i="2" l="1"/>
  <c r="AS3945" i="2" s="1"/>
  <c r="AS3948" i="2" s="1"/>
  <c r="AT3949" i="2" s="1"/>
  <c r="AS3957" i="2"/>
  <c r="AS3982" i="2"/>
  <c r="AS3983" i="2"/>
  <c r="AS3994" i="2"/>
  <c r="AU3991" i="2"/>
  <c r="AS3970" i="2"/>
  <c r="AS3971" i="2" l="1"/>
  <c r="AS3984" i="2"/>
  <c r="AU4005" i="2"/>
  <c r="AS3996" i="2"/>
  <c r="AS4008" i="2"/>
  <c r="AS3997" i="2"/>
  <c r="AS3958" i="2"/>
  <c r="AS3959" i="2" s="1"/>
  <c r="AS3962" i="2" s="1"/>
  <c r="AT3963" i="2" s="1"/>
  <c r="AS3988" i="2"/>
  <c r="AS3998" i="2" l="1"/>
  <c r="AS3999" i="2" s="1"/>
  <c r="AU4019" i="2"/>
  <c r="AS4011" i="2"/>
  <c r="AS4010" i="2"/>
  <c r="AS4022" i="2"/>
  <c r="AS3972" i="2"/>
  <c r="AS3973" i="2" s="1"/>
  <c r="AS3976" i="2" s="1"/>
  <c r="AT3977" i="2" s="1"/>
  <c r="AS3985" i="2"/>
  <c r="AS4002" i="2"/>
  <c r="AS4000" i="2" l="1"/>
  <c r="AS4001" i="2" s="1"/>
  <c r="AS4004" i="2" s="1"/>
  <c r="AT4005" i="2" s="1"/>
  <c r="AS3986" i="2"/>
  <c r="AS3987" i="2" s="1"/>
  <c r="AS3990" i="2" s="1"/>
  <c r="AT3991" i="2" s="1"/>
  <c r="AS4024" i="2"/>
  <c r="AS4025" i="2"/>
  <c r="AS4036" i="2"/>
  <c r="AU4033" i="2"/>
  <c r="AS4012" i="2"/>
  <c r="AS4016" i="2"/>
  <c r="AS4013" i="2" l="1"/>
  <c r="AS4026" i="2"/>
  <c r="AS4038" i="2"/>
  <c r="AS4044" i="2" s="1"/>
  <c r="AS4050" i="2"/>
  <c r="AU4047" i="2"/>
  <c r="AS4039" i="2"/>
  <c r="AS4030" i="2"/>
  <c r="AS4052" i="2" l="1"/>
  <c r="AU4061" i="2"/>
  <c r="AS4053" i="2"/>
  <c r="AS4064" i="2"/>
  <c r="AS4014" i="2"/>
  <c r="AS4015" i="2" s="1"/>
  <c r="AS4018" i="2" s="1"/>
  <c r="AT4019" i="2" s="1"/>
  <c r="AS4027" i="2"/>
  <c r="AS4040" i="2"/>
  <c r="AS4054" i="2" l="1"/>
  <c r="AS4055" i="2" s="1"/>
  <c r="AS4058" i="2"/>
  <c r="AS4041" i="2"/>
  <c r="AS4028" i="2"/>
  <c r="AS4029" i="2" s="1"/>
  <c r="AS4032" i="2" s="1"/>
  <c r="AT4033" i="2" s="1"/>
  <c r="AU4075" i="2"/>
  <c r="AS4066" i="2"/>
  <c r="AS4072" i="2" s="1"/>
  <c r="AS4067" i="2"/>
  <c r="AS4078" i="2"/>
  <c r="AU4089" i="2" l="1"/>
  <c r="AS4080" i="2"/>
  <c r="AS4081" i="2"/>
  <c r="AS4092" i="2"/>
  <c r="AS4056" i="2"/>
  <c r="AS4057" i="2" s="1"/>
  <c r="AS4060" i="2" s="1"/>
  <c r="AT4061" i="2" s="1"/>
  <c r="AS4042" i="2"/>
  <c r="AS4043" i="2" s="1"/>
  <c r="AS4046" i="2" s="1"/>
  <c r="AT4047" i="2" s="1"/>
  <c r="AS4068" i="2"/>
  <c r="AS4082" i="2" l="1"/>
  <c r="AS4083" i="2" s="1"/>
  <c r="AS4094" i="2"/>
  <c r="AU4103" i="2"/>
  <c r="AS4106" i="2"/>
  <c r="AS4095" i="2"/>
  <c r="AS4086" i="2"/>
  <c r="AS4069" i="2"/>
  <c r="AS4084" i="2" l="1"/>
  <c r="AS4085" i="2" s="1"/>
  <c r="AS4088" i="2" s="1"/>
  <c r="AT4089" i="2" s="1"/>
  <c r="AS4096" i="2"/>
  <c r="AS4070" i="2"/>
  <c r="AS4071" i="2" s="1"/>
  <c r="AS4074" i="2" s="1"/>
  <c r="AT4075" i="2" s="1"/>
  <c r="AS4108" i="2"/>
  <c r="AS4114" i="2" s="1"/>
  <c r="AS4109" i="2"/>
  <c r="AS4120" i="2"/>
  <c r="AU4117" i="2"/>
  <c r="AS4100" i="2"/>
  <c r="AS4110" i="2" l="1"/>
  <c r="AS4111" i="2" s="1"/>
  <c r="AS4097" i="2"/>
  <c r="AS4122" i="2"/>
  <c r="AS4128" i="2" s="1"/>
  <c r="AU4131" i="2"/>
  <c r="AS4123" i="2"/>
  <c r="AS4134" i="2"/>
  <c r="AS4124" i="2" l="1"/>
  <c r="AS4125" i="2" s="1"/>
  <c r="AS4112" i="2"/>
  <c r="AS4113" i="2" s="1"/>
  <c r="AS4116" i="2" s="1"/>
  <c r="AT4117" i="2" s="1"/>
  <c r="AU4145" i="2"/>
  <c r="AS4137" i="2"/>
  <c r="AS4136" i="2"/>
  <c r="AS4142" i="2" s="1"/>
  <c r="AS4148" i="2"/>
  <c r="AS4098" i="2"/>
  <c r="AS4099" i="2" s="1"/>
  <c r="AS4102" i="2" s="1"/>
  <c r="AT4103" i="2" s="1"/>
  <c r="AS4126" i="2" l="1"/>
  <c r="AS4127" i="2" s="1"/>
  <c r="AS4130" i="2" s="1"/>
  <c r="AT4131" i="2" s="1"/>
  <c r="AS4150" i="2"/>
  <c r="AS4156" i="2" s="1"/>
  <c r="AU4159" i="2"/>
  <c r="AS4162" i="2"/>
  <c r="AS4151" i="2"/>
  <c r="AS4138" i="2"/>
  <c r="AU4173" i="2" l="1"/>
  <c r="AS4176" i="2"/>
  <c r="AS4165" i="2"/>
  <c r="AS4164" i="2"/>
  <c r="AS4139" i="2"/>
  <c r="AS4152" i="2"/>
  <c r="AS4166" i="2" l="1"/>
  <c r="AS4167" i="2" s="1"/>
  <c r="AS4140" i="2"/>
  <c r="AS4141" i="2" s="1"/>
  <c r="AS4144" i="2" s="1"/>
  <c r="AT4145" i="2" s="1"/>
  <c r="AU4187" i="2"/>
  <c r="AS4178" i="2"/>
  <c r="AS4190" i="2"/>
  <c r="AS4179" i="2"/>
  <c r="AS4153" i="2"/>
  <c r="AS4170" i="2"/>
  <c r="AS4180" i="2" l="1"/>
  <c r="AS4181" i="2" s="1"/>
  <c r="AS4184" i="2"/>
  <c r="AS4154" i="2"/>
  <c r="AS4155" i="2" s="1"/>
  <c r="AS4158" i="2" s="1"/>
  <c r="AT4159" i="2" s="1"/>
  <c r="AS4168" i="2"/>
  <c r="AS4169" i="2" s="1"/>
  <c r="AS4172" i="2" s="1"/>
  <c r="AT4173" i="2" s="1"/>
  <c r="AS4192" i="2"/>
  <c r="AS4198" i="2" s="1"/>
  <c r="AS4193" i="2"/>
  <c r="AS4204" i="2"/>
  <c r="AU4201" i="2"/>
  <c r="AS4206" i="2" l="1"/>
  <c r="AU4215" i="2"/>
  <c r="AS4207" i="2"/>
  <c r="AS4218" i="2"/>
  <c r="AS4182" i="2"/>
  <c r="AS4183" i="2" s="1"/>
  <c r="AS4186" i="2" s="1"/>
  <c r="AT4187" i="2" s="1"/>
  <c r="AS4194" i="2"/>
  <c r="AS4208" i="2" l="1"/>
  <c r="AS4209" i="2" s="1"/>
  <c r="AS4212" i="2"/>
  <c r="AS4195" i="2"/>
  <c r="AS4220" i="2"/>
  <c r="AS4232" i="2"/>
  <c r="AU4229" i="2"/>
  <c r="AS4221" i="2"/>
  <c r="AS4222" i="2" l="1"/>
  <c r="AU4243" i="2"/>
  <c r="AS4234" i="2"/>
  <c r="AS4240" i="2" s="1"/>
  <c r="AS4246" i="2"/>
  <c r="AS4235" i="2"/>
  <c r="AS4210" i="2"/>
  <c r="AS4211" i="2" s="1"/>
  <c r="AS4214" i="2" s="1"/>
  <c r="AT4215" i="2" s="1"/>
  <c r="AS4196" i="2"/>
  <c r="AS4197" i="2" s="1"/>
  <c r="AS4200" i="2" s="1"/>
  <c r="AT4201" i="2" s="1"/>
  <c r="AS4226" i="2"/>
  <c r="AS4223" i="2" l="1"/>
  <c r="AU4257" i="2"/>
  <c r="AS4249" i="2"/>
  <c r="AS4248" i="2"/>
  <c r="AS4260" i="2"/>
  <c r="AS4236" i="2"/>
  <c r="AS4250" i="2" l="1"/>
  <c r="AS4251" i="2" s="1"/>
  <c r="AS4224" i="2"/>
  <c r="AS4225" i="2" s="1"/>
  <c r="AS4228" i="2" s="1"/>
  <c r="AT4229" i="2" s="1"/>
  <c r="AS4262" i="2"/>
  <c r="AS4274" i="2"/>
  <c r="AU4271" i="2"/>
  <c r="AS4263" i="2"/>
  <c r="AS4237" i="2"/>
  <c r="AS4254" i="2"/>
  <c r="AS4264" i="2" l="1"/>
  <c r="AS4238" i="2"/>
  <c r="AS4239" i="2" s="1"/>
  <c r="AS4242" i="2" s="1"/>
  <c r="AT4243" i="2" s="1"/>
  <c r="AS4276" i="2"/>
  <c r="AS4282" i="2" s="1"/>
  <c r="AS4288" i="2"/>
  <c r="AU4285" i="2"/>
  <c r="AS4277" i="2"/>
  <c r="AS4252" i="2"/>
  <c r="AS4253" i="2" s="1"/>
  <c r="AS4256" i="2" s="1"/>
  <c r="AT4257" i="2" s="1"/>
  <c r="AS4268" i="2"/>
  <c r="AS4290" i="2" l="1"/>
  <c r="AS4291" i="2"/>
  <c r="AS4302" i="2"/>
  <c r="AU4299" i="2"/>
  <c r="AS4265" i="2"/>
  <c r="AS4278" i="2"/>
  <c r="AS4292" i="2" l="1"/>
  <c r="AS4266" i="2"/>
  <c r="AS4267" i="2" s="1"/>
  <c r="AS4270" i="2" s="1"/>
  <c r="AT4271" i="2" s="1"/>
  <c r="AU4313" i="2"/>
  <c r="AS4304" i="2"/>
  <c r="AS4316" i="2"/>
  <c r="AS4305" i="2"/>
  <c r="AS4279" i="2"/>
  <c r="AS4296" i="2"/>
  <c r="AS4293" i="2" l="1"/>
  <c r="AS4306" i="2"/>
  <c r="AS4280" i="2"/>
  <c r="AS4281" i="2" s="1"/>
  <c r="AS4284" i="2" s="1"/>
  <c r="AT4285" i="2" s="1"/>
  <c r="AU4327" i="2"/>
  <c r="AS4330" i="2"/>
  <c r="AS4319" i="2"/>
  <c r="AS4318" i="2"/>
  <c r="AS4310" i="2"/>
  <c r="AS4320" i="2" l="1"/>
  <c r="AS4321" i="2" s="1"/>
  <c r="AS4294" i="2"/>
  <c r="AS4295" i="2" s="1"/>
  <c r="AS4298" i="2" s="1"/>
  <c r="AT4299" i="2" s="1"/>
  <c r="AS4332" i="2"/>
  <c r="AU4341" i="2"/>
  <c r="AS4344" i="2"/>
  <c r="AS4333" i="2"/>
  <c r="AS4307" i="2"/>
  <c r="AS4324" i="2"/>
  <c r="AS4322" i="2" l="1"/>
  <c r="AS4323" i="2" s="1"/>
  <c r="AS4326" i="2" s="1"/>
  <c r="AT4327" i="2" s="1"/>
  <c r="AS4308" i="2"/>
  <c r="AS4309" i="2" s="1"/>
  <c r="AS4312" i="2" s="1"/>
  <c r="AT4313" i="2" s="1"/>
  <c r="AS4346" i="2"/>
  <c r="AU4355" i="2"/>
  <c r="AS4358" i="2"/>
  <c r="AS4347" i="2"/>
  <c r="AS4334" i="2"/>
  <c r="AS4338" i="2"/>
  <c r="AS4335" i="2" l="1"/>
  <c r="AS4360" i="2"/>
  <c r="AS4366" i="2" s="1"/>
  <c r="AS4372" i="2"/>
  <c r="AU4369" i="2"/>
  <c r="AS4361" i="2"/>
  <c r="AS4348" i="2"/>
  <c r="AS4352" i="2"/>
  <c r="AS4336" i="2" l="1"/>
  <c r="AS4337" i="2" s="1"/>
  <c r="AS4340" i="2" s="1"/>
  <c r="AT4341" i="2" s="1"/>
  <c r="AS4349" i="2"/>
  <c r="AU4383" i="2"/>
  <c r="AS4375" i="2"/>
  <c r="AS4374" i="2"/>
  <c r="AS4380" i="2" s="1"/>
  <c r="AS4386" i="2"/>
  <c r="AS4362" i="2"/>
  <c r="AS4376" i="2" l="1"/>
  <c r="AS4363" i="2"/>
  <c r="AU4397" i="2"/>
  <c r="AS4388" i="2"/>
  <c r="AS4389" i="2"/>
  <c r="AS4400" i="2"/>
  <c r="AS4350" i="2"/>
  <c r="AS4351" i="2" s="1"/>
  <c r="AS4354" i="2" s="1"/>
  <c r="AT4355" i="2" s="1"/>
  <c r="AS4390" i="2" l="1"/>
  <c r="AS4391" i="2" s="1"/>
  <c r="AS4377" i="2"/>
  <c r="AS4364" i="2"/>
  <c r="AS4365" i="2" s="1"/>
  <c r="AS4368" i="2" s="1"/>
  <c r="AT4369" i="2" s="1"/>
  <c r="AS4402" i="2"/>
  <c r="AS4408" i="2" s="1"/>
  <c r="AS4403" i="2"/>
  <c r="AS4414" i="2"/>
  <c r="AU4411" i="2"/>
  <c r="AS4394" i="2"/>
  <c r="AS4404" i="2" l="1"/>
  <c r="AS4405" i="2" s="1"/>
  <c r="AS4392" i="2"/>
  <c r="AS4393" i="2" s="1"/>
  <c r="AS4396" i="2" s="1"/>
  <c r="AT4397" i="2" s="1"/>
  <c r="AS4416" i="2"/>
  <c r="AS4422" i="2" s="1"/>
  <c r="AS4428" i="2"/>
  <c r="AU4425" i="2"/>
  <c r="AS4417" i="2"/>
  <c r="AS4378" i="2"/>
  <c r="AS4379" i="2" s="1"/>
  <c r="AS4382" i="2" s="1"/>
  <c r="AT4383" i="2" s="1"/>
  <c r="AS4430" i="2" l="1"/>
  <c r="AS4442" i="2"/>
  <c r="AU4439" i="2"/>
  <c r="AS4431" i="2"/>
  <c r="AS4406" i="2"/>
  <c r="AS4407" i="2" s="1"/>
  <c r="AS4410" i="2" s="1"/>
  <c r="AT4411" i="2" s="1"/>
  <c r="AS4418" i="2"/>
  <c r="AS4432" i="2" l="1"/>
  <c r="AU4453" i="2"/>
  <c r="AS4444" i="2"/>
  <c r="AS4445" i="2"/>
  <c r="AS4456" i="2"/>
  <c r="AS4419" i="2"/>
  <c r="AS4436" i="2"/>
  <c r="AS4446" i="2" l="1"/>
  <c r="AS4433" i="2"/>
  <c r="AU4467" i="2"/>
  <c r="AS4458" i="2"/>
  <c r="AS4459" i="2"/>
  <c r="AS4470" i="2"/>
  <c r="AS4420" i="2"/>
  <c r="AS4421" i="2" s="1"/>
  <c r="AS4424" i="2" s="1"/>
  <c r="AT4425" i="2" s="1"/>
  <c r="AS4450" i="2"/>
  <c r="AS4460" i="2" l="1"/>
  <c r="AS4461" i="2" s="1"/>
  <c r="AS4464" i="2"/>
  <c r="AS4447" i="2"/>
  <c r="AS4434" i="2"/>
  <c r="AS4435" i="2" s="1"/>
  <c r="AS4438" i="2" s="1"/>
  <c r="AT4439" i="2" s="1"/>
  <c r="AS4472" i="2"/>
  <c r="AS4478" i="2" s="1"/>
  <c r="AU4481" i="2"/>
  <c r="AS4484" i="2"/>
  <c r="AS4473" i="2"/>
  <c r="AS4486" i="2" l="1"/>
  <c r="AS4492" i="2" s="1"/>
  <c r="AU4495" i="2"/>
  <c r="AS4487" i="2"/>
  <c r="AS4498" i="2"/>
  <c r="AS4462" i="2"/>
  <c r="AS4463" i="2" s="1"/>
  <c r="AS4466" i="2" s="1"/>
  <c r="AT4467" i="2" s="1"/>
  <c r="AS4448" i="2"/>
  <c r="AS4449" i="2" s="1"/>
  <c r="AS4452" i="2" s="1"/>
  <c r="AT4453" i="2" s="1"/>
  <c r="AS4474" i="2"/>
  <c r="AS4488" i="2" l="1"/>
  <c r="AS4489" i="2" s="1"/>
  <c r="AS4475" i="2"/>
  <c r="AS4500" i="2"/>
  <c r="AU4509" i="2"/>
  <c r="AS4501" i="2"/>
  <c r="AS4512" i="2"/>
  <c r="AS4502" i="2" l="1"/>
  <c r="AS4503" i="2" s="1"/>
  <c r="AS4506" i="2"/>
  <c r="AS4490" i="2"/>
  <c r="AS4491" i="2" s="1"/>
  <c r="AS4494" i="2" s="1"/>
  <c r="AT4495" i="2" s="1"/>
  <c r="AU4523" i="2"/>
  <c r="AS4515" i="2"/>
  <c r="AS4514" i="2"/>
  <c r="AS4520" i="2" s="1"/>
  <c r="AS4526" i="2"/>
  <c r="AS4476" i="2"/>
  <c r="AS4477" i="2" s="1"/>
  <c r="AS4480" i="2" s="1"/>
  <c r="AT4481" i="2" s="1"/>
  <c r="AU4537" i="2" l="1"/>
  <c r="AS4528" i="2"/>
  <c r="AS4540" i="2"/>
  <c r="AS4529" i="2"/>
  <c r="AS4504" i="2"/>
  <c r="AS4505" i="2" s="1"/>
  <c r="AS4508" i="2" s="1"/>
  <c r="AT4509" i="2" s="1"/>
  <c r="AS4516" i="2"/>
  <c r="AS4530" i="2" l="1"/>
  <c r="AS4531" i="2" s="1"/>
  <c r="AS4534" i="2"/>
  <c r="AS4542" i="2"/>
  <c r="AS4548" i="2" s="1"/>
  <c r="AS4554" i="2"/>
  <c r="AU4551" i="2"/>
  <c r="AS4543" i="2"/>
  <c r="AS4517" i="2"/>
  <c r="AS4518" i="2" l="1"/>
  <c r="AS4519" i="2" s="1"/>
  <c r="AS4522" i="2" s="1"/>
  <c r="AT4523" i="2" s="1"/>
  <c r="AU4565" i="2"/>
  <c r="AS4556" i="2"/>
  <c r="AS4562" i="2" s="1"/>
  <c r="AS4557" i="2"/>
  <c r="AS4568" i="2"/>
  <c r="AS4532" i="2"/>
  <c r="AS4533" i="2" s="1"/>
  <c r="AS4536" i="2" s="1"/>
  <c r="AT4537" i="2" s="1"/>
  <c r="AS4544" i="2"/>
  <c r="AS4545" i="2" l="1"/>
  <c r="AS4571" i="2"/>
  <c r="AS4582" i="2"/>
  <c r="AS4570" i="2"/>
  <c r="AU4579" i="2"/>
  <c r="AS4558" i="2"/>
  <c r="AS4572" i="2" l="1"/>
  <c r="AS4573" i="2" s="1"/>
  <c r="AS4576" i="2"/>
  <c r="AS4546" i="2"/>
  <c r="AS4547" i="2" s="1"/>
  <c r="AS4550" i="2" s="1"/>
  <c r="AT4551" i="2" s="1"/>
  <c r="AS4559" i="2"/>
  <c r="AS4596" i="2"/>
  <c r="AU4593" i="2"/>
  <c r="AS4585" i="2"/>
  <c r="AS4584" i="2"/>
  <c r="AS4586" i="2" l="1"/>
  <c r="AS4587" i="2" s="1"/>
  <c r="AS4590" i="2"/>
  <c r="AS4560" i="2"/>
  <c r="AS4561" i="2" s="1"/>
  <c r="AS4564" i="2" s="1"/>
  <c r="AT4565" i="2" s="1"/>
  <c r="AS4574" i="2"/>
  <c r="AS4575" i="2" s="1"/>
  <c r="AS4578" i="2" s="1"/>
  <c r="AT4579" i="2" s="1"/>
  <c r="AS4598" i="2"/>
  <c r="AS4604" i="2" s="1"/>
  <c r="AS4610" i="2"/>
  <c r="AU4607" i="2"/>
  <c r="AS4599" i="2"/>
  <c r="AS4588" i="2" l="1"/>
  <c r="AS4589" i="2" s="1"/>
  <c r="AS4592" i="2" s="1"/>
  <c r="AT4593" i="2" s="1"/>
  <c r="AS4612" i="2"/>
  <c r="AS4618" i="2" s="1"/>
  <c r="AS4624" i="2"/>
  <c r="AU4621" i="2"/>
  <c r="AS4613" i="2"/>
  <c r="AS4600" i="2"/>
  <c r="AS4601" i="2" l="1"/>
  <c r="AU4635" i="2"/>
  <c r="AS4626" i="2"/>
  <c r="AS4632" i="2" s="1"/>
  <c r="AS4638" i="2"/>
  <c r="AS4627" i="2"/>
  <c r="AS4614" i="2"/>
  <c r="AS4602" i="2" l="1"/>
  <c r="AS4603" i="2" s="1"/>
  <c r="AS4606" i="2" s="1"/>
  <c r="AT4607" i="2" s="1"/>
  <c r="AU4649" i="2"/>
  <c r="AS4652" i="2"/>
  <c r="AS4641" i="2"/>
  <c r="AS4640" i="2"/>
  <c r="AS4615" i="2"/>
  <c r="AS4628" i="2"/>
  <c r="AS4642" i="2" l="1"/>
  <c r="AS4629" i="2"/>
  <c r="AS4616" i="2"/>
  <c r="AS4617" i="2" s="1"/>
  <c r="AS4620" i="2" s="1"/>
  <c r="AT4621" i="2" s="1"/>
  <c r="AS4655" i="2"/>
  <c r="AU4663" i="2"/>
  <c r="AS4654" i="2"/>
  <c r="AS4646" i="2"/>
  <c r="AS4656" i="2" l="1"/>
  <c r="AS4643" i="2"/>
  <c r="AS4644" i="2" s="1"/>
  <c r="AS4645" i="2" s="1"/>
  <c r="AS4630" i="2"/>
  <c r="AS4631" i="2" s="1"/>
  <c r="AS4634" i="2" s="1"/>
  <c r="AT4635" i="2" s="1"/>
  <c r="AS4660" i="2"/>
  <c r="AS4657" i="2" l="1"/>
  <c r="AS4648" i="2"/>
  <c r="AT4649" i="2" s="1"/>
  <c r="AS4658" i="2" l="1"/>
  <c r="AS4659" i="2" s="1"/>
  <c r="AS4662" i="2" s="1"/>
  <c r="AT4663" i="2" s="1"/>
  <c r="AU18" i="2" s="1"/>
  <c r="AU20" i="2" s="1"/>
  <c r="AU19" i="2" l="1"/>
  <c r="I16" i="2" l="1"/>
  <c r="I38" i="2" s="1"/>
  <c r="V40" i="3"/>
  <c r="U44" i="3" l="1"/>
  <c r="U41" i="3" s="1"/>
  <c r="U40" i="3"/>
  <c r="T44" i="3" s="1"/>
  <c r="T41" i="3" s="1"/>
  <c r="C39" i="2"/>
  <c r="H38" i="2"/>
  <c r="D37" i="2"/>
  <c r="J39" i="2"/>
  <c r="B38" i="2"/>
  <c r="E39" i="2"/>
  <c r="J38" i="2"/>
  <c r="H39" i="2"/>
  <c r="G38" i="2"/>
  <c r="G39" i="2"/>
  <c r="I39" i="2"/>
  <c r="F39" i="2"/>
  <c r="K38" i="2"/>
  <c r="L37" i="2"/>
  <c r="F38" i="2"/>
  <c r="K37" i="2"/>
  <c r="F37" i="2"/>
  <c r="E37" i="2"/>
  <c r="D39" i="2"/>
  <c r="B39" i="2"/>
  <c r="C37" i="2"/>
  <c r="C38" i="2"/>
  <c r="L38" i="2"/>
  <c r="D38" i="2"/>
  <c r="J37" i="2"/>
  <c r="K39" i="2"/>
  <c r="I37" i="2"/>
  <c r="L39" i="2"/>
  <c r="H37" i="2"/>
  <c r="E38" i="2"/>
  <c r="G37" i="2"/>
  <c r="F30" i="7" l="1"/>
  <c r="G30" i="7"/>
  <c r="E30" i="7"/>
  <c r="M16" i="7" l="1"/>
  <c r="M8" i="7"/>
  <c r="M10" i="7"/>
  <c r="N8" i="7"/>
  <c r="N16" i="7"/>
  <c r="N10" i="7"/>
  <c r="L8" i="7"/>
  <c r="L16" i="7"/>
  <c r="L10" i="7"/>
  <c r="L11" i="7" l="1"/>
  <c r="M11" i="7"/>
  <c r="N11" i="7"/>
  <c r="N14" i="7"/>
  <c r="N12" i="7" l="1"/>
  <c r="N13" i="7"/>
  <c r="M12" i="7"/>
  <c r="M13" i="7"/>
  <c r="N17" i="7"/>
  <c r="N23" i="7"/>
  <c r="N22" i="7"/>
  <c r="N19" i="7"/>
  <c r="N18" i="7"/>
  <c r="N21" i="7"/>
  <c r="N20" i="7"/>
  <c r="L13" i="7"/>
  <c r="L12" i="7"/>
  <c r="L14" i="7" s="1"/>
  <c r="M14" i="7" l="1"/>
  <c r="M20" i="7" s="1"/>
  <c r="N26" i="7"/>
  <c r="N24" i="7"/>
  <c r="N25" i="7"/>
  <c r="L19" i="7"/>
  <c r="L22" i="7"/>
  <c r="L23" i="7"/>
  <c r="L18" i="7"/>
  <c r="L21" i="7"/>
  <c r="L20" i="7"/>
  <c r="L17" i="7"/>
  <c r="L24" i="7" l="1"/>
  <c r="N27" i="7"/>
  <c r="N33" i="7" s="1"/>
  <c r="N45" i="7" s="1"/>
  <c r="N120" i="7" s="1"/>
  <c r="N289" i="7" s="1"/>
  <c r="N322" i="7" s="1"/>
  <c r="L26" i="7"/>
  <c r="M17" i="7"/>
  <c r="M21" i="7"/>
  <c r="M19" i="7"/>
  <c r="M18" i="7"/>
  <c r="M22" i="7"/>
  <c r="M23" i="7"/>
  <c r="L25" i="7"/>
  <c r="L27" i="7" l="1"/>
  <c r="L33" i="7" s="1"/>
  <c r="L66" i="7" s="1"/>
  <c r="L141" i="7" s="1"/>
  <c r="N48" i="7"/>
  <c r="N123" i="7" s="1"/>
  <c r="N292" i="7" s="1"/>
  <c r="N325" i="7" s="1"/>
  <c r="N41" i="7"/>
  <c r="N116" i="7" s="1"/>
  <c r="N285" i="7" s="1"/>
  <c r="N318" i="7" s="1"/>
  <c r="N34" i="7"/>
  <c r="N109" i="7" s="1"/>
  <c r="N278" i="7" s="1"/>
  <c r="N311" i="7" s="1"/>
  <c r="N61" i="7"/>
  <c r="N136" i="7" s="1"/>
  <c r="N305" i="7" s="1"/>
  <c r="N338" i="7" s="1"/>
  <c r="N38" i="7"/>
  <c r="N113" i="7" s="1"/>
  <c r="N282" i="7" s="1"/>
  <c r="N315" i="7" s="1"/>
  <c r="N46" i="7"/>
  <c r="N121" i="7" s="1"/>
  <c r="N290" i="7" s="1"/>
  <c r="N323" i="7" s="1"/>
  <c r="N63" i="7"/>
  <c r="N138" i="7" s="1"/>
  <c r="N307" i="7" s="1"/>
  <c r="N340" i="7" s="1"/>
  <c r="N50" i="7"/>
  <c r="N125" i="7" s="1"/>
  <c r="N294" i="7" s="1"/>
  <c r="N327" i="7" s="1"/>
  <c r="N47" i="7"/>
  <c r="N122" i="7" s="1"/>
  <c r="N291" i="7" s="1"/>
  <c r="N324" i="7" s="1"/>
  <c r="N60" i="7"/>
  <c r="N135" i="7" s="1"/>
  <c r="N304" i="7" s="1"/>
  <c r="N337" i="7" s="1"/>
  <c r="N44" i="7"/>
  <c r="N119" i="7" s="1"/>
  <c r="N288" i="7" s="1"/>
  <c r="N321" i="7" s="1"/>
  <c r="N58" i="7"/>
  <c r="N133" i="7" s="1"/>
  <c r="N302" i="7" s="1"/>
  <c r="N335" i="7" s="1"/>
  <c r="N39" i="7"/>
  <c r="N114" i="7" s="1"/>
  <c r="N283" i="7" s="1"/>
  <c r="N316" i="7" s="1"/>
  <c r="N57" i="7"/>
  <c r="N132" i="7" s="1"/>
  <c r="N301" i="7" s="1"/>
  <c r="N334" i="7" s="1"/>
  <c r="N54" i="7"/>
  <c r="N129" i="7" s="1"/>
  <c r="N298" i="7" s="1"/>
  <c r="N331" i="7" s="1"/>
  <c r="N62" i="7"/>
  <c r="N137" i="7" s="1"/>
  <c r="N306" i="7" s="1"/>
  <c r="N339" i="7" s="1"/>
  <c r="N49" i="7"/>
  <c r="N124" i="7" s="1"/>
  <c r="N293" i="7" s="1"/>
  <c r="N326" i="7" s="1"/>
  <c r="N64" i="7"/>
  <c r="N139" i="7" s="1"/>
  <c r="N308" i="7" s="1"/>
  <c r="N341" i="7" s="1"/>
  <c r="N43" i="7"/>
  <c r="N118" i="7" s="1"/>
  <c r="N287" i="7" s="1"/>
  <c r="N320" i="7" s="1"/>
  <c r="N65" i="7"/>
  <c r="N140" i="7" s="1"/>
  <c r="N309" i="7" s="1"/>
  <c r="N342" i="7" s="1"/>
  <c r="N56" i="7"/>
  <c r="N131" i="7" s="1"/>
  <c r="N300" i="7" s="1"/>
  <c r="N333" i="7" s="1"/>
  <c r="N42" i="7"/>
  <c r="N117" i="7" s="1"/>
  <c r="N286" i="7" s="1"/>
  <c r="N319" i="7" s="1"/>
  <c r="N66" i="7"/>
  <c r="N141" i="7" s="1"/>
  <c r="N310" i="7" s="1"/>
  <c r="N343" i="7" s="1"/>
  <c r="N53" i="7"/>
  <c r="N128" i="7" s="1"/>
  <c r="N297" i="7" s="1"/>
  <c r="N330" i="7" s="1"/>
  <c r="N40" i="7"/>
  <c r="N115" i="7" s="1"/>
  <c r="N284" i="7" s="1"/>
  <c r="N317" i="7" s="1"/>
  <c r="N52" i="7"/>
  <c r="N127" i="7" s="1"/>
  <c r="N296" i="7" s="1"/>
  <c r="N329" i="7" s="1"/>
  <c r="N37" i="7"/>
  <c r="N112" i="7" s="1"/>
  <c r="N281" i="7" s="1"/>
  <c r="N314" i="7" s="1"/>
  <c r="N51" i="7"/>
  <c r="N126" i="7" s="1"/>
  <c r="N295" i="7" s="1"/>
  <c r="N328" i="7" s="1"/>
  <c r="N36" i="7"/>
  <c r="N111" i="7" s="1"/>
  <c r="N280" i="7" s="1"/>
  <c r="N313" i="7" s="1"/>
  <c r="N35" i="7"/>
  <c r="N110" i="7" s="1"/>
  <c r="N279" i="7" s="1"/>
  <c r="N312" i="7" s="1"/>
  <c r="N55" i="7"/>
  <c r="N130" i="7" s="1"/>
  <c r="N299" i="7" s="1"/>
  <c r="N332" i="7" s="1"/>
  <c r="N59" i="7"/>
  <c r="N134" i="7" s="1"/>
  <c r="N303" i="7" s="1"/>
  <c r="N336" i="7" s="1"/>
  <c r="M26" i="7"/>
  <c r="M25" i="7"/>
  <c r="M24" i="7"/>
  <c r="L38" i="7" l="1"/>
  <c r="L39" i="7"/>
  <c r="L47" i="7"/>
  <c r="L50" i="7"/>
  <c r="L44" i="7"/>
  <c r="L59" i="7"/>
  <c r="L51" i="7"/>
  <c r="L126" i="7" s="1"/>
  <c r="L35" i="7"/>
  <c r="L110" i="7" s="1"/>
  <c r="L60" i="7"/>
  <c r="L41" i="7"/>
  <c r="L54" i="7"/>
  <c r="L58" i="7"/>
  <c r="L62" i="7"/>
  <c r="L137" i="7" s="1"/>
  <c r="L306" i="7" s="1"/>
  <c r="L339" i="7" s="1"/>
  <c r="L52" i="7"/>
  <c r="L127" i="7" s="1"/>
  <c r="L57" i="7"/>
  <c r="L132" i="7" s="1"/>
  <c r="L53" i="7"/>
  <c r="L128" i="7" s="1"/>
  <c r="L61" i="7"/>
  <c r="L37" i="7"/>
  <c r="L55" i="7"/>
  <c r="L42" i="7"/>
  <c r="L46" i="7"/>
  <c r="L121" i="7" s="1"/>
  <c r="L65" i="7"/>
  <c r="L140" i="7" s="1"/>
  <c r="L64" i="7"/>
  <c r="L139" i="7" s="1"/>
  <c r="L49" i="7"/>
  <c r="L124" i="7" s="1"/>
  <c r="L63" i="7"/>
  <c r="L45" i="7"/>
  <c r="L40" i="7"/>
  <c r="L48" i="7"/>
  <c r="L123" i="7" s="1"/>
  <c r="L43" i="7"/>
  <c r="L118" i="7" s="1"/>
  <c r="L34" i="7"/>
  <c r="L109" i="7" s="1"/>
  <c r="L36" i="7"/>
  <c r="L111" i="7" s="1"/>
  <c r="L56" i="7"/>
  <c r="L131" i="7" s="1"/>
  <c r="L310" i="7"/>
  <c r="L343" i="7" s="1"/>
  <c r="L136" i="7"/>
  <c r="L112" i="7"/>
  <c r="L130" i="7"/>
  <c r="L117" i="7"/>
  <c r="L116" i="7"/>
  <c r="L122" i="7"/>
  <c r="L129" i="7"/>
  <c r="L125" i="7"/>
  <c r="L134" i="7"/>
  <c r="L113" i="7"/>
  <c r="L119" i="7"/>
  <c r="L138" i="7"/>
  <c r="L120" i="7"/>
  <c r="L115" i="7"/>
  <c r="L135" i="7"/>
  <c r="L114" i="7"/>
  <c r="L133" i="7"/>
  <c r="N344" i="7"/>
  <c r="G24" i="1" s="1"/>
  <c r="M27" i="7"/>
  <c r="M33" i="7" s="1"/>
  <c r="M43" i="7" s="1"/>
  <c r="M118" i="7" s="1"/>
  <c r="M287" i="7" s="1"/>
  <c r="M320" i="7" s="1"/>
  <c r="L288" i="7" l="1"/>
  <c r="L321" i="7" s="1"/>
  <c r="L294" i="7"/>
  <c r="L327" i="7" s="1"/>
  <c r="L302" i="7"/>
  <c r="L335" i="7" s="1"/>
  <c r="L283" i="7"/>
  <c r="L316" i="7" s="1"/>
  <c r="L287" i="7"/>
  <c r="L320" i="7" s="1"/>
  <c r="L290" i="7"/>
  <c r="L323" i="7" s="1"/>
  <c r="L301" i="7"/>
  <c r="L334" i="7" s="1"/>
  <c r="L295" i="7"/>
  <c r="L328" i="7" s="1"/>
  <c r="L304" i="7"/>
  <c r="L337" i="7" s="1"/>
  <c r="L303" i="7"/>
  <c r="L336" i="7" s="1"/>
  <c r="L282" i="7"/>
  <c r="L315" i="7" s="1"/>
  <c r="L307" i="7"/>
  <c r="L340" i="7" s="1"/>
  <c r="L305" i="7"/>
  <c r="L338" i="7" s="1"/>
  <c r="L299" i="7"/>
  <c r="L332" i="7" s="1"/>
  <c r="L284" i="7"/>
  <c r="L317" i="7" s="1"/>
  <c r="L279" i="7"/>
  <c r="L312" i="7" s="1"/>
  <c r="L298" i="7"/>
  <c r="L331" i="7" s="1"/>
  <c r="L297" i="7"/>
  <c r="L330" i="7" s="1"/>
  <c r="L300" i="7"/>
  <c r="L333" i="7" s="1"/>
  <c r="L293" i="7"/>
  <c r="L326" i="7" s="1"/>
  <c r="L291" i="7"/>
  <c r="L324" i="7" s="1"/>
  <c r="L285" i="7"/>
  <c r="L318" i="7" s="1"/>
  <c r="L289" i="7"/>
  <c r="L322" i="7" s="1"/>
  <c r="L280" i="7"/>
  <c r="L313" i="7" s="1"/>
  <c r="L308" i="7"/>
  <c r="L341" i="7" s="1"/>
  <c r="L286" i="7"/>
  <c r="L319" i="7" s="1"/>
  <c r="L292" i="7"/>
  <c r="L325" i="7" s="1"/>
  <c r="L296" i="7"/>
  <c r="L329" i="7" s="1"/>
  <c r="L278" i="7"/>
  <c r="L311" i="7" s="1"/>
  <c r="L309" i="7"/>
  <c r="L342" i="7" s="1"/>
  <c r="L281" i="7"/>
  <c r="L314" i="7" s="1"/>
  <c r="M62" i="7"/>
  <c r="M137" i="7" s="1"/>
  <c r="M306" i="7" s="1"/>
  <c r="M339" i="7" s="1"/>
  <c r="M64" i="7"/>
  <c r="M139" i="7" s="1"/>
  <c r="M308" i="7" s="1"/>
  <c r="M341" i="7" s="1"/>
  <c r="M59" i="7"/>
  <c r="M134" i="7" s="1"/>
  <c r="M303" i="7" s="1"/>
  <c r="M336" i="7" s="1"/>
  <c r="M44" i="7"/>
  <c r="M119" i="7" s="1"/>
  <c r="M288" i="7" s="1"/>
  <c r="M321" i="7" s="1"/>
  <c r="M52" i="7"/>
  <c r="M127" i="7" s="1"/>
  <c r="M296" i="7" s="1"/>
  <c r="M329" i="7" s="1"/>
  <c r="M55" i="7"/>
  <c r="M130" i="7" s="1"/>
  <c r="M299" i="7" s="1"/>
  <c r="M332" i="7" s="1"/>
  <c r="M39" i="7"/>
  <c r="M114" i="7" s="1"/>
  <c r="M283" i="7" s="1"/>
  <c r="M316" i="7" s="1"/>
  <c r="M61" i="7"/>
  <c r="M136" i="7" s="1"/>
  <c r="M305" i="7" s="1"/>
  <c r="M338" i="7" s="1"/>
  <c r="M34" i="7"/>
  <c r="M109" i="7" s="1"/>
  <c r="M278" i="7" s="1"/>
  <c r="M311" i="7" s="1"/>
  <c r="M57" i="7"/>
  <c r="M132" i="7" s="1"/>
  <c r="M301" i="7" s="1"/>
  <c r="M334" i="7" s="1"/>
  <c r="M45" i="7"/>
  <c r="M120" i="7" s="1"/>
  <c r="M289" i="7" s="1"/>
  <c r="M322" i="7" s="1"/>
  <c r="M63" i="7"/>
  <c r="M138" i="7" s="1"/>
  <c r="M307" i="7" s="1"/>
  <c r="M340" i="7" s="1"/>
  <c r="M56" i="7"/>
  <c r="M131" i="7" s="1"/>
  <c r="M300" i="7" s="1"/>
  <c r="M333" i="7" s="1"/>
  <c r="M65" i="7"/>
  <c r="M140" i="7" s="1"/>
  <c r="M309" i="7" s="1"/>
  <c r="M342" i="7" s="1"/>
  <c r="M53" i="7"/>
  <c r="M128" i="7" s="1"/>
  <c r="M297" i="7" s="1"/>
  <c r="M330" i="7" s="1"/>
  <c r="M36" i="7"/>
  <c r="M111" i="7" s="1"/>
  <c r="M280" i="7" s="1"/>
  <c r="M313" i="7" s="1"/>
  <c r="M38" i="7"/>
  <c r="M113" i="7" s="1"/>
  <c r="M282" i="7" s="1"/>
  <c r="M315" i="7" s="1"/>
  <c r="M37" i="7"/>
  <c r="M112" i="7" s="1"/>
  <c r="M281" i="7" s="1"/>
  <c r="M314" i="7" s="1"/>
  <c r="M47" i="7"/>
  <c r="M122" i="7" s="1"/>
  <c r="M291" i="7" s="1"/>
  <c r="M324" i="7" s="1"/>
  <c r="M41" i="7"/>
  <c r="M116" i="7" s="1"/>
  <c r="M285" i="7" s="1"/>
  <c r="M318" i="7" s="1"/>
  <c r="M35" i="7"/>
  <c r="M110" i="7" s="1"/>
  <c r="M279" i="7" s="1"/>
  <c r="M312" i="7" s="1"/>
  <c r="M66" i="7"/>
  <c r="M141" i="7" s="1"/>
  <c r="M310" i="7" s="1"/>
  <c r="M343" i="7" s="1"/>
  <c r="M49" i="7"/>
  <c r="M124" i="7" s="1"/>
  <c r="M293" i="7" s="1"/>
  <c r="M326" i="7" s="1"/>
  <c r="M54" i="7"/>
  <c r="M129" i="7" s="1"/>
  <c r="M298" i="7" s="1"/>
  <c r="M331" i="7" s="1"/>
  <c r="M40" i="7"/>
  <c r="M115" i="7" s="1"/>
  <c r="M284" i="7" s="1"/>
  <c r="M317" i="7" s="1"/>
  <c r="M50" i="7"/>
  <c r="M125" i="7" s="1"/>
  <c r="M294" i="7" s="1"/>
  <c r="M327" i="7" s="1"/>
  <c r="M46" i="7"/>
  <c r="M121" i="7" s="1"/>
  <c r="M290" i="7" s="1"/>
  <c r="M323" i="7" s="1"/>
  <c r="M48" i="7"/>
  <c r="M123" i="7" s="1"/>
  <c r="M292" i="7" s="1"/>
  <c r="M325" i="7" s="1"/>
  <c r="M58" i="7"/>
  <c r="M133" i="7" s="1"/>
  <c r="M302" i="7" s="1"/>
  <c r="M335" i="7" s="1"/>
  <c r="M51" i="7"/>
  <c r="M126" i="7" s="1"/>
  <c r="M295" i="7" s="1"/>
  <c r="M328" i="7" s="1"/>
  <c r="M42" i="7"/>
  <c r="M117" i="7" s="1"/>
  <c r="M286" i="7" s="1"/>
  <c r="M319" i="7" s="1"/>
  <c r="M60" i="7"/>
  <c r="M135" i="7" s="1"/>
  <c r="M304" i="7" s="1"/>
  <c r="M337" i="7" s="1"/>
  <c r="L344" i="7" l="1"/>
  <c r="E24" i="1" s="1"/>
  <c r="M344" i="7"/>
  <c r="F24" i="1" s="1"/>
  <c r="T11" i="1" l="1"/>
  <c r="T9" i="1"/>
  <c r="T10" i="1" s="1"/>
  <c r="T13" i="1" s="1"/>
  <c r="T26" i="1" s="1"/>
  <c r="T27" i="1" s="1"/>
  <c r="T12" i="1"/>
  <c r="B44" i="1"/>
  <c r="D23" i="1" l="1"/>
  <c r="T28" i="1"/>
  <c r="T29" i="1" l="1"/>
  <c r="T30" i="1" s="1"/>
  <c r="T32" i="1"/>
  <c r="T31" i="1" l="1"/>
  <c r="T33" i="1" s="1"/>
  <c r="T35" i="1" s="1"/>
  <c r="T36" i="1" s="1"/>
  <c r="T37" i="1" l="1"/>
  <c r="T38" i="1" l="1"/>
  <c r="T39" i="1" s="1"/>
  <c r="T41" i="1"/>
  <c r="T40" i="1" l="1"/>
  <c r="T42" i="1" s="1"/>
  <c r="T44" i="1" s="1"/>
  <c r="T45" i="1" s="1"/>
  <c r="T46" i="1" l="1"/>
  <c r="T50" i="1" l="1"/>
  <c r="T47" i="1"/>
  <c r="T48" i="1" s="1"/>
  <c r="T49" i="1" l="1"/>
  <c r="T51" i="1" s="1"/>
  <c r="T53" i="1" s="1"/>
  <c r="T54" i="1" s="1"/>
  <c r="T55" i="1" l="1"/>
  <c r="T56" i="1" l="1"/>
  <c r="T57" i="1" s="1"/>
  <c r="T59" i="1"/>
  <c r="T58" i="1" l="1"/>
  <c r="T60" i="1" s="1"/>
  <c r="T62" i="1" s="1"/>
  <c r="T63" i="1" s="1"/>
  <c r="T64" i="1" l="1"/>
  <c r="T68" i="1" l="1"/>
  <c r="T65" i="1"/>
  <c r="T66" i="1" s="1"/>
  <c r="T67" i="1" l="1"/>
  <c r="T69" i="1" s="1"/>
  <c r="T71" i="1" s="1"/>
  <c r="T72" i="1" s="1"/>
  <c r="T73" i="1" l="1"/>
  <c r="T77" i="1" l="1"/>
  <c r="T74" i="1"/>
  <c r="T75" i="1" s="1"/>
  <c r="T76" i="1" l="1"/>
  <c r="T78" i="1" s="1"/>
  <c r="T80" i="1" s="1"/>
  <c r="T81" i="1" s="1"/>
  <c r="T82" i="1" l="1"/>
  <c r="T86" i="1" l="1"/>
  <c r="T83" i="1"/>
  <c r="T84" i="1" s="1"/>
  <c r="T85" i="1" l="1"/>
  <c r="T87" i="1" s="1"/>
  <c r="T89" i="1" s="1"/>
  <c r="T90" i="1" s="1"/>
  <c r="T91" i="1" l="1"/>
  <c r="T92" i="1" l="1"/>
  <c r="T93" i="1" s="1"/>
  <c r="T95" i="1"/>
  <c r="T94" i="1" l="1"/>
  <c r="T96" i="1" s="1"/>
  <c r="T98" i="1" s="1"/>
  <c r="T99" i="1" s="1"/>
  <c r="T100" i="1" l="1"/>
  <c r="T101" i="1" l="1"/>
  <c r="T102" i="1" s="1"/>
  <c r="T104" i="1"/>
  <c r="T103" i="1" l="1"/>
  <c r="T105" i="1" s="1"/>
  <c r="T107" i="1" s="1"/>
  <c r="T108" i="1" s="1"/>
  <c r="T109" i="1" l="1"/>
  <c r="T110" i="1" l="1"/>
  <c r="T111" i="1" s="1"/>
  <c r="T113" i="1"/>
  <c r="T112" i="1" l="1"/>
  <c r="T114" i="1" s="1"/>
  <c r="T116" i="1" s="1"/>
  <c r="T117" i="1" s="1"/>
  <c r="T118" i="1" l="1"/>
  <c r="T122" i="1" l="1"/>
  <c r="T119" i="1"/>
  <c r="T120" i="1" s="1"/>
  <c r="T121" i="1" l="1"/>
  <c r="T123" i="1" s="1"/>
  <c r="T125" i="1" s="1"/>
  <c r="T126" i="1" s="1"/>
  <c r="T127" i="1" l="1"/>
  <c r="T128" i="1" l="1"/>
  <c r="T129" i="1" s="1"/>
  <c r="T131" i="1"/>
  <c r="T130" i="1" l="1"/>
  <c r="T132" i="1" s="1"/>
  <c r="T134" i="1" s="1"/>
  <c r="T135" i="1" s="1"/>
  <c r="T136" i="1" l="1"/>
  <c r="T140" i="1" l="1"/>
  <c r="T137" i="1"/>
  <c r="T138" i="1" s="1"/>
  <c r="T139" i="1" l="1"/>
  <c r="T141" i="1" s="1"/>
  <c r="T143" i="1" s="1"/>
  <c r="T144" i="1" s="1"/>
  <c r="T145" i="1" l="1"/>
  <c r="T149" i="1" l="1"/>
  <c r="T146" i="1"/>
  <c r="T147" i="1" s="1"/>
  <c r="T148" i="1" l="1"/>
  <c r="T150" i="1" s="1"/>
  <c r="T152" i="1" s="1"/>
  <c r="T153" i="1" s="1"/>
  <c r="T154" i="1" l="1"/>
  <c r="T158" i="1" l="1"/>
  <c r="T155" i="1"/>
  <c r="T156" i="1" s="1"/>
  <c r="T157" i="1" l="1"/>
  <c r="T159" i="1" s="1"/>
  <c r="T161" i="1" s="1"/>
  <c r="T162" i="1" s="1"/>
  <c r="T163" i="1" l="1"/>
  <c r="T164" i="1" l="1"/>
  <c r="T165" i="1" s="1"/>
  <c r="T167" i="1"/>
  <c r="T166" i="1" l="1"/>
  <c r="T168" i="1" s="1"/>
  <c r="T170" i="1" s="1"/>
  <c r="T171" i="1" s="1"/>
  <c r="T172" i="1" l="1"/>
  <c r="T173" i="1" l="1"/>
  <c r="T174" i="1" s="1"/>
  <c r="T176" i="1"/>
  <c r="T175" i="1" l="1"/>
  <c r="T177" i="1" s="1"/>
  <c r="T179" i="1" s="1"/>
  <c r="T180" i="1" s="1"/>
  <c r="T181" i="1" l="1"/>
  <c r="T182" i="1" l="1"/>
  <c r="T183" i="1" s="1"/>
  <c r="T185" i="1"/>
  <c r="T184" i="1" l="1"/>
  <c r="T186" i="1" s="1"/>
  <c r="T188" i="1" s="1"/>
  <c r="T189" i="1" s="1"/>
  <c r="T190" i="1" l="1"/>
  <c r="T194" i="1" l="1"/>
  <c r="T191" i="1"/>
  <c r="T192" i="1" s="1"/>
  <c r="T193" i="1" l="1"/>
  <c r="T195" i="1" s="1"/>
  <c r="T197" i="1" s="1"/>
  <c r="T198" i="1" s="1"/>
  <c r="T199" i="1" l="1"/>
  <c r="T200" i="1" l="1"/>
  <c r="T201" i="1" s="1"/>
  <c r="T203" i="1"/>
  <c r="T202" i="1" l="1"/>
  <c r="T204" i="1" s="1"/>
  <c r="T206" i="1" s="1"/>
  <c r="T207" i="1" s="1"/>
  <c r="T208" i="1" l="1"/>
  <c r="T212" i="1" l="1"/>
  <c r="T209" i="1"/>
  <c r="T210" i="1" s="1"/>
  <c r="T211" i="1" l="1"/>
  <c r="T213" i="1" s="1"/>
  <c r="T215" i="1" s="1"/>
  <c r="T216" i="1" s="1"/>
  <c r="T217" i="1" l="1"/>
  <c r="T221" i="1" l="1"/>
  <c r="T218" i="1"/>
  <c r="T219" i="1" s="1"/>
  <c r="T220" i="1" l="1"/>
  <c r="T222" i="1" s="1"/>
  <c r="T224" i="1" s="1"/>
  <c r="T225" i="1" s="1"/>
  <c r="T226" i="1" l="1"/>
  <c r="T230" i="1" l="1"/>
  <c r="T227" i="1"/>
  <c r="T228" i="1" s="1"/>
  <c r="T229" i="1" l="1"/>
  <c r="T231" i="1" s="1"/>
  <c r="T233" i="1" s="1"/>
  <c r="T234" i="1" s="1"/>
  <c r="T235" i="1" l="1"/>
  <c r="T236" i="1" l="1"/>
  <c r="T237" i="1" s="1"/>
  <c r="T239" i="1"/>
  <c r="T238" i="1" l="1"/>
  <c r="T240" i="1" s="1"/>
  <c r="T242" i="1" s="1"/>
  <c r="T243" i="1" s="1"/>
  <c r="T244" i="1" l="1"/>
  <c r="T245" i="1" l="1"/>
  <c r="T246" i="1" s="1"/>
  <c r="T248" i="1"/>
  <c r="T247" i="1" l="1"/>
  <c r="T249" i="1" s="1"/>
  <c r="T251" i="1" s="1"/>
  <c r="T252" i="1" s="1"/>
  <c r="T253" i="1" l="1"/>
  <c r="T254" i="1" l="1"/>
  <c r="T255" i="1" s="1"/>
  <c r="T257" i="1"/>
  <c r="T256" i="1" l="1"/>
  <c r="T258" i="1" s="1"/>
  <c r="T260" i="1" s="1"/>
  <c r="T261" i="1" s="1"/>
  <c r="T262" i="1" l="1"/>
  <c r="T266" i="1" l="1"/>
  <c r="T263" i="1"/>
  <c r="T264" i="1" s="1"/>
  <c r="T265" i="1" l="1"/>
  <c r="T267" i="1" s="1"/>
  <c r="T269" i="1" s="1"/>
  <c r="T270" i="1" s="1"/>
  <c r="T271" i="1" l="1"/>
  <c r="T272" i="1" l="1"/>
  <c r="T273" i="1" s="1"/>
  <c r="T275" i="1"/>
  <c r="T274" i="1" l="1"/>
  <c r="T276" i="1" s="1"/>
  <c r="T278" i="1" s="1"/>
  <c r="T279" i="1" s="1"/>
  <c r="T280" i="1" l="1"/>
  <c r="T284" i="1" l="1"/>
  <c r="T281" i="1"/>
  <c r="T282" i="1" s="1"/>
  <c r="T283" i="1" l="1"/>
  <c r="T285" i="1" s="1"/>
  <c r="T287" i="1" s="1"/>
  <c r="T288" i="1" s="1"/>
  <c r="T289" i="1" l="1"/>
  <c r="T293" i="1" l="1"/>
  <c r="T290" i="1"/>
  <c r="T291" i="1" s="1"/>
  <c r="T292" i="1" l="1"/>
  <c r="T294" i="1" s="1"/>
  <c r="T296" i="1" s="1"/>
  <c r="T297" i="1" s="1"/>
  <c r="T298" i="1" l="1"/>
  <c r="T302" i="1" l="1"/>
  <c r="T299" i="1"/>
  <c r="T300" i="1" s="1"/>
  <c r="T301" i="1" l="1"/>
  <c r="T303" i="1" s="1"/>
  <c r="T305" i="1" s="1"/>
  <c r="T306" i="1" s="1"/>
  <c r="T307" i="1" l="1"/>
  <c r="T308" i="1" l="1"/>
  <c r="T309" i="1" s="1"/>
  <c r="T311" i="1"/>
  <c r="T310" i="1" l="1"/>
  <c r="T312" i="1" s="1"/>
  <c r="T314" i="1" s="1"/>
  <c r="T315" i="1" s="1"/>
  <c r="T316" i="1" l="1"/>
  <c r="T317" i="1" l="1"/>
  <c r="T318" i="1" s="1"/>
  <c r="T320" i="1"/>
  <c r="T319" i="1" l="1"/>
  <c r="T321" i="1" s="1"/>
  <c r="T323" i="1" s="1"/>
  <c r="T324" i="1" s="1"/>
  <c r="T325" i="1" l="1"/>
  <c r="T326" i="1" l="1"/>
  <c r="T327" i="1" s="1"/>
  <c r="T329" i="1"/>
  <c r="T328" i="1" l="1"/>
  <c r="T330" i="1" s="1"/>
  <c r="T332" i="1" s="1"/>
  <c r="T333" i="1" s="1"/>
  <c r="T334" i="1" l="1"/>
  <c r="T338" i="1" l="1"/>
  <c r="T335" i="1"/>
  <c r="T336" i="1" s="1"/>
  <c r="T337" i="1" l="1"/>
  <c r="T339" i="1" s="1"/>
  <c r="T341" i="1" s="1"/>
  <c r="T342" i="1" s="1"/>
  <c r="T343" i="1" l="1"/>
  <c r="T344" i="1" l="1"/>
  <c r="T345" i="1" s="1"/>
  <c r="T347" i="1"/>
  <c r="T346" i="1" l="1"/>
  <c r="T348" i="1" s="1"/>
  <c r="T350" i="1" s="1"/>
  <c r="T351" i="1" s="1"/>
  <c r="T352" i="1" l="1"/>
  <c r="T356" i="1" l="1"/>
  <c r="T353" i="1"/>
  <c r="T354" i="1" s="1"/>
  <c r="T355" i="1" l="1"/>
  <c r="T357" i="1" s="1"/>
  <c r="T359" i="1" s="1"/>
  <c r="T360" i="1" s="1"/>
  <c r="T361" i="1" l="1"/>
  <c r="T365" i="1" l="1"/>
  <c r="T362" i="1"/>
  <c r="T363" i="1" s="1"/>
  <c r="T364" i="1" l="1"/>
  <c r="T366" i="1" s="1"/>
  <c r="T368" i="1" s="1"/>
  <c r="T369" i="1" s="1"/>
  <c r="T370" i="1" l="1"/>
  <c r="T374" i="1" l="1"/>
  <c r="T371" i="1"/>
  <c r="T372" i="1" s="1"/>
  <c r="T373" i="1" l="1"/>
  <c r="T375" i="1" s="1"/>
  <c r="T377" i="1" s="1"/>
  <c r="T378" i="1" s="1"/>
  <c r="T379" i="1" l="1"/>
  <c r="T380" i="1" l="1"/>
  <c r="T381" i="1" s="1"/>
  <c r="T383" i="1"/>
  <c r="T382" i="1" l="1"/>
  <c r="T384" i="1" s="1"/>
  <c r="T386" i="1" s="1"/>
  <c r="T387" i="1" s="1"/>
  <c r="T388" i="1" l="1"/>
  <c r="T389" i="1" l="1"/>
  <c r="T390" i="1" s="1"/>
  <c r="T392" i="1"/>
  <c r="T391" i="1" l="1"/>
  <c r="T393" i="1" s="1"/>
  <c r="T395" i="1" s="1"/>
  <c r="T396" i="1" s="1"/>
  <c r="T397" i="1" l="1"/>
  <c r="T398" i="1" l="1"/>
  <c r="T399" i="1" s="1"/>
  <c r="T401" i="1"/>
  <c r="T400" i="1" l="1"/>
  <c r="T402" i="1" s="1"/>
  <c r="T404" i="1" s="1"/>
  <c r="T405" i="1" s="1"/>
  <c r="T406" i="1" l="1"/>
  <c r="T410" i="1" l="1"/>
  <c r="T407" i="1"/>
  <c r="T408" i="1" s="1"/>
  <c r="T409" i="1" l="1"/>
  <c r="T411" i="1" s="1"/>
  <c r="T413" i="1" s="1"/>
  <c r="T414" i="1" s="1"/>
  <c r="T415" i="1" l="1"/>
  <c r="T416" i="1" l="1"/>
  <c r="T417" i="1" s="1"/>
  <c r="T419" i="1"/>
  <c r="T418" i="1" l="1"/>
  <c r="T420" i="1" s="1"/>
  <c r="T422" i="1" s="1"/>
  <c r="T423" i="1" s="1"/>
  <c r="T424" i="1" l="1"/>
  <c r="T428" i="1" l="1"/>
  <c r="T425" i="1"/>
  <c r="T426" i="1" s="1"/>
  <c r="T427" i="1" l="1"/>
  <c r="T429" i="1" s="1"/>
  <c r="T431" i="1" s="1"/>
  <c r="T432" i="1" s="1"/>
  <c r="T433" i="1" l="1"/>
  <c r="T437" i="1" l="1"/>
  <c r="T434" i="1"/>
  <c r="T435" i="1" s="1"/>
  <c r="T436" i="1" l="1"/>
  <c r="T438" i="1" s="1"/>
  <c r="T440" i="1" s="1"/>
  <c r="T441" i="1" s="1"/>
  <c r="T442" i="1" l="1"/>
  <c r="T446" i="1" l="1"/>
  <c r="T443" i="1"/>
  <c r="T444" i="1" s="1"/>
  <c r="T445" i="1" l="1"/>
  <c r="T447" i="1" s="1"/>
  <c r="T449" i="1" s="1"/>
  <c r="T450" i="1" s="1"/>
  <c r="T451" i="1" l="1"/>
  <c r="T452" i="1" l="1"/>
  <c r="T453" i="1" s="1"/>
  <c r="T455" i="1"/>
  <c r="T454" i="1" l="1"/>
  <c r="T456" i="1" s="1"/>
  <c r="T458" i="1" s="1"/>
  <c r="T459" i="1" s="1"/>
  <c r="T460" i="1" l="1"/>
  <c r="T461" i="1" l="1"/>
  <c r="T462" i="1" s="1"/>
  <c r="T464" i="1"/>
  <c r="T463" i="1" l="1"/>
  <c r="T465" i="1" s="1"/>
  <c r="T467" i="1" s="1"/>
  <c r="T468" i="1" s="1"/>
  <c r="T469" i="1" l="1"/>
  <c r="T470" i="1" l="1"/>
  <c r="T471" i="1" s="1"/>
  <c r="T473" i="1"/>
  <c r="T472" i="1" l="1"/>
  <c r="T474" i="1" s="1"/>
  <c r="T476" i="1" s="1"/>
  <c r="T477" i="1" s="1"/>
  <c r="T478" i="1" l="1"/>
  <c r="T482" i="1" l="1"/>
  <c r="T479" i="1"/>
  <c r="T480" i="1" s="1"/>
  <c r="T481" i="1" l="1"/>
  <c r="T483" i="1" s="1"/>
  <c r="T485" i="1" s="1"/>
  <c r="T486" i="1" s="1"/>
  <c r="T487" i="1" l="1"/>
  <c r="T488" i="1" l="1"/>
  <c r="T489" i="1" s="1"/>
  <c r="T491" i="1"/>
  <c r="T490" i="1" l="1"/>
  <c r="T492" i="1" s="1"/>
  <c r="T494" i="1" s="1"/>
  <c r="T495" i="1" s="1"/>
  <c r="T496" i="1" l="1"/>
  <c r="T500" i="1" l="1"/>
  <c r="T497" i="1"/>
  <c r="T498" i="1" s="1"/>
  <c r="T499" i="1" l="1"/>
  <c r="T501" i="1" s="1"/>
  <c r="T503" i="1" s="1"/>
  <c r="T504" i="1" s="1"/>
  <c r="T505" i="1" l="1"/>
  <c r="T509" i="1" l="1"/>
  <c r="T506" i="1"/>
  <c r="T507" i="1" s="1"/>
  <c r="T508" i="1" l="1"/>
  <c r="T510" i="1" s="1"/>
  <c r="T512" i="1" s="1"/>
  <c r="T513" i="1" s="1"/>
  <c r="T514" i="1" l="1"/>
  <c r="T518" i="1" l="1"/>
  <c r="T515" i="1"/>
  <c r="T516" i="1" s="1"/>
  <c r="T517" i="1" l="1"/>
  <c r="T519" i="1" s="1"/>
  <c r="T521" i="1" s="1"/>
  <c r="T522" i="1" s="1"/>
  <c r="T523" i="1" l="1"/>
  <c r="T524" i="1" l="1"/>
  <c r="T525" i="1" s="1"/>
  <c r="T527" i="1"/>
  <c r="T526" i="1" l="1"/>
  <c r="T528" i="1" s="1"/>
  <c r="T530" i="1" s="1"/>
  <c r="T531" i="1" s="1"/>
  <c r="T532" i="1" l="1"/>
  <c r="T533" i="1" l="1"/>
  <c r="T534" i="1" s="1"/>
  <c r="T536" i="1"/>
  <c r="T535" i="1" l="1"/>
  <c r="T537" i="1" s="1"/>
  <c r="T539" i="1" s="1"/>
  <c r="T540" i="1" s="1"/>
  <c r="T541" i="1" l="1"/>
  <c r="T542" i="1" l="1"/>
  <c r="T543" i="1" s="1"/>
  <c r="T545" i="1"/>
  <c r="T544" i="1" l="1"/>
  <c r="T546" i="1" s="1"/>
  <c r="T548" i="1" s="1"/>
  <c r="T549" i="1" s="1"/>
  <c r="T550" i="1" l="1"/>
  <c r="T551" i="1" l="1"/>
  <c r="T552" i="1" s="1"/>
  <c r="T554" i="1"/>
  <c r="T553" i="1" l="1"/>
  <c r="T555" i="1" s="1"/>
  <c r="T557" i="1" s="1"/>
  <c r="T558" i="1" s="1"/>
  <c r="T559" i="1" l="1"/>
  <c r="T563" i="1" l="1"/>
  <c r="T560" i="1"/>
  <c r="T561" i="1" s="1"/>
  <c r="T562" i="1" l="1"/>
  <c r="T564" i="1" s="1"/>
  <c r="D21" i="1" s="1"/>
  <c r="O6" i="12" s="1"/>
  <c r="O8" i="12" s="1"/>
  <c r="C14" i="12" l="1"/>
  <c r="C30" i="12"/>
  <c r="L5" i="10"/>
  <c r="T567" i="1"/>
  <c r="D12" i="6"/>
  <c r="C10" i="12" l="1"/>
  <c r="C12" i="12"/>
  <c r="C38" i="12"/>
  <c r="C32" i="12"/>
  <c r="C16" i="12"/>
  <c r="C40" i="12"/>
  <c r="C34" i="12"/>
  <c r="C36" i="12"/>
  <c r="C43" i="12" s="1"/>
  <c r="D10" i="1" s="1"/>
  <c r="C18" i="12"/>
  <c r="C20" i="12"/>
  <c r="C6" i="10"/>
  <c r="S12" i="6"/>
  <c r="T568" i="1"/>
  <c r="T569" i="1" s="1"/>
  <c r="D13" i="6" l="1"/>
  <c r="J16" i="10"/>
  <c r="AA13" i="6"/>
  <c r="D31" i="7" s="1"/>
  <c r="D14" i="7"/>
  <c r="T570" i="1"/>
  <c r="T571" i="1" s="1"/>
  <c r="T573" i="1"/>
  <c r="R20" i="10" l="1"/>
  <c r="J20" i="10"/>
  <c r="S13" i="6"/>
  <c r="AA15" i="6" s="1"/>
  <c r="D30" i="7" s="1"/>
  <c r="K8" i="7" s="1"/>
  <c r="P20" i="10"/>
  <c r="K20" i="10"/>
  <c r="L20" i="10"/>
  <c r="M20" i="10"/>
  <c r="O20" i="10"/>
  <c r="S20" i="10"/>
  <c r="Q20" i="10"/>
  <c r="N20" i="10"/>
  <c r="T572" i="1"/>
  <c r="T574" i="1" s="1"/>
  <c r="D22" i="1" s="1"/>
  <c r="J21" i="10" l="1"/>
  <c r="C8" i="10" s="1"/>
  <c r="O49" i="12" s="1"/>
  <c r="K10" i="7"/>
  <c r="K11" i="7" s="1"/>
  <c r="O50" i="12" l="1"/>
  <c r="D25" i="1"/>
  <c r="K12" i="7"/>
  <c r="K14" i="7" s="1"/>
  <c r="K23" i="7" s="1"/>
  <c r="K13" i="7"/>
  <c r="O88" i="12" l="1"/>
  <c r="O89" i="12" s="1"/>
  <c r="C64" i="12" s="1"/>
  <c r="O67" i="12"/>
  <c r="O68" i="12" s="1"/>
  <c r="O78" i="12"/>
  <c r="O79" i="12" s="1"/>
  <c r="C60" i="12" s="1"/>
  <c r="O83" i="12"/>
  <c r="O84" i="12" s="1"/>
  <c r="C62" i="12" s="1"/>
  <c r="C71" i="12" s="1"/>
  <c r="D11" i="1" s="1"/>
  <c r="O57" i="12"/>
  <c r="O58" i="12" s="1"/>
  <c r="C52" i="12" s="1"/>
  <c r="O98" i="12"/>
  <c r="O99" i="12" s="1"/>
  <c r="C68" i="12" s="1"/>
  <c r="O62" i="12"/>
  <c r="O63" i="12" s="1"/>
  <c r="C54" i="12" s="1"/>
  <c r="O72" i="12"/>
  <c r="O73" i="12" s="1"/>
  <c r="C58" i="12" s="1"/>
  <c r="O93" i="12"/>
  <c r="O94" i="12" s="1"/>
  <c r="C66" i="12" s="1"/>
  <c r="K20" i="7"/>
  <c r="K21" i="7"/>
  <c r="K18" i="7"/>
  <c r="K22" i="7"/>
  <c r="K17" i="7"/>
  <c r="K19" i="7"/>
  <c r="C56" i="12" l="1"/>
  <c r="K26" i="7"/>
  <c r="K24" i="7"/>
  <c r="K27" i="7" l="1"/>
  <c r="K33" i="7" s="1"/>
  <c r="D14" i="6" l="1"/>
  <c r="B46" i="1" l="1"/>
  <c r="S14" i="6"/>
  <c r="D15" i="7" l="1"/>
  <c r="K15" i="7" l="1"/>
  <c r="K16" i="7" l="1"/>
  <c r="K25" i="7" l="1"/>
  <c r="K59" i="7" l="1"/>
  <c r="K37" i="7"/>
  <c r="K40" i="7"/>
  <c r="K45" i="7"/>
  <c r="K55" i="7"/>
  <c r="K54" i="7"/>
  <c r="K35" i="7"/>
  <c r="K63" i="7"/>
  <c r="K52" i="7"/>
  <c r="K36" i="7"/>
  <c r="K56" i="7"/>
  <c r="K60" i="7"/>
  <c r="K43" i="7"/>
  <c r="K39" i="7"/>
  <c r="K51" i="7"/>
  <c r="K58" i="7"/>
  <c r="K64" i="7"/>
  <c r="K34" i="7"/>
  <c r="K109" i="7" s="1"/>
  <c r="K49" i="7"/>
  <c r="K42" i="7"/>
  <c r="K48" i="7"/>
  <c r="K53" i="7"/>
  <c r="K65" i="7"/>
  <c r="K62" i="7"/>
  <c r="K47" i="7"/>
  <c r="K44" i="7"/>
  <c r="K41" i="7"/>
  <c r="K50" i="7"/>
  <c r="K57" i="7"/>
  <c r="K66" i="7"/>
  <c r="K46" i="7"/>
  <c r="K38" i="7"/>
  <c r="K61" i="7"/>
  <c r="K137" i="7" l="1"/>
  <c r="K306" i="7" s="1"/>
  <c r="K339" i="7" s="1"/>
  <c r="K133" i="7"/>
  <c r="K302" i="7" s="1"/>
  <c r="K335" i="7" s="1"/>
  <c r="K138" i="7"/>
  <c r="K307" i="7" s="1"/>
  <c r="K340" i="7" s="1"/>
  <c r="K113" i="7"/>
  <c r="K282" i="7" s="1"/>
  <c r="K315" i="7" s="1"/>
  <c r="K140" i="7"/>
  <c r="K309" i="7" s="1"/>
  <c r="K342" i="7" s="1"/>
  <c r="K126" i="7"/>
  <c r="K295" i="7" s="1"/>
  <c r="K328" i="7" s="1"/>
  <c r="K110" i="7"/>
  <c r="K279" i="7" s="1"/>
  <c r="K312" i="7" s="1"/>
  <c r="K141" i="7"/>
  <c r="K310" i="7" s="1"/>
  <c r="K343" i="7" s="1"/>
  <c r="K128" i="7"/>
  <c r="K297" i="7" s="1"/>
  <c r="K330" i="7" s="1"/>
  <c r="K114" i="7"/>
  <c r="K283" i="7" s="1"/>
  <c r="K316" i="7" s="1"/>
  <c r="K129" i="7"/>
  <c r="K298" i="7" s="1"/>
  <c r="K331" i="7" s="1"/>
  <c r="K132" i="7"/>
  <c r="K301" i="7" s="1"/>
  <c r="K334" i="7" s="1"/>
  <c r="K123" i="7"/>
  <c r="K292" i="7" s="1"/>
  <c r="K325" i="7" s="1"/>
  <c r="K118" i="7"/>
  <c r="K287" i="7" s="1"/>
  <c r="K320" i="7" s="1"/>
  <c r="K130" i="7"/>
  <c r="K299" i="7" s="1"/>
  <c r="K332" i="7" s="1"/>
  <c r="K125" i="7"/>
  <c r="K294" i="7" s="1"/>
  <c r="K327" i="7" s="1"/>
  <c r="K117" i="7"/>
  <c r="K286" i="7" s="1"/>
  <c r="K319" i="7" s="1"/>
  <c r="K135" i="7"/>
  <c r="K304" i="7" s="1"/>
  <c r="K337" i="7" s="1"/>
  <c r="K120" i="7"/>
  <c r="K289" i="7" s="1"/>
  <c r="K322" i="7" s="1"/>
  <c r="K116" i="7"/>
  <c r="K285" i="7" s="1"/>
  <c r="K318" i="7" s="1"/>
  <c r="K124" i="7"/>
  <c r="K293" i="7" s="1"/>
  <c r="K326" i="7" s="1"/>
  <c r="K131" i="7"/>
  <c r="K300" i="7" s="1"/>
  <c r="K333" i="7" s="1"/>
  <c r="K115" i="7"/>
  <c r="K284" i="7" s="1"/>
  <c r="K317" i="7" s="1"/>
  <c r="K121" i="7"/>
  <c r="K290" i="7" s="1"/>
  <c r="K323" i="7" s="1"/>
  <c r="K119" i="7"/>
  <c r="K288" i="7" s="1"/>
  <c r="K321" i="7" s="1"/>
  <c r="K111" i="7"/>
  <c r="K280" i="7" s="1"/>
  <c r="K313" i="7" s="1"/>
  <c r="K112" i="7"/>
  <c r="K281" i="7" s="1"/>
  <c r="K314" i="7" s="1"/>
  <c r="K136" i="7"/>
  <c r="K305" i="7" s="1"/>
  <c r="K338" i="7" s="1"/>
  <c r="K122" i="7"/>
  <c r="K291" i="7" s="1"/>
  <c r="K324" i="7" s="1"/>
  <c r="K139" i="7"/>
  <c r="K308" i="7" s="1"/>
  <c r="K341" i="7" s="1"/>
  <c r="K127" i="7"/>
  <c r="K296" i="7" s="1"/>
  <c r="K329" i="7" s="1"/>
  <c r="K134" i="7"/>
  <c r="K303" i="7" s="1"/>
  <c r="K336" i="7" s="1"/>
  <c r="K278" i="7"/>
  <c r="K311" i="7" l="1"/>
  <c r="K344" i="7" s="1"/>
  <c r="D2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Jon</author>
  </authors>
  <commentList>
    <comment ref="L47" authorId="0" shapeId="0" xr:uid="{EF075A41-A353-4A4A-A73E-0A4DF601F685}">
      <text>
        <r>
          <rPr>
            <b/>
            <sz val="9"/>
            <color indexed="81"/>
            <rFont val="Tahoma"/>
            <family val="2"/>
          </rPr>
          <t>Jon:</t>
        </r>
        <r>
          <rPr>
            <sz val="9"/>
            <color indexed="81"/>
            <rFont val="Tahoma"/>
            <family val="2"/>
          </rPr>
          <t xml:space="preserve">
</t>
        </r>
      </text>
    </comment>
  </commentList>
</comments>
</file>

<file path=xl/sharedStrings.xml><?xml version="1.0" encoding="utf-8"?>
<sst xmlns="http://schemas.openxmlformats.org/spreadsheetml/2006/main" count="18924" uniqueCount="764">
  <si>
    <t>Q</t>
  </si>
  <si>
    <t>DESCRIPTION OF VARIABLE</t>
  </si>
  <si>
    <t>NAME OF VARIABLE</t>
  </si>
  <si>
    <t>FORMULA</t>
  </si>
  <si>
    <t>Inlet pressure</t>
  </si>
  <si>
    <t>P_1</t>
  </si>
  <si>
    <t>CALCULATED IN COLUMN "S"</t>
  </si>
  <si>
    <t>Inlet temperature</t>
  </si>
  <si>
    <t>T_1</t>
  </si>
  <si>
    <t>Pressure drop ratio</t>
  </si>
  <si>
    <t>x</t>
  </si>
  <si>
    <t>DELTA_P</t>
  </si>
  <si>
    <t>Ratio of specific heats factor</t>
  </si>
  <si>
    <t>F_GAMMA</t>
  </si>
  <si>
    <t>======&gt;</t>
  </si>
  <si>
    <t>Absolute temperature</t>
  </si>
  <si>
    <t>T_abs</t>
  </si>
  <si>
    <t>GAMMA</t>
  </si>
  <si>
    <t>Z</t>
  </si>
  <si>
    <t>WITHOUT REDUCERS</t>
  </si>
  <si>
    <t>x_T</t>
  </si>
  <si>
    <t>Expansion factor</t>
  </si>
  <si>
    <t>Y</t>
  </si>
  <si>
    <t>C Non choked</t>
  </si>
  <si>
    <t>C_NonCh</t>
  </si>
  <si>
    <t>C Choked</t>
  </si>
  <si>
    <t>C_Ch</t>
  </si>
  <si>
    <t>D_1</t>
  </si>
  <si>
    <t>CH_x</t>
  </si>
  <si>
    <t>D_2</t>
  </si>
  <si>
    <t>Select C Non choked or C choked</t>
  </si>
  <si>
    <t>Select_C_Non_or_C_Ch</t>
  </si>
  <si>
    <t>d</t>
  </si>
  <si>
    <t>(This is the initial guess for</t>
  </si>
  <si>
    <t xml:space="preserve">  Required flow coef. (Cv or Kv)</t>
  </si>
  <si>
    <t xml:space="preserve">  Sound pressure level</t>
  </si>
  <si>
    <t>dB(A)</t>
  </si>
  <si>
    <t xml:space="preserve">  Outlet velocity</t>
  </si>
  <si>
    <t>Mach</t>
  </si>
  <si>
    <t>Reducer velocity head coefficients</t>
  </si>
  <si>
    <t>ZETA_1</t>
  </si>
  <si>
    <t>ZETA_B1</t>
  </si>
  <si>
    <t>ZETA_2</t>
  </si>
  <si>
    <t>ZETA_B2</t>
  </si>
  <si>
    <t>Sum of velocity head coefficients</t>
  </si>
  <si>
    <t>SIGMA_ZETA</t>
  </si>
  <si>
    <t>Numerical constants</t>
  </si>
  <si>
    <t>Sum of upstream velocity head coef</t>
  </si>
  <si>
    <t>SIGMA_ZETA_1</t>
  </si>
  <si>
    <t>Beginning of iterative calculation</t>
  </si>
  <si>
    <t>Assumed C for iterative purposes</t>
  </si>
  <si>
    <t>C_i</t>
  </si>
  <si>
    <t>Piping geometry factor</t>
  </si>
  <si>
    <t>F_P</t>
  </si>
  <si>
    <t>Choked Pres drop ratio factor with reducers</t>
  </si>
  <si>
    <t>x_TP</t>
  </si>
  <si>
    <t>Y_W_Reducers</t>
  </si>
  <si>
    <t>C Non choked w/ reducers</t>
  </si>
  <si>
    <t>C_NonCh_W_Reducers</t>
  </si>
  <si>
    <t>C Choked w/ reducers</t>
  </si>
  <si>
    <t>C_Ch_W_Reducers</t>
  </si>
  <si>
    <t>Choked pressure drop ratio w/ reducers</t>
  </si>
  <si>
    <t>CH_x_W_Reducers</t>
  </si>
  <si>
    <t>d_in</t>
  </si>
  <si>
    <t>C_v</t>
  </si>
  <si>
    <t>Data input</t>
  </si>
  <si>
    <t>Final results</t>
  </si>
  <si>
    <t>TAG:</t>
  </si>
  <si>
    <r>
      <t>Choked pressure drop ratio w/ reducers (x</t>
    </r>
    <r>
      <rPr>
        <vertAlign val="subscript"/>
        <sz val="10"/>
        <color indexed="8"/>
        <rFont val="Arial"/>
        <family val="2"/>
      </rPr>
      <t>choked</t>
    </r>
    <r>
      <rPr>
        <sz val="10"/>
        <color indexed="8"/>
        <rFont val="Arial"/>
        <family val="2"/>
      </rPr>
      <t>)</t>
    </r>
  </si>
  <si>
    <t>Valve sizing per ISA S75.01.01 2012</t>
  </si>
  <si>
    <t>Eqn.</t>
  </si>
  <si>
    <t>M</t>
  </si>
  <si>
    <t>C_</t>
  </si>
  <si>
    <t xml:space="preserve">  Flow calculated from C_ above</t>
  </si>
  <si>
    <t>Final C calculated above</t>
  </si>
  <si>
    <t>Final_Calculated_C</t>
  </si>
  <si>
    <t>Final_F_P</t>
  </si>
  <si>
    <t>Presssure drop ratio factor w/reducers</t>
  </si>
  <si>
    <t>Final_x_TP</t>
  </si>
  <si>
    <t>Final_Y_W_Reducers</t>
  </si>
  <si>
    <t>Flow Non choked w/ reducers</t>
  </si>
  <si>
    <t>Final_Flow_NonCh_W_Reducers</t>
  </si>
  <si>
    <t>Flow Choked w/ reducers</t>
  </si>
  <si>
    <t>Final_Flow_Ch_W_Reducers</t>
  </si>
  <si>
    <r>
      <t>Choked pressure drop ratio w/ reducers (x</t>
    </r>
    <r>
      <rPr>
        <vertAlign val="subscript"/>
        <sz val="10"/>
        <rFont val="Arial"/>
        <family val="2"/>
      </rPr>
      <t>choked</t>
    </r>
    <r>
      <rPr>
        <sz val="10"/>
        <rFont val="Arial"/>
        <family val="2"/>
      </rPr>
      <t>)</t>
    </r>
  </si>
  <si>
    <t>Final_CH_x_W_Reducers</t>
  </si>
  <si>
    <t>Select flow Non choked or flow choked</t>
  </si>
  <si>
    <t>Calc_Flow_From_Final_ Calc_C</t>
  </si>
  <si>
    <t>Confirmation that the calculated C will produce the given flow rate</t>
  </si>
  <si>
    <t>1= Inlet Temp entered in F is converted to R in T_abs field</t>
  </si>
  <si>
    <t>2= Inlet Temp entered in C is coverted to K in T_abs field</t>
  </si>
  <si>
    <t>Valve type</t>
  </si>
  <si>
    <t>Rotary eccentric plug</t>
  </si>
  <si>
    <t>Segment ball</t>
  </si>
  <si>
    <t>Butterfly</t>
  </si>
  <si>
    <t>If it is, error messages are blanked out of the calculated results.</t>
  </si>
  <si>
    <t>DATA1</t>
  </si>
  <si>
    <t>DATA2</t>
  </si>
  <si>
    <t>DATA3</t>
  </si>
  <si>
    <t>DATA4</t>
  </si>
  <si>
    <t>Scroll to the right to view the intermediate calculations</t>
  </si>
  <si>
    <t>Intermediate Calculations</t>
  </si>
  <si>
    <t>CALCULATED IN COLUMN "P"</t>
  </si>
  <si>
    <t>CALCULATE PARAMETERS FOR UPSTREAM AND DOWNSTREAM PROCESS PRESSURE MODEL</t>
  </si>
  <si>
    <t>Q_min</t>
  </si>
  <si>
    <t>Q_max</t>
  </si>
  <si>
    <t>Valve inlet pressure at minimum des. Flow</t>
  </si>
  <si>
    <t>P_1_minQ</t>
  </si>
  <si>
    <t>Valve inlet pressure at maximum des. flow</t>
  </si>
  <si>
    <t>P_1_maxQ</t>
  </si>
  <si>
    <t xml:space="preserve">Pressure drop at minimum des. flow </t>
  </si>
  <si>
    <t>DELTA_P_minQ</t>
  </si>
  <si>
    <t xml:space="preserve">Pressure drop at maximum des. flow </t>
  </si>
  <si>
    <t>DELTA_P_maxQ</t>
  </si>
  <si>
    <t>Valve outlet pressure at minimum des. Flow</t>
  </si>
  <si>
    <t>P_2_minQ</t>
  </si>
  <si>
    <t>Valve outlet pressure at maximum des. flow</t>
  </si>
  <si>
    <t>P_2_maxQ</t>
  </si>
  <si>
    <t>Upstream system drop</t>
  </si>
  <si>
    <t>dp_up</t>
  </si>
  <si>
    <t>Upstream system resistance factor</t>
  </si>
  <si>
    <t>R_up</t>
  </si>
  <si>
    <t>Downstream system drop</t>
  </si>
  <si>
    <t>dp_dn</t>
  </si>
  <si>
    <t>Downstream system resistance factor</t>
  </si>
  <si>
    <t>R_dn</t>
  </si>
  <si>
    <t>Upstream system press drop an min flow</t>
  </si>
  <si>
    <t>dpup_minQ</t>
  </si>
  <si>
    <t>Downstream system press drop an min flow</t>
  </si>
  <si>
    <t>dpdn_minQ</t>
  </si>
  <si>
    <t>First iteration flow rate</t>
  </si>
  <si>
    <t>Q_i</t>
  </si>
  <si>
    <t>P1 at this iteration flow rate</t>
  </si>
  <si>
    <t>P1_Qi</t>
  </si>
  <si>
    <t>P2 at this iteration flow rate</t>
  </si>
  <si>
    <t>P2_Qi</t>
  </si>
  <si>
    <t>Next iteration flow rate</t>
  </si>
  <si>
    <t>Abs Value of</t>
  </si>
  <si>
    <t>Delta P at this iteration flow rate</t>
  </si>
  <si>
    <t>DELTA_P_Qi</t>
  </si>
  <si>
    <t>Press drop ratio this iteration</t>
  </si>
  <si>
    <t>x_Qi</t>
  </si>
  <si>
    <t>C_N_Ch</t>
  </si>
  <si>
    <t>Absolute value C_100 - Selected C</t>
  </si>
  <si>
    <t>C_100 - C this iteration</t>
  </si>
  <si>
    <t>Selected C this iteration</t>
  </si>
  <si>
    <t>Flow this</t>
  </si>
  <si>
    <t>iteration</t>
  </si>
  <si>
    <t>Total 60 iterations</t>
  </si>
  <si>
    <t>Min C_h - Ci</t>
  </si>
  <si>
    <t>Flow at C_h</t>
  </si>
  <si>
    <t>Values found on Line</t>
  </si>
  <si>
    <t>Valve C at travel h (Cv or Kv)</t>
  </si>
  <si>
    <t>C_h</t>
  </si>
  <si>
    <t>Piping geometry factor at relative travel, h</t>
  </si>
  <si>
    <t>F_P_h</t>
  </si>
  <si>
    <t>C_h - C this iteration</t>
  </si>
  <si>
    <t>VALVE DATA</t>
  </si>
  <si>
    <t>Relative travel, h</t>
  </si>
  <si>
    <t>`</t>
  </si>
  <si>
    <r>
      <t>x</t>
    </r>
    <r>
      <rPr>
        <b/>
        <vertAlign val="subscript"/>
        <sz val="10"/>
        <rFont val="Arial"/>
        <family val="2"/>
      </rPr>
      <t>T</t>
    </r>
  </si>
  <si>
    <t>CALCULATE FLOW AT EACH  INCREMENT OF h</t>
  </si>
  <si>
    <t>Caculation of flow conditions</t>
  </si>
  <si>
    <t>x_TP_h</t>
  </si>
  <si>
    <t>Y_C_h</t>
  </si>
  <si>
    <r>
      <t>Fully open Flow, Q</t>
    </r>
    <r>
      <rPr>
        <b/>
        <vertAlign val="subscript"/>
        <sz val="12"/>
        <color indexed="8"/>
        <rFont val="Arial"/>
        <family val="2"/>
      </rPr>
      <t>f</t>
    </r>
  </si>
  <si>
    <t xml:space="preserve">Valve relative travel, h </t>
  </si>
  <si>
    <t xml:space="preserve">Relative Flow Q/Qf </t>
  </si>
  <si>
    <t>Minimum Flow</t>
  </si>
  <si>
    <t>Maximum Flow</t>
  </si>
  <si>
    <t>Reducer corrected pressure drop ratio factor at choked flow</t>
  </si>
  <si>
    <t>Graph Data</t>
  </si>
  <si>
    <t>Gain = Delta Q / Delta h</t>
  </si>
  <si>
    <t>Delta Q</t>
  </si>
  <si>
    <t>Delta h</t>
  </si>
  <si>
    <t xml:space="preserve">Flow units are  </t>
  </si>
  <si>
    <t>Qmin vertical line</t>
  </si>
  <si>
    <t>Qmax vertical line</t>
  </si>
  <si>
    <t>Scroll to the right to see the</t>
  </si>
  <si>
    <t xml:space="preserve">intermediate calculations   </t>
  </si>
  <si>
    <t>Scroll down for instructions for the Installed flow and gain graphs and</t>
  </si>
  <si>
    <r>
      <t>the calculation of the fully open flow, Q</t>
    </r>
    <r>
      <rPr>
        <vertAlign val="subscript"/>
        <sz val="14"/>
        <rFont val="Arial"/>
        <family val="2"/>
      </rPr>
      <t>f</t>
    </r>
    <r>
      <rPr>
        <sz val="10"/>
        <rFont val="Arial"/>
        <family val="2"/>
      </rPr>
      <t>. The accuracy of the calculations</t>
    </r>
  </si>
  <si>
    <t>on this and the Installed Gain tab depend on the accuracy of the process</t>
  </si>
  <si>
    <t>data.</t>
  </si>
  <si>
    <t>INSTALED FLOW AND GAIN ERRORS</t>
  </si>
  <si>
    <t>design flow =</t>
  </si>
  <si>
    <r>
      <t>Q</t>
    </r>
    <r>
      <rPr>
        <sz val="9"/>
        <rFont val="Arial"/>
        <family val="2"/>
      </rPr>
      <t>max</t>
    </r>
    <r>
      <rPr>
        <sz val="10"/>
        <rFont val="Arial"/>
        <family val="2"/>
      </rPr>
      <t xml:space="preserve"> = maximum</t>
    </r>
  </si>
  <si>
    <r>
      <t>Q</t>
    </r>
    <r>
      <rPr>
        <sz val="9"/>
        <rFont val="Arial"/>
        <family val="2"/>
      </rPr>
      <t>min</t>
    </r>
    <r>
      <rPr>
        <sz val="10"/>
        <rFont val="Arial"/>
        <family val="2"/>
      </rPr>
      <t xml:space="preserve"> = minimum</t>
    </r>
  </si>
  <si>
    <r>
      <t>Q</t>
    </r>
    <r>
      <rPr>
        <b/>
        <sz val="8"/>
        <color indexed="8"/>
        <rFont val="Arial"/>
        <family val="2"/>
      </rPr>
      <t>f</t>
    </r>
    <r>
      <rPr>
        <b/>
        <sz val="10"/>
        <color indexed="8"/>
        <rFont val="Arial"/>
        <family val="2"/>
      </rPr>
      <t>=</t>
    </r>
  </si>
  <si>
    <r>
      <t>If there are any error messages below, the graphs and Q</t>
    </r>
    <r>
      <rPr>
        <sz val="8"/>
        <rFont val="Arial"/>
        <family val="2"/>
      </rPr>
      <t>f</t>
    </r>
    <r>
      <rPr>
        <sz val="10"/>
        <rFont val="Arial"/>
        <family val="2"/>
      </rPr>
      <t xml:space="preserve"> are not valid</t>
    </r>
  </si>
  <si>
    <r>
      <rPr>
        <b/>
        <sz val="10"/>
        <rFont val="Arial"/>
        <family val="2"/>
      </rPr>
      <t xml:space="preserve">               INSTRUCTIONS FOR THE OPTIONAL INSTALLED FLOW AND GAIN GRAPHS 
                                               AND FULLY OPEN FLOW CALCULATION                                                               
</t>
    </r>
    <r>
      <rPr>
        <sz val="10"/>
        <rFont val="Arial"/>
        <family val="2"/>
      </rPr>
      <t xml:space="preserve">The process pressure model is a curve fit based on the Flow, P1 and Delta P in Columns D and G on the Valve Sizing tab. The curve fit is based on the principle that piping pressure losses are approximately proportional to flow squared. The Temperature and Compressibility Factor used in the installed flow calculation are the values entered in Column G on the Valve Sizing tab. </t>
    </r>
    <r>
      <rPr>
        <b/>
        <sz val="10"/>
        <rFont val="Arial"/>
        <family val="2"/>
      </rPr>
      <t xml:space="preserve">
</t>
    </r>
    <r>
      <rPr>
        <sz val="10"/>
        <rFont val="Arial"/>
        <family val="2"/>
      </rPr>
      <t xml:space="preserve">
To calculate the fully open flow, Qf, the installed flow and the installed gain, on the </t>
    </r>
    <r>
      <rPr>
        <b/>
        <sz val="10"/>
        <rFont val="Arial"/>
        <family val="2"/>
      </rPr>
      <t>Valve Sizing</t>
    </r>
    <r>
      <rPr>
        <sz val="10"/>
        <rFont val="Arial"/>
        <family val="2"/>
      </rPr>
      <t xml:space="preserve"> tab, enter the minimum design flow along with its associated values of P1 and Delta P in Column D and the maximum design flow along with its associated values of P1 and Delta P in Column G. </t>
    </r>
    <r>
      <rPr>
        <sz val="10"/>
        <color rgb="FFFF0000"/>
        <rFont val="Arial"/>
        <family val="2"/>
      </rPr>
      <t>The accuracy of these calculations depends on the accuracy of the process data that is used</t>
    </r>
    <r>
      <rPr>
        <sz val="10"/>
        <rFont val="Arial"/>
        <family val="2"/>
      </rPr>
      <t xml:space="preserve">. Any process conditions entered in Columns E and F are not used in the calculation of the fully open flow, the installed flow and the installed gain.
</t>
    </r>
    <r>
      <rPr>
        <b/>
        <sz val="10"/>
        <rFont val="Arial"/>
        <family val="2"/>
      </rPr>
      <t xml:space="preserve">
T</t>
    </r>
    <r>
      <rPr>
        <sz val="10"/>
        <rFont val="Arial"/>
        <family val="2"/>
      </rPr>
      <t>he process model, Qf, and the graphs are only valid if:
1. The flow in G2 on the Valve Sizing tab is greater than the flow in D2
2. P1 is either constant or decreasing with increasing flow
3. P2 is either constant or increasing with increasing flow</t>
    </r>
    <r>
      <rPr>
        <b/>
        <sz val="10"/>
        <rFont val="Arial"/>
        <family val="2"/>
      </rPr>
      <t xml:space="preserve">
</t>
    </r>
    <r>
      <rPr>
        <sz val="10"/>
        <rFont val="Arial"/>
        <family val="2"/>
      </rPr>
      <t>NOTE: Extrapolating curve-fit data beyond the limits for which the curve fit was established can be uncertain. The farther beyond the limits, the greater is the potential for uncertainty. As such, the fully open flow, the Installed Flow and the Installed Gain should be treated as approximations.</t>
    </r>
  </si>
  <si>
    <t>Valve relative travel, h</t>
  </si>
  <si>
    <t>Relative flow Q/Qmax</t>
  </si>
  <si>
    <t>Unit selection:</t>
  </si>
  <si>
    <t>Standard cond. temp. reference:</t>
  </si>
  <si>
    <r>
      <t>Choked pressure drop ratio (x</t>
    </r>
    <r>
      <rPr>
        <vertAlign val="subscript"/>
        <sz val="10"/>
        <rFont val="Arial"/>
        <family val="2"/>
      </rPr>
      <t>choked</t>
    </r>
    <r>
      <rPr>
        <sz val="10"/>
        <rFont val="Arial"/>
        <family val="2"/>
      </rPr>
      <t>)</t>
    </r>
  </si>
  <si>
    <t>Intermediate calculations</t>
  </si>
  <si>
    <t>CALCULATED IN COLUMN "O"</t>
  </si>
  <si>
    <t>Cv_over_d_Sq</t>
  </si>
  <si>
    <t>Flow</t>
  </si>
  <si>
    <t>Globe, 4 port cage</t>
  </si>
  <si>
    <t>Globe, Parabolic plug</t>
  </si>
  <si>
    <r>
      <t>Choked press drop ratio factor, x</t>
    </r>
    <r>
      <rPr>
        <b/>
        <vertAlign val="subscript"/>
        <sz val="11"/>
        <rFont val="Arial"/>
        <family val="2"/>
      </rPr>
      <t>T</t>
    </r>
  </si>
  <si>
    <t xml:space="preserve">Minimum </t>
  </si>
  <si>
    <t>Maximum</t>
  </si>
  <si>
    <t xml:space="preserve">the Cv is known), consider using </t>
  </si>
  <si>
    <t xml:space="preserve">For initial  calculations (before </t>
  </si>
  <si>
    <r>
      <t>the x</t>
    </r>
    <r>
      <rPr>
        <vertAlign val="subscript"/>
        <sz val="10"/>
        <rFont val="Arial"/>
        <family val="2"/>
      </rPr>
      <t>T</t>
    </r>
    <r>
      <rPr>
        <sz val="10"/>
        <rFont val="Arial"/>
        <family val="2"/>
      </rPr>
      <t xml:space="preserve"> values listed below.</t>
    </r>
  </si>
  <si>
    <t>Molecular mass</t>
  </si>
  <si>
    <t>Inlet pressure converted to Pa (Pascal)</t>
  </si>
  <si>
    <t>Inlet temperature coverted to Kelvin</t>
  </si>
  <si>
    <t>Pa</t>
  </si>
  <si>
    <t>P_1..L</t>
  </si>
  <si>
    <t>K</t>
  </si>
  <si>
    <t>T_1..L</t>
  </si>
  <si>
    <t>Specific gravity</t>
  </si>
  <si>
    <t>G_</t>
  </si>
  <si>
    <t>Case 1</t>
  </si>
  <si>
    <t>Case 2</t>
  </si>
  <si>
    <t>Case 3</t>
  </si>
  <si>
    <t>Case 4</t>
  </si>
  <si>
    <t xml:space="preserve"> Molecular Mass</t>
  </si>
  <si>
    <t xml:space="preserve"> Molecular mass</t>
  </si>
  <si>
    <r>
      <t>1 = US;  2 = SI (C</t>
    </r>
    <r>
      <rPr>
        <vertAlign val="subscript"/>
        <sz val="10"/>
        <color rgb="FF0000CC"/>
        <rFont val="Arial"/>
        <family val="2"/>
      </rPr>
      <t>v</t>
    </r>
    <r>
      <rPr>
        <sz val="10"/>
        <color rgb="FF0000CC"/>
        <rFont val="Arial"/>
        <family val="2"/>
      </rPr>
      <t>, bar);  3 = SI (C</t>
    </r>
    <r>
      <rPr>
        <vertAlign val="subscript"/>
        <sz val="10"/>
        <color rgb="FF0000CC"/>
        <rFont val="Arial"/>
        <family val="2"/>
      </rPr>
      <t>v</t>
    </r>
    <r>
      <rPr>
        <sz val="10"/>
        <color rgb="FF0000CC"/>
        <rFont val="Arial"/>
        <family val="2"/>
      </rPr>
      <t>, kPa);  4 = SI (K</t>
    </r>
    <r>
      <rPr>
        <vertAlign val="subscript"/>
        <sz val="10"/>
        <color rgb="FF0000CC"/>
        <rFont val="Arial"/>
        <family val="2"/>
      </rPr>
      <t>v</t>
    </r>
    <r>
      <rPr>
        <sz val="10"/>
        <color rgb="FF0000CC"/>
        <rFont val="Arial"/>
        <family val="2"/>
      </rPr>
      <t>, bar);  5 = SI (K</t>
    </r>
    <r>
      <rPr>
        <vertAlign val="subscript"/>
        <sz val="10"/>
        <color rgb="FF0000CC"/>
        <rFont val="Arial"/>
        <family val="2"/>
      </rPr>
      <t>v</t>
    </r>
    <r>
      <rPr>
        <sz val="10"/>
        <color rgb="FF0000CC"/>
        <rFont val="Arial"/>
        <family val="2"/>
      </rPr>
      <t>, kPa)</t>
    </r>
  </si>
  <si>
    <t>1 = 15C / 60F;   2 = 0C / 32F</t>
  </si>
  <si>
    <t>J/kmol × K</t>
  </si>
  <si>
    <t>R_</t>
  </si>
  <si>
    <t>Universal gas constant</t>
  </si>
  <si>
    <t>N_16 (Only used with multistage valves)</t>
  </si>
  <si>
    <t>N_14</t>
  </si>
  <si>
    <r>
      <t xml:space="preserve">Numerical Constants </t>
    </r>
    <r>
      <rPr>
        <sz val="10"/>
        <rFont val="Arial"/>
        <family val="2"/>
      </rPr>
      <t>(Auto filled in based on Flag IEC_6)</t>
    </r>
  </si>
  <si>
    <t>1 = 15C (60F),  2 = 0C (32F)</t>
  </si>
  <si>
    <t>REF_T</t>
  </si>
  <si>
    <t>Ref temp for standard volumetric flow</t>
  </si>
  <si>
    <r>
      <t>1 = Cv</t>
    </r>
    <r>
      <rPr>
        <vertAlign val="superscript"/>
        <sz val="10"/>
        <color theme="1"/>
        <rFont val="Arial"/>
        <family val="2"/>
      </rPr>
      <t xml:space="preserve">, </t>
    </r>
    <r>
      <rPr>
        <sz val="10"/>
        <rFont val="Arial"/>
        <family val="2"/>
      </rPr>
      <t>2 = Kv</t>
    </r>
  </si>
  <si>
    <t>IEC_6</t>
  </si>
  <si>
    <t>Flow coefficient</t>
  </si>
  <si>
    <t>1 = m,  2 = mm,  3 = in</t>
  </si>
  <si>
    <t>IEC_5</t>
  </si>
  <si>
    <t>Length</t>
  </si>
  <si>
    <r>
      <t>1 = kg/m</t>
    </r>
    <r>
      <rPr>
        <vertAlign val="superscript"/>
        <sz val="10"/>
        <color theme="1"/>
        <rFont val="Arial"/>
        <family val="2"/>
      </rPr>
      <t xml:space="preserve">3, </t>
    </r>
    <r>
      <rPr>
        <sz val="10"/>
        <rFont val="Arial"/>
        <family val="2"/>
      </rPr>
      <t>2 = lbm/ft</t>
    </r>
    <r>
      <rPr>
        <vertAlign val="superscript"/>
        <sz val="10"/>
        <color theme="1"/>
        <rFont val="Arial"/>
        <family val="2"/>
      </rPr>
      <t>3</t>
    </r>
  </si>
  <si>
    <t>IEC_4</t>
  </si>
  <si>
    <t>Density</t>
  </si>
  <si>
    <t>1 = K,  2 = C,  3 = F</t>
  </si>
  <si>
    <t>IEC_3</t>
  </si>
  <si>
    <t>Temperature</t>
  </si>
  <si>
    <t>1 = Pa, 2 = kPa, 3 = bar,  4 = psiA</t>
  </si>
  <si>
    <t>IEC_2</t>
  </si>
  <si>
    <t>Pressure (absolute)</t>
  </si>
  <si>
    <t>RHO_air_lb_ft3_0</t>
  </si>
  <si>
    <r>
      <t xml:space="preserve">  lbm/ft</t>
    </r>
    <r>
      <rPr>
        <vertAlign val="superscript"/>
        <sz val="10"/>
        <color theme="1"/>
        <rFont val="Arial"/>
        <family val="2"/>
      </rPr>
      <t>3</t>
    </r>
    <r>
      <rPr>
        <sz val="10"/>
        <rFont val="Arial"/>
        <family val="2"/>
      </rPr>
      <t xml:space="preserve"> @ 0C, 1.01325 bar</t>
    </r>
  </si>
  <si>
    <r>
      <t>1 = m</t>
    </r>
    <r>
      <rPr>
        <vertAlign val="superscript"/>
        <sz val="10"/>
        <color rgb="FF000000"/>
        <rFont val="Arial"/>
        <family val="2"/>
      </rPr>
      <t>3</t>
    </r>
    <r>
      <rPr>
        <sz val="10"/>
        <color rgb="FF000000"/>
        <rFont val="Arial"/>
        <family val="2"/>
      </rPr>
      <t xml:space="preserve">/h,  2 = scfh  </t>
    </r>
  </si>
  <si>
    <t>IEC_1</t>
  </si>
  <si>
    <t>Volumetric flow</t>
  </si>
  <si>
    <t>RHO_air_lb_ft3_15</t>
  </si>
  <si>
    <r>
      <t xml:space="preserve">  lbm/ft</t>
    </r>
    <r>
      <rPr>
        <vertAlign val="superscript"/>
        <sz val="10"/>
        <color theme="1"/>
        <rFont val="Arial"/>
        <family val="2"/>
      </rPr>
      <t>3</t>
    </r>
    <r>
      <rPr>
        <sz val="10"/>
        <rFont val="Arial"/>
        <family val="2"/>
      </rPr>
      <t xml:space="preserve"> @ 15C, 1.01325 bar</t>
    </r>
  </si>
  <si>
    <t>RHO_air_kg_m3_0</t>
  </si>
  <si>
    <r>
      <t xml:space="preserve">  kg/m</t>
    </r>
    <r>
      <rPr>
        <vertAlign val="superscript"/>
        <sz val="10"/>
        <color theme="1"/>
        <rFont val="Arial"/>
        <family val="2"/>
      </rPr>
      <t>3</t>
    </r>
    <r>
      <rPr>
        <sz val="10"/>
        <rFont val="Arial"/>
        <family val="2"/>
      </rPr>
      <t xml:space="preserve"> @ 0C, 1.01325 bar</t>
    </r>
  </si>
  <si>
    <t>Options</t>
  </si>
  <si>
    <t>Flag Value</t>
  </si>
  <si>
    <t>Flag #</t>
  </si>
  <si>
    <t>Unit Selection for user interface</t>
  </si>
  <si>
    <t>RHO_air_kg_m3_15</t>
  </si>
  <si>
    <r>
      <t xml:space="preserve">  kg/m</t>
    </r>
    <r>
      <rPr>
        <vertAlign val="superscript"/>
        <sz val="10"/>
        <color theme="1"/>
        <rFont val="Arial"/>
        <family val="2"/>
      </rPr>
      <t>3</t>
    </r>
    <r>
      <rPr>
        <sz val="10"/>
        <rFont val="Arial"/>
        <family val="2"/>
      </rPr>
      <t xml:space="preserve"> @ 15C, 1.01325 bar</t>
    </r>
  </si>
  <si>
    <t>Density of air at standard temp. and press.</t>
  </si>
  <si>
    <r>
      <t xml:space="preserve">The conversion from standard volumetric flow to mass flow is based on Crane's </t>
    </r>
    <r>
      <rPr>
        <i/>
        <sz val="10"/>
        <color theme="1"/>
        <rFont val="Arial"/>
        <family val="2"/>
      </rPr>
      <t>Flow of Fluids</t>
    </r>
    <r>
      <rPr>
        <sz val="10"/>
        <rFont val="Arial"/>
        <family val="2"/>
      </rPr>
      <t xml:space="preserve"> book.
W = </t>
    </r>
    <r>
      <rPr>
        <sz val="12"/>
        <color theme="1"/>
        <rFont val="Symbol"/>
        <family val="1"/>
        <charset val="2"/>
      </rPr>
      <t>r</t>
    </r>
    <r>
      <rPr>
        <vertAlign val="subscript"/>
        <sz val="10"/>
        <color theme="1"/>
        <rFont val="Arial"/>
        <family val="2"/>
      </rPr>
      <t>a</t>
    </r>
    <r>
      <rPr>
        <sz val="10"/>
        <rFont val="Arial"/>
        <family val="2"/>
      </rPr>
      <t xml:space="preserve"> G Q    where W is the mass flow, </t>
    </r>
    <r>
      <rPr>
        <sz val="12"/>
        <color theme="1"/>
        <rFont val="Symbol"/>
        <family val="1"/>
        <charset val="2"/>
      </rPr>
      <t>r</t>
    </r>
    <r>
      <rPr>
        <vertAlign val="subscript"/>
        <sz val="10"/>
        <color theme="1"/>
        <rFont val="Arial"/>
        <family val="2"/>
      </rPr>
      <t>a</t>
    </r>
    <r>
      <rPr>
        <sz val="10"/>
        <rFont val="Arial"/>
        <family val="2"/>
      </rPr>
      <t xml:space="preserve"> is the density of air at standard temperature and pressure, G is the specific gravity of the flowing gas, and Q is the volumetric flow at standard conditions.
</t>
    </r>
  </si>
  <si>
    <t>Auto filled based on Flag #</t>
  </si>
  <si>
    <t>m_dot_scfh</t>
  </si>
  <si>
    <t>scfh to kg/s</t>
  </si>
  <si>
    <t>m_dot_m3h</t>
  </si>
  <si>
    <t>m^3/h to kg/s</t>
  </si>
  <si>
    <t xml:space="preserve">Convert volumetric flow to m dot in kg/s </t>
  </si>
  <si>
    <t>p_a</t>
  </si>
  <si>
    <t xml:space="preserve">  Actual atmospheric pressure outside pipe</t>
  </si>
  <si>
    <t>c_a</t>
  </si>
  <si>
    <t>m/s</t>
  </si>
  <si>
    <t xml:space="preserve">  External speed of sound (atmospheric)</t>
  </si>
  <si>
    <t>=========&gt;</t>
  </si>
  <si>
    <t>BETA</t>
  </si>
  <si>
    <r>
      <t xml:space="preserve">  Beta (β)</t>
    </r>
    <r>
      <rPr>
        <sz val="10"/>
        <color rgb="FFFF0000"/>
        <rFont val="Arial"/>
        <family val="2"/>
      </rPr>
      <t>*</t>
    </r>
  </si>
  <si>
    <r>
      <t xml:space="preserve">  Contraction coeff. for valve outlet or expander inlet</t>
    </r>
    <r>
      <rPr>
        <sz val="12"/>
        <color rgb="FFFF0000"/>
        <rFont val="Arial"/>
        <family val="2"/>
      </rPr>
      <t>***</t>
    </r>
  </si>
  <si>
    <t>RHO_S</t>
  </si>
  <si>
    <t>kg/m3</t>
  </si>
  <si>
    <t xml:space="preserve">  Density of pipe material</t>
  </si>
  <si>
    <t>C_S</t>
  </si>
  <si>
    <t xml:space="preserve">  Speed of sound in pipe</t>
  </si>
  <si>
    <t>T_S</t>
  </si>
  <si>
    <t>m</t>
  </si>
  <si>
    <t xml:space="preserve">  Outlet pipe wall thickness</t>
  </si>
  <si>
    <t xml:space="preserve">  Outlet pipe internal diameter</t>
  </si>
  <si>
    <t xml:space="preserve">  Inlet pipe internal diameter</t>
  </si>
  <si>
    <t>D_Vo</t>
  </si>
  <si>
    <t xml:space="preserve">  Valve outlet internatl diameter</t>
  </si>
  <si>
    <t xml:space="preserve">  Valve outlet internal diameter</t>
  </si>
  <si>
    <t>D_Vi</t>
  </si>
  <si>
    <t xml:space="preserve">  Valve inlet internatl diameter</t>
  </si>
  <si>
    <t xml:space="preserve">  Valve inlet  internal diameter</t>
  </si>
  <si>
    <t>St_P</t>
  </si>
  <si>
    <t xml:space="preserve">  Strouhal number (peak)</t>
  </si>
  <si>
    <t>F_LP</t>
  </si>
  <si>
    <t>S7501 21</t>
  </si>
  <si>
    <t>factor and piping geometry factor</t>
  </si>
  <si>
    <t>A_ETA</t>
  </si>
  <si>
    <r>
      <t xml:space="preserve">  Valve correction - accoustic efficiency, A</t>
    </r>
    <r>
      <rPr>
        <sz val="10"/>
        <color theme="1"/>
        <rFont val="Symbol"/>
        <family val="1"/>
        <charset val="2"/>
      </rPr>
      <t>h</t>
    </r>
  </si>
  <si>
    <t>Combined liquid pressure recovery</t>
  </si>
  <si>
    <t>F_D</t>
  </si>
  <si>
    <t xml:space="preserve">  Valve style modifier</t>
  </si>
  <si>
    <t>S7501 15</t>
  </si>
  <si>
    <t>F_L</t>
  </si>
  <si>
    <t xml:space="preserve">  Liquid pressure recovery factor</t>
  </si>
  <si>
    <t xml:space="preserve">S7501 </t>
  </si>
  <si>
    <t xml:space="preserve">  Flow coefficient (Kv or Cv)</t>
  </si>
  <si>
    <t>S7501 16</t>
  </si>
  <si>
    <t>Pipe/Valve Parameters</t>
  </si>
  <si>
    <t>S7501 17</t>
  </si>
  <si>
    <r>
      <t xml:space="preserve">  Specific heat ratio (</t>
    </r>
    <r>
      <rPr>
        <sz val="10"/>
        <color theme="1"/>
        <rFont val="Symbol"/>
        <family val="1"/>
        <charset val="2"/>
      </rPr>
      <t>g</t>
    </r>
    <r>
      <rPr>
        <sz val="10"/>
        <rFont val="Arial"/>
        <family val="2"/>
      </rPr>
      <t>)</t>
    </r>
  </si>
  <si>
    <t>S7501 19</t>
  </si>
  <si>
    <t>M_</t>
  </si>
  <si>
    <t xml:space="preserve">  Molecular mass</t>
  </si>
  <si>
    <t>RHO_1</t>
  </si>
  <si>
    <r>
      <t>kg/m</t>
    </r>
    <r>
      <rPr>
        <vertAlign val="superscript"/>
        <sz val="10"/>
        <color theme="1"/>
        <rFont val="Arial"/>
        <family val="2"/>
      </rPr>
      <t>3</t>
    </r>
  </si>
  <si>
    <t xml:space="preserve"> Inlet density</t>
  </si>
  <si>
    <t>S7501 18</t>
  </si>
  <si>
    <t xml:space="preserve">  Pressure drop</t>
  </si>
  <si>
    <r>
      <t>Calculation of F</t>
    </r>
    <r>
      <rPr>
        <b/>
        <vertAlign val="subscript"/>
        <sz val="10"/>
        <color theme="1"/>
        <rFont val="Arial"/>
        <family val="2"/>
      </rPr>
      <t>P</t>
    </r>
    <r>
      <rPr>
        <b/>
        <sz val="10"/>
        <color theme="1"/>
        <rFont val="Arial"/>
        <family val="2"/>
      </rPr>
      <t xml:space="preserve"> and F</t>
    </r>
    <r>
      <rPr>
        <b/>
        <vertAlign val="subscript"/>
        <sz val="10"/>
        <color theme="1"/>
        <rFont val="Arial"/>
        <family val="2"/>
      </rPr>
      <t>LP</t>
    </r>
  </si>
  <si>
    <t xml:space="preserve">  Inlet temperature</t>
  </si>
  <si>
    <t xml:space="preserve">  Inlet pressure</t>
  </si>
  <si>
    <t>m_dot</t>
  </si>
  <si>
    <t>kg/s</t>
  </si>
  <si>
    <t xml:space="preserve">  Flow</t>
  </si>
  <si>
    <t>Q_S</t>
  </si>
  <si>
    <r>
      <t xml:space="preserve">  Volumetric Flow </t>
    </r>
    <r>
      <rPr>
        <sz val="8"/>
        <color theme="1"/>
        <rFont val="Arial"/>
        <family val="2"/>
      </rPr>
      <t>(At standard pressure and temperature)</t>
    </r>
  </si>
  <si>
    <t>CALCULATED IN COLUMN "AA"</t>
  </si>
  <si>
    <t>Units</t>
  </si>
  <si>
    <r>
      <t>(kg/s, Pa, K, kg/m</t>
    </r>
    <r>
      <rPr>
        <vertAlign val="superscript"/>
        <sz val="10"/>
        <color theme="1"/>
        <rFont val="Arial"/>
        <family val="2"/>
      </rPr>
      <t>3</t>
    </r>
    <r>
      <rPr>
        <sz val="10"/>
        <rFont val="Arial"/>
        <family val="2"/>
      </rPr>
      <t>, m/s, m)</t>
    </r>
  </si>
  <si>
    <t>Process Parameters</t>
  </si>
  <si>
    <t>Eq</t>
  </si>
  <si>
    <t>Units required by the IEC Standard.</t>
  </si>
  <si>
    <t>Scroll to the right to view the conversion from user interface units to units required by the IEC Standard and to see the pipe reducer calculations.</t>
  </si>
  <si>
    <t>Aerodynamic Noise - IEC 60534-8-3 Ed: 3.0</t>
  </si>
  <si>
    <t>L_pAe_1m..K</t>
  </si>
  <si>
    <t>A-weighted overall SPL 1 m from pipe wall</t>
  </si>
  <si>
    <t>logarithmically and converted to dB(A)</t>
  </si>
  <si>
    <t>In the section below the quantities in this section are added</t>
  </si>
  <si>
    <t>This section calculates the portion shown in the red box below.</t>
  </si>
  <si>
    <t>Equation (25) has been divided into two parts.</t>
  </si>
  <si>
    <t xml:space="preserve"> L_pe_fi_plus_delta_LA_fi</t>
  </si>
  <si>
    <r>
      <t xml:space="preserve">Summation of L_pe,1m(f_i) and DLA(fi),1m(f_i) and </t>
    </r>
    <r>
      <rPr>
        <sz val="10"/>
        <color theme="1"/>
        <rFont val="Symbol"/>
        <family val="1"/>
        <charset val="2"/>
      </rPr>
      <t>D</t>
    </r>
    <r>
      <rPr>
        <sz val="10"/>
        <rFont val="Arial"/>
        <family val="2"/>
      </rPr>
      <t>LA(fi)</t>
    </r>
  </si>
  <si>
    <t xml:space="preserve"> (third octave bands: 12.5 Hz - 20,000 Hz)</t>
  </si>
  <si>
    <t>L_pe_1m_f_i</t>
  </si>
  <si>
    <t>Frequency dependent external sound-pressure level</t>
  </si>
  <si>
    <t>12.5 Hz - 20,000 Hz)</t>
  </si>
  <si>
    <t>TL_f_i</t>
  </si>
  <si>
    <t>20a</t>
  </si>
  <si>
    <t xml:space="preserve">Frequency dependent transmission loss 3rd octave bands: </t>
  </si>
  <si>
    <t>DeltaTL..K</t>
  </si>
  <si>
    <t>20b</t>
  </si>
  <si>
    <t>Damping factor for transmission loss, ΔTL</t>
  </si>
  <si>
    <t>octave bands: 12.5 Hz - 20,000 Hz)</t>
  </si>
  <si>
    <t>η_s_f_i</t>
  </si>
  <si>
    <t>20c</t>
  </si>
  <si>
    <t>Frequency-dependent structural loss factor third</t>
  </si>
  <si>
    <t>G_y_f_i</t>
  </si>
  <si>
    <t>Table 6</t>
  </si>
  <si>
    <t>Frequency factor (3rd octave bands: 12.5 Hz - 20,000 Hz)</t>
  </si>
  <si>
    <t>G_x_f_i</t>
  </si>
  <si>
    <t>f_g..K</t>
  </si>
  <si>
    <t>External coincidence frequency</t>
  </si>
  <si>
    <t>f_o..K</t>
  </si>
  <si>
    <t>Internal coincidence pipe frequency</t>
  </si>
  <si>
    <t>f_r..K</t>
  </si>
  <si>
    <t>Ring frequency</t>
  </si>
  <si>
    <t>trim and expander (third octave bands: 12.5 Hz - 20,000 Hz)</t>
  </si>
  <si>
    <t>L_piS_f_i</t>
  </si>
  <si>
    <t xml:space="preserve">Combined internal sound-pressure level at pipe wall, caused by valve </t>
  </si>
  <si>
    <t>subsequent calculations are incorrect.</t>
  </si>
  <si>
    <t>and thus the values in the annex for Equation 38 and many</t>
  </si>
  <si>
    <t>(even thogh they show the correct equation in Annex A)</t>
  </si>
  <si>
    <t>on an old equation from the 2nd edition of the standard</t>
  </si>
  <si>
    <t>L_piR_f_i</t>
  </si>
  <si>
    <t xml:space="preserve">Frequency dependent internal SPL at pipe wall flow in expander </t>
  </si>
  <si>
    <t>value shown in Annex A for Equation 38 was based</t>
  </si>
  <si>
    <t>L_piR..K</t>
  </si>
  <si>
    <t>Overall internal SPL at pipe wall for noise created by outlet flow in expander</t>
  </si>
  <si>
    <t>calculations with this worksheet be aware that the</t>
  </si>
  <si>
    <t>W_Ar..K</t>
  </si>
  <si>
    <t>Sound power for noise generated by the outlet flow and propagating downstream</t>
  </si>
  <si>
    <t>If you are trying to compare the Annex A Example 6</t>
  </si>
  <si>
    <t>etta_r..K</t>
  </si>
  <si>
    <t>Acoustical eff. factor for noise created by outlet flow in expander</t>
  </si>
  <si>
    <t>M_R..K</t>
  </si>
  <si>
    <t>Mach number in the entrance to expander</t>
  </si>
  <si>
    <t>f_pR..K</t>
  </si>
  <si>
    <t>Peak frequency in valve outlet or reduced diameter of expander</t>
  </si>
  <si>
    <t>W_mR..K</t>
  </si>
  <si>
    <t>Converted stream power in the expander</t>
  </si>
  <si>
    <t>U_R</t>
  </si>
  <si>
    <t>Gas velocity in the inlet diameter of expander</t>
  </si>
  <si>
    <t>U_p..K</t>
  </si>
  <si>
    <t>Gas velocity in downstream pipe</t>
  </si>
  <si>
    <r>
      <rPr>
        <b/>
        <sz val="10"/>
        <color theme="1"/>
        <rFont val="Arial"/>
        <family val="2"/>
      </rPr>
      <t>Eqns. 34 through 43 apply only when M</t>
    </r>
    <r>
      <rPr>
        <b/>
        <vertAlign val="subscript"/>
        <sz val="10"/>
        <color theme="1"/>
        <rFont val="Arial"/>
        <family val="2"/>
      </rPr>
      <t>O</t>
    </r>
    <r>
      <rPr>
        <b/>
        <sz val="10"/>
        <color theme="1"/>
        <rFont val="Arial"/>
        <family val="2"/>
      </rPr>
      <t xml:space="preserve"> &gt; 0.3</t>
    </r>
  </si>
  <si>
    <t>Auto filled based on Flag IEC_6</t>
  </si>
  <si>
    <r>
      <t>ΔL</t>
    </r>
    <r>
      <rPr>
        <vertAlign val="subscript"/>
        <sz val="12"/>
        <color rgb="FF000000"/>
        <rFont val="Calibri"/>
        <family val="2"/>
      </rPr>
      <t>A</t>
    </r>
    <r>
      <rPr>
        <sz val="12"/>
        <color rgb="FF000000"/>
        <rFont val="Calibri"/>
        <family val="2"/>
      </rPr>
      <t>(f</t>
    </r>
    <r>
      <rPr>
        <vertAlign val="subscript"/>
        <sz val="12"/>
        <color rgb="FF000000"/>
        <rFont val="Calibri"/>
        <family val="2"/>
      </rPr>
      <t>i</t>
    </r>
    <r>
      <rPr>
        <sz val="12"/>
        <color rgb="FF000000"/>
        <rFont val="Calibri"/>
        <family val="2"/>
      </rPr>
      <t>)</t>
    </r>
  </si>
  <si>
    <t>(Hz)</t>
  </si>
  <si>
    <r>
      <t>f</t>
    </r>
    <r>
      <rPr>
        <b/>
        <vertAlign val="subscript"/>
        <sz val="11"/>
        <color rgb="FF000000"/>
        <rFont val="Calibri"/>
        <family val="2"/>
      </rPr>
      <t>i</t>
    </r>
  </si>
  <si>
    <t>number</t>
  </si>
  <si>
    <t>p_s..D</t>
  </si>
  <si>
    <t>Ps</t>
  </si>
  <si>
    <t>Standard atmoshperic pressure</t>
  </si>
  <si>
    <t>Frequency</t>
  </si>
  <si>
    <t>Index</t>
  </si>
  <si>
    <t>f_s..D</t>
  </si>
  <si>
    <t>Hz</t>
  </si>
  <si>
    <t>Structural loss factor reference frequency</t>
  </si>
  <si>
    <r>
      <t>factor at frequency f</t>
    </r>
    <r>
      <rPr>
        <b/>
        <vertAlign val="subscript"/>
        <sz val="10"/>
        <color theme="1"/>
        <rFont val="Arial"/>
        <family val="2"/>
      </rPr>
      <t>i</t>
    </r>
  </si>
  <si>
    <t>Frequency bands</t>
  </si>
  <si>
    <t xml:space="preserve">  (third octave bands)</t>
  </si>
  <si>
    <t xml:space="preserve">Table_7 - "A" weighting </t>
  </si>
  <si>
    <t>Table_5 Indexed</t>
  </si>
  <si>
    <t>L_pi_f_i</t>
  </si>
  <si>
    <t xml:space="preserve">Frequency dependent internal sound pressure level </t>
  </si>
  <si>
    <t>N16 (Only used with multistage valves)</t>
  </si>
  <si>
    <t>L_pi..K</t>
  </si>
  <si>
    <t>Overall internal sound-pressure level</t>
  </si>
  <si>
    <t>N14..D</t>
  </si>
  <si>
    <t>N14</t>
  </si>
  <si>
    <t>L_g..K</t>
  </si>
  <si>
    <t>Correction for Mach number</t>
  </si>
  <si>
    <t>R_..D</t>
  </si>
  <si>
    <t>M_2..K</t>
  </si>
  <si>
    <t>Mach number in downstream pipe ( limited to 0.3 for calculating L_g)</t>
  </si>
  <si>
    <t>F_P..D</t>
  </si>
  <si>
    <t>Piping geometry factor, F_P</t>
  </si>
  <si>
    <t>M_o..K</t>
  </si>
  <si>
    <t>Mach number at valve outlet</t>
  </si>
  <si>
    <t>F_LP..D</t>
  </si>
  <si>
    <t>Reducer corrected Recovery factor. F_LP</t>
  </si>
  <si>
    <t>c_2..K</t>
  </si>
  <si>
    <t>Speed of sound at downstream conditions</t>
  </si>
  <si>
    <t>p_a..D</t>
  </si>
  <si>
    <t>Actual atmospheric pressure outside pipe</t>
  </si>
  <si>
    <t>RHO_2..K</t>
  </si>
  <si>
    <t>Outlet density</t>
  </si>
  <si>
    <t>c_a..D</t>
  </si>
  <si>
    <t>External speed of sound (atmospheric)</t>
  </si>
  <si>
    <t>W_a..K</t>
  </si>
  <si>
    <t>Sound Power for noise propagating downstream</t>
  </si>
  <si>
    <t>D_ViS..D</t>
  </si>
  <si>
    <t>Smaller of valve outlet or expander inlet IDs</t>
  </si>
  <si>
    <t>W_m..K</t>
  </si>
  <si>
    <t>Table 3</t>
  </si>
  <si>
    <t>Stream power of mass flow</t>
  </si>
  <si>
    <t>T_2..D</t>
  </si>
  <si>
    <r>
      <t xml:space="preserve">Valve outlet temperature </t>
    </r>
    <r>
      <rPr>
        <sz val="8"/>
        <color rgb="FF000000"/>
        <rFont val="Arial"/>
        <family val="2"/>
      </rPr>
      <t>(assumed = Inlet temp)</t>
    </r>
  </si>
  <si>
    <t>f_p..K</t>
  </si>
  <si>
    <t>Generated peak frequency</t>
  </si>
  <si>
    <t>BETA..D</t>
  </si>
  <si>
    <t>Beta (β)</t>
  </si>
  <si>
    <t>K24</t>
  </si>
  <si>
    <t>Acoustical eff. factor for noise created by valve flow, η</t>
  </si>
  <si>
    <t>RHO_S..D</t>
  </si>
  <si>
    <t>Density of pipe material</t>
  </si>
  <si>
    <t>c_vcc</t>
  </si>
  <si>
    <t>Speed of sound at VC at critical flow conditions</t>
  </si>
  <si>
    <t>C_S..D</t>
  </si>
  <si>
    <t>Speed of sound in pipe</t>
  </si>
  <si>
    <t>c_vc..K</t>
  </si>
  <si>
    <t>Speed of sound at VC at subsonic flow conditions</t>
  </si>
  <si>
    <t>T_S..D</t>
  </si>
  <si>
    <t>Outlet pipe wall thickness</t>
  </si>
  <si>
    <t>does not have any dependents</t>
  </si>
  <si>
    <t>T_vcc..K</t>
  </si>
  <si>
    <t>Absolute Temperature at VC at critical flow cond.</t>
  </si>
  <si>
    <t>T_vc..K</t>
  </si>
  <si>
    <t>Absolute Temp at VC at subsonic flow conditions</t>
  </si>
  <si>
    <t>M_j5..K</t>
  </si>
  <si>
    <t>Freely expanded jet Mach number in regime V</t>
  </si>
  <si>
    <t>D_2..D</t>
  </si>
  <si>
    <t>Outlet pipe internal diameter</t>
  </si>
  <si>
    <t>M_j..K</t>
  </si>
  <si>
    <t>Freely expanded jet Mach # in regimes II, III, IV</t>
  </si>
  <si>
    <t>D_Vo..D</t>
  </si>
  <si>
    <t>Valve outlet internatl diameter</t>
  </si>
  <si>
    <t>M_vc..K</t>
  </si>
  <si>
    <t>Mach Number at  - Regime I Only</t>
  </si>
  <si>
    <t>St_P..D</t>
  </si>
  <si>
    <t>Strouhal number (peak)</t>
  </si>
  <si>
    <t>D_ j..K</t>
  </si>
  <si>
    <t>Jet Diameter</t>
  </si>
  <si>
    <t>A_ETA..D</t>
  </si>
  <si>
    <r>
      <t>Valve correction - accoustic efficiency, A</t>
    </r>
    <r>
      <rPr>
        <sz val="10"/>
        <color theme="1"/>
        <rFont val="Symbol"/>
        <family val="1"/>
        <charset val="2"/>
      </rPr>
      <t>h</t>
    </r>
  </si>
  <si>
    <t>F_d..K</t>
  </si>
  <si>
    <t>8a</t>
  </si>
  <si>
    <t>Valve style modifier</t>
  </si>
  <si>
    <t>F_D..D</t>
  </si>
  <si>
    <t>Regime..K</t>
  </si>
  <si>
    <t xml:space="preserve"> egime definition</t>
  </si>
  <si>
    <t>C_..D</t>
  </si>
  <si>
    <t>Flow coefficient (Kv or Cv)</t>
  </si>
  <si>
    <t>x_CE..K</t>
  </si>
  <si>
    <t>DP ratio where const acoustical efficiency begins</t>
  </si>
  <si>
    <t xml:space="preserve">Pipe/Valve Parameters </t>
  </si>
  <si>
    <t>x_B..K</t>
  </si>
  <si>
    <t>Differential pressure ratio at break point</t>
  </si>
  <si>
    <t>GAMMA..D</t>
  </si>
  <si>
    <r>
      <t>Specific heat ratio (</t>
    </r>
    <r>
      <rPr>
        <sz val="10"/>
        <color theme="1"/>
        <rFont val="Symbol"/>
        <family val="1"/>
        <charset val="2"/>
      </rPr>
      <t>g</t>
    </r>
    <r>
      <rPr>
        <sz val="10"/>
        <rFont val="Arial"/>
        <family val="2"/>
      </rPr>
      <t>)</t>
    </r>
  </si>
  <si>
    <t>ALPHA..K</t>
  </si>
  <si>
    <t>Recovery correction factor α</t>
  </si>
  <si>
    <t>M_..D</t>
  </si>
  <si>
    <t>x_c..K</t>
  </si>
  <si>
    <t>Diff press. ratio at critical flow conditions</t>
  </si>
  <si>
    <t>RHO_1..D</t>
  </si>
  <si>
    <t>x_vcc..K</t>
  </si>
  <si>
    <t>VC diff.  pressure ratio @ critical flow cond.</t>
  </si>
  <si>
    <t>P_2..D</t>
  </si>
  <si>
    <t>Outlet pressure</t>
  </si>
  <si>
    <t>p_vc..K</t>
  </si>
  <si>
    <t xml:space="preserve">Absolute VC  pressure at subsonic conditions </t>
  </si>
  <si>
    <t>T_1..D</t>
  </si>
  <si>
    <t>Differential Pressure ratio</t>
  </si>
  <si>
    <t>P_1..D</t>
  </si>
  <si>
    <t>m_dot..D</t>
  </si>
  <si>
    <t>CALCULATED IN COLUMN "K"</t>
  </si>
  <si>
    <t>Eqn. #</t>
  </si>
  <si>
    <t>Name</t>
  </si>
  <si>
    <t>Calculations based on IEC 60534-8-3 Edition 3.0</t>
  </si>
  <si>
    <t xml:space="preserve">1 = inch &amp; Cv  2 = mm &amp; Cv  3 = mm &amp; Kv </t>
  </si>
  <si>
    <t>ZETA_1_REN</t>
  </si>
  <si>
    <t>ZETA_B1_REN</t>
  </si>
  <si>
    <t>ZETA_2_REN</t>
  </si>
  <si>
    <t>ZETA_B2_REN</t>
  </si>
  <si>
    <t>SIGMA_ZETA_REN</t>
  </si>
  <si>
    <t>SIGMA_ZETA_1_REN</t>
  </si>
  <si>
    <t>Lines 6 through 34, Columns D through G are automatically flled trom the SPL Conv tab</t>
  </si>
  <si>
    <t>Capacity in units of Cv</t>
  </si>
  <si>
    <t>Valve size in units of inch</t>
  </si>
  <si>
    <r>
      <t>Liquid pressure recovery factor. F</t>
    </r>
    <r>
      <rPr>
        <vertAlign val="subscript"/>
        <sz val="10"/>
        <rFont val="Arial"/>
        <family val="2"/>
      </rPr>
      <t>L</t>
    </r>
  </si>
  <si>
    <t>Valve &amp; pipe dia., wall thickness:</t>
  </si>
  <si>
    <r>
      <t xml:space="preserve"> Inlet density </t>
    </r>
    <r>
      <rPr>
        <vertAlign val="superscript"/>
        <sz val="11"/>
        <color rgb="FFFF0000"/>
        <rFont val="Arial"/>
        <family val="2"/>
      </rPr>
      <t>1</t>
    </r>
  </si>
  <si>
    <r>
      <t xml:space="preserve"> </t>
    </r>
    <r>
      <rPr>
        <vertAlign val="superscript"/>
        <sz val="11"/>
        <color rgb="FFFF0000"/>
        <rFont val="Arial"/>
        <family val="2"/>
      </rPr>
      <t xml:space="preserve">1 </t>
    </r>
    <r>
      <rPr>
        <sz val="11"/>
        <color rgb="FFFF0000"/>
        <rFont val="Arial"/>
        <family val="2"/>
      </rPr>
      <t xml:space="preserve"> Inlet density is calculated from P_1, M, T_1 and Z</t>
    </r>
  </si>
  <si>
    <r>
      <t xml:space="preserve">Typical values of Valve correction factor for acoustic efficiency, </t>
    </r>
    <r>
      <rPr>
        <i/>
        <sz val="12"/>
        <rFont val="Arial"/>
        <family val="2"/>
      </rPr>
      <t>A</t>
    </r>
    <r>
      <rPr>
        <vertAlign val="subscript"/>
        <sz val="12"/>
        <rFont val="Arial"/>
        <family val="2"/>
      </rPr>
      <t>η</t>
    </r>
  </si>
  <si>
    <r>
      <t>A</t>
    </r>
    <r>
      <rPr>
        <b/>
        <vertAlign val="subscript"/>
        <sz val="14"/>
        <rFont val="Arial"/>
        <family val="2"/>
      </rPr>
      <t>η</t>
    </r>
  </si>
  <si>
    <t xml:space="preserve">        and Strouhal number for peak frequency calculation, Stp</t>
  </si>
  <si>
    <t>Globe parabolic Plug</t>
  </si>
  <si>
    <t>Stp</t>
  </si>
  <si>
    <t>Globe Cage</t>
  </si>
  <si>
    <t>Eccendtric rotary plug</t>
  </si>
  <si>
    <t>Ball, Segment ball</t>
  </si>
  <si>
    <t>Data imported from Valve Sizing tab</t>
  </si>
  <si>
    <t>Tabs_RorK</t>
  </si>
  <si>
    <t>R or K</t>
  </si>
  <si>
    <t>DENS</t>
  </si>
  <si>
    <t>kg/m^3</t>
  </si>
  <si>
    <t>Denisty converted to kg/m^3</t>
  </si>
  <si>
    <r>
      <t xml:space="preserve">Conversion from Inlet Density, Pressure andTemperature </t>
    </r>
    <r>
      <rPr>
        <b/>
        <sz val="10"/>
        <color theme="1"/>
        <rFont val="Arial"/>
        <family val="2"/>
      </rPr>
      <t xml:space="preserve"> to</t>
    </r>
    <r>
      <rPr>
        <b/>
        <i/>
        <sz val="12"/>
        <color theme="1"/>
        <rFont val="Arial"/>
        <family val="2"/>
      </rPr>
      <t xml:space="preserve"> Molecular Mass</t>
    </r>
  </si>
  <si>
    <r>
      <t xml:space="preserve">Conversion from specific gravity to </t>
    </r>
    <r>
      <rPr>
        <b/>
        <sz val="12"/>
        <color theme="1"/>
        <rFont val="Arial"/>
        <family val="2"/>
      </rPr>
      <t>Molecular Mass:</t>
    </r>
  </si>
  <si>
    <t>Engineering units shown here are those selected in B27 of the Valve Sizing tab.</t>
  </si>
  <si>
    <t>Input_Test</t>
  </si>
  <si>
    <t>Finall results fields remain blank until required data has been entered.</t>
  </si>
  <si>
    <t>These Numerical constants are set by the units choises set by the user below the user interface</t>
  </si>
  <si>
    <t>For sizing calculations</t>
  </si>
  <si>
    <t>For noise calculations</t>
  </si>
  <si>
    <t>N_DAT1</t>
  </si>
  <si>
    <t>N_DAT2</t>
  </si>
  <si>
    <t>N_DAT3</t>
  </si>
  <si>
    <t>N_DAT4</t>
  </si>
  <si>
    <t>The cells below (Rows 44 &amp; 46) detrmine if any input data is missing.</t>
  </si>
  <si>
    <t>This tab calculates MOLECULAR MASS for use on the Valve Sizing tab when Specific Gravity is know but not  Molecular mass or when valve inlet Density, Pressure and Tempeerature are known, but not Molecular Mass.</t>
  </si>
  <si>
    <t>Conversion from Valve Sizing tab units to</t>
  </si>
  <si>
    <t>Sizing Gas 3.5</t>
  </si>
  <si>
    <t>Noise 1a</t>
  </si>
  <si>
    <t>Travel %</t>
  </si>
  <si>
    <t>Vlv Trav @ Cv</t>
  </si>
  <si>
    <t>Cv @ travel %</t>
  </si>
  <si>
    <t>Calc Cv</t>
  </si>
  <si>
    <t>Travel % @ Cv</t>
  </si>
  <si>
    <t>Calculated Cv</t>
  </si>
  <si>
    <t>Valve size (inch)</t>
  </si>
  <si>
    <t>VALVE TRAVEL AT GIVEN Cv</t>
  </si>
  <si>
    <t xml:space="preserve">  Travel</t>
  </si>
  <si>
    <t>%</t>
  </si>
  <si>
    <r>
      <t xml:space="preserve"> on the Valve Sizing tab.  F</t>
    </r>
    <r>
      <rPr>
        <vertAlign val="subscript"/>
        <sz val="10"/>
        <rFont val="Arial"/>
        <family val="2"/>
      </rPr>
      <t>L</t>
    </r>
    <r>
      <rPr>
        <sz val="10"/>
        <rFont val="Arial"/>
        <family val="2"/>
      </rPr>
      <t xml:space="preserve"> is only used in the IEC noise calculation.</t>
    </r>
  </si>
  <si>
    <t>NO USER INPUT IS REQUIRED FOR THIS TAB.</t>
  </si>
  <si>
    <t xml:space="preserve"> TheTravel % @ Cv is calculated from the final Cv values on the </t>
  </si>
  <si>
    <t>1, 2</t>
  </si>
  <si>
    <t>Scroll down for instructions</t>
  </si>
  <si>
    <t>Valve Sizing tab then copied to Line 24 of the Valve Sizing tab.</t>
  </si>
  <si>
    <t>NO USER INPUT IS REQUIRED FOR THIS TAB</t>
  </si>
  <si>
    <t>you are sizing.</t>
  </si>
  <si>
    <t>2. Press Ctrl + C</t>
  </si>
  <si>
    <t>3. Go to the Valve Sizing tab</t>
  </si>
  <si>
    <t xml:space="preserve">4. Right Click on D9. </t>
  </si>
  <si>
    <t>5. From "Paste Options" Select "Values"</t>
  </si>
  <si>
    <t>You may need to repeat Steps 1 through 5 one or two more times until</t>
  </si>
  <si>
    <r>
      <t>Perform initial valve sizing useing the suggested x</t>
    </r>
    <r>
      <rPr>
        <vertAlign val="subscript"/>
        <sz val="10"/>
        <rFont val="Arial"/>
        <family val="2"/>
      </rPr>
      <t>T</t>
    </r>
    <r>
      <rPr>
        <sz val="10"/>
        <rFont val="Arial"/>
        <family val="2"/>
      </rPr>
      <t xml:space="preserve"> values in Columns H &amp; I.</t>
    </r>
  </si>
  <si>
    <r>
      <t>Fine tune x</t>
    </r>
    <r>
      <rPr>
        <vertAlign val="subscript"/>
        <sz val="10"/>
        <rFont val="Arial"/>
        <family val="2"/>
      </rPr>
      <t>T</t>
    </r>
    <r>
      <rPr>
        <sz val="10"/>
        <rFont val="Arial"/>
        <family val="2"/>
      </rPr>
      <t xml:space="preserve"> values on Valve sizing tab as follows:</t>
    </r>
  </si>
  <si>
    <r>
      <t>1. Copy x</t>
    </r>
    <r>
      <rPr>
        <vertAlign val="subscript"/>
        <sz val="10"/>
        <rFont val="Arial"/>
        <family val="2"/>
      </rPr>
      <t>T</t>
    </r>
    <r>
      <rPr>
        <sz val="10"/>
        <rFont val="Arial"/>
        <family val="2"/>
      </rPr>
      <t xml:space="preserve"> values: Highlight all 4 columns in the row for the valve type</t>
    </r>
  </si>
  <si>
    <r>
      <t>the x</t>
    </r>
    <r>
      <rPr>
        <vertAlign val="subscript"/>
        <sz val="10"/>
        <rFont val="Arial"/>
        <family val="2"/>
      </rPr>
      <t>T</t>
    </r>
    <r>
      <rPr>
        <sz val="10"/>
        <rFont val="Arial"/>
        <family val="2"/>
      </rPr>
      <t xml:space="preserve"> values on this tab agree closely with what are on the Valve Sizing tab.</t>
    </r>
  </si>
  <si>
    <t>Valve cap. In Cv</t>
  </si>
  <si>
    <t>Valve size in Inch</t>
  </si>
  <si>
    <t>===&gt;</t>
  </si>
  <si>
    <t>Travel, %</t>
  </si>
  <si>
    <t>Cv</t>
  </si>
  <si>
    <t>BALL_FP</t>
  </si>
  <si>
    <t xml:space="preserve">FULL PORT BALL VALVES </t>
  </si>
  <si>
    <t>VS_IN</t>
  </si>
  <si>
    <t>VCAP_CV</t>
  </si>
  <si>
    <t>Size, Inch</t>
  </si>
  <si>
    <t>Valve Travel, %</t>
  </si>
  <si>
    <t>TABLE NAME:</t>
  </si>
  <si>
    <t xml:space="preserve">REDUCED PORT BALL VALVES </t>
  </si>
  <si>
    <t>BALL_RP</t>
  </si>
  <si>
    <t>Cv table in use</t>
  </si>
  <si>
    <t>VALVE Cv TABLES</t>
  </si>
  <si>
    <t>Full Port Ball Valve</t>
  </si>
  <si>
    <t>Reduced Port Ball Valve</t>
  </si>
  <si>
    <t>Minimum design flow (From Col D of Valve Sizing tab)</t>
  </si>
  <si>
    <t>Maximum design flow (From Col F of Valve Sizing tab)</t>
  </si>
  <si>
    <r>
      <t>Typical x</t>
    </r>
    <r>
      <rPr>
        <b/>
        <vertAlign val="subscript"/>
        <sz val="14"/>
        <rFont val="Arial"/>
        <family val="2"/>
      </rPr>
      <t>T</t>
    </r>
    <r>
      <rPr>
        <sz val="10"/>
        <rFont val="Arial"/>
        <family val="2"/>
      </rPr>
      <t xml:space="preserve"> values based on the Reqired C and Valve size shown on the</t>
    </r>
  </si>
  <si>
    <r>
      <t>Typical F</t>
    </r>
    <r>
      <rPr>
        <b/>
        <vertAlign val="subscript"/>
        <sz val="14"/>
        <rFont val="Arial"/>
        <family val="2"/>
      </rPr>
      <t>L</t>
    </r>
    <r>
      <rPr>
        <sz val="10"/>
        <rFont val="Arial"/>
        <family val="2"/>
      </rPr>
      <t xml:space="preserve"> values based on the Reqired C and Valve size shown </t>
    </r>
  </si>
  <si>
    <t xml:space="preserve">Cv from tables on Valve Travel tab </t>
  </si>
  <si>
    <t>C_h is Cv or Kv depending on the</t>
  </si>
  <si>
    <t>"Unit Selection" made on the</t>
  </si>
  <si>
    <t>Valve Sizing tab.</t>
  </si>
  <si>
    <r>
      <rPr>
        <sz val="11"/>
        <color rgb="FFFF0000"/>
        <rFont val="Arial"/>
        <family val="2"/>
      </rPr>
      <t xml:space="preserve">1 = </t>
    </r>
    <r>
      <rPr>
        <b/>
        <sz val="11"/>
        <rFont val="Arial"/>
        <family val="2"/>
      </rPr>
      <t>This entry is only used in the IEC noise calculation.</t>
    </r>
  </si>
  <si>
    <t xml:space="preserve"> CONTROL VALVE SIZING: GAS - Volumetric</t>
  </si>
  <si>
    <t xml:space="preserve"> Flow  (at standard conditions)</t>
  </si>
  <si>
    <t xml:space="preserve"> Inlet pressure</t>
  </si>
  <si>
    <t xml:space="preserve"> Inlet temperature</t>
  </si>
  <si>
    <t xml:space="preserve"> Pressure drop</t>
  </si>
  <si>
    <t xml:space="preserve"> Specific heat ratio</t>
  </si>
  <si>
    <t xml:space="preserve"> Compressibility factor</t>
  </si>
  <si>
    <t xml:space="preserve"> Choked press drop ratio factor</t>
  </si>
  <si>
    <t xml:space="preserve"> Liquid press. Recovery factor</t>
  </si>
  <si>
    <t xml:space="preserve"> Valve style modifier</t>
  </si>
  <si>
    <t xml:space="preserve"> Strouhal number (peak)</t>
  </si>
  <si>
    <t xml:space="preserve"> Inlet pipe diameter</t>
  </si>
  <si>
    <t xml:space="preserve"> Outlet pipe diameter</t>
  </si>
  <si>
    <t xml:space="preserve"> Valve size</t>
  </si>
  <si>
    <t xml:space="preserve"> Outlet pipe wall thickness</t>
  </si>
  <si>
    <t>Full ball (Full and reduced port)</t>
  </si>
  <si>
    <t xml:space="preserve">Values automatically copied to the </t>
  </si>
  <si>
    <t>Vlalve Sizing tab</t>
  </si>
  <si>
    <t>Cv Table in current use</t>
  </si>
  <si>
    <t>1, 3</t>
  </si>
  <si>
    <t xml:space="preserve">Available Cv table names            </t>
  </si>
  <si>
    <t>Cv_Table</t>
  </si>
  <si>
    <t>This data is automaically copied to the Valve Sizing tab.</t>
  </si>
  <si>
    <r>
      <t>F</t>
    </r>
    <r>
      <rPr>
        <b/>
        <vertAlign val="subscript"/>
        <sz val="11"/>
        <color theme="1"/>
        <rFont val="Arial"/>
        <family val="2"/>
      </rPr>
      <t xml:space="preserve">d </t>
    </r>
    <r>
      <rPr>
        <b/>
        <sz val="11"/>
        <color theme="1"/>
        <rFont val="Arial"/>
        <family val="2"/>
      </rPr>
      <t>calculations</t>
    </r>
  </si>
  <si>
    <t>Globe, 4 port cage =%</t>
  </si>
  <si>
    <t>Relatve travel</t>
  </si>
  <si>
    <t>Fd_GCE</t>
  </si>
  <si>
    <t>Globe, 4 port cage Linear</t>
  </si>
  <si>
    <t>Fd_GCL</t>
  </si>
  <si>
    <t>Globe Parabolic plug =%</t>
  </si>
  <si>
    <t>Fd_GPE</t>
  </si>
  <si>
    <t>Globe Parabolic plug LIN</t>
  </si>
  <si>
    <t>Fd_GPL</t>
  </si>
  <si>
    <t xml:space="preserve">
</t>
  </si>
  <si>
    <t>Fd_RP</t>
  </si>
  <si>
    <t>Fd_SEG</t>
  </si>
  <si>
    <t>Fd_BF</t>
  </si>
  <si>
    <t>Full ball reduced Port</t>
  </si>
  <si>
    <t>Fd_FB</t>
  </si>
  <si>
    <t>Full ball full Port</t>
  </si>
  <si>
    <t>Fd_FB_FP</t>
  </si>
  <si>
    <t xml:space="preserve">Relative travel </t>
  </si>
  <si>
    <r>
      <t>Valve style modifier, F</t>
    </r>
    <r>
      <rPr>
        <vertAlign val="subscript"/>
        <sz val="10"/>
        <rFont val="Arial"/>
        <family val="2"/>
      </rPr>
      <t>d</t>
    </r>
  </si>
  <si>
    <t>Globe, Parabolic plug =%</t>
  </si>
  <si>
    <t>Globe, Parabolic plug Linear</t>
  </si>
  <si>
    <t>Full ball (Standard port)</t>
  </si>
  <si>
    <t>Full ball (Full port)</t>
  </si>
  <si>
    <r>
      <t>Typical F</t>
    </r>
    <r>
      <rPr>
        <b/>
        <vertAlign val="subscript"/>
        <sz val="14"/>
        <rFont val="Arial"/>
        <family val="2"/>
      </rPr>
      <t>d</t>
    </r>
    <r>
      <rPr>
        <sz val="10"/>
        <rFont val="Arial"/>
        <family val="2"/>
      </rPr>
      <t xml:space="preserve"> values based on the Relative Travel on the Valve Sizing tab.</t>
    </r>
  </si>
  <si>
    <r>
      <t xml:space="preserve"> on the Valve Sizing tab.  F</t>
    </r>
    <r>
      <rPr>
        <vertAlign val="subscript"/>
        <sz val="10"/>
        <rFont val="Arial"/>
        <family val="2"/>
      </rPr>
      <t>d</t>
    </r>
    <r>
      <rPr>
        <sz val="10"/>
        <rFont val="Arial"/>
        <family val="2"/>
      </rPr>
      <t xml:space="preserve"> is only used in the IEC noise calculation.</t>
    </r>
  </si>
  <si>
    <r>
      <t xml:space="preserve">Valve Sizing tab. </t>
    </r>
    <r>
      <rPr>
        <b/>
        <sz val="10"/>
        <color rgb="FFFF0000"/>
        <rFont val="Arial"/>
        <family val="2"/>
      </rPr>
      <t>They can be copied to the the Valve Sizing tab.</t>
    </r>
  </si>
  <si>
    <r>
      <t>INSTRUCTIONS FOR x</t>
    </r>
    <r>
      <rPr>
        <b/>
        <vertAlign val="subscript"/>
        <sz val="10"/>
        <color rgb="FFFF0000"/>
        <rFont val="Arial"/>
        <family val="2"/>
      </rPr>
      <t>T</t>
    </r>
    <r>
      <rPr>
        <b/>
        <sz val="10"/>
        <color rgb="FFFF0000"/>
        <rFont val="Arial"/>
        <family val="2"/>
      </rPr>
      <t xml:space="preserve"> CALCULATIONS</t>
    </r>
  </si>
  <si>
    <t xml:space="preserve">      Consult valve manufacturer.</t>
  </si>
  <si>
    <r>
      <t xml:space="preserve">2 = </t>
    </r>
    <r>
      <rPr>
        <sz val="10"/>
        <rFont val="Arial"/>
        <family val="2"/>
      </rPr>
      <t>Beta is used when valve outlet exceeds Mach 0.3, 0.75 is typical.</t>
    </r>
  </si>
  <si>
    <t xml:space="preserve">SEGMENT BALL VALVES </t>
  </si>
  <si>
    <t>BALL_SEG</t>
  </si>
  <si>
    <t xml:space="preserve">HIGH PERFORMANCE BUTTERFLY </t>
  </si>
  <si>
    <t>HPBF_150</t>
  </si>
  <si>
    <t>VALVES CLASS 150</t>
  </si>
  <si>
    <t>VALVES CLASS 300</t>
  </si>
  <si>
    <t>HPBF_300</t>
  </si>
  <si>
    <t>VALVES CLASS 600</t>
  </si>
  <si>
    <t>HPBF_600</t>
  </si>
  <si>
    <t>GLOBE CAGE GUIDED EQUALL PERCENT</t>
  </si>
  <si>
    <t>GC_EQ</t>
  </si>
  <si>
    <t>Decimal sizes N.01, N.02, N.03</t>
  </si>
  <si>
    <t xml:space="preserve">represent "N" inch valve , 1, 2, 3 </t>
  </si>
  <si>
    <t>sizes reduced.</t>
  </si>
  <si>
    <t>GLOBE CAGE GUIDED LINEAR</t>
  </si>
  <si>
    <t>GC_LIN</t>
  </si>
  <si>
    <t>GLOBE PARABOLIC PLUG EQUAL %</t>
  </si>
  <si>
    <t>GP_EQ</t>
  </si>
  <si>
    <t>represent "N" inch valve , 1, 2, 3 …</t>
  </si>
  <si>
    <t>GLOBE PARABOLIC PLUG LINEAR</t>
  </si>
  <si>
    <t>GP_LIN</t>
  </si>
  <si>
    <t>ROT_PLUG</t>
  </si>
  <si>
    <t>Decimal sizes N.01</t>
  </si>
  <si>
    <t>represent "N" inch valve , 1</t>
  </si>
  <si>
    <t>size reduced.</t>
  </si>
  <si>
    <t>ECCENTRIC ROTARY PLUG</t>
  </si>
  <si>
    <t>High Perf. Buttefly Cl 150</t>
  </si>
  <si>
    <t>High Perf. Buttefly Cl 300</t>
  </si>
  <si>
    <t>High Perf. Buttefly Cl 600</t>
  </si>
  <si>
    <t>Globe Cage Guided =%</t>
  </si>
  <si>
    <t>Globe Cage Guided linear</t>
  </si>
  <si>
    <t>Globe Parabolic Plug =%</t>
  </si>
  <si>
    <t>Globe Parabolic Plug Linear</t>
  </si>
  <si>
    <t>Eccentric Rotary Plug</t>
  </si>
  <si>
    <r>
      <t xml:space="preserve">4 = </t>
    </r>
    <r>
      <rPr>
        <sz val="10"/>
        <rFont val="Arial"/>
        <family val="2"/>
      </rPr>
      <t>See "xT, FL, Fd, Aeta, Stp" tab for typical values.</t>
    </r>
  </si>
  <si>
    <r>
      <t xml:space="preserve">5 = </t>
    </r>
    <r>
      <rPr>
        <sz val="10"/>
        <rFont val="Arial"/>
        <family val="2"/>
      </rPr>
      <t>See "Valve Travel" tab for supported valve sizes</t>
    </r>
    <r>
      <rPr>
        <sz val="10"/>
        <color rgb="FFFF0000"/>
        <rFont val="Arial"/>
        <family val="2"/>
      </rPr>
      <t>.</t>
    </r>
  </si>
  <si>
    <t>Callculation of Valve capacity in units of Cv and size in units of inch</t>
  </si>
  <si>
    <t>N_2</t>
  </si>
  <si>
    <t>N_5</t>
  </si>
  <si>
    <t>N_9</t>
  </si>
  <si>
    <t>FLAG_A</t>
  </si>
  <si>
    <t>The formula in Column C returns values of N_9 depending on Unit selection codes for a Standard temp Reference of 15C (60F)</t>
  </si>
  <si>
    <t>The formula in Column D returns values of N_9 depending on Unit selection codes in B27 for a Standard temp Reference of 0C (32F)</t>
  </si>
  <si>
    <t>The actual value of N_9 in Column B used in the calculations is selected from the value entered for "Standard cond. temp."</t>
  </si>
  <si>
    <t>PV123</t>
  </si>
  <si>
    <t>which incllude all the options supported by the ISA Standard</t>
  </si>
  <si>
    <t>These flags are set by formulas that are controlled by user selections on lines 27, 28 &amp; 29 of the Valve Sizing tab</t>
  </si>
  <si>
    <t xml:space="preserve"> Valve Cv table</t>
  </si>
  <si>
    <t>Calculated values</t>
  </si>
  <si>
    <t xml:space="preserve"> Contraction coeff. for valve outlet</t>
  </si>
  <si>
    <t xml:space="preserve"> Atmospheric pressure outside pipe</t>
  </si>
  <si>
    <t>xT for characteritics calculation</t>
  </si>
  <si>
    <t>Globe, cage</t>
  </si>
  <si>
    <t>Globe Parabolic</t>
  </si>
  <si>
    <t>Rotary plug</t>
  </si>
  <si>
    <t>Full ball (Full and reduced port</t>
  </si>
  <si>
    <t>Valve size, Inch, from Valve Travell tab</t>
  </si>
  <si>
    <r>
      <rPr>
        <sz val="10"/>
        <color rgb="FFFF0000"/>
        <rFont val="Arial"/>
        <family val="2"/>
      </rPr>
      <t>6 =</t>
    </r>
    <r>
      <rPr>
        <sz val="10"/>
        <color indexed="8"/>
        <rFont val="Arial"/>
        <family val="2"/>
      </rPr>
      <t xml:space="preserve"> A valid "Cv table" name must be entered for SPL and Travel results.</t>
    </r>
  </si>
  <si>
    <t>Valve travel from Valve Travel tab</t>
  </si>
  <si>
    <t>PIPE WALL THICKNESS</t>
  </si>
  <si>
    <t>NPS</t>
  </si>
  <si>
    <t>Outside Diameter</t>
  </si>
  <si>
    <t>Schedule</t>
  </si>
  <si>
    <t>(in)</t>
  </si>
  <si>
    <r>
      <t>(in) (</t>
    </r>
    <r>
      <rPr>
        <b/>
        <i/>
        <sz val="8.8000000000000007"/>
        <color rgb="FF0000FF"/>
        <rFont val="Arial"/>
        <family val="2"/>
      </rPr>
      <t>mm</t>
    </r>
    <r>
      <rPr>
        <b/>
        <i/>
        <sz val="8.8000000000000007"/>
        <color theme="1"/>
        <rFont val="Arial"/>
        <family val="2"/>
      </rPr>
      <t>)</t>
    </r>
  </si>
  <si>
    <t>STD</t>
  </si>
  <si>
    <t>XS</t>
  </si>
  <si>
    <t>XXS</t>
  </si>
  <si>
    <r>
      <t xml:space="preserve">Wall Thickness </t>
    </r>
    <r>
      <rPr>
        <b/>
        <i/>
        <sz val="8.8000000000000007"/>
        <color theme="1"/>
        <rFont val="Arial"/>
        <family val="2"/>
      </rPr>
      <t>(in) (</t>
    </r>
    <r>
      <rPr>
        <b/>
        <i/>
        <sz val="8.8000000000000007"/>
        <color rgb="FF0000FF"/>
        <rFont val="Arial"/>
        <family val="2"/>
      </rPr>
      <t>mm</t>
    </r>
    <r>
      <rPr>
        <b/>
        <i/>
        <sz val="8.8000000000000007"/>
        <color theme="1"/>
        <rFont val="Arial"/>
        <family val="2"/>
      </rPr>
      <t>)</t>
    </r>
  </si>
  <si>
    <t>1/8</t>
  </si>
  <si>
    <t>1/4</t>
  </si>
  <si>
    <t>3/8</t>
  </si>
  <si>
    <t>1/2</t>
  </si>
  <si>
    <t>3/4</t>
  </si>
  <si>
    <r>
      <t>THE ONLY USER ACTION ON THIS TAB IS TO OPTIONALLY COPY x</t>
    </r>
    <r>
      <rPr>
        <b/>
        <vertAlign val="subscript"/>
        <sz val="10"/>
        <color rgb="FFFF0000"/>
        <rFont val="Arial"/>
        <family val="2"/>
      </rPr>
      <t>T</t>
    </r>
    <r>
      <rPr>
        <b/>
        <sz val="10"/>
        <color rgb="FFFF0000"/>
        <rFont val="Arial"/>
        <family val="2"/>
      </rPr>
      <t xml:space="preserve"> VALLUES</t>
    </r>
  </si>
  <si>
    <t>Note: this data is believed to be accurate, but it is the user's responsibility to determine its applicability to their purpose.</t>
  </si>
  <si>
    <t>INSTRUCTIONS FOR THIS WORKBOOK.</t>
  </si>
  <si>
    <t>The instruction booklet will open in a new Acrobat window.</t>
  </si>
  <si>
    <r>
      <t xml:space="preserve">The main user interface for this workbook is on the </t>
    </r>
    <r>
      <rPr>
        <b/>
        <sz val="10"/>
        <rFont val="Arial"/>
        <family val="2"/>
      </rPr>
      <t>Vallve Sizing</t>
    </r>
    <r>
      <rPr>
        <sz val="10"/>
        <rFont val="Arial"/>
        <family val="2"/>
      </rPr>
      <t xml:space="preserve"> tab.</t>
    </r>
  </si>
  <si>
    <t>Segment Ball valve</t>
  </si>
  <si>
    <t>Your expereince with this workbook will be significantly enhanced it you read</t>
  </si>
  <si>
    <r>
      <t xml:space="preserve">the </t>
    </r>
    <r>
      <rPr>
        <b/>
        <sz val="10"/>
        <rFont val="Arial"/>
        <family val="2"/>
      </rPr>
      <t>INTRODUCTION</t>
    </r>
    <r>
      <rPr>
        <sz val="10"/>
        <rFont val="Arial"/>
        <family val="2"/>
      </rPr>
      <t xml:space="preserve"> and </t>
    </r>
    <r>
      <rPr>
        <b/>
        <sz val="10"/>
        <rFont val="Arial"/>
        <family val="2"/>
      </rPr>
      <t>USING THE WORKBOOK sections.</t>
    </r>
  </si>
  <si>
    <t>Valve Cv table</t>
  </si>
  <si>
    <r>
      <t xml:space="preserve">3 = </t>
    </r>
    <r>
      <rPr>
        <sz val="10"/>
        <color rgb="FF008000"/>
        <rFont val="Arial"/>
        <family val="2"/>
      </rPr>
      <t>Values automatically copied from the "xT, FL, Fd, Aeta, Stp" tab. Can be overridden manually.</t>
    </r>
  </si>
  <si>
    <r>
      <t xml:space="preserve"> Valve correction - accoustic efficiency, A</t>
    </r>
    <r>
      <rPr>
        <sz val="11"/>
        <color rgb="FF008000"/>
        <rFont val="Symbol"/>
        <family val="1"/>
        <charset val="2"/>
      </rPr>
      <t>h</t>
    </r>
  </si>
  <si>
    <t>DOUBLE CLICK THE ICON TO THE LEFT TO READ THE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</si>
</sst>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00"/>
    <numFmt numFmtId="165" formatCode="00000"/>
    <numFmt numFmtId="166" formatCode="0.0"/>
    <numFmt numFmtId="167" formatCode="#,##0.0000"/>
    <numFmt numFmtId="168" formatCode="0.000"/>
    <numFmt numFmtId="169" formatCode="#,##0.0"/>
    <numFmt numFmtId="170" formatCode="0.0E+00"/>
    <numFmt numFmtId="171" formatCode="0.000000"/>
    <numFmt numFmtId="172" formatCode="0.000E+00"/>
    <numFmt numFmtId="173" formatCode="0.00000"/>
  </numFmts>
  <fonts count="138" x14ac:knownFonts="1">
    <font>
      <sz val="10"/>
      <name val="Arial"/>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0"/>
      <color indexed="8"/>
      <name val="Arial"/>
      <family val="2"/>
    </font>
    <font>
      <b/>
      <sz val="10"/>
      <color indexed="8"/>
      <name val="Arial"/>
      <family val="2"/>
    </font>
    <font>
      <sz val="10"/>
      <color indexed="17"/>
      <name val="Arial"/>
      <family val="2"/>
    </font>
    <font>
      <sz val="10"/>
      <name val="Arial"/>
      <family val="2"/>
    </font>
    <font>
      <sz val="10"/>
      <name val="Arial"/>
      <family val="2"/>
    </font>
    <font>
      <sz val="11"/>
      <color theme="1"/>
      <name val="Calibri"/>
      <family val="2"/>
      <scheme val="minor"/>
    </font>
    <font>
      <sz val="12"/>
      <name val="Arial"/>
      <family val="2"/>
    </font>
    <font>
      <b/>
      <sz val="10"/>
      <name val="Arial"/>
      <family val="2"/>
    </font>
    <font>
      <sz val="10"/>
      <color theme="1"/>
      <name val="Arial"/>
      <family val="2"/>
    </font>
    <font>
      <b/>
      <sz val="12"/>
      <color rgb="FFFF0000"/>
      <name val="Arial"/>
      <family val="2"/>
    </font>
    <font>
      <vertAlign val="subscript"/>
      <sz val="10"/>
      <color indexed="8"/>
      <name val="Arial"/>
      <family val="2"/>
    </font>
    <font>
      <sz val="11"/>
      <name val="Calibri"/>
      <family val="2"/>
      <scheme val="minor"/>
    </font>
    <font>
      <sz val="10"/>
      <color rgb="FFFF0000"/>
      <name val="Arial"/>
      <family val="2"/>
    </font>
    <font>
      <vertAlign val="subscript"/>
      <sz val="10"/>
      <name val="Arial"/>
      <family val="2"/>
    </font>
    <font>
      <b/>
      <sz val="11"/>
      <name val="Arial"/>
      <family val="2"/>
    </font>
    <font>
      <b/>
      <sz val="11"/>
      <name val="Calibri"/>
      <family val="2"/>
    </font>
    <font>
      <b/>
      <sz val="10"/>
      <color rgb="FFFF0000"/>
      <name val="Arial"/>
      <family val="2"/>
    </font>
    <font>
      <b/>
      <sz val="10"/>
      <color rgb="FF003366"/>
      <name val="Arial"/>
      <family val="2"/>
    </font>
    <font>
      <b/>
      <sz val="12"/>
      <color rgb="FF009900"/>
      <name val="Arial"/>
      <family val="2"/>
    </font>
    <font>
      <sz val="12"/>
      <color rgb="FF009900"/>
      <name val="Arial"/>
      <family val="2"/>
    </font>
    <font>
      <b/>
      <sz val="11"/>
      <color rgb="FFFF0000"/>
      <name val="Arial"/>
      <family val="2"/>
    </font>
    <font>
      <b/>
      <vertAlign val="subscript"/>
      <sz val="10"/>
      <name val="Arial"/>
      <family val="2"/>
    </font>
    <font>
      <b/>
      <vertAlign val="subscript"/>
      <sz val="12"/>
      <color indexed="8"/>
      <name val="Arial"/>
      <family val="2"/>
    </font>
    <font>
      <vertAlign val="subscript"/>
      <sz val="14"/>
      <name val="Arial"/>
      <family val="2"/>
    </font>
    <font>
      <sz val="11"/>
      <name val="Calibri"/>
      <family val="2"/>
    </font>
    <font>
      <sz val="11"/>
      <color rgb="FFFF0000"/>
      <name val="Calibri"/>
      <family val="2"/>
    </font>
    <font>
      <b/>
      <sz val="12"/>
      <name val="Arial"/>
      <family val="2"/>
    </font>
    <font>
      <sz val="9"/>
      <name val="Arial"/>
      <family val="2"/>
    </font>
    <font>
      <b/>
      <sz val="8"/>
      <color indexed="8"/>
      <name val="Arial"/>
      <family val="2"/>
    </font>
    <font>
      <sz val="8"/>
      <name val="Arial"/>
      <family val="2"/>
    </font>
    <font>
      <b/>
      <sz val="14"/>
      <name val="Arial"/>
      <family val="2"/>
    </font>
    <font>
      <b/>
      <vertAlign val="subscript"/>
      <sz val="14"/>
      <name val="Arial"/>
      <family val="2"/>
    </font>
    <font>
      <sz val="11"/>
      <name val="Arial"/>
      <family val="2"/>
    </font>
    <font>
      <b/>
      <vertAlign val="subscript"/>
      <sz val="11"/>
      <name val="Arial"/>
      <family val="2"/>
    </font>
    <font>
      <sz val="10"/>
      <color rgb="FF0000CC"/>
      <name val="Arial"/>
      <family val="2"/>
    </font>
    <font>
      <b/>
      <sz val="10"/>
      <color theme="1"/>
      <name val="Arial"/>
      <family val="2"/>
    </font>
    <font>
      <b/>
      <sz val="10"/>
      <color rgb="FF0000CC"/>
      <name val="Arial"/>
      <family val="2"/>
    </font>
    <font>
      <sz val="10"/>
      <color rgb="FF0000CC"/>
      <name val="Arial"/>
      <family val="2"/>
    </font>
    <font>
      <sz val="10"/>
      <name val="Arial"/>
      <family val="2"/>
    </font>
    <font>
      <sz val="10"/>
      <color indexed="8"/>
      <name val="Arial"/>
      <family val="2"/>
    </font>
    <font>
      <sz val="8"/>
      <color indexed="8"/>
      <name val="Arial"/>
      <family val="2"/>
    </font>
    <font>
      <b/>
      <sz val="10"/>
      <color indexed="8"/>
      <name val="Arial"/>
      <family val="2"/>
    </font>
    <font>
      <b/>
      <sz val="10"/>
      <name val="Arial"/>
      <family val="2"/>
    </font>
    <font>
      <sz val="10"/>
      <color rgb="FF006100"/>
      <name val="Arial"/>
      <family val="2"/>
    </font>
    <font>
      <sz val="9"/>
      <color indexed="8"/>
      <name val="Arial"/>
      <family val="2"/>
    </font>
    <font>
      <sz val="9"/>
      <color indexed="8"/>
      <name val="Calibri"/>
      <family val="2"/>
    </font>
    <font>
      <sz val="11"/>
      <name val="Calibri"/>
      <family val="2"/>
      <scheme val="minor"/>
    </font>
    <font>
      <sz val="10"/>
      <color theme="1"/>
      <name val="Arial"/>
      <family val="2"/>
    </font>
    <font>
      <sz val="10"/>
      <color rgb="FFFF0000"/>
      <name val="Arial"/>
      <family val="2"/>
    </font>
    <font>
      <sz val="11"/>
      <color indexed="8"/>
      <name val="Arial"/>
      <family val="2"/>
    </font>
    <font>
      <sz val="11"/>
      <color rgb="FFFF0000"/>
      <name val="Arial"/>
      <family val="2"/>
    </font>
    <font>
      <b/>
      <sz val="10"/>
      <color theme="1"/>
      <name val="Arial"/>
      <family val="2"/>
    </font>
    <font>
      <b/>
      <i/>
      <sz val="12"/>
      <color theme="1"/>
      <name val="Arial"/>
      <family val="2"/>
    </font>
    <font>
      <vertAlign val="subscript"/>
      <sz val="10"/>
      <color rgb="FF0000CC"/>
      <name val="Arial"/>
      <family val="2"/>
    </font>
    <font>
      <sz val="10"/>
      <color rgb="FFFFC000"/>
      <name val="Arial"/>
      <family val="2"/>
    </font>
    <font>
      <sz val="11"/>
      <color theme="1"/>
      <name val="Calibri"/>
      <family val="2"/>
    </font>
    <font>
      <vertAlign val="superscript"/>
      <sz val="10"/>
      <color theme="1"/>
      <name val="Arial"/>
      <family val="2"/>
    </font>
    <font>
      <sz val="10"/>
      <color rgb="FF000000"/>
      <name val="Arial"/>
      <family val="2"/>
    </font>
    <font>
      <vertAlign val="superscript"/>
      <sz val="10"/>
      <color rgb="FF000000"/>
      <name val="Arial"/>
      <family val="2"/>
    </font>
    <font>
      <i/>
      <sz val="10"/>
      <color theme="1"/>
      <name val="Arial"/>
      <family val="2"/>
    </font>
    <font>
      <sz val="12"/>
      <color theme="1"/>
      <name val="Symbol"/>
      <family val="1"/>
      <charset val="2"/>
    </font>
    <font>
      <vertAlign val="subscript"/>
      <sz val="10"/>
      <color theme="1"/>
      <name val="Arial"/>
      <family val="2"/>
    </font>
    <font>
      <sz val="9"/>
      <color rgb="FFFF0000"/>
      <name val="Arial"/>
      <family val="2"/>
    </font>
    <font>
      <i/>
      <sz val="14"/>
      <color rgb="FFFF0000"/>
      <name val="Arial"/>
      <family val="2"/>
    </font>
    <font>
      <sz val="12"/>
      <color rgb="FFFF0000"/>
      <name val="Arial"/>
      <family val="2"/>
    </font>
    <font>
      <sz val="10"/>
      <color theme="1"/>
      <name val="Times New Roman"/>
      <family val="1"/>
    </font>
    <font>
      <sz val="10"/>
      <color theme="1"/>
      <name val="Symbol"/>
      <family val="1"/>
      <charset val="2"/>
    </font>
    <font>
      <u/>
      <sz val="10"/>
      <color theme="10"/>
      <name val="Arial"/>
      <family val="2"/>
    </font>
    <font>
      <sz val="10"/>
      <color rgb="FF00602B"/>
      <name val="Arial"/>
      <family val="2"/>
    </font>
    <font>
      <b/>
      <vertAlign val="subscript"/>
      <sz val="10"/>
      <color theme="1"/>
      <name val="Arial"/>
      <family val="2"/>
    </font>
    <font>
      <sz val="8"/>
      <color theme="1"/>
      <name val="Arial"/>
      <family val="2"/>
    </font>
    <font>
      <b/>
      <sz val="10"/>
      <color rgb="FF0033CC"/>
      <name val="Arial"/>
      <family val="2"/>
    </font>
    <font>
      <b/>
      <sz val="11"/>
      <color rgb="FF000000"/>
      <name val="Calibri"/>
      <family val="2"/>
    </font>
    <font>
      <sz val="11"/>
      <name val="Cambria"/>
      <family val="1"/>
    </font>
    <font>
      <sz val="11"/>
      <color rgb="FFC00000"/>
      <name val="Calibri"/>
      <family val="2"/>
    </font>
    <font>
      <sz val="10"/>
      <name val="Cambria"/>
      <family val="1"/>
    </font>
    <font>
      <b/>
      <sz val="14"/>
      <name val="Cambria"/>
      <family val="1"/>
    </font>
    <font>
      <b/>
      <sz val="14"/>
      <color rgb="FFC00000"/>
      <name val="Calibri"/>
      <family val="2"/>
    </font>
    <font>
      <b/>
      <sz val="11"/>
      <color theme="1"/>
      <name val="Calibri"/>
      <family val="2"/>
    </font>
    <font>
      <sz val="11"/>
      <color rgb="FF000000"/>
      <name val="Calibri"/>
      <family val="2"/>
    </font>
    <font>
      <sz val="12"/>
      <name val="Calibri"/>
      <family val="2"/>
    </font>
    <font>
      <sz val="10"/>
      <color theme="1"/>
      <name val="Calibri"/>
      <family val="2"/>
    </font>
    <font>
      <sz val="11"/>
      <color rgb="FFFF0000"/>
      <name val="Cambria"/>
      <family val="1"/>
    </font>
    <font>
      <sz val="9"/>
      <color theme="1"/>
      <name val="Calibri"/>
      <family val="2"/>
    </font>
    <font>
      <sz val="8"/>
      <color theme="1"/>
      <name val="Calibri"/>
      <family val="2"/>
    </font>
    <font>
      <sz val="11"/>
      <color rgb="FF00CC00"/>
      <name val="Calibri"/>
      <family val="2"/>
    </font>
    <font>
      <sz val="12"/>
      <color rgb="FF000000"/>
      <name val="Calibri"/>
      <family val="2"/>
    </font>
    <font>
      <vertAlign val="subscript"/>
      <sz val="12"/>
      <color rgb="FF000000"/>
      <name val="Calibri"/>
      <family val="2"/>
    </font>
    <font>
      <b/>
      <vertAlign val="subscript"/>
      <sz val="11"/>
      <color rgb="FF000000"/>
      <name val="Calibri"/>
      <family val="2"/>
    </font>
    <font>
      <b/>
      <sz val="11"/>
      <name val="Cambria"/>
      <family val="1"/>
    </font>
    <font>
      <sz val="8"/>
      <color rgb="FF000000"/>
      <name val="Arial"/>
      <family val="2"/>
    </font>
    <font>
      <sz val="11"/>
      <color rgb="FFFFC000"/>
      <name val="Calibri"/>
      <family val="2"/>
    </font>
    <font>
      <b/>
      <sz val="14"/>
      <color theme="1"/>
      <name val="Calibri"/>
      <family val="2"/>
    </font>
    <font>
      <b/>
      <sz val="9"/>
      <color indexed="81"/>
      <name val="Tahoma"/>
      <family val="2"/>
    </font>
    <font>
      <sz val="9"/>
      <color indexed="81"/>
      <name val="Tahoma"/>
      <family val="2"/>
    </font>
    <font>
      <vertAlign val="superscript"/>
      <sz val="11"/>
      <color rgb="FFFF0000"/>
      <name val="Arial"/>
      <family val="2"/>
    </font>
    <font>
      <i/>
      <sz val="12"/>
      <name val="Arial"/>
      <family val="2"/>
    </font>
    <font>
      <vertAlign val="subscript"/>
      <sz val="12"/>
      <name val="Arial"/>
      <family val="2"/>
    </font>
    <font>
      <b/>
      <i/>
      <sz val="14"/>
      <name val="Arial"/>
      <family val="2"/>
    </font>
    <font>
      <sz val="12"/>
      <color indexed="8"/>
      <name val="Arial"/>
      <family val="2"/>
    </font>
    <font>
      <b/>
      <sz val="12"/>
      <color indexed="8"/>
      <name val="Arial"/>
      <family val="2"/>
    </font>
    <font>
      <b/>
      <sz val="16"/>
      <color theme="1"/>
      <name val="Arial"/>
      <family val="2"/>
    </font>
    <font>
      <b/>
      <sz val="12"/>
      <color theme="1"/>
      <name val="Arial"/>
      <family val="2"/>
    </font>
    <font>
      <sz val="11"/>
      <color rgb="FFFF0000"/>
      <name val="Calibri"/>
      <family val="2"/>
      <scheme val="minor"/>
    </font>
    <font>
      <b/>
      <sz val="11"/>
      <color theme="1"/>
      <name val="Arial"/>
      <family val="2"/>
    </font>
    <font>
      <b/>
      <u/>
      <sz val="11"/>
      <name val="Arial"/>
      <family val="2"/>
    </font>
    <font>
      <sz val="8"/>
      <color rgb="FFFF0000"/>
      <name val="Arial"/>
      <family val="2"/>
    </font>
    <font>
      <sz val="11"/>
      <color rgb="FF0000CC"/>
      <name val="Arial"/>
      <family val="2"/>
    </font>
    <font>
      <b/>
      <sz val="11"/>
      <color indexed="56"/>
      <name val="Arial"/>
      <family val="2"/>
    </font>
    <font>
      <b/>
      <sz val="11"/>
      <color rgb="FF0000CC"/>
      <name val="Arial"/>
      <family val="2"/>
    </font>
    <font>
      <sz val="12"/>
      <color theme="1"/>
      <name val="Arial"/>
      <family val="2"/>
    </font>
    <font>
      <b/>
      <vertAlign val="subscript"/>
      <sz val="11"/>
      <color theme="1"/>
      <name val="Arial"/>
      <family val="2"/>
    </font>
    <font>
      <sz val="11"/>
      <color rgb="FF595959"/>
      <name val="Arial"/>
      <family val="2"/>
    </font>
    <font>
      <sz val="14"/>
      <color rgb="FFFF0000"/>
      <name val="Arial"/>
      <family val="2"/>
    </font>
    <font>
      <b/>
      <vertAlign val="subscript"/>
      <sz val="10"/>
      <color rgb="FFFF0000"/>
      <name val="Arial"/>
      <family val="2"/>
    </font>
    <font>
      <b/>
      <sz val="14"/>
      <color theme="1"/>
      <name val="Arial"/>
      <family val="2"/>
    </font>
    <font>
      <sz val="7.7"/>
      <color theme="1"/>
      <name val="Arial"/>
      <family val="2"/>
    </font>
    <font>
      <b/>
      <sz val="8.8000000000000007"/>
      <color theme="1"/>
      <name val="Arial"/>
      <family val="2"/>
    </font>
    <font>
      <b/>
      <i/>
      <sz val="8.8000000000000007"/>
      <color theme="1"/>
      <name val="Arial"/>
      <family val="2"/>
    </font>
    <font>
      <b/>
      <i/>
      <sz val="8.8000000000000007"/>
      <color rgb="FF0000FF"/>
      <name val="Arial"/>
      <family val="2"/>
    </font>
    <font>
      <sz val="8.8000000000000007"/>
      <color theme="1"/>
      <name val="Arial"/>
      <family val="2"/>
    </font>
    <font>
      <sz val="8.8000000000000007"/>
      <color rgb="FF0000FF"/>
      <name val="Arial"/>
      <family val="2"/>
    </font>
    <font>
      <sz val="14"/>
      <name val="Arial"/>
      <family val="2"/>
    </font>
    <font>
      <sz val="16"/>
      <name val="Arial"/>
      <family val="2"/>
    </font>
    <font>
      <b/>
      <sz val="11"/>
      <color rgb="FF008000"/>
      <name val="Arial"/>
      <family val="2"/>
    </font>
    <font>
      <sz val="10"/>
      <color rgb="FF008000"/>
      <name val="Arial"/>
      <family val="2"/>
    </font>
    <font>
      <sz val="11"/>
      <color rgb="FF008000"/>
      <name val="Arial"/>
      <family val="2"/>
    </font>
    <font>
      <sz val="11"/>
      <color rgb="FF008000"/>
      <name val="Symbol"/>
      <family val="1"/>
      <charset val="2"/>
    </font>
  </fonts>
  <fills count="14">
    <fill>
      <patternFill patternType="none"/>
    </fill>
    <fill>
      <patternFill patternType="gray125"/>
    </fill>
    <fill>
      <patternFill patternType="solid">
        <fgColor indexed="42"/>
      </patternFill>
    </fill>
    <fill>
      <patternFill patternType="solid">
        <fgColor rgb="FFFFFFCC"/>
      </patternFill>
    </fill>
    <fill>
      <patternFill patternType="solid">
        <fgColor theme="8" tint="0.59999389629810485"/>
        <bgColor indexed="65"/>
      </patternFill>
    </fill>
    <fill>
      <patternFill patternType="solid">
        <fgColor rgb="FFFFC000"/>
        <bgColor indexed="64"/>
      </patternFill>
    </fill>
    <fill>
      <patternFill patternType="solid">
        <fgColor theme="0" tint="-4.9989318521683403E-2"/>
        <bgColor indexed="64"/>
      </patternFill>
    </fill>
    <fill>
      <patternFill patternType="solid">
        <fgColor rgb="FFB6DDE8"/>
        <bgColor indexed="64"/>
      </patternFill>
    </fill>
    <fill>
      <patternFill patternType="solid">
        <fgColor theme="0"/>
        <bgColor indexed="64"/>
      </patternFill>
    </fill>
    <fill>
      <patternFill patternType="solid">
        <fgColor theme="0" tint="-0.14996795556505021"/>
        <bgColor indexed="64"/>
      </patternFill>
    </fill>
    <fill>
      <patternFill patternType="solid">
        <fgColor rgb="FFFFC000"/>
        <bgColor auto="1"/>
      </patternFill>
    </fill>
    <fill>
      <patternFill patternType="solid">
        <fgColor rgb="FFFFFFFF"/>
        <bgColor rgb="FF000000"/>
      </patternFill>
    </fill>
    <fill>
      <patternFill patternType="solid">
        <fgColor theme="0" tint="-0.24994659260841701"/>
        <bgColor indexed="64"/>
      </patternFill>
    </fill>
    <fill>
      <patternFill patternType="solid">
        <fgColor rgb="FFB7DEE8"/>
        <bgColor indexed="64"/>
      </patternFill>
    </fill>
  </fills>
  <borders count="93">
    <border>
      <left/>
      <right/>
      <top/>
      <bottom/>
      <diagonal/>
    </border>
    <border>
      <left/>
      <right/>
      <top/>
      <bottom style="thick">
        <color indexed="64"/>
      </bottom>
      <diagonal/>
    </border>
    <border>
      <left style="thin">
        <color rgb="FFB2B2B2"/>
      </left>
      <right style="thin">
        <color rgb="FFB2B2B2"/>
      </right>
      <top style="thin">
        <color rgb="FFB2B2B2"/>
      </top>
      <bottom style="thin">
        <color rgb="FFB2B2B2"/>
      </bottom>
      <diagonal/>
    </border>
    <border>
      <left style="thin">
        <color rgb="FFB2B2B2"/>
      </left>
      <right/>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top/>
      <bottom style="thin">
        <color auto="1"/>
      </bottom>
      <diagonal/>
    </border>
    <border>
      <left/>
      <right style="double">
        <color auto="1"/>
      </right>
      <top/>
      <bottom style="thin">
        <color auto="1"/>
      </bottom>
      <diagonal/>
    </border>
    <border>
      <left/>
      <right style="double">
        <color auto="1"/>
      </right>
      <top/>
      <bottom style="double">
        <color auto="1"/>
      </bottom>
      <diagonal/>
    </border>
    <border>
      <left/>
      <right style="thick">
        <color auto="1"/>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ck">
        <color auto="1"/>
      </left>
      <right/>
      <top/>
      <bottom style="thick">
        <color auto="1"/>
      </bottom>
      <diagonal/>
    </border>
    <border>
      <left/>
      <right style="thick">
        <color auto="1"/>
      </right>
      <top/>
      <bottom style="thick">
        <color auto="1"/>
      </bottom>
      <diagonal/>
    </border>
    <border>
      <left style="thick">
        <color auto="1"/>
      </left>
      <right style="thin">
        <color auto="1"/>
      </right>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ck">
        <color auto="1"/>
      </right>
      <top/>
      <bottom style="thin">
        <color auto="1"/>
      </bottom>
      <diagonal/>
    </border>
    <border>
      <left style="double">
        <color auto="1"/>
      </left>
      <right/>
      <top style="double">
        <color auto="1"/>
      </top>
      <bottom style="thick">
        <color auto="1"/>
      </bottom>
      <diagonal/>
    </border>
    <border>
      <left/>
      <right/>
      <top style="double">
        <color auto="1"/>
      </top>
      <bottom style="thick">
        <color auto="1"/>
      </bottom>
      <diagonal/>
    </border>
    <border>
      <left/>
      <right style="double">
        <color auto="1"/>
      </right>
      <top style="double">
        <color auto="1"/>
      </top>
      <bottom style="thick">
        <color auto="1"/>
      </bottom>
      <diagonal/>
    </border>
    <border>
      <left style="double">
        <color auto="1"/>
      </left>
      <right style="thick">
        <color auto="1"/>
      </right>
      <top style="thick">
        <color auto="1"/>
      </top>
      <bottom style="thin">
        <color auto="1"/>
      </bottom>
      <diagonal/>
    </border>
    <border>
      <left style="double">
        <color auto="1"/>
      </left>
      <right style="thick">
        <color auto="1"/>
      </right>
      <top/>
      <bottom style="thick">
        <color auto="1"/>
      </bottom>
      <diagonal/>
    </border>
    <border>
      <left style="thick">
        <color auto="1"/>
      </left>
      <right style="thin">
        <color auto="1"/>
      </right>
      <top style="thin">
        <color auto="1"/>
      </top>
      <bottom style="thick">
        <color auto="1"/>
      </bottom>
      <diagonal/>
    </border>
    <border>
      <left style="double">
        <color auto="1"/>
      </left>
      <right style="thick">
        <color auto="1"/>
      </right>
      <top style="thick">
        <color auto="1"/>
      </top>
      <bottom style="medium">
        <color auto="1"/>
      </bottom>
      <diagonal/>
    </border>
    <border>
      <left style="thick">
        <color auto="1"/>
      </left>
      <right style="thin">
        <color auto="1"/>
      </right>
      <top style="thick">
        <color auto="1"/>
      </top>
      <bottom style="medium">
        <color auto="1"/>
      </bottom>
      <diagonal/>
    </border>
    <border>
      <left style="thin">
        <color auto="1"/>
      </left>
      <right style="thin">
        <color auto="1"/>
      </right>
      <top style="thick">
        <color auto="1"/>
      </top>
      <bottom style="medium">
        <color auto="1"/>
      </bottom>
      <diagonal/>
    </border>
    <border>
      <left style="thin">
        <color auto="1"/>
      </left>
      <right/>
      <top style="thick">
        <color auto="1"/>
      </top>
      <bottom style="medium">
        <color auto="1"/>
      </bottom>
      <diagonal/>
    </border>
    <border>
      <left/>
      <right style="thin">
        <color auto="1"/>
      </right>
      <top style="thick">
        <color auto="1"/>
      </top>
      <bottom style="medium">
        <color auto="1"/>
      </bottom>
      <diagonal/>
    </border>
    <border>
      <left/>
      <right style="double">
        <color auto="1"/>
      </right>
      <top style="thick">
        <color auto="1"/>
      </top>
      <bottom style="medium">
        <color auto="1"/>
      </bottom>
      <diagonal/>
    </border>
    <border>
      <left style="double">
        <color auto="1"/>
      </left>
      <right style="thick">
        <color auto="1"/>
      </right>
      <top/>
      <bottom style="thin">
        <color auto="1"/>
      </bottom>
      <diagonal/>
    </border>
    <border>
      <left style="thick">
        <color auto="1"/>
      </left>
      <right style="thin">
        <color auto="1"/>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double">
        <color auto="1"/>
      </left>
      <right style="thick">
        <color auto="1"/>
      </right>
      <top/>
      <bottom style="double">
        <color auto="1"/>
      </bottom>
      <diagonal/>
    </border>
    <border>
      <left style="thick">
        <color auto="1"/>
      </left>
      <right style="thin">
        <color auto="1"/>
      </right>
      <top/>
      <bottom style="double">
        <color auto="1"/>
      </bottom>
      <diagonal/>
    </border>
    <border>
      <left style="thin">
        <color indexed="64"/>
      </left>
      <right/>
      <top style="thick">
        <color indexed="64"/>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thin">
        <color auto="1"/>
      </left>
      <right/>
      <top style="thick">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thick">
        <color auto="1"/>
      </bottom>
      <diagonal/>
    </border>
    <border>
      <left/>
      <right/>
      <top/>
      <bottom style="medium">
        <color auto="1"/>
      </bottom>
      <diagonal/>
    </border>
    <border>
      <left style="double">
        <color auto="1"/>
      </left>
      <right/>
      <top/>
      <bottom style="medium">
        <color auto="1"/>
      </bottom>
      <diagonal/>
    </border>
    <border>
      <left/>
      <right style="double">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double">
        <color auto="1"/>
      </bottom>
      <diagonal/>
    </border>
    <border>
      <left style="medium">
        <color auto="1"/>
      </left>
      <right style="thin">
        <color auto="1"/>
      </right>
      <top style="medium">
        <color auto="1"/>
      </top>
      <bottom style="medium">
        <color auto="1"/>
      </bottom>
      <diagonal/>
    </border>
    <border>
      <left style="thick">
        <color auto="1"/>
      </left>
      <right style="thick">
        <color auto="1"/>
      </right>
      <top style="thick">
        <color auto="1"/>
      </top>
      <bottom style="thin">
        <color auto="1"/>
      </bottom>
      <diagonal/>
    </border>
    <border>
      <left/>
      <right style="thin">
        <color auto="1"/>
      </right>
      <top/>
      <bottom style="medium">
        <color auto="1"/>
      </bottom>
      <diagonal/>
    </border>
    <border>
      <left style="medium">
        <color auto="1"/>
      </left>
      <right style="double">
        <color auto="1"/>
      </right>
      <top/>
      <bottom style="double">
        <color auto="1"/>
      </bottom>
      <diagonal/>
    </border>
    <border>
      <left/>
      <right style="thick">
        <color auto="1"/>
      </right>
      <top style="double">
        <color auto="1"/>
      </top>
      <bottom/>
      <diagonal/>
    </border>
    <border>
      <left style="medium">
        <color rgb="FFC0C0C0"/>
      </left>
      <right style="medium">
        <color rgb="FFC0C0C0"/>
      </right>
      <top style="medium">
        <color rgb="FFC0C0C0"/>
      </top>
      <bottom/>
      <diagonal/>
    </border>
    <border>
      <left style="medium">
        <color rgb="FFC0C0C0"/>
      </left>
      <right/>
      <top style="medium">
        <color rgb="FFC0C0C0"/>
      </top>
      <bottom style="medium">
        <color rgb="FFC0C0C0"/>
      </bottom>
      <diagonal/>
    </border>
    <border>
      <left/>
      <right/>
      <top style="medium">
        <color rgb="FFC0C0C0"/>
      </top>
      <bottom style="medium">
        <color rgb="FFC0C0C0"/>
      </bottom>
      <diagonal/>
    </border>
    <border>
      <left/>
      <right style="medium">
        <color rgb="FFC0C0C0"/>
      </right>
      <top style="medium">
        <color rgb="FFC0C0C0"/>
      </top>
      <bottom style="medium">
        <color rgb="FFC0C0C0"/>
      </bottom>
      <diagonal/>
    </border>
    <border>
      <left style="medium">
        <color rgb="FFC0C0C0"/>
      </left>
      <right style="medium">
        <color rgb="FFC0C0C0"/>
      </right>
      <top/>
      <bottom/>
      <diagonal/>
    </border>
    <border>
      <left style="medium">
        <color rgb="FFC0C0C0"/>
      </left>
      <right style="medium">
        <color rgb="FFC0C0C0"/>
      </right>
      <top style="medium">
        <color rgb="FFC0C0C0"/>
      </top>
      <bottom style="medium">
        <color rgb="FFC0C0C0"/>
      </bottom>
      <diagonal/>
    </border>
    <border>
      <left style="medium">
        <color rgb="FFC0C0C0"/>
      </left>
      <right style="medium">
        <color rgb="FFC0C0C0"/>
      </right>
      <top/>
      <bottom style="medium">
        <color rgb="FFC0C0C0"/>
      </bottom>
      <diagonal/>
    </border>
    <border>
      <left style="medium">
        <color rgb="FFC0C0C0"/>
      </left>
      <right style="medium">
        <color rgb="FFCCCCCC"/>
      </right>
      <top style="medium">
        <color rgb="FFC0C0C0"/>
      </top>
      <bottom/>
      <diagonal/>
    </border>
    <border>
      <left style="medium">
        <color rgb="FFCCCCCC"/>
      </left>
      <right style="medium">
        <color rgb="FFCCCCCC"/>
      </right>
      <top style="medium">
        <color rgb="FFCCCCCC"/>
      </top>
      <bottom/>
      <diagonal/>
    </border>
    <border>
      <left style="medium">
        <color rgb="FFCCCCCC"/>
      </left>
      <right style="medium">
        <color rgb="FFCCCCCC"/>
      </right>
      <top style="medium">
        <color rgb="FFC0C0C0"/>
      </top>
      <bottom/>
      <diagonal/>
    </border>
    <border>
      <left style="medium">
        <color rgb="FFCCCCCC"/>
      </left>
      <right style="medium">
        <color rgb="FFC0C0C0"/>
      </right>
      <top style="medium">
        <color rgb="FFC0C0C0"/>
      </top>
      <bottom/>
      <diagonal/>
    </border>
    <border>
      <left style="medium">
        <color rgb="FFC0C0C0"/>
      </left>
      <right style="medium">
        <color rgb="FFCCCCCC"/>
      </right>
      <top/>
      <bottom style="medium">
        <color rgb="FFCCCCCC"/>
      </bottom>
      <diagonal/>
    </border>
    <border>
      <left style="medium">
        <color rgb="FFCCCCCC"/>
      </left>
      <right style="medium">
        <color rgb="FFCCCCCC"/>
      </right>
      <top/>
      <bottom style="medium">
        <color rgb="FFCCCCCC"/>
      </bottom>
      <diagonal/>
    </border>
    <border>
      <left style="medium">
        <color rgb="FFCCCCCC"/>
      </left>
      <right style="medium">
        <color rgb="FFC0C0C0"/>
      </right>
      <top/>
      <bottom style="medium">
        <color rgb="FFCCCCCC"/>
      </bottom>
      <diagonal/>
    </border>
    <border>
      <left style="medium">
        <color rgb="FFC0C0C0"/>
      </left>
      <right style="medium">
        <color rgb="FFCCCCCC"/>
      </right>
      <top style="medium">
        <color rgb="FFCCCCCC"/>
      </top>
      <bottom/>
      <diagonal/>
    </border>
    <border>
      <left style="medium">
        <color rgb="FFCCCCCC"/>
      </left>
      <right style="medium">
        <color rgb="FFC0C0C0"/>
      </right>
      <top style="medium">
        <color rgb="FFCCCCCC"/>
      </top>
      <bottom/>
      <diagonal/>
    </border>
    <border>
      <left style="medium">
        <color rgb="FFC0C0C0"/>
      </left>
      <right style="medium">
        <color rgb="FFCCCCCC"/>
      </right>
      <top style="medium">
        <color rgb="FFCCCCCC"/>
      </top>
      <bottom style="medium">
        <color rgb="FFC0C0C0"/>
      </bottom>
      <diagonal/>
    </border>
    <border>
      <left style="medium">
        <color rgb="FFCCCCCC"/>
      </left>
      <right style="medium">
        <color rgb="FFCCCCCC"/>
      </right>
      <top style="medium">
        <color rgb="FFCCCCCC"/>
      </top>
      <bottom style="medium">
        <color rgb="FFC0C0C0"/>
      </bottom>
      <diagonal/>
    </border>
    <border>
      <left style="medium">
        <color rgb="FFCCCCCC"/>
      </left>
      <right style="medium">
        <color rgb="FFC0C0C0"/>
      </right>
      <top style="medium">
        <color rgb="FFCCCCCC"/>
      </top>
      <bottom style="medium">
        <color rgb="FFC0C0C0"/>
      </bottom>
      <diagonal/>
    </border>
    <border>
      <left/>
      <right/>
      <top/>
      <bottom style="medium">
        <color rgb="FFC0C0C0"/>
      </bottom>
      <diagonal/>
    </border>
    <border>
      <left style="double">
        <color auto="1"/>
      </left>
      <right/>
      <top/>
      <bottom style="thin">
        <color auto="1"/>
      </bottom>
      <diagonal/>
    </border>
  </borders>
  <cellStyleXfs count="17">
    <xf numFmtId="0" fontId="0" fillId="0" borderId="0"/>
    <xf numFmtId="0" fontId="12" fillId="2" borderId="0" applyNumberFormat="0" applyBorder="0" applyAlignment="0" applyProtection="0"/>
    <xf numFmtId="0" fontId="14" fillId="3" borderId="2" applyNumberFormat="0" applyFont="0" applyAlignment="0" applyProtection="0"/>
    <xf numFmtId="0" fontId="15" fillId="4" borderId="0" applyNumberFormat="0" applyBorder="0" applyAlignment="0" applyProtection="0"/>
    <xf numFmtId="0" fontId="16" fillId="0" borderId="0"/>
    <xf numFmtId="165" fontId="13" fillId="5" borderId="3" applyFont="0" applyBorder="0"/>
    <xf numFmtId="0" fontId="10" fillId="0" borderId="0"/>
    <xf numFmtId="0" fontId="9" fillId="0" borderId="0"/>
    <xf numFmtId="0" fontId="9" fillId="3" borderId="2" applyNumberFormat="0" applyFont="0" applyAlignment="0" applyProtection="0"/>
    <xf numFmtId="0" fontId="9" fillId="4" borderId="0" applyNumberFormat="0" applyBorder="0" applyAlignment="0" applyProtection="0"/>
    <xf numFmtId="0" fontId="77" fillId="0" borderId="0" applyNumberFormat="0" applyFill="0" applyBorder="0" applyAlignment="0" applyProtection="0"/>
    <xf numFmtId="0" fontId="13" fillId="0" borderId="0"/>
    <xf numFmtId="0" fontId="8" fillId="0" borderId="0"/>
    <xf numFmtId="0" fontId="8" fillId="3" borderId="2" applyNumberFormat="0" applyFont="0" applyAlignment="0" applyProtection="0"/>
    <xf numFmtId="0" fontId="8" fillId="4" borderId="0" applyNumberFormat="0" applyBorder="0" applyAlignment="0" applyProtection="0"/>
    <xf numFmtId="0" fontId="13" fillId="0" borderId="0"/>
    <xf numFmtId="0" fontId="1" fillId="0" borderId="0"/>
  </cellStyleXfs>
  <cellXfs count="902">
    <xf numFmtId="0" fontId="0" fillId="0" borderId="0" xfId="0"/>
    <xf numFmtId="0" fontId="0" fillId="0" borderId="0" xfId="0"/>
    <xf numFmtId="0" fontId="10" fillId="0" borderId="0" xfId="0" applyFont="1"/>
    <xf numFmtId="0" fontId="11" fillId="0" borderId="0" xfId="0" applyFont="1"/>
    <xf numFmtId="164" fontId="10" fillId="0" borderId="0" xfId="0" applyNumberFormat="1" applyFont="1"/>
    <xf numFmtId="0" fontId="10" fillId="0" borderId="1" xfId="0" applyFont="1" applyBorder="1"/>
    <xf numFmtId="164" fontId="11" fillId="0" borderId="1" xfId="0" applyNumberFormat="1" applyFont="1" applyBorder="1"/>
    <xf numFmtId="164" fontId="0" fillId="0" borderId="0" xfId="0" applyNumberFormat="1"/>
    <xf numFmtId="0" fontId="13" fillId="0" borderId="0" xfId="0" applyFont="1"/>
    <xf numFmtId="164" fontId="13" fillId="0" borderId="0" xfId="0" applyNumberFormat="1" applyFont="1"/>
    <xf numFmtId="0" fontId="13" fillId="0" borderId="0" xfId="0" applyFont="1" applyAlignment="1">
      <alignment horizontal="right"/>
    </xf>
    <xf numFmtId="0" fontId="21" fillId="0" borderId="0" xfId="0" applyFont="1"/>
    <xf numFmtId="0" fontId="18" fillId="0" borderId="0" xfId="0" applyFont="1" applyAlignment="1">
      <alignment horizontal="right"/>
    </xf>
    <xf numFmtId="0" fontId="17" fillId="0" borderId="0" xfId="0" applyFont="1"/>
    <xf numFmtId="0" fontId="0" fillId="0" borderId="0" xfId="0" applyBorder="1"/>
    <xf numFmtId="0" fontId="25" fillId="0" borderId="0" xfId="0" applyFont="1"/>
    <xf numFmtId="0" fontId="13" fillId="0" borderId="0" xfId="0" applyFont="1" applyFill="1" applyBorder="1"/>
    <xf numFmtId="0" fontId="17" fillId="0" borderId="0" xfId="0" applyFont="1" applyFill="1" applyBorder="1"/>
    <xf numFmtId="0" fontId="13" fillId="0" borderId="0" xfId="6" applyFont="1"/>
    <xf numFmtId="0" fontId="13" fillId="0" borderId="0" xfId="6" applyFont="1" applyAlignment="1">
      <alignment horizontal="left" vertical="center"/>
    </xf>
    <xf numFmtId="0" fontId="24" fillId="0" borderId="0" xfId="0" applyFont="1"/>
    <xf numFmtId="0" fontId="13" fillId="0" borderId="0" xfId="0" applyFont="1" applyBorder="1"/>
    <xf numFmtId="164" fontId="22" fillId="0" borderId="0" xfId="0" applyNumberFormat="1" applyFont="1"/>
    <xf numFmtId="0" fontId="17" fillId="0" borderId="11" xfId="0" applyFont="1" applyBorder="1" applyAlignment="1">
      <alignment horizontal="center" vertical="center"/>
    </xf>
    <xf numFmtId="164" fontId="24" fillId="0" borderId="0" xfId="0" applyNumberFormat="1" applyFont="1" applyBorder="1"/>
    <xf numFmtId="164" fontId="17" fillId="0" borderId="0" xfId="0" applyNumberFormat="1" applyFont="1" applyBorder="1" applyAlignment="1">
      <alignment horizontal="center" vertical="center"/>
    </xf>
    <xf numFmtId="0" fontId="17" fillId="0" borderId="0" xfId="0" applyFont="1" applyBorder="1" applyAlignment="1">
      <alignment horizontal="center" vertical="center"/>
    </xf>
    <xf numFmtId="164" fontId="13" fillId="0" borderId="0" xfId="0" applyNumberFormat="1" applyFont="1" applyBorder="1"/>
    <xf numFmtId="164" fontId="0" fillId="0" borderId="0" xfId="0" applyNumberFormat="1" applyBorder="1"/>
    <xf numFmtId="164" fontId="22" fillId="0" borderId="0" xfId="0" applyNumberFormat="1" applyFont="1" applyBorder="1"/>
    <xf numFmtId="0" fontId="24" fillId="0" borderId="0" xfId="0" applyFont="1" applyBorder="1"/>
    <xf numFmtId="0" fontId="13" fillId="0" borderId="18" xfId="0" applyFont="1" applyBorder="1"/>
    <xf numFmtId="0" fontId="10" fillId="0" borderId="0" xfId="0" applyFont="1" applyBorder="1"/>
    <xf numFmtId="0" fontId="21" fillId="0" borderId="0" xfId="0" applyFont="1" applyBorder="1"/>
    <xf numFmtId="0" fontId="13" fillId="0" borderId="0" xfId="0" applyFont="1" applyBorder="1" applyAlignment="1">
      <alignment horizontal="right"/>
    </xf>
    <xf numFmtId="0" fontId="18" fillId="0" borderId="0" xfId="0" applyFont="1" applyBorder="1" applyAlignment="1">
      <alignment horizontal="right"/>
    </xf>
    <xf numFmtId="0" fontId="17" fillId="0" borderId="0" xfId="0" applyFont="1" applyBorder="1"/>
    <xf numFmtId="164" fontId="17" fillId="0" borderId="0" xfId="0" applyNumberFormat="1" applyFont="1" applyBorder="1"/>
    <xf numFmtId="0" fontId="27" fillId="0" borderId="0" xfId="0" applyFont="1" applyFill="1" applyBorder="1"/>
    <xf numFmtId="0" fontId="0" fillId="0" borderId="0" xfId="0" applyFill="1" applyBorder="1"/>
    <xf numFmtId="0" fontId="17" fillId="0" borderId="0" xfId="4" applyNumberFormat="1" applyFont="1" applyFill="1" applyBorder="1" applyAlignment="1" applyProtection="1">
      <alignment horizontal="right"/>
    </xf>
    <xf numFmtId="0" fontId="17" fillId="0" borderId="15" xfId="0" applyFont="1" applyFill="1" applyBorder="1"/>
    <xf numFmtId="0" fontId="17" fillId="0" borderId="17" xfId="0" applyFont="1" applyFill="1" applyBorder="1"/>
    <xf numFmtId="0" fontId="17" fillId="0" borderId="16" xfId="0" applyFont="1" applyFill="1" applyBorder="1"/>
    <xf numFmtId="0" fontId="13" fillId="0" borderId="18" xfId="0" applyFont="1" applyFill="1" applyBorder="1"/>
    <xf numFmtId="164" fontId="13" fillId="0" borderId="14" xfId="0" applyNumberFormat="1" applyFont="1" applyFill="1" applyBorder="1"/>
    <xf numFmtId="164" fontId="13" fillId="0" borderId="0" xfId="0" applyNumberFormat="1" applyFont="1" applyFill="1" applyBorder="1"/>
    <xf numFmtId="0" fontId="0" fillId="0" borderId="18" xfId="0" applyFill="1" applyBorder="1"/>
    <xf numFmtId="0" fontId="19" fillId="0" borderId="18" xfId="0" applyFont="1" applyFill="1" applyBorder="1"/>
    <xf numFmtId="167" fontId="28" fillId="0" borderId="14" xfId="0" applyNumberFormat="1" applyFont="1" applyFill="1" applyBorder="1"/>
    <xf numFmtId="167" fontId="28" fillId="0" borderId="0" xfId="0" applyNumberFormat="1" applyFont="1" applyFill="1" applyBorder="1"/>
    <xf numFmtId="0" fontId="13" fillId="0" borderId="19" xfId="0" applyFont="1" applyFill="1" applyBorder="1"/>
    <xf numFmtId="1" fontId="0" fillId="0" borderId="20" xfId="0" applyNumberFormat="1" applyFill="1" applyBorder="1"/>
    <xf numFmtId="0" fontId="0" fillId="0" borderId="1" xfId="0" applyFill="1" applyBorder="1"/>
    <xf numFmtId="1" fontId="0" fillId="0" borderId="1" xfId="0" applyNumberFormat="1" applyFill="1" applyBorder="1"/>
    <xf numFmtId="0" fontId="0" fillId="0" borderId="19" xfId="0" applyFill="1" applyBorder="1"/>
    <xf numFmtId="0" fontId="13" fillId="0" borderId="0" xfId="0" applyFont="1" applyFill="1"/>
    <xf numFmtId="0" fontId="13" fillId="0" borderId="21" xfId="0" applyFont="1" applyFill="1" applyBorder="1"/>
    <xf numFmtId="2" fontId="13" fillId="0" borderId="21" xfId="0" applyNumberFormat="1" applyFont="1" applyFill="1" applyBorder="1"/>
    <xf numFmtId="0" fontId="0" fillId="0" borderId="0" xfId="0" applyFill="1"/>
    <xf numFmtId="2" fontId="0" fillId="0" borderId="21" xfId="0" applyNumberFormat="1" applyFill="1" applyBorder="1"/>
    <xf numFmtId="0" fontId="24" fillId="0" borderId="0" xfId="0" applyFont="1" applyFill="1"/>
    <xf numFmtId="0" fontId="0" fillId="0" borderId="21" xfId="0" applyFill="1" applyBorder="1"/>
    <xf numFmtId="0" fontId="26" fillId="0" borderId="21" xfId="0" applyFont="1" applyFill="1" applyBorder="1"/>
    <xf numFmtId="0" fontId="17" fillId="0" borderId="22" xfId="0" applyFont="1" applyFill="1" applyBorder="1" applyAlignment="1">
      <alignment horizontal="center" vertical="center"/>
    </xf>
    <xf numFmtId="0" fontId="17" fillId="0" borderId="23" xfId="0" applyFont="1" applyFill="1" applyBorder="1" applyAlignment="1">
      <alignment horizontal="center" vertical="center"/>
    </xf>
    <xf numFmtId="0" fontId="17" fillId="0" borderId="24" xfId="0" applyFont="1" applyFill="1" applyBorder="1" applyAlignment="1">
      <alignment horizontal="center" vertical="center"/>
    </xf>
    <xf numFmtId="0" fontId="17" fillId="0" borderId="25" xfId="0" applyFont="1" applyFill="1" applyBorder="1" applyAlignment="1">
      <alignment horizontal="center" vertical="center"/>
    </xf>
    <xf numFmtId="0" fontId="28" fillId="0" borderId="14" xfId="0" applyFont="1" applyFill="1" applyBorder="1"/>
    <xf numFmtId="0" fontId="29" fillId="0" borderId="16" xfId="0" applyFont="1" applyFill="1" applyBorder="1"/>
    <xf numFmtId="164" fontId="28" fillId="0" borderId="0" xfId="0" applyNumberFormat="1" applyFont="1" applyFill="1" applyBorder="1"/>
    <xf numFmtId="0" fontId="30" fillId="0" borderId="14" xfId="0" applyFont="1" applyFill="1" applyBorder="1"/>
    <xf numFmtId="0" fontId="30" fillId="0" borderId="0" xfId="0" applyFont="1" applyFill="1" applyBorder="1"/>
    <xf numFmtId="0" fontId="29" fillId="0" borderId="15" xfId="0" applyFont="1" applyFill="1" applyBorder="1"/>
    <xf numFmtId="0" fontId="0" fillId="0" borderId="22" xfId="0" applyFill="1" applyBorder="1"/>
    <xf numFmtId="0" fontId="13" fillId="0" borderId="14" xfId="0" applyFont="1" applyFill="1" applyBorder="1"/>
    <xf numFmtId="1" fontId="0" fillId="0" borderId="0" xfId="0" applyNumberFormat="1" applyFill="1" applyBorder="1"/>
    <xf numFmtId="0" fontId="0" fillId="0" borderId="14" xfId="0" applyFill="1" applyBorder="1"/>
    <xf numFmtId="0" fontId="0" fillId="0" borderId="23" xfId="0" applyFill="1" applyBorder="1"/>
    <xf numFmtId="2" fontId="17" fillId="0" borderId="22" xfId="0" applyNumberFormat="1" applyFont="1" applyFill="1" applyBorder="1"/>
    <xf numFmtId="0" fontId="13" fillId="0" borderId="22" xfId="0" applyFont="1" applyFill="1" applyBorder="1"/>
    <xf numFmtId="0" fontId="13" fillId="0" borderId="23" xfId="0" applyFont="1" applyFill="1" applyBorder="1"/>
    <xf numFmtId="0" fontId="0" fillId="0" borderId="27" xfId="0" applyBorder="1"/>
    <xf numFmtId="0" fontId="0" fillId="0" borderId="28" xfId="0" applyBorder="1"/>
    <xf numFmtId="0" fontId="17" fillId="0" borderId="29" xfId="0" applyFont="1" applyBorder="1"/>
    <xf numFmtId="0" fontId="0" fillId="0" borderId="8" xfId="0" applyBorder="1"/>
    <xf numFmtId="0" fontId="11" fillId="0" borderId="30" xfId="0" applyFont="1" applyBorder="1"/>
    <xf numFmtId="0" fontId="17" fillId="0" borderId="32" xfId="0" applyFont="1" applyBorder="1"/>
    <xf numFmtId="0" fontId="0" fillId="0" borderId="33" xfId="0" applyBorder="1"/>
    <xf numFmtId="0" fontId="0" fillId="0" borderId="34" xfId="0" applyBorder="1"/>
    <xf numFmtId="0" fontId="13" fillId="0" borderId="34" xfId="0" applyFont="1" applyBorder="1"/>
    <xf numFmtId="0" fontId="13" fillId="0" borderId="35" xfId="0" applyFont="1" applyBorder="1"/>
    <xf numFmtId="0" fontId="13" fillId="0" borderId="36" xfId="0" applyFont="1" applyBorder="1"/>
    <xf numFmtId="0" fontId="13" fillId="0" borderId="37" xfId="0" applyFont="1" applyBorder="1"/>
    <xf numFmtId="0" fontId="17" fillId="0" borderId="42" xfId="0" applyFont="1" applyBorder="1"/>
    <xf numFmtId="0" fontId="13" fillId="0" borderId="27" xfId="0" applyFont="1" applyBorder="1"/>
    <xf numFmtId="164" fontId="13" fillId="0" borderId="18" xfId="0" applyNumberFormat="1" applyFont="1" applyBorder="1"/>
    <xf numFmtId="164" fontId="0" fillId="0" borderId="18" xfId="0" applyNumberFormat="1" applyBorder="1"/>
    <xf numFmtId="0" fontId="0" fillId="0" borderId="18" xfId="0" applyBorder="1"/>
    <xf numFmtId="164" fontId="17" fillId="0" borderId="18" xfId="0" applyNumberFormat="1" applyFont="1" applyBorder="1" applyAlignment="1">
      <alignment horizontal="center" vertical="center"/>
    </xf>
    <xf numFmtId="2" fontId="13" fillId="0" borderId="18" xfId="0" applyNumberFormat="1" applyFont="1" applyFill="1" applyBorder="1"/>
    <xf numFmtId="2" fontId="0" fillId="0" borderId="18" xfId="0" applyNumberFormat="1" applyFill="1" applyBorder="1"/>
    <xf numFmtId="164" fontId="13" fillId="0" borderId="18" xfId="0" applyNumberFormat="1" applyFont="1" applyFill="1" applyBorder="1"/>
    <xf numFmtId="0" fontId="26" fillId="0" borderId="18" xfId="0" applyFont="1" applyFill="1" applyBorder="1"/>
    <xf numFmtId="164" fontId="28" fillId="0" borderId="44" xfId="0" applyNumberFormat="1" applyFont="1" applyFill="1" applyBorder="1"/>
    <xf numFmtId="1" fontId="0" fillId="0" borderId="22" xfId="0" applyNumberFormat="1" applyFill="1" applyBorder="1"/>
    <xf numFmtId="164" fontId="22" fillId="0" borderId="22" xfId="0" applyNumberFormat="1" applyFont="1" applyBorder="1"/>
    <xf numFmtId="0" fontId="0" fillId="0" borderId="22" xfId="0" applyBorder="1"/>
    <xf numFmtId="0" fontId="17" fillId="0" borderId="22" xfId="0" applyFont="1" applyBorder="1" applyAlignment="1">
      <alignment horizontal="center" vertical="center"/>
    </xf>
    <xf numFmtId="0" fontId="17" fillId="0" borderId="24" xfId="0" applyFont="1" applyBorder="1" applyAlignment="1">
      <alignment horizontal="center" vertical="center"/>
    </xf>
    <xf numFmtId="164" fontId="17" fillId="0" borderId="22" xfId="0" applyNumberFormat="1" applyFont="1" applyBorder="1" applyAlignment="1">
      <alignment horizontal="center" vertical="center"/>
    </xf>
    <xf numFmtId="164" fontId="0" fillId="0" borderId="22" xfId="0" applyNumberFormat="1" applyBorder="1"/>
    <xf numFmtId="0" fontId="24" fillId="0" borderId="18" xfId="0" applyFont="1" applyBorder="1"/>
    <xf numFmtId="164" fontId="17" fillId="0" borderId="18" xfId="0" applyNumberFormat="1" applyFont="1" applyBorder="1"/>
    <xf numFmtId="164" fontId="24" fillId="0" borderId="18" xfId="0" applyNumberFormat="1" applyFont="1" applyBorder="1"/>
    <xf numFmtId="0" fontId="0" fillId="0" borderId="44" xfId="0" applyFill="1" applyBorder="1"/>
    <xf numFmtId="0" fontId="13" fillId="0" borderId="22" xfId="0" applyFont="1" applyBorder="1"/>
    <xf numFmtId="164" fontId="24" fillId="0" borderId="22" xfId="0" applyNumberFormat="1" applyFont="1" applyBorder="1"/>
    <xf numFmtId="0" fontId="0" fillId="8" borderId="0" xfId="0" applyFill="1"/>
    <xf numFmtId="0" fontId="0" fillId="0" borderId="0" xfId="0" applyAlignment="1">
      <alignment horizontal="left"/>
    </xf>
    <xf numFmtId="0" fontId="27" fillId="8" borderId="0" xfId="0" applyFont="1" applyFill="1" applyBorder="1" applyAlignment="1">
      <alignment horizontal="right" vertical="center"/>
    </xf>
    <xf numFmtId="0" fontId="0" fillId="8" borderId="0" xfId="0" applyFill="1" applyBorder="1"/>
    <xf numFmtId="0" fontId="10" fillId="8" borderId="0" xfId="0" applyFont="1" applyFill="1" applyBorder="1"/>
    <xf numFmtId="0" fontId="13" fillId="8" borderId="0" xfId="0" applyFont="1" applyFill="1" applyBorder="1" applyProtection="1">
      <protection locked="0"/>
    </xf>
    <xf numFmtId="0" fontId="11" fillId="0" borderId="24" xfId="0" applyFont="1" applyFill="1" applyBorder="1" applyAlignment="1" applyProtection="1">
      <alignment horizontal="right" vertical="center"/>
      <protection locked="0"/>
    </xf>
    <xf numFmtId="0" fontId="13" fillId="8" borderId="0" xfId="0" applyFont="1" applyFill="1" applyBorder="1"/>
    <xf numFmtId="0" fontId="10" fillId="8" borderId="0" xfId="0" applyFont="1" applyFill="1" applyBorder="1" applyProtection="1">
      <protection locked="0"/>
    </xf>
    <xf numFmtId="4" fontId="13" fillId="8" borderId="0" xfId="0" applyNumberFormat="1" applyFont="1" applyFill="1" applyBorder="1"/>
    <xf numFmtId="0" fontId="13" fillId="0" borderId="0" xfId="0" applyFont="1" applyAlignment="1">
      <alignment horizontal="right" wrapText="1"/>
    </xf>
    <xf numFmtId="0" fontId="24" fillId="8" borderId="0" xfId="0" applyFont="1" applyFill="1" applyBorder="1"/>
    <xf numFmtId="9" fontId="0" fillId="8" borderId="0" xfId="0" applyNumberFormat="1" applyFill="1" applyBorder="1"/>
    <xf numFmtId="0" fontId="0" fillId="0" borderId="0" xfId="0" applyAlignment="1">
      <alignment horizontal="left" vertical="center"/>
    </xf>
    <xf numFmtId="0" fontId="11" fillId="8" borderId="0" xfId="0" applyFont="1" applyFill="1" applyBorder="1" applyAlignment="1" applyProtection="1">
      <alignment horizontal="left" vertical="center"/>
      <protection locked="0"/>
    </xf>
    <xf numFmtId="0" fontId="22" fillId="8" borderId="0" xfId="0" applyFont="1" applyFill="1" applyBorder="1"/>
    <xf numFmtId="166" fontId="13" fillId="8" borderId="0" xfId="1" applyNumberFormat="1" applyFont="1" applyFill="1" applyBorder="1" applyAlignment="1">
      <alignment horizontal="right"/>
    </xf>
    <xf numFmtId="0" fontId="9" fillId="8" borderId="0" xfId="3" applyNumberFormat="1" applyFont="1" applyFill="1" applyBorder="1" applyAlignment="1" applyProtection="1"/>
    <xf numFmtId="165" fontId="13" fillId="8" borderId="0" xfId="2" applyNumberFormat="1" applyFont="1" applyFill="1" applyBorder="1" applyAlignment="1" applyProtection="1"/>
    <xf numFmtId="0" fontId="0" fillId="8" borderId="0" xfId="0" applyFill="1" applyAlignment="1">
      <alignment wrapText="1"/>
    </xf>
    <xf numFmtId="0" fontId="0" fillId="0" borderId="0" xfId="0" applyFill="1" applyAlignment="1">
      <alignment wrapText="1"/>
    </xf>
    <xf numFmtId="0" fontId="13" fillId="0" borderId="0" xfId="0" applyFont="1" applyFill="1" applyAlignment="1">
      <alignment horizontal="right"/>
    </xf>
    <xf numFmtId="2" fontId="0" fillId="0" borderId="48" xfId="0" applyNumberFormat="1" applyBorder="1"/>
    <xf numFmtId="0" fontId="0" fillId="0" borderId="48" xfId="0" applyBorder="1"/>
    <xf numFmtId="0" fontId="13" fillId="0" borderId="0" xfId="0" applyFont="1" applyAlignment="1">
      <alignment horizontal="left"/>
    </xf>
    <xf numFmtId="0" fontId="13" fillId="0" borderId="0" xfId="0" applyFont="1" applyAlignment="1">
      <alignment horizontal="right"/>
    </xf>
    <xf numFmtId="164" fontId="34" fillId="0" borderId="21" xfId="0" applyNumberFormat="1" applyFont="1" applyBorder="1"/>
    <xf numFmtId="0" fontId="0" fillId="0" borderId="0" xfId="0" applyAlignment="1"/>
    <xf numFmtId="0" fontId="0" fillId="0" borderId="48" xfId="0" applyBorder="1" applyAlignment="1">
      <alignment horizontal="right" vertical="center"/>
    </xf>
    <xf numFmtId="0" fontId="0" fillId="0" borderId="49" xfId="0" applyBorder="1" applyAlignment="1">
      <alignment horizontal="right" vertical="center"/>
    </xf>
    <xf numFmtId="0" fontId="13" fillId="0" borderId="50" xfId="0" applyFont="1" applyBorder="1"/>
    <xf numFmtId="0" fontId="13" fillId="0" borderId="51" xfId="0" applyFont="1" applyBorder="1" applyAlignment="1">
      <alignment horizontal="right" vertical="center"/>
    </xf>
    <xf numFmtId="0" fontId="0" fillId="0" borderId="52" xfId="0" applyBorder="1"/>
    <xf numFmtId="0" fontId="13" fillId="0" borderId="52" xfId="0" applyFont="1" applyBorder="1"/>
    <xf numFmtId="0" fontId="0" fillId="0" borderId="53" xfId="0" applyBorder="1"/>
    <xf numFmtId="0" fontId="13" fillId="0" borderId="50" xfId="0" applyFont="1" applyBorder="1" applyAlignment="1">
      <alignment horizontal="right" vertical="center"/>
    </xf>
    <xf numFmtId="0" fontId="0" fillId="0" borderId="49" xfId="0" applyBorder="1"/>
    <xf numFmtId="0" fontId="0" fillId="0" borderId="54" xfId="0" applyBorder="1"/>
    <xf numFmtId="0" fontId="0" fillId="0" borderId="55" xfId="0" applyBorder="1"/>
    <xf numFmtId="0" fontId="0" fillId="0" borderId="0" xfId="0" applyAlignment="1"/>
    <xf numFmtId="0" fontId="13" fillId="0" borderId="0" xfId="0" applyFont="1" applyAlignment="1">
      <alignment horizontal="right"/>
    </xf>
    <xf numFmtId="0" fontId="0" fillId="0" borderId="0" xfId="0" applyAlignment="1">
      <alignment horizontal="right"/>
    </xf>
    <xf numFmtId="0" fontId="0" fillId="0" borderId="0" xfId="0" applyFill="1" applyBorder="1" applyAlignment="1"/>
    <xf numFmtId="0" fontId="0" fillId="0" borderId="0" xfId="0" applyAlignment="1">
      <alignment horizontal="right" wrapText="1"/>
    </xf>
    <xf numFmtId="0" fontId="0" fillId="0" borderId="0" xfId="0" applyAlignment="1">
      <alignment horizontal="center" vertical="center"/>
    </xf>
    <xf numFmtId="0" fontId="0" fillId="0" borderId="0" xfId="0" applyAlignment="1">
      <alignment horizontal="center"/>
    </xf>
    <xf numFmtId="0" fontId="13" fillId="0" borderId="0" xfId="0" applyFont="1" applyAlignment="1">
      <alignment horizontal="center" vertical="center"/>
    </xf>
    <xf numFmtId="0" fontId="13" fillId="0" borderId="0" xfId="0" applyFont="1" applyBorder="1" applyAlignment="1"/>
    <xf numFmtId="2" fontId="13" fillId="0" borderId="0" xfId="0" applyNumberFormat="1" applyFont="1" applyBorder="1"/>
    <xf numFmtId="0" fontId="17" fillId="0" borderId="56" xfId="0" applyFont="1" applyBorder="1" applyAlignment="1">
      <alignment horizontal="center" vertical="center"/>
    </xf>
    <xf numFmtId="0" fontId="22" fillId="0" borderId="56" xfId="0" applyFont="1" applyFill="1" applyBorder="1"/>
    <xf numFmtId="0" fontId="35" fillId="0" borderId="57" xfId="0" applyFont="1" applyBorder="1"/>
    <xf numFmtId="0" fontId="35" fillId="0" borderId="58" xfId="0" applyFont="1" applyBorder="1"/>
    <xf numFmtId="0" fontId="17" fillId="0" borderId="26" xfId="0" applyFont="1" applyBorder="1"/>
    <xf numFmtId="0" fontId="11" fillId="0" borderId="0" xfId="0" applyFont="1" applyFill="1" applyBorder="1" applyAlignment="1">
      <alignment horizontal="left" vertical="center"/>
    </xf>
    <xf numFmtId="0" fontId="13" fillId="0" borderId="0" xfId="0" applyFont="1" applyAlignment="1">
      <alignment horizontal="left" wrapText="1"/>
    </xf>
    <xf numFmtId="0" fontId="11" fillId="0" borderId="45" xfId="0" applyFont="1" applyFill="1" applyBorder="1" applyAlignment="1" applyProtection="1">
      <alignment horizontal="left"/>
    </xf>
    <xf numFmtId="0" fontId="0" fillId="0" borderId="46" xfId="0" applyFill="1" applyBorder="1" applyProtection="1"/>
    <xf numFmtId="0" fontId="0" fillId="0" borderId="47" xfId="0" applyBorder="1"/>
    <xf numFmtId="0" fontId="22" fillId="0" borderId="0" xfId="0" applyFont="1" applyFill="1" applyBorder="1"/>
    <xf numFmtId="0" fontId="22" fillId="0" borderId="0" xfId="0" applyFont="1" applyFill="1" applyBorder="1" applyAlignment="1">
      <alignment vertical="center"/>
    </xf>
    <xf numFmtId="0" fontId="35" fillId="0" borderId="0" xfId="0" applyFont="1" applyBorder="1"/>
    <xf numFmtId="0" fontId="17" fillId="0" borderId="14" xfId="0" applyFont="1" applyFill="1" applyBorder="1" applyAlignment="1">
      <alignment horizontal="center" vertical="center"/>
    </xf>
    <xf numFmtId="0" fontId="13" fillId="0" borderId="57" xfId="0" applyFont="1" applyBorder="1" applyAlignment="1">
      <alignment horizontal="left" vertical="center"/>
    </xf>
    <xf numFmtId="0" fontId="36" fillId="0" borderId="0" xfId="0" applyFont="1"/>
    <xf numFmtId="0" fontId="13" fillId="0" borderId="51" xfId="0" applyFont="1" applyBorder="1"/>
    <xf numFmtId="0" fontId="0" fillId="0" borderId="59" xfId="0" applyBorder="1"/>
    <xf numFmtId="0" fontId="13" fillId="0" borderId="50" xfId="0" applyFont="1" applyBorder="1" applyAlignment="1">
      <alignment horizontal="left"/>
    </xf>
    <xf numFmtId="168" fontId="0" fillId="0" borderId="48" xfId="0" applyNumberFormat="1" applyBorder="1"/>
    <xf numFmtId="168" fontId="0" fillId="0" borderId="48" xfId="0" quotePrefix="1" applyNumberFormat="1" applyBorder="1" applyAlignment="1">
      <alignment horizontal="right" vertical="center"/>
    </xf>
    <xf numFmtId="2" fontId="0" fillId="0" borderId="48" xfId="0" applyNumberFormat="1" applyBorder="1" applyAlignment="1">
      <alignment horizontal="right" vertical="center"/>
    </xf>
    <xf numFmtId="2" fontId="0" fillId="0" borderId="49" xfId="0" applyNumberFormat="1" applyBorder="1" applyAlignment="1">
      <alignment horizontal="right" vertical="center"/>
    </xf>
    <xf numFmtId="0" fontId="0" fillId="0" borderId="60" xfId="0" applyBorder="1"/>
    <xf numFmtId="0" fontId="13" fillId="0" borderId="31" xfId="0" applyFont="1" applyBorder="1" applyAlignment="1">
      <alignment horizontal="left"/>
    </xf>
    <xf numFmtId="0" fontId="0" fillId="0" borderId="61" xfId="0" applyBorder="1"/>
    <xf numFmtId="0" fontId="13" fillId="0" borderId="53" xfId="0" applyFont="1" applyBorder="1"/>
    <xf numFmtId="2" fontId="0" fillId="0" borderId="49" xfId="0" applyNumberFormat="1" applyBorder="1"/>
    <xf numFmtId="0" fontId="0" fillId="0" borderId="49" xfId="0" applyFill="1" applyBorder="1"/>
    <xf numFmtId="0" fontId="13" fillId="0" borderId="31" xfId="0" applyFont="1" applyFill="1" applyBorder="1"/>
    <xf numFmtId="0" fontId="0" fillId="0" borderId="55" xfId="0" applyFill="1" applyBorder="1"/>
    <xf numFmtId="0" fontId="13" fillId="0" borderId="54" xfId="0" applyFont="1" applyBorder="1"/>
    <xf numFmtId="168" fontId="13" fillId="0" borderId="48" xfId="0" quotePrefix="1" applyNumberFormat="1" applyFont="1" applyBorder="1" applyAlignment="1">
      <alignment horizontal="right" vertical="center"/>
    </xf>
    <xf numFmtId="0" fontId="13" fillId="0" borderId="0" xfId="0" applyFont="1" applyBorder="1" applyAlignment="1">
      <alignment horizontal="right" vertical="center"/>
    </xf>
    <xf numFmtId="2" fontId="0" fillId="0" borderId="0" xfId="0" applyNumberFormat="1" applyBorder="1"/>
    <xf numFmtId="0" fontId="0" fillId="0" borderId="0" xfId="0" applyBorder="1" applyAlignment="1">
      <alignment horizontal="right" vertical="center"/>
    </xf>
    <xf numFmtId="0" fontId="13" fillId="0" borderId="0" xfId="0" applyFont="1" applyBorder="1" applyAlignment="1">
      <alignment horizontal="left" vertical="center"/>
    </xf>
    <xf numFmtId="0" fontId="34" fillId="0" borderId="54" xfId="0" applyFont="1" applyBorder="1"/>
    <xf numFmtId="164" fontId="0" fillId="0" borderId="48" xfId="0" applyNumberFormat="1" applyBorder="1"/>
    <xf numFmtId="0" fontId="22" fillId="0" borderId="0" xfId="0" applyFont="1"/>
    <xf numFmtId="0" fontId="42" fillId="0" borderId="0" xfId="0" applyFont="1"/>
    <xf numFmtId="2" fontId="0" fillId="0" borderId="0" xfId="0" applyNumberFormat="1"/>
    <xf numFmtId="0" fontId="48" fillId="0" borderId="0" xfId="0" applyFont="1"/>
    <xf numFmtId="0" fontId="48" fillId="6" borderId="0" xfId="0" applyFont="1" applyFill="1" applyBorder="1"/>
    <xf numFmtId="0" fontId="49" fillId="0" borderId="0" xfId="0" applyFont="1"/>
    <xf numFmtId="0" fontId="51" fillId="0" borderId="0" xfId="0" applyFont="1"/>
    <xf numFmtId="164" fontId="49" fillId="0" borderId="0" xfId="0" applyNumberFormat="1" applyFont="1"/>
    <xf numFmtId="0" fontId="48" fillId="6" borderId="5" xfId="0" applyFont="1" applyFill="1" applyBorder="1"/>
    <xf numFmtId="0" fontId="49" fillId="0" borderId="1" xfId="0" applyFont="1" applyBorder="1"/>
    <xf numFmtId="164" fontId="51" fillId="0" borderId="1" xfId="0" applyNumberFormat="1" applyFont="1" applyBorder="1"/>
    <xf numFmtId="0" fontId="47" fillId="6" borderId="0" xfId="0" applyFont="1" applyFill="1" applyBorder="1"/>
    <xf numFmtId="0" fontId="48" fillId="0" borderId="7" xfId="2" applyNumberFormat="1" applyFont="1" applyFill="1" applyBorder="1" applyAlignment="1" applyProtection="1"/>
    <xf numFmtId="0" fontId="56" fillId="0" borderId="0" xfId="0" applyFont="1"/>
    <xf numFmtId="164" fontId="48" fillId="0" borderId="0" xfId="0" applyNumberFormat="1" applyFont="1"/>
    <xf numFmtId="0" fontId="48" fillId="0" borderId="0" xfId="0" applyFont="1" applyAlignment="1">
      <alignment horizontal="right"/>
    </xf>
    <xf numFmtId="0" fontId="48" fillId="0" borderId="0" xfId="0" quotePrefix="1" applyFont="1"/>
    <xf numFmtId="0" fontId="48" fillId="6" borderId="10" xfId="0" applyFont="1" applyFill="1" applyBorder="1"/>
    <xf numFmtId="0" fontId="57" fillId="0" borderId="0" xfId="0" applyFont="1" applyAlignment="1">
      <alignment horizontal="right"/>
    </xf>
    <xf numFmtId="0" fontId="52" fillId="0" borderId="0" xfId="0" applyFont="1"/>
    <xf numFmtId="0" fontId="59" fillId="0" borderId="0" xfId="0" applyFont="1"/>
    <xf numFmtId="0" fontId="49" fillId="0" borderId="0" xfId="0" applyFont="1" applyProtection="1"/>
    <xf numFmtId="0" fontId="57" fillId="0" borderId="0" xfId="0" applyFont="1"/>
    <xf numFmtId="0" fontId="57" fillId="0" borderId="0" xfId="0" applyFont="1" applyProtection="1"/>
    <xf numFmtId="0" fontId="49" fillId="0" borderId="0" xfId="0" applyFont="1" applyAlignment="1">
      <alignment horizontal="right"/>
    </xf>
    <xf numFmtId="164" fontId="57" fillId="0" borderId="0" xfId="0" applyNumberFormat="1" applyFont="1"/>
    <xf numFmtId="0" fontId="61" fillId="0" borderId="0" xfId="0" applyFont="1"/>
    <xf numFmtId="0" fontId="48" fillId="0" borderId="0" xfId="0" applyNumberFormat="1" applyFont="1"/>
    <xf numFmtId="0" fontId="9" fillId="4" borderId="0" xfId="3" applyNumberFormat="1" applyFont="1" applyBorder="1" applyAlignment="1" applyProtection="1"/>
    <xf numFmtId="165" fontId="13" fillId="5" borderId="0" xfId="2" applyNumberFormat="1" applyFont="1" applyFill="1" applyBorder="1" applyAlignment="1" applyProtection="1"/>
    <xf numFmtId="0" fontId="9" fillId="0" borderId="0" xfId="3" applyNumberFormat="1" applyFont="1" applyFill="1" applyBorder="1" applyAlignment="1" applyProtection="1"/>
    <xf numFmtId="2" fontId="13" fillId="0" borderId="0" xfId="0" applyNumberFormat="1" applyFont="1"/>
    <xf numFmtId="0" fontId="0" fillId="0" borderId="0" xfId="0" applyAlignment="1"/>
    <xf numFmtId="0" fontId="9" fillId="0" borderId="0" xfId="7"/>
    <xf numFmtId="2" fontId="9" fillId="0" borderId="0" xfId="7" applyNumberFormat="1"/>
    <xf numFmtId="0" fontId="13" fillId="0" borderId="0" xfId="7" applyFont="1"/>
    <xf numFmtId="0" fontId="45" fillId="0" borderId="0" xfId="7" applyFont="1"/>
    <xf numFmtId="0" fontId="10" fillId="0" borderId="0" xfId="7" applyFont="1"/>
    <xf numFmtId="0" fontId="22" fillId="0" borderId="0" xfId="7" applyFont="1"/>
    <xf numFmtId="2" fontId="22" fillId="0" borderId="0" xfId="7" applyNumberFormat="1" applyFont="1"/>
    <xf numFmtId="164" fontId="9" fillId="0" borderId="0" xfId="7" applyNumberFormat="1"/>
    <xf numFmtId="0" fontId="11" fillId="0" borderId="0" xfId="7" applyFont="1"/>
    <xf numFmtId="0" fontId="9" fillId="0" borderId="0" xfId="7" applyFill="1"/>
    <xf numFmtId="0" fontId="26" fillId="0" borderId="0" xfId="7" applyFont="1"/>
    <xf numFmtId="11" fontId="9" fillId="0" borderId="0" xfId="7" applyNumberFormat="1"/>
    <xf numFmtId="164" fontId="65" fillId="0" borderId="0" xfId="7" applyNumberFormat="1" applyFont="1" applyAlignment="1">
      <alignment vertical="center"/>
    </xf>
    <xf numFmtId="3" fontId="9" fillId="0" borderId="0" xfId="7" applyNumberFormat="1"/>
    <xf numFmtId="2" fontId="9" fillId="0" borderId="0" xfId="7" applyNumberFormat="1" applyFont="1"/>
    <xf numFmtId="0" fontId="9" fillId="0" borderId="0" xfId="7" applyBorder="1"/>
    <xf numFmtId="168" fontId="22" fillId="0" borderId="0" xfId="7" applyNumberFormat="1" applyFont="1"/>
    <xf numFmtId="164" fontId="13" fillId="0" borderId="0" xfId="7" applyNumberFormat="1" applyFont="1"/>
    <xf numFmtId="168" fontId="9" fillId="0" borderId="0" xfId="7" applyNumberFormat="1"/>
    <xf numFmtId="4" fontId="13" fillId="0" borderId="0" xfId="7" applyNumberFormat="1" applyFont="1"/>
    <xf numFmtId="0" fontId="9" fillId="0" borderId="0" xfId="7" applyFill="1" applyBorder="1"/>
    <xf numFmtId="4" fontId="9" fillId="0" borderId="0" xfId="7" applyNumberFormat="1"/>
    <xf numFmtId="0" fontId="73" fillId="0" borderId="0" xfId="7" applyFont="1"/>
    <xf numFmtId="0" fontId="13" fillId="0" borderId="0" xfId="7" applyFont="1" applyFill="1" applyBorder="1"/>
    <xf numFmtId="0" fontId="10" fillId="6" borderId="7" xfId="7" applyFont="1" applyFill="1" applyBorder="1" applyProtection="1"/>
    <xf numFmtId="4" fontId="65" fillId="0" borderId="0" xfId="7" applyNumberFormat="1" applyFont="1"/>
    <xf numFmtId="2" fontId="75" fillId="0" borderId="0" xfId="7" applyNumberFormat="1" applyFont="1"/>
    <xf numFmtId="0" fontId="9" fillId="0" borderId="0" xfId="7" applyAlignment="1">
      <alignment horizontal="right" vertical="center"/>
    </xf>
    <xf numFmtId="0" fontId="50" fillId="0" borderId="0" xfId="7" applyFont="1"/>
    <xf numFmtId="0" fontId="9" fillId="9" borderId="0" xfId="7" applyFill="1" applyBorder="1"/>
    <xf numFmtId="0" fontId="13" fillId="9" borderId="0" xfId="7" applyFont="1" applyFill="1" applyBorder="1" applyProtection="1"/>
    <xf numFmtId="164" fontId="9" fillId="0" borderId="0" xfId="7" applyNumberFormat="1" applyFont="1"/>
    <xf numFmtId="164" fontId="9" fillId="0" borderId="0" xfId="7" applyNumberFormat="1" applyAlignment="1"/>
    <xf numFmtId="1" fontId="22" fillId="0" borderId="0" xfId="7" applyNumberFormat="1" applyFont="1"/>
    <xf numFmtId="0" fontId="78" fillId="0" borderId="0" xfId="7" applyFont="1" applyFill="1" applyBorder="1"/>
    <xf numFmtId="164" fontId="67" fillId="0" borderId="0" xfId="7" applyNumberFormat="1" applyFont="1"/>
    <xf numFmtId="0" fontId="9" fillId="9" borderId="0" xfId="7" applyFill="1"/>
    <xf numFmtId="0" fontId="54" fillId="0" borderId="0" xfId="7" applyFont="1"/>
    <xf numFmtId="169" fontId="9" fillId="0" borderId="0" xfId="7" applyNumberFormat="1"/>
    <xf numFmtId="0" fontId="45" fillId="0" borderId="62" xfId="7" applyFont="1" applyBorder="1" applyAlignment="1">
      <alignment horizontal="center"/>
    </xf>
    <xf numFmtId="0" fontId="45" fillId="6" borderId="62" xfId="7" applyFont="1" applyFill="1" applyBorder="1" applyAlignment="1">
      <alignment horizontal="center"/>
    </xf>
    <xf numFmtId="0" fontId="10" fillId="0" borderId="1" xfId="7" applyFont="1" applyBorder="1"/>
    <xf numFmtId="164" fontId="10" fillId="0" borderId="0" xfId="7" applyNumberFormat="1" applyFont="1"/>
    <xf numFmtId="0" fontId="45" fillId="0" borderId="0" xfId="7" applyFont="1" applyFill="1"/>
    <xf numFmtId="0" fontId="11" fillId="0" borderId="0" xfId="7" applyFont="1" applyFill="1"/>
    <xf numFmtId="0" fontId="17" fillId="6" borderId="5" xfId="4" applyNumberFormat="1" applyFont="1" applyFill="1" applyBorder="1" applyAlignment="1" applyProtection="1">
      <alignment horizontal="right"/>
    </xf>
    <xf numFmtId="0" fontId="65" fillId="0" borderId="0" xfId="7" applyFont="1" applyFill="1" applyBorder="1" applyProtection="1"/>
    <xf numFmtId="0" fontId="65" fillId="0" borderId="0" xfId="7" applyFont="1" applyFill="1" applyBorder="1" applyAlignment="1" applyProtection="1">
      <alignment horizontal="center"/>
    </xf>
    <xf numFmtId="0" fontId="65" fillId="0" borderId="0" xfId="7" applyFont="1" applyFill="1" applyBorder="1" applyAlignment="1" applyProtection="1">
      <alignment horizontal="left" indent="1"/>
    </xf>
    <xf numFmtId="0" fontId="34" fillId="0" borderId="0" xfId="7" applyFont="1" applyFill="1" applyBorder="1" applyProtection="1"/>
    <xf numFmtId="0" fontId="82" fillId="0" borderId="0" xfId="7" applyFont="1" applyFill="1" applyBorder="1" applyProtection="1"/>
    <xf numFmtId="168" fontId="82" fillId="0" borderId="0" xfId="7" applyNumberFormat="1" applyFont="1" applyFill="1" applyBorder="1" applyProtection="1"/>
    <xf numFmtId="0" fontId="9" fillId="0" borderId="0" xfId="7" applyAlignment="1">
      <alignment horizontal="left" indent="1"/>
    </xf>
    <xf numFmtId="1" fontId="65" fillId="0" borderId="0" xfId="7" applyNumberFormat="1" applyFont="1" applyFill="1" applyBorder="1" applyProtection="1"/>
    <xf numFmtId="0" fontId="13" fillId="0" borderId="0" xfId="7" applyFont="1" applyBorder="1"/>
    <xf numFmtId="1" fontId="83" fillId="0" borderId="0" xfId="7" applyNumberFormat="1" applyFont="1" applyFill="1" applyBorder="1" applyProtection="1"/>
    <xf numFmtId="0" fontId="84" fillId="0" borderId="0" xfId="7" applyFont="1" applyFill="1" applyBorder="1" applyAlignment="1" applyProtection="1">
      <alignment horizontal="left" indent="1"/>
    </xf>
    <xf numFmtId="1" fontId="34" fillId="0" borderId="0" xfId="7" applyNumberFormat="1" applyFont="1" applyFill="1" applyBorder="1" applyProtection="1"/>
    <xf numFmtId="0" fontId="85" fillId="0" borderId="0" xfId="7" applyFont="1" applyBorder="1"/>
    <xf numFmtId="168" fontId="86" fillId="5" borderId="0" xfId="7" applyNumberFormat="1" applyFont="1" applyFill="1" applyBorder="1" applyProtection="1"/>
    <xf numFmtId="0" fontId="84" fillId="0" borderId="0" xfId="7" applyFont="1" applyFill="1" applyBorder="1" applyProtection="1"/>
    <xf numFmtId="0" fontId="87" fillId="0" borderId="0" xfId="7" applyFont="1" applyFill="1" applyBorder="1" applyAlignment="1" applyProtection="1">
      <alignment horizontal="left" indent="1"/>
    </xf>
    <xf numFmtId="1" fontId="34" fillId="0" borderId="0" xfId="7" applyNumberFormat="1" applyFont="1" applyAlignment="1">
      <alignment vertical="center"/>
    </xf>
    <xf numFmtId="170" fontId="34" fillId="0" borderId="0" xfId="7" applyNumberFormat="1" applyFont="1" applyAlignment="1">
      <alignment vertical="center"/>
    </xf>
    <xf numFmtId="168" fontId="83" fillId="0" borderId="0" xfId="7" applyNumberFormat="1" applyFont="1" applyFill="1" applyBorder="1" applyProtection="1"/>
    <xf numFmtId="170" fontId="83" fillId="0" borderId="0" xfId="7" applyNumberFormat="1" applyFont="1" applyFill="1" applyBorder="1" applyProtection="1"/>
    <xf numFmtId="2" fontId="34" fillId="0" borderId="0" xfId="7" applyNumberFormat="1" applyFont="1" applyAlignment="1">
      <alignment vertical="center"/>
    </xf>
    <xf numFmtId="2" fontId="83" fillId="0" borderId="0" xfId="7" applyNumberFormat="1" applyFont="1" applyFill="1" applyBorder="1" applyProtection="1"/>
    <xf numFmtId="0" fontId="88" fillId="0" borderId="0" xfId="7" applyFont="1" applyFill="1" applyBorder="1" applyAlignment="1" applyProtection="1">
      <alignment horizontal="left" indent="1"/>
    </xf>
    <xf numFmtId="0" fontId="35" fillId="0" borderId="0" xfId="7" applyFont="1" applyFill="1" applyBorder="1" applyAlignment="1" applyProtection="1">
      <alignment horizontal="left" indent="1"/>
    </xf>
    <xf numFmtId="166" fontId="34" fillId="0" borderId="0" xfId="7" applyNumberFormat="1" applyFont="1" applyAlignment="1">
      <alignment vertical="center"/>
    </xf>
    <xf numFmtId="166" fontId="83" fillId="0" borderId="0" xfId="7" applyNumberFormat="1" applyFont="1" applyFill="1" applyBorder="1" applyProtection="1"/>
    <xf numFmtId="0" fontId="89" fillId="0" borderId="0" xfId="7" applyFont="1" applyFill="1" applyBorder="1" applyProtection="1"/>
    <xf numFmtId="164" fontId="34" fillId="0" borderId="0" xfId="7" applyNumberFormat="1" applyFont="1" applyAlignment="1">
      <alignment vertical="center"/>
    </xf>
    <xf numFmtId="164" fontId="83" fillId="0" borderId="0" xfId="7" applyNumberFormat="1" applyFont="1" applyFill="1" applyBorder="1" applyProtection="1"/>
    <xf numFmtId="168" fontId="34" fillId="0" borderId="0" xfId="7" applyNumberFormat="1" applyFont="1" applyAlignment="1">
      <alignment vertical="center"/>
    </xf>
    <xf numFmtId="0" fontId="34" fillId="0" borderId="0" xfId="7" applyFont="1" applyAlignment="1">
      <alignment vertical="center"/>
    </xf>
    <xf numFmtId="0" fontId="83" fillId="0" borderId="0" xfId="7" applyFont="1" applyFill="1" applyBorder="1" applyProtection="1"/>
    <xf numFmtId="0" fontId="90" fillId="0" borderId="0" xfId="7" applyFont="1" applyAlignment="1">
      <alignment vertical="center"/>
    </xf>
    <xf numFmtId="0" fontId="91" fillId="0" borderId="0" xfId="7" applyFont="1" applyFill="1" applyBorder="1" applyAlignment="1" applyProtection="1">
      <alignment horizontal="left" indent="1"/>
    </xf>
    <xf numFmtId="11" fontId="92" fillId="0" borderId="0" xfId="7" applyNumberFormat="1" applyFont="1" applyFill="1" applyBorder="1" applyProtection="1"/>
    <xf numFmtId="0" fontId="35" fillId="0" borderId="0" xfId="7" applyFont="1" applyFill="1" applyBorder="1" applyProtection="1"/>
    <xf numFmtId="0" fontId="93" fillId="0" borderId="0" xfId="7" applyFont="1" applyFill="1" applyBorder="1" applyAlignment="1" applyProtection="1">
      <alignment horizontal="left" indent="1"/>
    </xf>
    <xf numFmtId="169" fontId="34" fillId="0" borderId="0" xfId="7" applyNumberFormat="1" applyFont="1" applyAlignment="1">
      <alignment vertical="center"/>
    </xf>
    <xf numFmtId="169" fontId="83" fillId="0" borderId="0" xfId="7" applyNumberFormat="1" applyFont="1" applyFill="1" applyBorder="1" applyProtection="1"/>
    <xf numFmtId="0" fontId="94" fillId="0" borderId="0" xfId="7" applyFont="1" applyFill="1" applyBorder="1" applyAlignment="1" applyProtection="1">
      <alignment horizontal="left" indent="1"/>
    </xf>
    <xf numFmtId="11" fontId="65" fillId="0" borderId="0" xfId="7" applyNumberFormat="1" applyFont="1" applyAlignment="1">
      <alignment vertical="center"/>
    </xf>
    <xf numFmtId="11" fontId="83" fillId="0" borderId="0" xfId="7" applyNumberFormat="1" applyFont="1" applyFill="1" applyBorder="1" applyProtection="1"/>
    <xf numFmtId="0" fontId="85" fillId="0" borderId="0" xfId="7" applyFont="1"/>
    <xf numFmtId="0" fontId="45" fillId="0" borderId="0" xfId="7" applyFont="1" applyAlignment="1">
      <alignment horizontal="left" indent="1"/>
    </xf>
    <xf numFmtId="0" fontId="25" fillId="0" borderId="0" xfId="7" applyFont="1" applyFill="1" applyBorder="1" applyProtection="1"/>
    <xf numFmtId="171" fontId="65" fillId="0" borderId="0" xfId="7" applyNumberFormat="1" applyFont="1" applyFill="1" applyBorder="1" applyProtection="1"/>
    <xf numFmtId="0" fontId="65" fillId="0" borderId="0" xfId="7" applyFont="1" applyFill="1" applyBorder="1" applyAlignment="1" applyProtection="1">
      <alignment horizontal="center" vertical="center"/>
    </xf>
    <xf numFmtId="0" fontId="67" fillId="0" borderId="0" xfId="7" applyFont="1" applyFill="1" applyBorder="1" applyProtection="1"/>
    <xf numFmtId="49" fontId="65" fillId="0" borderId="0" xfId="7" applyNumberFormat="1" applyFont="1" applyFill="1" applyBorder="1" applyProtection="1"/>
    <xf numFmtId="0" fontId="9" fillId="0" borderId="0" xfId="7" applyFont="1" applyBorder="1" applyProtection="1"/>
    <xf numFmtId="0" fontId="80" fillId="0" borderId="0" xfId="7" applyFont="1" applyFill="1" applyBorder="1" applyAlignment="1" applyProtection="1"/>
    <xf numFmtId="0" fontId="10" fillId="0" borderId="0" xfId="7" applyFont="1" applyFill="1" applyBorder="1" applyAlignment="1" applyProtection="1"/>
    <xf numFmtId="0" fontId="95" fillId="0" borderId="0" xfId="7" applyFont="1" applyFill="1" applyBorder="1" applyAlignment="1" applyProtection="1">
      <alignment horizontal="left" indent="1"/>
    </xf>
    <xf numFmtId="0" fontId="10" fillId="0" borderId="0" xfId="7" applyFont="1" applyFill="1" applyBorder="1" applyAlignment="1" applyProtection="1">
      <alignment wrapText="1"/>
    </xf>
    <xf numFmtId="0" fontId="96" fillId="0" borderId="0" xfId="7" applyFont="1" applyFill="1" applyBorder="1" applyAlignment="1" applyProtection="1">
      <alignment horizontal="center"/>
    </xf>
    <xf numFmtId="0" fontId="82" fillId="0" borderId="0" xfId="7" applyFont="1" applyFill="1" applyBorder="1" applyAlignment="1" applyProtection="1">
      <alignment horizontal="center"/>
    </xf>
    <xf numFmtId="0" fontId="65" fillId="0" borderId="0" xfId="7" applyFont="1" applyFill="1" applyBorder="1" applyAlignment="1" applyProtection="1">
      <alignment horizontal="left"/>
    </xf>
    <xf numFmtId="0" fontId="45" fillId="0" borderId="0" xfId="7" applyFont="1" applyBorder="1"/>
    <xf numFmtId="0" fontId="34" fillId="0" borderId="0" xfId="7" applyFont="1" applyFill="1" applyBorder="1" applyAlignment="1" applyProtection="1">
      <alignment horizontal="left"/>
    </xf>
    <xf numFmtId="0" fontId="35" fillId="0" borderId="0" xfId="7" applyFont="1" applyFill="1" applyBorder="1" applyAlignment="1" applyProtection="1">
      <alignment horizontal="center"/>
    </xf>
    <xf numFmtId="0" fontId="13" fillId="0" borderId="0" xfId="7" applyFont="1" applyFill="1" applyBorder="1" applyProtection="1"/>
    <xf numFmtId="0" fontId="65" fillId="0" borderId="0" xfId="7" applyFont="1" applyFill="1" applyBorder="1" applyAlignment="1" applyProtection="1">
      <alignment vertical="center"/>
    </xf>
    <xf numFmtId="0" fontId="65" fillId="0" borderId="0" xfId="7" applyFont="1" applyFill="1" applyBorder="1" applyAlignment="1" applyProtection="1">
      <alignment horizontal="left" vertical="center"/>
    </xf>
    <xf numFmtId="168" fontId="65" fillId="0" borderId="0" xfId="7" applyNumberFormat="1" applyFont="1" applyFill="1" applyBorder="1" applyProtection="1"/>
    <xf numFmtId="2" fontId="99" fillId="0" borderId="0" xfId="7" applyNumberFormat="1" applyFont="1" applyFill="1" applyBorder="1" applyProtection="1"/>
    <xf numFmtId="168" fontId="65" fillId="0" borderId="0" xfId="7" applyNumberFormat="1" applyFont="1" applyFill="1" applyBorder="1" applyAlignment="1" applyProtection="1">
      <alignment vertical="center"/>
    </xf>
    <xf numFmtId="0" fontId="9" fillId="0" borderId="0" xfId="7" applyFill="1" applyBorder="1" applyAlignment="1">
      <alignment horizontal="left"/>
    </xf>
    <xf numFmtId="2" fontId="65" fillId="0" borderId="0" xfId="7" applyNumberFormat="1" applyFont="1" applyFill="1" applyBorder="1" applyProtection="1"/>
    <xf numFmtId="0" fontId="67" fillId="11" borderId="0" xfId="7" applyFont="1" applyFill="1" applyBorder="1" applyAlignment="1" applyProtection="1">
      <alignment horizontal="left"/>
    </xf>
    <xf numFmtId="0" fontId="67" fillId="11" borderId="0" xfId="7" applyFont="1" applyFill="1" applyBorder="1" applyProtection="1"/>
    <xf numFmtId="0" fontId="101" fillId="0" borderId="0" xfId="7" applyFont="1" applyFill="1" applyBorder="1" applyProtection="1"/>
    <xf numFmtId="0" fontId="9" fillId="0" borderId="0" xfId="7" applyFont="1" applyFill="1" applyBorder="1"/>
    <xf numFmtId="172" fontId="83" fillId="0" borderId="0" xfId="7" applyNumberFormat="1" applyFont="1" applyFill="1" applyBorder="1" applyProtection="1"/>
    <xf numFmtId="164" fontId="65" fillId="0" borderId="14" xfId="7" applyNumberFormat="1" applyFont="1" applyFill="1" applyBorder="1" applyAlignment="1" applyProtection="1">
      <alignment horizontal="right" indent="1"/>
    </xf>
    <xf numFmtId="164" fontId="65" fillId="0" borderId="0" xfId="7" applyNumberFormat="1" applyFont="1" applyFill="1" applyBorder="1" applyProtection="1"/>
    <xf numFmtId="0" fontId="67" fillId="0" borderId="0" xfId="7" applyFont="1" applyFill="1" applyBorder="1" applyAlignment="1" applyProtection="1">
      <alignment horizontal="left"/>
    </xf>
    <xf numFmtId="0" fontId="80" fillId="0" borderId="0" xfId="7" applyFont="1" applyFill="1" applyBorder="1" applyAlignment="1" applyProtection="1">
      <alignment horizontal="left" indent="1"/>
    </xf>
    <xf numFmtId="173" fontId="83" fillId="0" borderId="0" xfId="7" applyNumberFormat="1" applyFont="1" applyFill="1" applyBorder="1" applyProtection="1"/>
    <xf numFmtId="0" fontId="34" fillId="0" borderId="0" xfId="7" applyFont="1" applyFill="1" applyBorder="1" applyAlignment="1" applyProtection="1">
      <alignment horizontal="right"/>
    </xf>
    <xf numFmtId="0" fontId="9" fillId="0" borderId="0" xfId="7" applyBorder="1" applyAlignment="1">
      <alignment horizontal="left"/>
    </xf>
    <xf numFmtId="0" fontId="45" fillId="0" borderId="0" xfId="7" applyFont="1" applyFill="1" applyBorder="1"/>
    <xf numFmtId="1" fontId="83" fillId="0" borderId="0" xfId="7" applyNumberFormat="1" applyFont="1" applyFill="1" applyBorder="1" applyAlignment="1" applyProtection="1">
      <alignment vertical="center"/>
    </xf>
    <xf numFmtId="0" fontId="9" fillId="0" borderId="0" xfId="7" applyFill="1" applyAlignment="1">
      <alignment horizontal="left"/>
    </xf>
    <xf numFmtId="0" fontId="45" fillId="0" borderId="1" xfId="7" applyFont="1" applyBorder="1" applyAlignment="1">
      <alignment horizontal="center"/>
    </xf>
    <xf numFmtId="0" fontId="45" fillId="6" borderId="1" xfId="7" applyFont="1" applyFill="1" applyBorder="1" applyAlignment="1">
      <alignment horizontal="center"/>
    </xf>
    <xf numFmtId="0" fontId="11" fillId="0" borderId="1" xfId="11" applyFont="1" applyBorder="1" applyProtection="1"/>
    <xf numFmtId="0" fontId="45" fillId="0" borderId="1" xfId="7" applyFont="1" applyBorder="1"/>
    <xf numFmtId="0" fontId="11" fillId="0" borderId="1" xfId="11" applyFont="1" applyBorder="1" applyAlignment="1" applyProtection="1">
      <alignment horizontal="left" indent="2"/>
    </xf>
    <xf numFmtId="0" fontId="82" fillId="0" borderId="1" xfId="7" applyFont="1" applyFill="1" applyBorder="1" applyAlignment="1" applyProtection="1">
      <alignment horizontal="center"/>
    </xf>
    <xf numFmtId="0" fontId="82" fillId="0" borderId="1" xfId="7" applyFont="1" applyFill="1" applyBorder="1" applyProtection="1"/>
    <xf numFmtId="0" fontId="11" fillId="0" borderId="0" xfId="11" applyFont="1" applyProtection="1"/>
    <xf numFmtId="0" fontId="11" fillId="0" borderId="0" xfId="11" applyFont="1" applyAlignment="1" applyProtection="1">
      <alignment horizontal="left" indent="2"/>
    </xf>
    <xf numFmtId="0" fontId="46" fillId="0" borderId="15" xfId="0" applyFont="1" applyBorder="1" applyAlignment="1">
      <alignment horizontal="right"/>
    </xf>
    <xf numFmtId="0" fontId="46" fillId="0" borderId="16" xfId="0" applyFont="1" applyBorder="1" applyAlignment="1" applyProtection="1">
      <alignment horizontal="center"/>
      <protection locked="0"/>
    </xf>
    <xf numFmtId="0" fontId="47" fillId="0" borderId="16" xfId="0" applyFont="1" applyBorder="1"/>
    <xf numFmtId="0" fontId="48" fillId="0" borderId="16" xfId="0" applyFont="1" applyBorder="1"/>
    <xf numFmtId="0" fontId="46" fillId="0" borderId="18" xfId="0" applyFont="1" applyBorder="1" applyAlignment="1">
      <alignment horizontal="right"/>
    </xf>
    <xf numFmtId="0" fontId="44" fillId="0" borderId="0" xfId="0" applyFont="1" applyBorder="1"/>
    <xf numFmtId="0" fontId="48" fillId="0" borderId="0" xfId="0" applyFont="1" applyBorder="1"/>
    <xf numFmtId="0" fontId="46" fillId="0" borderId="19" xfId="0" applyFont="1" applyBorder="1" applyAlignment="1">
      <alignment horizontal="right"/>
    </xf>
    <xf numFmtId="0" fontId="46" fillId="0" borderId="1" xfId="0" applyFont="1" applyBorder="1" applyAlignment="1" applyProtection="1">
      <alignment horizontal="center"/>
      <protection locked="0"/>
    </xf>
    <xf numFmtId="0" fontId="47" fillId="0" borderId="1" xfId="0" applyFont="1" applyBorder="1"/>
    <xf numFmtId="0" fontId="48" fillId="0" borderId="1" xfId="0" applyFont="1" applyBorder="1"/>
    <xf numFmtId="0" fontId="57" fillId="0" borderId="7" xfId="3" applyNumberFormat="1" applyFont="1" applyFill="1" applyBorder="1" applyAlignment="1" applyProtection="1"/>
    <xf numFmtId="0" fontId="65" fillId="0" borderId="0" xfId="7" applyNumberFormat="1" applyFont="1" applyFill="1" applyBorder="1" applyProtection="1"/>
    <xf numFmtId="0" fontId="45" fillId="0" borderId="1" xfId="7" applyNumberFormat="1" applyFont="1" applyBorder="1" applyAlignment="1">
      <alignment horizontal="center"/>
    </xf>
    <xf numFmtId="0" fontId="65" fillId="0" borderId="14" xfId="7" applyNumberFormat="1" applyFont="1" applyFill="1" applyBorder="1" applyAlignment="1" applyProtection="1">
      <alignment horizontal="right" indent="1"/>
    </xf>
    <xf numFmtId="0" fontId="65" fillId="0" borderId="14" xfId="7" applyNumberFormat="1" applyFont="1" applyFill="1" applyBorder="1" applyAlignment="1" applyProtection="1">
      <alignment horizontal="right" vertical="center" indent="1"/>
    </xf>
    <xf numFmtId="0" fontId="9" fillId="0" borderId="14" xfId="7" applyNumberFormat="1" applyBorder="1" applyAlignment="1">
      <alignment horizontal="right" indent="1"/>
    </xf>
    <xf numFmtId="0" fontId="9" fillId="0" borderId="14" xfId="7" applyNumberFormat="1" applyBorder="1"/>
    <xf numFmtId="0" fontId="65" fillId="0" borderId="14" xfId="7" applyNumberFormat="1" applyFont="1" applyFill="1" applyBorder="1" applyAlignment="1" applyProtection="1">
      <alignment vertical="center"/>
    </xf>
    <xf numFmtId="0" fontId="65" fillId="0" borderId="14" xfId="7" applyNumberFormat="1" applyFont="1" applyFill="1" applyBorder="1" applyProtection="1"/>
    <xf numFmtId="0" fontId="9" fillId="0" borderId="0" xfId="7" applyNumberFormat="1"/>
    <xf numFmtId="164" fontId="34" fillId="0" borderId="0" xfId="0" applyNumberFormat="1" applyFont="1"/>
    <xf numFmtId="0" fontId="49" fillId="0" borderId="0" xfId="0" applyFont="1" applyAlignment="1">
      <alignment horizontal="left"/>
    </xf>
    <xf numFmtId="168" fontId="65" fillId="0" borderId="14" xfId="7" applyNumberFormat="1" applyFont="1" applyFill="1" applyBorder="1" applyAlignment="1" applyProtection="1">
      <alignment horizontal="right" indent="1"/>
    </xf>
    <xf numFmtId="1" fontId="65" fillId="0" borderId="14" xfId="7" applyNumberFormat="1" applyFont="1" applyFill="1" applyBorder="1" applyAlignment="1" applyProtection="1">
      <alignment horizontal="right" indent="1"/>
    </xf>
    <xf numFmtId="0" fontId="9" fillId="0" borderId="0" xfId="7" applyFill="1" applyAlignment="1"/>
    <xf numFmtId="0" fontId="65" fillId="0" borderId="18" xfId="7" applyFont="1" applyFill="1" applyBorder="1" applyAlignment="1" applyProtection="1">
      <alignment horizontal="left" indent="1"/>
    </xf>
    <xf numFmtId="0" fontId="25" fillId="0" borderId="18" xfId="7" applyFont="1" applyFill="1" applyBorder="1" applyAlignment="1" applyProtection="1">
      <alignment horizontal="left" indent="1"/>
    </xf>
    <xf numFmtId="0" fontId="22" fillId="0" borderId="0" xfId="3" applyNumberFormat="1" applyFont="1" applyFill="1" applyBorder="1" applyAlignment="1" applyProtection="1"/>
    <xf numFmtId="0" fontId="113" fillId="0" borderId="0" xfId="7" applyFont="1" applyFill="1" applyBorder="1" applyProtection="1"/>
    <xf numFmtId="0" fontId="113" fillId="0" borderId="0" xfId="7" applyFont="1"/>
    <xf numFmtId="0" fontId="53" fillId="0" borderId="7" xfId="1" applyNumberFormat="1" applyFont="1" applyFill="1" applyBorder="1" applyAlignment="1" applyProtection="1"/>
    <xf numFmtId="0" fontId="8" fillId="0" borderId="0" xfId="12"/>
    <xf numFmtId="0" fontId="8" fillId="0" borderId="0" xfId="12" applyBorder="1"/>
    <xf numFmtId="0" fontId="9" fillId="0" borderId="0" xfId="12" applyFont="1" applyBorder="1"/>
    <xf numFmtId="0" fontId="9" fillId="0" borderId="65" xfId="12" applyFont="1" applyBorder="1"/>
    <xf numFmtId="0" fontId="80" fillId="0" borderId="65" xfId="12" applyFont="1" applyBorder="1"/>
    <xf numFmtId="0" fontId="80" fillId="0" borderId="0" xfId="12" applyFont="1" applyBorder="1"/>
    <xf numFmtId="0" fontId="8" fillId="0" borderId="48" xfId="12" applyBorder="1"/>
    <xf numFmtId="0" fontId="8" fillId="0" borderId="0" xfId="12" applyFill="1" applyBorder="1"/>
    <xf numFmtId="0" fontId="8" fillId="6" borderId="10" xfId="12" applyFill="1" applyBorder="1"/>
    <xf numFmtId="0" fontId="8" fillId="6" borderId="9" xfId="12" applyFill="1" applyBorder="1"/>
    <xf numFmtId="0" fontId="8" fillId="6" borderId="0" xfId="12" applyFill="1" applyBorder="1"/>
    <xf numFmtId="0" fontId="8" fillId="6" borderId="7" xfId="12" applyFill="1" applyBorder="1"/>
    <xf numFmtId="0" fontId="114" fillId="6" borderId="7" xfId="12" applyFont="1" applyFill="1" applyBorder="1"/>
    <xf numFmtId="0" fontId="114" fillId="6" borderId="7" xfId="12" applyFont="1" applyFill="1" applyBorder="1" applyAlignment="1">
      <alignment horizontal="left"/>
    </xf>
    <xf numFmtId="0" fontId="114" fillId="6" borderId="0" xfId="12" applyFont="1" applyFill="1" applyBorder="1"/>
    <xf numFmtId="0" fontId="8" fillId="6" borderId="5" xfId="12" applyFill="1" applyBorder="1"/>
    <xf numFmtId="0" fontId="114" fillId="6" borderId="4" xfId="12" applyFont="1" applyFill="1" applyBorder="1"/>
    <xf numFmtId="0" fontId="7" fillId="0" borderId="0" xfId="12" applyFont="1"/>
    <xf numFmtId="0" fontId="7" fillId="0" borderId="0" xfId="12" applyFont="1" applyFill="1" applyBorder="1"/>
    <xf numFmtId="2" fontId="65" fillId="0" borderId="14" xfId="7" applyNumberFormat="1" applyFont="1" applyFill="1" applyBorder="1" applyAlignment="1" applyProtection="1">
      <alignment horizontal="right" indent="1"/>
    </xf>
    <xf numFmtId="164" fontId="9" fillId="0" borderId="14" xfId="7" applyNumberFormat="1" applyBorder="1" applyAlignment="1">
      <alignment horizontal="right" indent="1"/>
    </xf>
    <xf numFmtId="0" fontId="26" fillId="0" borderId="0" xfId="0" applyFont="1" applyFill="1"/>
    <xf numFmtId="0" fontId="6" fillId="0" borderId="0" xfId="12" applyFont="1" applyFill="1" applyBorder="1"/>
    <xf numFmtId="2" fontId="8" fillId="6" borderId="0" xfId="12" applyNumberFormat="1" applyFill="1" applyBorder="1"/>
    <xf numFmtId="0" fontId="13" fillId="0" borderId="0" xfId="12" applyFont="1"/>
    <xf numFmtId="0" fontId="13" fillId="0" borderId="0" xfId="0" quotePrefix="1" applyFont="1"/>
    <xf numFmtId="168" fontId="13" fillId="0" borderId="0" xfId="0" quotePrefix="1" applyNumberFormat="1" applyFont="1"/>
    <xf numFmtId="0" fontId="115" fillId="0" borderId="0" xfId="0" applyFont="1"/>
    <xf numFmtId="166" fontId="8" fillId="5" borderId="0" xfId="12" applyNumberFormat="1" applyFill="1" applyBorder="1"/>
    <xf numFmtId="0" fontId="9" fillId="0" borderId="0" xfId="12" applyNumberFormat="1" applyFont="1" applyBorder="1"/>
    <xf numFmtId="1" fontId="9" fillId="0" borderId="0" xfId="12" applyNumberFormat="1" applyFont="1" applyBorder="1"/>
    <xf numFmtId="168" fontId="80" fillId="0" borderId="0" xfId="12" applyNumberFormat="1" applyFont="1" applyBorder="1"/>
    <xf numFmtId="168" fontId="9" fillId="0" borderId="0" xfId="12" applyNumberFormat="1" applyFont="1" applyBorder="1"/>
    <xf numFmtId="0" fontId="45" fillId="0" borderId="0" xfId="12" applyFont="1" applyBorder="1"/>
    <xf numFmtId="0" fontId="9" fillId="0" borderId="0" xfId="12" applyNumberFormat="1" applyFont="1" applyFill="1" applyBorder="1"/>
    <xf numFmtId="0" fontId="13" fillId="0" borderId="15" xfId="0" applyFont="1" applyBorder="1"/>
    <xf numFmtId="0" fontId="13" fillId="0" borderId="19" xfId="0" applyFont="1" applyBorder="1"/>
    <xf numFmtId="0" fontId="22" fillId="0" borderId="0" xfId="0" quotePrefix="1" applyFont="1"/>
    <xf numFmtId="0" fontId="9" fillId="0" borderId="0" xfId="12" applyFont="1" applyBorder="1" applyAlignment="1">
      <alignment horizontal="right"/>
    </xf>
    <xf numFmtId="0" fontId="9" fillId="0" borderId="16" xfId="12" applyNumberFormat="1" applyFont="1" applyBorder="1"/>
    <xf numFmtId="0" fontId="9" fillId="0" borderId="17" xfId="12" applyNumberFormat="1" applyFont="1" applyBorder="1"/>
    <xf numFmtId="0" fontId="9" fillId="0" borderId="14" xfId="12" applyNumberFormat="1" applyFont="1" applyBorder="1"/>
    <xf numFmtId="0" fontId="9" fillId="0" borderId="1" xfId="12" applyNumberFormat="1" applyFont="1" applyBorder="1"/>
    <xf numFmtId="0" fontId="9" fillId="0" borderId="20" xfId="12" applyNumberFormat="1" applyFont="1" applyBorder="1"/>
    <xf numFmtId="0" fontId="26" fillId="0" borderId="0" xfId="0" applyFont="1" applyBorder="1"/>
    <xf numFmtId="0" fontId="13" fillId="0" borderId="45" xfId="0" applyFont="1" applyBorder="1"/>
    <xf numFmtId="0" fontId="80" fillId="0" borderId="46" xfId="12" applyFont="1" applyBorder="1"/>
    <xf numFmtId="0" fontId="8" fillId="0" borderId="47" xfId="12" applyBorder="1"/>
    <xf numFmtId="0" fontId="9" fillId="0" borderId="23" xfId="12" applyNumberFormat="1" applyFont="1" applyBorder="1"/>
    <xf numFmtId="1" fontId="9" fillId="0" borderId="67" xfId="12" applyNumberFormat="1" applyFont="1" applyBorder="1"/>
    <xf numFmtId="0" fontId="8" fillId="0" borderId="23" xfId="12" applyBorder="1"/>
    <xf numFmtId="0" fontId="0" fillId="0" borderId="24" xfId="0" applyBorder="1"/>
    <xf numFmtId="1" fontId="112" fillId="0" borderId="11" xfId="12" applyNumberFormat="1" applyFont="1" applyFill="1" applyBorder="1"/>
    <xf numFmtId="0" fontId="9" fillId="0" borderId="11" xfId="12" applyFont="1" applyBorder="1"/>
    <xf numFmtId="0" fontId="8" fillId="0" borderId="41" xfId="12" applyBorder="1"/>
    <xf numFmtId="2" fontId="8" fillId="0" borderId="48" xfId="12" applyNumberFormat="1" applyFill="1" applyBorder="1"/>
    <xf numFmtId="0" fontId="45" fillId="0" borderId="68" xfId="12" applyFont="1" applyBorder="1"/>
    <xf numFmtId="166" fontId="112" fillId="0" borderId="68" xfId="12" applyNumberFormat="1" applyFont="1" applyFill="1" applyBorder="1"/>
    <xf numFmtId="0" fontId="8" fillId="6" borderId="6" xfId="12" applyFill="1" applyBorder="1"/>
    <xf numFmtId="0" fontId="8" fillId="6" borderId="8" xfId="12" applyFill="1" applyBorder="1"/>
    <xf numFmtId="0" fontId="114" fillId="6" borderId="8" xfId="12" applyFont="1" applyFill="1" applyBorder="1"/>
    <xf numFmtId="2" fontId="8" fillId="6" borderId="8" xfId="12" applyNumberFormat="1" applyFill="1" applyBorder="1"/>
    <xf numFmtId="165" fontId="13" fillId="5" borderId="13" xfId="13" applyNumberFormat="1" applyFont="1" applyFill="1" applyBorder="1" applyAlignment="1" applyProtection="1"/>
    <xf numFmtId="0" fontId="30" fillId="0" borderId="0" xfId="12" applyFont="1"/>
    <xf numFmtId="0" fontId="0" fillId="0" borderId="0" xfId="0" applyAlignment="1"/>
    <xf numFmtId="166" fontId="5" fillId="5" borderId="8" xfId="12" applyNumberFormat="1" applyFont="1" applyFill="1" applyBorder="1"/>
    <xf numFmtId="0" fontId="13" fillId="0" borderId="46" xfId="0" applyFont="1" applyBorder="1"/>
    <xf numFmtId="0" fontId="0" fillId="0" borderId="11" xfId="0" applyBorder="1"/>
    <xf numFmtId="0" fontId="0" fillId="0" borderId="1" xfId="0" applyBorder="1"/>
    <xf numFmtId="0" fontId="36" fillId="0" borderId="1" xfId="0" applyFont="1" applyBorder="1"/>
    <xf numFmtId="0" fontId="9" fillId="0" borderId="69" xfId="12" applyNumberFormat="1" applyFont="1" applyBorder="1"/>
    <xf numFmtId="0" fontId="9" fillId="0" borderId="16" xfId="12" applyNumberFormat="1" applyFont="1" applyFill="1" applyBorder="1"/>
    <xf numFmtId="0" fontId="0" fillId="0" borderId="14" xfId="0" applyBorder="1"/>
    <xf numFmtId="0" fontId="0" fillId="0" borderId="19" xfId="0" applyBorder="1"/>
    <xf numFmtId="0" fontId="0" fillId="0" borderId="20" xfId="0" applyBorder="1"/>
    <xf numFmtId="0" fontId="0" fillId="0" borderId="16" xfId="0" applyBorder="1"/>
    <xf numFmtId="0" fontId="0" fillId="0" borderId="17" xfId="0" applyBorder="1"/>
    <xf numFmtId="0" fontId="13" fillId="0" borderId="31" xfId="0" applyFont="1" applyFill="1" applyBorder="1" applyProtection="1"/>
    <xf numFmtId="0" fontId="22" fillId="0" borderId="0" xfId="0" applyFont="1" applyFill="1"/>
    <xf numFmtId="0" fontId="22" fillId="0" borderId="0" xfId="7" applyFont="1" applyFill="1" applyProtection="1"/>
    <xf numFmtId="0" fontId="9" fillId="0" borderId="0" xfId="7" applyFill="1" applyProtection="1"/>
    <xf numFmtId="0" fontId="22" fillId="0" borderId="18" xfId="0" applyFont="1" applyFill="1" applyBorder="1"/>
    <xf numFmtId="0" fontId="116" fillId="0" borderId="27" xfId="0" applyFont="1" applyBorder="1"/>
    <xf numFmtId="0" fontId="13" fillId="0" borderId="27" xfId="0" applyFont="1" applyBorder="1" applyAlignment="1">
      <alignment horizontal="right"/>
    </xf>
    <xf numFmtId="0" fontId="0" fillId="0" borderId="27" xfId="0" applyBorder="1" applyAlignment="1">
      <alignment horizontal="right"/>
    </xf>
    <xf numFmtId="0" fontId="0" fillId="0" borderId="16" xfId="0" applyBorder="1" applyAlignment="1"/>
    <xf numFmtId="3" fontId="0" fillId="0" borderId="0" xfId="0" applyNumberFormat="1" applyAlignment="1">
      <alignment horizontal="left"/>
    </xf>
    <xf numFmtId="2" fontId="13" fillId="5" borderId="43" xfId="0" quotePrefix="1" applyNumberFormat="1" applyFont="1" applyFill="1" applyBorder="1" applyProtection="1"/>
    <xf numFmtId="0" fontId="117" fillId="6" borderId="7" xfId="0" applyFont="1" applyFill="1" applyBorder="1"/>
    <xf numFmtId="0" fontId="42" fillId="6" borderId="7" xfId="0" applyFont="1" applyFill="1" applyBorder="1"/>
    <xf numFmtId="0" fontId="30" fillId="6" borderId="7" xfId="0" applyFont="1" applyFill="1" applyBorder="1"/>
    <xf numFmtId="0" fontId="117" fillId="6" borderId="0" xfId="0" applyFont="1" applyFill="1" applyBorder="1" applyProtection="1"/>
    <xf numFmtId="0" fontId="42" fillId="6" borderId="0" xfId="0" applyFont="1" applyFill="1" applyBorder="1" applyProtection="1"/>
    <xf numFmtId="0" fontId="4" fillId="6" borderId="0" xfId="7" applyFont="1" applyFill="1" applyBorder="1"/>
    <xf numFmtId="0" fontId="42" fillId="6" borderId="0" xfId="0" quotePrefix="1" applyFont="1" applyFill="1" applyBorder="1" applyProtection="1"/>
    <xf numFmtId="0" fontId="59" fillId="6" borderId="0" xfId="0" applyFont="1" applyFill="1" applyBorder="1" applyProtection="1"/>
    <xf numFmtId="0" fontId="42" fillId="6" borderId="0" xfId="0" applyFont="1" applyFill="1" applyBorder="1"/>
    <xf numFmtId="0" fontId="30" fillId="6" borderId="0" xfId="0" applyFont="1" applyFill="1" applyBorder="1" applyProtection="1"/>
    <xf numFmtId="0" fontId="117" fillId="6" borderId="0" xfId="0" applyFont="1" applyFill="1" applyBorder="1"/>
    <xf numFmtId="0" fontId="59" fillId="6" borderId="0" xfId="0" applyFont="1" applyFill="1" applyBorder="1"/>
    <xf numFmtId="0" fontId="30" fillId="6" borderId="0" xfId="0" applyFont="1" applyFill="1" applyBorder="1"/>
    <xf numFmtId="2" fontId="30" fillId="5" borderId="0" xfId="1" applyNumberFormat="1" applyFont="1" applyFill="1" applyBorder="1"/>
    <xf numFmtId="0" fontId="118" fillId="6" borderId="4" xfId="0" applyFont="1" applyFill="1" applyBorder="1"/>
    <xf numFmtId="0" fontId="24" fillId="6" borderId="5" xfId="4" applyNumberFormat="1" applyFont="1" applyFill="1" applyBorder="1" applyAlignment="1" applyProtection="1">
      <alignment horizontal="right"/>
    </xf>
    <xf numFmtId="0" fontId="42" fillId="0" borderId="0" xfId="0" applyFont="1" applyProtection="1"/>
    <xf numFmtId="0" fontId="26" fillId="6" borderId="7" xfId="7" applyFont="1" applyFill="1" applyBorder="1"/>
    <xf numFmtId="0" fontId="119" fillId="4" borderId="0" xfId="3" applyNumberFormat="1" applyFont="1" applyBorder="1" applyProtection="1">
      <protection locked="0"/>
    </xf>
    <xf numFmtId="0" fontId="114" fillId="4" borderId="0" xfId="3" applyFont="1" applyBorder="1" applyProtection="1">
      <protection locked="0"/>
    </xf>
    <xf numFmtId="0" fontId="114" fillId="4" borderId="0" xfId="3" applyNumberFormat="1" applyFont="1" applyBorder="1" applyProtection="1">
      <protection locked="0"/>
    </xf>
    <xf numFmtId="2" fontId="114" fillId="4" borderId="0" xfId="3" applyNumberFormat="1" applyFont="1" applyBorder="1" applyProtection="1">
      <protection locked="0"/>
    </xf>
    <xf numFmtId="0" fontId="119" fillId="5" borderId="0" xfId="1" applyNumberFormat="1" applyFont="1" applyFill="1" applyBorder="1"/>
    <xf numFmtId="2" fontId="24" fillId="5" borderId="0" xfId="1" applyNumberFormat="1" applyFont="1" applyFill="1" applyBorder="1"/>
    <xf numFmtId="166" fontId="24" fillId="5" borderId="0" xfId="1" applyNumberFormat="1" applyFont="1" applyFill="1" applyBorder="1"/>
    <xf numFmtId="3" fontId="48" fillId="6" borderId="10" xfId="0" applyNumberFormat="1" applyFont="1" applyFill="1" applyBorder="1"/>
    <xf numFmtId="3" fontId="48" fillId="0" borderId="0" xfId="0" applyNumberFormat="1" applyFont="1"/>
    <xf numFmtId="3" fontId="48" fillId="0" borderId="16" xfId="0" applyNumberFormat="1" applyFont="1" applyBorder="1"/>
    <xf numFmtId="3" fontId="48" fillId="0" borderId="0" xfId="0" applyNumberFormat="1" applyFont="1" applyBorder="1"/>
    <xf numFmtId="3" fontId="48" fillId="0" borderId="1" xfId="0" applyNumberFormat="1" applyFont="1" applyBorder="1"/>
    <xf numFmtId="3" fontId="49" fillId="0" borderId="0" xfId="0" applyNumberFormat="1" applyFont="1"/>
    <xf numFmtId="3" fontId="59" fillId="0" borderId="0" xfId="0" applyNumberFormat="1" applyFont="1"/>
    <xf numFmtId="3" fontId="49" fillId="0" borderId="0" xfId="0" applyNumberFormat="1" applyFont="1" applyProtection="1"/>
    <xf numFmtId="0" fontId="24" fillId="4" borderId="0" xfId="3" applyNumberFormat="1" applyFont="1" applyBorder="1" applyProtection="1">
      <protection locked="0"/>
    </xf>
    <xf numFmtId="169" fontId="24" fillId="5" borderId="0" xfId="1" applyNumberFormat="1" applyFont="1" applyFill="1" applyBorder="1"/>
    <xf numFmtId="2" fontId="13" fillId="0" borderId="0" xfId="0" quotePrefix="1" applyNumberFormat="1" applyFont="1"/>
    <xf numFmtId="0" fontId="42" fillId="0" borderId="0" xfId="0" applyFont="1" applyFill="1" applyBorder="1"/>
    <xf numFmtId="0" fontId="22" fillId="0" borderId="0" xfId="0" applyFont="1" applyAlignment="1"/>
    <xf numFmtId="0" fontId="115" fillId="0" borderId="0" xfId="0" applyFont="1" applyBorder="1" applyAlignment="1">
      <alignment horizontal="left"/>
    </xf>
    <xf numFmtId="0" fontId="42" fillId="0" borderId="0" xfId="0" applyFont="1" applyBorder="1" applyProtection="1"/>
    <xf numFmtId="0" fontId="42" fillId="0" borderId="0" xfId="0" applyFont="1" applyBorder="1"/>
    <xf numFmtId="0" fontId="24" fillId="0" borderId="0" xfId="0" applyFont="1" applyFill="1" applyBorder="1" applyAlignment="1">
      <alignment horizontal="left"/>
    </xf>
    <xf numFmtId="0" fontId="72" fillId="0" borderId="0" xfId="7" applyFont="1" applyBorder="1" applyAlignment="1">
      <alignment vertical="top"/>
    </xf>
    <xf numFmtId="0" fontId="0" fillId="0" borderId="0" xfId="0" applyBorder="1" applyAlignment="1"/>
    <xf numFmtId="0" fontId="48" fillId="0" borderId="14" xfId="0" applyFont="1" applyBorder="1"/>
    <xf numFmtId="0" fontId="48" fillId="0" borderId="20" xfId="0" applyFont="1" applyBorder="1"/>
    <xf numFmtId="0" fontId="57" fillId="4" borderId="66" xfId="3" applyFont="1" applyBorder="1" applyAlignment="1" applyProtection="1">
      <alignment horizontal="center"/>
      <protection locked="0"/>
    </xf>
    <xf numFmtId="0" fontId="42" fillId="12" borderId="0" xfId="0" quotePrefix="1" applyFont="1" applyFill="1" applyBorder="1"/>
    <xf numFmtId="166" fontId="24" fillId="5" borderId="8" xfId="1" applyNumberFormat="1" applyFont="1" applyFill="1" applyBorder="1"/>
    <xf numFmtId="0" fontId="119" fillId="4" borderId="8" xfId="3" applyNumberFormat="1" applyFont="1" applyBorder="1" applyProtection="1">
      <protection locked="0"/>
    </xf>
    <xf numFmtId="0" fontId="114" fillId="4" borderId="8" xfId="3" applyFont="1" applyBorder="1" applyProtection="1">
      <protection locked="0"/>
    </xf>
    <xf numFmtId="0" fontId="42" fillId="12" borderId="8" xfId="0" quotePrefix="1" applyFont="1" applyFill="1" applyBorder="1"/>
    <xf numFmtId="0" fontId="114" fillId="4" borderId="8" xfId="3" applyNumberFormat="1" applyFont="1" applyBorder="1" applyProtection="1">
      <protection locked="0"/>
    </xf>
    <xf numFmtId="2" fontId="114" fillId="4" borderId="8" xfId="3" applyNumberFormat="1" applyFont="1" applyBorder="1" applyProtection="1">
      <protection locked="0"/>
    </xf>
    <xf numFmtId="2" fontId="30" fillId="5" borderId="8" xfId="1" applyNumberFormat="1" applyFont="1" applyFill="1" applyBorder="1"/>
    <xf numFmtId="0" fontId="119" fillId="5" borderId="8" xfId="1" applyNumberFormat="1" applyFont="1" applyFill="1" applyBorder="1"/>
    <xf numFmtId="2" fontId="24" fillId="5" borderId="8" xfId="1" applyNumberFormat="1" applyFont="1" applyFill="1" applyBorder="1"/>
    <xf numFmtId="0" fontId="45" fillId="4" borderId="0" xfId="3" applyNumberFormat="1" applyFont="1" applyBorder="1" applyAlignment="1" applyProtection="1">
      <alignment horizontal="right"/>
      <protection locked="0"/>
    </xf>
    <xf numFmtId="0" fontId="17" fillId="6" borderId="0" xfId="0" applyFont="1" applyFill="1" applyBorder="1"/>
    <xf numFmtId="0" fontId="0" fillId="0" borderId="15" xfId="0" applyBorder="1"/>
    <xf numFmtId="49" fontId="0" fillId="0" borderId="15" xfId="0" applyNumberFormat="1" applyBorder="1"/>
    <xf numFmtId="166" fontId="0" fillId="0" borderId="16" xfId="0" applyNumberFormat="1" applyBorder="1"/>
    <xf numFmtId="1" fontId="0" fillId="0" borderId="17" xfId="0" applyNumberFormat="1" applyBorder="1"/>
    <xf numFmtId="2" fontId="0" fillId="0" borderId="18" xfId="0" applyNumberFormat="1" applyBorder="1" applyAlignment="1">
      <alignment horizontal="left"/>
    </xf>
    <xf numFmtId="166" fontId="0" fillId="0" borderId="0" xfId="0" applyNumberFormat="1" applyBorder="1"/>
    <xf numFmtId="1" fontId="0" fillId="0" borderId="14" xfId="0" applyNumberFormat="1" applyBorder="1"/>
    <xf numFmtId="166" fontId="0" fillId="0" borderId="0" xfId="0" applyNumberFormat="1" applyBorder="1" applyAlignment="1">
      <alignment horizontal="right"/>
    </xf>
    <xf numFmtId="1" fontId="0" fillId="0" borderId="18" xfId="0" applyNumberFormat="1" applyBorder="1" applyAlignment="1">
      <alignment horizontal="left"/>
    </xf>
    <xf numFmtId="2" fontId="0" fillId="0" borderId="19" xfId="0" applyNumberFormat="1" applyBorder="1" applyAlignment="1">
      <alignment horizontal="left"/>
    </xf>
    <xf numFmtId="166" fontId="0" fillId="0" borderId="1" xfId="0" applyNumberFormat="1" applyBorder="1"/>
    <xf numFmtId="166" fontId="0" fillId="0" borderId="1" xfId="0" applyNumberFormat="1" applyBorder="1" applyAlignment="1">
      <alignment horizontal="right"/>
    </xf>
    <xf numFmtId="1" fontId="0" fillId="0" borderId="20" xfId="0" applyNumberFormat="1" applyBorder="1"/>
    <xf numFmtId="49" fontId="0" fillId="0" borderId="15" xfId="0" applyNumberFormat="1" applyBorder="1" applyAlignment="1">
      <alignment horizontal="right"/>
    </xf>
    <xf numFmtId="0" fontId="0" fillId="0" borderId="18" xfId="0" applyNumberFormat="1" applyBorder="1" applyAlignment="1">
      <alignment horizontal="right"/>
    </xf>
    <xf numFmtId="49" fontId="0" fillId="0" borderId="18" xfId="0" applyNumberFormat="1" applyBorder="1" applyAlignment="1">
      <alignment horizontal="right"/>
    </xf>
    <xf numFmtId="0" fontId="0" fillId="0" borderId="19" xfId="0" applyNumberFormat="1" applyBorder="1" applyAlignment="1">
      <alignment horizontal="right"/>
    </xf>
    <xf numFmtId="0" fontId="0" fillId="0" borderId="15" xfId="0" applyNumberFormat="1" applyBorder="1"/>
    <xf numFmtId="0" fontId="0" fillId="0" borderId="18" xfId="0" applyNumberFormat="1" applyBorder="1"/>
    <xf numFmtId="0" fontId="0" fillId="0" borderId="19" xfId="0" applyNumberFormat="1" applyBorder="1"/>
    <xf numFmtId="0" fontId="0" fillId="0" borderId="0" xfId="0" applyNumberFormat="1" applyAlignment="1">
      <alignment horizontal="right"/>
    </xf>
    <xf numFmtId="0" fontId="0" fillId="0" borderId="0" xfId="0" applyNumberFormat="1" applyBorder="1"/>
    <xf numFmtId="0" fontId="9" fillId="0" borderId="0" xfId="12" applyNumberFormat="1" applyFont="1" applyBorder="1" applyAlignment="1">
      <alignment horizontal="right"/>
    </xf>
    <xf numFmtId="0" fontId="0" fillId="0" borderId="15" xfId="0" applyNumberFormat="1" applyBorder="1" applyAlignment="1">
      <alignment horizontal="right"/>
    </xf>
    <xf numFmtId="0" fontId="16" fillId="0" borderId="0" xfId="0" applyFont="1" applyAlignment="1">
      <alignment horizontal="center"/>
    </xf>
    <xf numFmtId="0" fontId="10" fillId="0" borderId="0" xfId="0" applyFont="1" applyProtection="1"/>
    <xf numFmtId="0" fontId="48" fillId="0" borderId="0" xfId="0" quotePrefix="1" applyFont="1" applyAlignment="1" applyProtection="1">
      <alignment wrapText="1"/>
    </xf>
    <xf numFmtId="0" fontId="58" fillId="0" borderId="0" xfId="0" applyFont="1" applyProtection="1"/>
    <xf numFmtId="0" fontId="50" fillId="0" borderId="0" xfId="0" applyFont="1" applyProtection="1"/>
    <xf numFmtId="0" fontId="59" fillId="0" borderId="0" xfId="0" applyFont="1" applyProtection="1"/>
    <xf numFmtId="3" fontId="48" fillId="0" borderId="0" xfId="0" applyNumberFormat="1" applyFont="1" applyProtection="1"/>
    <xf numFmtId="0" fontId="48" fillId="0" borderId="0" xfId="0" applyFont="1" applyProtection="1"/>
    <xf numFmtId="0" fontId="9" fillId="0" borderId="0" xfId="0" applyFont="1" applyProtection="1"/>
    <xf numFmtId="1" fontId="49" fillId="0" borderId="0" xfId="0" applyNumberFormat="1" applyFont="1" applyProtection="1"/>
    <xf numFmtId="0" fontId="39" fillId="0" borderId="0" xfId="0" applyFont="1" applyProtection="1"/>
    <xf numFmtId="0" fontId="3" fillId="6" borderId="7" xfId="7" applyFont="1" applyFill="1" applyBorder="1"/>
    <xf numFmtId="0" fontId="59" fillId="6" borderId="7" xfId="7" applyFont="1" applyFill="1" applyBorder="1" applyProtection="1"/>
    <xf numFmtId="0" fontId="60" fillId="6" borderId="9" xfId="0" applyFont="1" applyFill="1" applyBorder="1"/>
    <xf numFmtId="4" fontId="24" fillId="5" borderId="0" xfId="1" applyNumberFormat="1" applyFont="1" applyFill="1" applyBorder="1"/>
    <xf numFmtId="2" fontId="65" fillId="0" borderId="0" xfId="7" applyNumberFormat="1" applyFont="1" applyFill="1" applyBorder="1" applyAlignment="1" applyProtection="1">
      <alignment vertical="center"/>
    </xf>
    <xf numFmtId="2" fontId="65" fillId="0" borderId="14" xfId="7" applyNumberFormat="1" applyFont="1" applyFill="1" applyBorder="1" applyAlignment="1" applyProtection="1">
      <alignment horizontal="right" vertical="center" indent="1"/>
    </xf>
    <xf numFmtId="165" fontId="48" fillId="6" borderId="70" xfId="2" applyNumberFormat="1" applyFont="1" applyFill="1" applyBorder="1" applyAlignment="1" applyProtection="1"/>
    <xf numFmtId="0" fontId="48" fillId="0" borderId="5" xfId="0" applyFont="1" applyFill="1" applyBorder="1"/>
    <xf numFmtId="0" fontId="48" fillId="0" borderId="71" xfId="0" applyFont="1" applyFill="1" applyBorder="1"/>
    <xf numFmtId="0" fontId="42" fillId="6" borderId="5" xfId="0" applyFont="1" applyFill="1" applyBorder="1" applyProtection="1"/>
    <xf numFmtId="0" fontId="42" fillId="6" borderId="6" xfId="0" applyFont="1" applyFill="1" applyBorder="1" applyProtection="1"/>
    <xf numFmtId="165" fontId="37" fillId="5" borderId="66" xfId="2" applyNumberFormat="1" applyFont="1" applyFill="1" applyBorder="1" applyAlignment="1" applyProtection="1">
      <alignment horizontal="center"/>
    </xf>
    <xf numFmtId="0" fontId="114" fillId="13" borderId="0" xfId="3" applyNumberFormat="1" applyFont="1" applyFill="1" applyBorder="1" applyProtection="1">
      <protection locked="0"/>
    </xf>
    <xf numFmtId="2" fontId="114" fillId="13" borderId="8" xfId="3" applyNumberFormat="1" applyFont="1" applyFill="1" applyBorder="1" applyProtection="1">
      <protection locked="0"/>
    </xf>
    <xf numFmtId="0" fontId="114" fillId="13" borderId="8" xfId="3" applyFont="1" applyFill="1" applyBorder="1" applyProtection="1">
      <protection locked="0"/>
    </xf>
    <xf numFmtId="0" fontId="17" fillId="0" borderId="0" xfId="0" applyFont="1" applyAlignment="1"/>
    <xf numFmtId="0" fontId="34" fillId="0" borderId="0" xfId="0" quotePrefix="1" applyFont="1"/>
    <xf numFmtId="2" fontId="34" fillId="0" borderId="0" xfId="0" quotePrefix="1" applyNumberFormat="1" applyFont="1"/>
    <xf numFmtId="0" fontId="13" fillId="0" borderId="39" xfId="0" quotePrefix="1" applyFont="1" applyFill="1" applyBorder="1" applyProtection="1"/>
    <xf numFmtId="0" fontId="13" fillId="0" borderId="40" xfId="0" quotePrefix="1" applyFont="1" applyFill="1" applyBorder="1" applyProtection="1"/>
    <xf numFmtId="0" fontId="13" fillId="0" borderId="24" xfId="0" quotePrefix="1" applyFont="1" applyFill="1" applyBorder="1" applyProtection="1"/>
    <xf numFmtId="0" fontId="13" fillId="0" borderId="41" xfId="0" quotePrefix="1" applyFont="1" applyFill="1" applyBorder="1" applyProtection="1"/>
    <xf numFmtId="0" fontId="13" fillId="0" borderId="12" xfId="0" quotePrefix="1" applyFont="1" applyFill="1" applyBorder="1" applyProtection="1"/>
    <xf numFmtId="49" fontId="13" fillId="0" borderId="0" xfId="0" quotePrefix="1" applyNumberFormat="1" applyFont="1" applyAlignment="1"/>
    <xf numFmtId="0" fontId="13" fillId="0" borderId="0" xfId="15"/>
    <xf numFmtId="0" fontId="13" fillId="0" borderId="0" xfId="15" applyFont="1"/>
    <xf numFmtId="2" fontId="13" fillId="0" borderId="0" xfId="15" applyNumberFormat="1" applyFont="1"/>
    <xf numFmtId="2" fontId="13" fillId="0" borderId="0" xfId="15" quotePrefix="1" applyNumberFormat="1" applyFont="1"/>
    <xf numFmtId="0" fontId="17" fillId="0" borderId="0" xfId="15" applyFont="1"/>
    <xf numFmtId="0" fontId="80" fillId="0" borderId="0" xfId="15" applyFont="1"/>
    <xf numFmtId="2" fontId="13" fillId="0" borderId="0" xfId="15" applyNumberFormat="1"/>
    <xf numFmtId="166" fontId="13" fillId="0" borderId="0" xfId="15" applyNumberFormat="1"/>
    <xf numFmtId="0" fontId="109" fillId="0" borderId="0" xfId="15" applyFont="1"/>
    <xf numFmtId="0" fontId="120" fillId="0" borderId="0" xfId="15" applyFont="1"/>
    <xf numFmtId="2" fontId="42" fillId="0" borderId="0" xfId="15" applyNumberFormat="1" applyFont="1"/>
    <xf numFmtId="0" fontId="22" fillId="0" borderId="0" xfId="15" applyFont="1"/>
    <xf numFmtId="0" fontId="110" fillId="0" borderId="0" xfId="15" applyFont="1" applyAlignment="1">
      <alignment horizontal="right"/>
    </xf>
    <xf numFmtId="0" fontId="108" fillId="0" borderId="0" xfId="15" applyFont="1" applyAlignment="1">
      <alignment horizontal="right"/>
    </xf>
    <xf numFmtId="168" fontId="80" fillId="0" borderId="0" xfId="15" applyNumberFormat="1" applyFont="1"/>
    <xf numFmtId="168" fontId="13" fillId="0" borderId="0" xfId="15" applyNumberFormat="1" applyFont="1" applyAlignment="1">
      <alignment wrapText="1"/>
    </xf>
    <xf numFmtId="0" fontId="10" fillId="0" borderId="0" xfId="15" applyFont="1"/>
    <xf numFmtId="0" fontId="54" fillId="0" borderId="0" xfId="15" applyFont="1" applyAlignment="1">
      <alignment horizontal="center"/>
    </xf>
    <xf numFmtId="0" fontId="55" fillId="0" borderId="0" xfId="15" applyFont="1"/>
    <xf numFmtId="2" fontId="122" fillId="0" borderId="0" xfId="15" applyNumberFormat="1" applyFont="1" applyAlignment="1">
      <alignment horizontal="right" vertical="center" readingOrder="1"/>
    </xf>
    <xf numFmtId="2" fontId="42" fillId="5" borderId="0" xfId="15" applyNumberFormat="1" applyFont="1" applyFill="1" applyAlignment="1">
      <alignment vertical="center"/>
    </xf>
    <xf numFmtId="0" fontId="42" fillId="0" borderId="0" xfId="15" applyFont="1"/>
    <xf numFmtId="0" fontId="13" fillId="0" borderId="0" xfId="15" applyFont="1" applyFill="1"/>
    <xf numFmtId="2" fontId="42" fillId="0" borderId="0" xfId="15" applyNumberFormat="1" applyFont="1" applyFill="1"/>
    <xf numFmtId="2" fontId="13" fillId="0" borderId="0" xfId="15" applyNumberFormat="1" applyFont="1" applyFill="1"/>
    <xf numFmtId="0" fontId="123" fillId="0" borderId="0" xfId="15" applyFont="1" applyAlignment="1">
      <alignment horizontal="left" vertical="center" readingOrder="1"/>
    </xf>
    <xf numFmtId="0" fontId="42" fillId="0" borderId="0" xfId="15" applyFont="1" applyAlignment="1">
      <alignment wrapText="1"/>
    </xf>
    <xf numFmtId="0" fontId="114" fillId="0" borderId="1" xfId="15" applyFont="1" applyBorder="1" applyAlignment="1">
      <alignment horizontal="right"/>
    </xf>
    <xf numFmtId="0" fontId="24" fillId="0" borderId="1" xfId="15" applyFont="1" applyBorder="1" applyAlignment="1">
      <alignment horizontal="right"/>
    </xf>
    <xf numFmtId="168" fontId="13" fillId="0" borderId="0" xfId="15" applyNumberFormat="1"/>
    <xf numFmtId="0" fontId="13" fillId="0" borderId="62" xfId="15" applyBorder="1"/>
    <xf numFmtId="0" fontId="24" fillId="0" borderId="62" xfId="15" applyFont="1" applyBorder="1" applyAlignment="1">
      <alignment horizontal="left"/>
    </xf>
    <xf numFmtId="0" fontId="24" fillId="0" borderId="62" xfId="15" applyFont="1" applyBorder="1"/>
    <xf numFmtId="0" fontId="13" fillId="0" borderId="0" xfId="15" applyAlignment="1"/>
    <xf numFmtId="0" fontId="26" fillId="0" borderId="0" xfId="15" applyFont="1"/>
    <xf numFmtId="0" fontId="114" fillId="0" borderId="0" xfId="15" applyFont="1"/>
    <xf numFmtId="0" fontId="40" fillId="0" borderId="0" xfId="15" applyFont="1" applyAlignment="1"/>
    <xf numFmtId="0" fontId="13" fillId="0" borderId="0" xfId="15" applyBorder="1"/>
    <xf numFmtId="0" fontId="13" fillId="0" borderId="0" xfId="15" applyFont="1" applyBorder="1"/>
    <xf numFmtId="0" fontId="13" fillId="0" borderId="0" xfId="15" quotePrefix="1" applyFont="1"/>
    <xf numFmtId="2" fontId="2" fillId="5" borderId="0" xfId="15" applyNumberFormat="1" applyFont="1" applyFill="1"/>
    <xf numFmtId="0" fontId="2" fillId="0" borderId="0" xfId="15" applyFont="1"/>
    <xf numFmtId="2" fontId="42" fillId="5" borderId="0" xfId="15" applyNumberFormat="1" applyFont="1" applyFill="1"/>
    <xf numFmtId="2" fontId="42" fillId="5" borderId="0" xfId="15" quotePrefix="1" applyNumberFormat="1" applyFont="1" applyFill="1"/>
    <xf numFmtId="0" fontId="26" fillId="0" borderId="0" xfId="15" applyFont="1" applyBorder="1"/>
    <xf numFmtId="2" fontId="42" fillId="5" borderId="0" xfId="15" quotePrefix="1" applyNumberFormat="1" applyFont="1" applyFill="1" applyAlignment="1">
      <alignment vertical="center"/>
    </xf>
    <xf numFmtId="2" fontId="42" fillId="0" borderId="0" xfId="15" applyNumberFormat="1" applyFont="1" applyBorder="1"/>
    <xf numFmtId="0" fontId="80" fillId="0" borderId="0" xfId="15" applyFont="1" applyFill="1"/>
    <xf numFmtId="0" fontId="17" fillId="0" borderId="0" xfId="15" applyFont="1" applyBorder="1" applyAlignment="1">
      <alignment horizontal="center"/>
    </xf>
    <xf numFmtId="0" fontId="24" fillId="0" borderId="0" xfId="15" applyFont="1"/>
    <xf numFmtId="0" fontId="114" fillId="0" borderId="0" xfId="15" applyFont="1" applyBorder="1"/>
    <xf numFmtId="0" fontId="40" fillId="0" borderId="0" xfId="15" applyFont="1"/>
    <xf numFmtId="0" fontId="13" fillId="0" borderId="20" xfId="15" applyBorder="1"/>
    <xf numFmtId="0" fontId="34" fillId="0" borderId="1" xfId="15" applyFont="1" applyBorder="1"/>
    <xf numFmtId="0" fontId="13" fillId="0" borderId="19" xfId="15" applyFont="1" applyBorder="1"/>
    <xf numFmtId="0" fontId="13" fillId="0" borderId="14" xfId="15" applyBorder="1"/>
    <xf numFmtId="0" fontId="13" fillId="0" borderId="18" xfId="15" applyFont="1" applyBorder="1"/>
    <xf numFmtId="0" fontId="13" fillId="0" borderId="14" xfId="15" applyFont="1" applyBorder="1"/>
    <xf numFmtId="0" fontId="34" fillId="0" borderId="0" xfId="15" applyFont="1" applyBorder="1"/>
    <xf numFmtId="0" fontId="13" fillId="0" borderId="18" xfId="15" applyBorder="1"/>
    <xf numFmtId="0" fontId="22" fillId="0" borderId="14" xfId="15" applyFont="1" applyBorder="1"/>
    <xf numFmtId="0" fontId="16" fillId="0" borderId="0" xfId="15" applyFont="1"/>
    <xf numFmtId="0" fontId="34" fillId="0" borderId="0" xfId="15" applyFont="1" applyAlignment="1">
      <alignment vertical="center"/>
    </xf>
    <xf numFmtId="164" fontId="13" fillId="0" borderId="0" xfId="15" applyNumberFormat="1"/>
    <xf numFmtId="2" fontId="64" fillId="0" borderId="0" xfId="15" applyNumberFormat="1" applyFont="1"/>
    <xf numFmtId="0" fontId="13" fillId="0" borderId="17" xfId="15" applyBorder="1"/>
    <xf numFmtId="0" fontId="13" fillId="0" borderId="16" xfId="15" applyBorder="1"/>
    <xf numFmtId="0" fontId="26" fillId="0" borderId="15" xfId="15" applyFont="1" applyBorder="1"/>
    <xf numFmtId="0" fontId="13" fillId="0" borderId="0" xfId="15" applyFont="1" applyAlignment="1">
      <alignment horizontal="right"/>
    </xf>
    <xf numFmtId="0" fontId="17" fillId="0" borderId="62" xfId="15" applyFont="1" applyBorder="1" applyAlignment="1">
      <alignment horizontal="center"/>
    </xf>
    <xf numFmtId="0" fontId="13" fillId="0" borderId="1" xfId="15" applyFont="1" applyBorder="1"/>
    <xf numFmtId="164" fontId="11" fillId="0" borderId="1" xfId="15" applyNumberFormat="1" applyFont="1" applyBorder="1"/>
    <xf numFmtId="0" fontId="10" fillId="0" borderId="1" xfId="15" applyFont="1" applyBorder="1"/>
    <xf numFmtId="164" fontId="10" fillId="0" borderId="0" xfId="15" applyNumberFormat="1" applyFont="1"/>
    <xf numFmtId="0" fontId="36" fillId="0" borderId="0" xfId="15" applyFont="1"/>
    <xf numFmtId="0" fontId="1" fillId="0" borderId="0" xfId="16"/>
    <xf numFmtId="0" fontId="127" fillId="0" borderId="72" xfId="16" applyFont="1" applyBorder="1" applyAlignment="1">
      <alignment horizontal="center" vertical="center" wrapText="1"/>
    </xf>
    <xf numFmtId="0" fontId="128" fillId="0" borderId="76" xfId="16" applyFont="1" applyBorder="1" applyAlignment="1">
      <alignment horizontal="center" vertical="center" wrapText="1"/>
    </xf>
    <xf numFmtId="0" fontId="127" fillId="0" borderId="77" xfId="16" applyFont="1" applyBorder="1" applyAlignment="1">
      <alignment horizontal="center" vertical="center" wrapText="1"/>
    </xf>
    <xf numFmtId="0" fontId="128" fillId="0" borderId="78" xfId="16" applyFont="1" applyBorder="1" applyAlignment="1">
      <alignment horizontal="center" vertical="center" wrapText="1"/>
    </xf>
    <xf numFmtId="0" fontId="127" fillId="0" borderId="78" xfId="16" applyFont="1" applyBorder="1" applyAlignment="1">
      <alignment horizontal="center" vertical="center" wrapText="1"/>
    </xf>
    <xf numFmtId="49" fontId="130" fillId="0" borderId="79" xfId="16" applyNumberFormat="1" applyFont="1" applyBorder="1" applyAlignment="1">
      <alignment horizontal="center" vertical="center" wrapText="1"/>
    </xf>
    <xf numFmtId="0" fontId="130" fillId="0" borderId="80" xfId="16" applyFont="1" applyBorder="1" applyAlignment="1">
      <alignment horizontal="center" vertical="center" wrapText="1"/>
    </xf>
    <xf numFmtId="0" fontId="130" fillId="0" borderId="81" xfId="16" applyFont="1" applyBorder="1" applyAlignment="1">
      <alignment horizontal="center" vertical="center" wrapText="1"/>
    </xf>
    <xf numFmtId="0" fontId="130" fillId="0" borderId="82" xfId="16" applyFont="1" applyBorder="1" applyAlignment="1">
      <alignment horizontal="center" vertical="center" wrapText="1"/>
    </xf>
    <xf numFmtId="49" fontId="130" fillId="0" borderId="83" xfId="16" applyNumberFormat="1" applyFont="1" applyBorder="1" applyAlignment="1">
      <alignment horizontal="center" vertical="center" wrapText="1"/>
    </xf>
    <xf numFmtId="0" fontId="131" fillId="0" borderId="84" xfId="16" applyFont="1" applyBorder="1" applyAlignment="1">
      <alignment horizontal="center" vertical="center" wrapText="1"/>
    </xf>
    <xf numFmtId="0" fontId="130" fillId="0" borderId="84" xfId="16" applyFont="1" applyBorder="1" applyAlignment="1">
      <alignment horizontal="center" vertical="center" wrapText="1"/>
    </xf>
    <xf numFmtId="0" fontId="130" fillId="0" borderId="85" xfId="16" applyFont="1" applyBorder="1" applyAlignment="1">
      <alignment horizontal="center" vertical="center" wrapText="1"/>
    </xf>
    <xf numFmtId="49" fontId="130" fillId="0" borderId="86" xfId="16" applyNumberFormat="1" applyFont="1" applyBorder="1" applyAlignment="1">
      <alignment horizontal="center" vertical="center" wrapText="1"/>
    </xf>
    <xf numFmtId="0" fontId="130" fillId="0" borderId="87" xfId="16" applyFont="1" applyBorder="1" applyAlignment="1">
      <alignment horizontal="center" vertical="center" wrapText="1"/>
    </xf>
    <xf numFmtId="0" fontId="131" fillId="0" borderId="85" xfId="16" applyFont="1" applyBorder="1" applyAlignment="1">
      <alignment horizontal="center" vertical="center" wrapText="1"/>
    </xf>
    <xf numFmtId="0" fontId="130" fillId="0" borderId="86" xfId="16" applyFont="1" applyBorder="1" applyAlignment="1">
      <alignment horizontal="center" vertical="center" wrapText="1"/>
    </xf>
    <xf numFmtId="0" fontId="130" fillId="0" borderId="83" xfId="16" applyFont="1" applyBorder="1" applyAlignment="1">
      <alignment horizontal="center" vertical="center" wrapText="1"/>
    </xf>
    <xf numFmtId="12" fontId="130" fillId="0" borderId="86" xfId="16" applyNumberFormat="1" applyFont="1" applyBorder="1" applyAlignment="1">
      <alignment horizontal="center" vertical="center" wrapText="1"/>
    </xf>
    <xf numFmtId="12" fontId="130" fillId="0" borderId="83" xfId="16" applyNumberFormat="1" applyFont="1" applyBorder="1" applyAlignment="1">
      <alignment horizontal="center" vertical="center" wrapText="1"/>
    </xf>
    <xf numFmtId="0" fontId="130" fillId="0" borderId="88" xfId="16" applyFont="1" applyBorder="1" applyAlignment="1">
      <alignment horizontal="center" vertical="center" wrapText="1"/>
    </xf>
    <xf numFmtId="0" fontId="130" fillId="0" borderId="89" xfId="16" applyFont="1" applyBorder="1" applyAlignment="1">
      <alignment horizontal="center" vertical="center" wrapText="1"/>
    </xf>
    <xf numFmtId="0" fontId="130" fillId="0" borderId="90" xfId="16" applyFont="1" applyBorder="1" applyAlignment="1">
      <alignment horizontal="center" vertical="center" wrapText="1"/>
    </xf>
    <xf numFmtId="0" fontId="1" fillId="0" borderId="0" xfId="16" applyAlignment="1">
      <alignment horizontal="left" vertical="center" indent="1"/>
    </xf>
    <xf numFmtId="0" fontId="126" fillId="0" borderId="0" xfId="16" applyFont="1" applyAlignment="1">
      <alignment horizontal="left" vertical="center" indent="1"/>
    </xf>
    <xf numFmtId="0" fontId="13" fillId="6" borderId="0" xfId="7" applyFont="1" applyFill="1" applyBorder="1" applyProtection="1"/>
    <xf numFmtId="164" fontId="13" fillId="6" borderId="0" xfId="7" applyNumberFormat="1" applyFont="1" applyFill="1" applyBorder="1" applyProtection="1"/>
    <xf numFmtId="0" fontId="13" fillId="6" borderId="0" xfId="7" quotePrefix="1" applyFont="1" applyFill="1" applyBorder="1" applyProtection="1"/>
    <xf numFmtId="0" fontId="13" fillId="6" borderId="62" xfId="9" applyNumberFormat="1" applyFont="1" applyFill="1" applyBorder="1" applyProtection="1"/>
    <xf numFmtId="2" fontId="13" fillId="6" borderId="0" xfId="7" applyNumberFormat="1" applyFont="1" applyFill="1" applyBorder="1" applyProtection="1"/>
    <xf numFmtId="0" fontId="1" fillId="0" borderId="0" xfId="16" applyAlignment="1">
      <alignment horizontal="center"/>
    </xf>
    <xf numFmtId="0" fontId="132" fillId="0" borderId="0" xfId="0" applyFont="1"/>
    <xf numFmtId="0" fontId="133" fillId="0" borderId="0" xfId="0" applyFont="1"/>
    <xf numFmtId="0" fontId="34" fillId="0" borderId="0" xfId="0" applyFont="1" applyAlignment="1">
      <alignment vertical="center"/>
    </xf>
    <xf numFmtId="166" fontId="13" fillId="0" borderId="0" xfId="15" quotePrefix="1" applyNumberFormat="1"/>
    <xf numFmtId="2" fontId="13" fillId="0" borderId="0" xfId="15" quotePrefix="1" applyNumberFormat="1"/>
    <xf numFmtId="0" fontId="17" fillId="0" borderId="38" xfId="0" applyFont="1" applyBorder="1"/>
    <xf numFmtId="0" fontId="42" fillId="6" borderId="92" xfId="7" applyFont="1" applyFill="1" applyBorder="1"/>
    <xf numFmtId="0" fontId="42" fillId="6" borderId="11" xfId="0" applyFont="1" applyFill="1" applyBorder="1"/>
    <xf numFmtId="0" fontId="114" fillId="4" borderId="11" xfId="3" applyNumberFormat="1" applyFont="1" applyBorder="1" applyProtection="1">
      <protection locked="0"/>
    </xf>
    <xf numFmtId="0" fontId="42" fillId="12" borderId="11" xfId="0" quotePrefix="1" applyFont="1" applyFill="1" applyBorder="1"/>
    <xf numFmtId="0" fontId="42" fillId="12" borderId="12" xfId="0" quotePrefix="1" applyFont="1" applyFill="1" applyBorder="1"/>
    <xf numFmtId="0" fontId="13" fillId="0" borderId="16" xfId="11" applyBorder="1"/>
    <xf numFmtId="0" fontId="13" fillId="0" borderId="17" xfId="11" applyBorder="1"/>
    <xf numFmtId="0" fontId="13" fillId="0" borderId="0" xfId="11" applyBorder="1"/>
    <xf numFmtId="0" fontId="13" fillId="0" borderId="14" xfId="11" applyBorder="1"/>
    <xf numFmtId="0" fontId="13" fillId="0" borderId="1" xfId="11" applyBorder="1"/>
    <xf numFmtId="0" fontId="13" fillId="0" borderId="20" xfId="11" applyBorder="1"/>
    <xf numFmtId="0" fontId="13" fillId="0" borderId="62" xfId="15" applyFont="1" applyBorder="1" applyAlignment="1">
      <alignment horizontal="center"/>
    </xf>
    <xf numFmtId="0" fontId="13" fillId="0" borderId="0" xfId="15" applyAlignment="1">
      <alignment horizontal="center"/>
    </xf>
    <xf numFmtId="0" fontId="45" fillId="0" borderId="0" xfId="7" applyFont="1" applyAlignment="1">
      <alignment horizontal="center"/>
    </xf>
    <xf numFmtId="0" fontId="136" fillId="6" borderId="7" xfId="0" applyFont="1" applyFill="1" applyBorder="1"/>
    <xf numFmtId="0" fontId="136" fillId="6" borderId="0" xfId="0" applyFont="1" applyFill="1" applyBorder="1" applyProtection="1"/>
    <xf numFmtId="0" fontId="136" fillId="6" borderId="0" xfId="0" applyFont="1" applyFill="1" applyBorder="1"/>
    <xf numFmtId="0" fontId="136" fillId="6" borderId="7" xfId="7" applyFont="1" applyFill="1" applyBorder="1"/>
    <xf numFmtId="0" fontId="136" fillId="6" borderId="0" xfId="7" applyFont="1" applyFill="1" applyBorder="1"/>
    <xf numFmtId="2" fontId="134" fillId="13" borderId="0" xfId="3" applyNumberFormat="1" applyFont="1" applyFill="1" applyBorder="1" applyProtection="1"/>
    <xf numFmtId="0" fontId="134" fillId="13" borderId="0" xfId="7" applyNumberFormat="1" applyFont="1" applyFill="1" applyBorder="1" applyProtection="1"/>
    <xf numFmtId="2" fontId="134" fillId="13" borderId="0" xfId="7" applyNumberFormat="1" applyFont="1" applyFill="1" applyBorder="1" applyProtection="1"/>
    <xf numFmtId="0" fontId="17" fillId="0" borderId="0" xfId="0" applyFont="1" applyBorder="1" applyAlignment="1" applyProtection="1">
      <alignment horizontal="center"/>
      <protection locked="0"/>
    </xf>
    <xf numFmtId="0" fontId="109" fillId="0" borderId="0" xfId="0" applyFont="1" applyAlignment="1" applyProtection="1">
      <alignment horizontal="center"/>
    </xf>
    <xf numFmtId="0" fontId="0" fillId="0" borderId="0" xfId="0" applyAlignment="1" applyProtection="1">
      <alignment horizontal="center"/>
    </xf>
    <xf numFmtId="0" fontId="22" fillId="0" borderId="0" xfId="0" applyFont="1" applyProtection="1"/>
    <xf numFmtId="0" fontId="49" fillId="0" borderId="0" xfId="0" applyFont="1" applyAlignment="1" applyProtection="1">
      <alignment horizontal="left"/>
    </xf>
    <xf numFmtId="0" fontId="49" fillId="0" borderId="7" xfId="0" applyFont="1" applyBorder="1" applyProtection="1"/>
    <xf numFmtId="0" fontId="108" fillId="0" borderId="0" xfId="0" applyFont="1" applyAlignment="1" applyProtection="1">
      <alignment horizontal="right"/>
    </xf>
    <xf numFmtId="0" fontId="110" fillId="0" borderId="0" xfId="0" applyFont="1" applyAlignment="1" applyProtection="1">
      <alignment horizontal="right"/>
    </xf>
    <xf numFmtId="0" fontId="54" fillId="0" borderId="0" xfId="0" applyFont="1" applyProtection="1"/>
    <xf numFmtId="0" fontId="109" fillId="0" borderId="0" xfId="0" applyFont="1" applyProtection="1"/>
    <xf numFmtId="0" fontId="112" fillId="0" borderId="0" xfId="0" applyFont="1" applyProtection="1"/>
    <xf numFmtId="0" fontId="60" fillId="0" borderId="0" xfId="0" applyFont="1" applyAlignment="1" applyProtection="1">
      <alignment horizontal="left"/>
    </xf>
    <xf numFmtId="0" fontId="60" fillId="0" borderId="0" xfId="3" applyNumberFormat="1" applyFont="1" applyFill="1" applyBorder="1" applyAlignment="1" applyProtection="1">
      <alignment horizontal="left"/>
    </xf>
    <xf numFmtId="0" fontId="9" fillId="0" borderId="0" xfId="7" applyFill="1" applyBorder="1" applyProtection="1"/>
    <xf numFmtId="0" fontId="16" fillId="0" borderId="0" xfId="0" applyFont="1" applyProtection="1"/>
    <xf numFmtId="0" fontId="57" fillId="0" borderId="0" xfId="3" applyFont="1" applyFill="1" applyBorder="1" applyProtection="1"/>
    <xf numFmtId="0" fontId="49" fillId="0" borderId="7" xfId="0" applyFont="1" applyBorder="1" applyAlignment="1" applyProtection="1">
      <alignment vertical="top"/>
    </xf>
    <xf numFmtId="0" fontId="42" fillId="0" borderId="0" xfId="0" applyFont="1" applyFill="1" applyBorder="1" applyProtection="1"/>
    <xf numFmtId="0" fontId="115" fillId="0" borderId="0" xfId="0" applyFont="1" applyBorder="1" applyAlignment="1" applyProtection="1"/>
    <xf numFmtId="0" fontId="57" fillId="0" borderId="0" xfId="3" applyNumberFormat="1" applyFont="1" applyFill="1" applyBorder="1" applyProtection="1"/>
    <xf numFmtId="0" fontId="22" fillId="0" borderId="0" xfId="0" applyFont="1" applyAlignment="1" applyProtection="1">
      <alignment horizontal="left"/>
    </xf>
    <xf numFmtId="0" fontId="26" fillId="0" borderId="0" xfId="0" applyFont="1" applyProtection="1"/>
    <xf numFmtId="0" fontId="48" fillId="0" borderId="7" xfId="0" applyFont="1" applyBorder="1" applyProtection="1"/>
    <xf numFmtId="0" fontId="30" fillId="0" borderId="0" xfId="0" applyFont="1" applyFill="1" applyBorder="1" applyAlignment="1" applyProtection="1">
      <alignment horizontal="left" vertical="center"/>
    </xf>
    <xf numFmtId="0" fontId="0" fillId="0" borderId="0" xfId="0" applyAlignment="1" applyProtection="1"/>
    <xf numFmtId="0" fontId="22" fillId="0" borderId="0" xfId="7" applyFont="1" applyAlignment="1" applyProtection="1">
      <alignment vertical="top"/>
    </xf>
    <xf numFmtId="0" fontId="13" fillId="0" borderId="0" xfId="0" applyFont="1" applyAlignment="1" applyProtection="1"/>
    <xf numFmtId="0" fontId="22" fillId="0" borderId="0" xfId="0" applyFont="1" applyAlignment="1" applyProtection="1"/>
    <xf numFmtId="0" fontId="49" fillId="0" borderId="0" xfId="0" applyFont="1" applyBorder="1" applyProtection="1"/>
    <xf numFmtId="0" fontId="10" fillId="0" borderId="0" xfId="0" applyFont="1" applyBorder="1" applyProtection="1"/>
    <xf numFmtId="0" fontId="0" fillId="0" borderId="0" xfId="0" applyBorder="1" applyAlignment="1" applyProtection="1">
      <alignment horizontal="center"/>
    </xf>
    <xf numFmtId="0" fontId="59" fillId="0" borderId="0" xfId="0" applyFont="1" applyBorder="1" applyProtection="1"/>
    <xf numFmtId="0" fontId="17" fillId="0" borderId="0" xfId="0" applyFont="1" applyProtection="1"/>
    <xf numFmtId="0" fontId="52" fillId="0" borderId="0" xfId="0" applyFont="1" applyProtection="1"/>
    <xf numFmtId="3" fontId="17" fillId="0" borderId="0" xfId="0" applyNumberFormat="1" applyFont="1" applyProtection="1"/>
    <xf numFmtId="0" fontId="13" fillId="0" borderId="0" xfId="0" applyFont="1" applyAlignment="1" applyProtection="1">
      <alignment horizontal="right"/>
    </xf>
    <xf numFmtId="0" fontId="10" fillId="0" borderId="0" xfId="0" applyFont="1" applyAlignment="1" applyProtection="1">
      <alignment horizontal="right"/>
    </xf>
    <xf numFmtId="2" fontId="48" fillId="0" borderId="0" xfId="0" applyNumberFormat="1" applyFont="1" applyProtection="1"/>
    <xf numFmtId="3" fontId="59" fillId="0" borderId="0" xfId="0" applyNumberFormat="1" applyFont="1" applyProtection="1"/>
    <xf numFmtId="0" fontId="13" fillId="0" borderId="0" xfId="0" applyFont="1" applyProtection="1"/>
    <xf numFmtId="0" fontId="51" fillId="0" borderId="0" xfId="0" applyFont="1" applyProtection="1"/>
    <xf numFmtId="3" fontId="57" fillId="0" borderId="0" xfId="0" applyNumberFormat="1" applyFont="1" applyProtection="1"/>
    <xf numFmtId="0" fontId="0" fillId="0" borderId="0" xfId="0" applyProtection="1"/>
    <xf numFmtId="0" fontId="45" fillId="0" borderId="0" xfId="0" applyFont="1" applyAlignment="1" applyProtection="1">
      <alignment horizontal="center"/>
    </xf>
    <xf numFmtId="0" fontId="36" fillId="0" borderId="0" xfId="0" applyFont="1" applyProtection="1"/>
    <xf numFmtId="0" fontId="45" fillId="0" borderId="0" xfId="0" applyFont="1" applyProtection="1"/>
    <xf numFmtId="0" fontId="0" fillId="0" borderId="0" xfId="0" quotePrefix="1" applyProtection="1"/>
    <xf numFmtId="2" fontId="13" fillId="10" borderId="0" xfId="0" applyNumberFormat="1" applyFont="1" applyFill="1" applyAlignment="1" applyProtection="1">
      <alignment vertical="center"/>
    </xf>
    <xf numFmtId="0" fontId="0" fillId="0" borderId="0" xfId="0" applyFont="1" applyProtection="1"/>
    <xf numFmtId="164" fontId="13" fillId="0" borderId="0" xfId="0" applyNumberFormat="1" applyFont="1" applyProtection="1"/>
    <xf numFmtId="0" fontId="13" fillId="0" borderId="0" xfId="0" applyFont="1" applyFill="1" applyAlignment="1" applyProtection="1">
      <alignment vertical="center"/>
    </xf>
    <xf numFmtId="0" fontId="0" fillId="0" borderId="0" xfId="0" applyAlignment="1" applyProtection="1">
      <alignment horizontal="right"/>
    </xf>
    <xf numFmtId="0" fontId="17" fillId="0" borderId="0" xfId="0" applyFont="1" applyAlignment="1" applyProtection="1">
      <alignment horizontal="center"/>
    </xf>
    <xf numFmtId="0" fontId="17" fillId="0" borderId="0" xfId="0" applyFont="1" applyAlignment="1" applyProtection="1">
      <alignment horizontal="right"/>
    </xf>
    <xf numFmtId="0" fontId="81" fillId="6" borderId="4" xfId="7" applyFont="1" applyFill="1" applyBorder="1" applyProtection="1"/>
    <xf numFmtId="0" fontId="111" fillId="6" borderId="5" xfId="7" applyFont="1" applyFill="1" applyBorder="1" applyAlignment="1" applyProtection="1"/>
    <xf numFmtId="49" fontId="17" fillId="6" borderId="5" xfId="4" applyNumberFormat="1" applyFont="1" applyFill="1" applyBorder="1" applyAlignment="1" applyProtection="1">
      <alignment horizontal="left"/>
    </xf>
    <xf numFmtId="0" fontId="45" fillId="6" borderId="5" xfId="7" applyFont="1" applyFill="1" applyBorder="1" applyAlignment="1" applyProtection="1">
      <alignment horizontal="left"/>
    </xf>
    <xf numFmtId="0" fontId="9" fillId="6" borderId="5" xfId="7" applyFill="1" applyBorder="1" applyAlignment="1" applyProtection="1">
      <alignment vertical="top"/>
    </xf>
    <xf numFmtId="0" fontId="9" fillId="6" borderId="6" xfId="7" applyFill="1" applyBorder="1" applyAlignment="1" applyProtection="1">
      <alignment vertical="top"/>
    </xf>
    <xf numFmtId="0" fontId="9" fillId="0" borderId="0" xfId="7" applyProtection="1"/>
    <xf numFmtId="0" fontId="26" fillId="6" borderId="7" xfId="7" applyFont="1" applyFill="1" applyBorder="1" applyProtection="1"/>
    <xf numFmtId="0" fontId="9" fillId="6" borderId="0" xfId="7" applyFill="1" applyBorder="1" applyProtection="1"/>
    <xf numFmtId="0" fontId="9" fillId="6" borderId="0" xfId="7" applyFill="1" applyAlignment="1" applyProtection="1">
      <alignment vertical="top"/>
    </xf>
    <xf numFmtId="0" fontId="9" fillId="6" borderId="8" xfId="7" applyFill="1" applyBorder="1" applyAlignment="1" applyProtection="1">
      <alignment vertical="top"/>
    </xf>
    <xf numFmtId="0" fontId="45" fillId="6" borderId="63" xfId="7" applyFont="1" applyFill="1" applyBorder="1" applyProtection="1"/>
    <xf numFmtId="0" fontId="9" fillId="6" borderId="62" xfId="7" applyFill="1" applyBorder="1" applyProtection="1"/>
    <xf numFmtId="0" fontId="45" fillId="6" borderId="62" xfId="7" applyFont="1" applyFill="1" applyBorder="1" applyAlignment="1" applyProtection="1">
      <alignment horizontal="center"/>
    </xf>
    <xf numFmtId="0" fontId="45" fillId="0" borderId="62" xfId="7" applyFont="1" applyBorder="1" applyAlignment="1" applyProtection="1">
      <alignment horizontal="center"/>
    </xf>
    <xf numFmtId="0" fontId="45" fillId="0" borderId="64" xfId="7" applyFont="1" applyBorder="1" applyAlignment="1" applyProtection="1">
      <alignment horizontal="center"/>
    </xf>
    <xf numFmtId="0" fontId="9" fillId="6" borderId="7" xfId="7" applyFill="1" applyBorder="1" applyProtection="1"/>
    <xf numFmtId="0" fontId="9" fillId="9" borderId="0" xfId="7" applyFill="1" applyBorder="1" applyProtection="1"/>
    <xf numFmtId="0" fontId="9" fillId="0" borderId="7" xfId="7" applyFill="1" applyBorder="1" applyProtection="1"/>
    <xf numFmtId="0" fontId="19" fillId="0" borderId="0" xfId="7" applyFont="1" applyFill="1" applyAlignment="1" applyProtection="1">
      <alignment vertical="center"/>
    </xf>
    <xf numFmtId="0" fontId="9" fillId="0" borderId="0" xfId="7" applyFill="1" applyAlignment="1" applyProtection="1"/>
    <xf numFmtId="0" fontId="78" fillId="6" borderId="0" xfId="7" applyFont="1" applyFill="1" applyBorder="1" applyProtection="1"/>
    <xf numFmtId="0" fontId="78" fillId="0" borderId="7" xfId="7" applyFont="1" applyFill="1" applyBorder="1" applyProtection="1"/>
    <xf numFmtId="0" fontId="9" fillId="0" borderId="7" xfId="7" applyBorder="1" applyProtection="1"/>
    <xf numFmtId="0" fontId="77" fillId="0" borderId="0" xfId="10" applyProtection="1"/>
    <xf numFmtId="0" fontId="65" fillId="9" borderId="0" xfId="7" applyFont="1" applyFill="1" applyBorder="1" applyProtection="1"/>
    <xf numFmtId="0" fontId="13" fillId="6" borderId="7" xfId="7" applyFont="1" applyFill="1" applyBorder="1" applyProtection="1"/>
    <xf numFmtId="0" fontId="45" fillId="6" borderId="7" xfId="7" applyFont="1" applyFill="1" applyBorder="1" applyProtection="1"/>
    <xf numFmtId="0" fontId="9" fillId="6" borderId="8" xfId="7" applyFill="1" applyBorder="1" applyProtection="1"/>
    <xf numFmtId="0" fontId="10" fillId="6" borderId="0" xfId="7" applyFont="1" applyFill="1" applyBorder="1" applyProtection="1"/>
    <xf numFmtId="0" fontId="9" fillId="6" borderId="0" xfId="7" applyFill="1" applyProtection="1"/>
    <xf numFmtId="0" fontId="9" fillId="6" borderId="9" xfId="7" applyFill="1" applyBorder="1" applyProtection="1"/>
    <xf numFmtId="0" fontId="9" fillId="6" borderId="10" xfId="7" applyFill="1" applyBorder="1" applyProtection="1"/>
    <xf numFmtId="0" fontId="9" fillId="6" borderId="13" xfId="7" applyFill="1" applyBorder="1" applyProtection="1"/>
    <xf numFmtId="0" fontId="72" fillId="0" borderId="0" xfId="7" applyFont="1" applyAlignment="1" applyProtection="1">
      <alignment vertical="top" wrapText="1"/>
    </xf>
    <xf numFmtId="0" fontId="45" fillId="0" borderId="0" xfId="7" applyFont="1" applyProtection="1"/>
    <xf numFmtId="0" fontId="45" fillId="0" borderId="0" xfId="7" applyFont="1" applyAlignment="1" applyProtection="1">
      <alignment horizontal="right" vertical="center"/>
    </xf>
    <xf numFmtId="0" fontId="45" fillId="0" borderId="0" xfId="7" applyFont="1" applyAlignment="1" applyProtection="1">
      <alignment horizontal="center" vertical="center"/>
    </xf>
    <xf numFmtId="0" fontId="67" fillId="0" borderId="0" xfId="7" applyFont="1" applyProtection="1"/>
    <xf numFmtId="0" fontId="26" fillId="0" borderId="0" xfId="7" applyFont="1" applyProtection="1"/>
    <xf numFmtId="0" fontId="65" fillId="0" borderId="0" xfId="7" applyFont="1" applyFill="1" applyProtection="1"/>
    <xf numFmtId="0" fontId="17" fillId="0" borderId="0" xfId="7" applyFont="1" applyProtection="1"/>
    <xf numFmtId="0" fontId="13" fillId="0" borderId="0" xfId="7" applyFont="1" applyProtection="1"/>
    <xf numFmtId="0" fontId="65" fillId="0" borderId="0" xfId="7" applyFont="1" applyAlignment="1" applyProtection="1">
      <alignment vertical="center"/>
    </xf>
    <xf numFmtId="49" fontId="24" fillId="7" borderId="5" xfId="4" applyNumberFormat="1" applyFont="1" applyFill="1" applyBorder="1" applyAlignment="1" applyProtection="1">
      <protection locked="0"/>
    </xf>
    <xf numFmtId="0" fontId="24" fillId="0" borderId="5" xfId="0" applyFont="1" applyBorder="1" applyAlignment="1"/>
    <xf numFmtId="0" fontId="42" fillId="0" borderId="0" xfId="0" applyFont="1" applyBorder="1" applyAlignment="1" applyProtection="1">
      <alignment horizontal="left"/>
    </xf>
    <xf numFmtId="0" fontId="42" fillId="0" borderId="0" xfId="0" applyFont="1" applyBorder="1" applyAlignment="1" applyProtection="1"/>
    <xf numFmtId="0" fontId="0" fillId="0" borderId="0" xfId="0" applyFill="1" applyBorder="1" applyAlignment="1"/>
    <xf numFmtId="0" fontId="13" fillId="0" borderId="15" xfId="0" applyFont="1" applyFill="1" applyBorder="1" applyAlignment="1">
      <alignment vertical="top" wrapText="1"/>
    </xf>
    <xf numFmtId="0" fontId="0" fillId="0" borderId="16" xfId="0" applyBorder="1" applyAlignment="1">
      <alignment wrapText="1"/>
    </xf>
    <xf numFmtId="0" fontId="0" fillId="0" borderId="17" xfId="0" applyBorder="1" applyAlignment="1">
      <alignment wrapText="1"/>
    </xf>
    <xf numFmtId="0" fontId="0" fillId="0" borderId="18" xfId="0" applyBorder="1" applyAlignment="1">
      <alignment wrapText="1"/>
    </xf>
    <xf numFmtId="0" fontId="0" fillId="0" borderId="0" xfId="0" applyBorder="1" applyAlignment="1">
      <alignment wrapText="1"/>
    </xf>
    <xf numFmtId="0" fontId="0" fillId="0" borderId="14" xfId="0" applyBorder="1" applyAlignment="1">
      <alignment wrapText="1"/>
    </xf>
    <xf numFmtId="0" fontId="0" fillId="0" borderId="19" xfId="0" applyBorder="1" applyAlignment="1">
      <alignment wrapText="1"/>
    </xf>
    <xf numFmtId="0" fontId="0" fillId="0" borderId="1" xfId="0" applyBorder="1" applyAlignment="1">
      <alignment wrapText="1"/>
    </xf>
    <xf numFmtId="0" fontId="0" fillId="0" borderId="20" xfId="0" applyBorder="1" applyAlignment="1">
      <alignment wrapText="1"/>
    </xf>
    <xf numFmtId="0" fontId="0" fillId="0" borderId="0" xfId="0" applyAlignment="1"/>
    <xf numFmtId="4" fontId="11" fillId="5" borderId="11" xfId="0" applyNumberFormat="1" applyFont="1" applyFill="1" applyBorder="1" applyAlignment="1">
      <alignment horizontal="left" vertical="center"/>
    </xf>
    <xf numFmtId="0" fontId="0" fillId="0" borderId="41" xfId="0" applyBorder="1" applyAlignment="1">
      <alignment horizontal="left" vertical="center"/>
    </xf>
    <xf numFmtId="0" fontId="0" fillId="0" borderId="15" xfId="0" applyFill="1" applyBorder="1" applyAlignment="1"/>
    <xf numFmtId="0" fontId="0" fillId="0" borderId="16" xfId="0" applyBorder="1" applyAlignment="1"/>
    <xf numFmtId="0" fontId="13" fillId="8" borderId="0" xfId="0" applyFont="1" applyFill="1" applyBorder="1" applyAlignment="1">
      <alignment horizontal="right" vertical="center"/>
    </xf>
    <xf numFmtId="0" fontId="0" fillId="8" borderId="0" xfId="0" applyFill="1" applyBorder="1" applyAlignment="1">
      <alignment horizontal="right" vertical="center"/>
    </xf>
    <xf numFmtId="0" fontId="13" fillId="0" borderId="0" xfId="0" quotePrefix="1" applyNumberFormat="1" applyFont="1" applyAlignment="1"/>
    <xf numFmtId="0" fontId="0" fillId="0" borderId="0" xfId="0" applyNumberFormat="1" applyAlignment="1"/>
    <xf numFmtId="0" fontId="24" fillId="0" borderId="62" xfId="15" applyFont="1" applyBorder="1" applyAlignment="1">
      <alignment horizontal="center"/>
    </xf>
    <xf numFmtId="0" fontId="13" fillId="0" borderId="62" xfId="15" applyFont="1" applyBorder="1" applyAlignment="1">
      <alignment horizontal="center"/>
    </xf>
    <xf numFmtId="0" fontId="16" fillId="0" borderId="0" xfId="15" applyFont="1" applyAlignment="1">
      <alignment horizontal="center"/>
    </xf>
    <xf numFmtId="0" fontId="13" fillId="0" borderId="0" xfId="15" applyAlignment="1">
      <alignment horizontal="center"/>
    </xf>
    <xf numFmtId="0" fontId="109" fillId="0" borderId="0" xfId="15" applyFont="1" applyAlignment="1">
      <alignment horizontal="center"/>
    </xf>
    <xf numFmtId="0" fontId="36" fillId="0" borderId="0" xfId="0" applyFont="1" applyAlignment="1">
      <alignment vertical="top" wrapText="1"/>
    </xf>
    <xf numFmtId="0" fontId="0" fillId="0" borderId="0" xfId="0" applyAlignment="1">
      <alignment vertical="top" wrapText="1"/>
    </xf>
    <xf numFmtId="0" fontId="9" fillId="0" borderId="0" xfId="7" applyAlignment="1">
      <alignment vertical="top" wrapText="1"/>
    </xf>
    <xf numFmtId="0" fontId="9" fillId="0" borderId="0" xfId="7" applyAlignment="1"/>
    <xf numFmtId="0" fontId="10" fillId="0" borderId="0" xfId="7" applyFont="1" applyAlignment="1">
      <alignment horizontal="left" wrapText="1"/>
    </xf>
    <xf numFmtId="0" fontId="72" fillId="0" borderId="0" xfId="7" applyFont="1" applyAlignment="1" applyProtection="1">
      <alignment vertical="top" wrapText="1"/>
    </xf>
    <xf numFmtId="0" fontId="10" fillId="0" borderId="0" xfId="7" applyFont="1" applyAlignment="1" applyProtection="1">
      <alignment horizontal="left" vertical="top" wrapText="1"/>
    </xf>
    <xf numFmtId="0" fontId="9" fillId="0" borderId="0" xfId="7" applyAlignment="1" applyProtection="1">
      <alignment vertical="top" wrapText="1"/>
    </xf>
    <xf numFmtId="0" fontId="88" fillId="0" borderId="0" xfId="7" applyFont="1" applyFill="1" applyBorder="1" applyAlignment="1" applyProtection="1">
      <alignment horizontal="center"/>
    </xf>
    <xf numFmtId="0" fontId="45" fillId="0" borderId="0" xfId="7" applyFont="1" applyAlignment="1">
      <alignment horizontal="center"/>
    </xf>
    <xf numFmtId="0" fontId="102" fillId="0" borderId="0" xfId="7" applyFont="1" applyFill="1" applyBorder="1" applyAlignment="1" applyProtection="1"/>
    <xf numFmtId="0" fontId="9" fillId="9" borderId="0" xfId="7" applyFill="1" applyAlignment="1"/>
    <xf numFmtId="0" fontId="40" fillId="0" borderId="1" xfId="0" applyFont="1" applyBorder="1" applyAlignment="1">
      <alignment horizontal="center"/>
    </xf>
    <xf numFmtId="0" fontId="125" fillId="0" borderId="0" xfId="16" applyFont="1" applyAlignment="1">
      <alignment horizontal="center" vertical="center"/>
    </xf>
    <xf numFmtId="0" fontId="1" fillId="0" borderId="0" xfId="16" applyAlignment="1">
      <alignment horizontal="center"/>
    </xf>
    <xf numFmtId="0" fontId="127" fillId="0" borderId="73" xfId="16" applyFont="1" applyBorder="1" applyAlignment="1">
      <alignment horizontal="center" vertical="center"/>
    </xf>
    <xf numFmtId="0" fontId="1" fillId="0" borderId="74" xfId="16" applyBorder="1" applyAlignment="1">
      <alignment horizontal="center" vertical="center"/>
    </xf>
    <xf numFmtId="0" fontId="1" fillId="0" borderId="75" xfId="16" applyBorder="1" applyAlignment="1">
      <alignment horizontal="center" vertical="center"/>
    </xf>
    <xf numFmtId="0" fontId="130" fillId="0" borderId="86" xfId="16" applyFont="1" applyBorder="1" applyAlignment="1">
      <alignment horizontal="center" vertical="center" wrapText="1"/>
    </xf>
    <xf numFmtId="0" fontId="130" fillId="0" borderId="83" xfId="16" applyFont="1" applyBorder="1" applyAlignment="1">
      <alignment horizontal="center" vertical="center" wrapText="1"/>
    </xf>
    <xf numFmtId="0" fontId="130" fillId="0" borderId="80" xfId="16" applyFont="1" applyBorder="1" applyAlignment="1">
      <alignment horizontal="center" vertical="center" wrapText="1"/>
    </xf>
    <xf numFmtId="0" fontId="130" fillId="0" borderId="84" xfId="16" applyFont="1" applyBorder="1" applyAlignment="1">
      <alignment horizontal="center" vertical="center" wrapText="1"/>
    </xf>
    <xf numFmtId="0" fontId="130" fillId="0" borderId="87" xfId="16" applyFont="1" applyBorder="1" applyAlignment="1">
      <alignment horizontal="center" vertical="center" wrapText="1"/>
    </xf>
    <xf numFmtId="0" fontId="130" fillId="0" borderId="85" xfId="16" applyFont="1" applyBorder="1" applyAlignment="1">
      <alignment horizontal="center" vertical="center" wrapText="1"/>
    </xf>
    <xf numFmtId="0" fontId="126" fillId="0" borderId="91" xfId="16" applyFont="1" applyBorder="1" applyAlignment="1">
      <alignment horizontal="center" vertical="center"/>
    </xf>
    <xf numFmtId="0" fontId="0" fillId="0" borderId="91" xfId="0" applyBorder="1" applyAlignment="1">
      <alignment horizontal="center"/>
    </xf>
  </cellXfs>
  <cellStyles count="17">
    <cellStyle name="40% - Accent5" xfId="3" builtinId="47"/>
    <cellStyle name="40% - Accent5 2" xfId="9" xr:uid="{A83F66A1-8331-42FF-A38E-ED5360ED08EF}"/>
    <cellStyle name="40% - Accent5 3" xfId="14" xr:uid="{7C028112-EBEE-4AFE-A437-9D441DB7DA91}"/>
    <cellStyle name="Good" xfId="1" builtinId="26" customBuiltin="1"/>
    <cellStyle name="Hyperlink" xfId="10" builtinId="8"/>
    <cellStyle name="Normal" xfId="0" builtinId="0"/>
    <cellStyle name="Normal 2" xfId="7" xr:uid="{3FB0C793-9E8E-4FBF-BFAF-02983B767A2B}"/>
    <cellStyle name="Normal 2 2" xfId="15" xr:uid="{B12F8BED-70C1-44B6-9A4D-FDF58126BD19}"/>
    <cellStyle name="Normal 3" xfId="11" xr:uid="{C47EFB99-5A55-404A-AA87-5E3C72FABC4E}"/>
    <cellStyle name="Normal 4" xfId="12" xr:uid="{26101E2E-099C-4D86-A643-6CA0EF2B286A}"/>
    <cellStyle name="Normal 5" xfId="16" xr:uid="{9B76DFE4-A455-4A32-B8D8-02EFBF1A4607}"/>
    <cellStyle name="Normal_Compress Nelson F" xfId="4" xr:uid="{00000000-0005-0000-0000-000003000000}"/>
    <cellStyle name="Normal_Valve P1 and P2 vs Q Rev 3" xfId="6" xr:uid="{00000000-0005-0000-0000-000004000000}"/>
    <cellStyle name="Note" xfId="2" builtinId="10"/>
    <cellStyle name="Note 2" xfId="8" xr:uid="{A82AB890-1357-4F61-A4F4-05E10A662C4B}"/>
    <cellStyle name="Note 3" xfId="13" xr:uid="{EF8D6367-0C4A-4451-864D-45505C7FDB52}"/>
    <cellStyle name="Style 1" xfId="5" xr:uid="{00000000-0005-0000-0000-000006000000}"/>
  </cellStyles>
  <dxfs count="1">
    <dxf>
      <fill>
        <patternFill>
          <bgColor rgb="FFFF7979"/>
        </patternFill>
      </fill>
    </dxf>
  </dxfs>
  <tableStyles count="0" defaultTableStyle="TableStyleMedium9" defaultPivotStyle="PivotStyleLight16"/>
  <colors>
    <mruColors>
      <color rgb="FF008000"/>
      <color rgb="FF009A46"/>
      <color rgb="FF0000CC"/>
      <color rgb="FFB7DEE8"/>
      <color rgb="FFFFFFFF"/>
      <color rgb="FF990033"/>
      <color rgb="FFB6DDE8"/>
      <color rgb="FF006600"/>
      <color rgb="FF00602B"/>
      <color rgb="FF007E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lgn="ctr">
              <a:defRPr sz="1800"/>
            </a:pPr>
            <a:r>
              <a:rPr lang="en-US" sz="1800"/>
              <a:t>Installed Flow</a:t>
            </a:r>
          </a:p>
        </c:rich>
      </c:tx>
      <c:layout>
        <c:manualLayout>
          <c:xMode val="edge"/>
          <c:yMode val="edge"/>
          <c:x val="0.35496341808514131"/>
          <c:y val="2.1535070461905146E-2"/>
        </c:manualLayout>
      </c:layout>
      <c:overlay val="0"/>
      <c:spPr>
        <a:noFill/>
      </c:spPr>
    </c:title>
    <c:autoTitleDeleted val="0"/>
    <c:plotArea>
      <c:layout>
        <c:manualLayout>
          <c:layoutTarget val="inner"/>
          <c:xMode val="edge"/>
          <c:yMode val="edge"/>
          <c:x val="0.15932938905467844"/>
          <c:y val="0.10093693035848809"/>
          <c:w val="0.78353924834607991"/>
          <c:h val="0.77018211315651763"/>
        </c:manualLayout>
      </c:layout>
      <c:scatterChart>
        <c:scatterStyle val="smoothMarker"/>
        <c:varyColors val="0"/>
        <c:ser>
          <c:idx val="1"/>
          <c:order val="1"/>
          <c:spPr>
            <a:ln w="41275" cap="sq">
              <a:solidFill>
                <a:srgbClr val="0000CC"/>
              </a:solidFill>
              <a:prstDash val="sysDot"/>
            </a:ln>
          </c:spPr>
          <c:marker>
            <c:symbol val="none"/>
          </c:marker>
          <c:xVal>
            <c:numRef>
              <c:f>'Installed Flow'!$B$36:$L$36</c:f>
              <c:numCache>
                <c:formatCode>General</c:formatCode>
                <c:ptCount val="11"/>
                <c:pt idx="0">
                  <c:v>0</c:v>
                </c:pt>
                <c:pt idx="1">
                  <c:v>0.1</c:v>
                </c:pt>
                <c:pt idx="2">
                  <c:v>0.2</c:v>
                </c:pt>
                <c:pt idx="3">
                  <c:v>0.3</c:v>
                </c:pt>
                <c:pt idx="4">
                  <c:v>0.4</c:v>
                </c:pt>
                <c:pt idx="5">
                  <c:v>0.5</c:v>
                </c:pt>
                <c:pt idx="6">
                  <c:v>0.6</c:v>
                </c:pt>
                <c:pt idx="7">
                  <c:v>0.7</c:v>
                </c:pt>
                <c:pt idx="8">
                  <c:v>0.8</c:v>
                </c:pt>
                <c:pt idx="9">
                  <c:v>0.9</c:v>
                </c:pt>
                <c:pt idx="10">
                  <c:v>1</c:v>
                </c:pt>
              </c:numCache>
            </c:numRef>
          </c:xVal>
          <c:yVal>
            <c:numRef>
              <c:f>'Installed Flow'!$B$38:$L$38</c:f>
              <c:numCache>
                <c:formatCode>General</c:formatCode>
                <c:ptCount val="11"/>
                <c:pt idx="0">
                  <c:v>9.7075251000985324E-2</c:v>
                </c:pt>
                <c:pt idx="1">
                  <c:v>9.7075251000985324E-2</c:v>
                </c:pt>
                <c:pt idx="2">
                  <c:v>9.7075251000985324E-2</c:v>
                </c:pt>
                <c:pt idx="3">
                  <c:v>9.7075251000985324E-2</c:v>
                </c:pt>
                <c:pt idx="4">
                  <c:v>9.7075251000985324E-2</c:v>
                </c:pt>
                <c:pt idx="5">
                  <c:v>9.7075251000985324E-2</c:v>
                </c:pt>
                <c:pt idx="6">
                  <c:v>9.7075251000985324E-2</c:v>
                </c:pt>
                <c:pt idx="7">
                  <c:v>9.7075251000985324E-2</c:v>
                </c:pt>
                <c:pt idx="8">
                  <c:v>9.7075251000985324E-2</c:v>
                </c:pt>
                <c:pt idx="9">
                  <c:v>9.7075251000985324E-2</c:v>
                </c:pt>
                <c:pt idx="10">
                  <c:v>9.7075251000985324E-2</c:v>
                </c:pt>
              </c:numCache>
            </c:numRef>
          </c:yVal>
          <c:smooth val="1"/>
          <c:extLst>
            <c:ext xmlns:c16="http://schemas.microsoft.com/office/drawing/2014/chart" uri="{C3380CC4-5D6E-409C-BE32-E72D297353CC}">
              <c16:uniqueId val="{00000000-38A3-4F77-A01B-DFE54C4AA3B1}"/>
            </c:ext>
          </c:extLst>
        </c:ser>
        <c:ser>
          <c:idx val="2"/>
          <c:order val="2"/>
          <c:spPr>
            <a:ln w="41275" cap="sq">
              <a:solidFill>
                <a:srgbClr val="990033"/>
              </a:solidFill>
              <a:prstDash val="sysDot"/>
            </a:ln>
          </c:spPr>
          <c:marker>
            <c:symbol val="none"/>
          </c:marker>
          <c:xVal>
            <c:numRef>
              <c:f>'Installed Flow'!$B$36:$L$36</c:f>
              <c:numCache>
                <c:formatCode>General</c:formatCode>
                <c:ptCount val="11"/>
                <c:pt idx="0">
                  <c:v>0</c:v>
                </c:pt>
                <c:pt idx="1">
                  <c:v>0.1</c:v>
                </c:pt>
                <c:pt idx="2">
                  <c:v>0.2</c:v>
                </c:pt>
                <c:pt idx="3">
                  <c:v>0.3</c:v>
                </c:pt>
                <c:pt idx="4">
                  <c:v>0.4</c:v>
                </c:pt>
                <c:pt idx="5">
                  <c:v>0.5</c:v>
                </c:pt>
                <c:pt idx="6">
                  <c:v>0.6</c:v>
                </c:pt>
                <c:pt idx="7">
                  <c:v>0.7</c:v>
                </c:pt>
                <c:pt idx="8">
                  <c:v>0.8</c:v>
                </c:pt>
                <c:pt idx="9">
                  <c:v>0.9</c:v>
                </c:pt>
                <c:pt idx="10">
                  <c:v>1</c:v>
                </c:pt>
              </c:numCache>
            </c:numRef>
          </c:xVal>
          <c:yVal>
            <c:numRef>
              <c:f>'Installed Flow'!$B$39:$L$39</c:f>
              <c:numCache>
                <c:formatCode>General</c:formatCode>
                <c:ptCount val="11"/>
                <c:pt idx="0">
                  <c:v>0.72020556161930527</c:v>
                </c:pt>
                <c:pt idx="1">
                  <c:v>0.72020556161930527</c:v>
                </c:pt>
                <c:pt idx="2">
                  <c:v>0.72020556161930527</c:v>
                </c:pt>
                <c:pt idx="3">
                  <c:v>0.72020556161930527</c:v>
                </c:pt>
                <c:pt idx="4">
                  <c:v>0.72020556161930527</c:v>
                </c:pt>
                <c:pt idx="5">
                  <c:v>0.72020556161930527</c:v>
                </c:pt>
                <c:pt idx="6">
                  <c:v>0.72020556161930527</c:v>
                </c:pt>
                <c:pt idx="7">
                  <c:v>0.72020556161930527</c:v>
                </c:pt>
                <c:pt idx="8">
                  <c:v>0.72020556161930527</c:v>
                </c:pt>
                <c:pt idx="9">
                  <c:v>0.72020556161930527</c:v>
                </c:pt>
                <c:pt idx="10">
                  <c:v>0.72020556161930527</c:v>
                </c:pt>
              </c:numCache>
            </c:numRef>
          </c:yVal>
          <c:smooth val="1"/>
          <c:extLst>
            <c:ext xmlns:c16="http://schemas.microsoft.com/office/drawing/2014/chart" uri="{C3380CC4-5D6E-409C-BE32-E72D297353CC}">
              <c16:uniqueId val="{00000001-38A3-4F77-A01B-DFE54C4AA3B1}"/>
            </c:ext>
          </c:extLst>
        </c:ser>
        <c:dLbls>
          <c:showLegendKey val="0"/>
          <c:showVal val="0"/>
          <c:showCatName val="0"/>
          <c:showSerName val="0"/>
          <c:showPercent val="0"/>
          <c:showBubbleSize val="0"/>
        </c:dLbls>
        <c:axId val="137127808"/>
        <c:axId val="137220480"/>
      </c:scatterChart>
      <c:scatterChart>
        <c:scatterStyle val="lineMarker"/>
        <c:varyColors val="0"/>
        <c:ser>
          <c:idx val="0"/>
          <c:order val="0"/>
          <c:spPr>
            <a:ln w="38100" cmpd="sng">
              <a:solidFill>
                <a:srgbClr val="006600"/>
              </a:solidFill>
              <a:prstDash val="solid"/>
            </a:ln>
          </c:spPr>
          <c:marker>
            <c:symbol val="none"/>
          </c:marker>
          <c:xVal>
            <c:numRef>
              <c:f>'Installed Flow'!$B$36:$L$36</c:f>
              <c:numCache>
                <c:formatCode>General</c:formatCode>
                <c:ptCount val="11"/>
                <c:pt idx="0">
                  <c:v>0</c:v>
                </c:pt>
                <c:pt idx="1">
                  <c:v>0.1</c:v>
                </c:pt>
                <c:pt idx="2">
                  <c:v>0.2</c:v>
                </c:pt>
                <c:pt idx="3">
                  <c:v>0.3</c:v>
                </c:pt>
                <c:pt idx="4">
                  <c:v>0.4</c:v>
                </c:pt>
                <c:pt idx="5">
                  <c:v>0.5</c:v>
                </c:pt>
                <c:pt idx="6">
                  <c:v>0.6</c:v>
                </c:pt>
                <c:pt idx="7">
                  <c:v>0.7</c:v>
                </c:pt>
                <c:pt idx="8">
                  <c:v>0.8</c:v>
                </c:pt>
                <c:pt idx="9">
                  <c:v>0.9</c:v>
                </c:pt>
                <c:pt idx="10">
                  <c:v>1</c:v>
                </c:pt>
              </c:numCache>
            </c:numRef>
          </c:xVal>
          <c:yVal>
            <c:numRef>
              <c:f>'Installed Flow'!$B$37:$L$37</c:f>
              <c:numCache>
                <c:formatCode>0.00</c:formatCode>
                <c:ptCount val="11"/>
                <c:pt idx="0">
                  <c:v>0</c:v>
                </c:pt>
                <c:pt idx="1">
                  <c:v>3.5673012237527522E-2</c:v>
                </c:pt>
                <c:pt idx="2">
                  <c:v>8.7350103367945076E-2</c:v>
                </c:pt>
                <c:pt idx="3">
                  <c:v>0.17013570564751709</c:v>
                </c:pt>
                <c:pt idx="4">
                  <c:v>0.28543478851012</c:v>
                </c:pt>
                <c:pt idx="5">
                  <c:v>0.41659984797288652</c:v>
                </c:pt>
                <c:pt idx="6">
                  <c:v>0.55595411209713741</c:v>
                </c:pt>
                <c:pt idx="7">
                  <c:v>0.67836967024904271</c:v>
                </c:pt>
                <c:pt idx="8">
                  <c:v>0.78756612742372145</c:v>
                </c:pt>
                <c:pt idx="9">
                  <c:v>0.92348322248231229</c:v>
                </c:pt>
                <c:pt idx="10">
                  <c:v>1</c:v>
                </c:pt>
              </c:numCache>
            </c:numRef>
          </c:yVal>
          <c:smooth val="0"/>
          <c:extLst>
            <c:ext xmlns:c16="http://schemas.microsoft.com/office/drawing/2014/chart" uri="{C3380CC4-5D6E-409C-BE32-E72D297353CC}">
              <c16:uniqueId val="{00000002-38A3-4F77-A01B-DFE54C4AA3B1}"/>
            </c:ext>
          </c:extLst>
        </c:ser>
        <c:dLbls>
          <c:showLegendKey val="0"/>
          <c:showVal val="0"/>
          <c:showCatName val="0"/>
          <c:showSerName val="0"/>
          <c:showPercent val="0"/>
          <c:showBubbleSize val="0"/>
        </c:dLbls>
        <c:axId val="137127808"/>
        <c:axId val="137220480"/>
      </c:scatterChart>
      <c:valAx>
        <c:axId val="137127808"/>
        <c:scaling>
          <c:orientation val="minMax"/>
          <c:max val="1"/>
          <c:min val="0"/>
        </c:scaling>
        <c:delete val="0"/>
        <c:axPos val="b"/>
        <c:majorGridlines>
          <c:spPr>
            <a:ln w="25400"/>
          </c:spPr>
        </c:majorGridlines>
        <c:minorGridlines/>
        <c:title>
          <c:tx>
            <c:rich>
              <a:bodyPr/>
              <a:lstStyle/>
              <a:p>
                <a:pPr>
                  <a:defRPr sz="1400" b="1"/>
                </a:pPr>
                <a:r>
                  <a:rPr lang="en-US" sz="1400" b="1"/>
                  <a:t>Relative Travel, h</a:t>
                </a:r>
              </a:p>
            </c:rich>
          </c:tx>
          <c:layout>
            <c:manualLayout>
              <c:xMode val="edge"/>
              <c:yMode val="edge"/>
              <c:x val="0.37478376425348503"/>
              <c:y val="0.92551904273921959"/>
            </c:manualLayout>
          </c:layout>
          <c:overlay val="0"/>
        </c:title>
        <c:numFmt formatCode="#,##0.0" sourceLinked="0"/>
        <c:majorTickMark val="out"/>
        <c:minorTickMark val="none"/>
        <c:tickLblPos val="nextTo"/>
        <c:crossAx val="137220480"/>
        <c:crosses val="autoZero"/>
        <c:crossBetween val="midCat"/>
        <c:majorUnit val="0.1"/>
      </c:valAx>
      <c:valAx>
        <c:axId val="137220480"/>
        <c:scaling>
          <c:orientation val="minMax"/>
          <c:max val="1"/>
          <c:min val="0"/>
        </c:scaling>
        <c:delete val="0"/>
        <c:axPos val="l"/>
        <c:majorGridlines>
          <c:spPr>
            <a:ln>
              <a:solidFill>
                <a:schemeClr val="bg1"/>
              </a:solidFill>
            </a:ln>
          </c:spPr>
        </c:majorGridlines>
        <c:title>
          <c:tx>
            <c:rich>
              <a:bodyPr rot="-5400000" vert="horz" anchor="b" anchorCtr="1"/>
              <a:lstStyle/>
              <a:p>
                <a:pPr>
                  <a:defRPr sz="1400" b="1"/>
                </a:pPr>
                <a:r>
                  <a:rPr lang="en-US" sz="1400" b="1"/>
                  <a:t>Relative Flow - Q/Q</a:t>
                </a:r>
                <a:r>
                  <a:rPr lang="en-US" sz="1800" b="1" baseline="-25000"/>
                  <a:t>f</a:t>
                </a:r>
                <a:endParaRPr lang="en-US" sz="1400" b="1" baseline="-25000"/>
              </a:p>
            </c:rich>
          </c:tx>
          <c:layout>
            <c:manualLayout>
              <c:xMode val="edge"/>
              <c:yMode val="edge"/>
              <c:x val="3.09089638952602E-2"/>
              <c:y val="0.24687429558014609"/>
            </c:manualLayout>
          </c:layout>
          <c:overlay val="0"/>
          <c:spPr>
            <a:noFill/>
          </c:spPr>
        </c:title>
        <c:numFmt formatCode="0.0" sourceLinked="0"/>
        <c:majorTickMark val="out"/>
        <c:minorTickMark val="none"/>
        <c:tickLblPos val="nextTo"/>
        <c:txPr>
          <a:bodyPr/>
          <a:lstStyle/>
          <a:p>
            <a:pPr>
              <a:defRPr>
                <a:solidFill>
                  <a:sysClr val="windowText" lastClr="000000"/>
                </a:solidFill>
              </a:defRPr>
            </a:pPr>
            <a:endParaRPr lang="en-US"/>
          </a:p>
        </c:txPr>
        <c:crossAx val="137127808"/>
        <c:crosses val="autoZero"/>
        <c:crossBetween val="midCat"/>
      </c:valAx>
    </c:plotArea>
    <c:plotVisOnly val="1"/>
    <c:dispBlanksAs val="gap"/>
    <c:showDLblsOverMax val="0"/>
  </c:chart>
  <c:spPr>
    <a:ln w="19050">
      <a:solidFill>
        <a:srgbClr val="0000CC"/>
      </a:solidFill>
    </a:ln>
  </c:spPr>
  <c:printSettings>
    <c:headerFooter/>
    <c:pageMargins b="0.75000000000000488" l="0.70000000000000095" r="0.70000000000000095" t="0.75000000000000488"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00018188986402E-2"/>
          <c:y val="4.4754406257473914E-2"/>
          <c:w val="0.93399996362202764"/>
          <c:h val="0.94032745832336884"/>
        </c:manualLayout>
      </c:layout>
      <c:scatterChart>
        <c:scatterStyle val="lineMarker"/>
        <c:varyColors val="0"/>
        <c:dLbls>
          <c:showLegendKey val="0"/>
          <c:showVal val="0"/>
          <c:showCatName val="0"/>
          <c:showSerName val="0"/>
          <c:showPercent val="0"/>
          <c:showBubbleSize val="0"/>
        </c:dLbls>
        <c:axId val="58789888"/>
        <c:axId val="58791424"/>
      </c:scatterChart>
      <c:valAx>
        <c:axId val="58789888"/>
        <c:scaling>
          <c:orientation val="minMax"/>
          <c:max val="1.4"/>
          <c:min val="0"/>
        </c:scaling>
        <c:delete val="1"/>
        <c:axPos val="b"/>
        <c:numFmt formatCode="General" sourceLinked="1"/>
        <c:majorTickMark val="out"/>
        <c:minorTickMark val="none"/>
        <c:tickLblPos val="none"/>
        <c:crossAx val="58791424"/>
        <c:crosses val="autoZero"/>
        <c:crossBetween val="midCat"/>
      </c:valAx>
      <c:valAx>
        <c:axId val="58791424"/>
        <c:scaling>
          <c:orientation val="minMax"/>
          <c:max val="4"/>
          <c:min val="0"/>
        </c:scaling>
        <c:delete val="1"/>
        <c:axPos val="l"/>
        <c:numFmt formatCode="General" sourceLinked="1"/>
        <c:majorTickMark val="out"/>
        <c:minorTickMark val="none"/>
        <c:tickLblPos val="none"/>
        <c:crossAx val="58789888"/>
        <c:crosses val="autoZero"/>
        <c:crossBetween val="midCat"/>
      </c:valAx>
      <c:spPr>
        <a:noFill/>
        <a:ln w="25400">
          <a:noFill/>
        </a:ln>
      </c:spPr>
    </c:plotArea>
    <c:plotVisOnly val="1"/>
    <c:dispBlanksAs val="gap"/>
    <c:showDLblsOverMax val="0"/>
  </c:chart>
  <c:spPr>
    <a:noFill/>
    <a:ln>
      <a:noFill/>
    </a:ln>
  </c:spPr>
  <c:txPr>
    <a:bodyPr/>
    <a:lstStyle/>
    <a:p>
      <a:pPr>
        <a:defRPr>
          <a:solidFill>
            <a:sysClr val="windowText" lastClr="000000"/>
          </a:solidFill>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Installed Gain </a:t>
            </a:r>
          </a:p>
        </c:rich>
      </c:tx>
      <c:layout>
        <c:manualLayout>
          <c:xMode val="edge"/>
          <c:yMode val="edge"/>
          <c:x val="0.36364985626796681"/>
          <c:y val="3.0193236714975988E-3"/>
        </c:manualLayout>
      </c:layout>
      <c:overlay val="0"/>
    </c:title>
    <c:autoTitleDeleted val="0"/>
    <c:plotArea>
      <c:layout>
        <c:manualLayout>
          <c:layoutTarget val="inner"/>
          <c:xMode val="edge"/>
          <c:yMode val="edge"/>
          <c:x val="0.16684461326592928"/>
          <c:y val="0.11616007510271371"/>
          <c:w val="0.79280019631453202"/>
          <c:h val="0.7654707707684828"/>
        </c:manualLayout>
      </c:layout>
      <c:scatterChart>
        <c:scatterStyle val="lineMarker"/>
        <c:varyColors val="0"/>
        <c:ser>
          <c:idx val="0"/>
          <c:order val="0"/>
          <c:spPr>
            <a:ln w="38100">
              <a:solidFill>
                <a:srgbClr val="006600"/>
              </a:solidFill>
              <a:prstDash val="solid"/>
            </a:ln>
          </c:spPr>
          <c:marker>
            <c:symbol val="none"/>
          </c:marker>
          <c:xVal>
            <c:numRef>
              <c:f>'Installed Gain'!$C$40:$Z$40</c:f>
              <c:numCache>
                <c:formatCode>0.000</c:formatCode>
                <c:ptCount val="24"/>
                <c:pt idx="0">
                  <c:v>2.4765854457802688E-2</c:v>
                </c:pt>
                <c:pt idx="1">
                  <c:v>4.9531708915605377E-2</c:v>
                </c:pt>
                <c:pt idx="2">
                  <c:v>8.5408334898767133E-2</c:v>
                </c:pt>
                <c:pt idx="3">
                  <c:v>0.12128496088192889</c:v>
                </c:pt>
                <c:pt idx="4">
                  <c:v>0.17875855362497672</c:v>
                </c:pt>
                <c:pt idx="5">
                  <c:v>0.23623214636802459</c:v>
                </c:pt>
                <c:pt idx="6">
                  <c:v>0.31627810061153616</c:v>
                </c:pt>
                <c:pt idx="7">
                  <c:v>0.39632405485504768</c:v>
                </c:pt>
                <c:pt idx="8">
                  <c:v>0.48738490362706766</c:v>
                </c:pt>
                <c:pt idx="9">
                  <c:v>0.57844575239908769</c:v>
                </c:pt>
                <c:pt idx="10">
                  <c:v>0.67519192567976027</c:v>
                </c:pt>
                <c:pt idx="11">
                  <c:v>0.77193809896043275</c:v>
                </c:pt>
                <c:pt idx="12">
                  <c:v>0.85692463938416052</c:v>
                </c:pt>
                <c:pt idx="13">
                  <c:v>0.94191117980788841</c:v>
                </c:pt>
                <c:pt idx="14">
                  <c:v>1.0177204091403877</c:v>
                </c:pt>
                <c:pt idx="15">
                  <c:v>1.093529638472887</c:v>
                </c:pt>
                <c:pt idx="16">
                  <c:v>1.1878895700686636</c:v>
                </c:pt>
                <c:pt idx="17">
                  <c:v>1.28224950166444</c:v>
                </c:pt>
                <c:pt idx="18">
                  <c:v>1.3353709864150214</c:v>
                </c:pt>
                <c:pt idx="19">
                  <c:v>1.3884924711656028</c:v>
                </c:pt>
                <c:pt idx="20" formatCode="0.00">
                  <c:v>0.13478825515137927</c:v>
                </c:pt>
                <c:pt idx="21" formatCode="0.00">
                  <c:v>0.13478825515137927</c:v>
                </c:pt>
                <c:pt idx="22" formatCode="0.00">
                  <c:v>1</c:v>
                </c:pt>
                <c:pt idx="23" formatCode="0.00">
                  <c:v>1</c:v>
                </c:pt>
              </c:numCache>
            </c:numRef>
          </c:xVal>
          <c:yVal>
            <c:numRef>
              <c:f>'Installed Gain'!$C$41:$Z$41</c:f>
              <c:numCache>
                <c:formatCode>0.0000</c:formatCode>
                <c:ptCount val="24"/>
                <c:pt idx="0">
                  <c:v>0.49531708915605377</c:v>
                </c:pt>
                <c:pt idx="1">
                  <c:v>0.60642480440964441</c:v>
                </c:pt>
                <c:pt idx="2">
                  <c:v>0.71753251966323506</c:v>
                </c:pt>
                <c:pt idx="3">
                  <c:v>0.93350218726209588</c:v>
                </c:pt>
                <c:pt idx="4">
                  <c:v>1.1494718548609568</c:v>
                </c:pt>
                <c:pt idx="5">
                  <c:v>1.3751954698655944</c:v>
                </c:pt>
                <c:pt idx="6">
                  <c:v>1.6009190848702308</c:v>
                </c:pt>
                <c:pt idx="7">
                  <c:v>1.7110680301553149</c:v>
                </c:pt>
                <c:pt idx="8">
                  <c:v>1.8212169754404</c:v>
                </c:pt>
                <c:pt idx="9">
                  <c:v>1.8780702205269262</c:v>
                </c:pt>
                <c:pt idx="10">
                  <c:v>1.9349234656134506</c:v>
                </c:pt>
                <c:pt idx="11">
                  <c:v>1.8173271370440025</c:v>
                </c:pt>
                <c:pt idx="12">
                  <c:v>1.6997308084745566</c:v>
                </c:pt>
                <c:pt idx="13">
                  <c:v>1.6079576975622722</c:v>
                </c:pt>
                <c:pt idx="14">
                  <c:v>1.5161845866499857</c:v>
                </c:pt>
                <c:pt idx="15">
                  <c:v>1.7016916092827583</c:v>
                </c:pt>
                <c:pt idx="16">
                  <c:v>1.8871986319155298</c:v>
                </c:pt>
                <c:pt idx="17">
                  <c:v>1.4748141634635781</c:v>
                </c:pt>
                <c:pt idx="18">
                  <c:v>1.0624296950116285</c:v>
                </c:pt>
              </c:numCache>
            </c:numRef>
          </c:yVal>
          <c:smooth val="0"/>
          <c:extLst>
            <c:ext xmlns:c16="http://schemas.microsoft.com/office/drawing/2014/chart" uri="{C3380CC4-5D6E-409C-BE32-E72D297353CC}">
              <c16:uniqueId val="{00000001-1275-4326-8E67-14AECB6EB2CC}"/>
            </c:ext>
          </c:extLst>
        </c:ser>
        <c:ser>
          <c:idx val="2"/>
          <c:order val="1"/>
          <c:spPr>
            <a:ln w="41275" cap="sq">
              <a:solidFill>
                <a:srgbClr val="0000CC"/>
              </a:solidFill>
              <a:prstDash val="sysDot"/>
            </a:ln>
          </c:spPr>
          <c:marker>
            <c:symbol val="none"/>
          </c:marker>
          <c:xVal>
            <c:numRef>
              <c:f>'Installed Gain'!$C$40:$Z$40</c:f>
              <c:numCache>
                <c:formatCode>0.000</c:formatCode>
                <c:ptCount val="24"/>
                <c:pt idx="0">
                  <c:v>2.4765854457802688E-2</c:v>
                </c:pt>
                <c:pt idx="1">
                  <c:v>4.9531708915605377E-2</c:v>
                </c:pt>
                <c:pt idx="2">
                  <c:v>8.5408334898767133E-2</c:v>
                </c:pt>
                <c:pt idx="3">
                  <c:v>0.12128496088192889</c:v>
                </c:pt>
                <c:pt idx="4">
                  <c:v>0.17875855362497672</c:v>
                </c:pt>
                <c:pt idx="5">
                  <c:v>0.23623214636802459</c:v>
                </c:pt>
                <c:pt idx="6">
                  <c:v>0.31627810061153616</c:v>
                </c:pt>
                <c:pt idx="7">
                  <c:v>0.39632405485504768</c:v>
                </c:pt>
                <c:pt idx="8">
                  <c:v>0.48738490362706766</c:v>
                </c:pt>
                <c:pt idx="9">
                  <c:v>0.57844575239908769</c:v>
                </c:pt>
                <c:pt idx="10">
                  <c:v>0.67519192567976027</c:v>
                </c:pt>
                <c:pt idx="11">
                  <c:v>0.77193809896043275</c:v>
                </c:pt>
                <c:pt idx="12">
                  <c:v>0.85692463938416052</c:v>
                </c:pt>
                <c:pt idx="13">
                  <c:v>0.94191117980788841</c:v>
                </c:pt>
                <c:pt idx="14">
                  <c:v>1.0177204091403877</c:v>
                </c:pt>
                <c:pt idx="15">
                  <c:v>1.093529638472887</c:v>
                </c:pt>
                <c:pt idx="16">
                  <c:v>1.1878895700686636</c:v>
                </c:pt>
                <c:pt idx="17">
                  <c:v>1.28224950166444</c:v>
                </c:pt>
                <c:pt idx="18">
                  <c:v>1.3353709864150214</c:v>
                </c:pt>
                <c:pt idx="19">
                  <c:v>1.3884924711656028</c:v>
                </c:pt>
                <c:pt idx="20" formatCode="0.00">
                  <c:v>0.13478825515137927</c:v>
                </c:pt>
                <c:pt idx="21" formatCode="0.00">
                  <c:v>0.13478825515137927</c:v>
                </c:pt>
                <c:pt idx="22" formatCode="0.00">
                  <c:v>1</c:v>
                </c:pt>
                <c:pt idx="23" formatCode="0.00">
                  <c:v>1</c:v>
                </c:pt>
              </c:numCache>
            </c:numRef>
          </c:xVal>
          <c:yVal>
            <c:numRef>
              <c:f>'Installed Gain'!$C$42:$Z$42</c:f>
              <c:numCache>
                <c:formatCode>General</c:formatCode>
                <c:ptCount val="24"/>
                <c:pt idx="20">
                  <c:v>0</c:v>
                </c:pt>
                <c:pt idx="21">
                  <c:v>4</c:v>
                </c:pt>
              </c:numCache>
            </c:numRef>
          </c:yVal>
          <c:smooth val="0"/>
          <c:extLst>
            <c:ext xmlns:c16="http://schemas.microsoft.com/office/drawing/2014/chart" uri="{C3380CC4-5D6E-409C-BE32-E72D297353CC}">
              <c16:uniqueId val="{00000000-1275-4326-8E67-14AECB6EB2CC}"/>
            </c:ext>
          </c:extLst>
        </c:ser>
        <c:ser>
          <c:idx val="1"/>
          <c:order val="2"/>
          <c:spPr>
            <a:ln w="41275" cap="sq">
              <a:solidFill>
                <a:srgbClr val="990033"/>
              </a:solidFill>
              <a:prstDash val="sysDot"/>
            </a:ln>
          </c:spPr>
          <c:marker>
            <c:symbol val="none"/>
          </c:marker>
          <c:xVal>
            <c:numRef>
              <c:f>'Installed Gain'!$C$40:$Z$40</c:f>
              <c:numCache>
                <c:formatCode>0.000</c:formatCode>
                <c:ptCount val="24"/>
                <c:pt idx="0">
                  <c:v>2.4765854457802688E-2</c:v>
                </c:pt>
                <c:pt idx="1">
                  <c:v>4.9531708915605377E-2</c:v>
                </c:pt>
                <c:pt idx="2">
                  <c:v>8.5408334898767133E-2</c:v>
                </c:pt>
                <c:pt idx="3">
                  <c:v>0.12128496088192889</c:v>
                </c:pt>
                <c:pt idx="4">
                  <c:v>0.17875855362497672</c:v>
                </c:pt>
                <c:pt idx="5">
                  <c:v>0.23623214636802459</c:v>
                </c:pt>
                <c:pt idx="6">
                  <c:v>0.31627810061153616</c:v>
                </c:pt>
                <c:pt idx="7">
                  <c:v>0.39632405485504768</c:v>
                </c:pt>
                <c:pt idx="8">
                  <c:v>0.48738490362706766</c:v>
                </c:pt>
                <c:pt idx="9">
                  <c:v>0.57844575239908769</c:v>
                </c:pt>
                <c:pt idx="10">
                  <c:v>0.67519192567976027</c:v>
                </c:pt>
                <c:pt idx="11">
                  <c:v>0.77193809896043275</c:v>
                </c:pt>
                <c:pt idx="12">
                  <c:v>0.85692463938416052</c:v>
                </c:pt>
                <c:pt idx="13">
                  <c:v>0.94191117980788841</c:v>
                </c:pt>
                <c:pt idx="14">
                  <c:v>1.0177204091403877</c:v>
                </c:pt>
                <c:pt idx="15">
                  <c:v>1.093529638472887</c:v>
                </c:pt>
                <c:pt idx="16">
                  <c:v>1.1878895700686636</c:v>
                </c:pt>
                <c:pt idx="17">
                  <c:v>1.28224950166444</c:v>
                </c:pt>
                <c:pt idx="18">
                  <c:v>1.3353709864150214</c:v>
                </c:pt>
                <c:pt idx="19">
                  <c:v>1.3884924711656028</c:v>
                </c:pt>
                <c:pt idx="20" formatCode="0.00">
                  <c:v>0.13478825515137927</c:v>
                </c:pt>
                <c:pt idx="21" formatCode="0.00">
                  <c:v>0.13478825515137927</c:v>
                </c:pt>
                <c:pt idx="22" formatCode="0.00">
                  <c:v>1</c:v>
                </c:pt>
                <c:pt idx="23" formatCode="0.00">
                  <c:v>1</c:v>
                </c:pt>
              </c:numCache>
            </c:numRef>
          </c:xVal>
          <c:yVal>
            <c:numRef>
              <c:f>'Installed Gain'!$C$43:$Z$43</c:f>
              <c:numCache>
                <c:formatCode>General</c:formatCode>
                <c:ptCount val="24"/>
                <c:pt idx="22">
                  <c:v>0</c:v>
                </c:pt>
                <c:pt idx="23">
                  <c:v>4</c:v>
                </c:pt>
              </c:numCache>
            </c:numRef>
          </c:yVal>
          <c:smooth val="0"/>
          <c:extLst>
            <c:ext xmlns:c16="http://schemas.microsoft.com/office/drawing/2014/chart" uri="{C3380CC4-5D6E-409C-BE32-E72D297353CC}">
              <c16:uniqueId val="{00000002-1275-4326-8E67-14AECB6EB2CC}"/>
            </c:ext>
          </c:extLst>
        </c:ser>
        <c:dLbls>
          <c:showLegendKey val="0"/>
          <c:showVal val="0"/>
          <c:showCatName val="0"/>
          <c:showSerName val="0"/>
          <c:showPercent val="0"/>
          <c:showBubbleSize val="0"/>
        </c:dLbls>
        <c:axId val="98184192"/>
        <c:axId val="98194560"/>
      </c:scatterChart>
      <c:valAx>
        <c:axId val="98184192"/>
        <c:scaling>
          <c:orientation val="minMax"/>
          <c:max val="1.2"/>
          <c:min val="0"/>
        </c:scaling>
        <c:delete val="0"/>
        <c:axPos val="b"/>
        <c:title>
          <c:tx>
            <c:rich>
              <a:bodyPr/>
              <a:lstStyle/>
              <a:p>
                <a:pPr>
                  <a:defRPr sz="1600"/>
                </a:pPr>
                <a:r>
                  <a:rPr lang="en-US" sz="1400"/>
                  <a:t>Q/Q</a:t>
                </a:r>
                <a:r>
                  <a:rPr lang="en-US" sz="2000" baseline="-25000"/>
                  <a:t>ma</a:t>
                </a:r>
                <a:r>
                  <a:rPr lang="en-US" sz="2400" baseline="-25000"/>
                  <a:t>x</a:t>
                </a:r>
                <a:endParaRPr lang="en-US" sz="1600" baseline="-25000"/>
              </a:p>
            </c:rich>
          </c:tx>
          <c:layout>
            <c:manualLayout>
              <c:xMode val="edge"/>
              <c:yMode val="edge"/>
              <c:x val="0.43152798919381802"/>
              <c:y val="0.89455620790343149"/>
            </c:manualLayout>
          </c:layout>
          <c:overlay val="0"/>
        </c:title>
        <c:numFmt formatCode="0.0" sourceLinked="0"/>
        <c:majorTickMark val="out"/>
        <c:minorTickMark val="none"/>
        <c:tickLblPos val="nextTo"/>
        <c:spPr>
          <a:ln>
            <a:solidFill>
              <a:schemeClr val="tx1"/>
            </a:solidFill>
          </a:ln>
        </c:spPr>
        <c:crossAx val="98194560"/>
        <c:crossesAt val="0"/>
        <c:crossBetween val="midCat"/>
        <c:majorUnit val="0.1"/>
      </c:valAx>
      <c:valAx>
        <c:axId val="98194560"/>
        <c:scaling>
          <c:orientation val="minMax"/>
          <c:max val="4"/>
          <c:min val="0"/>
        </c:scaling>
        <c:delete val="0"/>
        <c:axPos val="l"/>
        <c:majorGridlines>
          <c:spPr>
            <a:ln w="25400"/>
          </c:spPr>
        </c:majorGridlines>
        <c:minorGridlines/>
        <c:title>
          <c:tx>
            <c:rich>
              <a:bodyPr rot="-5400000" vert="horz"/>
              <a:lstStyle/>
              <a:p>
                <a:pPr>
                  <a:defRPr sz="1400"/>
                </a:pPr>
                <a:r>
                  <a:rPr lang="en-US" sz="1400" b="1" i="0" u="none" strike="noStrike" baseline="0"/>
                  <a:t>Gain,   d(Q/Q</a:t>
                </a:r>
                <a:r>
                  <a:rPr lang="en-US" sz="1800" b="1" i="0" u="none" strike="noStrike" baseline="-25000"/>
                  <a:t>max</a:t>
                </a:r>
                <a:r>
                  <a:rPr lang="en-US" sz="1400" b="1" i="0" u="none" strike="noStrike" baseline="0"/>
                  <a:t>)/dh</a:t>
                </a:r>
                <a:endParaRPr lang="en-US" sz="1400"/>
              </a:p>
            </c:rich>
          </c:tx>
          <c:overlay val="0"/>
        </c:title>
        <c:numFmt formatCode="0.0" sourceLinked="0"/>
        <c:majorTickMark val="out"/>
        <c:minorTickMark val="none"/>
        <c:tickLblPos val="nextTo"/>
        <c:crossAx val="98184192"/>
        <c:crosses val="autoZero"/>
        <c:crossBetween val="midCat"/>
      </c:valAx>
    </c:plotArea>
    <c:plotVisOnly val="1"/>
    <c:dispBlanksAs val="gap"/>
    <c:showDLblsOverMax val="0"/>
  </c:chart>
  <c:spPr>
    <a:noFill/>
    <a:ln w="19050">
      <a:solidFill>
        <a:srgbClr val="0000CC"/>
      </a:solidFill>
    </a:ln>
  </c:spPr>
  <c:printSettings>
    <c:headerFooter/>
    <c:pageMargins b="0.75000000000000477" l="0.70000000000000062" r="0.70000000000000062" t="0.75000000000000477" header="0.30000000000000032" footer="0.30000000000000032"/>
    <c:pageSetup/>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32</xdr:row>
          <xdr:rowOff>0</xdr:rowOff>
        </xdr:from>
        <xdr:to>
          <xdr:col>7</xdr:col>
          <xdr:colOff>304800</xdr:colOff>
          <xdr:row>36</xdr:row>
          <xdr:rowOff>121920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D48E80DC-F3A7-41BD-8AD5-A320A2E927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594360</xdr:colOff>
          <xdr:row>4</xdr:row>
          <xdr:rowOff>15240</xdr:rowOff>
        </xdr:from>
        <xdr:to>
          <xdr:col>4</xdr:col>
          <xdr:colOff>14068</xdr:colOff>
          <xdr:row>9</xdr:row>
          <xdr:rowOff>114300</xdr:rowOff>
        </xdr:to>
        <xdr:sp macro="" textlink="">
          <xdr:nvSpPr>
            <xdr:cNvPr id="12291" name="Object 3" hidden="1">
              <a:extLst>
                <a:ext uri="{63B3BB69-23CF-44E3-9099-C40C66FF867C}">
                  <a14:compatExt spid="_x0000_s12291"/>
                </a:ext>
                <a:ext uri="{FF2B5EF4-FFF2-40B4-BE49-F238E27FC236}">
                  <a16:creationId xmlns:a16="http://schemas.microsoft.com/office/drawing/2014/main" id="{E70D205D-BDA9-4CD3-87A5-D5539014CF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271440</xdr:colOff>
      <xdr:row>8</xdr:row>
      <xdr:rowOff>74083</xdr:rowOff>
    </xdr:from>
    <xdr:to>
      <xdr:col>6</xdr:col>
      <xdr:colOff>425225</xdr:colOff>
      <xdr:row>30</xdr:row>
      <xdr:rowOff>137582</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141020</xdr:colOff>
      <xdr:row>7</xdr:row>
      <xdr:rowOff>113802</xdr:rowOff>
    </xdr:from>
    <xdr:to>
      <xdr:col>10</xdr:col>
      <xdr:colOff>249259</xdr:colOff>
      <xdr:row>31</xdr:row>
      <xdr:rowOff>154213</xdr:rowOff>
    </xdr:to>
    <xdr:sp macro="" textlink="">
      <xdr:nvSpPr>
        <xdr:cNvPr id="5" name="Rectangle 4">
          <a:extLst>
            <a:ext uri="{FF2B5EF4-FFF2-40B4-BE49-F238E27FC236}">
              <a16:creationId xmlns:a16="http://schemas.microsoft.com/office/drawing/2014/main" id="{00000000-0008-0000-0200-000005000000}"/>
            </a:ext>
          </a:extLst>
        </xdr:cNvPr>
        <xdr:cNvSpPr/>
      </xdr:nvSpPr>
      <xdr:spPr>
        <a:xfrm>
          <a:off x="141020" y="1438231"/>
          <a:ext cx="8236239" cy="3959268"/>
        </a:xfrm>
        <a:prstGeom prst="rect">
          <a:avLst/>
        </a:prstGeom>
        <a:noFill/>
        <a:ln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7</xdr:col>
      <xdr:colOff>184371</xdr:colOff>
      <xdr:row>23</xdr:row>
      <xdr:rowOff>110289</xdr:rowOff>
    </xdr:from>
    <xdr:to>
      <xdr:col>8</xdr:col>
      <xdr:colOff>396038</xdr:colOff>
      <xdr:row>23</xdr:row>
      <xdr:rowOff>110289</xdr:rowOff>
    </xdr:to>
    <xdr:cxnSp macro="">
      <xdr:nvCxnSpPr>
        <xdr:cNvPr id="6" name="Straight Connector 5">
          <a:extLst>
            <a:ext uri="{FF2B5EF4-FFF2-40B4-BE49-F238E27FC236}">
              <a16:creationId xmlns:a16="http://schemas.microsoft.com/office/drawing/2014/main" id="{00000000-0008-0000-0200-000006000000}"/>
            </a:ext>
          </a:extLst>
        </xdr:cNvPr>
        <xdr:cNvCxnSpPr/>
      </xdr:nvCxnSpPr>
      <xdr:spPr>
        <a:xfrm>
          <a:off x="5952288" y="3941456"/>
          <a:ext cx="793750" cy="0"/>
        </a:xfrm>
        <a:prstGeom prst="line">
          <a:avLst/>
        </a:prstGeom>
        <a:ln w="28575">
          <a:solidFill>
            <a:srgbClr val="0000CC"/>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169367</xdr:colOff>
      <xdr:row>18</xdr:row>
      <xdr:rowOff>74091</xdr:rowOff>
    </xdr:from>
    <xdr:to>
      <xdr:col>8</xdr:col>
      <xdr:colOff>381035</xdr:colOff>
      <xdr:row>18</xdr:row>
      <xdr:rowOff>74091</xdr:rowOff>
    </xdr:to>
    <xdr:cxnSp macro="">
      <xdr:nvCxnSpPr>
        <xdr:cNvPr id="7" name="Straight Connector 6">
          <a:extLst>
            <a:ext uri="{FF2B5EF4-FFF2-40B4-BE49-F238E27FC236}">
              <a16:creationId xmlns:a16="http://schemas.microsoft.com/office/drawing/2014/main" id="{00000000-0008-0000-0200-000007000000}"/>
            </a:ext>
          </a:extLst>
        </xdr:cNvPr>
        <xdr:cNvCxnSpPr/>
      </xdr:nvCxnSpPr>
      <xdr:spPr>
        <a:xfrm>
          <a:off x="5937284" y="3111508"/>
          <a:ext cx="793751" cy="0"/>
        </a:xfrm>
        <a:prstGeom prst="line">
          <a:avLst/>
        </a:prstGeom>
        <a:ln w="28575">
          <a:solidFill>
            <a:srgbClr val="8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858952</xdr:colOff>
      <xdr:row>10</xdr:row>
      <xdr:rowOff>84668</xdr:rowOff>
    </xdr:from>
    <xdr:to>
      <xdr:col>6</xdr:col>
      <xdr:colOff>573200</xdr:colOff>
      <xdr:row>30</xdr:row>
      <xdr:rowOff>123032</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179914</xdr:colOff>
      <xdr:row>22</xdr:row>
      <xdr:rowOff>95248</xdr:rowOff>
    </xdr:from>
    <xdr:to>
      <xdr:col>8</xdr:col>
      <xdr:colOff>391581</xdr:colOff>
      <xdr:row>22</xdr:row>
      <xdr:rowOff>95248</xdr:rowOff>
    </xdr:to>
    <xdr:cxnSp macro="">
      <xdr:nvCxnSpPr>
        <xdr:cNvPr id="3" name="Straight Connector 2">
          <a:extLst>
            <a:ext uri="{FF2B5EF4-FFF2-40B4-BE49-F238E27FC236}">
              <a16:creationId xmlns:a16="http://schemas.microsoft.com/office/drawing/2014/main" id="{00000000-0008-0000-0300-000003000000}"/>
            </a:ext>
          </a:extLst>
        </xdr:cNvPr>
        <xdr:cNvCxnSpPr/>
      </xdr:nvCxnSpPr>
      <xdr:spPr>
        <a:xfrm>
          <a:off x="5312831" y="3767665"/>
          <a:ext cx="825500" cy="0"/>
        </a:xfrm>
        <a:prstGeom prst="line">
          <a:avLst/>
        </a:prstGeom>
        <a:ln w="28575">
          <a:solidFill>
            <a:srgbClr val="0000CC"/>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141820</xdr:colOff>
      <xdr:row>18</xdr:row>
      <xdr:rowOff>120629</xdr:rowOff>
    </xdr:from>
    <xdr:to>
      <xdr:col>8</xdr:col>
      <xdr:colOff>353487</xdr:colOff>
      <xdr:row>18</xdr:row>
      <xdr:rowOff>120629</xdr:rowOff>
    </xdr:to>
    <xdr:cxnSp macro="">
      <xdr:nvCxnSpPr>
        <xdr:cNvPr id="4" name="Straight Connector 3">
          <a:extLst>
            <a:ext uri="{FF2B5EF4-FFF2-40B4-BE49-F238E27FC236}">
              <a16:creationId xmlns:a16="http://schemas.microsoft.com/office/drawing/2014/main" id="{00000000-0008-0000-0300-000004000000}"/>
            </a:ext>
          </a:extLst>
        </xdr:cNvPr>
        <xdr:cNvCxnSpPr/>
      </xdr:nvCxnSpPr>
      <xdr:spPr>
        <a:xfrm>
          <a:off x="5274737" y="3158046"/>
          <a:ext cx="825500" cy="0"/>
        </a:xfrm>
        <a:prstGeom prst="line">
          <a:avLst/>
        </a:prstGeom>
        <a:ln w="28575">
          <a:solidFill>
            <a:srgbClr val="990033"/>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210609</xdr:colOff>
      <xdr:row>4</xdr:row>
      <xdr:rowOff>77789</xdr:rowOff>
    </xdr:from>
    <xdr:to>
      <xdr:col>6</xdr:col>
      <xdr:colOff>556134</xdr:colOff>
      <xdr:row>30</xdr:row>
      <xdr:rowOff>156529</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95251</xdr:colOff>
      <xdr:row>3</xdr:row>
      <xdr:rowOff>105833</xdr:rowOff>
    </xdr:from>
    <xdr:to>
      <xdr:col>10</xdr:col>
      <xdr:colOff>317499</xdr:colOff>
      <xdr:row>31</xdr:row>
      <xdr:rowOff>137583</xdr:rowOff>
    </xdr:to>
    <xdr:sp macro="" textlink="">
      <xdr:nvSpPr>
        <xdr:cNvPr id="6" name="Rectangle 5">
          <a:extLst>
            <a:ext uri="{FF2B5EF4-FFF2-40B4-BE49-F238E27FC236}">
              <a16:creationId xmlns:a16="http://schemas.microsoft.com/office/drawing/2014/main" id="{00000000-0008-0000-0300-000006000000}"/>
            </a:ext>
          </a:extLst>
        </xdr:cNvPr>
        <xdr:cNvSpPr/>
      </xdr:nvSpPr>
      <xdr:spPr>
        <a:xfrm>
          <a:off x="95251" y="762000"/>
          <a:ext cx="7196665" cy="4476750"/>
        </a:xfrm>
        <a:prstGeom prst="rect">
          <a:avLst/>
        </a:prstGeom>
        <a:noFill/>
        <a:ln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7</xdr:col>
      <xdr:colOff>44450</xdr:colOff>
      <xdr:row>342</xdr:row>
      <xdr:rowOff>170544</xdr:rowOff>
    </xdr:from>
    <xdr:ext cx="2705100" cy="641350"/>
    <xdr:pic>
      <xdr:nvPicPr>
        <xdr:cNvPr id="2" name="Picture 1" descr="C:\Users\Jon\AppData\Roaming\PixelMetrics\CaptureWiz\Temp\12.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1650" y="54450344"/>
          <a:ext cx="2705100" cy="641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52915</xdr:colOff>
      <xdr:row>310</xdr:row>
      <xdr:rowOff>44450</xdr:rowOff>
    </xdr:from>
    <xdr:ext cx="1898650" cy="304800"/>
    <xdr:pic>
      <xdr:nvPicPr>
        <xdr:cNvPr id="3" name="Picture 2" descr="C:\Users\Jon\AppData\Roaming\PixelMetrics\CaptureWiz\Temp\13.png">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20115" y="49256950"/>
          <a:ext cx="1898650" cy="304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2BFA6-AB83-410F-8C66-9EBEDB160BA1}">
  <sheetPr>
    <tabColor rgb="FFFF0000"/>
  </sheetPr>
  <dimension ref="F4:F11"/>
  <sheetViews>
    <sheetView showGridLines="0" tabSelected="1" zoomScaleNormal="100" workbookViewId="0">
      <selection activeCell="C6" sqref="C6"/>
    </sheetView>
  </sheetViews>
  <sheetFormatPr defaultRowHeight="13.2" x14ac:dyDescent="0.25"/>
  <sheetData>
    <row r="4" spans="6:6" ht="20.399999999999999" x14ac:dyDescent="0.35">
      <c r="F4" s="723" t="s">
        <v>763</v>
      </c>
    </row>
    <row r="5" spans="6:6" ht="20.399999999999999" x14ac:dyDescent="0.35">
      <c r="F5" s="723" t="s">
        <v>754</v>
      </c>
    </row>
    <row r="6" spans="6:6" ht="17.399999999999999" x14ac:dyDescent="0.3">
      <c r="F6" s="722" t="s">
        <v>755</v>
      </c>
    </row>
    <row r="8" spans="6:6" x14ac:dyDescent="0.25">
      <c r="F8" s="8" t="s">
        <v>756</v>
      </c>
    </row>
    <row r="10" spans="6:6" x14ac:dyDescent="0.25">
      <c r="F10" s="1" t="s">
        <v>758</v>
      </c>
    </row>
    <row r="11" spans="6:6" x14ac:dyDescent="0.25">
      <c r="F11" s="8" t="s">
        <v>759</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12290" r:id="rId4">
          <objectPr defaultSize="0" r:id="rId5">
            <anchor moveWithCells="1">
              <from>
                <xdr:col>6</xdr:col>
                <xdr:colOff>0</xdr:colOff>
                <xdr:row>32</xdr:row>
                <xdr:rowOff>0</xdr:rowOff>
              </from>
              <to>
                <xdr:col>7</xdr:col>
                <xdr:colOff>304800</xdr:colOff>
                <xdr:row>36</xdr:row>
                <xdr:rowOff>121920</xdr:rowOff>
              </to>
            </anchor>
          </objectPr>
        </oleObject>
      </mc:Choice>
      <mc:Fallback>
        <oleObject progId="Acrobat Document" dvAspect="DVASPECT_ICON" shapeId="12290" r:id="rId4"/>
      </mc:Fallback>
    </mc:AlternateContent>
    <mc:AlternateContent xmlns:mc="http://schemas.openxmlformats.org/markup-compatibility/2006">
      <mc:Choice Requires="x14">
        <oleObject progId="Acrobat Document" dvAspect="DVASPECT_ICON" shapeId="12291" r:id="rId6">
          <objectPr defaultSize="0" autoPict="0" r:id="rId7">
            <anchor moveWithCells="1">
              <from>
                <xdr:col>1</xdr:col>
                <xdr:colOff>594360</xdr:colOff>
                <xdr:row>4</xdr:row>
                <xdr:rowOff>15240</xdr:rowOff>
              </from>
              <to>
                <xdr:col>4</xdr:col>
                <xdr:colOff>15240</xdr:colOff>
                <xdr:row>9</xdr:row>
                <xdr:rowOff>114300</xdr:rowOff>
              </to>
            </anchor>
          </objectPr>
        </oleObject>
      </mc:Choice>
      <mc:Fallback>
        <oleObject progId="Acrobat Document" dvAspect="DVASPECT_ICON" shapeId="12291" r:id="rId6"/>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015EB-72B7-4A31-9749-B7AB196E576F}">
  <dimension ref="A1:Q73"/>
  <sheetViews>
    <sheetView showGridLines="0" zoomScaleNormal="100" workbookViewId="0">
      <pane ySplit="6" topLeftCell="A7" activePane="bottomLeft" state="frozen"/>
      <selection pane="bottomLeft"/>
    </sheetView>
  </sheetViews>
  <sheetFormatPr defaultColWidth="8.77734375" defaultRowHeight="13.8" x14ac:dyDescent="0.25"/>
  <cols>
    <col min="1" max="4" width="9.44140625" style="690" customWidth="1"/>
    <col min="5" max="17" width="7.77734375" style="690" customWidth="1"/>
    <col min="18" max="16384" width="8.77734375" style="690"/>
  </cols>
  <sheetData>
    <row r="1" spans="1:17" x14ac:dyDescent="0.25">
      <c r="A1" s="472" t="s">
        <v>582</v>
      </c>
      <c r="C1" s="721"/>
      <c r="M1" s="472"/>
    </row>
    <row r="2" spans="1:17" ht="17.399999999999999" x14ac:dyDescent="0.25">
      <c r="C2" s="889" t="s">
        <v>737</v>
      </c>
      <c r="D2" s="890"/>
      <c r="E2" s="890"/>
      <c r="F2" s="890"/>
      <c r="G2" s="890"/>
      <c r="H2" s="890"/>
      <c r="I2" s="890"/>
      <c r="J2" s="890"/>
      <c r="K2" s="890"/>
      <c r="L2" s="890"/>
      <c r="M2" s="890"/>
      <c r="N2" s="890"/>
      <c r="O2" s="890"/>
      <c r="P2" s="890"/>
      <c r="Q2" s="890"/>
    </row>
    <row r="3" spans="1:17" ht="14.4" thickBot="1" x14ac:dyDescent="0.3">
      <c r="C3" s="900" t="s">
        <v>753</v>
      </c>
      <c r="D3" s="901"/>
      <c r="E3" s="901"/>
      <c r="F3" s="901"/>
      <c r="G3" s="901"/>
      <c r="H3" s="901"/>
      <c r="I3" s="901"/>
      <c r="J3" s="901"/>
      <c r="K3" s="901"/>
      <c r="L3" s="901"/>
      <c r="M3" s="901"/>
      <c r="N3" s="901"/>
      <c r="O3" s="901"/>
      <c r="P3" s="901"/>
      <c r="Q3" s="901"/>
    </row>
    <row r="4" spans="1:17" ht="24.6" thickBot="1" x14ac:dyDescent="0.3">
      <c r="C4" s="691" t="s">
        <v>738</v>
      </c>
      <c r="D4" s="691" t="s">
        <v>739</v>
      </c>
      <c r="E4" s="891" t="s">
        <v>740</v>
      </c>
      <c r="F4" s="892"/>
      <c r="G4" s="892"/>
      <c r="H4" s="892"/>
      <c r="I4" s="892"/>
      <c r="J4" s="892"/>
      <c r="K4" s="892"/>
      <c r="L4" s="892"/>
      <c r="M4" s="892"/>
      <c r="N4" s="892"/>
      <c r="O4" s="892"/>
      <c r="P4" s="892"/>
      <c r="Q4" s="893"/>
    </row>
    <row r="5" spans="1:17" ht="14.4" thickBot="1" x14ac:dyDescent="0.3">
      <c r="C5" s="692" t="s">
        <v>741</v>
      </c>
      <c r="D5" s="692" t="s">
        <v>742</v>
      </c>
      <c r="E5" s="693">
        <v>10</v>
      </c>
      <c r="F5" s="693">
        <v>20</v>
      </c>
      <c r="G5" s="693">
        <v>30</v>
      </c>
      <c r="H5" s="693" t="s">
        <v>743</v>
      </c>
      <c r="I5" s="693">
        <v>40</v>
      </c>
      <c r="J5" s="693">
        <v>60</v>
      </c>
      <c r="K5" s="693" t="s">
        <v>744</v>
      </c>
      <c r="L5" s="693">
        <v>80</v>
      </c>
      <c r="M5" s="693">
        <v>100</v>
      </c>
      <c r="N5" s="693">
        <v>120</v>
      </c>
      <c r="O5" s="693">
        <v>140</v>
      </c>
      <c r="P5" s="693">
        <v>160</v>
      </c>
      <c r="Q5" s="693" t="s">
        <v>745</v>
      </c>
    </row>
    <row r="6" spans="1:17" ht="14.4" thickBot="1" x14ac:dyDescent="0.3">
      <c r="C6" s="694"/>
      <c r="D6" s="695"/>
      <c r="E6" s="891" t="s">
        <v>746</v>
      </c>
      <c r="F6" s="892"/>
      <c r="G6" s="892"/>
      <c r="H6" s="892"/>
      <c r="I6" s="892"/>
      <c r="J6" s="892"/>
      <c r="K6" s="892"/>
      <c r="L6" s="892"/>
      <c r="M6" s="892"/>
      <c r="N6" s="892"/>
      <c r="O6" s="892"/>
      <c r="P6" s="892"/>
      <c r="Q6" s="893"/>
    </row>
    <row r="7" spans="1:17" x14ac:dyDescent="0.25">
      <c r="C7" s="696" t="s">
        <v>747</v>
      </c>
      <c r="D7" s="697">
        <v>0.40500000000000003</v>
      </c>
      <c r="E7" s="698"/>
      <c r="F7" s="698"/>
      <c r="G7" s="698"/>
      <c r="H7" s="697">
        <v>6.8000000000000005E-2</v>
      </c>
      <c r="I7" s="697">
        <v>6.8000000000000005E-2</v>
      </c>
      <c r="J7" s="698"/>
      <c r="K7" s="697">
        <v>9.5000000000000001E-2</v>
      </c>
      <c r="L7" s="697">
        <v>9.5000000000000001E-2</v>
      </c>
      <c r="M7" s="698"/>
      <c r="N7" s="698"/>
      <c r="O7" s="698"/>
      <c r="P7" s="698"/>
      <c r="Q7" s="699"/>
    </row>
    <row r="8" spans="1:17" ht="14.4" thickBot="1" x14ac:dyDescent="0.3">
      <c r="C8" s="700"/>
      <c r="D8" s="701">
        <v>10.3</v>
      </c>
      <c r="E8" s="702"/>
      <c r="F8" s="702"/>
      <c r="G8" s="702"/>
      <c r="H8" s="701">
        <v>1.73</v>
      </c>
      <c r="I8" s="701">
        <v>1.73</v>
      </c>
      <c r="J8" s="702"/>
      <c r="K8" s="701">
        <v>2.41</v>
      </c>
      <c r="L8" s="701">
        <v>2.41</v>
      </c>
      <c r="M8" s="702"/>
      <c r="N8" s="702"/>
      <c r="O8" s="702"/>
      <c r="P8" s="702"/>
      <c r="Q8" s="703"/>
    </row>
    <row r="9" spans="1:17" x14ac:dyDescent="0.25">
      <c r="C9" s="704" t="s">
        <v>748</v>
      </c>
      <c r="D9" s="697">
        <v>0.54</v>
      </c>
      <c r="E9" s="697"/>
      <c r="F9" s="697"/>
      <c r="G9" s="697"/>
      <c r="H9" s="697">
        <v>8.7999999999999995E-2</v>
      </c>
      <c r="I9" s="697">
        <v>8.7999999999999995E-2</v>
      </c>
      <c r="J9" s="697"/>
      <c r="K9" s="697">
        <v>0.11899999999999999</v>
      </c>
      <c r="L9" s="697">
        <v>0.11899999999999999</v>
      </c>
      <c r="M9" s="697"/>
      <c r="N9" s="697"/>
      <c r="O9" s="697"/>
      <c r="P9" s="697"/>
      <c r="Q9" s="705"/>
    </row>
    <row r="10" spans="1:17" ht="14.4" thickBot="1" x14ac:dyDescent="0.3">
      <c r="C10" s="700"/>
      <c r="D10" s="701">
        <v>13.7</v>
      </c>
      <c r="E10" s="702"/>
      <c r="F10" s="702"/>
      <c r="G10" s="702"/>
      <c r="H10" s="701">
        <v>2.2400000000000002</v>
      </c>
      <c r="I10" s="701">
        <v>2.2400000000000002</v>
      </c>
      <c r="J10" s="702"/>
      <c r="K10" s="701">
        <v>3.02</v>
      </c>
      <c r="L10" s="701">
        <v>3.02</v>
      </c>
      <c r="M10" s="702"/>
      <c r="N10" s="702"/>
      <c r="O10" s="702"/>
      <c r="P10" s="702"/>
      <c r="Q10" s="703"/>
    </row>
    <row r="11" spans="1:17" x14ac:dyDescent="0.25">
      <c r="C11" s="704" t="s">
        <v>749</v>
      </c>
      <c r="D11" s="697">
        <v>0.67500000000000004</v>
      </c>
      <c r="E11" s="697"/>
      <c r="F11" s="697"/>
      <c r="G11" s="697"/>
      <c r="H11" s="697">
        <v>9.0999999999999998E-2</v>
      </c>
      <c r="I11" s="697">
        <v>9.0999999999999998E-2</v>
      </c>
      <c r="J11" s="697"/>
      <c r="K11" s="697">
        <v>0.126</v>
      </c>
      <c r="L11" s="697">
        <v>0.126</v>
      </c>
      <c r="M11" s="697"/>
      <c r="N11" s="697"/>
      <c r="O11" s="697"/>
      <c r="P11" s="697"/>
      <c r="Q11" s="705"/>
    </row>
    <row r="12" spans="1:17" ht="14.55" customHeight="1" thickBot="1" x14ac:dyDescent="0.3">
      <c r="C12" s="700"/>
      <c r="D12" s="701">
        <v>17.100000000000001</v>
      </c>
      <c r="E12" s="702"/>
      <c r="F12" s="702"/>
      <c r="G12" s="702"/>
      <c r="H12" s="701">
        <v>2.31</v>
      </c>
      <c r="I12" s="701">
        <v>2.31</v>
      </c>
      <c r="J12" s="702"/>
      <c r="K12" s="701">
        <v>3.2</v>
      </c>
      <c r="L12" s="701">
        <v>3.2</v>
      </c>
      <c r="M12" s="702"/>
      <c r="N12" s="702"/>
      <c r="O12" s="702"/>
      <c r="P12" s="702"/>
      <c r="Q12" s="703"/>
    </row>
    <row r="13" spans="1:17" x14ac:dyDescent="0.25">
      <c r="C13" s="704" t="s">
        <v>750</v>
      </c>
      <c r="D13" s="697">
        <v>0.84</v>
      </c>
      <c r="E13" s="697"/>
      <c r="F13" s="697"/>
      <c r="G13" s="697"/>
      <c r="H13" s="697">
        <v>0.109</v>
      </c>
      <c r="I13" s="697">
        <v>0.109</v>
      </c>
      <c r="J13" s="697"/>
      <c r="K13" s="697">
        <v>0.14699999999999999</v>
      </c>
      <c r="L13" s="697">
        <v>0.14699999999999999</v>
      </c>
      <c r="M13" s="697"/>
      <c r="N13" s="697"/>
      <c r="O13" s="697"/>
      <c r="P13" s="697">
        <v>0.187</v>
      </c>
      <c r="Q13" s="705">
        <v>0.29399999999999998</v>
      </c>
    </row>
    <row r="14" spans="1:17" ht="14.4" thickBot="1" x14ac:dyDescent="0.3">
      <c r="C14" s="700"/>
      <c r="D14" s="701">
        <v>21.3</v>
      </c>
      <c r="E14" s="702"/>
      <c r="F14" s="702"/>
      <c r="G14" s="702"/>
      <c r="H14" s="701">
        <v>2.77</v>
      </c>
      <c r="I14" s="701">
        <v>2.77</v>
      </c>
      <c r="J14" s="702"/>
      <c r="K14" s="701">
        <v>3.73</v>
      </c>
      <c r="L14" s="701">
        <v>3.73</v>
      </c>
      <c r="M14" s="702"/>
      <c r="N14" s="702"/>
      <c r="O14" s="702"/>
      <c r="P14" s="701">
        <v>4.75</v>
      </c>
      <c r="Q14" s="706">
        <v>7.47</v>
      </c>
    </row>
    <row r="15" spans="1:17" x14ac:dyDescent="0.25">
      <c r="C15" s="704" t="s">
        <v>751</v>
      </c>
      <c r="D15" s="697">
        <v>1.05</v>
      </c>
      <c r="E15" s="697"/>
      <c r="F15" s="697"/>
      <c r="G15" s="697"/>
      <c r="H15" s="697">
        <v>0.113</v>
      </c>
      <c r="I15" s="697">
        <v>0.113</v>
      </c>
      <c r="J15" s="697"/>
      <c r="K15" s="697">
        <v>0.154</v>
      </c>
      <c r="L15" s="697">
        <v>0.154</v>
      </c>
      <c r="M15" s="697"/>
      <c r="N15" s="697"/>
      <c r="O15" s="697"/>
      <c r="P15" s="697">
        <v>0.219</v>
      </c>
      <c r="Q15" s="705">
        <v>0.308</v>
      </c>
    </row>
    <row r="16" spans="1:17" ht="14.4" thickBot="1" x14ac:dyDescent="0.3">
      <c r="C16" s="700"/>
      <c r="D16" s="701">
        <v>26.7</v>
      </c>
      <c r="E16" s="702"/>
      <c r="F16" s="702"/>
      <c r="G16" s="702"/>
      <c r="H16" s="701">
        <v>2.87</v>
      </c>
      <c r="I16" s="701">
        <v>2.87</v>
      </c>
      <c r="J16" s="702"/>
      <c r="K16" s="701">
        <v>3.91</v>
      </c>
      <c r="L16" s="701">
        <v>3.91</v>
      </c>
      <c r="M16" s="702"/>
      <c r="N16" s="702"/>
      <c r="O16" s="702"/>
      <c r="P16" s="701">
        <v>5.56</v>
      </c>
      <c r="Q16" s="706">
        <v>7.82</v>
      </c>
    </row>
    <row r="17" spans="3:17" x14ac:dyDescent="0.25">
      <c r="C17" s="707">
        <v>1</v>
      </c>
      <c r="D17" s="697">
        <v>1.3149999999999999</v>
      </c>
      <c r="E17" s="697"/>
      <c r="F17" s="697"/>
      <c r="G17" s="697"/>
      <c r="H17" s="697">
        <v>0.13300000000000001</v>
      </c>
      <c r="I17" s="697">
        <v>0.13300000000000001</v>
      </c>
      <c r="J17" s="697"/>
      <c r="K17" s="697">
        <v>0.17899999999999999</v>
      </c>
      <c r="L17" s="697">
        <v>0.17899999999999999</v>
      </c>
      <c r="M17" s="697"/>
      <c r="N17" s="697"/>
      <c r="O17" s="697"/>
      <c r="P17" s="697">
        <v>0.25</v>
      </c>
      <c r="Q17" s="705">
        <v>0.35799999999999998</v>
      </c>
    </row>
    <row r="18" spans="3:17" ht="14.4" thickBot="1" x14ac:dyDescent="0.3">
      <c r="C18" s="708"/>
      <c r="D18" s="701">
        <v>33.4</v>
      </c>
      <c r="E18" s="702"/>
      <c r="F18" s="702"/>
      <c r="G18" s="702"/>
      <c r="H18" s="701">
        <v>3.38</v>
      </c>
      <c r="I18" s="701">
        <v>3.38</v>
      </c>
      <c r="J18" s="702"/>
      <c r="K18" s="701">
        <v>4.55</v>
      </c>
      <c r="L18" s="701">
        <v>4.55</v>
      </c>
      <c r="M18" s="702"/>
      <c r="N18" s="702"/>
      <c r="O18" s="702"/>
      <c r="P18" s="701">
        <v>6.35</v>
      </c>
      <c r="Q18" s="706">
        <v>9.09</v>
      </c>
    </row>
    <row r="19" spans="3:17" x14ac:dyDescent="0.25">
      <c r="C19" s="709">
        <v>1.25</v>
      </c>
      <c r="D19" s="697">
        <v>1.66</v>
      </c>
      <c r="E19" s="697"/>
      <c r="F19" s="697"/>
      <c r="G19" s="697"/>
      <c r="H19" s="697">
        <v>0.14000000000000001</v>
      </c>
      <c r="I19" s="697">
        <v>0.14000000000000001</v>
      </c>
      <c r="J19" s="697"/>
      <c r="K19" s="697">
        <v>0.191</v>
      </c>
      <c r="L19" s="697">
        <v>0.191</v>
      </c>
      <c r="M19" s="697"/>
      <c r="N19" s="697"/>
      <c r="O19" s="697"/>
      <c r="P19" s="697">
        <v>0.25</v>
      </c>
      <c r="Q19" s="705">
        <v>0.38200000000000001</v>
      </c>
    </row>
    <row r="20" spans="3:17" ht="14.4" thickBot="1" x14ac:dyDescent="0.3">
      <c r="C20" s="710"/>
      <c r="D20" s="701">
        <v>42.2</v>
      </c>
      <c r="E20" s="702"/>
      <c r="F20" s="702"/>
      <c r="G20" s="702"/>
      <c r="H20" s="701">
        <v>3.56</v>
      </c>
      <c r="I20" s="701">
        <v>3.56</v>
      </c>
      <c r="J20" s="702"/>
      <c r="K20" s="701">
        <v>4.8499999999999996</v>
      </c>
      <c r="L20" s="701">
        <v>4.8499999999999996</v>
      </c>
      <c r="M20" s="702"/>
      <c r="N20" s="702"/>
      <c r="O20" s="702"/>
      <c r="P20" s="701">
        <v>6.35</v>
      </c>
      <c r="Q20" s="706">
        <v>9.6999999999999993</v>
      </c>
    </row>
    <row r="21" spans="3:17" x14ac:dyDescent="0.25">
      <c r="C21" s="709">
        <v>1.5</v>
      </c>
      <c r="D21" s="697">
        <v>1.9</v>
      </c>
      <c r="E21" s="697"/>
      <c r="F21" s="697"/>
      <c r="G21" s="697"/>
      <c r="H21" s="697">
        <v>0.14499999999999999</v>
      </c>
      <c r="I21" s="697">
        <v>0.14499999999999999</v>
      </c>
      <c r="J21" s="697"/>
      <c r="K21" s="697">
        <v>0.2</v>
      </c>
      <c r="L21" s="697">
        <v>0.2</v>
      </c>
      <c r="M21" s="697"/>
      <c r="N21" s="697"/>
      <c r="O21" s="697"/>
      <c r="P21" s="697">
        <v>0.28100000000000003</v>
      </c>
      <c r="Q21" s="705">
        <v>0.4</v>
      </c>
    </row>
    <row r="22" spans="3:17" ht="14.4" thickBot="1" x14ac:dyDescent="0.3">
      <c r="C22" s="710"/>
      <c r="D22" s="701">
        <v>48.3</v>
      </c>
      <c r="E22" s="702"/>
      <c r="F22" s="702"/>
      <c r="G22" s="702"/>
      <c r="H22" s="701">
        <v>3.68</v>
      </c>
      <c r="I22" s="701">
        <v>3.68</v>
      </c>
      <c r="J22" s="702"/>
      <c r="K22" s="701">
        <v>5.08</v>
      </c>
      <c r="L22" s="701">
        <v>5.08</v>
      </c>
      <c r="M22" s="702"/>
      <c r="N22" s="702"/>
      <c r="O22" s="702"/>
      <c r="P22" s="701">
        <v>7.14</v>
      </c>
      <c r="Q22" s="706">
        <v>10.199999999999999</v>
      </c>
    </row>
    <row r="23" spans="3:17" x14ac:dyDescent="0.25">
      <c r="C23" s="707">
        <v>2</v>
      </c>
      <c r="D23" s="697">
        <v>2.375</v>
      </c>
      <c r="E23" s="697"/>
      <c r="F23" s="697"/>
      <c r="G23" s="697"/>
      <c r="H23" s="697">
        <v>0.154</v>
      </c>
      <c r="I23" s="697">
        <v>0.154</v>
      </c>
      <c r="J23" s="697"/>
      <c r="K23" s="697">
        <v>0.218</v>
      </c>
      <c r="L23" s="697">
        <v>0.218</v>
      </c>
      <c r="M23" s="697"/>
      <c r="N23" s="697"/>
      <c r="O23" s="697"/>
      <c r="P23" s="697">
        <v>0.34399999999999997</v>
      </c>
      <c r="Q23" s="705">
        <v>0.436</v>
      </c>
    </row>
    <row r="24" spans="3:17" ht="14.4" thickBot="1" x14ac:dyDescent="0.3">
      <c r="C24" s="708"/>
      <c r="D24" s="701">
        <v>60.3</v>
      </c>
      <c r="E24" s="702"/>
      <c r="F24" s="702"/>
      <c r="G24" s="702"/>
      <c r="H24" s="701">
        <v>3.91</v>
      </c>
      <c r="I24" s="701">
        <v>3.91</v>
      </c>
      <c r="J24" s="702"/>
      <c r="K24" s="701">
        <v>5.54</v>
      </c>
      <c r="L24" s="701">
        <v>5.54</v>
      </c>
      <c r="M24" s="702"/>
      <c r="N24" s="702"/>
      <c r="O24" s="702"/>
      <c r="P24" s="701">
        <v>8.74</v>
      </c>
      <c r="Q24" s="706">
        <v>11.1</v>
      </c>
    </row>
    <row r="25" spans="3:17" x14ac:dyDescent="0.25">
      <c r="C25" s="709">
        <v>2.5</v>
      </c>
      <c r="D25" s="697">
        <v>2.875</v>
      </c>
      <c r="E25" s="697"/>
      <c r="F25" s="697"/>
      <c r="G25" s="697"/>
      <c r="H25" s="697">
        <v>0.20300000000000001</v>
      </c>
      <c r="I25" s="697">
        <v>0.20300000000000001</v>
      </c>
      <c r="J25" s="697"/>
      <c r="K25" s="697">
        <v>0.27600000000000002</v>
      </c>
      <c r="L25" s="697">
        <v>0.27600000000000002</v>
      </c>
      <c r="M25" s="697"/>
      <c r="N25" s="697"/>
      <c r="O25" s="697"/>
      <c r="P25" s="697">
        <v>0.375</v>
      </c>
      <c r="Q25" s="705">
        <v>0.55200000000000005</v>
      </c>
    </row>
    <row r="26" spans="3:17" ht="14.4" thickBot="1" x14ac:dyDescent="0.3">
      <c r="C26" s="710"/>
      <c r="D26" s="701">
        <v>73</v>
      </c>
      <c r="E26" s="702"/>
      <c r="F26" s="702"/>
      <c r="G26" s="702"/>
      <c r="H26" s="701">
        <v>5.16</v>
      </c>
      <c r="I26" s="701">
        <v>5.16</v>
      </c>
      <c r="J26" s="702"/>
      <c r="K26" s="701">
        <v>7.01</v>
      </c>
      <c r="L26" s="701">
        <v>7.01</v>
      </c>
      <c r="M26" s="702"/>
      <c r="N26" s="702"/>
      <c r="O26" s="702"/>
      <c r="P26" s="701">
        <v>9.52</v>
      </c>
      <c r="Q26" s="706">
        <v>14</v>
      </c>
    </row>
    <row r="27" spans="3:17" x14ac:dyDescent="0.25">
      <c r="C27" s="707">
        <v>3</v>
      </c>
      <c r="D27" s="697">
        <v>3.5</v>
      </c>
      <c r="E27" s="697"/>
      <c r="F27" s="697"/>
      <c r="G27" s="697"/>
      <c r="H27" s="697">
        <v>0.216</v>
      </c>
      <c r="I27" s="697">
        <v>0.216</v>
      </c>
      <c r="J27" s="697"/>
      <c r="K27" s="697">
        <v>0.3</v>
      </c>
      <c r="L27" s="697">
        <v>0.3</v>
      </c>
      <c r="M27" s="697"/>
      <c r="N27" s="697"/>
      <c r="O27" s="697"/>
      <c r="P27" s="697">
        <v>0.438</v>
      </c>
      <c r="Q27" s="705">
        <v>0.6</v>
      </c>
    </row>
    <row r="28" spans="3:17" ht="14.4" thickBot="1" x14ac:dyDescent="0.3">
      <c r="C28" s="708"/>
      <c r="D28" s="701">
        <v>88.9</v>
      </c>
      <c r="E28" s="702"/>
      <c r="F28" s="702"/>
      <c r="G28" s="702"/>
      <c r="H28" s="701">
        <v>5.49</v>
      </c>
      <c r="I28" s="701">
        <v>5.49</v>
      </c>
      <c r="J28" s="702"/>
      <c r="K28" s="701">
        <v>7.62</v>
      </c>
      <c r="L28" s="701">
        <v>7.62</v>
      </c>
      <c r="M28" s="702"/>
      <c r="N28" s="702"/>
      <c r="O28" s="702"/>
      <c r="P28" s="701">
        <v>11.1</v>
      </c>
      <c r="Q28" s="706">
        <v>15.2</v>
      </c>
    </row>
    <row r="29" spans="3:17" x14ac:dyDescent="0.25">
      <c r="C29" s="709">
        <v>3.5</v>
      </c>
      <c r="D29" s="697">
        <v>4</v>
      </c>
      <c r="E29" s="697"/>
      <c r="F29" s="697"/>
      <c r="G29" s="697"/>
      <c r="H29" s="697">
        <v>0.22600000000000001</v>
      </c>
      <c r="I29" s="697">
        <v>0.22600000000000001</v>
      </c>
      <c r="J29" s="697"/>
      <c r="K29" s="697">
        <v>0.318</v>
      </c>
      <c r="L29" s="697">
        <v>0.318</v>
      </c>
      <c r="M29" s="697"/>
      <c r="N29" s="697"/>
      <c r="O29" s="697"/>
      <c r="P29" s="697"/>
      <c r="Q29" s="705"/>
    </row>
    <row r="30" spans="3:17" ht="14.4" thickBot="1" x14ac:dyDescent="0.3">
      <c r="C30" s="710"/>
      <c r="D30" s="701">
        <v>102</v>
      </c>
      <c r="E30" s="702"/>
      <c r="F30" s="702"/>
      <c r="G30" s="702"/>
      <c r="H30" s="701">
        <v>5.74</v>
      </c>
      <c r="I30" s="701">
        <v>5.74</v>
      </c>
      <c r="J30" s="702"/>
      <c r="K30" s="701">
        <v>8.08</v>
      </c>
      <c r="L30" s="701">
        <v>8.08</v>
      </c>
      <c r="M30" s="702"/>
      <c r="N30" s="702"/>
      <c r="O30" s="702"/>
      <c r="P30" s="702"/>
      <c r="Q30" s="703"/>
    </row>
    <row r="31" spans="3:17" x14ac:dyDescent="0.25">
      <c r="C31" s="707">
        <v>4</v>
      </c>
      <c r="D31" s="697">
        <v>4.5</v>
      </c>
      <c r="E31" s="697"/>
      <c r="F31" s="697"/>
      <c r="G31" s="697"/>
      <c r="H31" s="697">
        <v>0.23699999999999999</v>
      </c>
      <c r="I31" s="697">
        <v>0.23699999999999999</v>
      </c>
      <c r="J31" s="697"/>
      <c r="K31" s="697">
        <v>0.33700000000000002</v>
      </c>
      <c r="L31" s="697">
        <v>0.33700000000000002</v>
      </c>
      <c r="M31" s="697"/>
      <c r="N31" s="697">
        <v>0.438</v>
      </c>
      <c r="O31" s="697"/>
      <c r="P31" s="697">
        <v>0.53100000000000003</v>
      </c>
      <c r="Q31" s="705">
        <v>0.67400000000000004</v>
      </c>
    </row>
    <row r="32" spans="3:17" ht="14.4" thickBot="1" x14ac:dyDescent="0.3">
      <c r="C32" s="708"/>
      <c r="D32" s="701">
        <v>114</v>
      </c>
      <c r="E32" s="702"/>
      <c r="F32" s="702"/>
      <c r="G32" s="702"/>
      <c r="H32" s="701">
        <v>6.02</v>
      </c>
      <c r="I32" s="701">
        <v>6.02</v>
      </c>
      <c r="J32" s="702"/>
      <c r="K32" s="701">
        <v>8.56</v>
      </c>
      <c r="L32" s="701">
        <v>8.56</v>
      </c>
      <c r="M32" s="702"/>
      <c r="N32" s="701">
        <v>11.1</v>
      </c>
      <c r="O32" s="702"/>
      <c r="P32" s="701">
        <v>13.5</v>
      </c>
      <c r="Q32" s="706">
        <v>17.100000000000001</v>
      </c>
    </row>
    <row r="33" spans="3:17" x14ac:dyDescent="0.25">
      <c r="C33" s="707">
        <v>5</v>
      </c>
      <c r="D33" s="697">
        <v>5.5629999999999997</v>
      </c>
      <c r="E33" s="697"/>
      <c r="F33" s="697"/>
      <c r="G33" s="697"/>
      <c r="H33" s="697">
        <v>0.25800000000000001</v>
      </c>
      <c r="I33" s="697">
        <v>0.25800000000000001</v>
      </c>
      <c r="J33" s="697"/>
      <c r="K33" s="697">
        <v>0.375</v>
      </c>
      <c r="L33" s="697">
        <v>0.375</v>
      </c>
      <c r="M33" s="697"/>
      <c r="N33" s="697">
        <v>0.5</v>
      </c>
      <c r="O33" s="697"/>
      <c r="P33" s="697">
        <v>0.625</v>
      </c>
      <c r="Q33" s="705">
        <v>0.75</v>
      </c>
    </row>
    <row r="34" spans="3:17" ht="14.4" thickBot="1" x14ac:dyDescent="0.3">
      <c r="C34" s="708"/>
      <c r="D34" s="701">
        <v>141</v>
      </c>
      <c r="E34" s="702"/>
      <c r="F34" s="702"/>
      <c r="G34" s="702"/>
      <c r="H34" s="701">
        <v>6.55</v>
      </c>
      <c r="I34" s="701">
        <v>6.55</v>
      </c>
      <c r="J34" s="702"/>
      <c r="K34" s="701">
        <v>9.52</v>
      </c>
      <c r="L34" s="701">
        <v>9.52</v>
      </c>
      <c r="M34" s="702"/>
      <c r="N34" s="701">
        <v>12.7</v>
      </c>
      <c r="O34" s="702"/>
      <c r="P34" s="701">
        <v>15.9</v>
      </c>
      <c r="Q34" s="706">
        <v>19</v>
      </c>
    </row>
    <row r="35" spans="3:17" x14ac:dyDescent="0.25">
      <c r="C35" s="707">
        <v>6</v>
      </c>
      <c r="D35" s="697">
        <v>6.625</v>
      </c>
      <c r="E35" s="697"/>
      <c r="F35" s="697"/>
      <c r="G35" s="697"/>
      <c r="H35" s="697">
        <v>0.28000000000000003</v>
      </c>
      <c r="I35" s="697">
        <v>0.28000000000000003</v>
      </c>
      <c r="J35" s="697"/>
      <c r="K35" s="697">
        <v>0.432</v>
      </c>
      <c r="L35" s="697">
        <v>0.432</v>
      </c>
      <c r="M35" s="697"/>
      <c r="N35" s="697">
        <v>0.56200000000000006</v>
      </c>
      <c r="O35" s="697"/>
      <c r="P35" s="697">
        <v>0.71899999999999997</v>
      </c>
      <c r="Q35" s="705">
        <v>0.86399999999999999</v>
      </c>
    </row>
    <row r="36" spans="3:17" ht="14.4" thickBot="1" x14ac:dyDescent="0.3">
      <c r="C36" s="708"/>
      <c r="D36" s="701">
        <v>168</v>
      </c>
      <c r="E36" s="702"/>
      <c r="F36" s="702"/>
      <c r="G36" s="702"/>
      <c r="H36" s="701">
        <v>7.11</v>
      </c>
      <c r="I36" s="701">
        <v>7.11</v>
      </c>
      <c r="J36" s="702"/>
      <c r="K36" s="701">
        <v>11</v>
      </c>
      <c r="L36" s="701">
        <v>11</v>
      </c>
      <c r="M36" s="702"/>
      <c r="N36" s="701">
        <v>14.3</v>
      </c>
      <c r="O36" s="702"/>
      <c r="P36" s="701">
        <v>18.3</v>
      </c>
      <c r="Q36" s="706">
        <v>21.9</v>
      </c>
    </row>
    <row r="37" spans="3:17" x14ac:dyDescent="0.25">
      <c r="C37" s="707">
        <v>8</v>
      </c>
      <c r="D37" s="697">
        <v>8.625</v>
      </c>
      <c r="E37" s="697"/>
      <c r="F37" s="697">
        <v>0.25</v>
      </c>
      <c r="G37" s="697">
        <v>0.27700000000000002</v>
      </c>
      <c r="H37" s="697">
        <v>0.32200000000000001</v>
      </c>
      <c r="I37" s="697">
        <v>0.32200000000000001</v>
      </c>
      <c r="J37" s="697">
        <v>0.40600000000000003</v>
      </c>
      <c r="K37" s="697">
        <v>0.5</v>
      </c>
      <c r="L37" s="697">
        <v>0.5</v>
      </c>
      <c r="M37" s="697">
        <v>0.59399999999999997</v>
      </c>
      <c r="N37" s="697">
        <v>0.71899999999999997</v>
      </c>
      <c r="O37" s="697">
        <v>0.81200000000000006</v>
      </c>
      <c r="P37" s="697">
        <v>0.90600000000000003</v>
      </c>
      <c r="Q37" s="705">
        <v>0.875</v>
      </c>
    </row>
    <row r="38" spans="3:17" ht="14.4" thickBot="1" x14ac:dyDescent="0.3">
      <c r="C38" s="708"/>
      <c r="D38" s="701">
        <v>219</v>
      </c>
      <c r="E38" s="702"/>
      <c r="F38" s="701">
        <v>6.35</v>
      </c>
      <c r="G38" s="701">
        <v>7.04</v>
      </c>
      <c r="H38" s="701">
        <v>8.18</v>
      </c>
      <c r="I38" s="701">
        <v>8.18</v>
      </c>
      <c r="J38" s="701">
        <v>10.3</v>
      </c>
      <c r="K38" s="701">
        <v>12.7</v>
      </c>
      <c r="L38" s="701">
        <v>12.7</v>
      </c>
      <c r="M38" s="701">
        <v>15.1</v>
      </c>
      <c r="N38" s="701">
        <v>18.3</v>
      </c>
      <c r="O38" s="701">
        <v>20.6</v>
      </c>
      <c r="P38" s="701">
        <v>23</v>
      </c>
      <c r="Q38" s="706">
        <v>22.2</v>
      </c>
    </row>
    <row r="39" spans="3:17" x14ac:dyDescent="0.25">
      <c r="C39" s="707">
        <v>10</v>
      </c>
      <c r="D39" s="697">
        <v>10.75</v>
      </c>
      <c r="E39" s="697"/>
      <c r="F39" s="697">
        <v>0.25</v>
      </c>
      <c r="G39" s="697">
        <v>0.307</v>
      </c>
      <c r="H39" s="697">
        <v>0.36499999999999999</v>
      </c>
      <c r="I39" s="697">
        <v>0.36499999999999999</v>
      </c>
      <c r="J39" s="697">
        <v>0.5</v>
      </c>
      <c r="K39" s="697">
        <v>0.5</v>
      </c>
      <c r="L39" s="697">
        <v>0.59399999999999997</v>
      </c>
      <c r="M39" s="697">
        <v>0.71899999999999997</v>
      </c>
      <c r="N39" s="697">
        <v>0.84399999999999997</v>
      </c>
      <c r="O39" s="697">
        <v>1</v>
      </c>
      <c r="P39" s="697">
        <v>1.125</v>
      </c>
      <c r="Q39" s="705">
        <v>1</v>
      </c>
    </row>
    <row r="40" spans="3:17" ht="14.4" thickBot="1" x14ac:dyDescent="0.3">
      <c r="C40" s="708"/>
      <c r="D40" s="701">
        <v>273</v>
      </c>
      <c r="E40" s="702"/>
      <c r="F40" s="701">
        <v>6.35</v>
      </c>
      <c r="G40" s="701">
        <v>7.8</v>
      </c>
      <c r="H40" s="701">
        <v>9.27</v>
      </c>
      <c r="I40" s="701">
        <v>9.27</v>
      </c>
      <c r="J40" s="701">
        <v>12.7</v>
      </c>
      <c r="K40" s="701">
        <v>12.7</v>
      </c>
      <c r="L40" s="701">
        <v>15.1</v>
      </c>
      <c r="M40" s="701">
        <v>18.3</v>
      </c>
      <c r="N40" s="701">
        <v>21.4</v>
      </c>
      <c r="O40" s="701">
        <v>25.4</v>
      </c>
      <c r="P40" s="701">
        <v>28.6</v>
      </c>
      <c r="Q40" s="706">
        <v>25.4</v>
      </c>
    </row>
    <row r="41" spans="3:17" x14ac:dyDescent="0.25">
      <c r="C41" s="707">
        <v>12</v>
      </c>
      <c r="D41" s="697">
        <v>12.75</v>
      </c>
      <c r="E41" s="697"/>
      <c r="F41" s="697">
        <v>0.25</v>
      </c>
      <c r="G41" s="697">
        <v>0.33</v>
      </c>
      <c r="H41" s="697">
        <v>0.375</v>
      </c>
      <c r="I41" s="697">
        <v>0.40600000000000003</v>
      </c>
      <c r="J41" s="697">
        <v>0.56200000000000006</v>
      </c>
      <c r="K41" s="697">
        <v>0.5</v>
      </c>
      <c r="L41" s="697">
        <v>0.68799999999999994</v>
      </c>
      <c r="M41" s="697">
        <v>0.84399999999999997</v>
      </c>
      <c r="N41" s="697">
        <v>1</v>
      </c>
      <c r="O41" s="697">
        <v>1.125</v>
      </c>
      <c r="P41" s="697">
        <v>1.3120000000000001</v>
      </c>
      <c r="Q41" s="705">
        <v>1</v>
      </c>
    </row>
    <row r="42" spans="3:17" ht="14.4" thickBot="1" x14ac:dyDescent="0.3">
      <c r="C42" s="708"/>
      <c r="D42" s="701">
        <v>324</v>
      </c>
      <c r="E42" s="702"/>
      <c r="F42" s="701">
        <v>6.35</v>
      </c>
      <c r="G42" s="701">
        <v>8.3800000000000008</v>
      </c>
      <c r="H42" s="701">
        <v>9.52</v>
      </c>
      <c r="I42" s="701">
        <v>10.3</v>
      </c>
      <c r="J42" s="701">
        <v>14.3</v>
      </c>
      <c r="K42" s="701">
        <v>12.7</v>
      </c>
      <c r="L42" s="701">
        <v>17.5</v>
      </c>
      <c r="M42" s="701">
        <v>21.4</v>
      </c>
      <c r="N42" s="701">
        <v>25.4</v>
      </c>
      <c r="O42" s="701">
        <v>28.6</v>
      </c>
      <c r="P42" s="701">
        <v>33.299999999999997</v>
      </c>
      <c r="Q42" s="706">
        <v>25.4</v>
      </c>
    </row>
    <row r="43" spans="3:17" x14ac:dyDescent="0.25">
      <c r="C43" s="707">
        <v>14</v>
      </c>
      <c r="D43" s="697">
        <v>14</v>
      </c>
      <c r="E43" s="697">
        <v>0.25</v>
      </c>
      <c r="F43" s="697">
        <v>0.312</v>
      </c>
      <c r="G43" s="697">
        <v>0.375</v>
      </c>
      <c r="H43" s="697">
        <v>0.375</v>
      </c>
      <c r="I43" s="697">
        <v>0.438</v>
      </c>
      <c r="J43" s="697">
        <v>0.59399999999999997</v>
      </c>
      <c r="K43" s="697">
        <v>0.5</v>
      </c>
      <c r="L43" s="697">
        <v>0.75</v>
      </c>
      <c r="M43" s="697">
        <v>0.93799999999999994</v>
      </c>
      <c r="N43" s="697">
        <v>1.0940000000000001</v>
      </c>
      <c r="O43" s="697">
        <v>1.25</v>
      </c>
      <c r="P43" s="697">
        <v>1.4059999999999999</v>
      </c>
      <c r="Q43" s="705"/>
    </row>
    <row r="44" spans="3:17" ht="14.4" thickBot="1" x14ac:dyDescent="0.3">
      <c r="C44" s="708"/>
      <c r="D44" s="701">
        <v>356</v>
      </c>
      <c r="E44" s="701">
        <v>6.35</v>
      </c>
      <c r="F44" s="701">
        <v>7.92</v>
      </c>
      <c r="G44" s="701">
        <v>9.52</v>
      </c>
      <c r="H44" s="701">
        <v>9.52</v>
      </c>
      <c r="I44" s="701">
        <v>11.1</v>
      </c>
      <c r="J44" s="701">
        <v>15.1</v>
      </c>
      <c r="K44" s="701">
        <v>12.7</v>
      </c>
      <c r="L44" s="701">
        <v>19</v>
      </c>
      <c r="M44" s="701">
        <v>23.8</v>
      </c>
      <c r="N44" s="701">
        <v>27.8</v>
      </c>
      <c r="O44" s="701">
        <v>31.8</v>
      </c>
      <c r="P44" s="701">
        <v>35.700000000000003</v>
      </c>
      <c r="Q44" s="703"/>
    </row>
    <row r="45" spans="3:17" x14ac:dyDescent="0.25">
      <c r="C45" s="707">
        <v>16</v>
      </c>
      <c r="D45" s="697">
        <v>16</v>
      </c>
      <c r="E45" s="697">
        <v>0.25</v>
      </c>
      <c r="F45" s="697">
        <v>0.312</v>
      </c>
      <c r="G45" s="697">
        <v>0.375</v>
      </c>
      <c r="H45" s="697">
        <v>0.375</v>
      </c>
      <c r="I45" s="697">
        <v>0.5</v>
      </c>
      <c r="J45" s="697">
        <v>0.65600000000000003</v>
      </c>
      <c r="K45" s="697">
        <v>0.5</v>
      </c>
      <c r="L45" s="697">
        <v>0.84399999999999997</v>
      </c>
      <c r="M45" s="697">
        <v>1.0309999999999999</v>
      </c>
      <c r="N45" s="697">
        <v>1.2190000000000001</v>
      </c>
      <c r="O45" s="697">
        <v>1.4379999999999999</v>
      </c>
      <c r="P45" s="697">
        <v>1.5940000000000001</v>
      </c>
      <c r="Q45" s="705"/>
    </row>
    <row r="46" spans="3:17" ht="14.4" thickBot="1" x14ac:dyDescent="0.3">
      <c r="C46" s="708"/>
      <c r="D46" s="701">
        <v>406</v>
      </c>
      <c r="E46" s="701">
        <v>6.35</v>
      </c>
      <c r="F46" s="701">
        <v>7.92</v>
      </c>
      <c r="G46" s="701">
        <v>9.52</v>
      </c>
      <c r="H46" s="701">
        <v>9.52</v>
      </c>
      <c r="I46" s="701">
        <v>12.7</v>
      </c>
      <c r="J46" s="701">
        <v>16.7</v>
      </c>
      <c r="K46" s="701">
        <v>12.7</v>
      </c>
      <c r="L46" s="701">
        <v>21.4</v>
      </c>
      <c r="M46" s="701">
        <v>26.2</v>
      </c>
      <c r="N46" s="701">
        <v>31</v>
      </c>
      <c r="O46" s="701">
        <v>36.5</v>
      </c>
      <c r="P46" s="701">
        <v>40.5</v>
      </c>
      <c r="Q46" s="703"/>
    </row>
    <row r="47" spans="3:17" x14ac:dyDescent="0.25">
      <c r="C47" s="707">
        <v>18</v>
      </c>
      <c r="D47" s="697">
        <v>18</v>
      </c>
      <c r="E47" s="697">
        <v>0.25</v>
      </c>
      <c r="F47" s="697">
        <v>0.312</v>
      </c>
      <c r="G47" s="697">
        <v>0.438</v>
      </c>
      <c r="H47" s="697">
        <v>0.375</v>
      </c>
      <c r="I47" s="697">
        <v>0.56200000000000006</v>
      </c>
      <c r="J47" s="697">
        <v>0.75</v>
      </c>
      <c r="K47" s="697">
        <v>0.5</v>
      </c>
      <c r="L47" s="697">
        <v>0.93799999999999994</v>
      </c>
      <c r="M47" s="697">
        <v>1.1559999999999999</v>
      </c>
      <c r="N47" s="697">
        <v>1.375</v>
      </c>
      <c r="O47" s="697">
        <v>1.5620000000000001</v>
      </c>
      <c r="P47" s="697">
        <v>1.7809999999999999</v>
      </c>
      <c r="Q47" s="705"/>
    </row>
    <row r="48" spans="3:17" ht="14.4" thickBot="1" x14ac:dyDescent="0.3">
      <c r="C48" s="708"/>
      <c r="D48" s="701">
        <v>457</v>
      </c>
      <c r="E48" s="701">
        <v>6.35</v>
      </c>
      <c r="F48" s="701">
        <v>7.92</v>
      </c>
      <c r="G48" s="701">
        <v>11.1</v>
      </c>
      <c r="H48" s="701">
        <v>9.52</v>
      </c>
      <c r="I48" s="701">
        <v>14.3</v>
      </c>
      <c r="J48" s="701">
        <v>19</v>
      </c>
      <c r="K48" s="701">
        <v>12.7</v>
      </c>
      <c r="L48" s="701">
        <v>23.8</v>
      </c>
      <c r="M48" s="701">
        <v>29.4</v>
      </c>
      <c r="N48" s="701">
        <v>34.9</v>
      </c>
      <c r="O48" s="701">
        <v>39.700000000000003</v>
      </c>
      <c r="P48" s="701">
        <v>45.2</v>
      </c>
      <c r="Q48" s="703"/>
    </row>
    <row r="49" spans="3:17" x14ac:dyDescent="0.25">
      <c r="C49" s="707">
        <v>20</v>
      </c>
      <c r="D49" s="697">
        <v>20</v>
      </c>
      <c r="E49" s="697">
        <v>0.25</v>
      </c>
      <c r="F49" s="697">
        <v>0.375</v>
      </c>
      <c r="G49" s="697">
        <v>0.5</v>
      </c>
      <c r="H49" s="697">
        <v>0.375</v>
      </c>
      <c r="I49" s="697">
        <v>0.59399999999999997</v>
      </c>
      <c r="J49" s="697">
        <v>0.81200000000000006</v>
      </c>
      <c r="K49" s="697">
        <v>0.5</v>
      </c>
      <c r="L49" s="697">
        <v>1.0309999999999999</v>
      </c>
      <c r="M49" s="697">
        <v>1.2809999999999999</v>
      </c>
      <c r="N49" s="697">
        <v>1.5</v>
      </c>
      <c r="O49" s="697">
        <v>1.75</v>
      </c>
      <c r="P49" s="697">
        <v>1.9690000000000001</v>
      </c>
      <c r="Q49" s="705"/>
    </row>
    <row r="50" spans="3:17" ht="14.4" thickBot="1" x14ac:dyDescent="0.3">
      <c r="C50" s="708"/>
      <c r="D50" s="701">
        <v>508</v>
      </c>
      <c r="E50" s="701">
        <v>6.35</v>
      </c>
      <c r="F50" s="701">
        <v>9.52</v>
      </c>
      <c r="G50" s="701">
        <v>12.7</v>
      </c>
      <c r="H50" s="701">
        <v>9.52</v>
      </c>
      <c r="I50" s="701">
        <v>15.1</v>
      </c>
      <c r="J50" s="701">
        <v>20.6</v>
      </c>
      <c r="K50" s="701">
        <v>12.7</v>
      </c>
      <c r="L50" s="701">
        <v>26.2</v>
      </c>
      <c r="M50" s="701">
        <v>32.5</v>
      </c>
      <c r="N50" s="701">
        <v>38.1</v>
      </c>
      <c r="O50" s="701">
        <v>44.4</v>
      </c>
      <c r="P50" s="701">
        <v>50</v>
      </c>
      <c r="Q50" s="703"/>
    </row>
    <row r="51" spans="3:17" x14ac:dyDescent="0.25">
      <c r="C51" s="707">
        <v>22</v>
      </c>
      <c r="D51" s="697">
        <v>22</v>
      </c>
      <c r="E51" s="697">
        <v>0.25</v>
      </c>
      <c r="F51" s="697">
        <v>0.375</v>
      </c>
      <c r="G51" s="697">
        <v>0.5</v>
      </c>
      <c r="H51" s="697">
        <v>0.375</v>
      </c>
      <c r="I51" s="697"/>
      <c r="J51" s="697">
        <v>0.875</v>
      </c>
      <c r="K51" s="697">
        <v>0.5</v>
      </c>
      <c r="L51" s="697">
        <v>1.125</v>
      </c>
      <c r="M51" s="697">
        <v>1.375</v>
      </c>
      <c r="N51" s="697">
        <v>1.625</v>
      </c>
      <c r="O51" s="697">
        <v>1.875</v>
      </c>
      <c r="P51" s="697">
        <v>2.125</v>
      </c>
      <c r="Q51" s="705"/>
    </row>
    <row r="52" spans="3:17" ht="14.4" thickBot="1" x14ac:dyDescent="0.3">
      <c r="C52" s="708"/>
      <c r="D52" s="701">
        <v>559</v>
      </c>
      <c r="E52" s="701">
        <v>6.35</v>
      </c>
      <c r="F52" s="701">
        <v>9.52</v>
      </c>
      <c r="G52" s="701">
        <v>12.7</v>
      </c>
      <c r="H52" s="701">
        <v>9.52</v>
      </c>
      <c r="I52" s="702"/>
      <c r="J52" s="701">
        <v>22.2</v>
      </c>
      <c r="K52" s="701">
        <v>12.7</v>
      </c>
      <c r="L52" s="701">
        <v>28.6</v>
      </c>
      <c r="M52" s="701">
        <v>34.9</v>
      </c>
      <c r="N52" s="701">
        <v>41.3</v>
      </c>
      <c r="O52" s="701">
        <v>47.6</v>
      </c>
      <c r="P52" s="701">
        <v>54</v>
      </c>
      <c r="Q52" s="703"/>
    </row>
    <row r="53" spans="3:17" x14ac:dyDescent="0.25">
      <c r="C53" s="707">
        <v>24</v>
      </c>
      <c r="D53" s="697">
        <v>24</v>
      </c>
      <c r="E53" s="697">
        <v>0.25</v>
      </c>
      <c r="F53" s="697">
        <v>0.375</v>
      </c>
      <c r="G53" s="697">
        <v>0.56200000000000006</v>
      </c>
      <c r="H53" s="697">
        <v>0.375</v>
      </c>
      <c r="I53" s="697">
        <v>0.68799999999999994</v>
      </c>
      <c r="J53" s="697">
        <v>0.96899999999999997</v>
      </c>
      <c r="K53" s="697">
        <v>0.5</v>
      </c>
      <c r="L53" s="697">
        <v>1.2190000000000001</v>
      </c>
      <c r="M53" s="697">
        <v>1.5309999999999999</v>
      </c>
      <c r="N53" s="697">
        <v>1.8120000000000001</v>
      </c>
      <c r="O53" s="697">
        <v>2.0619999999999998</v>
      </c>
      <c r="P53" s="697">
        <v>2.3439999999999999</v>
      </c>
      <c r="Q53" s="705"/>
    </row>
    <row r="54" spans="3:17" ht="14.4" thickBot="1" x14ac:dyDescent="0.3">
      <c r="C54" s="708"/>
      <c r="D54" s="701">
        <v>610</v>
      </c>
      <c r="E54" s="701">
        <v>6.35</v>
      </c>
      <c r="F54" s="701">
        <v>9.52</v>
      </c>
      <c r="G54" s="701">
        <v>14.3</v>
      </c>
      <c r="H54" s="701">
        <v>9.52</v>
      </c>
      <c r="I54" s="701">
        <v>17.5</v>
      </c>
      <c r="J54" s="701">
        <v>24.6</v>
      </c>
      <c r="K54" s="701">
        <v>12.7</v>
      </c>
      <c r="L54" s="701">
        <v>31</v>
      </c>
      <c r="M54" s="701">
        <v>38.9</v>
      </c>
      <c r="N54" s="701">
        <v>46</v>
      </c>
      <c r="O54" s="701">
        <v>52.4</v>
      </c>
      <c r="P54" s="701">
        <v>59.5</v>
      </c>
      <c r="Q54" s="703"/>
    </row>
    <row r="55" spans="3:17" x14ac:dyDescent="0.25">
      <c r="C55" s="707">
        <v>30</v>
      </c>
      <c r="D55" s="697">
        <v>30</v>
      </c>
      <c r="E55" s="697">
        <v>0.312</v>
      </c>
      <c r="F55" s="697">
        <v>0.5</v>
      </c>
      <c r="G55" s="697">
        <v>0.625</v>
      </c>
      <c r="H55" s="697">
        <v>0.375</v>
      </c>
      <c r="I55" s="697"/>
      <c r="J55" s="697"/>
      <c r="K55" s="697">
        <v>0.5</v>
      </c>
      <c r="L55" s="697"/>
      <c r="M55" s="697"/>
      <c r="N55" s="697"/>
      <c r="O55" s="697"/>
      <c r="P55" s="697"/>
      <c r="Q55" s="705"/>
    </row>
    <row r="56" spans="3:17" ht="14.4" thickBot="1" x14ac:dyDescent="0.3">
      <c r="C56" s="708"/>
      <c r="D56" s="701">
        <v>762</v>
      </c>
      <c r="E56" s="701">
        <v>7.92</v>
      </c>
      <c r="F56" s="701">
        <v>12.7</v>
      </c>
      <c r="G56" s="701">
        <v>15.9</v>
      </c>
      <c r="H56" s="701">
        <v>9.52</v>
      </c>
      <c r="I56" s="702"/>
      <c r="J56" s="702"/>
      <c r="K56" s="701">
        <v>12.7</v>
      </c>
      <c r="L56" s="702"/>
      <c r="M56" s="702"/>
      <c r="N56" s="702"/>
      <c r="O56" s="702"/>
      <c r="P56" s="702"/>
      <c r="Q56" s="703"/>
    </row>
    <row r="57" spans="3:17" x14ac:dyDescent="0.25">
      <c r="C57" s="707">
        <v>32</v>
      </c>
      <c r="D57" s="697">
        <v>32</v>
      </c>
      <c r="E57" s="697">
        <v>0.312</v>
      </c>
      <c r="F57" s="697">
        <v>0.5</v>
      </c>
      <c r="G57" s="697">
        <v>0.625</v>
      </c>
      <c r="H57" s="697">
        <v>0.375</v>
      </c>
      <c r="I57" s="697">
        <v>0.68799999999999994</v>
      </c>
      <c r="J57" s="697"/>
      <c r="K57" s="697"/>
      <c r="L57" s="697"/>
      <c r="M57" s="697"/>
      <c r="N57" s="697"/>
      <c r="O57" s="697"/>
      <c r="P57" s="697"/>
      <c r="Q57" s="705"/>
    </row>
    <row r="58" spans="3:17" ht="14.4" thickBot="1" x14ac:dyDescent="0.3">
      <c r="C58" s="708"/>
      <c r="D58" s="701">
        <v>813</v>
      </c>
      <c r="E58" s="701">
        <v>7.92</v>
      </c>
      <c r="F58" s="701">
        <v>12.7</v>
      </c>
      <c r="G58" s="701">
        <v>15.9</v>
      </c>
      <c r="H58" s="701">
        <v>9.52</v>
      </c>
      <c r="I58" s="701">
        <v>17.5</v>
      </c>
      <c r="J58" s="702"/>
      <c r="K58" s="702"/>
      <c r="L58" s="702"/>
      <c r="M58" s="702"/>
      <c r="N58" s="702"/>
      <c r="O58" s="702"/>
      <c r="P58" s="702"/>
      <c r="Q58" s="703"/>
    </row>
    <row r="59" spans="3:17" x14ac:dyDescent="0.25">
      <c r="C59" s="707">
        <v>34</v>
      </c>
      <c r="D59" s="697">
        <v>34</v>
      </c>
      <c r="E59" s="697">
        <v>0.312</v>
      </c>
      <c r="F59" s="697">
        <v>0.5</v>
      </c>
      <c r="G59" s="697">
        <v>0.625</v>
      </c>
      <c r="H59" s="697">
        <v>0.375</v>
      </c>
      <c r="I59" s="697">
        <v>0.68799999999999994</v>
      </c>
      <c r="J59" s="697"/>
      <c r="K59" s="697"/>
      <c r="L59" s="697"/>
      <c r="M59" s="697"/>
      <c r="N59" s="697"/>
      <c r="O59" s="697"/>
      <c r="P59" s="697"/>
      <c r="Q59" s="705"/>
    </row>
    <row r="60" spans="3:17" ht="14.4" thickBot="1" x14ac:dyDescent="0.3">
      <c r="C60" s="708"/>
      <c r="D60" s="701">
        <v>864</v>
      </c>
      <c r="E60" s="701">
        <v>7.92</v>
      </c>
      <c r="F60" s="701">
        <v>12.7</v>
      </c>
      <c r="G60" s="701">
        <v>15.9</v>
      </c>
      <c r="H60" s="701">
        <v>9.52</v>
      </c>
      <c r="I60" s="701">
        <v>17.5</v>
      </c>
      <c r="J60" s="702"/>
      <c r="K60" s="702"/>
      <c r="L60" s="702"/>
      <c r="M60" s="702"/>
      <c r="N60" s="702"/>
      <c r="O60" s="702"/>
      <c r="P60" s="702"/>
      <c r="Q60" s="703"/>
    </row>
    <row r="61" spans="3:17" x14ac:dyDescent="0.25">
      <c r="C61" s="894">
        <v>36</v>
      </c>
      <c r="D61" s="697">
        <v>36</v>
      </c>
      <c r="E61" s="697">
        <v>0.312</v>
      </c>
      <c r="F61" s="697">
        <v>0.5</v>
      </c>
      <c r="G61" s="697">
        <v>0.625</v>
      </c>
      <c r="H61" s="697">
        <v>0.375</v>
      </c>
      <c r="I61" s="697">
        <v>0.75</v>
      </c>
      <c r="J61" s="896"/>
      <c r="K61" s="896"/>
      <c r="L61" s="896"/>
      <c r="M61" s="896"/>
      <c r="N61" s="896"/>
      <c r="O61" s="896"/>
      <c r="P61" s="896"/>
      <c r="Q61" s="898"/>
    </row>
    <row r="62" spans="3:17" ht="14.4" thickBot="1" x14ac:dyDescent="0.3">
      <c r="C62" s="895"/>
      <c r="D62" s="701">
        <v>914</v>
      </c>
      <c r="E62" s="701">
        <v>7.92</v>
      </c>
      <c r="F62" s="701">
        <v>12.7</v>
      </c>
      <c r="G62" s="701">
        <v>15.9</v>
      </c>
      <c r="H62" s="701">
        <v>9.52</v>
      </c>
      <c r="I62" s="701">
        <v>19</v>
      </c>
      <c r="J62" s="897"/>
      <c r="K62" s="897"/>
      <c r="L62" s="897"/>
      <c r="M62" s="897"/>
      <c r="N62" s="897"/>
      <c r="O62" s="897"/>
      <c r="P62" s="897"/>
      <c r="Q62" s="899"/>
    </row>
    <row r="63" spans="3:17" x14ac:dyDescent="0.25">
      <c r="C63" s="894">
        <v>42</v>
      </c>
      <c r="D63" s="697">
        <v>42</v>
      </c>
      <c r="E63" s="896"/>
      <c r="F63" s="697">
        <v>0.5</v>
      </c>
      <c r="G63" s="697">
        <v>0.625</v>
      </c>
      <c r="H63" s="697">
        <v>0.375</v>
      </c>
      <c r="I63" s="697">
        <v>0.75</v>
      </c>
      <c r="J63" s="896"/>
      <c r="K63" s="896"/>
      <c r="L63" s="896"/>
      <c r="M63" s="896"/>
      <c r="N63" s="896"/>
      <c r="O63" s="896"/>
      <c r="P63" s="896"/>
      <c r="Q63" s="898"/>
    </row>
    <row r="64" spans="3:17" ht="14.4" thickBot="1" x14ac:dyDescent="0.3">
      <c r="C64" s="895"/>
      <c r="D64" s="701">
        <v>1067</v>
      </c>
      <c r="E64" s="897"/>
      <c r="F64" s="701">
        <v>12.7</v>
      </c>
      <c r="G64" s="701">
        <v>15.9</v>
      </c>
      <c r="H64" s="701">
        <v>9.52</v>
      </c>
      <c r="I64" s="701">
        <v>19</v>
      </c>
      <c r="J64" s="897"/>
      <c r="K64" s="897"/>
      <c r="L64" s="897"/>
      <c r="M64" s="897"/>
      <c r="N64" s="897"/>
      <c r="O64" s="897"/>
      <c r="P64" s="897"/>
      <c r="Q64" s="899"/>
    </row>
    <row r="65" spans="3:17" ht="14.4" thickBot="1" x14ac:dyDescent="0.3">
      <c r="C65" s="711"/>
      <c r="D65" s="712"/>
      <c r="E65" s="712"/>
      <c r="F65" s="712"/>
      <c r="G65" s="712"/>
      <c r="H65" s="712"/>
      <c r="I65" s="712"/>
      <c r="J65" s="712"/>
      <c r="K65" s="712"/>
      <c r="L65" s="712"/>
      <c r="M65" s="712"/>
      <c r="N65" s="712"/>
      <c r="O65" s="712"/>
      <c r="P65" s="712"/>
      <c r="Q65" s="713"/>
    </row>
    <row r="72" spans="3:17" x14ac:dyDescent="0.25">
      <c r="C72" s="714"/>
    </row>
    <row r="73" spans="3:17" x14ac:dyDescent="0.25">
      <c r="C73" s="715"/>
    </row>
  </sheetData>
  <sheetProtection sheet="1" objects="1" scenarios="1"/>
  <mergeCells count="23">
    <mergeCell ref="P63:P64"/>
    <mergeCell ref="Q63:Q64"/>
    <mergeCell ref="C3:Q3"/>
    <mergeCell ref="P61:P62"/>
    <mergeCell ref="Q61:Q62"/>
    <mergeCell ref="C63:C64"/>
    <mergeCell ref="E63:E64"/>
    <mergeCell ref="J63:J64"/>
    <mergeCell ref="K63:K64"/>
    <mergeCell ref="L63:L64"/>
    <mergeCell ref="M63:M64"/>
    <mergeCell ref="N63:N64"/>
    <mergeCell ref="O63:O64"/>
    <mergeCell ref="C2:Q2"/>
    <mergeCell ref="E4:Q4"/>
    <mergeCell ref="E6:Q6"/>
    <mergeCell ref="C61:C62"/>
    <mergeCell ref="J61:J62"/>
    <mergeCell ref="K61:K62"/>
    <mergeCell ref="L61:L62"/>
    <mergeCell ref="M61:M62"/>
    <mergeCell ref="N61:N62"/>
    <mergeCell ref="O61:O6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596"/>
  <sheetViews>
    <sheetView zoomScale="80" zoomScaleNormal="80" workbookViewId="0">
      <selection activeCell="D1" sqref="D1:F1"/>
    </sheetView>
  </sheetViews>
  <sheetFormatPr defaultColWidth="8.77734375" defaultRowHeight="13.2" x14ac:dyDescent="0.25"/>
  <cols>
    <col min="1" max="1" width="34.88671875" style="209" customWidth="1"/>
    <col min="2" max="2" width="11.21875" style="209" customWidth="1"/>
    <col min="3" max="3" width="11.6640625" style="209" customWidth="1"/>
    <col min="4" max="4" width="13.6640625" style="523" customWidth="1"/>
    <col min="5" max="7" width="13.6640625" style="209" customWidth="1"/>
    <col min="8" max="8" width="3" style="209" customWidth="1"/>
    <col min="9" max="9" width="3.5546875" style="209" customWidth="1"/>
    <col min="10" max="10" width="6.88671875" style="209" customWidth="1"/>
    <col min="11" max="11" width="15.44140625" style="209" customWidth="1"/>
    <col min="12" max="12" width="9" style="209" customWidth="1"/>
    <col min="13" max="13" width="6.5546875" style="209" customWidth="1"/>
    <col min="14" max="14" width="12.44140625" style="209" customWidth="1"/>
    <col min="15" max="15" width="7.77734375" style="209" customWidth="1"/>
    <col min="16" max="16" width="63.77734375" style="209" customWidth="1"/>
    <col min="17" max="17" width="40" style="209" customWidth="1"/>
    <col min="18" max="18" width="5.77734375" style="209" customWidth="1"/>
    <col min="19" max="19" width="27.77734375" style="209" customWidth="1"/>
    <col min="20" max="23" width="15.77734375" style="209" customWidth="1"/>
    <col min="24" max="16384" width="8.77734375" style="209"/>
  </cols>
  <sheetData>
    <row r="1" spans="1:23" ht="13.95" customHeight="1" thickTop="1" x14ac:dyDescent="0.25">
      <c r="A1" s="511" t="s">
        <v>625</v>
      </c>
      <c r="B1" s="214"/>
      <c r="C1" s="512" t="s">
        <v>67</v>
      </c>
      <c r="D1" s="848" t="s">
        <v>722</v>
      </c>
      <c r="E1" s="849"/>
      <c r="F1" s="849"/>
      <c r="G1" s="600"/>
      <c r="H1" s="601"/>
      <c r="I1" s="408"/>
      <c r="J1" s="580"/>
      <c r="K1" s="535" t="s">
        <v>645</v>
      </c>
      <c r="M1" s="163"/>
      <c r="N1" s="163"/>
      <c r="O1" s="163"/>
      <c r="P1" s="399" t="s">
        <v>100</v>
      </c>
      <c r="Q1" s="212" t="s">
        <v>69</v>
      </c>
      <c r="V1" s="211"/>
      <c r="W1" s="211"/>
    </row>
    <row r="2" spans="1:23" ht="13.95" customHeight="1" x14ac:dyDescent="0.25">
      <c r="A2" s="497" t="s">
        <v>626</v>
      </c>
      <c r="B2" s="500" t="str">
        <f>IF(B27&lt;1,"Undefined",IF(B27=1,"scfh",IF(B27&lt;=5,"m3/h",IF(B27&gt;5,"Undefined"))))</f>
        <v>scfh</v>
      </c>
      <c r="C2" s="507" t="s">
        <v>0</v>
      </c>
      <c r="D2" s="515">
        <v>31863</v>
      </c>
      <c r="E2" s="515">
        <v>93645</v>
      </c>
      <c r="F2" s="515">
        <v>184894</v>
      </c>
      <c r="G2" s="515">
        <v>236393</v>
      </c>
      <c r="H2" s="546"/>
      <c r="I2" s="218"/>
      <c r="J2" s="751"/>
      <c r="K2" s="513" t="s">
        <v>603</v>
      </c>
      <c r="L2" s="513" t="s">
        <v>614</v>
      </c>
      <c r="M2" s="752"/>
      <c r="N2" s="752"/>
      <c r="O2" s="753"/>
      <c r="P2" s="754"/>
      <c r="Q2" s="211" t="s">
        <v>1</v>
      </c>
      <c r="R2" s="211" t="s">
        <v>70</v>
      </c>
      <c r="S2" s="211" t="s">
        <v>2</v>
      </c>
      <c r="T2" s="213" t="s">
        <v>3</v>
      </c>
      <c r="V2" s="211"/>
      <c r="W2" s="211"/>
    </row>
    <row r="3" spans="1:23" ht="13.95" customHeight="1" thickBot="1" x14ac:dyDescent="0.35">
      <c r="A3" s="498" t="s">
        <v>627</v>
      </c>
      <c r="B3" s="501" t="str">
        <f>IF(B27=1,"psiA",IF(B27=2,"barA",IF(B27=3,"kPaA",IF(B27=4,"barA",IF(B27=5,"kPaA","Undefined")))))</f>
        <v>psiA</v>
      </c>
      <c r="C3" s="505" t="s">
        <v>5</v>
      </c>
      <c r="D3" s="517">
        <v>90</v>
      </c>
      <c r="E3" s="516">
        <v>88.6</v>
      </c>
      <c r="F3" s="516">
        <v>83.7</v>
      </c>
      <c r="G3" s="516">
        <v>80</v>
      </c>
      <c r="H3" s="547"/>
      <c r="I3" s="755"/>
      <c r="J3" s="587"/>
      <c r="K3" s="513" t="s">
        <v>611</v>
      </c>
      <c r="L3" s="513" t="s">
        <v>615</v>
      </c>
      <c r="M3" s="756"/>
      <c r="N3" s="757"/>
      <c r="O3" s="227"/>
      <c r="P3" s="227"/>
      <c r="Q3" s="215" t="s">
        <v>6</v>
      </c>
      <c r="R3" s="215"/>
      <c r="S3" s="215" t="s">
        <v>6</v>
      </c>
      <c r="T3" s="216"/>
      <c r="V3" s="211"/>
      <c r="W3" s="211"/>
    </row>
    <row r="4" spans="1:23" ht="13.95" customHeight="1" thickTop="1" x14ac:dyDescent="0.3">
      <c r="A4" s="498" t="s">
        <v>628</v>
      </c>
      <c r="B4" s="501" t="str">
        <f>IF(B27&lt;1,"Undefined",IF(B27=1,"F",IF(B27&lt;=5,"C",IF(B27&gt;5,"Undefined"))))</f>
        <v>F</v>
      </c>
      <c r="C4" s="505" t="s">
        <v>8</v>
      </c>
      <c r="D4" s="517">
        <v>100</v>
      </c>
      <c r="E4" s="516">
        <v>100</v>
      </c>
      <c r="F4" s="516">
        <v>100</v>
      </c>
      <c r="G4" s="516">
        <v>100</v>
      </c>
      <c r="H4" s="547"/>
      <c r="I4" s="755"/>
      <c r="J4" s="758"/>
      <c r="K4" s="513" t="s">
        <v>679</v>
      </c>
      <c r="L4" s="513" t="s">
        <v>757</v>
      </c>
      <c r="M4" s="759"/>
      <c r="N4" s="759"/>
      <c r="O4" s="753"/>
      <c r="P4" s="587"/>
      <c r="Q4" s="211" t="s">
        <v>9</v>
      </c>
      <c r="R4" s="219">
        <v>9</v>
      </c>
      <c r="S4" s="211" t="s">
        <v>10</v>
      </c>
      <c r="T4" s="220">
        <f>DELTA_P/P_1</f>
        <v>0.33333333333333331</v>
      </c>
      <c r="U4" s="220">
        <f>E5/E3</f>
        <v>0.32279909706546278</v>
      </c>
      <c r="V4" s="220">
        <f>F5/F3</f>
        <v>0.28315412186379929</v>
      </c>
      <c r="W4" s="220">
        <f>G5/G3</f>
        <v>0.25</v>
      </c>
    </row>
    <row r="5" spans="1:23" ht="13.95" customHeight="1" x14ac:dyDescent="0.25">
      <c r="A5" s="498" t="s">
        <v>629</v>
      </c>
      <c r="B5" s="501" t="str">
        <f>IF(B27=1,"psi",IF(B27=2,"bar",IF(B27=3,"kPa",IF(B27=4,"bar",IF(B27=5,"kPa","Undefined")))))</f>
        <v>psi</v>
      </c>
      <c r="C5" s="505" t="s">
        <v>11</v>
      </c>
      <c r="D5" s="517">
        <v>30</v>
      </c>
      <c r="E5" s="516">
        <v>28.6</v>
      </c>
      <c r="F5" s="516">
        <v>23.7</v>
      </c>
      <c r="G5" s="516">
        <v>20</v>
      </c>
      <c r="H5" s="547"/>
      <c r="I5" s="755"/>
      <c r="J5" s="758"/>
      <c r="K5" s="513" t="s">
        <v>681</v>
      </c>
      <c r="L5" s="585" t="s">
        <v>704</v>
      </c>
      <c r="M5" s="759"/>
      <c r="N5" s="759"/>
      <c r="O5" s="587"/>
      <c r="P5" s="227"/>
      <c r="Q5" s="211" t="s">
        <v>12</v>
      </c>
      <c r="R5" s="209">
        <v>11</v>
      </c>
      <c r="S5" s="211" t="s">
        <v>13</v>
      </c>
      <c r="T5" s="220">
        <f>GAMMA/1.4</f>
        <v>1</v>
      </c>
      <c r="U5" s="220">
        <f>GAMMA/1.4</f>
        <v>1</v>
      </c>
      <c r="V5" s="220">
        <f>GAMMA/1.4</f>
        <v>1</v>
      </c>
      <c r="W5" s="220">
        <f>GAMMA/1.4</f>
        <v>1</v>
      </c>
    </row>
    <row r="6" spans="1:23" ht="13.95" customHeight="1" x14ac:dyDescent="0.25">
      <c r="A6" s="498" t="s">
        <v>222</v>
      </c>
      <c r="B6" s="501"/>
      <c r="C6" s="505" t="s">
        <v>71</v>
      </c>
      <c r="D6" s="517">
        <v>28.97</v>
      </c>
      <c r="E6" s="544"/>
      <c r="F6" s="544"/>
      <c r="G6" s="544"/>
      <c r="H6" s="548"/>
      <c r="I6" s="755"/>
      <c r="J6" s="758"/>
      <c r="K6" s="513" t="s">
        <v>684</v>
      </c>
      <c r="L6" s="585" t="s">
        <v>705</v>
      </c>
      <c r="M6" s="759"/>
      <c r="N6" s="759"/>
      <c r="O6" s="587"/>
      <c r="P6" s="227"/>
      <c r="Q6" s="211" t="s">
        <v>15</v>
      </c>
      <c r="S6" s="211" t="s">
        <v>16</v>
      </c>
      <c r="T6" s="220">
        <f>IF(FLAG_A=1,T_1+459.67,T_1+273.15)</f>
        <v>559.67000000000007</v>
      </c>
      <c r="U6" s="220">
        <f>IF(FLAG_A=1,E4+459.67,E4+273.15)</f>
        <v>559.67000000000007</v>
      </c>
      <c r="V6" s="220">
        <f>IF(FLAG_A=1,F4+459.67,F4+273.15)</f>
        <v>559.67000000000007</v>
      </c>
      <c r="W6" s="220">
        <f>IF(FLAG_A=1,G4+459.67,G4+273.15)</f>
        <v>559.67000000000007</v>
      </c>
    </row>
    <row r="7" spans="1:23" ht="13.95" customHeight="1" x14ac:dyDescent="0.3">
      <c r="A7" s="498" t="s">
        <v>630</v>
      </c>
      <c r="B7" s="501"/>
      <c r="C7" s="505" t="s">
        <v>17</v>
      </c>
      <c r="D7" s="517">
        <v>1.4</v>
      </c>
      <c r="E7" s="544"/>
      <c r="F7" s="544"/>
      <c r="G7" s="544"/>
      <c r="H7" s="548"/>
      <c r="I7" s="755"/>
      <c r="J7" s="758"/>
      <c r="K7" s="513" t="s">
        <v>686</v>
      </c>
      <c r="L7" s="585" t="s">
        <v>706</v>
      </c>
      <c r="M7" s="760"/>
      <c r="N7" s="760"/>
      <c r="O7" s="587"/>
      <c r="P7" s="227"/>
    </row>
    <row r="8" spans="1:23" ht="13.95" customHeight="1" x14ac:dyDescent="0.25">
      <c r="A8" s="498" t="s">
        <v>631</v>
      </c>
      <c r="B8" s="501"/>
      <c r="C8" s="505" t="s">
        <v>18</v>
      </c>
      <c r="D8" s="603">
        <v>1</v>
      </c>
      <c r="E8" s="517">
        <v>1</v>
      </c>
      <c r="F8" s="517">
        <v>1</v>
      </c>
      <c r="G8" s="517">
        <v>1</v>
      </c>
      <c r="H8" s="549"/>
      <c r="I8" s="755"/>
      <c r="J8" s="761"/>
      <c r="K8" s="513" t="s">
        <v>688</v>
      </c>
      <c r="L8" s="585" t="s">
        <v>707</v>
      </c>
      <c r="M8" s="759"/>
      <c r="N8" s="759"/>
      <c r="O8" s="587"/>
      <c r="P8" s="227"/>
      <c r="Q8" s="211" t="s">
        <v>19</v>
      </c>
    </row>
    <row r="9" spans="1:23" ht="13.95" customHeight="1" x14ac:dyDescent="0.25">
      <c r="A9" s="498" t="s">
        <v>632</v>
      </c>
      <c r="B9" s="501"/>
      <c r="C9" s="505" t="s">
        <v>20</v>
      </c>
      <c r="D9" s="517">
        <v>0.64</v>
      </c>
      <c r="E9" s="518">
        <v>0.6230720162472555</v>
      </c>
      <c r="F9" s="518">
        <v>0.55446261795208407</v>
      </c>
      <c r="G9" s="518">
        <v>0.44972310708119489</v>
      </c>
      <c r="H9" s="550"/>
      <c r="I9" s="755"/>
      <c r="J9" s="762">
        <v>4</v>
      </c>
      <c r="K9" s="513" t="s">
        <v>693</v>
      </c>
      <c r="L9" s="585" t="s">
        <v>708</v>
      </c>
      <c r="M9" s="587"/>
      <c r="N9" s="587"/>
      <c r="O9" s="587"/>
      <c r="P9" s="227"/>
      <c r="Q9" s="211" t="s">
        <v>21</v>
      </c>
      <c r="R9" s="209">
        <v>12</v>
      </c>
      <c r="S9" s="211" t="s">
        <v>22</v>
      </c>
      <c r="T9" s="220">
        <f>1-(x/(3*F_GAMMA*x_T))</f>
        <v>0.82638888888888884</v>
      </c>
      <c r="U9" s="220">
        <f>1-(U4/(3*F_GAMMA*E9))</f>
        <v>0.82730776504794623</v>
      </c>
      <c r="V9" s="220">
        <f>1-(V4/(3*F_GAMMA*F9))</f>
        <v>0.82977264069389489</v>
      </c>
      <c r="W9" s="220">
        <f>1-(W4/(3*F_GAMMA*G9))</f>
        <v>0.81470079695440689</v>
      </c>
    </row>
    <row r="10" spans="1:23" ht="13.95" customHeight="1" x14ac:dyDescent="0.25">
      <c r="A10" s="742" t="s">
        <v>633</v>
      </c>
      <c r="B10" s="743"/>
      <c r="C10" s="744" t="s">
        <v>308</v>
      </c>
      <c r="D10" s="747">
        <f>'xT Fd AEta Stp'!C43</f>
        <v>0.9246402897167707</v>
      </c>
      <c r="E10" s="747">
        <f>'xT Fd AEta Stp'!D43</f>
        <v>0.89310964691555828</v>
      </c>
      <c r="F10" s="747">
        <f>'xT Fd AEta Stp'!E43</f>
        <v>0.83223010327615121</v>
      </c>
      <c r="G10" s="747">
        <f>'xT Fd AEta Stp'!F43</f>
        <v>0.77713724438529097</v>
      </c>
      <c r="H10" s="604"/>
      <c r="I10" s="755"/>
      <c r="J10" s="761" t="s">
        <v>644</v>
      </c>
      <c r="K10" s="513" t="s">
        <v>695</v>
      </c>
      <c r="L10" s="585" t="s">
        <v>709</v>
      </c>
      <c r="M10" s="587"/>
      <c r="N10" s="587"/>
      <c r="O10" s="587"/>
      <c r="P10" s="227"/>
      <c r="Q10" s="211" t="s">
        <v>23</v>
      </c>
      <c r="R10" s="221">
        <v>7</v>
      </c>
      <c r="S10" s="211" t="s">
        <v>24</v>
      </c>
      <c r="T10" s="220">
        <f>(Q/(N_9*P_1*Y))*SQRT(M*T_abs*Z/x)</f>
        <v>12.907718716606526</v>
      </c>
      <c r="U10" s="220">
        <f>(E2/(N_9*E3*U9))*SQRT(M*U6*E8/U4)</f>
        <v>39.11531179553122</v>
      </c>
      <c r="V10" s="220">
        <f>(F2/(N_9*F3*V9))*SQRT(M*V6*F8/V4)</f>
        <v>87.027395313007901</v>
      </c>
      <c r="W10" s="220">
        <f>(G2/(N_9*G3*W9))*SQRT(M*W6*G8/W4)</f>
        <v>126.18439804672113</v>
      </c>
    </row>
    <row r="11" spans="1:23" ht="13.95" customHeight="1" x14ac:dyDescent="0.25">
      <c r="A11" s="742" t="s">
        <v>634</v>
      </c>
      <c r="B11" s="743"/>
      <c r="C11" s="744" t="s">
        <v>305</v>
      </c>
      <c r="D11" s="747">
        <f ca="1">'xT Fd AEta Stp'!C71</f>
        <v>0.77394569140145397</v>
      </c>
      <c r="E11" s="747">
        <f ca="1">'xT Fd AEta Stp'!D71</f>
        <v>0.8482425566769346</v>
      </c>
      <c r="F11" s="747">
        <f ca="1">'xT Fd AEta Stp'!E71</f>
        <v>0.92140888005986676</v>
      </c>
      <c r="G11" s="747">
        <f ca="1">'xT Fd AEta Stp'!F71</f>
        <v>0.95596761766213412</v>
      </c>
      <c r="H11" s="605"/>
      <c r="I11" s="755"/>
      <c r="J11" s="761" t="s">
        <v>644</v>
      </c>
      <c r="K11" s="513" t="s">
        <v>698</v>
      </c>
      <c r="L11" s="585" t="s">
        <v>710</v>
      </c>
      <c r="M11" s="587"/>
      <c r="N11" s="587"/>
      <c r="O11" s="587"/>
      <c r="P11" s="227"/>
      <c r="Q11" s="211" t="s">
        <v>25</v>
      </c>
      <c r="R11" s="221">
        <v>7</v>
      </c>
      <c r="S11" s="211" t="s">
        <v>26</v>
      </c>
      <c r="T11" s="220">
        <f>(Q/(0.667*N_9*P_1))*SQRT(M*T_abs*Z/(F_GAMMA*x_T))</f>
        <v>11.541373977114999</v>
      </c>
      <c r="U11" s="220">
        <f>(E2/(0.667*N_9*E3))*SQRT(M*U6*E8/(F_GAMMA*E9))</f>
        <v>34.920873263343815</v>
      </c>
      <c r="V11" s="220">
        <f>(F2/(0.667*N_9*F3))*SQRT(M*V6*F8/(F_GAMMA*F9))</f>
        <v>77.368570223340512</v>
      </c>
      <c r="W11" s="220">
        <f>(G2/(0.667*N_9*G3))*SQRT(M*W6*G8/(F_GAMMA*G9))</f>
        <v>114.91464258006809</v>
      </c>
    </row>
    <row r="12" spans="1:23" ht="13.95" customHeight="1" x14ac:dyDescent="0.35">
      <c r="A12" s="745" t="s">
        <v>762</v>
      </c>
      <c r="B12" s="746"/>
      <c r="C12" s="746" t="s">
        <v>302</v>
      </c>
      <c r="D12" s="748">
        <f>'xT Fd AEta Stp'!C85</f>
        <v>-3.6</v>
      </c>
      <c r="E12" s="544"/>
      <c r="F12" s="544"/>
      <c r="G12" s="544"/>
      <c r="H12" s="548"/>
      <c r="I12" s="755"/>
      <c r="J12" s="761" t="s">
        <v>644</v>
      </c>
      <c r="K12" s="513" t="s">
        <v>699</v>
      </c>
      <c r="L12" s="585" t="s">
        <v>711</v>
      </c>
      <c r="M12" s="759"/>
      <c r="N12" s="587"/>
      <c r="O12" s="587"/>
      <c r="P12" s="763"/>
      <c r="Q12" s="211" t="s">
        <v>195</v>
      </c>
      <c r="R12" s="221">
        <v>10</v>
      </c>
      <c r="S12" s="211" t="s">
        <v>28</v>
      </c>
      <c r="T12" s="220">
        <f>F_GAMMA*x_T</f>
        <v>0.64</v>
      </c>
      <c r="U12" s="220">
        <f>F_GAMMA*E9</f>
        <v>0.6230720162472555</v>
      </c>
      <c r="V12" s="220">
        <f>F_GAMMA*F9</f>
        <v>0.55446261795208407</v>
      </c>
      <c r="W12" s="220">
        <f>F_GAMMA*G9</f>
        <v>0.44972310708119489</v>
      </c>
    </row>
    <row r="13" spans="1:23" ht="13.95" customHeight="1" x14ac:dyDescent="0.25">
      <c r="A13" s="745" t="s">
        <v>635</v>
      </c>
      <c r="B13" s="746"/>
      <c r="C13" s="746" t="s">
        <v>297</v>
      </c>
      <c r="D13" s="749">
        <f>'xT Fd AEta Stp'!D85</f>
        <v>0.3</v>
      </c>
      <c r="E13" s="544"/>
      <c r="F13" s="544"/>
      <c r="G13" s="544"/>
      <c r="H13" s="548"/>
      <c r="I13" s="755"/>
      <c r="J13" s="761" t="s">
        <v>644</v>
      </c>
      <c r="K13" s="764"/>
      <c r="L13" s="764"/>
      <c r="M13" s="759"/>
      <c r="N13" s="587"/>
      <c r="O13" s="587"/>
      <c r="P13" s="763"/>
      <c r="Q13" s="211" t="s">
        <v>30</v>
      </c>
      <c r="R13" s="221"/>
      <c r="S13" s="211" t="s">
        <v>31</v>
      </c>
      <c r="T13" s="220">
        <f>IF(x&lt;CH_x,C_NonCh,C_Ch)</f>
        <v>12.907718716606526</v>
      </c>
      <c r="U13" s="220">
        <f>IF(U4&lt;U12,U10,U11)</f>
        <v>39.11531179553122</v>
      </c>
      <c r="V13" s="220">
        <f>IF(V4&lt;V12,V10,V11)</f>
        <v>87.027395313007901</v>
      </c>
      <c r="W13" s="220">
        <f>IF(W4&lt;W12,W10,W11)</f>
        <v>126.18439804672113</v>
      </c>
    </row>
    <row r="14" spans="1:23" ht="13.95" customHeight="1" x14ac:dyDescent="0.25">
      <c r="A14" s="498" t="s">
        <v>636</v>
      </c>
      <c r="B14" s="501" t="str">
        <f>IF(B28&lt;1,"Undefined",IF(B28=1,"inch",IF(B28&lt;=3,"mm",IF(B28&gt;3,"Undefined"))))</f>
        <v>inch</v>
      </c>
      <c r="C14" s="505" t="s">
        <v>27</v>
      </c>
      <c r="D14" s="517">
        <v>6</v>
      </c>
      <c r="E14" s="544"/>
      <c r="F14" s="544"/>
      <c r="G14" s="544"/>
      <c r="H14" s="548"/>
      <c r="I14" s="755"/>
      <c r="J14" s="761"/>
      <c r="K14" s="764"/>
      <c r="L14" s="764"/>
      <c r="M14" s="759"/>
      <c r="N14" s="587"/>
      <c r="O14" s="587"/>
      <c r="P14" s="765"/>
      <c r="Q14" s="211" t="s">
        <v>33</v>
      </c>
      <c r="R14" s="221"/>
    </row>
    <row r="15" spans="1:23" ht="13.95" customHeight="1" x14ac:dyDescent="0.25">
      <c r="A15" s="498" t="s">
        <v>637</v>
      </c>
      <c r="B15" s="501" t="str">
        <f>IF(B28&lt;1,"Undefined",IF(B28=1,"inch",IF(B28&lt;=3,"mm",IF(B28&gt;3,"Undefined"))))</f>
        <v>inch</v>
      </c>
      <c r="C15" s="505" t="s">
        <v>29</v>
      </c>
      <c r="D15" s="517">
        <v>6</v>
      </c>
      <c r="E15" s="544"/>
      <c r="F15" s="544"/>
      <c r="G15" s="544"/>
      <c r="H15" s="548"/>
      <c r="I15" s="766"/>
      <c r="J15" s="767"/>
      <c r="K15" s="587"/>
      <c r="L15" s="764"/>
      <c r="M15" s="587"/>
      <c r="N15" s="587"/>
      <c r="O15" s="587"/>
      <c r="P15" s="768"/>
      <c r="R15" s="221"/>
    </row>
    <row r="16" spans="1:23" ht="13.95" customHeight="1" x14ac:dyDescent="0.3">
      <c r="A16" s="498" t="s">
        <v>638</v>
      </c>
      <c r="B16" s="503" t="str">
        <f>IF(B28&lt;1,"Undefined",IF(B28=1,"inch",IF(B28&lt;=3,"mm",IF(B28&gt;3,"Undefined"))))</f>
        <v>inch</v>
      </c>
      <c r="C16" s="505" t="s">
        <v>32</v>
      </c>
      <c r="D16" s="517">
        <v>3</v>
      </c>
      <c r="E16" s="544"/>
      <c r="F16" s="544"/>
      <c r="G16" s="544"/>
      <c r="H16" s="548"/>
      <c r="I16" s="755"/>
      <c r="J16" s="761">
        <v>5</v>
      </c>
      <c r="K16" s="587"/>
      <c r="L16" s="587"/>
      <c r="M16" s="227"/>
      <c r="N16" s="587"/>
      <c r="O16" s="587"/>
      <c r="P16" s="585"/>
      <c r="R16" s="219"/>
    </row>
    <row r="17" spans="1:23" ht="13.95" customHeight="1" x14ac:dyDescent="0.3">
      <c r="A17" s="498" t="s">
        <v>725</v>
      </c>
      <c r="B17" s="210"/>
      <c r="C17" s="555" t="s">
        <v>646</v>
      </c>
      <c r="D17" s="554" t="s">
        <v>679</v>
      </c>
      <c r="E17" s="544"/>
      <c r="F17" s="544"/>
      <c r="G17" s="544"/>
      <c r="H17" s="548"/>
      <c r="I17" s="755"/>
      <c r="J17" s="761">
        <v>6</v>
      </c>
      <c r="K17" s="587"/>
      <c r="L17" s="587"/>
      <c r="M17" s="227"/>
      <c r="N17" s="587"/>
      <c r="O17" s="587"/>
      <c r="P17" s="585"/>
      <c r="R17" s="219"/>
    </row>
    <row r="18" spans="1:23" ht="13.95" customHeight="1" x14ac:dyDescent="0.25">
      <c r="A18" s="591" t="s">
        <v>639</v>
      </c>
      <c r="B18" s="504" t="str">
        <f>IF(B28&lt;1,"Undefined",IF(B28=1,"inch",IF(B28&lt;=3,"mm",IF(B28&gt;3,"Undefined"))))</f>
        <v>inch</v>
      </c>
      <c r="C18" s="508" t="s">
        <v>286</v>
      </c>
      <c r="D18" s="530">
        <v>0.28000000000000003</v>
      </c>
      <c r="E18" s="544"/>
      <c r="F18" s="544"/>
      <c r="G18" s="544"/>
      <c r="H18" s="548"/>
      <c r="I18" s="755"/>
      <c r="J18" s="761">
        <v>1</v>
      </c>
      <c r="K18" s="587"/>
      <c r="L18" s="587"/>
      <c r="M18" s="227"/>
      <c r="N18" s="587"/>
      <c r="O18" s="587"/>
      <c r="P18" s="769"/>
      <c r="Q18" s="211" t="s">
        <v>39</v>
      </c>
      <c r="R18" s="209">
        <v>18</v>
      </c>
      <c r="S18" s="211" t="s">
        <v>40</v>
      </c>
      <c r="T18" s="220">
        <f>0.5*((1-(d/D_1)^2))^2</f>
        <v>0.28125</v>
      </c>
      <c r="U18" s="222" t="s">
        <v>14</v>
      </c>
      <c r="V18" s="222" t="s">
        <v>14</v>
      </c>
      <c r="W18" s="222" t="s">
        <v>14</v>
      </c>
    </row>
    <row r="19" spans="1:23" ht="13.95" customHeight="1" x14ac:dyDescent="0.25">
      <c r="A19" s="592" t="s">
        <v>727</v>
      </c>
      <c r="B19" s="502"/>
      <c r="C19" s="502" t="s">
        <v>278</v>
      </c>
      <c r="D19" s="517">
        <v>0.75</v>
      </c>
      <c r="E19" s="544"/>
      <c r="F19" s="544"/>
      <c r="G19" s="544"/>
      <c r="H19" s="548"/>
      <c r="I19" s="755"/>
      <c r="J19" s="761" t="s">
        <v>584</v>
      </c>
      <c r="K19" s="227"/>
      <c r="L19" s="227"/>
      <c r="M19" s="227"/>
      <c r="N19" s="587"/>
      <c r="O19" s="587"/>
      <c r="P19" s="769"/>
      <c r="R19" s="209">
        <v>17</v>
      </c>
      <c r="S19" s="211" t="s">
        <v>41</v>
      </c>
      <c r="T19" s="220">
        <f>1-(d/D_1)^4</f>
        <v>0.9375</v>
      </c>
      <c r="U19" s="222" t="s">
        <v>14</v>
      </c>
      <c r="V19" s="222" t="s">
        <v>14</v>
      </c>
      <c r="W19" s="222" t="s">
        <v>14</v>
      </c>
    </row>
    <row r="20" spans="1:23" ht="13.95" customHeight="1" x14ac:dyDescent="0.25">
      <c r="A20" s="728" t="s">
        <v>728</v>
      </c>
      <c r="B20" s="729" t="str">
        <f>IF(B27=1,"psiA",IF(B27=2,"barA",IF(B27=3,"kPaA",IF(B27=4,"barA",IF(B27=5,"kPaA","Undefined")))))</f>
        <v>psiA</v>
      </c>
      <c r="C20" s="729" t="s">
        <v>272</v>
      </c>
      <c r="D20" s="730">
        <v>14.696</v>
      </c>
      <c r="E20" s="731"/>
      <c r="F20" s="731"/>
      <c r="G20" s="731"/>
      <c r="H20" s="732"/>
      <c r="I20" s="388"/>
      <c r="J20" s="770">
        <v>1</v>
      </c>
      <c r="K20" s="771"/>
      <c r="L20" s="227"/>
      <c r="M20" s="227"/>
      <c r="N20" s="587"/>
      <c r="O20" s="587"/>
      <c r="P20" s="227"/>
      <c r="R20" s="209">
        <v>19</v>
      </c>
      <c r="S20" s="211" t="s">
        <v>42</v>
      </c>
      <c r="T20" s="220">
        <f>1*((1-(d/D_2)^2))^2</f>
        <v>0.5625</v>
      </c>
      <c r="U20" s="222" t="s">
        <v>14</v>
      </c>
      <c r="V20" s="222" t="s">
        <v>14</v>
      </c>
      <c r="W20" s="222" t="s">
        <v>14</v>
      </c>
    </row>
    <row r="21" spans="1:23" ht="13.95" customHeight="1" x14ac:dyDescent="0.25">
      <c r="A21" s="499" t="s">
        <v>34</v>
      </c>
      <c r="B21" s="506" t="str">
        <f>IF(B27=1,"Cv",IF(B27=2,"Cv",IF(B27=3,"Cv",IF(B27=4,"Kv",IF(B27=5,"Kv","Undefined")))))</f>
        <v>Cv</v>
      </c>
      <c r="C21" s="509" t="s">
        <v>72</v>
      </c>
      <c r="D21" s="510">
        <f>IF(DATA1=0,"",T564)</f>
        <v>12.91938248122084</v>
      </c>
      <c r="E21" s="510">
        <f>IF(DATA2=0,"",U564)</f>
        <v>39.440483902801446</v>
      </c>
      <c r="F21" s="510">
        <f>IF(DATA3=0,"",V564)</f>
        <v>90.647576683611092</v>
      </c>
      <c r="G21" s="510">
        <f>IF(DATA4=0,"",W564)</f>
        <v>136.9873645357365</v>
      </c>
      <c r="H21" s="551"/>
      <c r="I21" s="772"/>
      <c r="J21" s="773" t="s">
        <v>624</v>
      </c>
      <c r="K21" s="774"/>
      <c r="L21" s="774"/>
      <c r="M21" s="774"/>
      <c r="N21" s="587"/>
      <c r="O21" s="587"/>
      <c r="P21" s="774"/>
      <c r="R21" s="209">
        <v>17</v>
      </c>
      <c r="S21" s="211" t="s">
        <v>43</v>
      </c>
      <c r="T21" s="220">
        <f>1-(d/D_2)^4</f>
        <v>0.9375</v>
      </c>
      <c r="U21" s="222" t="s">
        <v>14</v>
      </c>
      <c r="V21" s="222" t="s">
        <v>14</v>
      </c>
      <c r="W21" s="222" t="s">
        <v>14</v>
      </c>
    </row>
    <row r="22" spans="1:23" ht="13.95" customHeight="1" x14ac:dyDescent="0.25">
      <c r="A22" s="497" t="s">
        <v>73</v>
      </c>
      <c r="B22" s="500" t="str">
        <f>IF(B27&lt;1,"Undefined",IF(B27=1,"scfh",IF(B27&lt;=5,"m3/h",IF(B27&gt;5,"Undefined"))))</f>
        <v>scfh</v>
      </c>
      <c r="C22" s="217"/>
      <c r="D22" s="519">
        <f>IF(DATA1=0,"",Calc_Flow_From_Final__Calc_C)</f>
        <v>31863.000000000004</v>
      </c>
      <c r="E22" s="519">
        <f>IF(DATA2=0,"",U574)</f>
        <v>93645.000000000029</v>
      </c>
      <c r="F22" s="519">
        <f>IF(DATA3=0,"",V574)</f>
        <v>184894</v>
      </c>
      <c r="G22" s="519">
        <f>IF(DATA4=0,"",W574)</f>
        <v>236393.00000000003</v>
      </c>
      <c r="H22" s="552"/>
      <c r="I22" s="772"/>
      <c r="J22" s="775" t="s">
        <v>677</v>
      </c>
      <c r="K22" s="774"/>
      <c r="L22" s="774"/>
      <c r="M22" s="774"/>
      <c r="N22" s="774"/>
      <c r="O22" s="774"/>
      <c r="P22" s="774"/>
      <c r="Q22" s="211" t="s">
        <v>44</v>
      </c>
      <c r="R22" s="209">
        <v>16</v>
      </c>
      <c r="S22" s="211" t="s">
        <v>45</v>
      </c>
      <c r="T22" s="220">
        <f>ZETA_1+ZETA_2+ZETA_B1-ZETA_B2</f>
        <v>0.84375</v>
      </c>
      <c r="U22" s="222" t="s">
        <v>14</v>
      </c>
      <c r="V22" s="222" t="s">
        <v>14</v>
      </c>
      <c r="W22" s="222" t="s">
        <v>14</v>
      </c>
    </row>
    <row r="23" spans="1:23" ht="13.95" customHeight="1" x14ac:dyDescent="0.25">
      <c r="A23" s="498" t="s">
        <v>37</v>
      </c>
      <c r="B23" s="501" t="s">
        <v>38</v>
      </c>
      <c r="C23" s="210"/>
      <c r="D23" s="594">
        <f>IF(DATA1=0,"",M_o..K)</f>
        <v>4.110030949072134E-2</v>
      </c>
      <c r="E23" s="520">
        <f>IF(DATA2=0,"",'SPL Calcs'!L30)</f>
        <v>0.12079334909640023</v>
      </c>
      <c r="F23" s="520">
        <f>IF(DATA3=0,"",'SPL Calcs'!M30)</f>
        <v>0.23849608081402968</v>
      </c>
      <c r="G23" s="520">
        <f>IF(DATA4=0,"",'SPL Calcs'!N30)</f>
        <v>0.30492500585130361</v>
      </c>
      <c r="H23" s="553"/>
      <c r="I23" s="755"/>
      <c r="J23" s="776" t="s">
        <v>676</v>
      </c>
      <c r="K23" s="775"/>
      <c r="L23" s="775"/>
      <c r="M23" s="775"/>
      <c r="N23" s="775"/>
      <c r="O23" s="775"/>
      <c r="P23" s="227"/>
      <c r="Q23" s="211" t="s">
        <v>47</v>
      </c>
      <c r="S23" s="211" t="s">
        <v>48</v>
      </c>
      <c r="T23" s="220">
        <f>ZETA_1+ZETA_B1</f>
        <v>1.21875</v>
      </c>
      <c r="U23" s="222" t="s">
        <v>14</v>
      </c>
      <c r="V23" s="222" t="s">
        <v>14</v>
      </c>
      <c r="W23" s="222" t="s">
        <v>14</v>
      </c>
    </row>
    <row r="24" spans="1:23" ht="13.95" customHeight="1" x14ac:dyDescent="0.25">
      <c r="A24" s="498" t="s">
        <v>35</v>
      </c>
      <c r="B24" s="501" t="s">
        <v>36</v>
      </c>
      <c r="C24" s="210"/>
      <c r="D24" s="531">
        <f ca="1">IFERROR(IF(OR(N_DAT1=0,DATA1=0),"",L_pAe_1m..K),"")</f>
        <v>78.174846529155587</v>
      </c>
      <c r="E24" s="521">
        <f ca="1">IFERROR(IF(OR(N_DAT2=0,DATA2=0),"",'SPL Calcs'!L344),"")</f>
        <v>84.616006493624752</v>
      </c>
      <c r="F24" s="521">
        <f ca="1">IFERROR(IF(OR(N_DAT3=0,DATA3=0),"",'SPL Calcs'!M344),"")</f>
        <v>87.3884517964417</v>
      </c>
      <c r="G24" s="521">
        <f ca="1">IFERROR(IF(OR(N_DAT4=0,DATA4=0),"",'SPL Calcs'!N344),"")</f>
        <v>87.679920433897479</v>
      </c>
      <c r="H24" s="545"/>
      <c r="I24" s="755"/>
      <c r="J24" s="775" t="s">
        <v>761</v>
      </c>
      <c r="K24" s="775"/>
      <c r="L24" s="775"/>
      <c r="M24" s="775"/>
      <c r="N24" s="775"/>
      <c r="O24" s="775"/>
      <c r="P24" s="227"/>
    </row>
    <row r="25" spans="1:23" ht="13.95" customHeight="1" thickBot="1" x14ac:dyDescent="0.3">
      <c r="A25" s="498" t="s">
        <v>579</v>
      </c>
      <c r="B25" s="505" t="s">
        <v>580</v>
      </c>
      <c r="C25" s="210"/>
      <c r="D25" s="531">
        <f ca="1">IFERROR(IF(OR(DATA1=0,Cv_Table=0),"",TRAVEL_1),"")</f>
        <v>21.15735305370249</v>
      </c>
      <c r="E25" s="521">
        <f ca="1">IFERROR(IF(OR(DATA2=0,Cv_Table=0),"",TRAVEL_2),"")</f>
        <v>40.018742547593263</v>
      </c>
      <c r="F25" s="521">
        <f ca="1">IFERROR(IF(OR(DATA3=0,Cv_Table=0),"",TRAVEL_3),"")</f>
        <v>60.746212403539964</v>
      </c>
      <c r="G25" s="521">
        <f ca="1">IFERROR(IF(OR(DATA4=0,Cv_Table=0),"",TRAVEL_4),"")</f>
        <v>73.633491939940114</v>
      </c>
      <c r="H25" s="545"/>
      <c r="I25" s="587"/>
      <c r="J25" s="777" t="s">
        <v>712</v>
      </c>
      <c r="K25" s="774"/>
      <c r="L25" s="774"/>
      <c r="M25" s="774"/>
      <c r="N25" s="774"/>
      <c r="O25" s="774"/>
      <c r="P25" s="227"/>
      <c r="Q25" s="211" t="s">
        <v>49</v>
      </c>
      <c r="S25" s="211" t="s">
        <v>148</v>
      </c>
    </row>
    <row r="26" spans="1:23" ht="13.95" customHeight="1" thickBot="1" x14ac:dyDescent="0.35">
      <c r="A26" s="593"/>
      <c r="B26" s="223"/>
      <c r="C26" s="223"/>
      <c r="D26" s="522"/>
      <c r="E26" s="223"/>
      <c r="F26" s="543" t="s">
        <v>65</v>
      </c>
      <c r="G26" s="602" t="s">
        <v>726</v>
      </c>
      <c r="H26" s="597"/>
      <c r="I26" s="587"/>
      <c r="J26" s="753" t="s">
        <v>713</v>
      </c>
      <c r="K26" s="227"/>
      <c r="L26" s="227"/>
      <c r="M26" s="227"/>
      <c r="N26" s="227"/>
      <c r="O26" s="227"/>
      <c r="P26" s="227"/>
      <c r="Q26" s="211" t="s">
        <v>50</v>
      </c>
      <c r="R26" s="219"/>
      <c r="S26" s="211" t="s">
        <v>51</v>
      </c>
      <c r="T26" s="220">
        <f>Select_C_Non_or_C_Ch</f>
        <v>12.907718716606526</v>
      </c>
      <c r="U26" s="220">
        <f>U13</f>
        <v>39.11531179553122</v>
      </c>
      <c r="V26" s="220">
        <f>V13</f>
        <v>87.027395313007901</v>
      </c>
      <c r="W26" s="220">
        <f>W13</f>
        <v>126.18439804672113</v>
      </c>
    </row>
    <row r="27" spans="1:23" ht="13.95" customHeight="1" thickTop="1" x14ac:dyDescent="0.35">
      <c r="A27" s="377" t="s">
        <v>193</v>
      </c>
      <c r="B27" s="378">
        <v>1</v>
      </c>
      <c r="C27" s="379" t="s">
        <v>223</v>
      </c>
      <c r="D27" s="524"/>
      <c r="E27" s="380"/>
      <c r="F27" s="380"/>
      <c r="G27" s="598"/>
      <c r="H27" s="599"/>
      <c r="I27" s="778"/>
      <c r="J27" s="779" t="s">
        <v>735</v>
      </c>
      <c r="K27" s="778"/>
      <c r="L27" s="227"/>
      <c r="M27" s="227"/>
      <c r="N27" s="227"/>
      <c r="O27" s="227"/>
      <c r="P27" s="227"/>
      <c r="Q27" s="211" t="s">
        <v>52</v>
      </c>
      <c r="R27" s="209">
        <v>15</v>
      </c>
      <c r="S27" s="211" t="s">
        <v>53</v>
      </c>
      <c r="T27" s="220">
        <f>1/(SQRT(1+(SIGMA_ZETA/N_2)*(C_i/d^2)^2))</f>
        <v>0.99902641660792213</v>
      </c>
      <c r="U27" s="220">
        <f>1/(SQRT(1+(SIGMA_ZETA/N_2)*(U26/d^2)^2))</f>
        <v>0.99116478991273516</v>
      </c>
      <c r="V27" s="220">
        <f>1/(SQRT(1+(SIGMA_ZETA/N_2)*(V26/d^2)^2))</f>
        <v>0.95842250265598183</v>
      </c>
      <c r="W27" s="220">
        <f>1/(SQRT(1+(SIGMA_ZETA/N_2)*(W26/d^2)^2))</f>
        <v>0.91810416626122882</v>
      </c>
    </row>
    <row r="28" spans="1:23" ht="13.95" customHeight="1" x14ac:dyDescent="0.25">
      <c r="A28" s="381" t="s">
        <v>537</v>
      </c>
      <c r="B28" s="750">
        <v>1</v>
      </c>
      <c r="C28" s="382" t="s">
        <v>526</v>
      </c>
      <c r="D28" s="525"/>
      <c r="E28" s="383"/>
      <c r="F28" s="383"/>
      <c r="G28" s="383"/>
      <c r="H28" s="541"/>
      <c r="I28" s="778"/>
      <c r="J28" s="778"/>
      <c r="K28" s="778"/>
      <c r="L28" s="227"/>
      <c r="M28" s="227"/>
      <c r="N28" s="227"/>
      <c r="O28" s="227"/>
      <c r="P28" s="227"/>
      <c r="Q28" s="211" t="s">
        <v>54</v>
      </c>
      <c r="R28" s="221">
        <v>22</v>
      </c>
      <c r="S28" s="211" t="s">
        <v>55</v>
      </c>
      <c r="T28" s="220">
        <f>(x_T/F_P^2)/(1+(x_T*SIGMA_ZETA_1/N_5)*(C_i/d^2)^2)</f>
        <v>0.64022084833741</v>
      </c>
      <c r="U28" s="220">
        <f>(E9/U27^2)/(1+(E9*SIGMA_ZETA_1/N_5)*(U26/d^2)^2)</f>
        <v>0.62526104921610293</v>
      </c>
      <c r="V28" s="220">
        <f>(F9/V27^2)/(1+(F9*SIGMA_ZETA_1/N_5)*(V26/d^2)^2)</f>
        <v>0.56773992346005264</v>
      </c>
      <c r="W28" s="220">
        <f>(G9/W27^2)/(1+(G9*SIGMA_ZETA_1/N_5)*(W26/d^2)^2)</f>
        <v>0.48164001014555963</v>
      </c>
    </row>
    <row r="29" spans="1:23" ht="13.95" customHeight="1" thickBot="1" x14ac:dyDescent="0.3">
      <c r="A29" s="384" t="s">
        <v>194</v>
      </c>
      <c r="B29" s="385">
        <v>1</v>
      </c>
      <c r="C29" s="386" t="s">
        <v>224</v>
      </c>
      <c r="D29" s="526"/>
      <c r="E29" s="387"/>
      <c r="F29" s="387"/>
      <c r="G29" s="387"/>
      <c r="H29" s="542"/>
      <c r="I29" s="778"/>
      <c r="J29" s="778"/>
      <c r="K29" s="778"/>
      <c r="L29" s="227"/>
      <c r="M29" s="227"/>
      <c r="N29" s="227"/>
      <c r="O29" s="227"/>
      <c r="P29" s="227"/>
      <c r="Q29" s="211" t="s">
        <v>21</v>
      </c>
      <c r="R29" s="209">
        <v>12</v>
      </c>
      <c r="S29" s="211" t="s">
        <v>56</v>
      </c>
      <c r="T29" s="220">
        <f>1-(x/(3*F_GAMMA*x_TP))</f>
        <v>0.82644877716860421</v>
      </c>
      <c r="U29" s="220">
        <f>1-(U4/(3*F_GAMMA*U28))</f>
        <v>0.82791235891517645</v>
      </c>
      <c r="V29" s="220">
        <f>1-(V4/(3*F_GAMMA*V28))</f>
        <v>0.83375361959273209</v>
      </c>
      <c r="W29" s="220">
        <f>1-(W4/(3*F_GAMMA*W28))</f>
        <v>0.82698004406206072</v>
      </c>
    </row>
    <row r="30" spans="1:23" ht="13.8" thickTop="1" x14ac:dyDescent="0.25">
      <c r="A30" s="383"/>
      <c r="B30" s="383"/>
      <c r="C30" s="383"/>
      <c r="D30" s="525"/>
      <c r="E30" s="383"/>
      <c r="F30" s="383"/>
      <c r="G30" s="383"/>
      <c r="H30" s="383"/>
      <c r="I30" s="778"/>
      <c r="J30" s="778"/>
      <c r="K30" s="778"/>
      <c r="L30" s="227"/>
      <c r="M30" s="227"/>
      <c r="N30" s="227"/>
      <c r="O30" s="227"/>
      <c r="P30" s="227"/>
      <c r="Q30" s="211" t="s">
        <v>57</v>
      </c>
      <c r="R30" s="221">
        <v>7</v>
      </c>
      <c r="S30" s="211" t="s">
        <v>58</v>
      </c>
      <c r="T30" s="220">
        <f>(Q/(N_9*F_P*P_1*Y_W_Reducers))*SQRT(M*T_abs*Z/x)</f>
        <v>12.919361439672084</v>
      </c>
      <c r="U30" s="220">
        <f>(E2/(N_9*U27*E3*U29))*SQRT(M*U6*E8/U4)</f>
        <v>39.435165295882221</v>
      </c>
      <c r="V30" s="220">
        <f>(F2/(N_9*V27*F3*V29))*SQRT(M*V6*F8/V4)</f>
        <v>90.369184338208029</v>
      </c>
      <c r="W30" s="220">
        <f>(G2/(N_9*W27*G3*W29))*SQRT(M*W6*G8/W4)</f>
        <v>135.39942298626028</v>
      </c>
    </row>
    <row r="31" spans="1:23" ht="13.8" x14ac:dyDescent="0.25">
      <c r="A31" s="538"/>
      <c r="B31" s="537"/>
      <c r="C31" s="533"/>
      <c r="D31" s="525"/>
      <c r="E31" s="383"/>
      <c r="F31" s="383"/>
      <c r="G31" s="383"/>
      <c r="H31" s="383"/>
      <c r="I31" s="850"/>
      <c r="J31" s="851"/>
      <c r="K31" s="851"/>
      <c r="L31" s="780"/>
      <c r="M31" s="587"/>
      <c r="N31" s="587"/>
      <c r="O31" s="227"/>
      <c r="P31" s="227"/>
      <c r="Q31" s="211" t="s">
        <v>59</v>
      </c>
      <c r="R31" s="221">
        <v>7</v>
      </c>
      <c r="S31" s="211" t="s">
        <v>60</v>
      </c>
      <c r="T31" s="220">
        <f>(Q/(0.667*N_9*F_P*P_1))*SQRT(M*T_abs*Z/(CH_x_W_Reducers))</f>
        <v>11.550628669720426</v>
      </c>
      <c r="U31" s="220">
        <f>(E2/(0.667*N_9*U27*E3))*SQRT(M*U6*E8/(U32))</f>
        <v>35.170428973375344</v>
      </c>
      <c r="V31" s="220">
        <f>(F2/(0.667*N_9*V27*F3))*SQRT(M*V6*F8/(V32))</f>
        <v>79.77539943847593</v>
      </c>
      <c r="W31" s="220">
        <f>(G2/(0.667*N_9*W27*G3))*SQRT(M*W6*G8/(W32))</f>
        <v>120.94689828310449</v>
      </c>
    </row>
    <row r="32" spans="1:23" ht="15.6" x14ac:dyDescent="0.35">
      <c r="A32" s="383"/>
      <c r="B32" s="383"/>
      <c r="C32" s="383"/>
      <c r="D32" s="525"/>
      <c r="E32" s="383"/>
      <c r="F32" s="383"/>
      <c r="G32" s="383"/>
      <c r="H32" s="383"/>
      <c r="I32" s="536"/>
      <c r="J32" s="536"/>
      <c r="K32" s="781"/>
      <c r="L32" s="778"/>
      <c r="M32" s="587"/>
      <c r="N32" s="587"/>
      <c r="O32" s="227"/>
      <c r="P32" s="227"/>
      <c r="Q32" s="211" t="s">
        <v>84</v>
      </c>
      <c r="R32" s="221">
        <v>10</v>
      </c>
      <c r="S32" s="211" t="s">
        <v>62</v>
      </c>
      <c r="T32" s="220">
        <f>F_GAMMA*x_TP</f>
        <v>0.64022084833741</v>
      </c>
      <c r="U32" s="220">
        <f>F_GAMMA*U28</f>
        <v>0.62526104921610293</v>
      </c>
      <c r="V32" s="220">
        <f>F_GAMMA*V28</f>
        <v>0.56773992346005264</v>
      </c>
      <c r="W32" s="220">
        <f>F_GAMMA*W28</f>
        <v>0.48164001014555963</v>
      </c>
    </row>
    <row r="33" spans="1:23" ht="13.8" x14ac:dyDescent="0.25">
      <c r="A33" s="539"/>
      <c r="B33" s="540"/>
      <c r="C33" s="540"/>
      <c r="D33" s="525"/>
      <c r="E33" s="383"/>
      <c r="F33" s="383"/>
      <c r="G33" s="383"/>
      <c r="H33" s="383"/>
      <c r="I33" s="536"/>
      <c r="J33" s="536"/>
      <c r="K33" s="781"/>
      <c r="L33" s="227"/>
      <c r="M33" s="587"/>
      <c r="N33" s="587"/>
      <c r="O33" s="227"/>
      <c r="P33" s="227"/>
      <c r="Q33" s="211" t="s">
        <v>30</v>
      </c>
      <c r="R33" s="224"/>
      <c r="T33" s="220">
        <f>IF(x&lt;CH_x_W_Reducers,C_NonCh_W_Reducers,C_Ch_W_Reducers)</f>
        <v>12.919361439672084</v>
      </c>
      <c r="U33" s="220">
        <f>IF(U$4&lt;U32,U30,U31)</f>
        <v>39.435165295882221</v>
      </c>
      <c r="V33" s="220">
        <f>IF(V4&lt;V32,V30,V31)</f>
        <v>90.369184338208029</v>
      </c>
      <c r="W33" s="220">
        <f>IF(W4&lt;W32,W30,W31)</f>
        <v>135.39942298626028</v>
      </c>
    </row>
    <row r="34" spans="1:23" x14ac:dyDescent="0.25">
      <c r="A34" s="540"/>
      <c r="B34" s="540"/>
      <c r="C34" s="540"/>
      <c r="D34" s="525"/>
      <c r="E34" s="383"/>
      <c r="F34" s="383"/>
      <c r="G34" s="383"/>
      <c r="H34" s="383"/>
      <c r="I34" s="778"/>
      <c r="J34" s="778"/>
      <c r="K34" s="778"/>
      <c r="L34" s="227"/>
      <c r="M34" s="227"/>
      <c r="N34" s="227"/>
      <c r="O34" s="227"/>
      <c r="P34" s="227"/>
      <c r="Q34" s="211"/>
      <c r="R34" s="224"/>
      <c r="S34" s="211"/>
      <c r="T34" s="220"/>
      <c r="U34" s="220"/>
      <c r="V34" s="220"/>
      <c r="W34" s="220"/>
    </row>
    <row r="35" spans="1:23" ht="14.4" x14ac:dyDescent="0.3">
      <c r="A35" s="540"/>
      <c r="B35" s="540"/>
      <c r="C35" s="540"/>
      <c r="D35" s="525"/>
      <c r="E35" s="383"/>
      <c r="F35" s="383"/>
      <c r="G35" s="383"/>
      <c r="H35" s="383"/>
      <c r="I35" s="778"/>
      <c r="J35" s="778"/>
      <c r="K35" s="778"/>
      <c r="L35" s="227"/>
      <c r="M35" s="227"/>
      <c r="N35" s="227"/>
      <c r="O35" s="227"/>
      <c r="P35" s="227"/>
      <c r="Q35" s="211" t="s">
        <v>50</v>
      </c>
      <c r="R35" s="219"/>
      <c r="T35" s="220">
        <f>T33</f>
        <v>12.919361439672084</v>
      </c>
      <c r="U35" s="220">
        <f>U33</f>
        <v>39.435165295882221</v>
      </c>
      <c r="V35" s="220">
        <f>V33</f>
        <v>90.369184338208029</v>
      </c>
      <c r="W35" s="220">
        <f>W33</f>
        <v>135.39942298626028</v>
      </c>
    </row>
    <row r="36" spans="1:23" x14ac:dyDescent="0.25">
      <c r="A36" s="473"/>
      <c r="B36" s="473"/>
      <c r="C36" s="473"/>
      <c r="I36" s="227"/>
      <c r="J36" s="227"/>
      <c r="K36" s="227"/>
      <c r="L36" s="227"/>
      <c r="M36" s="227"/>
      <c r="N36" s="227"/>
      <c r="O36" s="227"/>
      <c r="P36" s="227"/>
      <c r="Q36" s="211" t="s">
        <v>52</v>
      </c>
      <c r="R36" s="209">
        <v>15</v>
      </c>
      <c r="T36" s="220">
        <f>1/(SQRT(1+(SIGMA_ZETA/N_2)*(T35/d^2)^2))</f>
        <v>0.99902466204715201</v>
      </c>
      <c r="U36" s="220">
        <f>1/(SQRT(1+(SIGMA_ZETA/N_2)*(U35/d^2)^2))</f>
        <v>0.99102165281327192</v>
      </c>
      <c r="V36" s="220">
        <f>1/(SQRT(1+(SIGMA_ZETA/N_2)*(V35/d^2)^2))</f>
        <v>0.95538277900017499</v>
      </c>
      <c r="W36" s="220">
        <f>1/(SQRT(1+(SIGMA_ZETA/N_2)*(W35/d^2)^2))</f>
        <v>0.90737837752313422</v>
      </c>
    </row>
    <row r="37" spans="1:23" x14ac:dyDescent="0.25">
      <c r="A37" s="238"/>
      <c r="B37" s="238"/>
      <c r="C37" s="238"/>
      <c r="D37" s="527"/>
      <c r="E37" s="211"/>
      <c r="F37" s="211"/>
      <c r="G37" s="211"/>
      <c r="H37" s="211"/>
      <c r="I37" s="211"/>
      <c r="J37" s="211"/>
      <c r="K37" s="211"/>
      <c r="L37" s="211"/>
      <c r="M37" s="211"/>
      <c r="N37" s="211"/>
      <c r="O37" s="211"/>
      <c r="P37" s="211"/>
      <c r="Q37" s="211" t="s">
        <v>54</v>
      </c>
      <c r="R37" s="221">
        <v>22</v>
      </c>
      <c r="T37" s="220">
        <f>(x_T/T36^2)/(1+(x_T*SIGMA_ZETA_1/N_5)*(T35/d^2)^2)</f>
        <v>0.64022124628653476</v>
      </c>
      <c r="U37" s="220">
        <f>(E$9/U36^2)/(1+(E$9*SIGMA_ZETA_1/N_5)*(U35/d^2)^2)</f>
        <v>0.62529647933979948</v>
      </c>
      <c r="V37" s="220">
        <f>(F$9/V36^2)/(1+(F$9*SIGMA_ZETA_1/N_5)*(V35/d^2)^2)</f>
        <v>0.56871288991168389</v>
      </c>
      <c r="W37" s="220">
        <f>(G$9/W36^2)/(1+(G$9*SIGMA_ZETA_1/N_5)*(W35/d^2)^2)</f>
        <v>0.48593863851302294</v>
      </c>
    </row>
    <row r="38" spans="1:23" x14ac:dyDescent="0.25">
      <c r="A38" s="238"/>
      <c r="B38" s="238"/>
      <c r="C38" s="238"/>
      <c r="D38" s="527"/>
      <c r="E38" s="211"/>
      <c r="F38" s="211"/>
      <c r="G38" s="211"/>
      <c r="H38" s="211"/>
      <c r="I38" s="211"/>
      <c r="J38" s="211"/>
      <c r="K38" s="211"/>
      <c r="L38" s="211"/>
      <c r="M38" s="211"/>
      <c r="N38" s="211"/>
      <c r="O38" s="211"/>
      <c r="P38" s="211"/>
      <c r="Q38" s="211" t="s">
        <v>21</v>
      </c>
      <c r="R38" s="209">
        <v>12</v>
      </c>
      <c r="S38" s="211"/>
      <c r="T38" s="220">
        <f>1-(x/(3*F_GAMMA*T37))</f>
        <v>0.82644888504468239</v>
      </c>
      <c r="U38" s="220">
        <f>1-(U$4/(3*F_GAMMA*U37))</f>
        <v>0.82792210962801704</v>
      </c>
      <c r="V38" s="220">
        <f>1-(V$4/(3*F_GAMMA*V37))</f>
        <v>0.83403803753667294</v>
      </c>
      <c r="W38" s="220">
        <f>1-(W$4/(3*F_GAMMA*W37))</f>
        <v>0.82851058399403232</v>
      </c>
    </row>
    <row r="39" spans="1:23" x14ac:dyDescent="0.25">
      <c r="D39" s="527"/>
      <c r="E39" s="211"/>
      <c r="F39" s="211"/>
      <c r="G39" s="211"/>
      <c r="H39" s="211"/>
      <c r="I39" s="211"/>
      <c r="J39" s="211"/>
      <c r="K39" s="211"/>
      <c r="L39" s="211"/>
      <c r="M39" s="211"/>
      <c r="N39" s="211"/>
      <c r="O39" s="211"/>
      <c r="P39" s="211"/>
      <c r="Q39" s="211" t="s">
        <v>57</v>
      </c>
      <c r="R39" s="221">
        <v>7</v>
      </c>
      <c r="T39" s="220">
        <f>(Q/(N_9*T36*P_1*T38))*SQRT(M*T_abs*Z/x)</f>
        <v>12.91938244324459</v>
      </c>
      <c r="U39" s="220">
        <f>(E$2/(N_9*U36*E$3*U38))*SQRT(M*U$6*E$8/U$4)</f>
        <v>39.44039656161317</v>
      </c>
      <c r="V39" s="220">
        <f>(F$2/(N_9*V36*F$3*V38))*SQRT(M*V$6*F$8/V$4)</f>
        <v>90.62579516379428</v>
      </c>
      <c r="W39" s="220">
        <f>(G$2/(N_9*W36*G$3*W38))*SQRT(M*W$6*G$8/W$4)</f>
        <v>136.74684484705841</v>
      </c>
    </row>
    <row r="40" spans="1:23" x14ac:dyDescent="0.25">
      <c r="D40" s="527"/>
      <c r="E40" s="211"/>
      <c r="F40" s="211"/>
      <c r="G40" s="211"/>
      <c r="H40" s="211"/>
      <c r="I40" s="211"/>
      <c r="J40" s="211"/>
      <c r="K40" s="211"/>
      <c r="L40" s="211"/>
      <c r="M40" s="211"/>
      <c r="N40" s="211"/>
      <c r="O40" s="211"/>
      <c r="P40" s="211"/>
      <c r="Q40" s="211" t="s">
        <v>59</v>
      </c>
      <c r="R40" s="221">
        <v>7</v>
      </c>
      <c r="T40" s="220">
        <f>(Q/(0.667*N_9*T36*P_1))*SQRT(M*T_abs*Z/(T41))</f>
        <v>11.550645365955752</v>
      </c>
      <c r="U40" s="220">
        <f>(E$2/(0.667*N_9*U36*E$3))*SQRT(M*U$6*E$8/(U41))</f>
        <v>35.174512215295977</v>
      </c>
      <c r="V40" s="220">
        <f>(F$2/(0.667*N_9*V36*F$3))*SQRT(M*V$6*F$8/(V41))</f>
        <v>79.96073217186391</v>
      </c>
      <c r="W40" s="220">
        <f>(G$2/(0.667*N_9*W36*G$3))*SQRT(M*W$6*G$8/(W41))</f>
        <v>121.8340916169428</v>
      </c>
    </row>
    <row r="41" spans="1:23" ht="15.6" x14ac:dyDescent="0.35">
      <c r="A41" s="587"/>
      <c r="B41" s="782" t="s">
        <v>566</v>
      </c>
      <c r="C41" s="587"/>
      <c r="D41" s="586"/>
      <c r="E41" s="585"/>
      <c r="F41" s="227"/>
      <c r="G41" s="227"/>
      <c r="H41" s="227"/>
      <c r="I41" s="227"/>
      <c r="J41" s="227"/>
      <c r="K41" s="227"/>
      <c r="L41" s="227"/>
      <c r="M41" s="211"/>
      <c r="N41" s="211"/>
      <c r="O41" s="211"/>
      <c r="P41" s="211"/>
      <c r="Q41" s="211" t="s">
        <v>84</v>
      </c>
      <c r="R41" s="221">
        <v>10</v>
      </c>
      <c r="T41" s="220">
        <f>F_GAMMA*T37</f>
        <v>0.64022124628653476</v>
      </c>
      <c r="U41" s="220">
        <f>F_GAMMA*U37</f>
        <v>0.62529647933979948</v>
      </c>
      <c r="V41" s="220">
        <f>F_GAMMA*V37</f>
        <v>0.56871288991168389</v>
      </c>
      <c r="W41" s="220">
        <f>F_GAMMA*W37</f>
        <v>0.48593863851302294</v>
      </c>
    </row>
    <row r="42" spans="1:23" x14ac:dyDescent="0.25">
      <c r="A42" s="227"/>
      <c r="B42" s="783" t="s">
        <v>95</v>
      </c>
      <c r="C42" s="587"/>
      <c r="D42" s="586"/>
      <c r="E42" s="587"/>
      <c r="F42" s="227"/>
      <c r="G42" s="227"/>
      <c r="H42" s="227"/>
      <c r="I42" s="227"/>
      <c r="J42" s="227"/>
      <c r="K42" s="227"/>
      <c r="L42" s="227"/>
      <c r="M42" s="211"/>
      <c r="N42" s="211"/>
      <c r="O42" s="211"/>
      <c r="P42" s="211"/>
      <c r="Q42" s="211" t="s">
        <v>30</v>
      </c>
      <c r="R42" s="224"/>
      <c r="T42" s="220">
        <f>IF(x&lt;T41,T39,T40)</f>
        <v>12.91938244324459</v>
      </c>
      <c r="U42" s="220">
        <f>IF(U$4&lt;U41,U39,U40)</f>
        <v>39.44039656161317</v>
      </c>
      <c r="V42" s="220">
        <f>IF(V$4&lt;V41,V39,V40)</f>
        <v>90.62579516379428</v>
      </c>
      <c r="W42" s="220">
        <f>IF(W$4&lt;W41,W39,W40)</f>
        <v>136.74684484705841</v>
      </c>
    </row>
    <row r="43" spans="1:23" ht="13.8" x14ac:dyDescent="0.25">
      <c r="A43" s="227"/>
      <c r="B43" s="782" t="s">
        <v>96</v>
      </c>
      <c r="C43" s="782" t="s">
        <v>97</v>
      </c>
      <c r="D43" s="784" t="s">
        <v>98</v>
      </c>
      <c r="E43" s="782" t="s">
        <v>99</v>
      </c>
      <c r="F43" s="585"/>
      <c r="G43" s="585"/>
      <c r="H43" s="585"/>
      <c r="I43" s="585"/>
      <c r="J43" s="585"/>
      <c r="K43" s="585"/>
      <c r="L43" s="585"/>
      <c r="M43" s="226"/>
    </row>
    <row r="44" spans="1:23" ht="14.4" x14ac:dyDescent="0.3">
      <c r="A44" s="785" t="s">
        <v>560</v>
      </c>
      <c r="B44" s="585">
        <f>Q*P_1*T_1*DELTA_P*M*GAMMA*Z*x_T*D_1*D_2*d</f>
        <v>24117411196569.602</v>
      </c>
      <c r="C44" s="587">
        <f>E2*E3*E4*E5*M*GAMMA*E8*E9*D_1*D_2*d</f>
        <v>64762392110508.445</v>
      </c>
      <c r="D44" s="587">
        <f>F2*F3*F4*F5*M*GAMMA*F8*F9*D_1*D_2*d</f>
        <v>89077737883887.5</v>
      </c>
      <c r="E44" s="587">
        <f>G2*G3*G4*G5*M*GAMMA*G8*G9*D_1*D_2*d</f>
        <v>74507515825434.891</v>
      </c>
      <c r="F44" s="585"/>
      <c r="G44" s="585"/>
      <c r="H44" s="585"/>
      <c r="I44" s="585"/>
      <c r="J44" s="585"/>
      <c r="K44" s="585"/>
      <c r="L44" s="585"/>
      <c r="M44" s="226"/>
      <c r="Q44" s="211" t="s">
        <v>50</v>
      </c>
      <c r="R44" s="219"/>
      <c r="T44" s="220">
        <f>T42</f>
        <v>12.91938244324459</v>
      </c>
      <c r="U44" s="220">
        <f>U42</f>
        <v>39.44039656161317</v>
      </c>
      <c r="V44" s="220">
        <f>V42</f>
        <v>90.62579516379428</v>
      </c>
      <c r="W44" s="220">
        <f>W42</f>
        <v>136.74684484705841</v>
      </c>
    </row>
    <row r="45" spans="1:23" ht="13.8" x14ac:dyDescent="0.25">
      <c r="A45" s="227"/>
      <c r="B45" s="782" t="s">
        <v>562</v>
      </c>
      <c r="C45" s="782" t="s">
        <v>563</v>
      </c>
      <c r="D45" s="784" t="s">
        <v>564</v>
      </c>
      <c r="E45" s="782" t="s">
        <v>565</v>
      </c>
      <c r="F45" s="585"/>
      <c r="G45" s="585"/>
      <c r="H45" s="585"/>
      <c r="I45" s="585"/>
      <c r="J45" s="585"/>
      <c r="K45" s="585"/>
      <c r="L45" s="585"/>
      <c r="M45" s="226"/>
      <c r="Q45" s="211" t="s">
        <v>52</v>
      </c>
      <c r="R45" s="209">
        <v>15</v>
      </c>
      <c r="T45" s="220">
        <f>1/(SQRT(1+(SIGMA_ZETA/N_2)*(T44/d^2)^2))</f>
        <v>0.9990246588804883</v>
      </c>
      <c r="U45" s="220">
        <f>1/(SQRT(1+(SIGMA_ZETA/N_2)*(U44/d^2)^2))</f>
        <v>0.99101930260745219</v>
      </c>
      <c r="V45" s="220">
        <f>1/(SQRT(1+(SIGMA_ZETA/N_2)*(V44/d^2)^2))</f>
        <v>0.95514584853047713</v>
      </c>
      <c r="W45" s="220">
        <f>1/(SQRT(1+(SIGMA_ZETA/N_2)*(W44/d^2)^2))</f>
        <v>0.9057794422027623</v>
      </c>
    </row>
    <row r="46" spans="1:23" ht="13.8" x14ac:dyDescent="0.25">
      <c r="A46" s="786" t="s">
        <v>561</v>
      </c>
      <c r="B46" s="787">
        <f ca="1">F_L*F_D*A_ETA*St_P*T_S*BETA*p_a</f>
        <v>-2.3852038054270968</v>
      </c>
      <c r="C46" s="787">
        <f ca="1">E10*E11*A_ETA*St_P*T_S*BETA*p_a</f>
        <v>-2.5250328429914846</v>
      </c>
      <c r="D46" s="586">
        <f ca="1">F10*F11*A_ETA*St_P*T_S*BETA*p_a</f>
        <v>-2.5558655716216334</v>
      </c>
      <c r="E46" s="787">
        <f ca="1">G10*G11*A_ETA*St_P*T_S*BETA*p_a</f>
        <v>-2.4761850537642216</v>
      </c>
      <c r="F46" s="585"/>
      <c r="G46" s="585"/>
      <c r="H46" s="585"/>
      <c r="I46" s="585"/>
      <c r="J46" s="585"/>
      <c r="K46" s="585"/>
      <c r="L46" s="585"/>
      <c r="M46" s="226"/>
      <c r="Q46" s="211" t="s">
        <v>54</v>
      </c>
      <c r="R46" s="221">
        <v>22</v>
      </c>
      <c r="T46" s="220">
        <f>(x_T/T45^2)/(1+(x_T*SIGMA_ZETA_1/N_5)*(T44/d^2)^2)</f>
        <v>0.64022124700476046</v>
      </c>
      <c r="U46" s="220">
        <f>(E$9/U45^2)/(1+(E$9*SIGMA_ZETA_1/N_5)*(U44/d^2)^2)</f>
        <v>0.62529706106715732</v>
      </c>
      <c r="V46" s="220">
        <f>(F$9/V45^2)/(1+(F$9*SIGMA_ZETA_1/N_5)*(V44/d^2)^2)</f>
        <v>0.56878873754470483</v>
      </c>
      <c r="W46" s="220">
        <f>(G$9/W45^2)/(1+(G$9*SIGMA_ZETA_1/N_5)*(W44/d^2)^2)</f>
        <v>0.48658165581075247</v>
      </c>
    </row>
    <row r="47" spans="1:23" ht="13.8" x14ac:dyDescent="0.25">
      <c r="A47" s="227"/>
      <c r="B47" s="587"/>
      <c r="C47" s="587"/>
      <c r="D47" s="788"/>
      <c r="E47" s="585"/>
      <c r="F47" s="585"/>
      <c r="G47" s="585"/>
      <c r="H47" s="585"/>
      <c r="I47" s="585"/>
      <c r="J47" s="585"/>
      <c r="K47" s="585"/>
      <c r="L47" s="585"/>
      <c r="M47" s="226"/>
      <c r="Q47" s="211" t="s">
        <v>21</v>
      </c>
      <c r="R47" s="209">
        <v>12</v>
      </c>
      <c r="S47" s="211"/>
      <c r="T47" s="220">
        <f>1-(x/(3*F_GAMMA*T46))</f>
        <v>0.82644888523937898</v>
      </c>
      <c r="U47" s="220">
        <f>1-(U$4/(3*F_GAMMA*U46))</f>
        <v>0.82792226971579408</v>
      </c>
      <c r="V47" s="220">
        <f>1-(V$4/(3*F_GAMMA*V46))</f>
        <v>0.83406016846366482</v>
      </c>
      <c r="W47" s="220">
        <f>1-(W$4/(3*F_GAMMA*W46))</f>
        <v>0.82873720713025734</v>
      </c>
    </row>
    <row r="48" spans="1:23" ht="13.8" x14ac:dyDescent="0.25">
      <c r="A48" s="587"/>
      <c r="B48" s="587"/>
      <c r="C48" s="587"/>
      <c r="D48" s="788"/>
      <c r="E48" s="585"/>
      <c r="F48" s="585"/>
      <c r="G48" s="585"/>
      <c r="H48" s="585"/>
      <c r="I48" s="585"/>
      <c r="J48" s="585"/>
      <c r="K48" s="585"/>
      <c r="L48" s="585"/>
      <c r="M48" s="226"/>
      <c r="Q48" s="211" t="s">
        <v>57</v>
      </c>
      <c r="R48" s="221">
        <v>7</v>
      </c>
      <c r="T48" s="220">
        <f>(Q/(N_9*T45*P_1*T47))*SQRT(M*T_abs*Z/x)</f>
        <v>12.919382481152299</v>
      </c>
      <c r="U48" s="220">
        <f>(E$2/(N_9*U45*E$3*U47))*SQRT(M*U$6*E$8/U$4)</f>
        <v>39.440482468406856</v>
      </c>
      <c r="V48" s="220">
        <f>(F$2/(N_9*V45*F$3*V47))*SQRT(M*V$6*F$8/V$4)</f>
        <v>90.645870254428345</v>
      </c>
      <c r="W48" s="220">
        <f>(G$2/(N_9*W45*G$3*W47))*SQRT(M*W$6*G$8/W$4)</f>
        <v>136.95077819533569</v>
      </c>
    </row>
    <row r="49" spans="1:23" ht="13.8" x14ac:dyDescent="0.25">
      <c r="A49" s="581" t="s">
        <v>559</v>
      </c>
      <c r="B49" s="587"/>
      <c r="C49" s="587"/>
      <c r="D49" s="788"/>
      <c r="E49" s="585"/>
      <c r="F49" s="585"/>
      <c r="G49" s="585"/>
      <c r="H49" s="585"/>
      <c r="I49" s="585"/>
      <c r="J49" s="585"/>
      <c r="K49" s="585"/>
      <c r="L49" s="585"/>
      <c r="M49" s="226"/>
      <c r="Q49" s="211" t="s">
        <v>59</v>
      </c>
      <c r="R49" s="221">
        <v>7</v>
      </c>
      <c r="T49" s="220">
        <f>(Q/(0.667*N_9*T45*P_1))*SQRT(M*T_abs*Z/(T50))</f>
        <v>11.550645396089484</v>
      </c>
      <c r="U49" s="220">
        <f>(E$2/(0.667*N_9*U45*E$3))*SQRT(M*U$6*E$8/(U50))</f>
        <v>35.174579269930753</v>
      </c>
      <c r="V49" s="220">
        <f>(F$2/(0.667*N_9*V45*F$3))*SQRT(M*V$6*F$8/(V50))</f>
        <v>79.975234121317712</v>
      </c>
      <c r="W49" s="220">
        <f>(G$2/(0.667*N_9*W45*G$3))*SQRT(M*W$6*G$8/(W50))</f>
        <v>121.9684897469138</v>
      </c>
    </row>
    <row r="50" spans="1:23" ht="15.6" x14ac:dyDescent="0.35">
      <c r="A50" s="789" t="s">
        <v>723</v>
      </c>
      <c r="B50" s="587"/>
      <c r="C50" s="587"/>
      <c r="D50" s="586"/>
      <c r="E50" s="587"/>
      <c r="F50" s="587"/>
      <c r="G50" s="587"/>
      <c r="H50" s="587"/>
      <c r="I50" s="587"/>
      <c r="J50" s="587"/>
      <c r="K50" s="587"/>
      <c r="L50" s="587"/>
      <c r="Q50" s="211" t="s">
        <v>84</v>
      </c>
      <c r="R50" s="221">
        <v>10</v>
      </c>
      <c r="T50" s="220">
        <f>F_GAMMA*T46</f>
        <v>0.64022124700476046</v>
      </c>
      <c r="U50" s="220">
        <f>F_GAMMA*U46</f>
        <v>0.62529706106715732</v>
      </c>
      <c r="V50" s="220">
        <f>F_GAMMA*V46</f>
        <v>0.56878873754470483</v>
      </c>
      <c r="W50" s="220">
        <f>F_GAMMA*W46</f>
        <v>0.48658165581075247</v>
      </c>
    </row>
    <row r="51" spans="1:23" x14ac:dyDescent="0.25">
      <c r="A51" s="587"/>
      <c r="B51" s="587"/>
      <c r="C51" s="587"/>
      <c r="D51" s="586"/>
      <c r="E51" s="587"/>
      <c r="F51" s="587"/>
      <c r="G51" s="587"/>
      <c r="H51" s="587"/>
      <c r="I51" s="587"/>
      <c r="J51" s="587"/>
      <c r="K51" s="587"/>
      <c r="L51" s="587"/>
      <c r="Q51" s="211" t="s">
        <v>30</v>
      </c>
      <c r="R51" s="224"/>
      <c r="T51" s="220">
        <f>IF(x&lt;T50,T48,T49)</f>
        <v>12.919382481152299</v>
      </c>
      <c r="U51" s="220">
        <f>IF(U$4&lt;U50,U48,U49)</f>
        <v>39.440482468406856</v>
      </c>
      <c r="V51" s="220">
        <f>IF(V$4&lt;V50,V48,V49)</f>
        <v>90.645870254428345</v>
      </c>
      <c r="W51" s="220">
        <f>IF(W$4&lt;W50,W48,W49)</f>
        <v>136.95077819533569</v>
      </c>
    </row>
    <row r="52" spans="1:23" ht="13.8" x14ac:dyDescent="0.25">
      <c r="A52" s="790" t="s">
        <v>46</v>
      </c>
      <c r="B52" s="227"/>
      <c r="C52" s="585"/>
      <c r="D52" s="529"/>
      <c r="E52" s="587"/>
      <c r="F52" s="227"/>
      <c r="G52" s="227"/>
      <c r="H52" s="227"/>
      <c r="I52" s="585"/>
      <c r="J52" s="585"/>
      <c r="K52" s="585"/>
      <c r="L52" s="585"/>
      <c r="M52" s="226"/>
    </row>
    <row r="53" spans="1:23" ht="14.4" x14ac:dyDescent="0.3">
      <c r="A53" s="581" t="s">
        <v>715</v>
      </c>
      <c r="B53" s="582">
        <f>IF(B28&lt;1,"Undefined",IF(B28=1,890,IF(B28=2,0.00214,IF(B28=3,0.0016,"Undefined"))))</f>
        <v>890</v>
      </c>
      <c r="C53" s="583"/>
      <c r="D53" s="529"/>
      <c r="E53" s="584" t="s">
        <v>719</v>
      </c>
      <c r="F53" s="227"/>
      <c r="G53" s="227"/>
      <c r="H53" s="227"/>
      <c r="I53" s="585"/>
      <c r="J53" s="585"/>
      <c r="K53" s="585"/>
      <c r="L53" s="585"/>
      <c r="M53" s="226"/>
      <c r="Q53" s="211" t="s">
        <v>50</v>
      </c>
      <c r="R53" s="219"/>
      <c r="T53" s="220">
        <f>T51</f>
        <v>12.919382481152299</v>
      </c>
      <c r="U53" s="220">
        <f>U51</f>
        <v>39.440482468406856</v>
      </c>
      <c r="V53" s="220">
        <f>V51</f>
        <v>90.645870254428345</v>
      </c>
      <c r="W53" s="220">
        <f>W51</f>
        <v>136.95077819533569</v>
      </c>
    </row>
    <row r="54" spans="1:23" ht="13.8" x14ac:dyDescent="0.25">
      <c r="A54" s="581" t="s">
        <v>716</v>
      </c>
      <c r="B54" s="582">
        <f>IF(B28&lt;1,"Undefined",IF(B28=1,1000,IF(B28=2,0.00241,IF(B28=3,0.0018,"Undefined"))))</f>
        <v>1000</v>
      </c>
      <c r="C54" s="585"/>
      <c r="D54" s="586"/>
      <c r="E54" s="584" t="s">
        <v>720</v>
      </c>
      <c r="F54" s="227"/>
      <c r="G54" s="227"/>
      <c r="H54" s="227"/>
      <c r="I54" s="585"/>
      <c r="J54" s="585"/>
      <c r="K54" s="585"/>
      <c r="L54" s="585"/>
      <c r="M54" s="226"/>
      <c r="Q54" s="211" t="s">
        <v>52</v>
      </c>
      <c r="R54" s="209">
        <v>15</v>
      </c>
      <c r="T54" s="220">
        <f>1/(SQRT(1+(SIGMA_ZETA/N_2)*(T53/d^2)^2))</f>
        <v>0.99902465887477288</v>
      </c>
      <c r="U54" s="220">
        <f>1/(SQRT(1+(SIGMA_ZETA/N_2)*(U53/d^2)^2))</f>
        <v>0.99101926401038254</v>
      </c>
      <c r="V54" s="220">
        <f>1/(SQRT(1+(SIGMA_ZETA/N_2)*(V53/d^2)^2))</f>
        <v>0.9551272921774957</v>
      </c>
      <c r="W54" s="220">
        <f>1/(SQRT(1+(SIGMA_ZETA/N_2)*(W53/d^2)^2))</f>
        <v>0.90553680304811524</v>
      </c>
    </row>
    <row r="55" spans="1:23" ht="13.8" x14ac:dyDescent="0.25">
      <c r="A55" s="581" t="s">
        <v>717</v>
      </c>
      <c r="B55" s="227">
        <f>IF(B29=1,C55,IF(B29=2,D55,"Undefined"))</f>
        <v>7320</v>
      </c>
      <c r="C55" s="227">
        <f>IF($B$27&lt;1,"Undefined",IF($B$27=1,7320,IF($B$27=2,2250,IF($B$27=3,22.5,IF($B$27=4,2600,IF($B$27=5,26,"Undefined"))))))</f>
        <v>7320</v>
      </c>
      <c r="D55" s="589">
        <f>IF($B$27&lt;1,"Undefined",IF($B$27=1,6940,IF($B$27=2,2120,IF($B$27=3,21.2,IF($B$27=4,2460,IF($B$27=5,24.6,"Undefined"))))))</f>
        <v>6940</v>
      </c>
      <c r="E55" s="590" t="s">
        <v>721</v>
      </c>
      <c r="F55" s="227"/>
      <c r="G55" s="227"/>
      <c r="H55" s="227"/>
      <c r="I55" s="585"/>
      <c r="J55" s="585"/>
      <c r="K55" s="585"/>
      <c r="L55" s="585"/>
      <c r="M55" s="226"/>
      <c r="Q55" s="211" t="s">
        <v>54</v>
      </c>
      <c r="R55" s="221">
        <v>22</v>
      </c>
      <c r="T55" s="220">
        <f>(x_T/T54^2)/(1+(x_T*SIGMA_ZETA_1/N_5)*(T53/d^2)^2)</f>
        <v>0.64022124700605687</v>
      </c>
      <c r="U55" s="220">
        <f>(E$9/U54^2)/(1+(E$9*SIGMA_ZETA_1/N_5)*(U53/d^2)^2)</f>
        <v>0.62529707062077422</v>
      </c>
      <c r="V55" s="220">
        <f>(F$9/V54^2)/(1+(F$9*SIGMA_ZETA_1/N_5)*(V53/d^2)^2)</f>
        <v>0.56879467797787342</v>
      </c>
      <c r="W55" s="220">
        <f>(G$9/W54^2)/(1+(G$9*SIGMA_ZETA_1/N_5)*(W53/d^2)^2)</f>
        <v>0.48667928344070621</v>
      </c>
    </row>
    <row r="56" spans="1:23" ht="13.8" x14ac:dyDescent="0.25">
      <c r="A56" s="587"/>
      <c r="B56" s="587"/>
      <c r="C56" s="587"/>
      <c r="D56" s="586"/>
      <c r="E56" s="584"/>
      <c r="F56" s="227"/>
      <c r="G56" s="227"/>
      <c r="H56" s="227"/>
      <c r="I56" s="585"/>
      <c r="J56" s="585"/>
      <c r="K56" s="585"/>
      <c r="L56" s="585"/>
      <c r="M56" s="226"/>
      <c r="Q56" s="211" t="s">
        <v>21</v>
      </c>
      <c r="R56" s="209">
        <v>12</v>
      </c>
      <c r="S56" s="211"/>
      <c r="T56" s="220">
        <f>1-(x/(3*F_GAMMA*T55))</f>
        <v>0.82644888523973037</v>
      </c>
      <c r="U56" s="220">
        <f>1-(U$4/(3*F_GAMMA*U55))</f>
        <v>0.82792227234488802</v>
      </c>
      <c r="V56" s="220">
        <f>1-(V$4/(3*F_GAMMA*V55))</f>
        <v>0.83406190152221371</v>
      </c>
      <c r="W56" s="220">
        <f>1-(W$4/(3*F_GAMMA*W55))</f>
        <v>0.82877156236405503</v>
      </c>
    </row>
    <row r="57" spans="1:23" ht="13.8" x14ac:dyDescent="0.25">
      <c r="A57" s="588" t="s">
        <v>718</v>
      </c>
      <c r="B57" s="229">
        <f>IF(B27&lt;1,"Undefined",IF(B27=1,1,IF(B27&lt;=5,2,IF(B27&gt;5,"Undefined"))))</f>
        <v>1</v>
      </c>
      <c r="C57" s="587" t="s">
        <v>89</v>
      </c>
      <c r="D57" s="586"/>
      <c r="E57" s="227"/>
      <c r="F57" s="227"/>
      <c r="G57" s="227"/>
      <c r="H57" s="227"/>
      <c r="I57" s="585"/>
      <c r="J57" s="758"/>
      <c r="K57" s="585"/>
      <c r="L57" s="585"/>
      <c r="M57" s="226"/>
      <c r="Q57" s="211" t="s">
        <v>57</v>
      </c>
      <c r="R57" s="221">
        <v>7</v>
      </c>
      <c r="T57" s="220">
        <f>(Q/(N_9*T54*P_1*T56))*SQRT(M*T_abs*Z/x)</f>
        <v>12.919382481220719</v>
      </c>
      <c r="U57" s="220">
        <f>(E$2/(N_9*U54*E$3*U56))*SQRT(M*U$6*E$8/U$4)</f>
        <v>39.440483879244518</v>
      </c>
      <c r="V57" s="220">
        <f>(F$2/(N_9*V54*F$3*V56))*SQRT(M*V$6*F$8/V$4)</f>
        <v>90.647442983167693</v>
      </c>
      <c r="W57" s="220">
        <f>(G$2/(N_9*W54*G$3*W56))*SQRT(M*W$6*G$8/W$4)</f>
        <v>136.98179567305198</v>
      </c>
    </row>
    <row r="58" spans="1:23" ht="13.8" x14ac:dyDescent="0.25">
      <c r="A58" s="587"/>
      <c r="B58" s="587"/>
      <c r="C58" s="587" t="s">
        <v>90</v>
      </c>
      <c r="D58" s="586"/>
      <c r="E58" s="227"/>
      <c r="F58" s="227"/>
      <c r="G58" s="227"/>
      <c r="H58" s="227"/>
      <c r="I58" s="585"/>
      <c r="J58" s="585"/>
      <c r="K58" s="585"/>
      <c r="L58" s="585"/>
      <c r="M58" s="226"/>
      <c r="Q58" s="211" t="s">
        <v>59</v>
      </c>
      <c r="R58" s="221">
        <v>7</v>
      </c>
      <c r="T58" s="220">
        <f>(Q/(0.667*N_9*T54*P_1))*SQRT(M*T_abs*Z/(T59))</f>
        <v>11.550645396143873</v>
      </c>
      <c r="U58" s="220">
        <f>(E$2/(0.667*N_9*U54*E$3))*SQRT(M*U$6*E$8/(U59))</f>
        <v>35.174580371161639</v>
      </c>
      <c r="V58" s="220">
        <f>(F$2/(0.667*N_9*V54*F$3))*SQRT(M*V$6*F$8/(V59))</f>
        <v>79.976370256116823</v>
      </c>
      <c r="W58" s="220">
        <f>(G$2/(0.667*N_9*W54*G$3))*SQRT(M*W$6*G$8/(W59))</f>
        <v>121.98893397844132</v>
      </c>
    </row>
    <row r="59" spans="1:23" ht="15.6" x14ac:dyDescent="0.35">
      <c r="A59" s="229"/>
      <c r="B59" s="587"/>
      <c r="C59" s="587"/>
      <c r="D59" s="586"/>
      <c r="E59" s="227"/>
      <c r="F59" s="583"/>
      <c r="G59" s="227"/>
      <c r="H59" s="227"/>
      <c r="I59" s="585"/>
      <c r="J59" s="585"/>
      <c r="K59" s="585"/>
      <c r="L59" s="585"/>
      <c r="M59" s="226"/>
      <c r="Q59" s="211" t="s">
        <v>84</v>
      </c>
      <c r="R59" s="221">
        <v>10</v>
      </c>
      <c r="T59" s="220">
        <f>F_GAMMA*T55</f>
        <v>0.64022124700605687</v>
      </c>
      <c r="U59" s="220">
        <f>F_GAMMA*U55</f>
        <v>0.62529707062077422</v>
      </c>
      <c r="V59" s="220">
        <f>F_GAMMA*V55</f>
        <v>0.56879467797787342</v>
      </c>
      <c r="W59" s="220">
        <f>F_GAMMA*W55</f>
        <v>0.48667928344070621</v>
      </c>
    </row>
    <row r="60" spans="1:23" ht="13.8" x14ac:dyDescent="0.25">
      <c r="A60" s="513"/>
      <c r="B60" s="587"/>
      <c r="C60" s="587"/>
      <c r="D60" s="586"/>
      <c r="E60" s="227"/>
      <c r="F60" s="227"/>
      <c r="G60" s="227"/>
      <c r="H60" s="227"/>
      <c r="I60" s="585"/>
      <c r="J60" s="585"/>
      <c r="K60" s="585"/>
      <c r="L60" s="585"/>
      <c r="M60" s="226"/>
      <c r="Q60" s="211" t="s">
        <v>30</v>
      </c>
      <c r="R60" s="224"/>
      <c r="T60" s="220">
        <f>IF(x&lt;T59,T57,T58)</f>
        <v>12.919382481220719</v>
      </c>
      <c r="U60" s="220">
        <f>IF(U$4&lt;U59,U57,U58)</f>
        <v>39.440483879244518</v>
      </c>
      <c r="V60" s="220">
        <f>IF(V$4&lt;V59,V57,V58)</f>
        <v>90.647442983167693</v>
      </c>
      <c r="W60" s="220">
        <f>IF(W$4&lt;W59,W57,W58)</f>
        <v>136.98179567305198</v>
      </c>
    </row>
    <row r="61" spans="1:23" ht="13.8" x14ac:dyDescent="0.25">
      <c r="A61" s="587"/>
      <c r="B61" s="227"/>
      <c r="C61" s="227"/>
      <c r="D61" s="529"/>
      <c r="E61" s="227"/>
      <c r="F61" s="771"/>
      <c r="G61" s="227"/>
      <c r="H61" s="227"/>
      <c r="I61" s="585"/>
      <c r="J61" s="585"/>
      <c r="K61" s="585"/>
      <c r="L61" s="585"/>
      <c r="M61" s="226"/>
    </row>
    <row r="62" spans="1:23" ht="14.4" x14ac:dyDescent="0.3">
      <c r="A62" s="587"/>
      <c r="B62" s="227"/>
      <c r="C62" s="227"/>
      <c r="D62" s="529"/>
      <c r="E62" s="227"/>
      <c r="F62" s="227"/>
      <c r="G62" s="227"/>
      <c r="H62" s="227"/>
      <c r="I62" s="585"/>
      <c r="J62" s="585"/>
      <c r="K62" s="585"/>
      <c r="L62" s="585"/>
      <c r="M62" s="226"/>
      <c r="Q62" s="211" t="s">
        <v>50</v>
      </c>
      <c r="R62" s="219"/>
      <c r="T62" s="220">
        <f>T60</f>
        <v>12.919382481220719</v>
      </c>
      <c r="U62" s="220">
        <f>U60</f>
        <v>39.440483879244518</v>
      </c>
      <c r="V62" s="220">
        <f>V60</f>
        <v>90.647442983167693</v>
      </c>
      <c r="W62" s="220">
        <f>W60</f>
        <v>136.98179567305198</v>
      </c>
    </row>
    <row r="63" spans="1:23" ht="13.8" x14ac:dyDescent="0.25">
      <c r="A63" s="587"/>
      <c r="B63" s="227"/>
      <c r="C63" s="229"/>
      <c r="D63" s="791"/>
      <c r="E63" s="227"/>
      <c r="F63" s="583"/>
      <c r="G63" s="227"/>
      <c r="H63" s="227"/>
      <c r="I63" s="585"/>
      <c r="J63" s="585"/>
      <c r="K63" s="585"/>
      <c r="L63" s="585"/>
      <c r="M63" s="226"/>
      <c r="Q63" s="211" t="s">
        <v>52</v>
      </c>
      <c r="R63" s="209">
        <v>15</v>
      </c>
      <c r="T63" s="220">
        <f>1/(SQRT(1+(SIGMA_ZETA/N_2)*(T62/d^2)^2))</f>
        <v>0.99902465887476266</v>
      </c>
      <c r="U63" s="220">
        <f>1/(SQRT(1+(SIGMA_ZETA/N_2)*(U62/d^2)^2))</f>
        <v>0.99101926337650648</v>
      </c>
      <c r="V63" s="220">
        <f>1/(SQRT(1+(SIGMA_ZETA/N_2)*(V62/d^2)^2))</f>
        <v>0.95512583830223408</v>
      </c>
      <c r="W63" s="220">
        <f>1/(SQRT(1+(SIGMA_ZETA/N_2)*(W62/d^2)^2))</f>
        <v>0.90549988398439185</v>
      </c>
    </row>
    <row r="64" spans="1:23" ht="13.8" x14ac:dyDescent="0.25">
      <c r="A64" s="227"/>
      <c r="B64" s="227"/>
      <c r="C64" s="227"/>
      <c r="D64" s="529"/>
      <c r="E64" s="227"/>
      <c r="F64" s="227"/>
      <c r="G64" s="227"/>
      <c r="H64" s="227"/>
      <c r="I64" s="585"/>
      <c r="J64" s="585"/>
      <c r="K64" s="585"/>
      <c r="L64" s="585"/>
      <c r="M64" s="226"/>
      <c r="Q64" s="211" t="s">
        <v>54</v>
      </c>
      <c r="R64" s="221">
        <v>22</v>
      </c>
      <c r="T64" s="220">
        <f>(x_T/T63^2)/(1+(x_T*SIGMA_ZETA_1/N_5)*(T62/d^2)^2)</f>
        <v>0.6402212470060592</v>
      </c>
      <c r="U64" s="220">
        <f>(E$9/U63^2)/(1+(E$9*SIGMA_ZETA_1/N_5)*(U62/d^2)^2)</f>
        <v>0.62529707077767227</v>
      </c>
      <c r="V64" s="220">
        <f>(F$9/V63^2)/(1+(F$9*SIGMA_ZETA_1/N_5)*(V62/d^2)^2)</f>
        <v>0.56879514340637849</v>
      </c>
      <c r="W64" s="220">
        <f>(G$9/W63^2)/(1+(G$9*SIGMA_ZETA_1/N_5)*(W62/d^2)^2)</f>
        <v>0.48669413923548199</v>
      </c>
    </row>
    <row r="65" spans="1:23" ht="13.8" x14ac:dyDescent="0.25">
      <c r="A65" s="587"/>
      <c r="B65" s="585"/>
      <c r="C65" s="585"/>
      <c r="D65" s="788"/>
      <c r="E65" s="585"/>
      <c r="F65" s="585"/>
      <c r="G65" s="585"/>
      <c r="H65" s="585"/>
      <c r="I65" s="585"/>
      <c r="J65" s="585"/>
      <c r="K65" s="585"/>
      <c r="L65" s="585"/>
      <c r="M65" s="226"/>
      <c r="Q65" s="211" t="s">
        <v>21</v>
      </c>
      <c r="R65" s="209">
        <v>12</v>
      </c>
      <c r="S65" s="211"/>
      <c r="T65" s="220">
        <f>1-(x/(3*F_GAMMA*T64))</f>
        <v>0.82644888523973103</v>
      </c>
      <c r="U65" s="220">
        <f>1-(U$4/(3*F_GAMMA*U64))</f>
        <v>0.82792227238806526</v>
      </c>
      <c r="V65" s="220">
        <f>1-(V$4/(3*F_GAMMA*V64))</f>
        <v>0.83406203730452833</v>
      </c>
      <c r="W65" s="220">
        <f>1-(W$4/(3*F_GAMMA*W64))</f>
        <v>0.82877678892078599</v>
      </c>
    </row>
    <row r="66" spans="1:23" ht="13.8" x14ac:dyDescent="0.25">
      <c r="A66" s="587"/>
      <c r="B66" s="587"/>
      <c r="C66" s="585"/>
      <c r="D66" s="788"/>
      <c r="E66" s="585"/>
      <c r="F66" s="585"/>
      <c r="G66" s="585"/>
      <c r="H66" s="585"/>
      <c r="I66" s="585"/>
      <c r="J66" s="585"/>
      <c r="K66" s="585"/>
      <c r="L66" s="585"/>
      <c r="M66" s="226"/>
      <c r="Q66" s="211" t="s">
        <v>57</v>
      </c>
      <c r="R66" s="221">
        <v>7</v>
      </c>
      <c r="T66" s="220">
        <f>(Q/(N_9*T63*P_1*T65))*SQRT(M*T_abs*Z/x)</f>
        <v>12.91938248122084</v>
      </c>
      <c r="U66" s="220">
        <f>(E$2/(N_9*U63*E$3*U65))*SQRT(M*U$6*E$8/U$4)</f>
        <v>39.44048390241457</v>
      </c>
      <c r="V66" s="220">
        <f>(F$2/(N_9*V63*F$3*V65))*SQRT(M*V$6*F$8/V$4)</f>
        <v>90.647566207962768</v>
      </c>
      <c r="W66" s="220">
        <f>(G$2/(N_9*W63*G$3*W65))*SQRT(M*W$6*G$8/W$4)</f>
        <v>136.98651680781592</v>
      </c>
    </row>
    <row r="67" spans="1:23" ht="13.8" x14ac:dyDescent="0.25">
      <c r="A67" s="587"/>
      <c r="B67" s="587"/>
      <c r="C67" s="585"/>
      <c r="D67" s="788"/>
      <c r="E67" s="585"/>
      <c r="F67" s="585"/>
      <c r="G67" s="585"/>
      <c r="H67" s="585"/>
      <c r="I67" s="585"/>
      <c r="J67" s="585"/>
      <c r="K67" s="585"/>
      <c r="L67" s="585"/>
      <c r="M67" s="226"/>
      <c r="Q67" s="211" t="s">
        <v>59</v>
      </c>
      <c r="R67" s="221">
        <v>7</v>
      </c>
      <c r="T67" s="220">
        <f>(Q/(0.667*N_9*T63*P_1))*SQRT(M*T_abs*Z/(T68))</f>
        <v>11.55064539614397</v>
      </c>
      <c r="U67" s="220">
        <f>(E$2/(0.667*N_9*U63*E$3))*SQRT(M*U$6*E$8/(U68))</f>
        <v>35.174580389247062</v>
      </c>
      <c r="V67" s="220">
        <f>(F$2/(0.667*N_9*V63*F$3))*SQRT(M*V$6*F$8/(V68))</f>
        <v>79.976459273475797</v>
      </c>
      <c r="W67" s="220">
        <f>(G$2/(0.667*N_9*W63*G$3))*SQRT(M*W$6*G$8/(W68))</f>
        <v>121.99204583621493</v>
      </c>
    </row>
    <row r="68" spans="1:23" ht="15.6" x14ac:dyDescent="0.35">
      <c r="A68" s="789" t="s">
        <v>569</v>
      </c>
      <c r="B68" s="587"/>
      <c r="C68" s="585"/>
      <c r="D68" s="788"/>
      <c r="E68" s="585"/>
      <c r="F68" s="585"/>
      <c r="G68" s="585"/>
      <c r="H68" s="585"/>
      <c r="I68" s="585"/>
      <c r="J68" s="585"/>
      <c r="K68" s="585"/>
      <c r="L68" s="585"/>
      <c r="M68" s="226"/>
      <c r="Q68" s="211" t="s">
        <v>84</v>
      </c>
      <c r="R68" s="221">
        <v>10</v>
      </c>
      <c r="T68" s="220">
        <f>F_GAMMA*T64</f>
        <v>0.6402212470060592</v>
      </c>
      <c r="U68" s="220">
        <f>F_GAMMA*U64</f>
        <v>0.62529707077767227</v>
      </c>
      <c r="V68" s="220">
        <f>F_GAMMA*V64</f>
        <v>0.56879514340637849</v>
      </c>
      <c r="W68" s="220">
        <f>F_GAMMA*W64</f>
        <v>0.48669413923548199</v>
      </c>
    </row>
    <row r="69" spans="1:23" ht="13.8" x14ac:dyDescent="0.25">
      <c r="A69" s="789" t="s">
        <v>570</v>
      </c>
      <c r="B69" s="587"/>
      <c r="C69" s="585"/>
      <c r="D69" s="788"/>
      <c r="E69" s="585"/>
      <c r="F69" s="585"/>
      <c r="G69" s="585"/>
      <c r="H69" s="585"/>
      <c r="I69" s="585"/>
      <c r="J69" s="585"/>
      <c r="K69" s="585"/>
      <c r="L69" s="585"/>
      <c r="M69" s="226"/>
      <c r="Q69" s="211" t="s">
        <v>30</v>
      </c>
      <c r="R69" s="224"/>
      <c r="T69" s="220">
        <f>IF(x&lt;T68,T66,T67)</f>
        <v>12.91938248122084</v>
      </c>
      <c r="U69" s="220">
        <f>IF(U$4&lt;U68,U66,U67)</f>
        <v>39.44048390241457</v>
      </c>
      <c r="V69" s="220">
        <f>IF(V$4&lt;V68,V66,V67)</f>
        <v>90.647566207962768</v>
      </c>
      <c r="W69" s="220">
        <f>IF(W$4&lt;W68,W66,W67)</f>
        <v>136.98651680781592</v>
      </c>
    </row>
    <row r="70" spans="1:23" ht="13.8" x14ac:dyDescent="0.25">
      <c r="A70" s="227"/>
      <c r="B70" s="585"/>
      <c r="C70" s="585"/>
      <c r="D70" s="788"/>
      <c r="E70" s="585"/>
      <c r="F70" s="585"/>
      <c r="G70" s="585"/>
      <c r="H70" s="585"/>
      <c r="I70" s="585"/>
      <c r="J70" s="585"/>
      <c r="K70" s="585"/>
      <c r="L70" s="585"/>
      <c r="M70" s="226"/>
    </row>
    <row r="71" spans="1:23" ht="14.4" x14ac:dyDescent="0.3">
      <c r="A71" s="211"/>
      <c r="B71" s="226"/>
      <c r="C71" s="226"/>
      <c r="D71" s="528"/>
      <c r="E71" s="226"/>
      <c r="F71" s="226"/>
      <c r="G71" s="226"/>
      <c r="H71" s="226"/>
      <c r="I71" s="226"/>
      <c r="J71" s="226"/>
      <c r="K71" s="226"/>
      <c r="L71" s="226"/>
      <c r="M71" s="226"/>
      <c r="Q71" s="211" t="s">
        <v>50</v>
      </c>
      <c r="R71" s="219"/>
      <c r="T71" s="220">
        <f>T69</f>
        <v>12.91938248122084</v>
      </c>
      <c r="U71" s="220">
        <f>U69</f>
        <v>39.44048390241457</v>
      </c>
      <c r="V71" s="220">
        <f>V69</f>
        <v>90.647566207962768</v>
      </c>
      <c r="W71" s="220">
        <f>W69</f>
        <v>136.98651680781592</v>
      </c>
    </row>
    <row r="72" spans="1:23" ht="13.8" x14ac:dyDescent="0.25">
      <c r="A72" s="226"/>
      <c r="B72" s="226"/>
      <c r="C72" s="226"/>
      <c r="D72" s="528"/>
      <c r="E72" s="226"/>
      <c r="F72" s="226"/>
      <c r="G72" s="226"/>
      <c r="H72" s="226"/>
      <c r="I72" s="226"/>
      <c r="J72" s="226"/>
      <c r="K72" s="226"/>
      <c r="L72" s="226"/>
      <c r="M72" s="226"/>
      <c r="Q72" s="211" t="s">
        <v>52</v>
      </c>
      <c r="R72" s="209">
        <v>15</v>
      </c>
      <c r="T72" s="220">
        <f>1/(SQRT(1+(SIGMA_ZETA/N_2)*(T71/d^2)^2))</f>
        <v>0.99902465887476266</v>
      </c>
      <c r="U72" s="220">
        <f>1/(SQRT(1+(SIGMA_ZETA/N_2)*(U71/d^2)^2))</f>
        <v>0.99101926336609658</v>
      </c>
      <c r="V72" s="220">
        <f>1/(SQRT(1+(SIGMA_ZETA/N_2)*(V71/d^2)^2))</f>
        <v>0.95512572438893717</v>
      </c>
      <c r="W72" s="220">
        <f>1/(SQRT(1+(SIGMA_ZETA/N_2)*(W71/d^2)^2))</f>
        <v>0.90549426423885848</v>
      </c>
    </row>
    <row r="73" spans="1:23" ht="13.8" x14ac:dyDescent="0.25">
      <c r="A73" s="226"/>
      <c r="B73" s="226"/>
      <c r="C73" s="226"/>
      <c r="D73" s="528"/>
      <c r="E73" s="226"/>
      <c r="F73" s="226"/>
      <c r="G73" s="226"/>
      <c r="H73" s="226"/>
      <c r="I73" s="226"/>
      <c r="J73" s="226"/>
      <c r="K73" s="226"/>
      <c r="L73" s="226"/>
      <c r="M73" s="226"/>
      <c r="Q73" s="211" t="s">
        <v>54</v>
      </c>
      <c r="R73" s="221">
        <v>22</v>
      </c>
      <c r="T73" s="220">
        <f>(x_T/T72^2)/(1+(x_T*SIGMA_ZETA_1/N_5)*(T71/d^2)^2)</f>
        <v>0.6402212470060592</v>
      </c>
      <c r="U73" s="220">
        <f>(E$9/U72^2)/(1+(E$9*SIGMA_ZETA_1/N_5)*(U71/d^2)^2)</f>
        <v>0.62529707078024876</v>
      </c>
      <c r="V73" s="220">
        <f>(F$9/V72^2)/(1+(F$9*SIGMA_ZETA_1/N_5)*(V71/d^2)^2)</f>
        <v>0.56879517987339867</v>
      </c>
      <c r="W73" s="220">
        <f>(G$9/W72^2)/(1+(G$9*SIGMA_ZETA_1/N_5)*(W71/d^2)^2)</f>
        <v>0.48669640058106284</v>
      </c>
    </row>
    <row r="74" spans="1:23" ht="13.8" x14ac:dyDescent="0.25">
      <c r="A74" s="226"/>
      <c r="B74" s="226"/>
      <c r="C74" s="226"/>
      <c r="D74" s="528"/>
      <c r="E74" s="226"/>
      <c r="F74" s="226"/>
      <c r="G74" s="226"/>
      <c r="H74" s="226"/>
      <c r="I74" s="226"/>
      <c r="J74" s="226"/>
      <c r="K74" s="226"/>
      <c r="L74" s="226"/>
      <c r="M74" s="226"/>
      <c r="Q74" s="211" t="s">
        <v>21</v>
      </c>
      <c r="R74" s="209">
        <v>12</v>
      </c>
      <c r="S74" s="211"/>
      <c r="T74" s="220">
        <f>1-(x/(3*F_GAMMA*T73))</f>
        <v>0.82644888523973103</v>
      </c>
      <c r="U74" s="220">
        <f>1-(U$4/(3*F_GAMMA*U73))</f>
        <v>0.82792227238877436</v>
      </c>
      <c r="V74" s="220">
        <f>1-(V$4/(3*F_GAMMA*V73))</f>
        <v>0.83406204794326655</v>
      </c>
      <c r="W74" s="220">
        <f>1-(W$4/(3*F_GAMMA*W73))</f>
        <v>0.8287775844780394</v>
      </c>
    </row>
    <row r="75" spans="1:23" ht="13.8" x14ac:dyDescent="0.25">
      <c r="A75" s="226"/>
      <c r="B75" s="226"/>
      <c r="C75" s="226"/>
      <c r="D75" s="528"/>
      <c r="E75" s="226"/>
      <c r="F75" s="226"/>
      <c r="G75" s="226"/>
      <c r="H75" s="226"/>
      <c r="I75" s="226"/>
      <c r="J75" s="226"/>
      <c r="K75" s="226"/>
      <c r="L75" s="226"/>
      <c r="M75" s="226"/>
      <c r="Q75" s="211" t="s">
        <v>57</v>
      </c>
      <c r="R75" s="221">
        <v>7</v>
      </c>
      <c r="T75" s="220">
        <f>(Q/(N_9*T72*P_1*T74))*SQRT(M*T_abs*Z/x)</f>
        <v>12.91938248122084</v>
      </c>
      <c r="U75" s="220">
        <f>(E$2/(N_9*U72*E$3*U74))*SQRT(M*U$6*E$8/U$4)</f>
        <v>39.440483902795094</v>
      </c>
      <c r="V75" s="220">
        <f>(F$2/(N_9*V72*F$3*V74))*SQRT(M*V$6*F$8/V$4)</f>
        <v>90.6475758628264</v>
      </c>
      <c r="W75" s="220">
        <f>(G$2/(N_9*W72*G$3*W74))*SQRT(M*W$6*G$8/W$4)</f>
        <v>136.9872354872474</v>
      </c>
    </row>
    <row r="76" spans="1:23" ht="13.8" x14ac:dyDescent="0.25">
      <c r="A76" s="226"/>
      <c r="B76" s="226"/>
      <c r="C76" s="226"/>
      <c r="D76" s="528"/>
      <c r="E76" s="226"/>
      <c r="F76" s="226"/>
      <c r="G76" s="226"/>
      <c r="H76" s="226"/>
      <c r="I76" s="226"/>
      <c r="J76" s="226"/>
      <c r="K76" s="226"/>
      <c r="L76" s="226"/>
      <c r="M76" s="226"/>
      <c r="Q76" s="211" t="s">
        <v>59</v>
      </c>
      <c r="R76" s="221">
        <v>7</v>
      </c>
      <c r="T76" s="220">
        <f>(Q/(0.667*N_9*T72*P_1))*SQRT(M*T_abs*Z/(T77))</f>
        <v>11.55064539614397</v>
      </c>
      <c r="U76" s="220">
        <f>(E$2/(0.667*N_9*U72*E$3))*SQRT(M*U$6*E$8/(U77))</f>
        <v>35.174580389544069</v>
      </c>
      <c r="V76" s="220">
        <f>(F$2/(0.667*N_9*V72*F$3))*SQRT(M*V$6*F$8/(V77))</f>
        <v>79.976466248131743</v>
      </c>
      <c r="W76" s="220">
        <f>(G$2/(0.667*N_9*W72*G$3))*SQRT(M*W$6*G$8/(W77))</f>
        <v>121.99251954335656</v>
      </c>
    </row>
    <row r="77" spans="1:23" ht="15.6" x14ac:dyDescent="0.35">
      <c r="A77" s="226"/>
      <c r="B77" s="226"/>
      <c r="C77" s="226"/>
      <c r="D77" s="528"/>
      <c r="E77" s="226"/>
      <c r="F77" s="226"/>
      <c r="G77" s="226"/>
      <c r="H77" s="226"/>
      <c r="I77" s="226"/>
      <c r="J77" s="226"/>
      <c r="K77" s="226"/>
      <c r="L77" s="226"/>
      <c r="M77" s="226"/>
      <c r="Q77" s="211" t="s">
        <v>84</v>
      </c>
      <c r="R77" s="221">
        <v>10</v>
      </c>
      <c r="T77" s="220">
        <f>F_GAMMA*T73</f>
        <v>0.6402212470060592</v>
      </c>
      <c r="U77" s="220">
        <f>F_GAMMA*U73</f>
        <v>0.62529707078024876</v>
      </c>
      <c r="V77" s="220">
        <f>F_GAMMA*V73</f>
        <v>0.56879517987339867</v>
      </c>
      <c r="W77" s="220">
        <f>F_GAMMA*W73</f>
        <v>0.48669640058106284</v>
      </c>
    </row>
    <row r="78" spans="1:23" ht="13.8" x14ac:dyDescent="0.25">
      <c r="A78" s="226"/>
      <c r="B78" s="226"/>
      <c r="C78" s="226"/>
      <c r="D78" s="528"/>
      <c r="E78" s="226"/>
      <c r="F78" s="226"/>
      <c r="G78" s="226"/>
      <c r="H78" s="226"/>
      <c r="I78" s="226"/>
      <c r="J78" s="226"/>
      <c r="K78" s="226"/>
      <c r="L78" s="226"/>
      <c r="M78" s="226"/>
      <c r="Q78" s="211" t="s">
        <v>30</v>
      </c>
      <c r="R78" s="224"/>
      <c r="T78" s="220">
        <f>IF(x&lt;T77,T75,T76)</f>
        <v>12.91938248122084</v>
      </c>
      <c r="U78" s="220">
        <f>IF(U$4&lt;U77,U75,U76)</f>
        <v>39.440483902795094</v>
      </c>
      <c r="V78" s="220">
        <f>IF(V$4&lt;V77,V75,V76)</f>
        <v>90.6475758628264</v>
      </c>
      <c r="W78" s="220">
        <f>IF(W$4&lt;W77,W75,W76)</f>
        <v>136.9872354872474</v>
      </c>
    </row>
    <row r="79" spans="1:23" ht="13.8" x14ac:dyDescent="0.25">
      <c r="A79" s="226"/>
      <c r="B79" s="226"/>
      <c r="C79" s="226"/>
      <c r="D79" s="528"/>
      <c r="E79" s="226"/>
      <c r="F79" s="226"/>
      <c r="G79" s="226"/>
      <c r="H79" s="226"/>
      <c r="I79" s="226"/>
      <c r="J79" s="226"/>
      <c r="K79" s="226"/>
      <c r="L79" s="226"/>
      <c r="M79" s="226"/>
    </row>
    <row r="80" spans="1:23" ht="14.4" x14ac:dyDescent="0.3">
      <c r="A80" s="226"/>
      <c r="B80" s="226"/>
      <c r="C80" s="226"/>
      <c r="D80" s="528"/>
      <c r="E80" s="226"/>
      <c r="F80" s="226"/>
      <c r="G80" s="226"/>
      <c r="H80" s="226"/>
      <c r="I80" s="226"/>
      <c r="J80" s="226"/>
      <c r="K80" s="226"/>
      <c r="L80" s="226"/>
      <c r="M80" s="226"/>
      <c r="Q80" s="211" t="s">
        <v>50</v>
      </c>
      <c r="R80" s="219"/>
      <c r="T80" s="220">
        <f>T78</f>
        <v>12.91938248122084</v>
      </c>
      <c r="U80" s="220">
        <f>U78</f>
        <v>39.440483902795094</v>
      </c>
      <c r="V80" s="220">
        <f>V78</f>
        <v>90.6475758628264</v>
      </c>
      <c r="W80" s="220">
        <f>W78</f>
        <v>136.9872354872474</v>
      </c>
    </row>
    <row r="81" spans="1:23" ht="13.8" x14ac:dyDescent="0.25">
      <c r="A81" s="226"/>
      <c r="B81" s="226"/>
      <c r="C81" s="226"/>
      <c r="D81" s="528"/>
      <c r="E81" s="226"/>
      <c r="F81" s="226"/>
      <c r="G81" s="226"/>
      <c r="H81" s="226"/>
      <c r="I81" s="226"/>
      <c r="J81" s="226"/>
      <c r="K81" s="226"/>
      <c r="L81" s="226"/>
      <c r="M81" s="226"/>
      <c r="Q81" s="211" t="s">
        <v>52</v>
      </c>
      <c r="R81" s="209">
        <v>15</v>
      </c>
      <c r="T81" s="220">
        <f>1/(SQRT(1+(SIGMA_ZETA/N_2)*(T80/d^2)^2))</f>
        <v>0.99902465887476266</v>
      </c>
      <c r="U81" s="220">
        <f>1/(SQRT(1+(SIGMA_ZETA/N_2)*(U80/d^2)^2))</f>
        <v>0.99101926336592561</v>
      </c>
      <c r="V81" s="220">
        <f>1/(SQRT(1+(SIGMA_ZETA/N_2)*(V80/d^2)^2))</f>
        <v>0.95512571546363967</v>
      </c>
      <c r="W81" s="220">
        <f>1/(SQRT(1+(SIGMA_ZETA/N_2)*(W80/d^2)^2))</f>
        <v>0.90549340875970008</v>
      </c>
    </row>
    <row r="82" spans="1:23" ht="13.8" x14ac:dyDescent="0.25">
      <c r="A82" s="226"/>
      <c r="B82" s="226"/>
      <c r="C82" s="226"/>
      <c r="D82" s="528"/>
      <c r="E82" s="226"/>
      <c r="F82" s="226"/>
      <c r="G82" s="226"/>
      <c r="H82" s="226"/>
      <c r="I82" s="226"/>
      <c r="J82" s="226"/>
      <c r="K82" s="226"/>
      <c r="L82" s="226"/>
      <c r="M82" s="226"/>
      <c r="Q82" s="211" t="s">
        <v>54</v>
      </c>
      <c r="R82" s="221">
        <v>22</v>
      </c>
      <c r="T82" s="220">
        <f>(x_T/T81^2)/(1+(x_T*SIGMA_ZETA_1/N_5)*(T80/d^2)^2)</f>
        <v>0.6402212470060592</v>
      </c>
      <c r="U82" s="220">
        <f>(E$9/U81^2)/(1+(E$9*SIGMA_ZETA_1/N_5)*(U80/d^2)^2)</f>
        <v>0.62529707078029118</v>
      </c>
      <c r="V82" s="220">
        <f>(F$9/V81^2)/(1+(F$9*SIGMA_ZETA_1/N_5)*(V80/d^2)^2)</f>
        <v>0.56879518273065099</v>
      </c>
      <c r="W82" s="220">
        <f>(G$9/W81^2)/(1+(G$9*SIGMA_ZETA_1/N_5)*(W80/d^2)^2)</f>
        <v>0.48669674482039582</v>
      </c>
    </row>
    <row r="83" spans="1:23" ht="13.8" x14ac:dyDescent="0.25">
      <c r="A83" s="226"/>
      <c r="B83" s="226"/>
      <c r="C83" s="226"/>
      <c r="D83" s="528"/>
      <c r="E83" s="226"/>
      <c r="F83" s="226"/>
      <c r="G83" s="226"/>
      <c r="H83" s="226"/>
      <c r="I83" s="226"/>
      <c r="J83" s="226"/>
      <c r="K83" s="226"/>
      <c r="L83" s="226"/>
      <c r="M83" s="226"/>
      <c r="Q83" s="211" t="s">
        <v>21</v>
      </c>
      <c r="R83" s="209">
        <v>12</v>
      </c>
      <c r="S83" s="211"/>
      <c r="T83" s="220">
        <f>1-(x/(3*F_GAMMA*T82))</f>
        <v>0.82644888523973103</v>
      </c>
      <c r="U83" s="220">
        <f>1-(U$4/(3*F_GAMMA*U82))</f>
        <v>0.82792227238878602</v>
      </c>
      <c r="V83" s="220">
        <f>1-(V$4/(3*F_GAMMA*V82))</f>
        <v>0.83406204877682955</v>
      </c>
      <c r="W83" s="220">
        <f>1-(W$4/(3*F_GAMMA*W82))</f>
        <v>0.82877770558320552</v>
      </c>
    </row>
    <row r="84" spans="1:23" ht="13.8" x14ac:dyDescent="0.25">
      <c r="A84" s="226"/>
      <c r="B84" s="226"/>
      <c r="C84" s="226"/>
      <c r="D84" s="528"/>
      <c r="E84" s="226"/>
      <c r="F84" s="226"/>
      <c r="G84" s="226"/>
      <c r="H84" s="226"/>
      <c r="I84" s="226"/>
      <c r="J84" s="226"/>
      <c r="K84" s="226"/>
      <c r="L84" s="226"/>
      <c r="M84" s="226"/>
      <c r="Q84" s="211" t="s">
        <v>57</v>
      </c>
      <c r="R84" s="221">
        <v>7</v>
      </c>
      <c r="T84" s="220">
        <f>(Q/(N_9*T81*P_1*T83))*SQRT(M*T_abs*Z/x)</f>
        <v>12.91938248122084</v>
      </c>
      <c r="U84" s="220">
        <f>(E$2/(N_9*U81*E$3*U83))*SQRT(M*U$6*E$8/U$4)</f>
        <v>39.44048390280134</v>
      </c>
      <c r="V84" s="220">
        <f>(F$2/(N_9*V81*F$3*V83))*SQRT(M*V$6*F$8/V$4)</f>
        <v>90.647576619301233</v>
      </c>
      <c r="W84" s="220">
        <f>(G$2/(N_9*W81*G$3*W83))*SQRT(M*W$6*G$8/W$4)</f>
        <v>136.98734489081284</v>
      </c>
    </row>
    <row r="85" spans="1:23" ht="13.8" x14ac:dyDescent="0.25">
      <c r="A85" s="226"/>
      <c r="B85" s="226"/>
      <c r="C85" s="226"/>
      <c r="D85" s="528"/>
      <c r="E85" s="226"/>
      <c r="F85" s="226"/>
      <c r="G85" s="226"/>
      <c r="H85" s="226"/>
      <c r="I85" s="226"/>
      <c r="J85" s="226"/>
      <c r="K85" s="226"/>
      <c r="L85" s="226"/>
      <c r="M85" s="226"/>
      <c r="Q85" s="211" t="s">
        <v>59</v>
      </c>
      <c r="R85" s="221">
        <v>7</v>
      </c>
      <c r="T85" s="220">
        <f>(Q/(0.667*N_9*T81*P_1))*SQRT(M*T_abs*Z/(T86))</f>
        <v>11.55064539614397</v>
      </c>
      <c r="U85" s="220">
        <f>(E$2/(0.667*N_9*U81*E$3))*SQRT(M*U$6*E$8/(U86))</f>
        <v>35.17458038954895</v>
      </c>
      <c r="V85" s="220">
        <f>(F$2/(0.667*N_9*V81*F$3))*SQRT(M*V$6*F$8/(V86))</f>
        <v>79.976466794607774</v>
      </c>
      <c r="W85" s="220">
        <f>(G$2/(0.667*N_9*W81*G$3))*SQRT(M*W$6*G$8/(W86))</f>
        <v>121.99259165516744</v>
      </c>
    </row>
    <row r="86" spans="1:23" ht="15.6" x14ac:dyDescent="0.35">
      <c r="A86" s="226"/>
      <c r="B86" s="226"/>
      <c r="C86" s="226"/>
      <c r="D86" s="528"/>
      <c r="E86" s="226"/>
      <c r="F86" s="226"/>
      <c r="G86" s="226"/>
      <c r="H86" s="226"/>
      <c r="I86" s="226"/>
      <c r="J86" s="226"/>
      <c r="K86" s="226"/>
      <c r="L86" s="226"/>
      <c r="M86" s="226"/>
      <c r="Q86" s="211" t="s">
        <v>84</v>
      </c>
      <c r="R86" s="221">
        <v>10</v>
      </c>
      <c r="T86" s="220">
        <f>F_GAMMA*T82</f>
        <v>0.6402212470060592</v>
      </c>
      <c r="U86" s="220">
        <f>F_GAMMA*U82</f>
        <v>0.62529707078029118</v>
      </c>
      <c r="V86" s="220">
        <f>F_GAMMA*V82</f>
        <v>0.56879518273065099</v>
      </c>
      <c r="W86" s="220">
        <f>F_GAMMA*W82</f>
        <v>0.48669674482039582</v>
      </c>
    </row>
    <row r="87" spans="1:23" ht="13.8" x14ac:dyDescent="0.25">
      <c r="A87" s="226"/>
      <c r="B87" s="226"/>
      <c r="C87" s="226"/>
      <c r="D87" s="528"/>
      <c r="E87" s="226"/>
      <c r="F87" s="226"/>
      <c r="G87" s="226"/>
      <c r="H87" s="226"/>
      <c r="I87" s="226"/>
      <c r="J87" s="226"/>
      <c r="K87" s="226"/>
      <c r="L87" s="226"/>
      <c r="M87" s="226"/>
      <c r="Q87" s="211" t="s">
        <v>30</v>
      </c>
      <c r="R87" s="224"/>
      <c r="T87" s="220">
        <f>IF(x&lt;T86,T84,T85)</f>
        <v>12.91938248122084</v>
      </c>
      <c r="U87" s="220">
        <f>IF(U$4&lt;U86,U84,U85)</f>
        <v>39.44048390280134</v>
      </c>
      <c r="V87" s="220">
        <f>IF(V$4&lt;V86,V84,V85)</f>
        <v>90.647576619301233</v>
      </c>
      <c r="W87" s="220">
        <f>IF(W$4&lt;W86,W84,W85)</f>
        <v>136.98734489081284</v>
      </c>
    </row>
    <row r="88" spans="1:23" ht="13.8" x14ac:dyDescent="0.25">
      <c r="A88" s="226"/>
      <c r="B88" s="226"/>
      <c r="C88" s="226"/>
      <c r="D88" s="528"/>
      <c r="E88" s="226"/>
      <c r="F88" s="226"/>
      <c r="G88" s="226"/>
      <c r="H88" s="226"/>
      <c r="I88" s="226"/>
      <c r="J88" s="226"/>
      <c r="K88" s="226"/>
      <c r="L88" s="226"/>
      <c r="M88" s="226"/>
    </row>
    <row r="89" spans="1:23" ht="14.4" x14ac:dyDescent="0.3">
      <c r="A89" s="226"/>
      <c r="B89" s="226"/>
      <c r="C89" s="226"/>
      <c r="D89" s="528"/>
      <c r="E89" s="226"/>
      <c r="F89" s="226"/>
      <c r="G89" s="226"/>
      <c r="H89" s="226"/>
      <c r="I89" s="226"/>
      <c r="J89" s="226"/>
      <c r="K89" s="226"/>
      <c r="L89" s="226"/>
      <c r="M89" s="226"/>
      <c r="Q89" s="211" t="s">
        <v>50</v>
      </c>
      <c r="R89" s="219"/>
      <c r="T89" s="220">
        <f>T87</f>
        <v>12.91938248122084</v>
      </c>
      <c r="U89" s="220">
        <f>U87</f>
        <v>39.44048390280134</v>
      </c>
      <c r="V89" s="220">
        <f>V87</f>
        <v>90.647576619301233</v>
      </c>
      <c r="W89" s="220">
        <f>W87</f>
        <v>136.98734489081284</v>
      </c>
    </row>
    <row r="90" spans="1:23" ht="13.8" x14ac:dyDescent="0.25">
      <c r="A90" s="226"/>
      <c r="B90" s="226"/>
      <c r="C90" s="226"/>
      <c r="D90" s="528"/>
      <c r="E90" s="226"/>
      <c r="F90" s="226"/>
      <c r="G90" s="226"/>
      <c r="H90" s="226"/>
      <c r="I90" s="226"/>
      <c r="J90" s="226"/>
      <c r="K90" s="226"/>
      <c r="L90" s="226"/>
      <c r="M90" s="226"/>
      <c r="Q90" s="211" t="s">
        <v>52</v>
      </c>
      <c r="R90" s="209">
        <v>15</v>
      </c>
      <c r="T90" s="220">
        <f>1/(SQRT(1+(SIGMA_ZETA/N_2)*(T89/d^2)^2))</f>
        <v>0.99902465887476266</v>
      </c>
      <c r="U90" s="220">
        <f>1/(SQRT(1+(SIGMA_ZETA/N_2)*(U89/d^2)^2))</f>
        <v>0.99101926336592272</v>
      </c>
      <c r="V90" s="220">
        <f>1/(SQRT(1+(SIGMA_ZETA/N_2)*(V89/d^2)^2))</f>
        <v>0.95512571476432773</v>
      </c>
      <c r="W90" s="220">
        <f>1/(SQRT(1+(SIGMA_ZETA/N_2)*(W89/d^2)^2))</f>
        <v>0.90549327853112249</v>
      </c>
    </row>
    <row r="91" spans="1:23" ht="13.8" x14ac:dyDescent="0.25">
      <c r="A91" s="226"/>
      <c r="B91" s="226"/>
      <c r="C91" s="226"/>
      <c r="D91" s="528"/>
      <c r="E91" s="226"/>
      <c r="F91" s="226"/>
      <c r="G91" s="226"/>
      <c r="H91" s="226"/>
      <c r="I91" s="226"/>
      <c r="J91" s="226"/>
      <c r="K91" s="226"/>
      <c r="L91" s="226"/>
      <c r="M91" s="226"/>
      <c r="Q91" s="211" t="s">
        <v>54</v>
      </c>
      <c r="R91" s="221">
        <v>22</v>
      </c>
      <c r="T91" s="220">
        <f>(x_T/T90^2)/(1+(x_T*SIGMA_ZETA_1/N_5)*(T89/d^2)^2)</f>
        <v>0.6402212470060592</v>
      </c>
      <c r="U91" s="220">
        <f>(E$9/U90^2)/(1+(E$9*SIGMA_ZETA_1/N_5)*(U89/d^2)^2)</f>
        <v>0.62529707078029195</v>
      </c>
      <c r="V91" s="220">
        <f>(F$9/V90^2)/(1+(F$9*SIGMA_ZETA_1/N_5)*(V89/d^2)^2)</f>
        <v>0.56879518295452136</v>
      </c>
      <c r="W91" s="220">
        <f>(G$9/W90^2)/(1+(G$9*SIGMA_ZETA_1/N_5)*(W89/d^2)^2)</f>
        <v>0.48669679722355547</v>
      </c>
    </row>
    <row r="92" spans="1:23" ht="13.8" x14ac:dyDescent="0.25">
      <c r="A92" s="226"/>
      <c r="B92" s="226"/>
      <c r="C92" s="226"/>
      <c r="D92" s="528"/>
      <c r="E92" s="226"/>
      <c r="F92" s="226"/>
      <c r="G92" s="226"/>
      <c r="H92" s="226"/>
      <c r="I92" s="226"/>
      <c r="J92" s="226"/>
      <c r="K92" s="226"/>
      <c r="L92" s="226"/>
      <c r="M92" s="226"/>
      <c r="Q92" s="211" t="s">
        <v>21</v>
      </c>
      <c r="R92" s="209">
        <v>12</v>
      </c>
      <c r="S92" s="211"/>
      <c r="T92" s="220">
        <f>1-(x/(3*F_GAMMA*T91))</f>
        <v>0.82644888523973103</v>
      </c>
      <c r="U92" s="220">
        <f>1-(U$4/(3*F_GAMMA*U91))</f>
        <v>0.82792227238878624</v>
      </c>
      <c r="V92" s="220">
        <f>1-(V$4/(3*F_GAMMA*V91))</f>
        <v>0.83406204884214052</v>
      </c>
      <c r="W92" s="220">
        <f>1-(W$4/(3*F_GAMMA*W91))</f>
        <v>0.82877772401889127</v>
      </c>
    </row>
    <row r="93" spans="1:23" ht="13.8" x14ac:dyDescent="0.25">
      <c r="A93" s="226"/>
      <c r="B93" s="226"/>
      <c r="C93" s="226"/>
      <c r="D93" s="528"/>
      <c r="E93" s="226"/>
      <c r="F93" s="226"/>
      <c r="G93" s="226"/>
      <c r="H93" s="226"/>
      <c r="I93" s="226"/>
      <c r="J93" s="226"/>
      <c r="K93" s="226"/>
      <c r="L93" s="226"/>
      <c r="M93" s="226"/>
      <c r="Q93" s="211" t="s">
        <v>57</v>
      </c>
      <c r="R93" s="221">
        <v>7</v>
      </c>
      <c r="T93" s="220">
        <f>(Q/(N_9*T90*P_1*T92))*SQRT(M*T_abs*Z/x)</f>
        <v>12.91938248122084</v>
      </c>
      <c r="U93" s="220">
        <f>(E$2/(N_9*U90*E$3*U92))*SQRT(M*U$6*E$8/U$4)</f>
        <v>39.440483902801446</v>
      </c>
      <c r="V93" s="220">
        <f>(F$2/(N_9*V90*F$3*V92))*SQRT(M*V$6*F$8/V$4)</f>
        <v>90.647576678572307</v>
      </c>
      <c r="W93" s="220">
        <f>(G$2/(N_9*W90*G$3*W92))*SQRT(M*W$6*G$8/W$4)</f>
        <v>136.98736154520819</v>
      </c>
    </row>
    <row r="94" spans="1:23" ht="13.8" x14ac:dyDescent="0.25">
      <c r="A94" s="226"/>
      <c r="B94" s="226"/>
      <c r="C94" s="226"/>
      <c r="D94" s="528"/>
      <c r="E94" s="226"/>
      <c r="F94" s="226"/>
      <c r="G94" s="226"/>
      <c r="H94" s="226"/>
      <c r="I94" s="226"/>
      <c r="J94" s="226"/>
      <c r="K94" s="226"/>
      <c r="L94" s="226"/>
      <c r="M94" s="226"/>
      <c r="Q94" s="211" t="s">
        <v>59</v>
      </c>
      <c r="R94" s="221">
        <v>7</v>
      </c>
      <c r="T94" s="220">
        <f>(Q/(0.667*N_9*T90*P_1))*SQRT(M*T_abs*Z/(T95))</f>
        <v>11.55064539614397</v>
      </c>
      <c r="U94" s="220">
        <f>(E$2/(0.667*N_9*U90*E$3))*SQRT(M*U$6*E$8/(U95))</f>
        <v>35.174580389549035</v>
      </c>
      <c r="V94" s="220">
        <f>(F$2/(0.667*N_9*V90*F$3))*SQRT(M*V$6*F$8/(V95))</f>
        <v>79.976466837425093</v>
      </c>
      <c r="W94" s="220">
        <f>(G$2/(0.667*N_9*W90*G$3))*SQRT(M*W$6*G$8/(W95))</f>
        <v>121.99260263267708</v>
      </c>
    </row>
    <row r="95" spans="1:23" ht="15.6" x14ac:dyDescent="0.35">
      <c r="A95" s="226"/>
      <c r="B95" s="226"/>
      <c r="C95" s="226"/>
      <c r="D95" s="528"/>
      <c r="E95" s="226"/>
      <c r="F95" s="226"/>
      <c r="G95" s="226"/>
      <c r="H95" s="226"/>
      <c r="I95" s="226"/>
      <c r="J95" s="226"/>
      <c r="K95" s="226"/>
      <c r="L95" s="226"/>
      <c r="M95" s="226"/>
      <c r="Q95" s="211" t="s">
        <v>84</v>
      </c>
      <c r="R95" s="221">
        <v>10</v>
      </c>
      <c r="T95" s="220">
        <f>F_GAMMA*T91</f>
        <v>0.6402212470060592</v>
      </c>
      <c r="U95" s="220">
        <f>F_GAMMA*U91</f>
        <v>0.62529707078029195</v>
      </c>
      <c r="V95" s="220">
        <f>F_GAMMA*V91</f>
        <v>0.56879518295452136</v>
      </c>
      <c r="W95" s="220">
        <f>F_GAMMA*W91</f>
        <v>0.48669679722355547</v>
      </c>
    </row>
    <row r="96" spans="1:23" ht="13.8" x14ac:dyDescent="0.25">
      <c r="A96" s="226"/>
      <c r="B96" s="226"/>
      <c r="C96" s="226"/>
      <c r="D96" s="528"/>
      <c r="E96" s="226"/>
      <c r="F96" s="226"/>
      <c r="G96" s="226"/>
      <c r="H96" s="226"/>
      <c r="I96" s="226"/>
      <c r="J96" s="226"/>
      <c r="K96" s="226"/>
      <c r="L96" s="226"/>
      <c r="M96" s="226"/>
      <c r="Q96" s="211" t="s">
        <v>30</v>
      </c>
      <c r="R96" s="224"/>
      <c r="T96" s="220">
        <f>IF(x&lt;T95,T93,T94)</f>
        <v>12.91938248122084</v>
      </c>
      <c r="U96" s="220">
        <f>IF(U$4&lt;U95,U93,U94)</f>
        <v>39.440483902801446</v>
      </c>
      <c r="V96" s="220">
        <f>IF(V$4&lt;V95,V93,V94)</f>
        <v>90.647576678572307</v>
      </c>
      <c r="W96" s="220">
        <f>IF(W$4&lt;W95,W93,W94)</f>
        <v>136.98736154520819</v>
      </c>
    </row>
    <row r="97" spans="1:23" ht="13.8" x14ac:dyDescent="0.25">
      <c r="A97" s="226"/>
      <c r="B97" s="226"/>
      <c r="C97" s="226"/>
      <c r="D97" s="528"/>
      <c r="E97" s="226"/>
      <c r="F97" s="226"/>
      <c r="G97" s="226"/>
      <c r="H97" s="226"/>
      <c r="I97" s="226"/>
      <c r="J97" s="226"/>
      <c r="K97" s="226"/>
      <c r="L97" s="226"/>
      <c r="M97" s="226"/>
    </row>
    <row r="98" spans="1:23" ht="14.4" x14ac:dyDescent="0.3">
      <c r="A98" s="226"/>
      <c r="B98" s="226"/>
      <c r="C98" s="226"/>
      <c r="D98" s="528"/>
      <c r="E98" s="226"/>
      <c r="F98" s="226"/>
      <c r="G98" s="226"/>
      <c r="H98" s="226"/>
      <c r="I98" s="226"/>
      <c r="J98" s="226"/>
      <c r="K98" s="226"/>
      <c r="L98" s="226"/>
      <c r="M98" s="226"/>
      <c r="Q98" s="211" t="s">
        <v>50</v>
      </c>
      <c r="R98" s="219"/>
      <c r="T98" s="220">
        <f>T96</f>
        <v>12.91938248122084</v>
      </c>
      <c r="U98" s="220">
        <f>U96</f>
        <v>39.440483902801446</v>
      </c>
      <c r="V98" s="220">
        <f>V96</f>
        <v>90.647576678572307</v>
      </c>
      <c r="W98" s="220">
        <f>W96</f>
        <v>136.98736154520819</v>
      </c>
    </row>
    <row r="99" spans="1:23" ht="13.8" x14ac:dyDescent="0.25">
      <c r="A99" s="226"/>
      <c r="B99" s="226"/>
      <c r="C99" s="226"/>
      <c r="D99" s="528"/>
      <c r="E99" s="226"/>
      <c r="F99" s="226"/>
      <c r="G99" s="226"/>
      <c r="H99" s="226"/>
      <c r="I99" s="226"/>
      <c r="J99" s="226"/>
      <c r="K99" s="226"/>
      <c r="L99" s="226"/>
      <c r="M99" s="226"/>
      <c r="Q99" s="211" t="s">
        <v>52</v>
      </c>
      <c r="R99" s="209">
        <v>15</v>
      </c>
      <c r="T99" s="220">
        <f>1/(SQRT(1+(SIGMA_ZETA/N_2)*(T98/d^2)^2))</f>
        <v>0.99902465887476266</v>
      </c>
      <c r="U99" s="220">
        <f>1/(SQRT(1+(SIGMA_ZETA/N_2)*(U98/d^2)^2))</f>
        <v>0.99101926336592272</v>
      </c>
      <c r="V99" s="220">
        <f>1/(SQRT(1+(SIGMA_ZETA/N_2)*(V98/d^2)^2))</f>
        <v>0.95512571470953522</v>
      </c>
      <c r="W99" s="220">
        <f>1/(SQRT(1+(SIGMA_ZETA/N_2)*(W98/d^2)^2))</f>
        <v>0.90549325870655206</v>
      </c>
    </row>
    <row r="100" spans="1:23" ht="13.8" x14ac:dyDescent="0.25">
      <c r="A100" s="226"/>
      <c r="B100" s="226"/>
      <c r="C100" s="226"/>
      <c r="D100" s="528"/>
      <c r="E100" s="226"/>
      <c r="F100" s="226"/>
      <c r="G100" s="226"/>
      <c r="H100" s="226"/>
      <c r="I100" s="226"/>
      <c r="J100" s="226"/>
      <c r="K100" s="226"/>
      <c r="L100" s="226"/>
      <c r="M100" s="226"/>
      <c r="Q100" s="211" t="s">
        <v>54</v>
      </c>
      <c r="R100" s="221">
        <v>22</v>
      </c>
      <c r="T100" s="220">
        <f>(x_T/T99^2)/(1+(x_T*SIGMA_ZETA_1/N_5)*(T98/d^2)^2)</f>
        <v>0.6402212470060592</v>
      </c>
      <c r="U100" s="220">
        <f>(E$9/U99^2)/(1+(E$9*SIGMA_ZETA_1/N_5)*(U98/d^2)^2)</f>
        <v>0.62529707078029195</v>
      </c>
      <c r="V100" s="220">
        <f>(F$9/V99^2)/(1+(F$9*SIGMA_ZETA_1/N_5)*(V98/d^2)^2)</f>
        <v>0.56879518297206222</v>
      </c>
      <c r="W100" s="220">
        <f>(G$9/W99^2)/(1+(G$9*SIGMA_ZETA_1/N_5)*(W98/d^2)^2)</f>
        <v>0.48669680520083802</v>
      </c>
    </row>
    <row r="101" spans="1:23" ht="13.8" x14ac:dyDescent="0.25">
      <c r="A101" s="226"/>
      <c r="B101" s="226"/>
      <c r="C101" s="226"/>
      <c r="D101" s="528"/>
      <c r="E101" s="226"/>
      <c r="F101" s="226"/>
      <c r="G101" s="226"/>
      <c r="H101" s="226"/>
      <c r="I101" s="226"/>
      <c r="J101" s="226"/>
      <c r="K101" s="226"/>
      <c r="L101" s="226"/>
      <c r="M101" s="226"/>
      <c r="Q101" s="211" t="s">
        <v>21</v>
      </c>
      <c r="R101" s="209">
        <v>12</v>
      </c>
      <c r="S101" s="211"/>
      <c r="T101" s="220">
        <f>1-(x/(3*F_GAMMA*T100))</f>
        <v>0.82644888523973103</v>
      </c>
      <c r="U101" s="220">
        <f>1-(U$4/(3*F_GAMMA*U100))</f>
        <v>0.82792227238878624</v>
      </c>
      <c r="V101" s="220">
        <f>1-(V$4/(3*F_GAMMA*V100))</f>
        <v>0.83406204884725788</v>
      </c>
      <c r="W101" s="220">
        <f>1-(W$4/(3*F_GAMMA*W100))</f>
        <v>0.82877772682533757</v>
      </c>
    </row>
    <row r="102" spans="1:23" ht="13.8" x14ac:dyDescent="0.25">
      <c r="A102" s="226"/>
      <c r="B102" s="226"/>
      <c r="C102" s="226"/>
      <c r="D102" s="528"/>
      <c r="E102" s="226"/>
      <c r="F102" s="226"/>
      <c r="G102" s="226"/>
      <c r="H102" s="226"/>
      <c r="I102" s="226"/>
      <c r="J102" s="226"/>
      <c r="K102" s="226"/>
      <c r="L102" s="226"/>
      <c r="M102" s="226"/>
      <c r="Q102" s="211" t="s">
        <v>57</v>
      </c>
      <c r="R102" s="221">
        <v>7</v>
      </c>
      <c r="T102" s="220">
        <f>(Q/(N_9*T99*P_1*T101))*SQRT(M*T_abs*Z/x)</f>
        <v>12.91938248122084</v>
      </c>
      <c r="U102" s="220">
        <f>(E$2/(N_9*U99*E$3*U101))*SQRT(M*U$6*E$8/U$4)</f>
        <v>39.440483902801446</v>
      </c>
      <c r="V102" s="220">
        <f>(F$2/(N_9*V99*F$3*V101))*SQRT(M*V$6*F$8/V$4)</f>
        <v>90.647576683216286</v>
      </c>
      <c r="W102" s="220">
        <f>(G$2/(N_9*W99*G$3*W101))*SQRT(M*W$6*G$8/W$4)</f>
        <v>136.98736408049115</v>
      </c>
    </row>
    <row r="103" spans="1:23" ht="13.8" x14ac:dyDescent="0.25">
      <c r="A103" s="226"/>
      <c r="B103" s="226"/>
      <c r="C103" s="226"/>
      <c r="D103" s="528"/>
      <c r="E103" s="226"/>
      <c r="F103" s="226"/>
      <c r="G103" s="226"/>
      <c r="H103" s="226"/>
      <c r="I103" s="226"/>
      <c r="J103" s="226"/>
      <c r="K103" s="226"/>
      <c r="L103" s="226"/>
      <c r="M103" s="226"/>
      <c r="Q103" s="211" t="s">
        <v>59</v>
      </c>
      <c r="R103" s="221">
        <v>7</v>
      </c>
      <c r="T103" s="220">
        <f>(Q/(0.667*N_9*T99*P_1))*SQRT(M*T_abs*Z/(T104))</f>
        <v>11.55064539614397</v>
      </c>
      <c r="U103" s="220">
        <f>(E$2/(0.667*N_9*U99*E$3))*SQRT(M*U$6*E$8/(U104))</f>
        <v>35.174580389549035</v>
      </c>
      <c r="V103" s="220">
        <f>(F$2/(0.667*N_9*V99*F$3))*SQRT(M*V$6*F$8/(V104))</f>
        <v>79.976466840779906</v>
      </c>
      <c r="W103" s="220">
        <f>(G$2/(0.667*N_9*W99*G$3))*SQRT(M*W$6*G$8/(W104))</f>
        <v>121.99260430377311</v>
      </c>
    </row>
    <row r="104" spans="1:23" ht="15.6" x14ac:dyDescent="0.35">
      <c r="A104" s="226"/>
      <c r="B104" s="226"/>
      <c r="C104" s="226"/>
      <c r="D104" s="528"/>
      <c r="E104" s="226"/>
      <c r="F104" s="226"/>
      <c r="G104" s="226"/>
      <c r="H104" s="226"/>
      <c r="I104" s="226"/>
      <c r="J104" s="226"/>
      <c r="K104" s="226"/>
      <c r="L104" s="226"/>
      <c r="M104" s="226"/>
      <c r="Q104" s="211" t="s">
        <v>84</v>
      </c>
      <c r="R104" s="221">
        <v>10</v>
      </c>
      <c r="T104" s="220">
        <f>F_GAMMA*T100</f>
        <v>0.6402212470060592</v>
      </c>
      <c r="U104" s="220">
        <f>F_GAMMA*U100</f>
        <v>0.62529707078029195</v>
      </c>
      <c r="V104" s="220">
        <f>F_GAMMA*V100</f>
        <v>0.56879518297206222</v>
      </c>
      <c r="W104" s="220">
        <f>F_GAMMA*W100</f>
        <v>0.48669680520083802</v>
      </c>
    </row>
    <row r="105" spans="1:23" ht="13.8" x14ac:dyDescent="0.25">
      <c r="A105" s="226"/>
      <c r="B105" s="226"/>
      <c r="C105" s="226"/>
      <c r="D105" s="528"/>
      <c r="E105" s="226"/>
      <c r="F105" s="226"/>
      <c r="G105" s="226"/>
      <c r="H105" s="226"/>
      <c r="I105" s="226"/>
      <c r="J105" s="226"/>
      <c r="K105" s="226"/>
      <c r="L105" s="226"/>
      <c r="M105" s="226"/>
      <c r="Q105" s="211" t="s">
        <v>30</v>
      </c>
      <c r="R105" s="224"/>
      <c r="T105" s="220">
        <f>IF(x&lt;T104,T102,T103)</f>
        <v>12.91938248122084</v>
      </c>
      <c r="U105" s="220">
        <f>IF(U$4&lt;U104,U102,U103)</f>
        <v>39.440483902801446</v>
      </c>
      <c r="V105" s="220">
        <f>IF(V$4&lt;V104,V102,V103)</f>
        <v>90.647576683216286</v>
      </c>
      <c r="W105" s="220">
        <f>IF(W$4&lt;W104,W102,W103)</f>
        <v>136.98736408049115</v>
      </c>
    </row>
    <row r="106" spans="1:23" ht="13.8" x14ac:dyDescent="0.25">
      <c r="A106" s="226"/>
      <c r="B106" s="226"/>
      <c r="C106" s="226"/>
      <c r="D106" s="528"/>
      <c r="E106" s="226"/>
      <c r="F106" s="226"/>
      <c r="G106" s="226"/>
      <c r="H106" s="226"/>
      <c r="I106" s="226"/>
      <c r="J106" s="226"/>
      <c r="K106" s="226"/>
      <c r="L106" s="226"/>
      <c r="M106" s="226"/>
    </row>
    <row r="107" spans="1:23" ht="14.4" x14ac:dyDescent="0.3">
      <c r="A107" s="226"/>
      <c r="B107" s="226"/>
      <c r="C107" s="226"/>
      <c r="D107" s="528"/>
      <c r="E107" s="226"/>
      <c r="F107" s="226"/>
      <c r="G107" s="226"/>
      <c r="H107" s="226"/>
      <c r="I107" s="226"/>
      <c r="J107" s="226"/>
      <c r="K107" s="226"/>
      <c r="L107" s="226"/>
      <c r="M107" s="226"/>
      <c r="Q107" s="211" t="s">
        <v>50</v>
      </c>
      <c r="R107" s="219"/>
      <c r="T107" s="220">
        <f>T105</f>
        <v>12.91938248122084</v>
      </c>
      <c r="U107" s="220">
        <f>U105</f>
        <v>39.440483902801446</v>
      </c>
      <c r="V107" s="220">
        <f>V105</f>
        <v>90.647576683216286</v>
      </c>
      <c r="W107" s="220">
        <f>W105</f>
        <v>136.98736408049115</v>
      </c>
    </row>
    <row r="108" spans="1:23" ht="13.8" x14ac:dyDescent="0.25">
      <c r="A108" s="226"/>
      <c r="B108" s="226"/>
      <c r="C108" s="226"/>
      <c r="D108" s="528"/>
      <c r="E108" s="226"/>
      <c r="F108" s="226"/>
      <c r="G108" s="226"/>
      <c r="H108" s="226"/>
      <c r="I108" s="226"/>
      <c r="J108" s="226"/>
      <c r="K108" s="226"/>
      <c r="L108" s="226"/>
      <c r="M108" s="226"/>
      <c r="Q108" s="211" t="s">
        <v>52</v>
      </c>
      <c r="R108" s="209">
        <v>15</v>
      </c>
      <c r="T108" s="220">
        <f>1/(SQRT(1+(SIGMA_ZETA/N_2)*(T107/d^2)^2))</f>
        <v>0.99902465887476266</v>
      </c>
      <c r="U108" s="220">
        <f>1/(SQRT(1+(SIGMA_ZETA/N_2)*(U107/d^2)^2))</f>
        <v>0.99101926336592272</v>
      </c>
      <c r="V108" s="220">
        <f>1/(SQRT(1+(SIGMA_ZETA/N_2)*(V107/d^2)^2))</f>
        <v>0.95512571470524232</v>
      </c>
      <c r="W108" s="220">
        <f>1/(SQRT(1+(SIGMA_ZETA/N_2)*(W107/d^2)^2))</f>
        <v>0.90549325568867634</v>
      </c>
    </row>
    <row r="109" spans="1:23" ht="13.8" x14ac:dyDescent="0.25">
      <c r="A109" s="226"/>
      <c r="B109" s="226"/>
      <c r="C109" s="226"/>
      <c r="D109" s="528"/>
      <c r="E109" s="226"/>
      <c r="F109" s="226"/>
      <c r="G109" s="226"/>
      <c r="H109" s="226"/>
      <c r="I109" s="226"/>
      <c r="J109" s="226"/>
      <c r="K109" s="226"/>
      <c r="L109" s="226"/>
      <c r="M109" s="226"/>
      <c r="Q109" s="211" t="s">
        <v>54</v>
      </c>
      <c r="R109" s="221">
        <v>22</v>
      </c>
      <c r="T109" s="220">
        <f>(x_T/T108^2)/(1+(x_T*SIGMA_ZETA_1/N_5)*(T107/d^2)^2)</f>
        <v>0.6402212470060592</v>
      </c>
      <c r="U109" s="220">
        <f>(E$9/U108^2)/(1+(E$9*SIGMA_ZETA_1/N_5)*(U107/d^2)^2)</f>
        <v>0.62529707078029195</v>
      </c>
      <c r="V109" s="220">
        <f>(F$9/V108^2)/(1+(F$9*SIGMA_ZETA_1/N_5)*(V107/d^2)^2)</f>
        <v>0.56879518297343623</v>
      </c>
      <c r="W109" s="220">
        <f>(G$9/W108^2)/(1+(G$9*SIGMA_ZETA_1/N_5)*(W107/d^2)^2)</f>
        <v>0.48669680641521235</v>
      </c>
    </row>
    <row r="110" spans="1:23" ht="13.8" x14ac:dyDescent="0.25">
      <c r="A110" s="226"/>
      <c r="B110" s="226"/>
      <c r="C110" s="226"/>
      <c r="D110" s="528"/>
      <c r="E110" s="226"/>
      <c r="F110" s="226"/>
      <c r="G110" s="226"/>
      <c r="H110" s="226"/>
      <c r="I110" s="226"/>
      <c r="J110" s="226"/>
      <c r="K110" s="226"/>
      <c r="L110" s="226"/>
      <c r="M110" s="226"/>
      <c r="Q110" s="211" t="s">
        <v>21</v>
      </c>
      <c r="R110" s="209">
        <v>12</v>
      </c>
      <c r="S110" s="211"/>
      <c r="T110" s="220">
        <f>1-(x/(3*F_GAMMA*T109))</f>
        <v>0.82644888523973103</v>
      </c>
      <c r="U110" s="220">
        <f>1-(U$4/(3*F_GAMMA*U109))</f>
        <v>0.82792227238878624</v>
      </c>
      <c r="V110" s="220">
        <f>1-(V$4/(3*F_GAMMA*V109))</f>
        <v>0.83406204884765867</v>
      </c>
      <c r="W110" s="220">
        <f>1-(W$4/(3*F_GAMMA*W109))</f>
        <v>0.82877772725256027</v>
      </c>
    </row>
    <row r="111" spans="1:23" ht="13.8" x14ac:dyDescent="0.25">
      <c r="A111" s="226"/>
      <c r="B111" s="226"/>
      <c r="C111" s="226"/>
      <c r="D111" s="528"/>
      <c r="E111" s="226"/>
      <c r="F111" s="226"/>
      <c r="G111" s="226"/>
      <c r="H111" s="226"/>
      <c r="I111" s="226"/>
      <c r="J111" s="226"/>
      <c r="K111" s="226"/>
      <c r="L111" s="226"/>
      <c r="M111" s="226"/>
      <c r="Q111" s="211" t="s">
        <v>57</v>
      </c>
      <c r="R111" s="221">
        <v>7</v>
      </c>
      <c r="T111" s="220">
        <f>(Q/(N_9*T108*P_1*T110))*SQRT(M*T_abs*Z/x)</f>
        <v>12.91938248122084</v>
      </c>
      <c r="U111" s="220">
        <f>(E$2/(N_9*U108*E$3*U110))*SQRT(M*U$6*E$8/U$4)</f>
        <v>39.440483902801446</v>
      </c>
      <c r="V111" s="220">
        <f>(F$2/(N_9*V108*F$3*V110))*SQRT(M*V$6*F$8/V$4)</f>
        <v>90.647576683580169</v>
      </c>
      <c r="W111" s="220">
        <f>(G$2/(N_9*W108*G$3*W110))*SQRT(M*W$6*G$8/W$4)</f>
        <v>136.98736446643488</v>
      </c>
    </row>
    <row r="112" spans="1:23" ht="13.8" x14ac:dyDescent="0.25">
      <c r="A112" s="226"/>
      <c r="B112" s="226"/>
      <c r="C112" s="226"/>
      <c r="D112" s="528"/>
      <c r="E112" s="226"/>
      <c r="F112" s="226"/>
      <c r="G112" s="226"/>
      <c r="H112" s="226"/>
      <c r="I112" s="226"/>
      <c r="J112" s="226"/>
      <c r="K112" s="226"/>
      <c r="L112" s="226"/>
      <c r="M112" s="226"/>
      <c r="Q112" s="211" t="s">
        <v>59</v>
      </c>
      <c r="R112" s="221">
        <v>7</v>
      </c>
      <c r="T112" s="220">
        <f>(Q/(0.667*N_9*T108*P_1))*SQRT(M*T_abs*Z/(T113))</f>
        <v>11.55064539614397</v>
      </c>
      <c r="U112" s="220">
        <f>(E$2/(0.667*N_9*U108*E$3))*SQRT(M*U$6*E$8/(U113))</f>
        <v>35.174580389549035</v>
      </c>
      <c r="V112" s="220">
        <f>(F$2/(0.667*N_9*V108*F$3))*SQRT(M*V$6*F$8/(V113))</f>
        <v>79.976466841042765</v>
      </c>
      <c r="W112" s="220">
        <f>(G$2/(0.667*N_9*W108*G$3))*SQRT(M*W$6*G$8/(W113))</f>
        <v>121.99260455816248</v>
      </c>
    </row>
    <row r="113" spans="1:23" ht="15.6" x14ac:dyDescent="0.35">
      <c r="A113" s="226"/>
      <c r="B113" s="226"/>
      <c r="C113" s="226"/>
      <c r="D113" s="528"/>
      <c r="E113" s="226"/>
      <c r="F113" s="226"/>
      <c r="G113" s="226"/>
      <c r="H113" s="226"/>
      <c r="I113" s="226"/>
      <c r="J113" s="226"/>
      <c r="K113" s="226"/>
      <c r="L113" s="226"/>
      <c r="M113" s="226"/>
      <c r="Q113" s="211" t="s">
        <v>84</v>
      </c>
      <c r="R113" s="221">
        <v>10</v>
      </c>
      <c r="T113" s="220">
        <f>F_GAMMA*T109</f>
        <v>0.6402212470060592</v>
      </c>
      <c r="U113" s="220">
        <f>F_GAMMA*U109</f>
        <v>0.62529707078029195</v>
      </c>
      <c r="V113" s="220">
        <f>F_GAMMA*V109</f>
        <v>0.56879518297343623</v>
      </c>
      <c r="W113" s="220">
        <f>F_GAMMA*W109</f>
        <v>0.48669680641521235</v>
      </c>
    </row>
    <row r="114" spans="1:23" ht="13.8" x14ac:dyDescent="0.25">
      <c r="A114" s="226"/>
      <c r="B114" s="226"/>
      <c r="C114" s="226"/>
      <c r="D114" s="528"/>
      <c r="E114" s="226"/>
      <c r="F114" s="226"/>
      <c r="G114" s="226"/>
      <c r="H114" s="226"/>
      <c r="I114" s="226"/>
      <c r="J114" s="226"/>
      <c r="K114" s="226"/>
      <c r="L114" s="226"/>
      <c r="M114" s="226"/>
      <c r="Q114" s="211" t="s">
        <v>30</v>
      </c>
      <c r="R114" s="224"/>
      <c r="T114" s="220">
        <f>IF(x&lt;T113,T111,T112)</f>
        <v>12.91938248122084</v>
      </c>
      <c r="U114" s="220">
        <f>IF(U$4&lt;U113,U111,U112)</f>
        <v>39.440483902801446</v>
      </c>
      <c r="V114" s="220">
        <f>IF(V$4&lt;V113,V111,V112)</f>
        <v>90.647576683580169</v>
      </c>
      <c r="W114" s="220">
        <f>IF(W$4&lt;W113,W111,W112)</f>
        <v>136.98736446643488</v>
      </c>
    </row>
    <row r="115" spans="1:23" ht="13.8" x14ac:dyDescent="0.25">
      <c r="A115" s="226"/>
      <c r="B115" s="226"/>
      <c r="C115" s="226"/>
      <c r="D115" s="528"/>
      <c r="E115" s="226"/>
      <c r="F115" s="226"/>
      <c r="G115" s="226"/>
      <c r="H115" s="226"/>
      <c r="I115" s="226"/>
      <c r="J115" s="226"/>
      <c r="K115" s="226"/>
      <c r="L115" s="226"/>
      <c r="M115" s="226"/>
      <c r="R115" s="224"/>
    </row>
    <row r="116" spans="1:23" ht="14.4" x14ac:dyDescent="0.3">
      <c r="A116" s="226"/>
      <c r="B116" s="226"/>
      <c r="C116" s="226"/>
      <c r="D116" s="528"/>
      <c r="E116" s="226"/>
      <c r="F116" s="226"/>
      <c r="G116" s="226"/>
      <c r="H116" s="226"/>
      <c r="I116" s="226"/>
      <c r="J116" s="226"/>
      <c r="K116" s="226"/>
      <c r="L116" s="226"/>
      <c r="M116" s="226"/>
      <c r="Q116" s="211" t="s">
        <v>50</v>
      </c>
      <c r="R116" s="219"/>
      <c r="T116" s="220">
        <f>T114</f>
        <v>12.91938248122084</v>
      </c>
      <c r="U116" s="220">
        <f>U114</f>
        <v>39.440483902801446</v>
      </c>
      <c r="V116" s="220">
        <f>V114</f>
        <v>90.647576683580169</v>
      </c>
      <c r="W116" s="220">
        <f>W114</f>
        <v>136.98736446643488</v>
      </c>
    </row>
    <row r="117" spans="1:23" ht="13.8" x14ac:dyDescent="0.25">
      <c r="A117" s="226"/>
      <c r="B117" s="226"/>
      <c r="C117" s="226"/>
      <c r="D117" s="528"/>
      <c r="E117" s="226"/>
      <c r="F117" s="226"/>
      <c r="G117" s="226"/>
      <c r="H117" s="226"/>
      <c r="I117" s="226"/>
      <c r="J117" s="226"/>
      <c r="K117" s="226"/>
      <c r="L117" s="226"/>
      <c r="M117" s="226"/>
      <c r="Q117" s="211" t="s">
        <v>52</v>
      </c>
      <c r="R117" s="209">
        <v>15</v>
      </c>
      <c r="T117" s="220">
        <f>1/(SQRT(1+(SIGMA_ZETA/N_2)*(T116/d^2)^2))</f>
        <v>0.99902465887476266</v>
      </c>
      <c r="U117" s="220">
        <f>1/(SQRT(1+(SIGMA_ZETA/N_2)*(U116/d^2)^2))</f>
        <v>0.99101926336592272</v>
      </c>
      <c r="V117" s="220">
        <f>1/(SQRT(1+(SIGMA_ZETA/N_2)*(V116/d^2)^2))</f>
        <v>0.95512571470490581</v>
      </c>
      <c r="W117" s="220">
        <f>1/(SQRT(1+(SIGMA_ZETA/N_2)*(W116/d^2)^2))</f>
        <v>0.90549325522926782</v>
      </c>
    </row>
    <row r="118" spans="1:23" ht="13.8" x14ac:dyDescent="0.25">
      <c r="A118" s="226"/>
      <c r="B118" s="226"/>
      <c r="C118" s="226"/>
      <c r="D118" s="528"/>
      <c r="E118" s="226"/>
      <c r="F118" s="226"/>
      <c r="G118" s="226"/>
      <c r="H118" s="226"/>
      <c r="I118" s="226"/>
      <c r="J118" s="226"/>
      <c r="K118" s="226"/>
      <c r="L118" s="226"/>
      <c r="M118" s="226"/>
      <c r="Q118" s="211" t="s">
        <v>54</v>
      </c>
      <c r="R118" s="221">
        <v>22</v>
      </c>
      <c r="T118" s="220">
        <f>(x_T/T117^2)/(1+(x_T*SIGMA_ZETA_1/N_5)*(T116/d^2)^2)</f>
        <v>0.6402212470060592</v>
      </c>
      <c r="U118" s="220">
        <f>(E$9/U117^2)/(1+(E$9*SIGMA_ZETA_1/N_5)*(U116/d^2)^2)</f>
        <v>0.62529707078029195</v>
      </c>
      <c r="V118" s="220">
        <f>(F$9/V117^2)/(1+(F$9*SIGMA_ZETA_1/N_5)*(V116/d^2)^2)</f>
        <v>0.56879518297354414</v>
      </c>
      <c r="W118" s="220">
        <f>(G$9/W117^2)/(1+(G$9*SIGMA_ZETA_1/N_5)*(W116/d^2)^2)</f>
        <v>0.48669680660007542</v>
      </c>
    </row>
    <row r="119" spans="1:23" ht="13.8" x14ac:dyDescent="0.25">
      <c r="A119" s="226"/>
      <c r="B119" s="226"/>
      <c r="C119" s="226"/>
      <c r="D119" s="528"/>
      <c r="E119" s="226"/>
      <c r="F119" s="226"/>
      <c r="G119" s="226"/>
      <c r="H119" s="226"/>
      <c r="I119" s="226"/>
      <c r="J119" s="226"/>
      <c r="K119" s="226"/>
      <c r="L119" s="226"/>
      <c r="M119" s="226"/>
      <c r="Q119" s="211" t="s">
        <v>21</v>
      </c>
      <c r="R119" s="209">
        <v>12</v>
      </c>
      <c r="S119" s="211"/>
      <c r="T119" s="220">
        <f>1-(x/(3*F_GAMMA*T118))</f>
        <v>0.82644888523973103</v>
      </c>
      <c r="U119" s="220">
        <f>1-(U$4/(3*F_GAMMA*U118))</f>
        <v>0.82792227238878624</v>
      </c>
      <c r="V119" s="220">
        <f>1-(V$4/(3*F_GAMMA*V118))</f>
        <v>0.8340620488476902</v>
      </c>
      <c r="W119" s="220">
        <f>1-(W$4/(3*F_GAMMA*W118))</f>
        <v>0.82877772731759602</v>
      </c>
    </row>
    <row r="120" spans="1:23" ht="13.8" x14ac:dyDescent="0.25">
      <c r="A120" s="226"/>
      <c r="B120" s="226"/>
      <c r="C120" s="226"/>
      <c r="D120" s="528"/>
      <c r="E120" s="226"/>
      <c r="F120" s="226"/>
      <c r="G120" s="226"/>
      <c r="H120" s="226"/>
      <c r="I120" s="226"/>
      <c r="J120" s="226"/>
      <c r="K120" s="226"/>
      <c r="L120" s="226"/>
      <c r="M120" s="226"/>
      <c r="Q120" s="211" t="s">
        <v>57</v>
      </c>
      <c r="R120" s="221">
        <v>7</v>
      </c>
      <c r="T120" s="220">
        <f>(Q/(N_9*T117*P_1*T119))*SQRT(M*T_abs*Z/x)</f>
        <v>12.91938248122084</v>
      </c>
      <c r="U120" s="220">
        <f>(E$2/(N_9*U117*E$3*U119))*SQRT(M*U$6*E$8/U$4)</f>
        <v>39.440483902801446</v>
      </c>
      <c r="V120" s="220">
        <f>(F$2/(N_9*V117*F$3*V119))*SQRT(M*V$6*F$8/V$4)</f>
        <v>90.647576683608662</v>
      </c>
      <c r="W120" s="220">
        <f>(G$2/(N_9*W117*G$3*W119))*SQRT(M*W$6*G$8/W$4)</f>
        <v>136.98736452518679</v>
      </c>
    </row>
    <row r="121" spans="1:23" ht="13.8" x14ac:dyDescent="0.25">
      <c r="A121" s="226"/>
      <c r="B121" s="226"/>
      <c r="C121" s="226"/>
      <c r="D121" s="528"/>
      <c r="E121" s="226"/>
      <c r="F121" s="226"/>
      <c r="G121" s="226"/>
      <c r="H121" s="226"/>
      <c r="I121" s="226"/>
      <c r="J121" s="226"/>
      <c r="K121" s="226"/>
      <c r="L121" s="226"/>
      <c r="M121" s="226"/>
      <c r="Q121" s="211" t="s">
        <v>59</v>
      </c>
      <c r="R121" s="221">
        <v>7</v>
      </c>
      <c r="T121" s="220">
        <f>(Q/(0.667*N_9*T117*P_1))*SQRT(M*T_abs*Z/(T122))</f>
        <v>11.55064539614397</v>
      </c>
      <c r="U121" s="220">
        <f>(E$2/(0.667*N_9*U117*E$3))*SQRT(M*U$6*E$8/(U122))</f>
        <v>35.174580389549035</v>
      </c>
      <c r="V121" s="220">
        <f>(F$2/(0.667*N_9*V117*F$3))*SQRT(M*V$6*F$8/(V122))</f>
        <v>79.97646684106337</v>
      </c>
      <c r="W121" s="220">
        <f>(G$2/(0.667*N_9*W117*G$3))*SQRT(M*W$6*G$8/(W122))</f>
        <v>121.99260459688794</v>
      </c>
    </row>
    <row r="122" spans="1:23" ht="15.6" x14ac:dyDescent="0.35">
      <c r="A122" s="226"/>
      <c r="B122" s="226"/>
      <c r="C122" s="226"/>
      <c r="D122" s="528"/>
      <c r="E122" s="226"/>
      <c r="F122" s="226"/>
      <c r="G122" s="226"/>
      <c r="H122" s="226"/>
      <c r="I122" s="226"/>
      <c r="J122" s="226"/>
      <c r="K122" s="226"/>
      <c r="L122" s="226"/>
      <c r="M122" s="226"/>
      <c r="Q122" s="211" t="s">
        <v>84</v>
      </c>
      <c r="R122" s="221">
        <v>10</v>
      </c>
      <c r="T122" s="220">
        <f>F_GAMMA*T118</f>
        <v>0.6402212470060592</v>
      </c>
      <c r="U122" s="220">
        <f>F_GAMMA*U118</f>
        <v>0.62529707078029195</v>
      </c>
      <c r="V122" s="220">
        <f>F_GAMMA*V118</f>
        <v>0.56879518297354414</v>
      </c>
      <c r="W122" s="220">
        <f>F_GAMMA*W118</f>
        <v>0.48669680660007542</v>
      </c>
    </row>
    <row r="123" spans="1:23" ht="13.8" x14ac:dyDescent="0.25">
      <c r="A123" s="226"/>
      <c r="B123" s="226"/>
      <c r="C123" s="226"/>
      <c r="D123" s="528"/>
      <c r="E123" s="226"/>
      <c r="F123" s="226"/>
      <c r="G123" s="226"/>
      <c r="H123" s="226"/>
      <c r="I123" s="226"/>
      <c r="J123" s="226"/>
      <c r="K123" s="226"/>
      <c r="L123" s="226"/>
      <c r="M123" s="226"/>
      <c r="Q123" s="211" t="s">
        <v>30</v>
      </c>
      <c r="R123" s="224"/>
      <c r="T123" s="220">
        <f>IF(x&lt;T122,T120,T121)</f>
        <v>12.91938248122084</v>
      </c>
      <c r="U123" s="220">
        <f>IF(U$4&lt;U122,U120,U121)</f>
        <v>39.440483902801446</v>
      </c>
      <c r="V123" s="220">
        <f>IF(V$4&lt;V122,V120,V121)</f>
        <v>90.647576683608662</v>
      </c>
      <c r="W123" s="220">
        <f>IF(W$4&lt;W122,W120,W121)</f>
        <v>136.98736452518679</v>
      </c>
    </row>
    <row r="124" spans="1:23" ht="13.8" x14ac:dyDescent="0.25">
      <c r="A124" s="226"/>
      <c r="B124" s="226"/>
      <c r="C124" s="226"/>
      <c r="D124" s="528"/>
      <c r="E124" s="226"/>
      <c r="F124" s="226"/>
      <c r="G124" s="226"/>
      <c r="H124" s="226"/>
      <c r="I124" s="226"/>
      <c r="J124" s="226"/>
      <c r="K124" s="226"/>
      <c r="L124" s="226"/>
      <c r="M124" s="226"/>
      <c r="Q124" s="211"/>
      <c r="R124" s="224"/>
      <c r="T124" s="220"/>
      <c r="U124" s="220"/>
      <c r="V124" s="220"/>
      <c r="W124" s="220"/>
    </row>
    <row r="125" spans="1:23" ht="14.4" x14ac:dyDescent="0.3">
      <c r="A125" s="226"/>
      <c r="B125" s="226"/>
      <c r="C125" s="226"/>
      <c r="D125" s="528"/>
      <c r="E125" s="226"/>
      <c r="F125" s="226"/>
      <c r="G125" s="226"/>
      <c r="H125" s="226"/>
      <c r="I125" s="226"/>
      <c r="J125" s="226"/>
      <c r="K125" s="226"/>
      <c r="L125" s="226"/>
      <c r="M125" s="226"/>
      <c r="Q125" s="211" t="s">
        <v>50</v>
      </c>
      <c r="R125" s="219"/>
      <c r="T125" s="220">
        <f>T123</f>
        <v>12.91938248122084</v>
      </c>
      <c r="U125" s="220">
        <f>U123</f>
        <v>39.440483902801446</v>
      </c>
      <c r="V125" s="220">
        <f>V123</f>
        <v>90.647576683608662</v>
      </c>
      <c r="W125" s="220">
        <f>W123</f>
        <v>136.98736452518679</v>
      </c>
    </row>
    <row r="126" spans="1:23" ht="13.8" x14ac:dyDescent="0.25">
      <c r="A126" s="226"/>
      <c r="B126" s="226"/>
      <c r="C126" s="226"/>
      <c r="D126" s="528"/>
      <c r="E126" s="226"/>
      <c r="F126" s="226"/>
      <c r="G126" s="226"/>
      <c r="H126" s="226"/>
      <c r="I126" s="226"/>
      <c r="J126" s="226"/>
      <c r="K126" s="226"/>
      <c r="L126" s="226"/>
      <c r="M126" s="226"/>
      <c r="Q126" s="211" t="s">
        <v>52</v>
      </c>
      <c r="R126" s="209">
        <v>15</v>
      </c>
      <c r="T126" s="220">
        <f>1/(SQRT(1+(SIGMA_ZETA/N_2)*(T125/d^2)^2))</f>
        <v>0.99902465887476266</v>
      </c>
      <c r="U126" s="220">
        <f>1/(SQRT(1+(SIGMA_ZETA/N_2)*(U125/d^2)^2))</f>
        <v>0.99101926336592272</v>
      </c>
      <c r="V126" s="220">
        <f>1/(SQRT(1+(SIGMA_ZETA/N_2)*(V125/d^2)^2))</f>
        <v>0.9551257147048795</v>
      </c>
      <c r="W126" s="220">
        <f>1/(SQRT(1+(SIGMA_ZETA/N_2)*(W125/d^2)^2))</f>
        <v>0.90549325515933254</v>
      </c>
    </row>
    <row r="127" spans="1:23" ht="13.8" x14ac:dyDescent="0.25">
      <c r="A127" s="226"/>
      <c r="B127" s="226"/>
      <c r="C127" s="226"/>
      <c r="D127" s="528"/>
      <c r="E127" s="226"/>
      <c r="F127" s="226"/>
      <c r="G127" s="226"/>
      <c r="H127" s="226"/>
      <c r="I127" s="226"/>
      <c r="J127" s="226"/>
      <c r="K127" s="226"/>
      <c r="L127" s="226"/>
      <c r="M127" s="226"/>
      <c r="Q127" s="211" t="s">
        <v>54</v>
      </c>
      <c r="R127" s="221">
        <v>22</v>
      </c>
      <c r="T127" s="220">
        <f>(x_T/T126^2)/(1+(x_T*SIGMA_ZETA_1/N_5)*(T125/d^2)^2)</f>
        <v>0.6402212470060592</v>
      </c>
      <c r="U127" s="220">
        <f>(E$9/U126^2)/(1+(E$9*SIGMA_ZETA_1/N_5)*(U125/d^2)^2)</f>
        <v>0.62529707078029195</v>
      </c>
      <c r="V127" s="220">
        <f>(F$9/V126^2)/(1+(F$9*SIGMA_ZETA_1/N_5)*(V125/d^2)^2)</f>
        <v>0.56879518297355258</v>
      </c>
      <c r="W127" s="220">
        <f>(G$9/W126^2)/(1+(G$9*SIGMA_ZETA_1/N_5)*(W125/d^2)^2)</f>
        <v>0.4866968066282169</v>
      </c>
    </row>
    <row r="128" spans="1:23" ht="13.8" x14ac:dyDescent="0.25">
      <c r="A128" s="226"/>
      <c r="B128" s="226"/>
      <c r="C128" s="226"/>
      <c r="D128" s="528"/>
      <c r="E128" s="226"/>
      <c r="F128" s="226"/>
      <c r="G128" s="226"/>
      <c r="H128" s="226"/>
      <c r="I128" s="226"/>
      <c r="J128" s="226"/>
      <c r="K128" s="226"/>
      <c r="L128" s="226"/>
      <c r="M128" s="226"/>
      <c r="Q128" s="211" t="s">
        <v>21</v>
      </c>
      <c r="R128" s="209">
        <v>12</v>
      </c>
      <c r="S128" s="211"/>
      <c r="T128" s="220">
        <f>1-(x/(3*F_GAMMA*T127))</f>
        <v>0.82644888523973103</v>
      </c>
      <c r="U128" s="220">
        <f>1-(U$4/(3*F_GAMMA*U127))</f>
        <v>0.82792227238878624</v>
      </c>
      <c r="V128" s="220">
        <f>1-(V$4/(3*F_GAMMA*V127))</f>
        <v>0.83406204884769264</v>
      </c>
      <c r="W128" s="220">
        <f>1-(W$4/(3*F_GAMMA*W127))</f>
        <v>0.82877772732749633</v>
      </c>
    </row>
    <row r="129" spans="1:23" ht="13.8" x14ac:dyDescent="0.25">
      <c r="A129" s="226"/>
      <c r="B129" s="226"/>
      <c r="C129" s="226"/>
      <c r="D129" s="528"/>
      <c r="E129" s="226"/>
      <c r="F129" s="226"/>
      <c r="G129" s="226"/>
      <c r="H129" s="226"/>
      <c r="I129" s="226"/>
      <c r="J129" s="226"/>
      <c r="K129" s="226"/>
      <c r="L129" s="226"/>
      <c r="M129" s="226"/>
      <c r="Q129" s="211" t="s">
        <v>57</v>
      </c>
      <c r="R129" s="221">
        <v>7</v>
      </c>
      <c r="T129" s="220">
        <f>(Q/(N_9*T126*P_1*T128))*SQRT(M*T_abs*Z/x)</f>
        <v>12.91938248122084</v>
      </c>
      <c r="U129" s="220">
        <f>(E$2/(N_9*U126*E$3*U128))*SQRT(M*U$6*E$8/U$4)</f>
        <v>39.440483902801446</v>
      </c>
      <c r="V129" s="220">
        <f>(F$2/(N_9*V126*F$3*V128))*SQRT(M*V$6*F$8/V$4)</f>
        <v>90.647576683610907</v>
      </c>
      <c r="W129" s="220">
        <f>(G$2/(N_9*W126*G$3*W128))*SQRT(M*W$6*G$8/W$4)</f>
        <v>136.98736453413051</v>
      </c>
    </row>
    <row r="130" spans="1:23" ht="13.8" x14ac:dyDescent="0.25">
      <c r="A130" s="226"/>
      <c r="B130" s="226"/>
      <c r="C130" s="226"/>
      <c r="D130" s="528"/>
      <c r="E130" s="226"/>
      <c r="F130" s="226"/>
      <c r="G130" s="226"/>
      <c r="H130" s="226"/>
      <c r="I130" s="226"/>
      <c r="J130" s="226"/>
      <c r="K130" s="226"/>
      <c r="L130" s="226"/>
      <c r="M130" s="226"/>
      <c r="Q130" s="211" t="s">
        <v>59</v>
      </c>
      <c r="R130" s="221">
        <v>7</v>
      </c>
      <c r="T130" s="220">
        <f>(Q/(0.667*N_9*T126*P_1))*SQRT(M*T_abs*Z/(T131))</f>
        <v>11.55064539614397</v>
      </c>
      <c r="U130" s="220">
        <f>(E$2/(0.667*N_9*U126*E$3))*SQRT(M*U$6*E$8/(U131))</f>
        <v>35.174580389549035</v>
      </c>
      <c r="V130" s="220">
        <f>(F$2/(0.667*N_9*V126*F$3))*SQRT(M*V$6*F$8/(V131))</f>
        <v>79.976466841064962</v>
      </c>
      <c r="W130" s="220">
        <f>(G$2/(0.667*N_9*W126*G$3))*SQRT(M*W$6*G$8/(W131))</f>
        <v>121.99260460278309</v>
      </c>
    </row>
    <row r="131" spans="1:23" ht="15.6" x14ac:dyDescent="0.35">
      <c r="A131" s="226"/>
      <c r="B131" s="226"/>
      <c r="C131" s="226"/>
      <c r="D131" s="528"/>
      <c r="E131" s="226"/>
      <c r="F131" s="226"/>
      <c r="G131" s="226"/>
      <c r="H131" s="226"/>
      <c r="I131" s="226"/>
      <c r="J131" s="226"/>
      <c r="K131" s="226"/>
      <c r="L131" s="226"/>
      <c r="M131" s="226"/>
      <c r="Q131" s="211" t="s">
        <v>84</v>
      </c>
      <c r="R131" s="221">
        <v>10</v>
      </c>
      <c r="T131" s="220">
        <f>F_GAMMA*T127</f>
        <v>0.6402212470060592</v>
      </c>
      <c r="U131" s="220">
        <f>F_GAMMA*U127</f>
        <v>0.62529707078029195</v>
      </c>
      <c r="V131" s="220">
        <f>F_GAMMA*V127</f>
        <v>0.56879518297355258</v>
      </c>
      <c r="W131" s="220">
        <f>F_GAMMA*W127</f>
        <v>0.4866968066282169</v>
      </c>
    </row>
    <row r="132" spans="1:23" ht="13.8" x14ac:dyDescent="0.25">
      <c r="A132" s="226"/>
      <c r="B132" s="226"/>
      <c r="C132" s="226"/>
      <c r="D132" s="528"/>
      <c r="E132" s="226"/>
      <c r="F132" s="226"/>
      <c r="G132" s="226"/>
      <c r="H132" s="226"/>
      <c r="I132" s="226"/>
      <c r="J132" s="226"/>
      <c r="K132" s="226"/>
      <c r="L132" s="226"/>
      <c r="M132" s="226"/>
      <c r="Q132" s="211" t="s">
        <v>30</v>
      </c>
      <c r="R132" s="224"/>
      <c r="T132" s="220">
        <f>IF(x&lt;T131,T129,T130)</f>
        <v>12.91938248122084</v>
      </c>
      <c r="U132" s="220">
        <f>IF(U$4&lt;U131,U129,U130)</f>
        <v>39.440483902801446</v>
      </c>
      <c r="V132" s="220">
        <f>IF(V$4&lt;V131,V129,V130)</f>
        <v>90.647576683610907</v>
      </c>
      <c r="W132" s="220">
        <f>IF(W$4&lt;W131,W129,W130)</f>
        <v>136.98736453413051</v>
      </c>
    </row>
    <row r="133" spans="1:23" ht="13.8" x14ac:dyDescent="0.25">
      <c r="A133" s="226"/>
      <c r="B133" s="226"/>
      <c r="C133" s="226"/>
      <c r="D133" s="528"/>
      <c r="E133" s="226"/>
      <c r="F133" s="226"/>
      <c r="G133" s="226"/>
      <c r="H133" s="226"/>
      <c r="I133" s="226"/>
      <c r="J133" s="226"/>
      <c r="K133" s="226"/>
      <c r="L133" s="226"/>
      <c r="M133" s="226"/>
    </row>
    <row r="134" spans="1:23" ht="14.4" x14ac:dyDescent="0.3">
      <c r="A134" s="226"/>
      <c r="B134" s="226"/>
      <c r="C134" s="226"/>
      <c r="D134" s="528"/>
      <c r="E134" s="226"/>
      <c r="F134" s="226"/>
      <c r="G134" s="226"/>
      <c r="H134" s="226"/>
      <c r="I134" s="226"/>
      <c r="J134" s="226"/>
      <c r="K134" s="226"/>
      <c r="L134" s="226"/>
      <c r="M134" s="226"/>
      <c r="Q134" s="211" t="s">
        <v>50</v>
      </c>
      <c r="R134" s="219"/>
      <c r="T134" s="220">
        <f>T132</f>
        <v>12.91938248122084</v>
      </c>
      <c r="U134" s="220">
        <f>U132</f>
        <v>39.440483902801446</v>
      </c>
      <c r="V134" s="220">
        <f>V132</f>
        <v>90.647576683610907</v>
      </c>
      <c r="W134" s="220">
        <f>W132</f>
        <v>136.98736453413051</v>
      </c>
    </row>
    <row r="135" spans="1:23" ht="13.8" x14ac:dyDescent="0.25">
      <c r="A135" s="226"/>
      <c r="B135" s="226"/>
      <c r="C135" s="226"/>
      <c r="D135" s="528"/>
      <c r="E135" s="226"/>
      <c r="F135" s="226"/>
      <c r="G135" s="226"/>
      <c r="H135" s="226"/>
      <c r="I135" s="226"/>
      <c r="J135" s="226"/>
      <c r="K135" s="226"/>
      <c r="L135" s="226"/>
      <c r="M135" s="226"/>
      <c r="Q135" s="211" t="s">
        <v>52</v>
      </c>
      <c r="R135" s="209">
        <v>15</v>
      </c>
      <c r="T135" s="220">
        <f>1/(SQRT(1+(SIGMA_ZETA/N_2)*(T134/d^2)^2))</f>
        <v>0.99902465887476266</v>
      </c>
      <c r="U135" s="220">
        <f>1/(SQRT(1+(SIGMA_ZETA/N_2)*(U134/d^2)^2))</f>
        <v>0.99101926336592272</v>
      </c>
      <c r="V135" s="220">
        <f>1/(SQRT(1+(SIGMA_ZETA/N_2)*(V134/d^2)^2))</f>
        <v>0.9551257147048775</v>
      </c>
      <c r="W135" s="220">
        <f>1/(SQRT(1+(SIGMA_ZETA/N_2)*(W134/d^2)^2))</f>
        <v>0.90549325514868628</v>
      </c>
    </row>
    <row r="136" spans="1:23" ht="13.8" x14ac:dyDescent="0.25">
      <c r="A136" s="226"/>
      <c r="B136" s="226"/>
      <c r="C136" s="226"/>
      <c r="D136" s="528"/>
      <c r="E136" s="226"/>
      <c r="F136" s="226"/>
      <c r="G136" s="226"/>
      <c r="H136" s="226"/>
      <c r="I136" s="226"/>
      <c r="J136" s="226"/>
      <c r="K136" s="226"/>
      <c r="L136" s="226"/>
      <c r="M136" s="226"/>
      <c r="Q136" s="211" t="s">
        <v>54</v>
      </c>
      <c r="R136" s="221">
        <v>22</v>
      </c>
      <c r="T136" s="220">
        <f>(x_T/T135^2)/(1+(x_T*SIGMA_ZETA_1/N_5)*(T134/d^2)^2)</f>
        <v>0.6402212470060592</v>
      </c>
      <c r="U136" s="220">
        <f>(E$9/U135^2)/(1+(E$9*SIGMA_ZETA_1/N_5)*(U134/d^2)^2)</f>
        <v>0.62529707078029195</v>
      </c>
      <c r="V136" s="220">
        <f>(F$9/V135^2)/(1+(F$9*SIGMA_ZETA_1/N_5)*(V134/d^2)^2)</f>
        <v>0.56879518297355314</v>
      </c>
      <c r="W136" s="220">
        <f>(G$9/W135^2)/(1+(G$9*SIGMA_ZETA_1/N_5)*(W134/d^2)^2)</f>
        <v>0.48669680663250092</v>
      </c>
    </row>
    <row r="137" spans="1:23" ht="13.8" x14ac:dyDescent="0.25">
      <c r="A137" s="226"/>
      <c r="B137" s="226"/>
      <c r="C137" s="226"/>
      <c r="D137" s="528"/>
      <c r="E137" s="226"/>
      <c r="F137" s="226"/>
      <c r="G137" s="226"/>
      <c r="H137" s="226"/>
      <c r="I137" s="226"/>
      <c r="J137" s="226"/>
      <c r="K137" s="226"/>
      <c r="L137" s="226"/>
      <c r="M137" s="226"/>
      <c r="Q137" s="211" t="s">
        <v>21</v>
      </c>
      <c r="R137" s="209">
        <v>12</v>
      </c>
      <c r="S137" s="211"/>
      <c r="T137" s="220">
        <f>1-(x/(3*F_GAMMA*T136))</f>
        <v>0.82644888523973103</v>
      </c>
      <c r="U137" s="220">
        <f>1-(U$4/(3*F_GAMMA*U136))</f>
        <v>0.82792227238878624</v>
      </c>
      <c r="V137" s="220">
        <f>1-(V$4/(3*F_GAMMA*V136))</f>
        <v>0.83406204884769286</v>
      </c>
      <c r="W137" s="220">
        <f>1-(W$4/(3*F_GAMMA*W136))</f>
        <v>0.82877772732900346</v>
      </c>
    </row>
    <row r="138" spans="1:23" ht="13.8" x14ac:dyDescent="0.25">
      <c r="A138" s="226"/>
      <c r="B138" s="226"/>
      <c r="C138" s="226"/>
      <c r="D138" s="528"/>
      <c r="E138" s="226"/>
      <c r="F138" s="226"/>
      <c r="G138" s="226"/>
      <c r="H138" s="226"/>
      <c r="I138" s="226"/>
      <c r="J138" s="226"/>
      <c r="K138" s="226"/>
      <c r="L138" s="226"/>
      <c r="M138" s="226"/>
      <c r="Q138" s="211" t="s">
        <v>57</v>
      </c>
      <c r="R138" s="221">
        <v>7</v>
      </c>
      <c r="T138" s="220">
        <f>(Q/(N_9*T135*P_1*T137))*SQRT(M*T_abs*Z/x)</f>
        <v>12.91938248122084</v>
      </c>
      <c r="U138" s="220">
        <f>(E$2/(N_9*U135*E$3*U137))*SQRT(M*U$6*E$8/U$4)</f>
        <v>39.440483902801446</v>
      </c>
      <c r="V138" s="220">
        <f>(F$2/(N_9*V135*F$3*V137))*SQRT(M*V$6*F$8/V$4)</f>
        <v>90.647576683611049</v>
      </c>
      <c r="W138" s="220">
        <f>(G$2/(N_9*W135*G$3*W137))*SQRT(M*W$6*G$8/W$4)</f>
        <v>136.98736453549202</v>
      </c>
    </row>
    <row r="139" spans="1:23" ht="13.8" x14ac:dyDescent="0.25">
      <c r="A139" s="226"/>
      <c r="B139" s="226"/>
      <c r="C139" s="226"/>
      <c r="D139" s="528"/>
      <c r="E139" s="226"/>
      <c r="F139" s="226"/>
      <c r="G139" s="226"/>
      <c r="H139" s="226"/>
      <c r="I139" s="226"/>
      <c r="J139" s="226"/>
      <c r="K139" s="226"/>
      <c r="L139" s="226"/>
      <c r="M139" s="226"/>
      <c r="Q139" s="211" t="s">
        <v>59</v>
      </c>
      <c r="R139" s="221">
        <v>7</v>
      </c>
      <c r="T139" s="220">
        <f>(Q/(0.667*N_9*T135*P_1))*SQRT(M*T_abs*Z/(T140))</f>
        <v>11.55064539614397</v>
      </c>
      <c r="U139" s="220">
        <f>(E$2/(0.667*N_9*U135*E$3))*SQRT(M*U$6*E$8/(U140))</f>
        <v>35.174580389549035</v>
      </c>
      <c r="V139" s="220">
        <f>(F$2/(0.667*N_9*V135*F$3))*SQRT(M*V$6*F$8/(V140))</f>
        <v>79.976466841065104</v>
      </c>
      <c r="W139" s="220">
        <f>(G$2/(0.667*N_9*W135*G$3))*SQRT(M*W$6*G$8/(W140))</f>
        <v>121.9926046036805</v>
      </c>
    </row>
    <row r="140" spans="1:23" ht="15.6" x14ac:dyDescent="0.35">
      <c r="A140" s="226"/>
      <c r="B140" s="226"/>
      <c r="C140" s="226"/>
      <c r="D140" s="528"/>
      <c r="E140" s="226"/>
      <c r="F140" s="226"/>
      <c r="G140" s="226"/>
      <c r="H140" s="226"/>
      <c r="I140" s="226"/>
      <c r="J140" s="226"/>
      <c r="K140" s="226"/>
      <c r="L140" s="226"/>
      <c r="M140" s="226"/>
      <c r="Q140" s="211" t="s">
        <v>84</v>
      </c>
      <c r="R140" s="221">
        <v>10</v>
      </c>
      <c r="T140" s="220">
        <f>F_GAMMA*T136</f>
        <v>0.6402212470060592</v>
      </c>
      <c r="U140" s="220">
        <f>F_GAMMA*U136</f>
        <v>0.62529707078029195</v>
      </c>
      <c r="V140" s="220">
        <f>F_GAMMA*V136</f>
        <v>0.56879518297355314</v>
      </c>
      <c r="W140" s="220">
        <f>F_GAMMA*W136</f>
        <v>0.48669680663250092</v>
      </c>
    </row>
    <row r="141" spans="1:23" ht="13.8" x14ac:dyDescent="0.25">
      <c r="A141" s="226"/>
      <c r="B141" s="226"/>
      <c r="C141" s="226"/>
      <c r="D141" s="528"/>
      <c r="E141" s="226"/>
      <c r="F141" s="226"/>
      <c r="G141" s="226"/>
      <c r="H141" s="226"/>
      <c r="I141" s="226"/>
      <c r="J141" s="226"/>
      <c r="K141" s="226"/>
      <c r="L141" s="226"/>
      <c r="M141" s="226"/>
      <c r="Q141" s="211" t="s">
        <v>30</v>
      </c>
      <c r="R141" s="224"/>
      <c r="T141" s="220">
        <f>IF(x&lt;T140,T138,T139)</f>
        <v>12.91938248122084</v>
      </c>
      <c r="U141" s="220">
        <f>IF(U$4&lt;U140,U138,U139)</f>
        <v>39.440483902801446</v>
      </c>
      <c r="V141" s="220">
        <f>IF(V$4&lt;V140,V138,V139)</f>
        <v>90.647576683611049</v>
      </c>
      <c r="W141" s="220">
        <f>IF(W$4&lt;W140,W138,W139)</f>
        <v>136.98736453549202</v>
      </c>
    </row>
    <row r="142" spans="1:23" ht="13.8" x14ac:dyDescent="0.25">
      <c r="A142" s="226"/>
      <c r="B142" s="226"/>
      <c r="C142" s="226"/>
      <c r="D142" s="528"/>
      <c r="E142" s="226"/>
      <c r="F142" s="226"/>
      <c r="G142" s="226"/>
      <c r="H142" s="226"/>
      <c r="I142" s="226"/>
      <c r="J142" s="226"/>
      <c r="K142" s="226"/>
      <c r="L142" s="226"/>
      <c r="M142" s="226"/>
    </row>
    <row r="143" spans="1:23" ht="14.4" x14ac:dyDescent="0.3">
      <c r="A143" s="226"/>
      <c r="B143" s="226"/>
      <c r="C143" s="226"/>
      <c r="D143" s="528"/>
      <c r="E143" s="226"/>
      <c r="F143" s="226"/>
      <c r="G143" s="226"/>
      <c r="H143" s="226"/>
      <c r="I143" s="226"/>
      <c r="J143" s="226"/>
      <c r="K143" s="226"/>
      <c r="L143" s="226"/>
      <c r="M143" s="226"/>
      <c r="Q143" s="211" t="s">
        <v>50</v>
      </c>
      <c r="R143" s="219"/>
      <c r="T143" s="220">
        <f>T141</f>
        <v>12.91938248122084</v>
      </c>
      <c r="U143" s="220">
        <f>U141</f>
        <v>39.440483902801446</v>
      </c>
      <c r="V143" s="220">
        <f>V141</f>
        <v>90.647576683611049</v>
      </c>
      <c r="W143" s="220">
        <f>W141</f>
        <v>136.98736453549202</v>
      </c>
    </row>
    <row r="144" spans="1:23" ht="13.8" x14ac:dyDescent="0.25">
      <c r="A144" s="226"/>
      <c r="B144" s="226"/>
      <c r="C144" s="226"/>
      <c r="D144" s="528"/>
      <c r="E144" s="226"/>
      <c r="F144" s="226"/>
      <c r="G144" s="226"/>
      <c r="H144" s="226"/>
      <c r="I144" s="226"/>
      <c r="J144" s="226"/>
      <c r="K144" s="226"/>
      <c r="L144" s="226"/>
      <c r="M144" s="226"/>
      <c r="Q144" s="211" t="s">
        <v>52</v>
      </c>
      <c r="R144" s="209">
        <v>15</v>
      </c>
      <c r="T144" s="220">
        <f>1/(SQRT(1+(SIGMA_ZETA/N_2)*(T143/d^2)^2))</f>
        <v>0.99902465887476266</v>
      </c>
      <c r="U144" s="220">
        <f>1/(SQRT(1+(SIGMA_ZETA/N_2)*(U143/d^2)^2))</f>
        <v>0.99101926336592272</v>
      </c>
      <c r="V144" s="220">
        <f>1/(SQRT(1+(SIGMA_ZETA/N_2)*(V143/d^2)^2))</f>
        <v>0.95512571470487728</v>
      </c>
      <c r="W144" s="220">
        <f>1/(SQRT(1+(SIGMA_ZETA/N_2)*(W143/d^2)^2))</f>
        <v>0.90549325514706558</v>
      </c>
    </row>
    <row r="145" spans="1:23" ht="13.8" x14ac:dyDescent="0.25">
      <c r="A145" s="226"/>
      <c r="B145" s="226"/>
      <c r="C145" s="226"/>
      <c r="D145" s="528"/>
      <c r="E145" s="226"/>
      <c r="F145" s="226"/>
      <c r="G145" s="226"/>
      <c r="H145" s="226"/>
      <c r="I145" s="226"/>
      <c r="J145" s="226"/>
      <c r="K145" s="226"/>
      <c r="L145" s="226"/>
      <c r="M145" s="226"/>
      <c r="Q145" s="211" t="s">
        <v>54</v>
      </c>
      <c r="R145" s="221">
        <v>22</v>
      </c>
      <c r="T145" s="220">
        <f>(x_T/T144^2)/(1+(x_T*SIGMA_ZETA_1/N_5)*(T143/d^2)^2)</f>
        <v>0.6402212470060592</v>
      </c>
      <c r="U145" s="220">
        <f>(E$9/U144^2)/(1+(E$9*SIGMA_ZETA_1/N_5)*(U143/d^2)^2)</f>
        <v>0.62529707078029195</v>
      </c>
      <c r="V145" s="220">
        <f>(F$9/V144^2)/(1+(F$9*SIGMA_ZETA_1/N_5)*(V143/d^2)^2)</f>
        <v>0.56879518297355325</v>
      </c>
      <c r="W145" s="220">
        <f>(G$9/W144^2)/(1+(G$9*SIGMA_ZETA_1/N_5)*(W143/d^2)^2)</f>
        <v>0.48669680663315312</v>
      </c>
    </row>
    <row r="146" spans="1:23" ht="13.8" x14ac:dyDescent="0.25">
      <c r="A146" s="226"/>
      <c r="B146" s="226"/>
      <c r="C146" s="226"/>
      <c r="D146" s="528"/>
      <c r="E146" s="226"/>
      <c r="F146" s="226"/>
      <c r="G146" s="226"/>
      <c r="H146" s="226"/>
      <c r="I146" s="226"/>
      <c r="J146" s="226"/>
      <c r="K146" s="226"/>
      <c r="L146" s="226"/>
      <c r="M146" s="226"/>
      <c r="Q146" s="211" t="s">
        <v>21</v>
      </c>
      <c r="R146" s="209">
        <v>12</v>
      </c>
      <c r="S146" s="211"/>
      <c r="T146" s="220">
        <f>1-(x/(3*F_GAMMA*T145))</f>
        <v>0.82644888523973103</v>
      </c>
      <c r="U146" s="220">
        <f>1-(U$4/(3*F_GAMMA*U145))</f>
        <v>0.82792227238878624</v>
      </c>
      <c r="V146" s="220">
        <f>1-(V$4/(3*F_GAMMA*V145))</f>
        <v>0.83406204884769286</v>
      </c>
      <c r="W146" s="220">
        <f>1-(W$4/(3*F_GAMMA*W145))</f>
        <v>0.82877772732923294</v>
      </c>
    </row>
    <row r="147" spans="1:23" ht="13.8" x14ac:dyDescent="0.25">
      <c r="A147" s="226"/>
      <c r="B147" s="226"/>
      <c r="C147" s="226"/>
      <c r="D147" s="528"/>
      <c r="E147" s="226"/>
      <c r="F147" s="226"/>
      <c r="G147" s="226"/>
      <c r="H147" s="226"/>
      <c r="I147" s="226"/>
      <c r="J147" s="226"/>
      <c r="K147" s="226"/>
      <c r="L147" s="226"/>
      <c r="M147" s="226"/>
      <c r="Q147" s="211" t="s">
        <v>57</v>
      </c>
      <c r="R147" s="221">
        <v>7</v>
      </c>
      <c r="T147" s="220">
        <f>(Q/(N_9*T144*P_1*T146))*SQRT(M*T_abs*Z/x)</f>
        <v>12.91938248122084</v>
      </c>
      <c r="U147" s="220">
        <f>(E$2/(N_9*U144*E$3*U146))*SQRT(M*U$6*E$8/U$4)</f>
        <v>39.440483902801446</v>
      </c>
      <c r="V147" s="220">
        <f>(F$2/(N_9*V144*F$3*V146))*SQRT(M*V$6*F$8/V$4)</f>
        <v>90.647576683611092</v>
      </c>
      <c r="W147" s="220">
        <f>(G$2/(N_9*W144*G$3*W146))*SQRT(M*W$6*G$8/W$4)</f>
        <v>136.98736453569927</v>
      </c>
    </row>
    <row r="148" spans="1:23" ht="13.8" x14ac:dyDescent="0.25">
      <c r="A148" s="226"/>
      <c r="B148" s="226"/>
      <c r="C148" s="226"/>
      <c r="D148" s="528"/>
      <c r="E148" s="226"/>
      <c r="F148" s="226"/>
      <c r="G148" s="226"/>
      <c r="H148" s="226"/>
      <c r="I148" s="226"/>
      <c r="J148" s="226"/>
      <c r="K148" s="226"/>
      <c r="L148" s="226"/>
      <c r="M148" s="226"/>
      <c r="Q148" s="211" t="s">
        <v>59</v>
      </c>
      <c r="R148" s="221">
        <v>7</v>
      </c>
      <c r="T148" s="220">
        <f>(Q/(0.667*N_9*T144*P_1))*SQRT(M*T_abs*Z/(T149))</f>
        <v>11.55064539614397</v>
      </c>
      <c r="U148" s="220">
        <f>(E$2/(0.667*N_9*U144*E$3))*SQRT(M*U$6*E$8/(U149))</f>
        <v>35.174580389549035</v>
      </c>
      <c r="V148" s="220">
        <f>(F$2/(0.667*N_9*V144*F$3))*SQRT(M*V$6*F$8/(V149))</f>
        <v>79.976466841065104</v>
      </c>
      <c r="W148" s="220">
        <f>(G$2/(0.667*N_9*W144*G$3))*SQRT(M*W$6*G$8/(W149))</f>
        <v>121.9926046038171</v>
      </c>
    </row>
    <row r="149" spans="1:23" ht="15.6" x14ac:dyDescent="0.35">
      <c r="A149" s="226"/>
      <c r="B149" s="226"/>
      <c r="C149" s="226"/>
      <c r="D149" s="528"/>
      <c r="E149" s="226"/>
      <c r="F149" s="226"/>
      <c r="G149" s="226"/>
      <c r="H149" s="226"/>
      <c r="I149" s="226"/>
      <c r="J149" s="226"/>
      <c r="K149" s="226"/>
      <c r="L149" s="226"/>
      <c r="M149" s="226"/>
      <c r="Q149" s="211" t="s">
        <v>84</v>
      </c>
      <c r="R149" s="221">
        <v>10</v>
      </c>
      <c r="T149" s="220">
        <f>F_GAMMA*T145</f>
        <v>0.6402212470060592</v>
      </c>
      <c r="U149" s="220">
        <f>F_GAMMA*U145</f>
        <v>0.62529707078029195</v>
      </c>
      <c r="V149" s="220">
        <f>F_GAMMA*V145</f>
        <v>0.56879518297355325</v>
      </c>
      <c r="W149" s="220">
        <f>F_GAMMA*W145</f>
        <v>0.48669680663315312</v>
      </c>
    </row>
    <row r="150" spans="1:23" ht="13.8" x14ac:dyDescent="0.25">
      <c r="A150" s="226"/>
      <c r="B150" s="226"/>
      <c r="C150" s="226"/>
      <c r="D150" s="528"/>
      <c r="E150" s="226"/>
      <c r="F150" s="226"/>
      <c r="G150" s="226"/>
      <c r="H150" s="226"/>
      <c r="I150" s="226"/>
      <c r="J150" s="226"/>
      <c r="K150" s="226"/>
      <c r="L150" s="226"/>
      <c r="M150" s="226"/>
      <c r="Q150" s="211" t="s">
        <v>30</v>
      </c>
      <c r="R150" s="224"/>
      <c r="T150" s="220">
        <f>IF(x&lt;T149,T147,T148)</f>
        <v>12.91938248122084</v>
      </c>
      <c r="U150" s="220">
        <f>IF(U$4&lt;U149,U147,U148)</f>
        <v>39.440483902801446</v>
      </c>
      <c r="V150" s="220">
        <f>IF(V$4&lt;V149,V147,V148)</f>
        <v>90.647576683611092</v>
      </c>
      <c r="W150" s="220">
        <f>IF(W$4&lt;W149,W147,W148)</f>
        <v>136.98736453569927</v>
      </c>
    </row>
    <row r="151" spans="1:23" ht="13.8" x14ac:dyDescent="0.25">
      <c r="A151" s="226"/>
      <c r="B151" s="226"/>
      <c r="C151" s="226"/>
      <c r="D151" s="528"/>
      <c r="E151" s="226"/>
      <c r="F151" s="226"/>
      <c r="G151" s="226"/>
      <c r="H151" s="226"/>
      <c r="I151" s="226"/>
      <c r="J151" s="226"/>
      <c r="K151" s="226"/>
      <c r="L151" s="226"/>
      <c r="M151" s="226"/>
    </row>
    <row r="152" spans="1:23" ht="14.4" x14ac:dyDescent="0.3">
      <c r="A152" s="226"/>
      <c r="B152" s="226"/>
      <c r="C152" s="226"/>
      <c r="D152" s="528"/>
      <c r="E152" s="226"/>
      <c r="F152" s="226"/>
      <c r="G152" s="226"/>
      <c r="H152" s="226"/>
      <c r="I152" s="226"/>
      <c r="J152" s="226"/>
      <c r="K152" s="226"/>
      <c r="L152" s="226"/>
      <c r="M152" s="226"/>
      <c r="Q152" s="211" t="s">
        <v>50</v>
      </c>
      <c r="R152" s="219"/>
      <c r="T152" s="220">
        <f>T150</f>
        <v>12.91938248122084</v>
      </c>
      <c r="U152" s="220">
        <f>U150</f>
        <v>39.440483902801446</v>
      </c>
      <c r="V152" s="220">
        <f>V150</f>
        <v>90.647576683611092</v>
      </c>
      <c r="W152" s="220">
        <f>W150</f>
        <v>136.98736453569927</v>
      </c>
    </row>
    <row r="153" spans="1:23" ht="13.8" x14ac:dyDescent="0.25">
      <c r="A153" s="226"/>
      <c r="B153" s="226"/>
      <c r="C153" s="226"/>
      <c r="D153" s="528"/>
      <c r="E153" s="226"/>
      <c r="F153" s="226"/>
      <c r="G153" s="226"/>
      <c r="H153" s="226"/>
      <c r="I153" s="226"/>
      <c r="J153" s="226"/>
      <c r="K153" s="226"/>
      <c r="L153" s="226"/>
      <c r="M153" s="226"/>
      <c r="Q153" s="211" t="s">
        <v>52</v>
      </c>
      <c r="R153" s="209">
        <v>15</v>
      </c>
      <c r="T153" s="220">
        <f>1/(SQRT(1+(SIGMA_ZETA/N_2)*(T152/d^2)^2))</f>
        <v>0.99902465887476266</v>
      </c>
      <c r="U153" s="220">
        <f>1/(SQRT(1+(SIGMA_ZETA/N_2)*(U152/d^2)^2))</f>
        <v>0.99101926336592272</v>
      </c>
      <c r="V153" s="220">
        <f>1/(SQRT(1+(SIGMA_ZETA/N_2)*(V152/d^2)^2))</f>
        <v>0.95512571470487728</v>
      </c>
      <c r="W153" s="220">
        <f>1/(SQRT(1+(SIGMA_ZETA/N_2)*(W152/d^2)^2))</f>
        <v>0.90549325514681889</v>
      </c>
    </row>
    <row r="154" spans="1:23" ht="13.8" x14ac:dyDescent="0.25">
      <c r="A154" s="226"/>
      <c r="B154" s="226"/>
      <c r="C154" s="226"/>
      <c r="D154" s="528"/>
      <c r="E154" s="226"/>
      <c r="F154" s="226"/>
      <c r="G154" s="226"/>
      <c r="H154" s="226"/>
      <c r="I154" s="226"/>
      <c r="J154" s="226"/>
      <c r="K154" s="226"/>
      <c r="L154" s="226"/>
      <c r="M154" s="226"/>
      <c r="Q154" s="211" t="s">
        <v>54</v>
      </c>
      <c r="R154" s="221">
        <v>22</v>
      </c>
      <c r="T154" s="220">
        <f>(x_T/T153^2)/(1+(x_T*SIGMA_ZETA_1/N_5)*(T152/d^2)^2)</f>
        <v>0.6402212470060592</v>
      </c>
      <c r="U154" s="220">
        <f>(E$9/U153^2)/(1+(E$9*SIGMA_ZETA_1/N_5)*(U152/d^2)^2)</f>
        <v>0.62529707078029195</v>
      </c>
      <c r="V154" s="220">
        <f>(F$9/V153^2)/(1+(F$9*SIGMA_ZETA_1/N_5)*(V152/d^2)^2)</f>
        <v>0.56879518297355325</v>
      </c>
      <c r="W154" s="220">
        <f>(G$9/W153^2)/(1+(G$9*SIGMA_ZETA_1/N_5)*(W152/d^2)^2)</f>
        <v>0.48669680663325232</v>
      </c>
    </row>
    <row r="155" spans="1:23" ht="13.8" x14ac:dyDescent="0.25">
      <c r="A155" s="226"/>
      <c r="B155" s="226"/>
      <c r="C155" s="226"/>
      <c r="D155" s="528"/>
      <c r="E155" s="226"/>
      <c r="F155" s="226"/>
      <c r="G155" s="226"/>
      <c r="H155" s="226"/>
      <c r="I155" s="226"/>
      <c r="J155" s="226"/>
      <c r="K155" s="226"/>
      <c r="L155" s="226"/>
      <c r="M155" s="226"/>
      <c r="Q155" s="211" t="s">
        <v>21</v>
      </c>
      <c r="R155" s="209">
        <v>12</v>
      </c>
      <c r="S155" s="211"/>
      <c r="T155" s="220">
        <f>1-(x/(3*F_GAMMA*T154))</f>
        <v>0.82644888523973103</v>
      </c>
      <c r="U155" s="220">
        <f>1-(U$4/(3*F_GAMMA*U154))</f>
        <v>0.82792227238878624</v>
      </c>
      <c r="V155" s="220">
        <f>1-(V$4/(3*F_GAMMA*V154))</f>
        <v>0.83406204884769286</v>
      </c>
      <c r="W155" s="220">
        <f>1-(W$4/(3*F_GAMMA*W154))</f>
        <v>0.8287777273292678</v>
      </c>
    </row>
    <row r="156" spans="1:23" ht="13.8" x14ac:dyDescent="0.25">
      <c r="A156" s="226"/>
      <c r="B156" s="226"/>
      <c r="C156" s="226"/>
      <c r="D156" s="528"/>
      <c r="E156" s="226"/>
      <c r="F156" s="226"/>
      <c r="G156" s="226"/>
      <c r="H156" s="226"/>
      <c r="I156" s="226"/>
      <c r="J156" s="226"/>
      <c r="K156" s="226"/>
      <c r="L156" s="226"/>
      <c r="M156" s="226"/>
      <c r="Q156" s="211" t="s">
        <v>57</v>
      </c>
      <c r="R156" s="221">
        <v>7</v>
      </c>
      <c r="T156" s="220">
        <f>(Q/(N_9*T153*P_1*T155))*SQRT(M*T_abs*Z/x)</f>
        <v>12.91938248122084</v>
      </c>
      <c r="U156" s="220">
        <f>(E$2/(N_9*U153*E$3*U155))*SQRT(M*U$6*E$8/U$4)</f>
        <v>39.440483902801446</v>
      </c>
      <c r="V156" s="220">
        <f>(F$2/(N_9*V153*F$3*V155))*SQRT(M*V$6*F$8/V$4)</f>
        <v>90.647576683611092</v>
      </c>
      <c r="W156" s="220">
        <f>(G$2/(N_9*W153*G$3*W155))*SQRT(M*W$6*G$8/W$4)</f>
        <v>136.98736453573082</v>
      </c>
    </row>
    <row r="157" spans="1:23" ht="13.8" x14ac:dyDescent="0.25">
      <c r="A157" s="226"/>
      <c r="B157" s="226"/>
      <c r="C157" s="226"/>
      <c r="D157" s="528"/>
      <c r="E157" s="226"/>
      <c r="F157" s="226"/>
      <c r="G157" s="226"/>
      <c r="H157" s="226"/>
      <c r="I157" s="226"/>
      <c r="J157" s="226"/>
      <c r="K157" s="226"/>
      <c r="L157" s="226"/>
      <c r="M157" s="226"/>
      <c r="Q157" s="211" t="s">
        <v>59</v>
      </c>
      <c r="R157" s="221">
        <v>7</v>
      </c>
      <c r="T157" s="220">
        <f>(Q/(0.667*N_9*T153*P_1))*SQRT(M*T_abs*Z/(T158))</f>
        <v>11.55064539614397</v>
      </c>
      <c r="U157" s="220">
        <f>(E$2/(0.667*N_9*U153*E$3))*SQRT(M*U$6*E$8/(U158))</f>
        <v>35.174580389549035</v>
      </c>
      <c r="V157" s="220">
        <f>(F$2/(0.667*N_9*V153*F$3))*SQRT(M*V$6*F$8/(V158))</f>
        <v>79.976466841065104</v>
      </c>
      <c r="W157" s="220">
        <f>(G$2/(0.667*N_9*W153*G$3))*SQRT(M*W$6*G$8/(W158))</f>
        <v>121.99260460383789</v>
      </c>
    </row>
    <row r="158" spans="1:23" ht="15.6" x14ac:dyDescent="0.35">
      <c r="A158" s="226"/>
      <c r="B158" s="226"/>
      <c r="C158" s="226"/>
      <c r="D158" s="528"/>
      <c r="E158" s="226"/>
      <c r="F158" s="226"/>
      <c r="G158" s="226"/>
      <c r="H158" s="226"/>
      <c r="I158" s="226"/>
      <c r="J158" s="226"/>
      <c r="K158" s="226"/>
      <c r="L158" s="226"/>
      <c r="M158" s="226"/>
      <c r="Q158" s="211" t="s">
        <v>84</v>
      </c>
      <c r="R158" s="221">
        <v>10</v>
      </c>
      <c r="T158" s="220">
        <f>F_GAMMA*T154</f>
        <v>0.6402212470060592</v>
      </c>
      <c r="U158" s="220">
        <f>F_GAMMA*U154</f>
        <v>0.62529707078029195</v>
      </c>
      <c r="V158" s="220">
        <f>F_GAMMA*V154</f>
        <v>0.56879518297355325</v>
      </c>
      <c r="W158" s="220">
        <f>F_GAMMA*W154</f>
        <v>0.48669680663325232</v>
      </c>
    </row>
    <row r="159" spans="1:23" ht="13.8" x14ac:dyDescent="0.25">
      <c r="A159" s="226"/>
      <c r="B159" s="226"/>
      <c r="C159" s="226"/>
      <c r="D159" s="528"/>
      <c r="E159" s="226"/>
      <c r="F159" s="226"/>
      <c r="G159" s="226"/>
      <c r="H159" s="226"/>
      <c r="I159" s="226"/>
      <c r="J159" s="226"/>
      <c r="K159" s="226"/>
      <c r="L159" s="226"/>
      <c r="M159" s="226"/>
      <c r="Q159" s="211" t="s">
        <v>30</v>
      </c>
      <c r="R159" s="224"/>
      <c r="T159" s="220">
        <f>IF(x&lt;T158,T156,T157)</f>
        <v>12.91938248122084</v>
      </c>
      <c r="U159" s="220">
        <f>IF(U$4&lt;U158,U156,U157)</f>
        <v>39.440483902801446</v>
      </c>
      <c r="V159" s="220">
        <f>IF(V$4&lt;V158,V156,V157)</f>
        <v>90.647576683611092</v>
      </c>
      <c r="W159" s="220">
        <f>IF(W$4&lt;W158,W156,W157)</f>
        <v>136.98736453573082</v>
      </c>
    </row>
    <row r="160" spans="1:23" ht="13.8" x14ac:dyDescent="0.25">
      <c r="A160" s="226"/>
      <c r="B160" s="226"/>
      <c r="C160" s="226"/>
      <c r="D160" s="528"/>
      <c r="E160" s="226"/>
      <c r="F160" s="226"/>
      <c r="G160" s="226"/>
      <c r="H160" s="226"/>
      <c r="I160" s="226"/>
      <c r="J160" s="226"/>
      <c r="K160" s="226"/>
      <c r="L160" s="226"/>
      <c r="M160" s="226"/>
    </row>
    <row r="161" spans="1:23" ht="14.4" x14ac:dyDescent="0.3">
      <c r="A161" s="226"/>
      <c r="B161" s="226"/>
      <c r="C161" s="226"/>
      <c r="D161" s="528"/>
      <c r="E161" s="226"/>
      <c r="F161" s="226"/>
      <c r="G161" s="226"/>
      <c r="H161" s="226"/>
      <c r="I161" s="226"/>
      <c r="J161" s="226"/>
      <c r="K161" s="226"/>
      <c r="L161" s="226"/>
      <c r="M161" s="226"/>
      <c r="Q161" s="211" t="s">
        <v>50</v>
      </c>
      <c r="R161" s="219"/>
      <c r="T161" s="220">
        <f>T159</f>
        <v>12.91938248122084</v>
      </c>
      <c r="U161" s="220">
        <f>U159</f>
        <v>39.440483902801446</v>
      </c>
      <c r="V161" s="220">
        <f>V159</f>
        <v>90.647576683611092</v>
      </c>
      <c r="W161" s="220">
        <f>W159</f>
        <v>136.98736453573082</v>
      </c>
    </row>
    <row r="162" spans="1:23" ht="13.8" x14ac:dyDescent="0.25">
      <c r="A162" s="226"/>
      <c r="B162" s="226"/>
      <c r="C162" s="226"/>
      <c r="D162" s="528"/>
      <c r="E162" s="226"/>
      <c r="F162" s="226"/>
      <c r="G162" s="226"/>
      <c r="H162" s="226"/>
      <c r="I162" s="226"/>
      <c r="J162" s="226"/>
      <c r="K162" s="226"/>
      <c r="L162" s="226"/>
      <c r="M162" s="226"/>
      <c r="Q162" s="211" t="s">
        <v>52</v>
      </c>
      <c r="R162" s="209">
        <v>15</v>
      </c>
      <c r="T162" s="220">
        <f>1/(SQRT(1+(SIGMA_ZETA/N_2)*(T161/d^2)^2))</f>
        <v>0.99902465887476266</v>
      </c>
      <c r="U162" s="220">
        <f>1/(SQRT(1+(SIGMA_ZETA/N_2)*(U161/d^2)^2))</f>
        <v>0.99101926336592272</v>
      </c>
      <c r="V162" s="220">
        <f>1/(SQRT(1+(SIGMA_ZETA/N_2)*(V161/d^2)^2))</f>
        <v>0.95512571470487728</v>
      </c>
      <c r="W162" s="220">
        <f>1/(SQRT(1+(SIGMA_ZETA/N_2)*(W161/d^2)^2))</f>
        <v>0.90549325514678136</v>
      </c>
    </row>
    <row r="163" spans="1:23" ht="13.8" x14ac:dyDescent="0.25">
      <c r="A163" s="226"/>
      <c r="B163" s="226"/>
      <c r="C163" s="226"/>
      <c r="D163" s="528"/>
      <c r="E163" s="226"/>
      <c r="F163" s="226"/>
      <c r="G163" s="226"/>
      <c r="H163" s="226"/>
      <c r="I163" s="226"/>
      <c r="J163" s="226"/>
      <c r="K163" s="226"/>
      <c r="L163" s="226"/>
      <c r="M163" s="226"/>
      <c r="Q163" s="211" t="s">
        <v>54</v>
      </c>
      <c r="R163" s="221">
        <v>22</v>
      </c>
      <c r="T163" s="220">
        <f>(x_T/T162^2)/(1+(x_T*SIGMA_ZETA_1/N_5)*(T161/d^2)^2)</f>
        <v>0.6402212470060592</v>
      </c>
      <c r="U163" s="220">
        <f>(E$9/U162^2)/(1+(E$9*SIGMA_ZETA_1/N_5)*(U161/d^2)^2)</f>
        <v>0.62529707078029195</v>
      </c>
      <c r="V163" s="220">
        <f>(F$9/V162^2)/(1+(F$9*SIGMA_ZETA_1/N_5)*(V161/d^2)^2)</f>
        <v>0.56879518297355325</v>
      </c>
      <c r="W163" s="220">
        <f>(G$9/W162^2)/(1+(G$9*SIGMA_ZETA_1/N_5)*(W161/d^2)^2)</f>
        <v>0.48669680663326753</v>
      </c>
    </row>
    <row r="164" spans="1:23" ht="13.8" x14ac:dyDescent="0.25">
      <c r="A164" s="226"/>
      <c r="B164" s="226"/>
      <c r="C164" s="226"/>
      <c r="D164" s="528"/>
      <c r="E164" s="226"/>
      <c r="F164" s="226"/>
      <c r="G164" s="226"/>
      <c r="H164" s="226"/>
      <c r="I164" s="226"/>
      <c r="J164" s="226"/>
      <c r="K164" s="226"/>
      <c r="L164" s="226"/>
      <c r="M164" s="226"/>
      <c r="Q164" s="211" t="s">
        <v>21</v>
      </c>
      <c r="R164" s="209">
        <v>12</v>
      </c>
      <c r="S164" s="211"/>
      <c r="T164" s="220">
        <f>1-(x/(3*F_GAMMA*T163))</f>
        <v>0.82644888523973103</v>
      </c>
      <c r="U164" s="220">
        <f>1-(U$4/(3*F_GAMMA*U163))</f>
        <v>0.82792227238878624</v>
      </c>
      <c r="V164" s="220">
        <f>1-(V$4/(3*F_GAMMA*V163))</f>
        <v>0.83406204884769286</v>
      </c>
      <c r="W164" s="220">
        <f>1-(W$4/(3*F_GAMMA*W163))</f>
        <v>0.82877772732927313</v>
      </c>
    </row>
    <row r="165" spans="1:23" ht="13.8" x14ac:dyDescent="0.25">
      <c r="A165" s="226"/>
      <c r="B165" s="226"/>
      <c r="C165" s="226"/>
      <c r="D165" s="528"/>
      <c r="E165" s="226"/>
      <c r="F165" s="226"/>
      <c r="G165" s="226"/>
      <c r="H165" s="226"/>
      <c r="I165" s="226"/>
      <c r="J165" s="226"/>
      <c r="K165" s="226"/>
      <c r="L165" s="226"/>
      <c r="M165" s="226"/>
      <c r="Q165" s="211" t="s">
        <v>57</v>
      </c>
      <c r="R165" s="221">
        <v>7</v>
      </c>
      <c r="T165" s="220">
        <f>(Q/(N_9*T162*P_1*T164))*SQRT(M*T_abs*Z/x)</f>
        <v>12.91938248122084</v>
      </c>
      <c r="U165" s="220">
        <f>(E$2/(N_9*U162*E$3*U164))*SQRT(M*U$6*E$8/U$4)</f>
        <v>39.440483902801446</v>
      </c>
      <c r="V165" s="220">
        <f>(F$2/(N_9*V162*F$3*V164))*SQRT(M*V$6*F$8/V$4)</f>
        <v>90.647576683611092</v>
      </c>
      <c r="W165" s="220">
        <f>(G$2/(N_9*W162*G$3*W164))*SQRT(M*W$6*G$8/W$4)</f>
        <v>136.98736453573562</v>
      </c>
    </row>
    <row r="166" spans="1:23" ht="13.8" x14ac:dyDescent="0.25">
      <c r="A166" s="226"/>
      <c r="B166" s="226"/>
      <c r="C166" s="226"/>
      <c r="D166" s="528"/>
      <c r="E166" s="226"/>
      <c r="F166" s="226"/>
      <c r="G166" s="226"/>
      <c r="H166" s="226"/>
      <c r="I166" s="226"/>
      <c r="J166" s="226"/>
      <c r="K166" s="226"/>
      <c r="L166" s="226"/>
      <c r="M166" s="226"/>
      <c r="Q166" s="211" t="s">
        <v>59</v>
      </c>
      <c r="R166" s="221">
        <v>7</v>
      </c>
      <c r="T166" s="220">
        <f>(Q/(0.667*N_9*T162*P_1))*SQRT(M*T_abs*Z/(T167))</f>
        <v>11.55064539614397</v>
      </c>
      <c r="U166" s="220">
        <f>(E$2/(0.667*N_9*U162*E$3))*SQRT(M*U$6*E$8/(U167))</f>
        <v>35.174580389549035</v>
      </c>
      <c r="V166" s="220">
        <f>(F$2/(0.667*N_9*V162*F$3))*SQRT(M*V$6*F$8/(V167))</f>
        <v>79.976466841065104</v>
      </c>
      <c r="W166" s="220">
        <f>(G$2/(0.667*N_9*W162*G$3))*SQRT(M*W$6*G$8/(W167))</f>
        <v>121.99260460384104</v>
      </c>
    </row>
    <row r="167" spans="1:23" ht="15.6" x14ac:dyDescent="0.35">
      <c r="A167" s="226"/>
      <c r="B167" s="226"/>
      <c r="C167" s="226"/>
      <c r="D167" s="528"/>
      <c r="E167" s="226"/>
      <c r="F167" s="226"/>
      <c r="G167" s="226"/>
      <c r="H167" s="226"/>
      <c r="I167" s="226"/>
      <c r="J167" s="226"/>
      <c r="K167" s="226"/>
      <c r="L167" s="226"/>
      <c r="M167" s="226"/>
      <c r="Q167" s="211" t="s">
        <v>84</v>
      </c>
      <c r="R167" s="221">
        <v>10</v>
      </c>
      <c r="T167" s="220">
        <f>F_GAMMA*T163</f>
        <v>0.6402212470060592</v>
      </c>
      <c r="U167" s="220">
        <f>F_GAMMA*U163</f>
        <v>0.62529707078029195</v>
      </c>
      <c r="V167" s="220">
        <f>F_GAMMA*V163</f>
        <v>0.56879518297355325</v>
      </c>
      <c r="W167" s="220">
        <f>F_GAMMA*W163</f>
        <v>0.48669680663326753</v>
      </c>
    </row>
    <row r="168" spans="1:23" ht="13.8" x14ac:dyDescent="0.25">
      <c r="A168" s="226"/>
      <c r="B168" s="226"/>
      <c r="C168" s="226"/>
      <c r="D168" s="528"/>
      <c r="E168" s="226"/>
      <c r="F168" s="226"/>
      <c r="G168" s="226"/>
      <c r="H168" s="226"/>
      <c r="I168" s="226"/>
      <c r="J168" s="226"/>
      <c r="K168" s="226"/>
      <c r="L168" s="226"/>
      <c r="M168" s="226"/>
      <c r="Q168" s="211" t="s">
        <v>30</v>
      </c>
      <c r="R168" s="224"/>
      <c r="T168" s="220">
        <f>IF(x&lt;T167,T165,T166)</f>
        <v>12.91938248122084</v>
      </c>
      <c r="U168" s="220">
        <f>IF(U$4&lt;U167,U165,U166)</f>
        <v>39.440483902801446</v>
      </c>
      <c r="V168" s="220">
        <f>IF(V$4&lt;V167,V165,V166)</f>
        <v>90.647576683611092</v>
      </c>
      <c r="W168" s="220">
        <f>IF(W$4&lt;W167,W165,W166)</f>
        <v>136.98736453573562</v>
      </c>
    </row>
    <row r="169" spans="1:23" ht="13.8" x14ac:dyDescent="0.25">
      <c r="A169" s="226"/>
      <c r="B169" s="226"/>
      <c r="C169" s="226"/>
      <c r="D169" s="528"/>
      <c r="E169" s="226"/>
      <c r="F169" s="226"/>
      <c r="G169" s="226"/>
      <c r="H169" s="226"/>
      <c r="I169" s="226"/>
      <c r="J169" s="226"/>
      <c r="K169" s="226"/>
      <c r="L169" s="226"/>
      <c r="M169" s="226"/>
    </row>
    <row r="170" spans="1:23" ht="14.4" x14ac:dyDescent="0.3">
      <c r="A170" s="226"/>
      <c r="B170" s="226"/>
      <c r="C170" s="226"/>
      <c r="D170" s="528"/>
      <c r="E170" s="226"/>
      <c r="F170" s="226"/>
      <c r="G170" s="226"/>
      <c r="H170" s="226"/>
      <c r="I170" s="226"/>
      <c r="J170" s="226"/>
      <c r="K170" s="226"/>
      <c r="L170" s="226"/>
      <c r="M170" s="226"/>
      <c r="Q170" s="211" t="s">
        <v>50</v>
      </c>
      <c r="R170" s="219"/>
      <c r="T170" s="220">
        <f>T168</f>
        <v>12.91938248122084</v>
      </c>
      <c r="U170" s="220">
        <f>U168</f>
        <v>39.440483902801446</v>
      </c>
      <c r="V170" s="220">
        <f>V168</f>
        <v>90.647576683611092</v>
      </c>
      <c r="W170" s="220">
        <f>W168</f>
        <v>136.98736453573562</v>
      </c>
    </row>
    <row r="171" spans="1:23" ht="13.8" x14ac:dyDescent="0.25">
      <c r="A171" s="226"/>
      <c r="B171" s="226"/>
      <c r="C171" s="226"/>
      <c r="D171" s="528"/>
      <c r="E171" s="226"/>
      <c r="F171" s="226"/>
      <c r="G171" s="226"/>
      <c r="H171" s="226"/>
      <c r="I171" s="226"/>
      <c r="J171" s="226"/>
      <c r="K171" s="226"/>
      <c r="L171" s="226"/>
      <c r="M171" s="226"/>
      <c r="Q171" s="211" t="s">
        <v>52</v>
      </c>
      <c r="R171" s="209">
        <v>15</v>
      </c>
      <c r="T171" s="220">
        <f>1/(SQRT(1+(SIGMA_ZETA/N_2)*(T170/d^2)^2))</f>
        <v>0.99902465887476266</v>
      </c>
      <c r="U171" s="220">
        <f>1/(SQRT(1+(SIGMA_ZETA/N_2)*(U170/d^2)^2))</f>
        <v>0.99101926336592272</v>
      </c>
      <c r="V171" s="220">
        <f>1/(SQRT(1+(SIGMA_ZETA/N_2)*(V170/d^2)^2))</f>
        <v>0.95512571470487728</v>
      </c>
      <c r="W171" s="220">
        <f>1/(SQRT(1+(SIGMA_ZETA/N_2)*(W170/d^2)^2))</f>
        <v>0.9054932551467757</v>
      </c>
    </row>
    <row r="172" spans="1:23" ht="13.8" x14ac:dyDescent="0.25">
      <c r="A172" s="226"/>
      <c r="B172" s="226"/>
      <c r="C172" s="226"/>
      <c r="D172" s="528"/>
      <c r="E172" s="226"/>
      <c r="F172" s="226"/>
      <c r="G172" s="226"/>
      <c r="H172" s="226"/>
      <c r="I172" s="226"/>
      <c r="J172" s="226"/>
      <c r="K172" s="226"/>
      <c r="L172" s="226"/>
      <c r="M172" s="226"/>
      <c r="Q172" s="211" t="s">
        <v>54</v>
      </c>
      <c r="R172" s="221">
        <v>22</v>
      </c>
      <c r="T172" s="220">
        <f>(x_T/T171^2)/(1+(x_T*SIGMA_ZETA_1/N_5)*(T170/d^2)^2)</f>
        <v>0.6402212470060592</v>
      </c>
      <c r="U172" s="220">
        <f>(E$9/U171^2)/(1+(E$9*SIGMA_ZETA_1/N_5)*(U170/d^2)^2)</f>
        <v>0.62529707078029195</v>
      </c>
      <c r="V172" s="220">
        <f>(F$9/V171^2)/(1+(F$9*SIGMA_ZETA_1/N_5)*(V170/d^2)^2)</f>
        <v>0.56879518297355325</v>
      </c>
      <c r="W172" s="220">
        <f>(G$9/W171^2)/(1+(G$9*SIGMA_ZETA_1/N_5)*(W170/d^2)^2)</f>
        <v>0.48669680663326975</v>
      </c>
    </row>
    <row r="173" spans="1:23" ht="13.8" x14ac:dyDescent="0.25">
      <c r="A173" s="226"/>
      <c r="B173" s="226"/>
      <c r="C173" s="226"/>
      <c r="D173" s="528"/>
      <c r="E173" s="226"/>
      <c r="F173" s="226"/>
      <c r="G173" s="226"/>
      <c r="H173" s="226"/>
      <c r="I173" s="226"/>
      <c r="J173" s="226"/>
      <c r="K173" s="226"/>
      <c r="L173" s="226"/>
      <c r="M173" s="226"/>
      <c r="Q173" s="211" t="s">
        <v>21</v>
      </c>
      <c r="R173" s="209">
        <v>12</v>
      </c>
      <c r="S173" s="211"/>
      <c r="T173" s="220">
        <f>1-(x/(3*F_GAMMA*T172))</f>
        <v>0.82644888523973103</v>
      </c>
      <c r="U173" s="220">
        <f>1-(U$4/(3*F_GAMMA*U172))</f>
        <v>0.82792227238878624</v>
      </c>
      <c r="V173" s="220">
        <f>1-(V$4/(3*F_GAMMA*V172))</f>
        <v>0.83406204884769286</v>
      </c>
      <c r="W173" s="220">
        <f>1-(W$4/(3*F_GAMMA*W172))</f>
        <v>0.82877772732927402</v>
      </c>
    </row>
    <row r="174" spans="1:23" ht="13.8" x14ac:dyDescent="0.25">
      <c r="A174" s="226"/>
      <c r="B174" s="226"/>
      <c r="C174" s="226"/>
      <c r="D174" s="528"/>
      <c r="E174" s="226"/>
      <c r="F174" s="226"/>
      <c r="G174" s="226"/>
      <c r="H174" s="226"/>
      <c r="I174" s="226"/>
      <c r="J174" s="226"/>
      <c r="K174" s="226"/>
      <c r="L174" s="226"/>
      <c r="M174" s="226"/>
      <c r="Q174" s="211" t="s">
        <v>57</v>
      </c>
      <c r="R174" s="221">
        <v>7</v>
      </c>
      <c r="T174" s="220">
        <f>(Q/(N_9*T171*P_1*T173))*SQRT(M*T_abs*Z/x)</f>
        <v>12.91938248122084</v>
      </c>
      <c r="U174" s="220">
        <f>(E$2/(N_9*U171*E$3*U173))*SQRT(M*U$6*E$8/U$4)</f>
        <v>39.440483902801446</v>
      </c>
      <c r="V174" s="220">
        <f>(F$2/(N_9*V171*F$3*V173))*SQRT(M*V$6*F$8/V$4)</f>
        <v>90.647576683611092</v>
      </c>
      <c r="W174" s="220">
        <f>(G$2/(N_9*W171*G$3*W173))*SQRT(M*W$6*G$8/W$4)</f>
        <v>136.98736453573633</v>
      </c>
    </row>
    <row r="175" spans="1:23" ht="13.8" x14ac:dyDescent="0.25">
      <c r="A175" s="226"/>
      <c r="B175" s="226"/>
      <c r="C175" s="226"/>
      <c r="D175" s="528"/>
      <c r="E175" s="226"/>
      <c r="F175" s="226"/>
      <c r="G175" s="226"/>
      <c r="H175" s="226"/>
      <c r="I175" s="226"/>
      <c r="J175" s="226"/>
      <c r="K175" s="226"/>
      <c r="L175" s="226"/>
      <c r="M175" s="226"/>
      <c r="Q175" s="211" t="s">
        <v>59</v>
      </c>
      <c r="R175" s="221">
        <v>7</v>
      </c>
      <c r="T175" s="220">
        <f>(Q/(0.667*N_9*T171*P_1))*SQRT(M*T_abs*Z/(T176))</f>
        <v>11.55064539614397</v>
      </c>
      <c r="U175" s="220">
        <f>(E$2/(0.667*N_9*U171*E$3))*SQRT(M*U$6*E$8/(U176))</f>
        <v>35.174580389549035</v>
      </c>
      <c r="V175" s="220">
        <f>(F$2/(0.667*N_9*V171*F$3))*SQRT(M*V$6*F$8/(V176))</f>
        <v>79.976466841065104</v>
      </c>
      <c r="W175" s="220">
        <f>(G$2/(0.667*N_9*W171*G$3))*SQRT(M*W$6*G$8/(W176))</f>
        <v>121.99260460384154</v>
      </c>
    </row>
    <row r="176" spans="1:23" ht="15.6" x14ac:dyDescent="0.35">
      <c r="A176" s="226"/>
      <c r="B176" s="226"/>
      <c r="C176" s="226"/>
      <c r="D176" s="528"/>
      <c r="E176" s="226"/>
      <c r="F176" s="226"/>
      <c r="G176" s="226"/>
      <c r="H176" s="226"/>
      <c r="I176" s="226"/>
      <c r="J176" s="226"/>
      <c r="K176" s="226"/>
      <c r="L176" s="226"/>
      <c r="M176" s="226"/>
      <c r="Q176" s="211" t="s">
        <v>84</v>
      </c>
      <c r="R176" s="221">
        <v>10</v>
      </c>
      <c r="T176" s="220">
        <f>F_GAMMA*T172</f>
        <v>0.6402212470060592</v>
      </c>
      <c r="U176" s="220">
        <f>F_GAMMA*U172</f>
        <v>0.62529707078029195</v>
      </c>
      <c r="V176" s="220">
        <f>F_GAMMA*V172</f>
        <v>0.56879518297355325</v>
      </c>
      <c r="W176" s="220">
        <f>F_GAMMA*W172</f>
        <v>0.48669680663326975</v>
      </c>
    </row>
    <row r="177" spans="1:23" ht="13.8" x14ac:dyDescent="0.25">
      <c r="A177" s="226"/>
      <c r="B177" s="226"/>
      <c r="C177" s="226"/>
      <c r="D177" s="528"/>
      <c r="E177" s="226"/>
      <c r="F177" s="226"/>
      <c r="G177" s="226"/>
      <c r="H177" s="226"/>
      <c r="I177" s="226"/>
      <c r="J177" s="226"/>
      <c r="K177" s="226"/>
      <c r="L177" s="226"/>
      <c r="M177" s="226"/>
      <c r="Q177" s="211" t="s">
        <v>30</v>
      </c>
      <c r="R177" s="224"/>
      <c r="T177" s="220">
        <f>IF(x&lt;T176,T174,T175)</f>
        <v>12.91938248122084</v>
      </c>
      <c r="U177" s="220">
        <f>IF(U$4&lt;U176,U174,U175)</f>
        <v>39.440483902801446</v>
      </c>
      <c r="V177" s="220">
        <f>IF(V$4&lt;V176,V174,V175)</f>
        <v>90.647576683611092</v>
      </c>
      <c r="W177" s="220">
        <f>IF(W$4&lt;W176,W174,W175)</f>
        <v>136.98736453573633</v>
      </c>
    </row>
    <row r="178" spans="1:23" ht="13.8" x14ac:dyDescent="0.25">
      <c r="A178" s="226"/>
      <c r="B178" s="226"/>
      <c r="C178" s="226"/>
      <c r="D178" s="528"/>
      <c r="E178" s="226"/>
      <c r="F178" s="226"/>
      <c r="G178" s="226"/>
      <c r="H178" s="226"/>
      <c r="I178" s="226"/>
      <c r="J178" s="226"/>
      <c r="K178" s="226"/>
      <c r="L178" s="226"/>
      <c r="M178" s="226"/>
    </row>
    <row r="179" spans="1:23" ht="14.4" x14ac:dyDescent="0.3">
      <c r="A179" s="226"/>
      <c r="B179" s="226"/>
      <c r="C179" s="226"/>
      <c r="D179" s="528"/>
      <c r="E179" s="226"/>
      <c r="F179" s="226"/>
      <c r="G179" s="226"/>
      <c r="H179" s="226"/>
      <c r="I179" s="226"/>
      <c r="J179" s="226"/>
      <c r="K179" s="226"/>
      <c r="L179" s="226"/>
      <c r="M179" s="226"/>
      <c r="Q179" s="211" t="s">
        <v>50</v>
      </c>
      <c r="R179" s="219"/>
      <c r="T179" s="220">
        <f>T177</f>
        <v>12.91938248122084</v>
      </c>
      <c r="U179" s="220">
        <f>U177</f>
        <v>39.440483902801446</v>
      </c>
      <c r="V179" s="220">
        <f>V177</f>
        <v>90.647576683611092</v>
      </c>
      <c r="W179" s="220">
        <f>W177</f>
        <v>136.98736453573633</v>
      </c>
    </row>
    <row r="180" spans="1:23" ht="13.8" x14ac:dyDescent="0.25">
      <c r="A180" s="226"/>
      <c r="B180" s="226"/>
      <c r="C180" s="226"/>
      <c r="D180" s="528"/>
      <c r="E180" s="226"/>
      <c r="F180" s="226"/>
      <c r="G180" s="226"/>
      <c r="H180" s="226"/>
      <c r="I180" s="226"/>
      <c r="J180" s="226"/>
      <c r="K180" s="226"/>
      <c r="L180" s="226"/>
      <c r="M180" s="226"/>
      <c r="Q180" s="211" t="s">
        <v>52</v>
      </c>
      <c r="R180" s="209">
        <v>15</v>
      </c>
      <c r="T180" s="220">
        <f>1/(SQRT(1+(SIGMA_ZETA/N_2)*(T179/d^2)^2))</f>
        <v>0.99902465887476266</v>
      </c>
      <c r="U180" s="220">
        <f>1/(SQRT(1+(SIGMA_ZETA/N_2)*(U179/d^2)^2))</f>
        <v>0.99101926336592272</v>
      </c>
      <c r="V180" s="220">
        <f>1/(SQRT(1+(SIGMA_ZETA/N_2)*(V179/d^2)^2))</f>
        <v>0.95512571470487728</v>
      </c>
      <c r="W180" s="220">
        <f>1/(SQRT(1+(SIGMA_ZETA/N_2)*(W179/d^2)^2))</f>
        <v>0.90549325514677481</v>
      </c>
    </row>
    <row r="181" spans="1:23" ht="13.8" x14ac:dyDescent="0.25">
      <c r="A181" s="226"/>
      <c r="B181" s="226"/>
      <c r="C181" s="226"/>
      <c r="D181" s="528"/>
      <c r="E181" s="226"/>
      <c r="F181" s="226"/>
      <c r="G181" s="226"/>
      <c r="H181" s="226"/>
      <c r="I181" s="226"/>
      <c r="J181" s="226"/>
      <c r="K181" s="226"/>
      <c r="L181" s="226"/>
      <c r="M181" s="226"/>
      <c r="Q181" s="211" t="s">
        <v>54</v>
      </c>
      <c r="R181" s="221">
        <v>22</v>
      </c>
      <c r="T181" s="220">
        <f>(x_T/T180^2)/(1+(x_T*SIGMA_ZETA_1/N_5)*(T179/d^2)^2)</f>
        <v>0.6402212470060592</v>
      </c>
      <c r="U181" s="220">
        <f>(E$9/U180^2)/(1+(E$9*SIGMA_ZETA_1/N_5)*(U179/d^2)^2)</f>
        <v>0.62529707078029195</v>
      </c>
      <c r="V181" s="220">
        <f>(F$9/V180^2)/(1+(F$9*SIGMA_ZETA_1/N_5)*(V179/d^2)^2)</f>
        <v>0.56879518297355325</v>
      </c>
      <c r="W181" s="220">
        <f>(G$9/W180^2)/(1+(G$9*SIGMA_ZETA_1/N_5)*(W179/d^2)^2)</f>
        <v>0.48669680663327008</v>
      </c>
    </row>
    <row r="182" spans="1:23" ht="13.8" x14ac:dyDescent="0.25">
      <c r="A182" s="226"/>
      <c r="B182" s="226"/>
      <c r="C182" s="226"/>
      <c r="D182" s="528"/>
      <c r="E182" s="226"/>
      <c r="F182" s="226"/>
      <c r="G182" s="226"/>
      <c r="H182" s="226"/>
      <c r="I182" s="226"/>
      <c r="J182" s="226"/>
      <c r="K182" s="226"/>
      <c r="L182" s="226"/>
      <c r="M182" s="226"/>
      <c r="Q182" s="211" t="s">
        <v>21</v>
      </c>
      <c r="R182" s="209">
        <v>12</v>
      </c>
      <c r="S182" s="211"/>
      <c r="T182" s="220">
        <f>1-(x/(3*F_GAMMA*T181))</f>
        <v>0.82644888523973103</v>
      </c>
      <c r="U182" s="220">
        <f>1-(U$4/(3*F_GAMMA*U181))</f>
        <v>0.82792227238878624</v>
      </c>
      <c r="V182" s="220">
        <f>1-(V$4/(3*F_GAMMA*V181))</f>
        <v>0.83406204884769286</v>
      </c>
      <c r="W182" s="220">
        <f>1-(W$4/(3*F_GAMMA*W181))</f>
        <v>0.82877772732927402</v>
      </c>
    </row>
    <row r="183" spans="1:23" ht="13.8" x14ac:dyDescent="0.25">
      <c r="A183" s="226"/>
      <c r="B183" s="226"/>
      <c r="C183" s="226"/>
      <c r="D183" s="528"/>
      <c r="E183" s="226"/>
      <c r="F183" s="226"/>
      <c r="G183" s="226"/>
      <c r="H183" s="226"/>
      <c r="I183" s="226"/>
      <c r="J183" s="226"/>
      <c r="K183" s="226"/>
      <c r="L183" s="226"/>
      <c r="M183" s="226"/>
      <c r="Q183" s="211" t="s">
        <v>57</v>
      </c>
      <c r="R183" s="221">
        <v>7</v>
      </c>
      <c r="T183" s="220">
        <f>(Q/(N_9*T180*P_1*T182))*SQRT(M*T_abs*Z/x)</f>
        <v>12.91938248122084</v>
      </c>
      <c r="U183" s="220">
        <f>(E$2/(N_9*U180*E$3*U182))*SQRT(M*U$6*E$8/U$4)</f>
        <v>39.440483902801446</v>
      </c>
      <c r="V183" s="220">
        <f>(F$2/(N_9*V180*F$3*V182))*SQRT(M*V$6*F$8/V$4)</f>
        <v>90.647576683611092</v>
      </c>
      <c r="W183" s="220">
        <f>(G$2/(N_9*W180*G$3*W182))*SQRT(M*W$6*G$8/W$4)</f>
        <v>136.98736453573648</v>
      </c>
    </row>
    <row r="184" spans="1:23" ht="13.8" x14ac:dyDescent="0.25">
      <c r="A184" s="226"/>
      <c r="B184" s="226"/>
      <c r="C184" s="226"/>
      <c r="D184" s="528"/>
      <c r="E184" s="226"/>
      <c r="F184" s="226"/>
      <c r="G184" s="226"/>
      <c r="H184" s="226"/>
      <c r="I184" s="226"/>
      <c r="J184" s="226"/>
      <c r="K184" s="226"/>
      <c r="L184" s="226"/>
      <c r="M184" s="226"/>
      <c r="Q184" s="211" t="s">
        <v>59</v>
      </c>
      <c r="R184" s="221">
        <v>7</v>
      </c>
      <c r="T184" s="220">
        <f>(Q/(0.667*N_9*T180*P_1))*SQRT(M*T_abs*Z/(T185))</f>
        <v>11.55064539614397</v>
      </c>
      <c r="U184" s="220">
        <f>(E$2/(0.667*N_9*U180*E$3))*SQRT(M*U$6*E$8/(U185))</f>
        <v>35.174580389549035</v>
      </c>
      <c r="V184" s="220">
        <f>(F$2/(0.667*N_9*V180*F$3))*SQRT(M*V$6*F$8/(V185))</f>
        <v>79.976466841065104</v>
      </c>
      <c r="W184" s="220">
        <f>(G$2/(0.667*N_9*W180*G$3))*SQRT(M*W$6*G$8/(W185))</f>
        <v>121.99260460384161</v>
      </c>
    </row>
    <row r="185" spans="1:23" ht="13.8" x14ac:dyDescent="0.25">
      <c r="A185" s="226"/>
      <c r="B185" s="226"/>
      <c r="C185" s="226"/>
      <c r="D185" s="528"/>
      <c r="E185" s="226"/>
      <c r="F185" s="226"/>
      <c r="G185" s="226"/>
      <c r="H185" s="226"/>
      <c r="I185" s="226"/>
      <c r="J185" s="226"/>
      <c r="K185" s="226"/>
      <c r="L185" s="226"/>
      <c r="M185" s="226"/>
      <c r="Q185" s="211" t="s">
        <v>61</v>
      </c>
      <c r="R185" s="221">
        <v>10</v>
      </c>
      <c r="T185" s="220">
        <f>F_GAMMA*T181</f>
        <v>0.6402212470060592</v>
      </c>
      <c r="U185" s="220">
        <f>F_GAMMA*U181</f>
        <v>0.62529707078029195</v>
      </c>
      <c r="V185" s="220">
        <f>F_GAMMA*V181</f>
        <v>0.56879518297355325</v>
      </c>
      <c r="W185" s="220">
        <f>F_GAMMA*W181</f>
        <v>0.48669680663327008</v>
      </c>
    </row>
    <row r="186" spans="1:23" ht="15.6" x14ac:dyDescent="0.35">
      <c r="A186" s="226"/>
      <c r="B186" s="226"/>
      <c r="C186" s="226"/>
      <c r="D186" s="528"/>
      <c r="E186" s="226"/>
      <c r="F186" s="226"/>
      <c r="G186" s="226"/>
      <c r="H186" s="226"/>
      <c r="I186" s="226"/>
      <c r="J186" s="226"/>
      <c r="K186" s="226"/>
      <c r="L186" s="226"/>
      <c r="M186" s="226"/>
      <c r="Q186" s="211" t="s">
        <v>84</v>
      </c>
      <c r="R186" s="224"/>
      <c r="T186" s="220">
        <f>IF(x&lt;T185,T183,T184)</f>
        <v>12.91938248122084</v>
      </c>
      <c r="U186" s="220">
        <f>IF(U$4&lt;U185,U183,U184)</f>
        <v>39.440483902801446</v>
      </c>
      <c r="V186" s="220">
        <f>IF(V$4&lt;V185,V183,V184)</f>
        <v>90.647576683611092</v>
      </c>
      <c r="W186" s="220">
        <f>IF(W$4&lt;W185,W183,W184)</f>
        <v>136.98736453573648</v>
      </c>
    </row>
    <row r="187" spans="1:23" ht="13.8" x14ac:dyDescent="0.25">
      <c r="A187" s="226"/>
      <c r="B187" s="226"/>
      <c r="C187" s="226"/>
      <c r="D187" s="528"/>
      <c r="E187" s="226"/>
      <c r="F187" s="226"/>
      <c r="G187" s="226"/>
      <c r="H187" s="226"/>
      <c r="I187" s="226"/>
      <c r="J187" s="226"/>
      <c r="K187" s="226"/>
      <c r="L187" s="226"/>
      <c r="M187" s="226"/>
    </row>
    <row r="188" spans="1:23" ht="14.4" x14ac:dyDescent="0.3">
      <c r="A188" s="226"/>
      <c r="B188" s="226"/>
      <c r="C188" s="226"/>
      <c r="D188" s="528"/>
      <c r="E188" s="226"/>
      <c r="F188" s="226"/>
      <c r="G188" s="226"/>
      <c r="H188" s="226"/>
      <c r="I188" s="226"/>
      <c r="J188" s="226"/>
      <c r="K188" s="226"/>
      <c r="L188" s="226"/>
      <c r="M188" s="226"/>
      <c r="Q188" s="211" t="s">
        <v>50</v>
      </c>
      <c r="R188" s="219"/>
      <c r="T188" s="220">
        <f>T186</f>
        <v>12.91938248122084</v>
      </c>
      <c r="U188" s="220">
        <f>U186</f>
        <v>39.440483902801446</v>
      </c>
      <c r="V188" s="220">
        <f>V186</f>
        <v>90.647576683611092</v>
      </c>
      <c r="W188" s="220">
        <f>W186</f>
        <v>136.98736453573648</v>
      </c>
    </row>
    <row r="189" spans="1:23" ht="13.8" x14ac:dyDescent="0.25">
      <c r="A189" s="226"/>
      <c r="B189" s="226"/>
      <c r="C189" s="226"/>
      <c r="D189" s="528"/>
      <c r="E189" s="226"/>
      <c r="F189" s="226"/>
      <c r="G189" s="226"/>
      <c r="H189" s="226"/>
      <c r="I189" s="226"/>
      <c r="J189" s="226"/>
      <c r="K189" s="226"/>
      <c r="L189" s="226"/>
      <c r="M189" s="226"/>
      <c r="Q189" s="211" t="s">
        <v>52</v>
      </c>
      <c r="R189" s="209">
        <v>15</v>
      </c>
      <c r="T189" s="220">
        <f>1/(SQRT(1+(SIGMA_ZETA/N_2)*(T188/d^2)^2))</f>
        <v>0.99902465887476266</v>
      </c>
      <c r="U189" s="220">
        <f>1/(SQRT(1+(SIGMA_ZETA/N_2)*(U188/d^2)^2))</f>
        <v>0.99101926336592272</v>
      </c>
      <c r="V189" s="220">
        <f>1/(SQRT(1+(SIGMA_ZETA/N_2)*(V188/d^2)^2))</f>
        <v>0.95512571470487728</v>
      </c>
      <c r="W189" s="220">
        <f>1/(SQRT(1+(SIGMA_ZETA/N_2)*(W188/d^2)^2))</f>
        <v>0.9054932551467747</v>
      </c>
    </row>
    <row r="190" spans="1:23" ht="13.8" x14ac:dyDescent="0.25">
      <c r="A190" s="226"/>
      <c r="B190" s="226"/>
      <c r="C190" s="226"/>
      <c r="D190" s="528"/>
      <c r="E190" s="226"/>
      <c r="F190" s="226"/>
      <c r="G190" s="226"/>
      <c r="H190" s="226"/>
      <c r="I190" s="226"/>
      <c r="J190" s="226"/>
      <c r="K190" s="226"/>
      <c r="L190" s="226"/>
      <c r="M190" s="226"/>
      <c r="Q190" s="211" t="s">
        <v>54</v>
      </c>
      <c r="R190" s="221">
        <v>22</v>
      </c>
      <c r="T190" s="220">
        <f>(x_T/T189^2)/(1+(x_T*SIGMA_ZETA_1/N_5)*(T188/d^2)^2)</f>
        <v>0.6402212470060592</v>
      </c>
      <c r="U190" s="220">
        <f>(E$9/U189^2)/(1+(E$9*SIGMA_ZETA_1/N_5)*(U188/d^2)^2)</f>
        <v>0.62529707078029195</v>
      </c>
      <c r="V190" s="220">
        <f>(F$9/V189^2)/(1+(F$9*SIGMA_ZETA_1/N_5)*(V188/d^2)^2)</f>
        <v>0.56879518297355325</v>
      </c>
      <c r="W190" s="220">
        <f>(G$9/W189^2)/(1+(G$9*SIGMA_ZETA_1/N_5)*(W188/d^2)^2)</f>
        <v>0.48669680663327008</v>
      </c>
    </row>
    <row r="191" spans="1:23" ht="13.8" x14ac:dyDescent="0.25">
      <c r="A191" s="226"/>
      <c r="B191" s="226"/>
      <c r="C191" s="226"/>
      <c r="D191" s="528"/>
      <c r="E191" s="226"/>
      <c r="F191" s="226"/>
      <c r="G191" s="226"/>
      <c r="H191" s="226"/>
      <c r="I191" s="226"/>
      <c r="J191" s="226"/>
      <c r="K191" s="226"/>
      <c r="L191" s="226"/>
      <c r="M191" s="226"/>
      <c r="Q191" s="211" t="s">
        <v>21</v>
      </c>
      <c r="R191" s="209">
        <v>12</v>
      </c>
      <c r="S191" s="211"/>
      <c r="T191" s="220">
        <f>1-(x/(3*F_GAMMA*T190))</f>
        <v>0.82644888523973103</v>
      </c>
      <c r="U191" s="220">
        <f>1-(U$4/(3*F_GAMMA*U190))</f>
        <v>0.82792227238878624</v>
      </c>
      <c r="V191" s="220">
        <f>1-(V$4/(3*F_GAMMA*V190))</f>
        <v>0.83406204884769286</v>
      </c>
      <c r="W191" s="220">
        <f>1-(W$4/(3*F_GAMMA*W190))</f>
        <v>0.82877772732927402</v>
      </c>
    </row>
    <row r="192" spans="1:23" ht="13.8" x14ac:dyDescent="0.25">
      <c r="A192" s="226"/>
      <c r="B192" s="226"/>
      <c r="C192" s="226"/>
      <c r="D192" s="528"/>
      <c r="E192" s="226"/>
      <c r="F192" s="226"/>
      <c r="G192" s="226"/>
      <c r="H192" s="226"/>
      <c r="I192" s="226"/>
      <c r="J192" s="226"/>
      <c r="K192" s="226"/>
      <c r="L192" s="226"/>
      <c r="M192" s="226"/>
      <c r="Q192" s="211" t="s">
        <v>57</v>
      </c>
      <c r="R192" s="221">
        <v>7</v>
      </c>
      <c r="T192" s="220">
        <f>(Q/(N_9*T189*P_1*T191))*SQRT(M*T_abs*Z/x)</f>
        <v>12.91938248122084</v>
      </c>
      <c r="U192" s="220">
        <f>(E$2/(N_9*U189*E$3*U191))*SQRT(M*U$6*E$8/U$4)</f>
        <v>39.440483902801446</v>
      </c>
      <c r="V192" s="220">
        <f>(F$2/(N_9*V189*F$3*V191))*SQRT(M*V$6*F$8/V$4)</f>
        <v>90.647576683611092</v>
      </c>
      <c r="W192" s="220">
        <f>(G$2/(N_9*W189*G$3*W191))*SQRT(M*W$6*G$8/W$4)</f>
        <v>136.9873645357365</v>
      </c>
    </row>
    <row r="193" spans="1:23" ht="13.8" x14ac:dyDescent="0.25">
      <c r="A193" s="226"/>
      <c r="B193" s="226"/>
      <c r="C193" s="226"/>
      <c r="D193" s="528"/>
      <c r="E193" s="226"/>
      <c r="F193" s="226"/>
      <c r="G193" s="226"/>
      <c r="H193" s="226"/>
      <c r="I193" s="226"/>
      <c r="J193" s="226"/>
      <c r="K193" s="226"/>
      <c r="L193" s="226"/>
      <c r="M193" s="226"/>
      <c r="Q193" s="211" t="s">
        <v>59</v>
      </c>
      <c r="R193" s="221">
        <v>7</v>
      </c>
      <c r="T193" s="220">
        <f>(Q/(0.667*N_9*T189*P_1))*SQRT(M*T_abs*Z/(T194))</f>
        <v>11.55064539614397</v>
      </c>
      <c r="U193" s="220">
        <f>(E$2/(0.667*N_9*U189*E$3))*SQRT(M*U$6*E$8/(U194))</f>
        <v>35.174580389549035</v>
      </c>
      <c r="V193" s="220">
        <f>(F$2/(0.667*N_9*V189*F$3))*SQRT(M*V$6*F$8/(V194))</f>
        <v>79.976466841065104</v>
      </c>
      <c r="W193" s="220">
        <f>(G$2/(0.667*N_9*W189*G$3))*SQRT(M*W$6*G$8/(W194))</f>
        <v>121.99260460384164</v>
      </c>
    </row>
    <row r="194" spans="1:23" ht="15.6" x14ac:dyDescent="0.35">
      <c r="A194" s="226"/>
      <c r="B194" s="226"/>
      <c r="C194" s="226"/>
      <c r="D194" s="528"/>
      <c r="E194" s="226"/>
      <c r="F194" s="226"/>
      <c r="G194" s="226"/>
      <c r="H194" s="226"/>
      <c r="I194" s="226"/>
      <c r="J194" s="226"/>
      <c r="K194" s="226"/>
      <c r="L194" s="226"/>
      <c r="M194" s="226"/>
      <c r="Q194" s="211" t="s">
        <v>84</v>
      </c>
      <c r="R194" s="221">
        <v>10</v>
      </c>
      <c r="T194" s="220">
        <f>F_GAMMA*T190</f>
        <v>0.6402212470060592</v>
      </c>
      <c r="U194" s="220">
        <f>F_GAMMA*U190</f>
        <v>0.62529707078029195</v>
      </c>
      <c r="V194" s="220">
        <f>F_GAMMA*V190</f>
        <v>0.56879518297355325</v>
      </c>
      <c r="W194" s="220">
        <f>F_GAMMA*W190</f>
        <v>0.48669680663327008</v>
      </c>
    </row>
    <row r="195" spans="1:23" ht="13.8" x14ac:dyDescent="0.25">
      <c r="A195" s="226"/>
      <c r="B195" s="226"/>
      <c r="C195" s="226"/>
      <c r="D195" s="528"/>
      <c r="E195" s="226"/>
      <c r="F195" s="226"/>
      <c r="G195" s="226"/>
      <c r="H195" s="226"/>
      <c r="I195" s="226"/>
      <c r="J195" s="226"/>
      <c r="K195" s="226"/>
      <c r="L195" s="226"/>
      <c r="M195" s="226"/>
      <c r="Q195" s="211" t="s">
        <v>30</v>
      </c>
      <c r="R195" s="224"/>
      <c r="T195" s="220">
        <f>IF(x&lt;T194,T192,T193)</f>
        <v>12.91938248122084</v>
      </c>
      <c r="U195" s="220">
        <f>IF(U$4&lt;U194,U192,U193)</f>
        <v>39.440483902801446</v>
      </c>
      <c r="V195" s="220">
        <f>IF(V$4&lt;V194,V192,V193)</f>
        <v>90.647576683611092</v>
      </c>
      <c r="W195" s="220">
        <f>IF(W$4&lt;W194,W192,W193)</f>
        <v>136.9873645357365</v>
      </c>
    </row>
    <row r="196" spans="1:23" ht="13.8" x14ac:dyDescent="0.25">
      <c r="A196" s="226"/>
      <c r="B196" s="226"/>
      <c r="C196" s="226"/>
      <c r="D196" s="528"/>
      <c r="E196" s="226"/>
      <c r="F196" s="226"/>
      <c r="G196" s="226"/>
      <c r="H196" s="226"/>
      <c r="I196" s="226"/>
      <c r="J196" s="226"/>
      <c r="K196" s="226"/>
      <c r="L196" s="226"/>
      <c r="M196" s="226"/>
    </row>
    <row r="197" spans="1:23" ht="14.4" x14ac:dyDescent="0.3">
      <c r="A197" s="226"/>
      <c r="B197" s="226"/>
      <c r="C197" s="226"/>
      <c r="D197" s="528"/>
      <c r="E197" s="226"/>
      <c r="F197" s="226"/>
      <c r="G197" s="226"/>
      <c r="H197" s="226"/>
      <c r="I197" s="226"/>
      <c r="J197" s="226"/>
      <c r="K197" s="226"/>
      <c r="L197" s="226"/>
      <c r="M197" s="226"/>
      <c r="Q197" s="211" t="s">
        <v>50</v>
      </c>
      <c r="R197" s="219"/>
      <c r="T197" s="220">
        <f>T195</f>
        <v>12.91938248122084</v>
      </c>
      <c r="U197" s="220">
        <f>U195</f>
        <v>39.440483902801446</v>
      </c>
      <c r="V197" s="220">
        <f>V195</f>
        <v>90.647576683611092</v>
      </c>
      <c r="W197" s="220">
        <f>W195</f>
        <v>136.9873645357365</v>
      </c>
    </row>
    <row r="198" spans="1:23" ht="13.8" x14ac:dyDescent="0.25">
      <c r="A198" s="226"/>
      <c r="B198" s="226"/>
      <c r="C198" s="226"/>
      <c r="D198" s="528"/>
      <c r="E198" s="226"/>
      <c r="F198" s="226"/>
      <c r="G198" s="226"/>
      <c r="H198" s="226"/>
      <c r="I198" s="226"/>
      <c r="J198" s="226"/>
      <c r="K198" s="226"/>
      <c r="L198" s="226"/>
      <c r="M198" s="226"/>
      <c r="Q198" s="211" t="s">
        <v>52</v>
      </c>
      <c r="R198" s="209">
        <v>15</v>
      </c>
      <c r="T198" s="220">
        <f>1/(SQRT(1+(SIGMA_ZETA/N_2)*(T197/d^2)^2))</f>
        <v>0.99902465887476266</v>
      </c>
      <c r="U198" s="220">
        <f>1/(SQRT(1+(SIGMA_ZETA/N_2)*(U197/d^2)^2))</f>
        <v>0.99101926336592272</v>
      </c>
      <c r="V198" s="220">
        <f>1/(SQRT(1+(SIGMA_ZETA/N_2)*(V197/d^2)^2))</f>
        <v>0.95512571470487728</v>
      </c>
      <c r="W198" s="220">
        <f>1/(SQRT(1+(SIGMA_ZETA/N_2)*(W197/d^2)^2))</f>
        <v>0.9054932551467747</v>
      </c>
    </row>
    <row r="199" spans="1:23" ht="13.8" x14ac:dyDescent="0.25">
      <c r="A199" s="226"/>
      <c r="B199" s="226"/>
      <c r="C199" s="226"/>
      <c r="D199" s="528"/>
      <c r="E199" s="226"/>
      <c r="F199" s="226"/>
      <c r="G199" s="226"/>
      <c r="H199" s="226"/>
      <c r="I199" s="226"/>
      <c r="J199" s="226"/>
      <c r="K199" s="226"/>
      <c r="L199" s="226"/>
      <c r="M199" s="226"/>
      <c r="Q199" s="211" t="s">
        <v>54</v>
      </c>
      <c r="R199" s="221">
        <v>22</v>
      </c>
      <c r="T199" s="220">
        <f>(x_T/T198^2)/(1+(x_T*SIGMA_ZETA_1/N_5)*(T197/d^2)^2)</f>
        <v>0.6402212470060592</v>
      </c>
      <c r="U199" s="220">
        <f>(E$9/U198^2)/(1+(E$9*SIGMA_ZETA_1/N_5)*(U197/d^2)^2)</f>
        <v>0.62529707078029195</v>
      </c>
      <c r="V199" s="220">
        <f>(F$9/V198^2)/(1+(F$9*SIGMA_ZETA_1/N_5)*(V197/d^2)^2)</f>
        <v>0.56879518297355325</v>
      </c>
      <c r="W199" s="220">
        <f>(G$9/W198^2)/(1+(G$9*SIGMA_ZETA_1/N_5)*(W197/d^2)^2)</f>
        <v>0.48669680663327008</v>
      </c>
    </row>
    <row r="200" spans="1:23" ht="13.8" x14ac:dyDescent="0.25">
      <c r="A200" s="226"/>
      <c r="B200" s="226"/>
      <c r="C200" s="226"/>
      <c r="D200" s="528"/>
      <c r="E200" s="226"/>
      <c r="F200" s="226"/>
      <c r="G200" s="226"/>
      <c r="H200" s="226"/>
      <c r="I200" s="226"/>
      <c r="J200" s="226"/>
      <c r="K200" s="226"/>
      <c r="L200" s="226"/>
      <c r="M200" s="226"/>
      <c r="Q200" s="211" t="s">
        <v>21</v>
      </c>
      <c r="R200" s="209">
        <v>12</v>
      </c>
      <c r="S200" s="211"/>
      <c r="T200" s="220">
        <f>1-(x/(3*F_GAMMA*T199))</f>
        <v>0.82644888523973103</v>
      </c>
      <c r="U200" s="220">
        <f>1-(U$4/(3*F_GAMMA*U199))</f>
        <v>0.82792227238878624</v>
      </c>
      <c r="V200" s="220">
        <f>1-(V$4/(3*F_GAMMA*V199))</f>
        <v>0.83406204884769286</v>
      </c>
      <c r="W200" s="220">
        <f>1-(W$4/(3*F_GAMMA*W199))</f>
        <v>0.82877772732927402</v>
      </c>
    </row>
    <row r="201" spans="1:23" ht="13.8" x14ac:dyDescent="0.25">
      <c r="A201" s="226"/>
      <c r="B201" s="226"/>
      <c r="C201" s="226"/>
      <c r="D201" s="528"/>
      <c r="E201" s="226"/>
      <c r="F201" s="226"/>
      <c r="G201" s="226"/>
      <c r="H201" s="226"/>
      <c r="I201" s="226"/>
      <c r="J201" s="226"/>
      <c r="K201" s="226"/>
      <c r="L201" s="226"/>
      <c r="M201" s="226"/>
      <c r="Q201" s="211" t="s">
        <v>57</v>
      </c>
      <c r="R201" s="221">
        <v>7</v>
      </c>
      <c r="T201" s="220">
        <f>(Q/(N_9*T198*P_1*T200))*SQRT(M*T_abs*Z/x)</f>
        <v>12.91938248122084</v>
      </c>
      <c r="U201" s="220">
        <f>(E$2/(N_9*U198*E$3*U200))*SQRT(M*U$6*E$8/U$4)</f>
        <v>39.440483902801446</v>
      </c>
      <c r="V201" s="220">
        <f>(F$2/(N_9*V198*F$3*V200))*SQRT(M*V$6*F$8/V$4)</f>
        <v>90.647576683611092</v>
      </c>
      <c r="W201" s="220">
        <f>(G$2/(N_9*W198*G$3*W200))*SQRT(M*W$6*G$8/W$4)</f>
        <v>136.9873645357365</v>
      </c>
    </row>
    <row r="202" spans="1:23" ht="13.8" x14ac:dyDescent="0.25">
      <c r="A202" s="226"/>
      <c r="B202" s="226"/>
      <c r="C202" s="226"/>
      <c r="D202" s="528"/>
      <c r="E202" s="226"/>
      <c r="F202" s="226"/>
      <c r="G202" s="226"/>
      <c r="H202" s="226"/>
      <c r="I202" s="226"/>
      <c r="J202" s="226"/>
      <c r="K202" s="226"/>
      <c r="L202" s="226"/>
      <c r="M202" s="226"/>
      <c r="Q202" s="211" t="s">
        <v>59</v>
      </c>
      <c r="R202" s="221">
        <v>7</v>
      </c>
      <c r="T202" s="220">
        <f>(Q/(0.667*N_9*T198*P_1))*SQRT(M*T_abs*Z/(T203))</f>
        <v>11.55064539614397</v>
      </c>
      <c r="U202" s="220">
        <f>(E$2/(0.667*N_9*U198*E$3))*SQRT(M*U$6*E$8/(U203))</f>
        <v>35.174580389549035</v>
      </c>
      <c r="V202" s="220">
        <f>(F$2/(0.667*N_9*V198*F$3))*SQRT(M*V$6*F$8/(V203))</f>
        <v>79.976466841065104</v>
      </c>
      <c r="W202" s="220">
        <f>(G$2/(0.667*N_9*W198*G$3))*SQRT(M*W$6*G$8/(W203))</f>
        <v>121.99260460384164</v>
      </c>
    </row>
    <row r="203" spans="1:23" ht="15.6" x14ac:dyDescent="0.35">
      <c r="A203" s="226"/>
      <c r="B203" s="226"/>
      <c r="C203" s="226"/>
      <c r="D203" s="528"/>
      <c r="E203" s="226"/>
      <c r="F203" s="226"/>
      <c r="G203" s="226"/>
      <c r="H203" s="226"/>
      <c r="I203" s="226"/>
      <c r="J203" s="226"/>
      <c r="K203" s="226"/>
      <c r="L203" s="226"/>
      <c r="M203" s="226"/>
      <c r="Q203" s="211" t="s">
        <v>84</v>
      </c>
      <c r="R203" s="221">
        <v>10</v>
      </c>
      <c r="T203" s="220">
        <f>F_GAMMA*T199</f>
        <v>0.6402212470060592</v>
      </c>
      <c r="U203" s="220">
        <f>F_GAMMA*U199</f>
        <v>0.62529707078029195</v>
      </c>
      <c r="V203" s="220">
        <f>F_GAMMA*V199</f>
        <v>0.56879518297355325</v>
      </c>
      <c r="W203" s="220">
        <f>F_GAMMA*W199</f>
        <v>0.48669680663327008</v>
      </c>
    </row>
    <row r="204" spans="1:23" ht="13.8" x14ac:dyDescent="0.25">
      <c r="A204" s="226"/>
      <c r="B204" s="226"/>
      <c r="C204" s="226"/>
      <c r="D204" s="528"/>
      <c r="E204" s="226"/>
      <c r="F204" s="226"/>
      <c r="G204" s="226"/>
      <c r="H204" s="226"/>
      <c r="I204" s="226"/>
      <c r="J204" s="226"/>
      <c r="K204" s="226"/>
      <c r="L204" s="226"/>
      <c r="M204" s="226"/>
      <c r="Q204" s="211" t="s">
        <v>30</v>
      </c>
      <c r="R204" s="224"/>
      <c r="T204" s="220">
        <f>IF(x&lt;T203,T201,T202)</f>
        <v>12.91938248122084</v>
      </c>
      <c r="U204" s="220">
        <f>IF(U$4&lt;U203,U201,U202)</f>
        <v>39.440483902801446</v>
      </c>
      <c r="V204" s="220">
        <f>IF(V$4&lt;V203,V201,V202)</f>
        <v>90.647576683611092</v>
      </c>
      <c r="W204" s="220">
        <f>IF(W$4&lt;W203,W201,W202)</f>
        <v>136.9873645357365</v>
      </c>
    </row>
    <row r="205" spans="1:23" ht="13.8" x14ac:dyDescent="0.25">
      <c r="A205" s="226"/>
      <c r="B205" s="226"/>
      <c r="C205" s="226"/>
      <c r="D205" s="528"/>
      <c r="E205" s="226"/>
      <c r="F205" s="226"/>
      <c r="G205" s="226"/>
      <c r="H205" s="226"/>
      <c r="I205" s="226"/>
      <c r="J205" s="226"/>
      <c r="K205" s="226"/>
      <c r="L205" s="226"/>
      <c r="M205" s="226"/>
      <c r="Q205" s="211"/>
      <c r="R205" s="224"/>
      <c r="T205" s="220"/>
    </row>
    <row r="206" spans="1:23" ht="14.4" x14ac:dyDescent="0.3">
      <c r="A206" s="226"/>
      <c r="B206" s="226"/>
      <c r="C206" s="226"/>
      <c r="D206" s="528"/>
      <c r="E206" s="226"/>
      <c r="F206" s="226"/>
      <c r="G206" s="226"/>
      <c r="H206" s="226"/>
      <c r="I206" s="226"/>
      <c r="J206" s="226"/>
      <c r="K206" s="226"/>
      <c r="L206" s="226"/>
      <c r="M206" s="226"/>
      <c r="Q206" s="211" t="s">
        <v>50</v>
      </c>
      <c r="R206" s="219"/>
      <c r="T206" s="220">
        <f>T204</f>
        <v>12.91938248122084</v>
      </c>
      <c r="U206" s="220">
        <f>U204</f>
        <v>39.440483902801446</v>
      </c>
      <c r="V206" s="220">
        <f>V204</f>
        <v>90.647576683611092</v>
      </c>
      <c r="W206" s="220">
        <f>W204</f>
        <v>136.9873645357365</v>
      </c>
    </row>
    <row r="207" spans="1:23" ht="13.8" x14ac:dyDescent="0.25">
      <c r="A207" s="226"/>
      <c r="B207" s="226"/>
      <c r="C207" s="226"/>
      <c r="D207" s="528"/>
      <c r="E207" s="226"/>
      <c r="F207" s="226"/>
      <c r="G207" s="226"/>
      <c r="H207" s="226"/>
      <c r="I207" s="226"/>
      <c r="J207" s="226"/>
      <c r="K207" s="226"/>
      <c r="L207" s="226"/>
      <c r="M207" s="226"/>
      <c r="Q207" s="211" t="s">
        <v>52</v>
      </c>
      <c r="R207" s="209">
        <v>15</v>
      </c>
      <c r="T207" s="220">
        <f>1/(SQRT(1+(SIGMA_ZETA/N_2)*(T206/d^2)^2))</f>
        <v>0.99902465887476266</v>
      </c>
      <c r="U207" s="220">
        <f>1/(SQRT(1+(SIGMA_ZETA/N_2)*(U206/d^2)^2))</f>
        <v>0.99101926336592272</v>
      </c>
      <c r="V207" s="220">
        <f>1/(SQRT(1+(SIGMA_ZETA/N_2)*(V206/d^2)^2))</f>
        <v>0.95512571470487728</v>
      </c>
      <c r="W207" s="220">
        <f>1/(SQRT(1+(SIGMA_ZETA/N_2)*(W206/d^2)^2))</f>
        <v>0.9054932551467747</v>
      </c>
    </row>
    <row r="208" spans="1:23" ht="13.8" x14ac:dyDescent="0.25">
      <c r="A208" s="226"/>
      <c r="B208" s="226"/>
      <c r="C208" s="226"/>
      <c r="D208" s="528"/>
      <c r="E208" s="226"/>
      <c r="F208" s="226"/>
      <c r="G208" s="226"/>
      <c r="H208" s="226"/>
      <c r="I208" s="226"/>
      <c r="J208" s="226"/>
      <c r="K208" s="226"/>
      <c r="L208" s="226"/>
      <c r="M208" s="226"/>
      <c r="Q208" s="211" t="s">
        <v>54</v>
      </c>
      <c r="R208" s="221">
        <v>22</v>
      </c>
      <c r="T208" s="220">
        <f>(x_T/T207^2)/(1+(x_T*SIGMA_ZETA_1/N_5)*(T206/d^2)^2)</f>
        <v>0.6402212470060592</v>
      </c>
      <c r="U208" s="220">
        <f>(E$9/U207^2)/(1+(E$9*SIGMA_ZETA_1/N_5)*(U206/d^2)^2)</f>
        <v>0.62529707078029195</v>
      </c>
      <c r="V208" s="220">
        <f>(F$9/V207^2)/(1+(F$9*SIGMA_ZETA_1/N_5)*(V206/d^2)^2)</f>
        <v>0.56879518297355325</v>
      </c>
      <c r="W208" s="220">
        <f>(G$9/W207^2)/(1+(G$9*SIGMA_ZETA_1/N_5)*(W206/d^2)^2)</f>
        <v>0.48669680663327008</v>
      </c>
    </row>
    <row r="209" spans="1:23" ht="13.8" x14ac:dyDescent="0.25">
      <c r="A209" s="226"/>
      <c r="B209" s="226"/>
      <c r="C209" s="226"/>
      <c r="D209" s="528"/>
      <c r="E209" s="226"/>
      <c r="F209" s="226"/>
      <c r="G209" s="226"/>
      <c r="H209" s="226"/>
      <c r="I209" s="226"/>
      <c r="J209" s="226"/>
      <c r="K209" s="226"/>
      <c r="L209" s="226"/>
      <c r="M209" s="226"/>
      <c r="Q209" s="211" t="s">
        <v>21</v>
      </c>
      <c r="R209" s="209">
        <v>12</v>
      </c>
      <c r="S209" s="211"/>
      <c r="T209" s="220">
        <f>1-(x/(3*F_GAMMA*T208))</f>
        <v>0.82644888523973103</v>
      </c>
      <c r="U209" s="220">
        <f>1-(U$4/(3*F_GAMMA*U208))</f>
        <v>0.82792227238878624</v>
      </c>
      <c r="V209" s="220">
        <f>1-(V$4/(3*F_GAMMA*V208))</f>
        <v>0.83406204884769286</v>
      </c>
      <c r="W209" s="220">
        <f>1-(W$4/(3*F_GAMMA*W208))</f>
        <v>0.82877772732927402</v>
      </c>
    </row>
    <row r="210" spans="1:23" ht="13.8" x14ac:dyDescent="0.25">
      <c r="A210" s="226"/>
      <c r="B210" s="226"/>
      <c r="C210" s="226"/>
      <c r="D210" s="528"/>
      <c r="E210" s="226"/>
      <c r="F210" s="226"/>
      <c r="G210" s="226"/>
      <c r="H210" s="226"/>
      <c r="I210" s="226"/>
      <c r="J210" s="226"/>
      <c r="K210" s="226"/>
      <c r="L210" s="226"/>
      <c r="M210" s="226"/>
      <c r="Q210" s="211" t="s">
        <v>57</v>
      </c>
      <c r="R210" s="221">
        <v>7</v>
      </c>
      <c r="T210" s="220">
        <f>(Q/(N_9*T207*P_1*T209))*SQRT(M*T_abs*Z/x)</f>
        <v>12.91938248122084</v>
      </c>
      <c r="U210" s="220">
        <f>(E$2/(N_9*U207*E$3*U209))*SQRT(M*U$6*E$8/U$4)</f>
        <v>39.440483902801446</v>
      </c>
      <c r="V210" s="220">
        <f>(F$2/(N_9*V207*F$3*V209))*SQRT(M*V$6*F$8/V$4)</f>
        <v>90.647576683611092</v>
      </c>
      <c r="W210" s="220">
        <f>(G$2/(N_9*W207*G$3*W209))*SQRT(M*W$6*G$8/W$4)</f>
        <v>136.9873645357365</v>
      </c>
    </row>
    <row r="211" spans="1:23" ht="13.8" x14ac:dyDescent="0.25">
      <c r="A211" s="226"/>
      <c r="B211" s="226"/>
      <c r="C211" s="226"/>
      <c r="D211" s="528"/>
      <c r="E211" s="226"/>
      <c r="F211" s="226"/>
      <c r="G211" s="226"/>
      <c r="H211" s="226"/>
      <c r="I211" s="226"/>
      <c r="J211" s="226"/>
      <c r="K211" s="226"/>
      <c r="L211" s="226"/>
      <c r="M211" s="226"/>
      <c r="Q211" s="211" t="s">
        <v>59</v>
      </c>
      <c r="R211" s="221">
        <v>7</v>
      </c>
      <c r="T211" s="220">
        <f>(Q/(0.667*N_9*T207*P_1))*SQRT(M*T_abs*Z/(T212))</f>
        <v>11.55064539614397</v>
      </c>
      <c r="U211" s="220">
        <f>(E$2/(0.667*N_9*U207*E$3))*SQRT(M*U$6*E$8/(U212))</f>
        <v>35.174580389549035</v>
      </c>
      <c r="V211" s="220">
        <f>(F$2/(0.667*N_9*V207*F$3))*SQRT(M*V$6*F$8/(V212))</f>
        <v>79.976466841065104</v>
      </c>
      <c r="W211" s="220">
        <f>(G$2/(0.667*N_9*W207*G$3))*SQRT(M*W$6*G$8/(W212))</f>
        <v>121.99260460384164</v>
      </c>
    </row>
    <row r="212" spans="1:23" ht="15.6" x14ac:dyDescent="0.35">
      <c r="A212" s="226"/>
      <c r="B212" s="226"/>
      <c r="C212" s="226"/>
      <c r="D212" s="528"/>
      <c r="E212" s="226"/>
      <c r="F212" s="226"/>
      <c r="G212" s="226"/>
      <c r="H212" s="226"/>
      <c r="I212" s="226"/>
      <c r="J212" s="226"/>
      <c r="K212" s="226"/>
      <c r="L212" s="226"/>
      <c r="M212" s="226"/>
      <c r="Q212" s="211" t="s">
        <v>84</v>
      </c>
      <c r="R212" s="221">
        <v>10</v>
      </c>
      <c r="T212" s="220">
        <f>F_GAMMA*T208</f>
        <v>0.6402212470060592</v>
      </c>
      <c r="U212" s="220">
        <f>F_GAMMA*U208</f>
        <v>0.62529707078029195</v>
      </c>
      <c r="V212" s="220">
        <f>F_GAMMA*V208</f>
        <v>0.56879518297355325</v>
      </c>
      <c r="W212" s="220">
        <f>F_GAMMA*W208</f>
        <v>0.48669680663327008</v>
      </c>
    </row>
    <row r="213" spans="1:23" ht="13.8" x14ac:dyDescent="0.25">
      <c r="A213" s="226"/>
      <c r="B213" s="226"/>
      <c r="C213" s="226"/>
      <c r="D213" s="528"/>
      <c r="E213" s="226"/>
      <c r="F213" s="226"/>
      <c r="G213" s="226"/>
      <c r="H213" s="226"/>
      <c r="I213" s="226"/>
      <c r="J213" s="226"/>
      <c r="K213" s="226"/>
      <c r="L213" s="226"/>
      <c r="M213" s="226"/>
      <c r="Q213" s="211" t="s">
        <v>30</v>
      </c>
      <c r="R213" s="224"/>
      <c r="T213" s="220">
        <f>IF(x&lt;T212,T210,T211)</f>
        <v>12.91938248122084</v>
      </c>
      <c r="U213" s="220">
        <f>IF(U$4&lt;U212,U210,U211)</f>
        <v>39.440483902801446</v>
      </c>
      <c r="V213" s="220">
        <f>IF(V$4&lt;V212,V210,V211)</f>
        <v>90.647576683611092</v>
      </c>
      <c r="W213" s="220">
        <f>IF(W$4&lt;W212,W210,W211)</f>
        <v>136.9873645357365</v>
      </c>
    </row>
    <row r="214" spans="1:23" ht="13.8" x14ac:dyDescent="0.25">
      <c r="A214" s="226"/>
      <c r="B214" s="226"/>
      <c r="C214" s="226"/>
      <c r="D214" s="528"/>
      <c r="E214" s="226"/>
      <c r="F214" s="226"/>
      <c r="G214" s="226"/>
      <c r="H214" s="226"/>
      <c r="I214" s="226"/>
      <c r="J214" s="226"/>
      <c r="K214" s="226"/>
      <c r="L214" s="226"/>
      <c r="M214" s="226"/>
      <c r="Q214" s="211"/>
      <c r="R214" s="224"/>
      <c r="T214" s="220"/>
      <c r="U214" s="220"/>
      <c r="V214" s="220"/>
      <c r="W214" s="220"/>
    </row>
    <row r="215" spans="1:23" ht="14.4" x14ac:dyDescent="0.3">
      <c r="A215" s="226"/>
      <c r="B215" s="226"/>
      <c r="C215" s="226"/>
      <c r="D215" s="528"/>
      <c r="E215" s="226"/>
      <c r="F215" s="226"/>
      <c r="G215" s="226"/>
      <c r="H215" s="226"/>
      <c r="I215" s="226"/>
      <c r="J215" s="226"/>
      <c r="K215" s="226"/>
      <c r="L215" s="226"/>
      <c r="M215" s="226"/>
      <c r="Q215" s="211" t="s">
        <v>50</v>
      </c>
      <c r="R215" s="219"/>
      <c r="T215" s="220">
        <f>T213</f>
        <v>12.91938248122084</v>
      </c>
      <c r="U215" s="220">
        <f>U213</f>
        <v>39.440483902801446</v>
      </c>
      <c r="V215" s="220">
        <f>V213</f>
        <v>90.647576683611092</v>
      </c>
      <c r="W215" s="220">
        <f>W213</f>
        <v>136.9873645357365</v>
      </c>
    </row>
    <row r="216" spans="1:23" ht="13.8" x14ac:dyDescent="0.25">
      <c r="A216" s="226"/>
      <c r="B216" s="226"/>
      <c r="C216" s="226"/>
      <c r="D216" s="528"/>
      <c r="E216" s="226"/>
      <c r="F216" s="226"/>
      <c r="G216" s="226"/>
      <c r="H216" s="226"/>
      <c r="I216" s="226"/>
      <c r="J216" s="226"/>
      <c r="K216" s="226"/>
      <c r="L216" s="226"/>
      <c r="M216" s="226"/>
      <c r="Q216" s="211" t="s">
        <v>52</v>
      </c>
      <c r="R216" s="209">
        <v>15</v>
      </c>
      <c r="T216" s="220">
        <f>1/(SQRT(1+(SIGMA_ZETA/N_2)*(T215/d^2)^2))</f>
        <v>0.99902465887476266</v>
      </c>
      <c r="U216" s="220">
        <f>1/(SQRT(1+(SIGMA_ZETA/N_2)*(U215/d^2)^2))</f>
        <v>0.99101926336592272</v>
      </c>
      <c r="V216" s="220">
        <f>1/(SQRT(1+(SIGMA_ZETA/N_2)*(V215/d^2)^2))</f>
        <v>0.95512571470487728</v>
      </c>
      <c r="W216" s="220">
        <f>1/(SQRT(1+(SIGMA_ZETA/N_2)*(W215/d^2)^2))</f>
        <v>0.9054932551467747</v>
      </c>
    </row>
    <row r="217" spans="1:23" ht="15.6" x14ac:dyDescent="0.35">
      <c r="A217" s="226"/>
      <c r="B217" s="226"/>
      <c r="C217" s="226"/>
      <c r="D217" s="528"/>
      <c r="E217" s="226"/>
      <c r="F217" s="226"/>
      <c r="G217" s="226"/>
      <c r="H217" s="226"/>
      <c r="I217" s="226"/>
      <c r="J217" s="226"/>
      <c r="K217" s="226"/>
      <c r="L217" s="226"/>
      <c r="M217" s="226"/>
      <c r="Q217" s="211" t="s">
        <v>84</v>
      </c>
      <c r="R217" s="221">
        <v>22</v>
      </c>
      <c r="T217" s="220">
        <f>(x_T/T216^2)/(1+(x_T*SIGMA_ZETA_1/N_5)*(T215/d^2)^2)</f>
        <v>0.6402212470060592</v>
      </c>
      <c r="U217" s="220">
        <f>(E$9/U216^2)/(1+(E$9*SIGMA_ZETA_1/N_5)*(U215/d^2)^2)</f>
        <v>0.62529707078029195</v>
      </c>
      <c r="V217" s="220">
        <f>(F$9/V216^2)/(1+(F$9*SIGMA_ZETA_1/N_5)*(V215/d^2)^2)</f>
        <v>0.56879518297355325</v>
      </c>
      <c r="W217" s="220">
        <f>(G$9/W216^2)/(1+(G$9*SIGMA_ZETA_1/N_5)*(W215/d^2)^2)</f>
        <v>0.48669680663327008</v>
      </c>
    </row>
    <row r="218" spans="1:23" ht="13.8" x14ac:dyDescent="0.25">
      <c r="A218" s="226"/>
      <c r="B218" s="226"/>
      <c r="C218" s="226"/>
      <c r="D218" s="528"/>
      <c r="E218" s="226"/>
      <c r="F218" s="226"/>
      <c r="G218" s="226"/>
      <c r="H218" s="226"/>
      <c r="I218" s="226"/>
      <c r="J218" s="226"/>
      <c r="K218" s="226"/>
      <c r="L218" s="226"/>
      <c r="M218" s="226"/>
      <c r="Q218" s="211" t="s">
        <v>21</v>
      </c>
      <c r="R218" s="209">
        <v>12</v>
      </c>
      <c r="S218" s="211"/>
      <c r="T218" s="220">
        <f>1-(x/(3*F_GAMMA*T217))</f>
        <v>0.82644888523973103</v>
      </c>
      <c r="U218" s="220">
        <f>1-(U$4/(3*F_GAMMA*U217))</f>
        <v>0.82792227238878624</v>
      </c>
      <c r="V218" s="220">
        <f>1-(V$4/(3*F_GAMMA*V217))</f>
        <v>0.83406204884769286</v>
      </c>
      <c r="W218" s="220">
        <f>1-(W$4/(3*F_GAMMA*W217))</f>
        <v>0.82877772732927402</v>
      </c>
    </row>
    <row r="219" spans="1:23" ht="13.8" x14ac:dyDescent="0.25">
      <c r="A219" s="226"/>
      <c r="B219" s="226"/>
      <c r="C219" s="226"/>
      <c r="D219" s="528"/>
      <c r="E219" s="226"/>
      <c r="F219" s="226"/>
      <c r="G219" s="226"/>
      <c r="H219" s="226"/>
      <c r="I219" s="226"/>
      <c r="J219" s="226"/>
      <c r="K219" s="226"/>
      <c r="L219" s="226"/>
      <c r="M219" s="226"/>
      <c r="Q219" s="211" t="s">
        <v>57</v>
      </c>
      <c r="R219" s="221">
        <v>7</v>
      </c>
      <c r="T219" s="220">
        <f>(Q/(N_9*T216*P_1*T218))*SQRT(M*T_abs*Z/x)</f>
        <v>12.91938248122084</v>
      </c>
      <c r="U219" s="220">
        <f>(E$2/(N_9*U216*E$3*U218))*SQRT(M*U$6*E$8/U$4)</f>
        <v>39.440483902801446</v>
      </c>
      <c r="V219" s="220">
        <f>(F$2/(N_9*V216*F$3*V218))*SQRT(M*V$6*F$8/V$4)</f>
        <v>90.647576683611092</v>
      </c>
      <c r="W219" s="220">
        <f>(G$2/(N_9*W216*G$3*W218))*SQRT(M*W$6*G$8/W$4)</f>
        <v>136.9873645357365</v>
      </c>
    </row>
    <row r="220" spans="1:23" ht="13.8" x14ac:dyDescent="0.25">
      <c r="A220" s="226"/>
      <c r="B220" s="226"/>
      <c r="C220" s="226"/>
      <c r="D220" s="528"/>
      <c r="E220" s="226"/>
      <c r="F220" s="226"/>
      <c r="G220" s="226"/>
      <c r="H220" s="226"/>
      <c r="I220" s="226"/>
      <c r="J220" s="226"/>
      <c r="K220" s="226"/>
      <c r="L220" s="226"/>
      <c r="M220" s="226"/>
      <c r="Q220" s="211" t="s">
        <v>59</v>
      </c>
      <c r="R220" s="221">
        <v>7</v>
      </c>
      <c r="T220" s="220">
        <f>(Q/(0.667*N_9*T216*P_1))*SQRT(M*T_abs*Z/(T221))</f>
        <v>11.55064539614397</v>
      </c>
      <c r="U220" s="220">
        <f>(E$2/(0.667*N_9*U216*E$3))*SQRT(M*U$6*E$8/(U221))</f>
        <v>35.174580389549035</v>
      </c>
      <c r="V220" s="220">
        <f>(F$2/(0.667*N_9*V216*F$3))*SQRT(M*V$6*F$8/(V221))</f>
        <v>79.976466841065104</v>
      </c>
      <c r="W220" s="220">
        <f>(G$2/(0.667*N_9*W216*G$3))*SQRT(M*W$6*G$8/(W221))</f>
        <v>121.99260460384164</v>
      </c>
    </row>
    <row r="221" spans="1:23" ht="13.8" x14ac:dyDescent="0.25">
      <c r="A221" s="226"/>
      <c r="B221" s="226"/>
      <c r="C221" s="226"/>
      <c r="D221" s="528"/>
      <c r="E221" s="226"/>
      <c r="F221" s="226"/>
      <c r="G221" s="226"/>
      <c r="H221" s="226"/>
      <c r="I221" s="226"/>
      <c r="J221" s="226"/>
      <c r="K221" s="226"/>
      <c r="L221" s="226"/>
      <c r="M221" s="226"/>
      <c r="Q221" s="211" t="s">
        <v>61</v>
      </c>
      <c r="R221" s="221">
        <v>10</v>
      </c>
      <c r="T221" s="220">
        <f>F_GAMMA*T217</f>
        <v>0.6402212470060592</v>
      </c>
      <c r="U221" s="220">
        <f>F_GAMMA*U217</f>
        <v>0.62529707078029195</v>
      </c>
      <c r="V221" s="220">
        <f>F_GAMMA*V217</f>
        <v>0.56879518297355325</v>
      </c>
      <c r="W221" s="220">
        <f>F_GAMMA*W217</f>
        <v>0.48669680663327008</v>
      </c>
    </row>
    <row r="222" spans="1:23" ht="15.6" x14ac:dyDescent="0.35">
      <c r="A222" s="226"/>
      <c r="B222" s="226"/>
      <c r="C222" s="226"/>
      <c r="D222" s="528"/>
      <c r="E222" s="226"/>
      <c r="F222" s="226"/>
      <c r="G222" s="226"/>
      <c r="H222" s="226"/>
      <c r="I222" s="226"/>
      <c r="J222" s="226"/>
      <c r="K222" s="226"/>
      <c r="L222" s="226"/>
      <c r="M222" s="226"/>
      <c r="Q222" s="211" t="s">
        <v>84</v>
      </c>
      <c r="R222" s="224"/>
      <c r="T222" s="220">
        <f>IF(x&lt;T221,T219,T220)</f>
        <v>12.91938248122084</v>
      </c>
      <c r="U222" s="220">
        <f>IF(U$4&lt;U221,U219,U220)</f>
        <v>39.440483902801446</v>
      </c>
      <c r="V222" s="220">
        <f>IF(V$4&lt;V221,V219,V220)</f>
        <v>90.647576683611092</v>
      </c>
      <c r="W222" s="220">
        <f>IF(W$4&lt;W221,W219,W220)</f>
        <v>136.9873645357365</v>
      </c>
    </row>
    <row r="223" spans="1:23" ht="13.8" x14ac:dyDescent="0.25">
      <c r="A223" s="226"/>
      <c r="B223" s="226"/>
      <c r="C223" s="226"/>
      <c r="D223" s="528"/>
      <c r="E223" s="226"/>
      <c r="F223" s="226"/>
      <c r="G223" s="226"/>
      <c r="H223" s="226"/>
      <c r="I223" s="226"/>
      <c r="J223" s="226"/>
      <c r="K223" s="226"/>
      <c r="L223" s="226"/>
      <c r="M223" s="226"/>
    </row>
    <row r="224" spans="1:23" ht="14.4" x14ac:dyDescent="0.3">
      <c r="A224" s="226"/>
      <c r="B224" s="226"/>
      <c r="C224" s="226"/>
      <c r="D224" s="528"/>
      <c r="E224" s="226"/>
      <c r="F224" s="226"/>
      <c r="G224" s="226"/>
      <c r="H224" s="226"/>
      <c r="I224" s="226"/>
      <c r="J224" s="226"/>
      <c r="K224" s="226"/>
      <c r="L224" s="226"/>
      <c r="M224" s="226"/>
      <c r="Q224" s="211" t="s">
        <v>50</v>
      </c>
      <c r="R224" s="219"/>
      <c r="T224" s="220">
        <f>T222</f>
        <v>12.91938248122084</v>
      </c>
      <c r="U224" s="220">
        <f>U222</f>
        <v>39.440483902801446</v>
      </c>
      <c r="V224" s="220">
        <f>V222</f>
        <v>90.647576683611092</v>
      </c>
      <c r="W224" s="220">
        <f>W222</f>
        <v>136.9873645357365</v>
      </c>
    </row>
    <row r="225" spans="1:23" ht="13.8" x14ac:dyDescent="0.25">
      <c r="A225" s="226"/>
      <c r="B225" s="226"/>
      <c r="C225" s="226"/>
      <c r="D225" s="528"/>
      <c r="E225" s="226"/>
      <c r="F225" s="226"/>
      <c r="G225" s="226"/>
      <c r="H225" s="226"/>
      <c r="I225" s="226"/>
      <c r="J225" s="226"/>
      <c r="K225" s="226"/>
      <c r="L225" s="226"/>
      <c r="M225" s="226"/>
      <c r="Q225" s="211" t="s">
        <v>52</v>
      </c>
      <c r="R225" s="209">
        <v>15</v>
      </c>
      <c r="T225" s="220">
        <f>1/(SQRT(1+(SIGMA_ZETA/N_2)*(T224/d^2)^2))</f>
        <v>0.99902465887476266</v>
      </c>
      <c r="U225" s="220">
        <f>1/(SQRT(1+(SIGMA_ZETA/N_2)*(U224/d^2)^2))</f>
        <v>0.99101926336592272</v>
      </c>
      <c r="V225" s="220">
        <f>1/(SQRT(1+(SIGMA_ZETA/N_2)*(V224/d^2)^2))</f>
        <v>0.95512571470487728</v>
      </c>
      <c r="W225" s="220">
        <f>1/(SQRT(1+(SIGMA_ZETA/N_2)*(W224/d^2)^2))</f>
        <v>0.9054932551467747</v>
      </c>
    </row>
    <row r="226" spans="1:23" ht="13.8" x14ac:dyDescent="0.25">
      <c r="A226" s="226"/>
      <c r="B226" s="226"/>
      <c r="C226" s="226"/>
      <c r="D226" s="528"/>
      <c r="E226" s="226"/>
      <c r="F226" s="226"/>
      <c r="G226" s="226"/>
      <c r="H226" s="226"/>
      <c r="I226" s="226"/>
      <c r="J226" s="226"/>
      <c r="K226" s="226"/>
      <c r="L226" s="226"/>
      <c r="M226" s="226"/>
      <c r="Q226" s="211" t="s">
        <v>54</v>
      </c>
      <c r="R226" s="221">
        <v>22</v>
      </c>
      <c r="T226" s="220">
        <f>(x_T/T225^2)/(1+(x_T*SIGMA_ZETA_1/N_5)*(T224/d^2)^2)</f>
        <v>0.6402212470060592</v>
      </c>
      <c r="U226" s="220">
        <f>(E$9/U225^2)/(1+(E$9*SIGMA_ZETA_1/N_5)*(U224/d^2)^2)</f>
        <v>0.62529707078029195</v>
      </c>
      <c r="V226" s="220">
        <f>(F$9/V225^2)/(1+(F$9*SIGMA_ZETA_1/N_5)*(V224/d^2)^2)</f>
        <v>0.56879518297355325</v>
      </c>
      <c r="W226" s="220">
        <f>(G$9/W225^2)/(1+(G$9*SIGMA_ZETA_1/N_5)*(W224/d^2)^2)</f>
        <v>0.48669680663327008</v>
      </c>
    </row>
    <row r="227" spans="1:23" ht="13.8" x14ac:dyDescent="0.25">
      <c r="A227" s="226"/>
      <c r="B227" s="226"/>
      <c r="C227" s="226"/>
      <c r="D227" s="528"/>
      <c r="E227" s="226"/>
      <c r="F227" s="226"/>
      <c r="G227" s="226"/>
      <c r="H227" s="226"/>
      <c r="I227" s="226"/>
      <c r="J227" s="226"/>
      <c r="K227" s="226"/>
      <c r="L227" s="226"/>
      <c r="M227" s="226"/>
      <c r="Q227" s="211" t="s">
        <v>21</v>
      </c>
      <c r="R227" s="209">
        <v>12</v>
      </c>
      <c r="S227" s="211"/>
      <c r="T227" s="220">
        <f>1-(x/(3*F_GAMMA*T226))</f>
        <v>0.82644888523973103</v>
      </c>
      <c r="U227" s="220">
        <f>1-(U$4/(3*F_GAMMA*U226))</f>
        <v>0.82792227238878624</v>
      </c>
      <c r="V227" s="220">
        <f>1-(V$4/(3*F_GAMMA*V226))</f>
        <v>0.83406204884769286</v>
      </c>
      <c r="W227" s="220">
        <f>1-(W$4/(3*F_GAMMA*W226))</f>
        <v>0.82877772732927402</v>
      </c>
    </row>
    <row r="228" spans="1:23" ht="13.8" x14ac:dyDescent="0.25">
      <c r="A228" s="226"/>
      <c r="B228" s="226"/>
      <c r="C228" s="226"/>
      <c r="D228" s="528"/>
      <c r="E228" s="226"/>
      <c r="F228" s="226"/>
      <c r="G228" s="226"/>
      <c r="H228" s="226"/>
      <c r="I228" s="226"/>
      <c r="J228" s="226"/>
      <c r="K228" s="226"/>
      <c r="L228" s="226"/>
      <c r="M228" s="226"/>
      <c r="Q228" s="211" t="s">
        <v>57</v>
      </c>
      <c r="R228" s="221">
        <v>7</v>
      </c>
      <c r="T228" s="220">
        <f>(Q/(N_9*T225*P_1*T227))*SQRT(M*T_abs*Z/x)</f>
        <v>12.91938248122084</v>
      </c>
      <c r="U228" s="220">
        <f>(E$2/(N_9*U225*E$3*U227))*SQRT(M*U$6*E$8/U$4)</f>
        <v>39.440483902801446</v>
      </c>
      <c r="V228" s="220">
        <f>(F$2/(N_9*V225*F$3*V227))*SQRT(M*V$6*F$8/V$4)</f>
        <v>90.647576683611092</v>
      </c>
      <c r="W228" s="220">
        <f>(G$2/(N_9*W225*G$3*W227))*SQRT(M*W$6*G$8/W$4)</f>
        <v>136.9873645357365</v>
      </c>
    </row>
    <row r="229" spans="1:23" ht="13.8" x14ac:dyDescent="0.25">
      <c r="A229" s="226"/>
      <c r="B229" s="226"/>
      <c r="C229" s="226"/>
      <c r="D229" s="528"/>
      <c r="E229" s="226"/>
      <c r="F229" s="226"/>
      <c r="G229" s="226"/>
      <c r="H229" s="226"/>
      <c r="I229" s="226"/>
      <c r="J229" s="226"/>
      <c r="K229" s="226"/>
      <c r="L229" s="226"/>
      <c r="M229" s="226"/>
      <c r="Q229" s="211" t="s">
        <v>59</v>
      </c>
      <c r="R229" s="221">
        <v>7</v>
      </c>
      <c r="T229" s="220">
        <f>(Q/(0.667*N_9*T225*P_1))*SQRT(M*T_abs*Z/(T230))</f>
        <v>11.55064539614397</v>
      </c>
      <c r="U229" s="220">
        <f>(E$2/(0.667*N_9*U225*E$3))*SQRT(M*U$6*E$8/(U230))</f>
        <v>35.174580389549035</v>
      </c>
      <c r="V229" s="220">
        <f>(F$2/(0.667*N_9*V225*F$3))*SQRT(M*V$6*F$8/(V230))</f>
        <v>79.976466841065104</v>
      </c>
      <c r="W229" s="220">
        <f>(G$2/(0.667*N_9*W225*G$3))*SQRT(M*W$6*G$8/(W230))</f>
        <v>121.99260460384164</v>
      </c>
    </row>
    <row r="230" spans="1:23" ht="15.6" x14ac:dyDescent="0.35">
      <c r="A230" s="226"/>
      <c r="B230" s="226"/>
      <c r="C230" s="226"/>
      <c r="D230" s="528"/>
      <c r="E230" s="226"/>
      <c r="F230" s="226"/>
      <c r="G230" s="226"/>
      <c r="H230" s="226"/>
      <c r="I230" s="226"/>
      <c r="J230" s="226"/>
      <c r="K230" s="226"/>
      <c r="L230" s="226"/>
      <c r="M230" s="226"/>
      <c r="Q230" s="211" t="s">
        <v>84</v>
      </c>
      <c r="R230" s="221">
        <v>10</v>
      </c>
      <c r="T230" s="220">
        <f>F_GAMMA*T226</f>
        <v>0.6402212470060592</v>
      </c>
      <c r="U230" s="220">
        <f>F_GAMMA*U226</f>
        <v>0.62529707078029195</v>
      </c>
      <c r="V230" s="220">
        <f>F_GAMMA*V226</f>
        <v>0.56879518297355325</v>
      </c>
      <c r="W230" s="220">
        <f>F_GAMMA*W226</f>
        <v>0.48669680663327008</v>
      </c>
    </row>
    <row r="231" spans="1:23" ht="13.8" x14ac:dyDescent="0.25">
      <c r="A231" s="226"/>
      <c r="B231" s="226"/>
      <c r="C231" s="226"/>
      <c r="D231" s="528"/>
      <c r="E231" s="226"/>
      <c r="F231" s="226"/>
      <c r="G231" s="226"/>
      <c r="H231" s="226"/>
      <c r="I231" s="226"/>
      <c r="J231" s="226"/>
      <c r="K231" s="226"/>
      <c r="L231" s="226"/>
      <c r="M231" s="226"/>
      <c r="Q231" s="211" t="s">
        <v>30</v>
      </c>
      <c r="R231" s="224"/>
      <c r="T231" s="220">
        <f>IF(x&lt;T230,T228,T229)</f>
        <v>12.91938248122084</v>
      </c>
      <c r="U231" s="220">
        <f>IF(U$4&lt;U230,U228,U229)</f>
        <v>39.440483902801446</v>
      </c>
      <c r="V231" s="220">
        <f>IF(V$4&lt;V230,V228,V229)</f>
        <v>90.647576683611092</v>
      </c>
      <c r="W231" s="220">
        <f>IF(W$4&lt;W230,W228,W229)</f>
        <v>136.9873645357365</v>
      </c>
    </row>
    <row r="232" spans="1:23" ht="13.8" x14ac:dyDescent="0.25">
      <c r="A232" s="226"/>
      <c r="B232" s="226"/>
      <c r="C232" s="226"/>
      <c r="D232" s="528"/>
      <c r="E232" s="226"/>
      <c r="F232" s="226"/>
      <c r="G232" s="226"/>
      <c r="H232" s="226"/>
      <c r="I232" s="226"/>
      <c r="J232" s="226"/>
      <c r="K232" s="226"/>
      <c r="L232" s="226"/>
      <c r="M232" s="226"/>
    </row>
    <row r="233" spans="1:23" ht="14.4" x14ac:dyDescent="0.3">
      <c r="A233" s="226"/>
      <c r="B233" s="226"/>
      <c r="C233" s="226"/>
      <c r="D233" s="528"/>
      <c r="E233" s="226"/>
      <c r="F233" s="226"/>
      <c r="G233" s="226"/>
      <c r="H233" s="226"/>
      <c r="I233" s="226"/>
      <c r="J233" s="226"/>
      <c r="K233" s="226"/>
      <c r="L233" s="226"/>
      <c r="M233" s="226"/>
      <c r="Q233" s="211" t="s">
        <v>50</v>
      </c>
      <c r="R233" s="219"/>
      <c r="T233" s="220">
        <f>T231</f>
        <v>12.91938248122084</v>
      </c>
      <c r="U233" s="220">
        <f>U231</f>
        <v>39.440483902801446</v>
      </c>
      <c r="V233" s="220">
        <f>V231</f>
        <v>90.647576683611092</v>
      </c>
      <c r="W233" s="220">
        <f>W231</f>
        <v>136.9873645357365</v>
      </c>
    </row>
    <row r="234" spans="1:23" ht="13.8" x14ac:dyDescent="0.25">
      <c r="A234" s="226"/>
      <c r="B234" s="226"/>
      <c r="C234" s="226"/>
      <c r="D234" s="528"/>
      <c r="E234" s="226"/>
      <c r="F234" s="226"/>
      <c r="G234" s="226"/>
      <c r="H234" s="226"/>
      <c r="I234" s="226"/>
      <c r="J234" s="226"/>
      <c r="K234" s="226"/>
      <c r="L234" s="226"/>
      <c r="M234" s="226"/>
      <c r="Q234" s="211" t="s">
        <v>52</v>
      </c>
      <c r="R234" s="209">
        <v>15</v>
      </c>
      <c r="T234" s="220">
        <f>1/(SQRT(1+(SIGMA_ZETA/N_2)*(T233/d^2)^2))</f>
        <v>0.99902465887476266</v>
      </c>
      <c r="U234" s="220">
        <f>1/(SQRT(1+(SIGMA_ZETA/N_2)*(U233/d^2)^2))</f>
        <v>0.99101926336592272</v>
      </c>
      <c r="V234" s="220">
        <f>1/(SQRT(1+(SIGMA_ZETA/N_2)*(V233/d^2)^2))</f>
        <v>0.95512571470487728</v>
      </c>
      <c r="W234" s="220">
        <f>1/(SQRT(1+(SIGMA_ZETA/N_2)*(W233/d^2)^2))</f>
        <v>0.9054932551467747</v>
      </c>
    </row>
    <row r="235" spans="1:23" ht="13.8" x14ac:dyDescent="0.25">
      <c r="A235" s="226"/>
      <c r="B235" s="226"/>
      <c r="C235" s="226"/>
      <c r="D235" s="528"/>
      <c r="E235" s="226"/>
      <c r="F235" s="226"/>
      <c r="G235" s="226"/>
      <c r="H235" s="226"/>
      <c r="I235" s="226"/>
      <c r="J235" s="226"/>
      <c r="K235" s="226"/>
      <c r="L235" s="226"/>
      <c r="M235" s="226"/>
      <c r="Q235" s="211" t="s">
        <v>54</v>
      </c>
      <c r="R235" s="221">
        <v>22</v>
      </c>
      <c r="T235" s="220">
        <f>(x_T/T234^2)/(1+(x_T*SIGMA_ZETA_1/N_5)*(T233/d^2)^2)</f>
        <v>0.6402212470060592</v>
      </c>
      <c r="U235" s="220">
        <f>(E$9/U234^2)/(1+(E$9*SIGMA_ZETA_1/N_5)*(U233/d^2)^2)</f>
        <v>0.62529707078029195</v>
      </c>
      <c r="V235" s="220">
        <f>(F$9/V234^2)/(1+(F$9*SIGMA_ZETA_1/N_5)*(V233/d^2)^2)</f>
        <v>0.56879518297355325</v>
      </c>
      <c r="W235" s="220">
        <f>(G$9/W234^2)/(1+(G$9*SIGMA_ZETA_1/N_5)*(W233/d^2)^2)</f>
        <v>0.48669680663327008</v>
      </c>
    </row>
    <row r="236" spans="1:23" ht="13.8" x14ac:dyDescent="0.25">
      <c r="A236" s="226"/>
      <c r="B236" s="226"/>
      <c r="C236" s="226"/>
      <c r="D236" s="528"/>
      <c r="E236" s="226"/>
      <c r="F236" s="226"/>
      <c r="G236" s="226"/>
      <c r="H236" s="226"/>
      <c r="I236" s="226"/>
      <c r="J236" s="226"/>
      <c r="K236" s="226"/>
      <c r="L236" s="226"/>
      <c r="M236" s="226"/>
      <c r="Q236" s="211" t="s">
        <v>21</v>
      </c>
      <c r="R236" s="209">
        <v>12</v>
      </c>
      <c r="S236" s="211"/>
      <c r="T236" s="220">
        <f>1-(x/(3*F_GAMMA*T235))</f>
        <v>0.82644888523973103</v>
      </c>
      <c r="U236" s="220">
        <f>1-(U$4/(3*F_GAMMA*U235))</f>
        <v>0.82792227238878624</v>
      </c>
      <c r="V236" s="220">
        <f>1-(V$4/(3*F_GAMMA*V235))</f>
        <v>0.83406204884769286</v>
      </c>
      <c r="W236" s="220">
        <f>1-(W$4/(3*F_GAMMA*W235))</f>
        <v>0.82877772732927402</v>
      </c>
    </row>
    <row r="237" spans="1:23" ht="13.8" x14ac:dyDescent="0.25">
      <c r="A237" s="226"/>
      <c r="B237" s="226"/>
      <c r="C237" s="226"/>
      <c r="D237" s="528"/>
      <c r="E237" s="226"/>
      <c r="F237" s="226"/>
      <c r="G237" s="226"/>
      <c r="H237" s="226"/>
      <c r="I237" s="226"/>
      <c r="J237" s="226"/>
      <c r="K237" s="226"/>
      <c r="L237" s="226"/>
      <c r="M237" s="226"/>
      <c r="Q237" s="211" t="s">
        <v>57</v>
      </c>
      <c r="R237" s="221">
        <v>7</v>
      </c>
      <c r="T237" s="220">
        <f>(Q/(N_9*T234*P_1*T236))*SQRT(M*T_abs*Z/x)</f>
        <v>12.91938248122084</v>
      </c>
      <c r="U237" s="220">
        <f>(E$2/(N_9*U234*E$3*U236))*SQRT(M*U$6*E$8/U$4)</f>
        <v>39.440483902801446</v>
      </c>
      <c r="V237" s="220">
        <f>(F$2/(N_9*V234*F$3*V236))*SQRT(M*V$6*F$8/V$4)</f>
        <v>90.647576683611092</v>
      </c>
      <c r="W237" s="220">
        <f>(G$2/(N_9*W234*G$3*W236))*SQRT(M*W$6*G$8/W$4)</f>
        <v>136.9873645357365</v>
      </c>
    </row>
    <row r="238" spans="1:23" ht="13.8" x14ac:dyDescent="0.25">
      <c r="A238" s="226"/>
      <c r="B238" s="226"/>
      <c r="C238" s="226"/>
      <c r="D238" s="528"/>
      <c r="E238" s="226"/>
      <c r="F238" s="226"/>
      <c r="G238" s="226"/>
      <c r="H238" s="226"/>
      <c r="I238" s="226"/>
      <c r="J238" s="226"/>
      <c r="K238" s="226"/>
      <c r="L238" s="226"/>
      <c r="M238" s="226"/>
      <c r="Q238" s="211" t="s">
        <v>59</v>
      </c>
      <c r="R238" s="221">
        <v>7</v>
      </c>
      <c r="T238" s="220">
        <f>(Q/(0.667*N_9*T234*P_1))*SQRT(M*T_abs*Z/(T239))</f>
        <v>11.55064539614397</v>
      </c>
      <c r="U238" s="220">
        <f>(E$2/(0.667*N_9*U234*E$3))*SQRT(M*U$6*E$8/(U239))</f>
        <v>35.174580389549035</v>
      </c>
      <c r="V238" s="220">
        <f>(F$2/(0.667*N_9*V234*F$3))*SQRT(M*V$6*F$8/(V239))</f>
        <v>79.976466841065104</v>
      </c>
      <c r="W238" s="220">
        <f>(G$2/(0.667*N_9*W234*G$3))*SQRT(M*W$6*G$8/(W239))</f>
        <v>121.99260460384164</v>
      </c>
    </row>
    <row r="239" spans="1:23" ht="15.6" x14ac:dyDescent="0.35">
      <c r="A239" s="226"/>
      <c r="B239" s="226"/>
      <c r="C239" s="226"/>
      <c r="D239" s="528"/>
      <c r="E239" s="226"/>
      <c r="F239" s="226"/>
      <c r="G239" s="226"/>
      <c r="H239" s="226"/>
      <c r="I239" s="226"/>
      <c r="J239" s="226"/>
      <c r="K239" s="226"/>
      <c r="L239" s="226"/>
      <c r="M239" s="226"/>
      <c r="Q239" s="211" t="s">
        <v>84</v>
      </c>
      <c r="R239" s="221">
        <v>10</v>
      </c>
      <c r="T239" s="220">
        <f>F_GAMMA*T235</f>
        <v>0.6402212470060592</v>
      </c>
      <c r="U239" s="220">
        <f>F_GAMMA*U235</f>
        <v>0.62529707078029195</v>
      </c>
      <c r="V239" s="220">
        <f>F_GAMMA*V235</f>
        <v>0.56879518297355325</v>
      </c>
      <c r="W239" s="220">
        <f>F_GAMMA*W235</f>
        <v>0.48669680663327008</v>
      </c>
    </row>
    <row r="240" spans="1:23" ht="13.8" x14ac:dyDescent="0.25">
      <c r="A240" s="226"/>
      <c r="B240" s="226"/>
      <c r="C240" s="226"/>
      <c r="D240" s="528"/>
      <c r="E240" s="226"/>
      <c r="F240" s="226"/>
      <c r="G240" s="226"/>
      <c r="H240" s="226"/>
      <c r="I240" s="226"/>
      <c r="J240" s="226"/>
      <c r="K240" s="226"/>
      <c r="L240" s="226"/>
      <c r="M240" s="226"/>
      <c r="Q240" s="211" t="s">
        <v>30</v>
      </c>
      <c r="R240" s="224"/>
      <c r="T240" s="220">
        <f>IF(x&lt;T239,T237,T238)</f>
        <v>12.91938248122084</v>
      </c>
      <c r="U240" s="220">
        <f>IF(U$4&lt;U239,U237,U238)</f>
        <v>39.440483902801446</v>
      </c>
      <c r="V240" s="220">
        <f>IF(V$4&lt;V239,V237,V238)</f>
        <v>90.647576683611092</v>
      </c>
      <c r="W240" s="220">
        <f>IF(W$4&lt;W239,W237,W238)</f>
        <v>136.9873645357365</v>
      </c>
    </row>
    <row r="241" spans="1:23" ht="13.8" x14ac:dyDescent="0.25">
      <c r="A241" s="226"/>
      <c r="B241" s="226"/>
      <c r="C241" s="226"/>
      <c r="D241" s="528"/>
      <c r="E241" s="226"/>
      <c r="F241" s="226"/>
      <c r="G241" s="226"/>
      <c r="H241" s="226"/>
      <c r="I241" s="226"/>
      <c r="J241" s="226"/>
      <c r="K241" s="226"/>
      <c r="L241" s="226"/>
      <c r="M241" s="226"/>
    </row>
    <row r="242" spans="1:23" ht="14.4" x14ac:dyDescent="0.3">
      <c r="A242" s="226"/>
      <c r="B242" s="226"/>
      <c r="C242" s="226"/>
      <c r="D242" s="528"/>
      <c r="E242" s="226"/>
      <c r="F242" s="226"/>
      <c r="G242" s="226"/>
      <c r="H242" s="226"/>
      <c r="I242" s="226"/>
      <c r="J242" s="226"/>
      <c r="K242" s="226"/>
      <c r="L242" s="226"/>
      <c r="M242" s="226"/>
      <c r="Q242" s="211" t="s">
        <v>50</v>
      </c>
      <c r="R242" s="219"/>
      <c r="T242" s="220">
        <f>T240</f>
        <v>12.91938248122084</v>
      </c>
      <c r="U242" s="220">
        <f>U240</f>
        <v>39.440483902801446</v>
      </c>
      <c r="V242" s="220">
        <f>V240</f>
        <v>90.647576683611092</v>
      </c>
      <c r="W242" s="220">
        <f>W240</f>
        <v>136.9873645357365</v>
      </c>
    </row>
    <row r="243" spans="1:23" ht="13.8" x14ac:dyDescent="0.25">
      <c r="A243" s="226"/>
      <c r="B243" s="226"/>
      <c r="C243" s="226"/>
      <c r="D243" s="528"/>
      <c r="E243" s="226"/>
      <c r="F243" s="226"/>
      <c r="G243" s="226"/>
      <c r="H243" s="226"/>
      <c r="I243" s="226"/>
      <c r="J243" s="226"/>
      <c r="K243" s="226"/>
      <c r="L243" s="226"/>
      <c r="M243" s="226"/>
      <c r="Q243" s="211" t="s">
        <v>52</v>
      </c>
      <c r="R243" s="209">
        <v>15</v>
      </c>
      <c r="T243" s="220">
        <f>1/(SQRT(1+(SIGMA_ZETA/N_2)*(T242/d^2)^2))</f>
        <v>0.99902465887476266</v>
      </c>
      <c r="U243" s="220">
        <f>1/(SQRT(1+(SIGMA_ZETA/N_2)*(U242/d^2)^2))</f>
        <v>0.99101926336592272</v>
      </c>
      <c r="V243" s="220">
        <f>1/(SQRT(1+(SIGMA_ZETA/N_2)*(V242/d^2)^2))</f>
        <v>0.95512571470487728</v>
      </c>
      <c r="W243" s="220">
        <f>1/(SQRT(1+(SIGMA_ZETA/N_2)*(W242/d^2)^2))</f>
        <v>0.9054932551467747</v>
      </c>
    </row>
    <row r="244" spans="1:23" ht="13.8" x14ac:dyDescent="0.25">
      <c r="A244" s="226"/>
      <c r="B244" s="226"/>
      <c r="C244" s="226"/>
      <c r="D244" s="528"/>
      <c r="E244" s="226"/>
      <c r="F244" s="226"/>
      <c r="G244" s="226"/>
      <c r="H244" s="226"/>
      <c r="I244" s="226"/>
      <c r="J244" s="226"/>
      <c r="K244" s="226"/>
      <c r="L244" s="226"/>
      <c r="M244" s="226"/>
      <c r="Q244" s="211" t="s">
        <v>54</v>
      </c>
      <c r="R244" s="221">
        <v>22</v>
      </c>
      <c r="T244" s="220">
        <f>(x_T/T243^2)/(1+(x_T*SIGMA_ZETA_1/N_5)*(T242/d^2)^2)</f>
        <v>0.6402212470060592</v>
      </c>
      <c r="U244" s="220">
        <f>(E$9/U243^2)/(1+(E$9*SIGMA_ZETA_1/N_5)*(U242/d^2)^2)</f>
        <v>0.62529707078029195</v>
      </c>
      <c r="V244" s="220">
        <f>(F$9/V243^2)/(1+(F$9*SIGMA_ZETA_1/N_5)*(V242/d^2)^2)</f>
        <v>0.56879518297355325</v>
      </c>
      <c r="W244" s="220">
        <f>(G$9/W243^2)/(1+(G$9*SIGMA_ZETA_1/N_5)*(W242/d^2)^2)</f>
        <v>0.48669680663327008</v>
      </c>
    </row>
    <row r="245" spans="1:23" ht="13.8" x14ac:dyDescent="0.25">
      <c r="A245" s="226"/>
      <c r="B245" s="226"/>
      <c r="C245" s="226"/>
      <c r="D245" s="528"/>
      <c r="E245" s="226"/>
      <c r="F245" s="226"/>
      <c r="G245" s="226"/>
      <c r="H245" s="226"/>
      <c r="I245" s="226"/>
      <c r="J245" s="226"/>
      <c r="K245" s="226"/>
      <c r="L245" s="226"/>
      <c r="M245" s="226"/>
      <c r="Q245" s="211" t="s">
        <v>21</v>
      </c>
      <c r="R245" s="209">
        <v>12</v>
      </c>
      <c r="S245" s="211"/>
      <c r="T245" s="220">
        <f>1-(x/(3*F_GAMMA*T244))</f>
        <v>0.82644888523973103</v>
      </c>
      <c r="U245" s="220">
        <f>1-(U$4/(3*F_GAMMA*U244))</f>
        <v>0.82792227238878624</v>
      </c>
      <c r="V245" s="220">
        <f>1-(V$4/(3*F_GAMMA*V244))</f>
        <v>0.83406204884769286</v>
      </c>
      <c r="W245" s="220">
        <f>1-(W$4/(3*F_GAMMA*W244))</f>
        <v>0.82877772732927402</v>
      </c>
    </row>
    <row r="246" spans="1:23" ht="13.8" x14ac:dyDescent="0.25">
      <c r="A246" s="226"/>
      <c r="B246" s="226"/>
      <c r="C246" s="226"/>
      <c r="D246" s="528"/>
      <c r="E246" s="226"/>
      <c r="F246" s="226"/>
      <c r="G246" s="226"/>
      <c r="H246" s="226"/>
      <c r="I246" s="226"/>
      <c r="J246" s="226"/>
      <c r="K246" s="226"/>
      <c r="L246" s="226"/>
      <c r="M246" s="226"/>
      <c r="Q246" s="211" t="s">
        <v>57</v>
      </c>
      <c r="R246" s="221">
        <v>7</v>
      </c>
      <c r="T246" s="220">
        <f>(Q/(N_9*T243*P_1*T245))*SQRT(M*T_abs*Z/x)</f>
        <v>12.91938248122084</v>
      </c>
      <c r="U246" s="220">
        <f>(E$2/(N_9*U243*E$3*U245))*SQRT(M*U$6*E$8/U$4)</f>
        <v>39.440483902801446</v>
      </c>
      <c r="V246" s="220">
        <f>(F$2/(N_9*V243*F$3*V245))*SQRT(M*V$6*F$8/V$4)</f>
        <v>90.647576683611092</v>
      </c>
      <c r="W246" s="220">
        <f>(G$2/(N_9*W243*G$3*W245))*SQRT(M*W$6*G$8/W$4)</f>
        <v>136.9873645357365</v>
      </c>
    </row>
    <row r="247" spans="1:23" ht="13.8" x14ac:dyDescent="0.25">
      <c r="A247" s="226"/>
      <c r="B247" s="226"/>
      <c r="C247" s="226"/>
      <c r="D247" s="528"/>
      <c r="E247" s="226"/>
      <c r="F247" s="226"/>
      <c r="G247" s="226"/>
      <c r="H247" s="226"/>
      <c r="I247" s="226"/>
      <c r="J247" s="226"/>
      <c r="K247" s="226"/>
      <c r="L247" s="226"/>
      <c r="M247" s="226"/>
      <c r="Q247" s="211" t="s">
        <v>59</v>
      </c>
      <c r="R247" s="221">
        <v>7</v>
      </c>
      <c r="T247" s="220">
        <f>(Q/(0.667*N_9*T243*P_1))*SQRT(M*T_abs*Z/(T248))</f>
        <v>11.55064539614397</v>
      </c>
      <c r="U247" s="220">
        <f>(E$2/(0.667*N_9*U243*E$3))*SQRT(M*U$6*E$8/(U248))</f>
        <v>35.174580389549035</v>
      </c>
      <c r="V247" s="220">
        <f>(F$2/(0.667*N_9*V243*F$3))*SQRT(M*V$6*F$8/(V248))</f>
        <v>79.976466841065104</v>
      </c>
      <c r="W247" s="220">
        <f>(G$2/(0.667*N_9*W243*G$3))*SQRT(M*W$6*G$8/(W248))</f>
        <v>121.99260460384164</v>
      </c>
    </row>
    <row r="248" spans="1:23" ht="15.6" x14ac:dyDescent="0.35">
      <c r="A248" s="226"/>
      <c r="B248" s="226"/>
      <c r="C248" s="226"/>
      <c r="D248" s="528"/>
      <c r="E248" s="226"/>
      <c r="F248" s="226"/>
      <c r="G248" s="226"/>
      <c r="H248" s="226"/>
      <c r="I248" s="226"/>
      <c r="J248" s="226"/>
      <c r="K248" s="226"/>
      <c r="L248" s="226"/>
      <c r="M248" s="226"/>
      <c r="Q248" s="211" t="s">
        <v>84</v>
      </c>
      <c r="R248" s="221">
        <v>10</v>
      </c>
      <c r="T248" s="220">
        <f>F_GAMMA*T244</f>
        <v>0.6402212470060592</v>
      </c>
      <c r="U248" s="220">
        <f>F_GAMMA*U244</f>
        <v>0.62529707078029195</v>
      </c>
      <c r="V248" s="220">
        <f>F_GAMMA*V244</f>
        <v>0.56879518297355325</v>
      </c>
      <c r="W248" s="220">
        <f>F_GAMMA*W244</f>
        <v>0.48669680663327008</v>
      </c>
    </row>
    <row r="249" spans="1:23" ht="13.8" x14ac:dyDescent="0.25">
      <c r="A249" s="226"/>
      <c r="B249" s="226"/>
      <c r="C249" s="226"/>
      <c r="D249" s="528"/>
      <c r="E249" s="226"/>
      <c r="F249" s="226"/>
      <c r="G249" s="226"/>
      <c r="H249" s="226"/>
      <c r="I249" s="226"/>
      <c r="J249" s="226"/>
      <c r="K249" s="226"/>
      <c r="L249" s="226"/>
      <c r="M249" s="226"/>
      <c r="Q249" s="211" t="s">
        <v>30</v>
      </c>
      <c r="R249" s="224"/>
      <c r="T249" s="220">
        <f>IF(x&lt;T248,T246,T247)</f>
        <v>12.91938248122084</v>
      </c>
      <c r="U249" s="220">
        <f>IF(U$4&lt;U248,U246,U247)</f>
        <v>39.440483902801446</v>
      </c>
      <c r="V249" s="220">
        <f>IF(V$4&lt;V248,V246,V247)</f>
        <v>90.647576683611092</v>
      </c>
      <c r="W249" s="220">
        <f>IF(W$4&lt;W248,W246,W247)</f>
        <v>136.9873645357365</v>
      </c>
    </row>
    <row r="250" spans="1:23" ht="13.8" x14ac:dyDescent="0.25">
      <c r="A250" s="226"/>
      <c r="B250" s="226"/>
      <c r="C250" s="226"/>
      <c r="D250" s="528"/>
      <c r="E250" s="226"/>
      <c r="F250" s="226"/>
      <c r="G250" s="226"/>
      <c r="H250" s="226"/>
      <c r="I250" s="226"/>
      <c r="J250" s="226"/>
      <c r="K250" s="226"/>
      <c r="L250" s="226"/>
      <c r="M250" s="226"/>
    </row>
    <row r="251" spans="1:23" ht="14.4" x14ac:dyDescent="0.3">
      <c r="A251" s="226"/>
      <c r="B251" s="226"/>
      <c r="C251" s="226"/>
      <c r="D251" s="528"/>
      <c r="E251" s="226"/>
      <c r="F251" s="226"/>
      <c r="G251" s="226"/>
      <c r="H251" s="226"/>
      <c r="I251" s="226"/>
      <c r="J251" s="226"/>
      <c r="K251" s="226"/>
      <c r="L251" s="226"/>
      <c r="M251" s="226"/>
      <c r="Q251" s="211" t="s">
        <v>50</v>
      </c>
      <c r="R251" s="219"/>
      <c r="T251" s="220">
        <f>T249</f>
        <v>12.91938248122084</v>
      </c>
      <c r="U251" s="220">
        <f>U249</f>
        <v>39.440483902801446</v>
      </c>
      <c r="V251" s="220">
        <f>V249</f>
        <v>90.647576683611092</v>
      </c>
      <c r="W251" s="220">
        <f>W249</f>
        <v>136.9873645357365</v>
      </c>
    </row>
    <row r="252" spans="1:23" ht="13.8" x14ac:dyDescent="0.25">
      <c r="A252" s="226"/>
      <c r="B252" s="226"/>
      <c r="C252" s="226"/>
      <c r="D252" s="528"/>
      <c r="E252" s="226"/>
      <c r="F252" s="226"/>
      <c r="G252" s="226"/>
      <c r="H252" s="226"/>
      <c r="I252" s="226"/>
      <c r="J252" s="226"/>
      <c r="K252" s="226"/>
      <c r="L252" s="226"/>
      <c r="M252" s="226"/>
      <c r="Q252" s="211" t="s">
        <v>52</v>
      </c>
      <c r="R252" s="209">
        <v>15</v>
      </c>
      <c r="T252" s="220">
        <f>1/(SQRT(1+(SIGMA_ZETA/N_2)*(T251/d^2)^2))</f>
        <v>0.99902465887476266</v>
      </c>
      <c r="U252" s="220">
        <f>1/(SQRT(1+(SIGMA_ZETA/N_2)*(U251/d^2)^2))</f>
        <v>0.99101926336592272</v>
      </c>
      <c r="V252" s="220">
        <f>1/(SQRT(1+(SIGMA_ZETA/N_2)*(V251/d^2)^2))</f>
        <v>0.95512571470487728</v>
      </c>
      <c r="W252" s="220">
        <f>1/(SQRT(1+(SIGMA_ZETA/N_2)*(W251/d^2)^2))</f>
        <v>0.9054932551467747</v>
      </c>
    </row>
    <row r="253" spans="1:23" ht="13.8" x14ac:dyDescent="0.25">
      <c r="A253" s="226"/>
      <c r="B253" s="226"/>
      <c r="C253" s="226"/>
      <c r="D253" s="528"/>
      <c r="E253" s="226"/>
      <c r="F253" s="226"/>
      <c r="G253" s="226"/>
      <c r="H253" s="226"/>
      <c r="I253" s="226"/>
      <c r="J253" s="226"/>
      <c r="K253" s="226"/>
      <c r="L253" s="226"/>
      <c r="M253" s="226"/>
      <c r="Q253" s="211" t="s">
        <v>54</v>
      </c>
      <c r="R253" s="221">
        <v>22</v>
      </c>
      <c r="T253" s="220">
        <f>(x_T/T252^2)/(1+(x_T*SIGMA_ZETA_1/N_5)*(T251/d^2)^2)</f>
        <v>0.6402212470060592</v>
      </c>
      <c r="U253" s="220">
        <f>(E$9/U252^2)/(1+(E$9*SIGMA_ZETA_1/N_5)*(U251/d^2)^2)</f>
        <v>0.62529707078029195</v>
      </c>
      <c r="V253" s="220">
        <f>(F$9/V252^2)/(1+(F$9*SIGMA_ZETA_1/N_5)*(V251/d^2)^2)</f>
        <v>0.56879518297355325</v>
      </c>
      <c r="W253" s="220">
        <f>(G$9/W252^2)/(1+(G$9*SIGMA_ZETA_1/N_5)*(W251/d^2)^2)</f>
        <v>0.48669680663327008</v>
      </c>
    </row>
    <row r="254" spans="1:23" ht="13.8" x14ac:dyDescent="0.25">
      <c r="A254" s="226"/>
      <c r="B254" s="226"/>
      <c r="C254" s="226"/>
      <c r="D254" s="528"/>
      <c r="E254" s="226"/>
      <c r="F254" s="226"/>
      <c r="G254" s="226"/>
      <c r="H254" s="226"/>
      <c r="I254" s="226"/>
      <c r="J254" s="226"/>
      <c r="K254" s="226"/>
      <c r="L254" s="226"/>
      <c r="M254" s="226"/>
      <c r="Q254" s="211" t="s">
        <v>21</v>
      </c>
      <c r="R254" s="209">
        <v>12</v>
      </c>
      <c r="S254" s="211"/>
      <c r="T254" s="220">
        <f>1-(x/(3*F_GAMMA*T253))</f>
        <v>0.82644888523973103</v>
      </c>
      <c r="U254" s="220">
        <f>1-(U$4/(3*F_GAMMA*U253))</f>
        <v>0.82792227238878624</v>
      </c>
      <c r="V254" s="220">
        <f>1-(V$4/(3*F_GAMMA*V253))</f>
        <v>0.83406204884769286</v>
      </c>
      <c r="W254" s="220">
        <f>1-(W$4/(3*F_GAMMA*W253))</f>
        <v>0.82877772732927402</v>
      </c>
    </row>
    <row r="255" spans="1:23" ht="13.8" x14ac:dyDescent="0.25">
      <c r="A255" s="226"/>
      <c r="B255" s="226"/>
      <c r="C255" s="226"/>
      <c r="D255" s="528"/>
      <c r="E255" s="226"/>
      <c r="F255" s="226"/>
      <c r="G255" s="226"/>
      <c r="H255" s="226"/>
      <c r="I255" s="226"/>
      <c r="J255" s="226"/>
      <c r="K255" s="226"/>
      <c r="L255" s="226"/>
      <c r="M255" s="226"/>
      <c r="Q255" s="211" t="s">
        <v>57</v>
      </c>
      <c r="R255" s="221">
        <v>7</v>
      </c>
      <c r="T255" s="220">
        <f>(Q/(N_9*T252*P_1*T254))*SQRT(M*T_abs*Z/x)</f>
        <v>12.91938248122084</v>
      </c>
      <c r="U255" s="220">
        <f>(E$2/(N_9*U252*E$3*U254))*SQRT(M*U$6*E$8/U$4)</f>
        <v>39.440483902801446</v>
      </c>
      <c r="V255" s="220">
        <f>(F$2/(N_9*V252*F$3*V254))*SQRT(M*V$6*F$8/V$4)</f>
        <v>90.647576683611092</v>
      </c>
      <c r="W255" s="220">
        <f>(G$2/(N_9*W252*G$3*W254))*SQRT(M*W$6*G$8/W$4)</f>
        <v>136.9873645357365</v>
      </c>
    </row>
    <row r="256" spans="1:23" ht="13.8" x14ac:dyDescent="0.25">
      <c r="A256" s="226"/>
      <c r="B256" s="226"/>
      <c r="C256" s="226"/>
      <c r="D256" s="528"/>
      <c r="E256" s="226"/>
      <c r="F256" s="226"/>
      <c r="G256" s="226"/>
      <c r="H256" s="226"/>
      <c r="I256" s="226"/>
      <c r="J256" s="226"/>
      <c r="K256" s="226"/>
      <c r="L256" s="226"/>
      <c r="M256" s="226"/>
      <c r="Q256" s="211" t="s">
        <v>59</v>
      </c>
      <c r="R256" s="221">
        <v>7</v>
      </c>
      <c r="T256" s="220">
        <f>(Q/(0.667*N_9*T252*P_1))*SQRT(M*T_abs*Z/(T257))</f>
        <v>11.55064539614397</v>
      </c>
      <c r="U256" s="220">
        <f>(E$2/(0.667*N_9*U252*E$3))*SQRT(M*U$6*E$8/(U257))</f>
        <v>35.174580389549035</v>
      </c>
      <c r="V256" s="220">
        <f>(F$2/(0.667*N_9*V252*F$3))*SQRT(M*V$6*F$8/(V257))</f>
        <v>79.976466841065104</v>
      </c>
      <c r="W256" s="220">
        <f>(G$2/(0.667*N_9*W252*G$3))*SQRT(M*W$6*G$8/(W257))</f>
        <v>121.99260460384164</v>
      </c>
    </row>
    <row r="257" spans="1:23" ht="15.6" x14ac:dyDescent="0.35">
      <c r="A257" s="226"/>
      <c r="B257" s="226"/>
      <c r="C257" s="226"/>
      <c r="D257" s="528"/>
      <c r="E257" s="226"/>
      <c r="F257" s="226"/>
      <c r="G257" s="226"/>
      <c r="H257" s="226"/>
      <c r="I257" s="226"/>
      <c r="J257" s="226"/>
      <c r="K257" s="226"/>
      <c r="L257" s="226"/>
      <c r="M257" s="226"/>
      <c r="Q257" s="211" t="s">
        <v>84</v>
      </c>
      <c r="R257" s="221">
        <v>10</v>
      </c>
      <c r="T257" s="220">
        <f>F_GAMMA*T253</f>
        <v>0.6402212470060592</v>
      </c>
      <c r="U257" s="220">
        <f>F_GAMMA*U253</f>
        <v>0.62529707078029195</v>
      </c>
      <c r="V257" s="220">
        <f>F_GAMMA*V253</f>
        <v>0.56879518297355325</v>
      </c>
      <c r="W257" s="220">
        <f>F_GAMMA*W253</f>
        <v>0.48669680663327008</v>
      </c>
    </row>
    <row r="258" spans="1:23" ht="13.8" x14ac:dyDescent="0.25">
      <c r="A258" s="226"/>
      <c r="B258" s="226"/>
      <c r="C258" s="226"/>
      <c r="D258" s="528"/>
      <c r="E258" s="226"/>
      <c r="F258" s="226"/>
      <c r="G258" s="226"/>
      <c r="H258" s="226"/>
      <c r="I258" s="226"/>
      <c r="J258" s="226"/>
      <c r="K258" s="226"/>
      <c r="L258" s="226"/>
      <c r="M258" s="226"/>
      <c r="Q258" s="211" t="s">
        <v>30</v>
      </c>
      <c r="R258" s="224"/>
      <c r="T258" s="220">
        <f>IF(x&lt;T257,T255,T256)</f>
        <v>12.91938248122084</v>
      </c>
      <c r="U258" s="220">
        <f>IF(U$4&lt;U257,U255,U256)</f>
        <v>39.440483902801446</v>
      </c>
      <c r="V258" s="220">
        <f>IF(V$4&lt;V257,V255,V256)</f>
        <v>90.647576683611092</v>
      </c>
      <c r="W258" s="220">
        <f>IF(W$4&lt;W257,W255,W256)</f>
        <v>136.9873645357365</v>
      </c>
    </row>
    <row r="259" spans="1:23" ht="13.8" x14ac:dyDescent="0.25">
      <c r="A259" s="226"/>
      <c r="B259" s="226"/>
      <c r="C259" s="226"/>
      <c r="D259" s="528"/>
      <c r="E259" s="226"/>
      <c r="F259" s="226"/>
      <c r="G259" s="226"/>
      <c r="H259" s="226"/>
      <c r="I259" s="226"/>
      <c r="J259" s="226"/>
      <c r="K259" s="226"/>
      <c r="L259" s="226"/>
      <c r="M259" s="226"/>
    </row>
    <row r="260" spans="1:23" ht="14.4" x14ac:dyDescent="0.3">
      <c r="A260" s="226"/>
      <c r="B260" s="226"/>
      <c r="C260" s="226"/>
      <c r="D260" s="528"/>
      <c r="E260" s="226"/>
      <c r="F260" s="226"/>
      <c r="G260" s="226"/>
      <c r="H260" s="226"/>
      <c r="I260" s="226"/>
      <c r="J260" s="226"/>
      <c r="K260" s="226"/>
      <c r="L260" s="226"/>
      <c r="M260" s="226"/>
      <c r="Q260" s="211" t="s">
        <v>50</v>
      </c>
      <c r="R260" s="219"/>
      <c r="T260" s="220">
        <f>T258</f>
        <v>12.91938248122084</v>
      </c>
      <c r="U260" s="220">
        <f>U258</f>
        <v>39.440483902801446</v>
      </c>
      <c r="V260" s="220">
        <f>V258</f>
        <v>90.647576683611092</v>
      </c>
      <c r="W260" s="220">
        <f>W258</f>
        <v>136.9873645357365</v>
      </c>
    </row>
    <row r="261" spans="1:23" ht="13.8" x14ac:dyDescent="0.25">
      <c r="A261" s="226"/>
      <c r="B261" s="226"/>
      <c r="C261" s="226"/>
      <c r="D261" s="528"/>
      <c r="E261" s="226"/>
      <c r="F261" s="226"/>
      <c r="G261" s="226"/>
      <c r="H261" s="226"/>
      <c r="I261" s="226"/>
      <c r="J261" s="226"/>
      <c r="K261" s="226"/>
      <c r="L261" s="226"/>
      <c r="M261" s="226"/>
      <c r="Q261" s="211" t="s">
        <v>52</v>
      </c>
      <c r="R261" s="209">
        <v>15</v>
      </c>
      <c r="T261" s="220">
        <f>1/(SQRT(1+(SIGMA_ZETA/N_2)*(T260/d^2)^2))</f>
        <v>0.99902465887476266</v>
      </c>
      <c r="U261" s="220">
        <f>1/(SQRT(1+(SIGMA_ZETA/N_2)*(U260/d^2)^2))</f>
        <v>0.99101926336592272</v>
      </c>
      <c r="V261" s="220">
        <f>1/(SQRT(1+(SIGMA_ZETA/N_2)*(V260/d^2)^2))</f>
        <v>0.95512571470487728</v>
      </c>
      <c r="W261" s="220">
        <f>1/(SQRT(1+(SIGMA_ZETA/N_2)*(W260/d^2)^2))</f>
        <v>0.9054932551467747</v>
      </c>
    </row>
    <row r="262" spans="1:23" ht="13.8" x14ac:dyDescent="0.25">
      <c r="A262" s="226"/>
      <c r="B262" s="226"/>
      <c r="C262" s="226"/>
      <c r="D262" s="528"/>
      <c r="E262" s="226"/>
      <c r="F262" s="226"/>
      <c r="G262" s="226"/>
      <c r="H262" s="226"/>
      <c r="I262" s="226"/>
      <c r="J262" s="226"/>
      <c r="K262" s="226"/>
      <c r="L262" s="226"/>
      <c r="M262" s="226"/>
      <c r="Q262" s="211" t="s">
        <v>54</v>
      </c>
      <c r="R262" s="221">
        <v>22</v>
      </c>
      <c r="T262" s="220">
        <f>(x_T/T261^2)/(1+(x_T*SIGMA_ZETA_1/N_5)*(T260/d^2)^2)</f>
        <v>0.6402212470060592</v>
      </c>
      <c r="U262" s="220">
        <f>(E$9/U261^2)/(1+(E$9*SIGMA_ZETA_1/N_5)*(U260/d^2)^2)</f>
        <v>0.62529707078029195</v>
      </c>
      <c r="V262" s="220">
        <f>(F$9/V261^2)/(1+(F$9*SIGMA_ZETA_1/N_5)*(V260/d^2)^2)</f>
        <v>0.56879518297355325</v>
      </c>
      <c r="W262" s="220">
        <f>(G$9/W261^2)/(1+(G$9*SIGMA_ZETA_1/N_5)*(W260/d^2)^2)</f>
        <v>0.48669680663327008</v>
      </c>
    </row>
    <row r="263" spans="1:23" ht="13.8" x14ac:dyDescent="0.25">
      <c r="A263" s="226"/>
      <c r="B263" s="226"/>
      <c r="C263" s="226"/>
      <c r="D263" s="528"/>
      <c r="E263" s="226"/>
      <c r="F263" s="226"/>
      <c r="G263" s="226"/>
      <c r="H263" s="226"/>
      <c r="I263" s="226"/>
      <c r="J263" s="226"/>
      <c r="K263" s="226"/>
      <c r="L263" s="226"/>
      <c r="M263" s="226"/>
      <c r="Q263" s="211" t="s">
        <v>21</v>
      </c>
      <c r="R263" s="209">
        <v>12</v>
      </c>
      <c r="S263" s="211"/>
      <c r="T263" s="220">
        <f>1-(x/(3*F_GAMMA*T262))</f>
        <v>0.82644888523973103</v>
      </c>
      <c r="U263" s="220">
        <f>1-(U$4/(3*F_GAMMA*U262))</f>
        <v>0.82792227238878624</v>
      </c>
      <c r="V263" s="220">
        <f>1-(V$4/(3*F_GAMMA*V262))</f>
        <v>0.83406204884769286</v>
      </c>
      <c r="W263" s="220">
        <f>1-(W$4/(3*F_GAMMA*W262))</f>
        <v>0.82877772732927402</v>
      </c>
    </row>
    <row r="264" spans="1:23" ht="13.8" x14ac:dyDescent="0.25">
      <c r="A264" s="226"/>
      <c r="B264" s="226"/>
      <c r="C264" s="226"/>
      <c r="D264" s="528"/>
      <c r="E264" s="226"/>
      <c r="F264" s="226"/>
      <c r="G264" s="226"/>
      <c r="H264" s="226"/>
      <c r="I264" s="226"/>
      <c r="J264" s="226"/>
      <c r="K264" s="226"/>
      <c r="L264" s="226"/>
      <c r="M264" s="226"/>
      <c r="Q264" s="211" t="s">
        <v>57</v>
      </c>
      <c r="R264" s="221">
        <v>7</v>
      </c>
      <c r="T264" s="220">
        <f>(Q/(N_9*T261*P_1*T263))*SQRT(M*T_abs*Z/x)</f>
        <v>12.91938248122084</v>
      </c>
      <c r="U264" s="220">
        <f>(E$2/(N_9*U261*E$3*U263))*SQRT(M*U$6*E$8/U$4)</f>
        <v>39.440483902801446</v>
      </c>
      <c r="V264" s="220">
        <f>(F$2/(N_9*V261*F$3*V263))*SQRT(M*V$6*F$8/V$4)</f>
        <v>90.647576683611092</v>
      </c>
      <c r="W264" s="220">
        <f>(G$2/(N_9*W261*G$3*W263))*SQRT(M*W$6*G$8/W$4)</f>
        <v>136.9873645357365</v>
      </c>
    </row>
    <row r="265" spans="1:23" ht="13.8" x14ac:dyDescent="0.25">
      <c r="A265" s="226"/>
      <c r="B265" s="226"/>
      <c r="C265" s="226"/>
      <c r="D265" s="528"/>
      <c r="E265" s="226"/>
      <c r="F265" s="226"/>
      <c r="G265" s="226"/>
      <c r="H265" s="226"/>
      <c r="I265" s="226"/>
      <c r="J265" s="226"/>
      <c r="K265" s="226"/>
      <c r="L265" s="226"/>
      <c r="M265" s="226"/>
      <c r="Q265" s="211" t="s">
        <v>59</v>
      </c>
      <c r="R265" s="221">
        <v>7</v>
      </c>
      <c r="T265" s="220">
        <f>(Q/(0.667*N_9*T261*P_1))*SQRT(M*T_abs*Z/(T266))</f>
        <v>11.55064539614397</v>
      </c>
      <c r="U265" s="220">
        <f>(E$2/(0.667*N_9*U261*E$3))*SQRT(M*U$6*E$8/(U266))</f>
        <v>35.174580389549035</v>
      </c>
      <c r="V265" s="220">
        <f>(F$2/(0.667*N_9*V261*F$3))*SQRT(M*V$6*F$8/(V266))</f>
        <v>79.976466841065104</v>
      </c>
      <c r="W265" s="220">
        <f>(G$2/(0.667*N_9*W261*G$3))*SQRT(M*W$6*G$8/(W266))</f>
        <v>121.99260460384164</v>
      </c>
    </row>
    <row r="266" spans="1:23" ht="15.6" x14ac:dyDescent="0.35">
      <c r="A266" s="226"/>
      <c r="B266" s="226"/>
      <c r="C266" s="226"/>
      <c r="D266" s="528"/>
      <c r="E266" s="226"/>
      <c r="F266" s="226"/>
      <c r="G266" s="226"/>
      <c r="H266" s="226"/>
      <c r="I266" s="226"/>
      <c r="J266" s="226"/>
      <c r="K266" s="226"/>
      <c r="L266" s="226"/>
      <c r="M266" s="226"/>
      <c r="Q266" s="211" t="s">
        <v>84</v>
      </c>
      <c r="R266" s="221">
        <v>10</v>
      </c>
      <c r="T266" s="220">
        <f>F_GAMMA*T262</f>
        <v>0.6402212470060592</v>
      </c>
      <c r="U266" s="220">
        <f>F_GAMMA*U262</f>
        <v>0.62529707078029195</v>
      </c>
      <c r="V266" s="220">
        <f>F_GAMMA*V262</f>
        <v>0.56879518297355325</v>
      </c>
      <c r="W266" s="220">
        <f>F_GAMMA*W262</f>
        <v>0.48669680663327008</v>
      </c>
    </row>
    <row r="267" spans="1:23" ht="13.8" x14ac:dyDescent="0.25">
      <c r="A267" s="226"/>
      <c r="B267" s="226"/>
      <c r="C267" s="226"/>
      <c r="D267" s="528"/>
      <c r="E267" s="226"/>
      <c r="F267" s="226"/>
      <c r="G267" s="226"/>
      <c r="H267" s="226"/>
      <c r="I267" s="226"/>
      <c r="J267" s="226"/>
      <c r="K267" s="226"/>
      <c r="L267" s="226"/>
      <c r="M267" s="226"/>
      <c r="Q267" s="211" t="s">
        <v>30</v>
      </c>
      <c r="R267" s="224"/>
      <c r="T267" s="220">
        <f>IF(x&lt;T266,T264,T265)</f>
        <v>12.91938248122084</v>
      </c>
      <c r="U267" s="220">
        <f>IF(U$4&lt;U266,U264,U265)</f>
        <v>39.440483902801446</v>
      </c>
      <c r="V267" s="220">
        <f>IF(V$4&lt;V266,V264,V265)</f>
        <v>90.647576683611092</v>
      </c>
      <c r="W267" s="220">
        <f>IF(W$4&lt;W266,W264,W265)</f>
        <v>136.9873645357365</v>
      </c>
    </row>
    <row r="268" spans="1:23" ht="13.8" x14ac:dyDescent="0.25">
      <c r="A268" s="226"/>
      <c r="B268" s="226"/>
      <c r="C268" s="226"/>
      <c r="D268" s="528"/>
      <c r="E268" s="226"/>
      <c r="F268" s="226"/>
      <c r="G268" s="226"/>
      <c r="H268" s="226"/>
      <c r="I268" s="226"/>
      <c r="J268" s="226"/>
      <c r="K268" s="226"/>
      <c r="L268" s="226"/>
      <c r="M268" s="226"/>
    </row>
    <row r="269" spans="1:23" ht="14.4" x14ac:dyDescent="0.3">
      <c r="A269" s="226"/>
      <c r="B269" s="226"/>
      <c r="C269" s="226"/>
      <c r="D269" s="528"/>
      <c r="E269" s="226"/>
      <c r="F269" s="226"/>
      <c r="G269" s="226"/>
      <c r="H269" s="226"/>
      <c r="I269" s="226"/>
      <c r="J269" s="226"/>
      <c r="K269" s="226"/>
      <c r="L269" s="226"/>
      <c r="M269" s="226"/>
      <c r="Q269" s="211" t="s">
        <v>50</v>
      </c>
      <c r="R269" s="219"/>
      <c r="T269" s="220">
        <f>T267</f>
        <v>12.91938248122084</v>
      </c>
      <c r="U269" s="220">
        <f>U267</f>
        <v>39.440483902801446</v>
      </c>
      <c r="V269" s="220">
        <f>V267</f>
        <v>90.647576683611092</v>
      </c>
      <c r="W269" s="220">
        <f>W267</f>
        <v>136.9873645357365</v>
      </c>
    </row>
    <row r="270" spans="1:23" ht="13.8" x14ac:dyDescent="0.25">
      <c r="A270" s="226"/>
      <c r="B270" s="226"/>
      <c r="C270" s="226"/>
      <c r="D270" s="528"/>
      <c r="E270" s="226"/>
      <c r="F270" s="226"/>
      <c r="G270" s="226"/>
      <c r="H270" s="226"/>
      <c r="I270" s="226"/>
      <c r="J270" s="226"/>
      <c r="K270" s="226"/>
      <c r="L270" s="226"/>
      <c r="M270" s="226"/>
      <c r="Q270" s="211" t="s">
        <v>52</v>
      </c>
      <c r="R270" s="209">
        <v>15</v>
      </c>
      <c r="T270" s="220">
        <f>1/(SQRT(1+(SIGMA_ZETA/N_2)*(T269/d^2)^2))</f>
        <v>0.99902465887476266</v>
      </c>
      <c r="U270" s="220">
        <f>1/(SQRT(1+(SIGMA_ZETA/N_2)*(U269/d^2)^2))</f>
        <v>0.99101926336592272</v>
      </c>
      <c r="V270" s="220">
        <f>1/(SQRT(1+(SIGMA_ZETA/N_2)*(V269/d^2)^2))</f>
        <v>0.95512571470487728</v>
      </c>
      <c r="W270" s="220">
        <f>1/(SQRT(1+(SIGMA_ZETA/N_2)*(W269/d^2)^2))</f>
        <v>0.9054932551467747</v>
      </c>
    </row>
    <row r="271" spans="1:23" ht="13.8" x14ac:dyDescent="0.25">
      <c r="A271" s="226"/>
      <c r="B271" s="226"/>
      <c r="C271" s="226"/>
      <c r="D271" s="528"/>
      <c r="E271" s="226"/>
      <c r="F271" s="226"/>
      <c r="G271" s="226"/>
      <c r="H271" s="226"/>
      <c r="I271" s="226"/>
      <c r="J271" s="226"/>
      <c r="K271" s="226"/>
      <c r="L271" s="226"/>
      <c r="M271" s="226"/>
      <c r="Q271" s="211" t="s">
        <v>54</v>
      </c>
      <c r="R271" s="221">
        <v>22</v>
      </c>
      <c r="T271" s="220">
        <f>(x_T/T270^2)/(1+(x_T*SIGMA_ZETA_1/N_5)*(T269/d^2)^2)</f>
        <v>0.6402212470060592</v>
      </c>
      <c r="U271" s="220">
        <f>(E$9/U270^2)/(1+(E$9*SIGMA_ZETA_1/N_5)*(U269/d^2)^2)</f>
        <v>0.62529707078029195</v>
      </c>
      <c r="V271" s="220">
        <f>(F$9/V270^2)/(1+(F$9*SIGMA_ZETA_1/N_5)*(V269/d^2)^2)</f>
        <v>0.56879518297355325</v>
      </c>
      <c r="W271" s="220">
        <f>(G$9/W270^2)/(1+(G$9*SIGMA_ZETA_1/N_5)*(W269/d^2)^2)</f>
        <v>0.48669680663327008</v>
      </c>
    </row>
    <row r="272" spans="1:23" ht="13.8" x14ac:dyDescent="0.25">
      <c r="A272" s="226"/>
      <c r="B272" s="226"/>
      <c r="C272" s="226"/>
      <c r="D272" s="528"/>
      <c r="E272" s="226"/>
      <c r="F272" s="226"/>
      <c r="G272" s="226"/>
      <c r="H272" s="226"/>
      <c r="I272" s="226"/>
      <c r="J272" s="226"/>
      <c r="K272" s="226"/>
      <c r="L272" s="226"/>
      <c r="M272" s="226"/>
      <c r="Q272" s="211" t="s">
        <v>21</v>
      </c>
      <c r="R272" s="209">
        <v>12</v>
      </c>
      <c r="S272" s="211"/>
      <c r="T272" s="220">
        <f>1-(x/(3*F_GAMMA*T271))</f>
        <v>0.82644888523973103</v>
      </c>
      <c r="U272" s="220">
        <f>1-(U$4/(3*F_GAMMA*U271))</f>
        <v>0.82792227238878624</v>
      </c>
      <c r="V272" s="220">
        <f>1-(V$4/(3*F_GAMMA*V271))</f>
        <v>0.83406204884769286</v>
      </c>
      <c r="W272" s="220">
        <f>1-(W$4/(3*F_GAMMA*W271))</f>
        <v>0.82877772732927402</v>
      </c>
    </row>
    <row r="273" spans="1:23" ht="13.8" x14ac:dyDescent="0.25">
      <c r="A273" s="226"/>
      <c r="B273" s="226"/>
      <c r="C273" s="226"/>
      <c r="D273" s="528"/>
      <c r="E273" s="226"/>
      <c r="F273" s="226"/>
      <c r="G273" s="226"/>
      <c r="H273" s="226"/>
      <c r="I273" s="226"/>
      <c r="J273" s="226"/>
      <c r="K273" s="226"/>
      <c r="L273" s="226"/>
      <c r="M273" s="226"/>
      <c r="Q273" s="211" t="s">
        <v>57</v>
      </c>
      <c r="R273" s="221">
        <v>7</v>
      </c>
      <c r="T273" s="220">
        <f>(Q/(N_9*T270*P_1*T272))*SQRT(M*T_abs*Z/x)</f>
        <v>12.91938248122084</v>
      </c>
      <c r="U273" s="220">
        <f>(E$2/(N_9*U270*E$3*U272))*SQRT(M*U$6*E$8/U$4)</f>
        <v>39.440483902801446</v>
      </c>
      <c r="V273" s="220">
        <f>(F$2/(N_9*V270*F$3*V272))*SQRT(M*V$6*F$8/V$4)</f>
        <v>90.647576683611092</v>
      </c>
      <c r="W273" s="220">
        <f>(G$2/(N_9*W270*G$3*W272))*SQRT(M*W$6*G$8/W$4)</f>
        <v>136.9873645357365</v>
      </c>
    </row>
    <row r="274" spans="1:23" ht="13.8" x14ac:dyDescent="0.25">
      <c r="A274" s="226"/>
      <c r="B274" s="226"/>
      <c r="C274" s="226"/>
      <c r="D274" s="528"/>
      <c r="E274" s="226"/>
      <c r="F274" s="226"/>
      <c r="G274" s="226"/>
      <c r="H274" s="226"/>
      <c r="I274" s="226"/>
      <c r="J274" s="226"/>
      <c r="K274" s="226"/>
      <c r="L274" s="226"/>
      <c r="M274" s="226"/>
      <c r="Q274" s="211" t="s">
        <v>59</v>
      </c>
      <c r="R274" s="221">
        <v>7</v>
      </c>
      <c r="T274" s="220">
        <f>(Q/(0.667*N_9*T270*P_1))*SQRT(M*T_abs*Z/(T275))</f>
        <v>11.55064539614397</v>
      </c>
      <c r="U274" s="220">
        <f>(E$2/(0.667*N_9*U270*E$3))*SQRT(M*U$6*E$8/(U275))</f>
        <v>35.174580389549035</v>
      </c>
      <c r="V274" s="220">
        <f>(F$2/(0.667*N_9*V270*F$3))*SQRT(M*V$6*F$8/(V275))</f>
        <v>79.976466841065104</v>
      </c>
      <c r="W274" s="220">
        <f>(G$2/(0.667*N_9*W270*G$3))*SQRT(M*W$6*G$8/(W275))</f>
        <v>121.99260460384164</v>
      </c>
    </row>
    <row r="275" spans="1:23" ht="15.6" x14ac:dyDescent="0.35">
      <c r="A275" s="226"/>
      <c r="B275" s="226"/>
      <c r="C275" s="226"/>
      <c r="D275" s="528"/>
      <c r="E275" s="226"/>
      <c r="F275" s="226"/>
      <c r="G275" s="226"/>
      <c r="H275" s="226"/>
      <c r="I275" s="226"/>
      <c r="J275" s="226"/>
      <c r="K275" s="226"/>
      <c r="L275" s="226"/>
      <c r="M275" s="226"/>
      <c r="Q275" s="211" t="s">
        <v>84</v>
      </c>
      <c r="R275" s="221">
        <v>10</v>
      </c>
      <c r="T275" s="220">
        <f>F_GAMMA*T271</f>
        <v>0.6402212470060592</v>
      </c>
      <c r="U275" s="220">
        <f>F_GAMMA*U271</f>
        <v>0.62529707078029195</v>
      </c>
      <c r="V275" s="220">
        <f>F_GAMMA*V271</f>
        <v>0.56879518297355325</v>
      </c>
      <c r="W275" s="220">
        <f>F_GAMMA*W271</f>
        <v>0.48669680663327008</v>
      </c>
    </row>
    <row r="276" spans="1:23" ht="13.8" x14ac:dyDescent="0.25">
      <c r="A276" s="226"/>
      <c r="B276" s="226"/>
      <c r="C276" s="226"/>
      <c r="D276" s="528"/>
      <c r="E276" s="226"/>
      <c r="F276" s="226"/>
      <c r="G276" s="226"/>
      <c r="H276" s="226"/>
      <c r="I276" s="226"/>
      <c r="J276" s="226"/>
      <c r="K276" s="226"/>
      <c r="L276" s="226"/>
      <c r="M276" s="226"/>
      <c r="Q276" s="211" t="s">
        <v>30</v>
      </c>
      <c r="R276" s="224"/>
      <c r="T276" s="220">
        <f>IF(x&lt;T275,T273,T274)</f>
        <v>12.91938248122084</v>
      </c>
      <c r="U276" s="220">
        <f>IF(U$4&lt;U275,U273,U274)</f>
        <v>39.440483902801446</v>
      </c>
      <c r="V276" s="220">
        <f>IF(V$4&lt;V275,V273,V274)</f>
        <v>90.647576683611092</v>
      </c>
      <c r="W276" s="220">
        <f>IF(W$4&lt;W275,W273,W274)</f>
        <v>136.9873645357365</v>
      </c>
    </row>
    <row r="277" spans="1:23" ht="13.8" x14ac:dyDescent="0.25">
      <c r="A277" s="226"/>
      <c r="B277" s="226"/>
      <c r="C277" s="226"/>
      <c r="D277" s="528"/>
      <c r="E277" s="226"/>
      <c r="F277" s="226"/>
      <c r="G277" s="226"/>
      <c r="H277" s="226"/>
      <c r="I277" s="226"/>
      <c r="J277" s="226"/>
      <c r="K277" s="226"/>
      <c r="L277" s="226"/>
      <c r="M277" s="226"/>
    </row>
    <row r="278" spans="1:23" ht="14.4" x14ac:dyDescent="0.3">
      <c r="A278" s="226"/>
      <c r="B278" s="226"/>
      <c r="C278" s="226"/>
      <c r="D278" s="528"/>
      <c r="E278" s="226"/>
      <c r="F278" s="226"/>
      <c r="G278" s="226"/>
      <c r="H278" s="226"/>
      <c r="I278" s="226"/>
      <c r="J278" s="226"/>
      <c r="K278" s="226"/>
      <c r="L278" s="226"/>
      <c r="M278" s="226"/>
      <c r="Q278" s="211" t="s">
        <v>50</v>
      </c>
      <c r="R278" s="219"/>
      <c r="T278" s="220">
        <f>T276</f>
        <v>12.91938248122084</v>
      </c>
      <c r="U278" s="220">
        <f>U276</f>
        <v>39.440483902801446</v>
      </c>
      <c r="V278" s="220">
        <f>V276</f>
        <v>90.647576683611092</v>
      </c>
      <c r="W278" s="220">
        <f>W276</f>
        <v>136.9873645357365</v>
      </c>
    </row>
    <row r="279" spans="1:23" ht="13.8" x14ac:dyDescent="0.25">
      <c r="A279" s="226"/>
      <c r="B279" s="226"/>
      <c r="C279" s="226"/>
      <c r="D279" s="528"/>
      <c r="E279" s="226"/>
      <c r="F279" s="226"/>
      <c r="G279" s="226"/>
      <c r="H279" s="226"/>
      <c r="I279" s="226"/>
      <c r="J279" s="226"/>
      <c r="K279" s="226"/>
      <c r="L279" s="226"/>
      <c r="M279" s="226"/>
      <c r="Q279" s="211" t="s">
        <v>52</v>
      </c>
      <c r="R279" s="209">
        <v>15</v>
      </c>
      <c r="T279" s="220">
        <f>1/(SQRT(1+(SIGMA_ZETA/N_2)*(T278/d^2)^2))</f>
        <v>0.99902465887476266</v>
      </c>
      <c r="U279" s="220">
        <f>1/(SQRT(1+(SIGMA_ZETA/N_2)*(U278/d^2)^2))</f>
        <v>0.99101926336592272</v>
      </c>
      <c r="V279" s="220">
        <f>1/(SQRT(1+(SIGMA_ZETA/N_2)*(V278/d^2)^2))</f>
        <v>0.95512571470487728</v>
      </c>
      <c r="W279" s="220">
        <f>1/(SQRT(1+(SIGMA_ZETA/N_2)*(W278/d^2)^2))</f>
        <v>0.9054932551467747</v>
      </c>
    </row>
    <row r="280" spans="1:23" ht="13.8" x14ac:dyDescent="0.25">
      <c r="A280" s="226"/>
      <c r="B280" s="226"/>
      <c r="C280" s="226"/>
      <c r="D280" s="528"/>
      <c r="E280" s="226"/>
      <c r="F280" s="226"/>
      <c r="G280" s="226"/>
      <c r="H280" s="226"/>
      <c r="I280" s="226"/>
      <c r="J280" s="226"/>
      <c r="K280" s="226"/>
      <c r="L280" s="226"/>
      <c r="M280" s="226"/>
      <c r="Q280" s="211" t="s">
        <v>54</v>
      </c>
      <c r="R280" s="221">
        <v>22</v>
      </c>
      <c r="T280" s="220">
        <f>(x_T/T279^2)/(1+(x_T*SIGMA_ZETA_1/N_5)*(T278/d^2)^2)</f>
        <v>0.6402212470060592</v>
      </c>
      <c r="U280" s="220">
        <f>(E$9/U279^2)/(1+(E$9*SIGMA_ZETA_1/N_5)*(U278/d^2)^2)</f>
        <v>0.62529707078029195</v>
      </c>
      <c r="V280" s="220">
        <f>(F$9/V279^2)/(1+(F$9*SIGMA_ZETA_1/N_5)*(V278/d^2)^2)</f>
        <v>0.56879518297355325</v>
      </c>
      <c r="W280" s="220">
        <f>(G$9/W279^2)/(1+(G$9*SIGMA_ZETA_1/N_5)*(W278/d^2)^2)</f>
        <v>0.48669680663327008</v>
      </c>
    </row>
    <row r="281" spans="1:23" ht="13.8" x14ac:dyDescent="0.25">
      <c r="A281" s="226"/>
      <c r="B281" s="226"/>
      <c r="C281" s="226"/>
      <c r="D281" s="528"/>
      <c r="E281" s="226"/>
      <c r="F281" s="226"/>
      <c r="G281" s="226"/>
      <c r="H281" s="226"/>
      <c r="I281" s="226"/>
      <c r="J281" s="226"/>
      <c r="K281" s="226"/>
      <c r="L281" s="226"/>
      <c r="M281" s="226"/>
      <c r="Q281" s="211" t="s">
        <v>21</v>
      </c>
      <c r="R281" s="209">
        <v>12</v>
      </c>
      <c r="S281" s="211"/>
      <c r="T281" s="220">
        <f>1-(x/(3*F_GAMMA*T280))</f>
        <v>0.82644888523973103</v>
      </c>
      <c r="U281" s="220">
        <f>1-(U$4/(3*F_GAMMA*U280))</f>
        <v>0.82792227238878624</v>
      </c>
      <c r="V281" s="220">
        <f>1-(V$4/(3*F_GAMMA*V280))</f>
        <v>0.83406204884769286</v>
      </c>
      <c r="W281" s="220">
        <f>1-(W$4/(3*F_GAMMA*W280))</f>
        <v>0.82877772732927402</v>
      </c>
    </row>
    <row r="282" spans="1:23" ht="13.8" x14ac:dyDescent="0.25">
      <c r="A282" s="226"/>
      <c r="B282" s="226"/>
      <c r="C282" s="226"/>
      <c r="D282" s="528"/>
      <c r="E282" s="226"/>
      <c r="F282" s="226"/>
      <c r="G282" s="226"/>
      <c r="H282" s="226"/>
      <c r="I282" s="226"/>
      <c r="J282" s="226"/>
      <c r="K282" s="226"/>
      <c r="L282" s="226"/>
      <c r="M282" s="226"/>
      <c r="Q282" s="211" t="s">
        <v>57</v>
      </c>
      <c r="R282" s="221">
        <v>7</v>
      </c>
      <c r="T282" s="220">
        <f>(Q/(N_9*T279*P_1*T281))*SQRT(M*T_abs*Z/x)</f>
        <v>12.91938248122084</v>
      </c>
      <c r="U282" s="220">
        <f>(E$2/(N_9*U279*E$3*U281))*SQRT(M*U$6*E$8/U$4)</f>
        <v>39.440483902801446</v>
      </c>
      <c r="V282" s="220">
        <f>(F$2/(N_9*V279*F$3*V281))*SQRT(M*V$6*F$8/V$4)</f>
        <v>90.647576683611092</v>
      </c>
      <c r="W282" s="220">
        <f>(G$2/(N_9*W279*G$3*W281))*SQRT(M*W$6*G$8/W$4)</f>
        <v>136.9873645357365</v>
      </c>
    </row>
    <row r="283" spans="1:23" ht="13.8" x14ac:dyDescent="0.25">
      <c r="A283" s="226"/>
      <c r="B283" s="226"/>
      <c r="C283" s="226"/>
      <c r="D283" s="528"/>
      <c r="E283" s="226"/>
      <c r="F283" s="226"/>
      <c r="G283" s="226"/>
      <c r="H283" s="226"/>
      <c r="I283" s="226"/>
      <c r="J283" s="226"/>
      <c r="K283" s="226"/>
      <c r="L283" s="226"/>
      <c r="M283" s="226"/>
      <c r="Q283" s="211" t="s">
        <v>59</v>
      </c>
      <c r="R283" s="221">
        <v>7</v>
      </c>
      <c r="T283" s="220">
        <f>(Q/(0.667*N_9*T279*P_1))*SQRT(M*T_abs*Z/(T284))</f>
        <v>11.55064539614397</v>
      </c>
      <c r="U283" s="220">
        <f>(E$2/(0.667*N_9*U279*E$3))*SQRT(M*U$6*E$8/(U284))</f>
        <v>35.174580389549035</v>
      </c>
      <c r="V283" s="220">
        <f>(F$2/(0.667*N_9*V279*F$3))*SQRT(M*V$6*F$8/(V284))</f>
        <v>79.976466841065104</v>
      </c>
      <c r="W283" s="220">
        <f>(G$2/(0.667*N_9*W279*G$3))*SQRT(M*W$6*G$8/(W284))</f>
        <v>121.99260460384164</v>
      </c>
    </row>
    <row r="284" spans="1:23" ht="15.6" x14ac:dyDescent="0.35">
      <c r="A284" s="226"/>
      <c r="B284" s="226"/>
      <c r="C284" s="226"/>
      <c r="D284" s="528"/>
      <c r="E284" s="226"/>
      <c r="F284" s="226"/>
      <c r="G284" s="226"/>
      <c r="H284" s="226"/>
      <c r="I284" s="226"/>
      <c r="J284" s="226"/>
      <c r="K284" s="226"/>
      <c r="L284" s="226"/>
      <c r="M284" s="226"/>
      <c r="Q284" s="211" t="s">
        <v>84</v>
      </c>
      <c r="R284" s="221">
        <v>10</v>
      </c>
      <c r="T284" s="220">
        <f>F_GAMMA*T280</f>
        <v>0.6402212470060592</v>
      </c>
      <c r="U284" s="220">
        <f>F_GAMMA*U280</f>
        <v>0.62529707078029195</v>
      </c>
      <c r="V284" s="220">
        <f>F_GAMMA*V280</f>
        <v>0.56879518297355325</v>
      </c>
      <c r="W284" s="220">
        <f>F_GAMMA*W280</f>
        <v>0.48669680663327008</v>
      </c>
    </row>
    <row r="285" spans="1:23" ht="13.8" x14ac:dyDescent="0.25">
      <c r="A285" s="226"/>
      <c r="B285" s="226"/>
      <c r="C285" s="226"/>
      <c r="D285" s="528"/>
      <c r="E285" s="226"/>
      <c r="F285" s="226"/>
      <c r="G285" s="226"/>
      <c r="H285" s="226"/>
      <c r="I285" s="226"/>
      <c r="J285" s="226"/>
      <c r="K285" s="226"/>
      <c r="L285" s="226"/>
      <c r="M285" s="226"/>
      <c r="Q285" s="211" t="s">
        <v>30</v>
      </c>
      <c r="R285" s="224"/>
      <c r="T285" s="220">
        <f>IF(x&lt;T284,T282,T283)</f>
        <v>12.91938248122084</v>
      </c>
      <c r="U285" s="220">
        <f>IF(U$4&lt;U284,U282,U283)</f>
        <v>39.440483902801446</v>
      </c>
      <c r="V285" s="220">
        <f>IF(V$4&lt;V284,V282,V283)</f>
        <v>90.647576683611092</v>
      </c>
      <c r="W285" s="220">
        <f>IF(W$4&lt;W284,W282,W283)</f>
        <v>136.9873645357365</v>
      </c>
    </row>
    <row r="286" spans="1:23" ht="13.8" x14ac:dyDescent="0.25">
      <c r="A286" s="226"/>
      <c r="B286" s="226"/>
      <c r="C286" s="226"/>
      <c r="D286" s="528"/>
      <c r="E286" s="226"/>
      <c r="F286" s="226"/>
      <c r="G286" s="226"/>
      <c r="H286" s="226"/>
      <c r="I286" s="226"/>
      <c r="J286" s="226"/>
      <c r="K286" s="226"/>
      <c r="L286" s="226"/>
      <c r="M286" s="226"/>
    </row>
    <row r="287" spans="1:23" ht="14.4" x14ac:dyDescent="0.3">
      <c r="A287" s="226"/>
      <c r="B287" s="226"/>
      <c r="C287" s="226"/>
      <c r="D287" s="528"/>
      <c r="E287" s="226"/>
      <c r="F287" s="226"/>
      <c r="G287" s="226"/>
      <c r="H287" s="226"/>
      <c r="I287" s="226"/>
      <c r="J287" s="226"/>
      <c r="K287" s="226"/>
      <c r="L287" s="226"/>
      <c r="M287" s="226"/>
      <c r="Q287" s="211" t="s">
        <v>50</v>
      </c>
      <c r="R287" s="219"/>
      <c r="T287" s="220">
        <f>T285</f>
        <v>12.91938248122084</v>
      </c>
      <c r="U287" s="220">
        <f>U285</f>
        <v>39.440483902801446</v>
      </c>
      <c r="V287" s="220">
        <f>V285</f>
        <v>90.647576683611092</v>
      </c>
      <c r="W287" s="220">
        <f>W285</f>
        <v>136.9873645357365</v>
      </c>
    </row>
    <row r="288" spans="1:23" ht="13.8" x14ac:dyDescent="0.25">
      <c r="A288" s="226"/>
      <c r="B288" s="226"/>
      <c r="C288" s="226"/>
      <c r="D288" s="528"/>
      <c r="E288" s="226"/>
      <c r="F288" s="226"/>
      <c r="G288" s="226"/>
      <c r="H288" s="226"/>
      <c r="I288" s="226"/>
      <c r="J288" s="226"/>
      <c r="K288" s="226"/>
      <c r="L288" s="226"/>
      <c r="M288" s="226"/>
      <c r="Q288" s="211" t="s">
        <v>52</v>
      </c>
      <c r="R288" s="209">
        <v>15</v>
      </c>
      <c r="T288" s="220">
        <f>1/(SQRT(1+(SIGMA_ZETA/N_2)*(T287/d^2)^2))</f>
        <v>0.99902465887476266</v>
      </c>
      <c r="U288" s="220">
        <f>1/(SQRT(1+(SIGMA_ZETA/N_2)*(U287/d^2)^2))</f>
        <v>0.99101926336592272</v>
      </c>
      <c r="V288" s="220">
        <f>1/(SQRT(1+(SIGMA_ZETA/N_2)*(V287/d^2)^2))</f>
        <v>0.95512571470487728</v>
      </c>
      <c r="W288" s="220">
        <f>1/(SQRT(1+(SIGMA_ZETA/N_2)*(W287/d^2)^2))</f>
        <v>0.9054932551467747</v>
      </c>
    </row>
    <row r="289" spans="1:23" ht="13.8" x14ac:dyDescent="0.25">
      <c r="A289" s="226"/>
      <c r="B289" s="226"/>
      <c r="C289" s="226"/>
      <c r="D289" s="528"/>
      <c r="E289" s="226"/>
      <c r="F289" s="226"/>
      <c r="G289" s="226"/>
      <c r="H289" s="226"/>
      <c r="I289" s="226"/>
      <c r="J289" s="226"/>
      <c r="K289" s="226"/>
      <c r="L289" s="226"/>
      <c r="M289" s="226"/>
      <c r="Q289" s="211" t="s">
        <v>54</v>
      </c>
      <c r="R289" s="221">
        <v>22</v>
      </c>
      <c r="T289" s="220">
        <f>(x_T/T288^2)/(1+(x_T*SIGMA_ZETA_1/N_5)*(T287/d^2)^2)</f>
        <v>0.6402212470060592</v>
      </c>
      <c r="U289" s="220">
        <f>(E$9/U288^2)/(1+(E$9*SIGMA_ZETA_1/N_5)*(U287/d^2)^2)</f>
        <v>0.62529707078029195</v>
      </c>
      <c r="V289" s="220">
        <f>(F$9/V288^2)/(1+(F$9*SIGMA_ZETA_1/N_5)*(V287/d^2)^2)</f>
        <v>0.56879518297355325</v>
      </c>
      <c r="W289" s="220">
        <f>(G$9/W288^2)/(1+(G$9*SIGMA_ZETA_1/N_5)*(W287/d^2)^2)</f>
        <v>0.48669680663327008</v>
      </c>
    </row>
    <row r="290" spans="1:23" ht="13.8" x14ac:dyDescent="0.25">
      <c r="A290" s="226"/>
      <c r="B290" s="226"/>
      <c r="C290" s="226"/>
      <c r="D290" s="528"/>
      <c r="E290" s="226"/>
      <c r="F290" s="226"/>
      <c r="G290" s="226"/>
      <c r="H290" s="226"/>
      <c r="I290" s="226"/>
      <c r="J290" s="226"/>
      <c r="K290" s="226"/>
      <c r="L290" s="226"/>
      <c r="M290" s="226"/>
      <c r="Q290" s="211" t="s">
        <v>21</v>
      </c>
      <c r="R290" s="209">
        <v>12</v>
      </c>
      <c r="S290" s="211"/>
      <c r="T290" s="220">
        <f>1-(x/(3*F_GAMMA*T289))</f>
        <v>0.82644888523973103</v>
      </c>
      <c r="U290" s="220">
        <f>1-(U$4/(3*F_GAMMA*U289))</f>
        <v>0.82792227238878624</v>
      </c>
      <c r="V290" s="220">
        <f>1-(V$4/(3*F_GAMMA*V289))</f>
        <v>0.83406204884769286</v>
      </c>
      <c r="W290" s="220">
        <f>1-(W$4/(3*F_GAMMA*W289))</f>
        <v>0.82877772732927402</v>
      </c>
    </row>
    <row r="291" spans="1:23" ht="13.8" x14ac:dyDescent="0.25">
      <c r="A291" s="226"/>
      <c r="B291" s="226"/>
      <c r="C291" s="226"/>
      <c r="D291" s="528"/>
      <c r="E291" s="226"/>
      <c r="F291" s="226"/>
      <c r="G291" s="226"/>
      <c r="H291" s="226"/>
      <c r="I291" s="226"/>
      <c r="J291" s="226"/>
      <c r="K291" s="226"/>
      <c r="L291" s="226"/>
      <c r="M291" s="226"/>
      <c r="Q291" s="211" t="s">
        <v>57</v>
      </c>
      <c r="R291" s="221">
        <v>7</v>
      </c>
      <c r="T291" s="220">
        <f>(Q/(N_9*T288*P_1*T290))*SQRT(M*T_abs*Z/x)</f>
        <v>12.91938248122084</v>
      </c>
      <c r="U291" s="220">
        <f>(E$2/(N_9*U288*E$3*U290))*SQRT(M*U$6*E$8/U$4)</f>
        <v>39.440483902801446</v>
      </c>
      <c r="V291" s="220">
        <f>(F$2/(N_9*V288*F$3*V290))*SQRT(M*V$6*F$8/V$4)</f>
        <v>90.647576683611092</v>
      </c>
      <c r="W291" s="220">
        <f>(G$2/(N_9*W288*G$3*W290))*SQRT(M*W$6*G$8/W$4)</f>
        <v>136.9873645357365</v>
      </c>
    </row>
    <row r="292" spans="1:23" ht="13.8" x14ac:dyDescent="0.25">
      <c r="A292" s="226"/>
      <c r="B292" s="226"/>
      <c r="C292" s="226"/>
      <c r="D292" s="528"/>
      <c r="E292" s="226"/>
      <c r="F292" s="226"/>
      <c r="G292" s="226"/>
      <c r="H292" s="226"/>
      <c r="I292" s="226"/>
      <c r="J292" s="226"/>
      <c r="K292" s="226"/>
      <c r="L292" s="226"/>
      <c r="M292" s="226"/>
      <c r="Q292" s="211" t="s">
        <v>59</v>
      </c>
      <c r="R292" s="221">
        <v>7</v>
      </c>
      <c r="T292" s="220">
        <f>(Q/(0.667*N_9*T288*P_1))*SQRT(M*T_abs*Z/(T293))</f>
        <v>11.55064539614397</v>
      </c>
      <c r="U292" s="220">
        <f>(E$2/(0.667*N_9*U288*E$3))*SQRT(M*U$6*E$8/(U293))</f>
        <v>35.174580389549035</v>
      </c>
      <c r="V292" s="220">
        <f>(F$2/(0.667*N_9*V288*F$3))*SQRT(M*V$6*F$8/(V293))</f>
        <v>79.976466841065104</v>
      </c>
      <c r="W292" s="220">
        <f>(G$2/(0.667*N_9*W288*G$3))*SQRT(M*W$6*G$8/(W293))</f>
        <v>121.99260460384164</v>
      </c>
    </row>
    <row r="293" spans="1:23" ht="15.6" x14ac:dyDescent="0.35">
      <c r="A293" s="226"/>
      <c r="B293" s="226"/>
      <c r="C293" s="226"/>
      <c r="D293" s="528"/>
      <c r="E293" s="226"/>
      <c r="F293" s="226"/>
      <c r="G293" s="226"/>
      <c r="H293" s="226"/>
      <c r="I293" s="226"/>
      <c r="J293" s="226"/>
      <c r="K293" s="226"/>
      <c r="L293" s="226"/>
      <c r="M293" s="226"/>
      <c r="Q293" s="211" t="s">
        <v>84</v>
      </c>
      <c r="R293" s="221">
        <v>10</v>
      </c>
      <c r="T293" s="220">
        <f>F_GAMMA*T289</f>
        <v>0.6402212470060592</v>
      </c>
      <c r="U293" s="220">
        <f>F_GAMMA*U289</f>
        <v>0.62529707078029195</v>
      </c>
      <c r="V293" s="220">
        <f>F_GAMMA*V289</f>
        <v>0.56879518297355325</v>
      </c>
      <c r="W293" s="220">
        <f>F_GAMMA*W289</f>
        <v>0.48669680663327008</v>
      </c>
    </row>
    <row r="294" spans="1:23" ht="13.8" x14ac:dyDescent="0.25">
      <c r="A294" s="226"/>
      <c r="B294" s="226"/>
      <c r="C294" s="226"/>
      <c r="D294" s="528"/>
      <c r="E294" s="226"/>
      <c r="F294" s="226"/>
      <c r="G294" s="226"/>
      <c r="H294" s="226"/>
      <c r="I294" s="226"/>
      <c r="J294" s="226"/>
      <c r="K294" s="226"/>
      <c r="L294" s="226"/>
      <c r="M294" s="226"/>
      <c r="Q294" s="211" t="s">
        <v>30</v>
      </c>
      <c r="R294" s="230"/>
      <c r="T294" s="220">
        <f>IF(x&lt;T293,T291,T292)</f>
        <v>12.91938248122084</v>
      </c>
      <c r="U294" s="220">
        <f>IF(U$4&lt;U293,U291,U292)</f>
        <v>39.440483902801446</v>
      </c>
      <c r="V294" s="220">
        <f>IF(V$4&lt;V293,V291,V292)</f>
        <v>90.647576683611092</v>
      </c>
      <c r="W294" s="220">
        <f>IF(W$4&lt;W293,W291,W292)</f>
        <v>136.9873645357365</v>
      </c>
    </row>
    <row r="295" spans="1:23" ht="13.8" x14ac:dyDescent="0.25">
      <c r="A295" s="226"/>
      <c r="B295" s="226"/>
      <c r="C295" s="226"/>
      <c r="D295" s="528"/>
      <c r="E295" s="226"/>
      <c r="F295" s="226"/>
      <c r="G295" s="226"/>
      <c r="H295" s="226"/>
      <c r="I295" s="226"/>
      <c r="J295" s="226"/>
      <c r="K295" s="226"/>
      <c r="L295" s="226"/>
      <c r="M295" s="226"/>
      <c r="Q295" s="211"/>
      <c r="R295" s="228"/>
      <c r="T295" s="220"/>
    </row>
    <row r="296" spans="1:23" ht="14.4" x14ac:dyDescent="0.3">
      <c r="A296" s="226"/>
      <c r="B296" s="226"/>
      <c r="C296" s="226"/>
      <c r="D296" s="528"/>
      <c r="E296" s="226"/>
      <c r="F296" s="226"/>
      <c r="G296" s="226"/>
      <c r="H296" s="226"/>
      <c r="I296" s="226"/>
      <c r="J296" s="226"/>
      <c r="K296" s="226"/>
      <c r="L296" s="226"/>
      <c r="M296" s="226"/>
      <c r="Q296" s="211" t="s">
        <v>50</v>
      </c>
      <c r="R296" s="219"/>
      <c r="T296" s="220">
        <f>T294</f>
        <v>12.91938248122084</v>
      </c>
      <c r="U296" s="220">
        <f>U294</f>
        <v>39.440483902801446</v>
      </c>
      <c r="V296" s="220">
        <f>V294</f>
        <v>90.647576683611092</v>
      </c>
      <c r="W296" s="220">
        <f>W294</f>
        <v>136.9873645357365</v>
      </c>
    </row>
    <row r="297" spans="1:23" ht="13.8" x14ac:dyDescent="0.25">
      <c r="A297" s="226"/>
      <c r="B297" s="226"/>
      <c r="C297" s="226"/>
      <c r="D297" s="528"/>
      <c r="E297" s="226"/>
      <c r="F297" s="226"/>
      <c r="G297" s="226"/>
      <c r="H297" s="226"/>
      <c r="I297" s="226"/>
      <c r="J297" s="226"/>
      <c r="K297" s="226"/>
      <c r="L297" s="226"/>
      <c r="M297" s="226"/>
      <c r="Q297" s="211" t="s">
        <v>52</v>
      </c>
      <c r="R297" s="209">
        <v>15</v>
      </c>
      <c r="T297" s="220">
        <f>1/(SQRT(1+(SIGMA_ZETA/N_2)*(T296/d^2)^2))</f>
        <v>0.99902465887476266</v>
      </c>
      <c r="U297" s="220">
        <f>1/(SQRT(1+(SIGMA_ZETA/N_2)*(U296/d^2)^2))</f>
        <v>0.99101926336592272</v>
      </c>
      <c r="V297" s="220">
        <f>1/(SQRT(1+(SIGMA_ZETA/N_2)*(V296/d^2)^2))</f>
        <v>0.95512571470487728</v>
      </c>
      <c r="W297" s="220">
        <f>1/(SQRT(1+(SIGMA_ZETA/N_2)*(W296/d^2)^2))</f>
        <v>0.9054932551467747</v>
      </c>
    </row>
    <row r="298" spans="1:23" ht="13.8" x14ac:dyDescent="0.25">
      <c r="A298" s="226"/>
      <c r="B298" s="226"/>
      <c r="C298" s="226"/>
      <c r="D298" s="528"/>
      <c r="E298" s="226"/>
      <c r="F298" s="226"/>
      <c r="G298" s="226"/>
      <c r="H298" s="226"/>
      <c r="I298" s="226"/>
      <c r="J298" s="226"/>
      <c r="K298" s="226"/>
      <c r="L298" s="226"/>
      <c r="M298" s="226"/>
      <c r="Q298" s="211" t="s">
        <v>54</v>
      </c>
      <c r="R298" s="221">
        <v>22</v>
      </c>
      <c r="T298" s="220">
        <f>(x_T/T297^2)/(1+(x_T*SIGMA_ZETA_1/N_5)*(T296/d^2)^2)</f>
        <v>0.6402212470060592</v>
      </c>
      <c r="U298" s="220">
        <f>(E$9/U297^2)/(1+(E$9*SIGMA_ZETA_1/N_5)*(U296/d^2)^2)</f>
        <v>0.62529707078029195</v>
      </c>
      <c r="V298" s="220">
        <f>(F$9/V297^2)/(1+(F$9*SIGMA_ZETA_1/N_5)*(V296/d^2)^2)</f>
        <v>0.56879518297355325</v>
      </c>
      <c r="W298" s="220">
        <f>(G$9/W297^2)/(1+(G$9*SIGMA_ZETA_1/N_5)*(W296/d^2)^2)</f>
        <v>0.48669680663327008</v>
      </c>
    </row>
    <row r="299" spans="1:23" ht="13.8" x14ac:dyDescent="0.25">
      <c r="A299" s="226"/>
      <c r="B299" s="226"/>
      <c r="C299" s="226"/>
      <c r="D299" s="528"/>
      <c r="E299" s="226"/>
      <c r="F299" s="226"/>
      <c r="G299" s="226"/>
      <c r="H299" s="226"/>
      <c r="I299" s="226"/>
      <c r="J299" s="226"/>
      <c r="K299" s="226"/>
      <c r="L299" s="226"/>
      <c r="M299" s="226"/>
      <c r="Q299" s="211" t="s">
        <v>21</v>
      </c>
      <c r="R299" s="209">
        <v>12</v>
      </c>
      <c r="S299" s="211"/>
      <c r="T299" s="220">
        <f>1-(x/(3*F_GAMMA*T298))</f>
        <v>0.82644888523973103</v>
      </c>
      <c r="U299" s="220">
        <f>1-(U$4/(3*F_GAMMA*U298))</f>
        <v>0.82792227238878624</v>
      </c>
      <c r="V299" s="220">
        <f>1-(V$4/(3*F_GAMMA*V298))</f>
        <v>0.83406204884769286</v>
      </c>
      <c r="W299" s="220">
        <f>1-(W$4/(3*F_GAMMA*W298))</f>
        <v>0.82877772732927402</v>
      </c>
    </row>
    <row r="300" spans="1:23" ht="13.8" x14ac:dyDescent="0.25">
      <c r="A300" s="226"/>
      <c r="B300" s="226"/>
      <c r="C300" s="226"/>
      <c r="D300" s="528"/>
      <c r="E300" s="226"/>
      <c r="F300" s="226"/>
      <c r="G300" s="226"/>
      <c r="H300" s="226"/>
      <c r="I300" s="226"/>
      <c r="J300" s="226"/>
      <c r="K300" s="226"/>
      <c r="L300" s="226"/>
      <c r="M300" s="226"/>
      <c r="Q300" s="211" t="s">
        <v>57</v>
      </c>
      <c r="R300" s="221">
        <v>7</v>
      </c>
      <c r="T300" s="220">
        <f>(Q/(N_9*T297*P_1*T299))*SQRT(M*T_abs*Z/x)</f>
        <v>12.91938248122084</v>
      </c>
      <c r="U300" s="220">
        <f>(E$2/(N_9*U297*E$3*U299))*SQRT(M*U$6*E$8/U$4)</f>
        <v>39.440483902801446</v>
      </c>
      <c r="V300" s="220">
        <f>(F$2/(N_9*V297*F$3*V299))*SQRT(M*V$6*F$8/V$4)</f>
        <v>90.647576683611092</v>
      </c>
      <c r="W300" s="220">
        <f>(G$2/(N_9*W297*G$3*W299))*SQRT(M*W$6*G$8/W$4)</f>
        <v>136.9873645357365</v>
      </c>
    </row>
    <row r="301" spans="1:23" ht="13.8" x14ac:dyDescent="0.25">
      <c r="A301" s="226"/>
      <c r="B301" s="226"/>
      <c r="C301" s="226"/>
      <c r="D301" s="528"/>
      <c r="E301" s="226"/>
      <c r="F301" s="226"/>
      <c r="G301" s="226"/>
      <c r="H301" s="226"/>
      <c r="I301" s="226"/>
      <c r="J301" s="226"/>
      <c r="K301" s="226"/>
      <c r="L301" s="226"/>
      <c r="M301" s="226"/>
      <c r="Q301" s="211" t="s">
        <v>59</v>
      </c>
      <c r="R301" s="221">
        <v>7</v>
      </c>
      <c r="T301" s="220">
        <f>(Q/(0.667*N_9*T297*P_1))*SQRT(M*T_abs*Z/(T302))</f>
        <v>11.55064539614397</v>
      </c>
      <c r="U301" s="220">
        <f>(E$2/(0.667*N_9*U297*E$3))*SQRT(M*U$6*E$8/(U302))</f>
        <v>35.174580389549035</v>
      </c>
      <c r="V301" s="220">
        <f>(F$2/(0.667*N_9*V297*F$3))*SQRT(M*V$6*F$8/(V302))</f>
        <v>79.976466841065104</v>
      </c>
      <c r="W301" s="220">
        <f>(G$2/(0.667*N_9*W297*G$3))*SQRT(M*W$6*G$8/(W302))</f>
        <v>121.99260460384164</v>
      </c>
    </row>
    <row r="302" spans="1:23" ht="15.6" x14ac:dyDescent="0.35">
      <c r="A302" s="226"/>
      <c r="B302" s="226"/>
      <c r="C302" s="226"/>
      <c r="D302" s="528"/>
      <c r="E302" s="226"/>
      <c r="F302" s="226"/>
      <c r="G302" s="226"/>
      <c r="H302" s="226"/>
      <c r="I302" s="226"/>
      <c r="J302" s="226"/>
      <c r="K302" s="226"/>
      <c r="L302" s="226"/>
      <c r="M302" s="226"/>
      <c r="Q302" s="211" t="s">
        <v>84</v>
      </c>
      <c r="R302" s="221">
        <v>10</v>
      </c>
      <c r="T302" s="220">
        <f>F_GAMMA*T298</f>
        <v>0.6402212470060592</v>
      </c>
      <c r="U302" s="220">
        <f>F_GAMMA*U298</f>
        <v>0.62529707078029195</v>
      </c>
      <c r="V302" s="220">
        <f>F_GAMMA*V298</f>
        <v>0.56879518297355325</v>
      </c>
      <c r="W302" s="220">
        <f>F_GAMMA*W298</f>
        <v>0.48669680663327008</v>
      </c>
    </row>
    <row r="303" spans="1:23" ht="13.8" x14ac:dyDescent="0.25">
      <c r="A303" s="226"/>
      <c r="B303" s="226"/>
      <c r="C303" s="226"/>
      <c r="D303" s="528"/>
      <c r="E303" s="226"/>
      <c r="F303" s="226"/>
      <c r="G303" s="226"/>
      <c r="H303" s="226"/>
      <c r="I303" s="226"/>
      <c r="J303" s="226"/>
      <c r="K303" s="226"/>
      <c r="L303" s="226"/>
      <c r="M303" s="226"/>
      <c r="Q303" s="211" t="s">
        <v>30</v>
      </c>
      <c r="R303" s="224"/>
      <c r="T303" s="220">
        <f>IF(x&lt;T302,T300,T301)</f>
        <v>12.91938248122084</v>
      </c>
      <c r="U303" s="220">
        <f>IF(U$4&lt;U302,U300,U301)</f>
        <v>39.440483902801446</v>
      </c>
      <c r="V303" s="220">
        <f>IF(V$4&lt;V302,V300,V301)</f>
        <v>90.647576683611092</v>
      </c>
      <c r="W303" s="220">
        <f>IF(W$4&lt;W302,W300,W301)</f>
        <v>136.9873645357365</v>
      </c>
    </row>
    <row r="304" spans="1:23" ht="13.8" x14ac:dyDescent="0.25">
      <c r="A304" s="226"/>
      <c r="B304" s="226"/>
      <c r="C304" s="226"/>
      <c r="D304" s="528"/>
      <c r="E304" s="226"/>
      <c r="F304" s="226"/>
      <c r="G304" s="226"/>
      <c r="H304" s="226"/>
      <c r="I304" s="226"/>
      <c r="J304" s="226"/>
      <c r="K304" s="226"/>
      <c r="L304" s="226"/>
      <c r="M304" s="226"/>
      <c r="Q304" s="211"/>
      <c r="R304" s="224"/>
      <c r="T304" s="220"/>
      <c r="U304" s="220"/>
      <c r="V304" s="220"/>
      <c r="W304" s="220"/>
    </row>
    <row r="305" spans="1:23" ht="14.4" x14ac:dyDescent="0.3">
      <c r="A305" s="226"/>
      <c r="B305" s="226"/>
      <c r="C305" s="226"/>
      <c r="D305" s="528"/>
      <c r="E305" s="226"/>
      <c r="F305" s="226"/>
      <c r="G305" s="226"/>
      <c r="H305" s="226"/>
      <c r="I305" s="226"/>
      <c r="J305" s="226"/>
      <c r="K305" s="226"/>
      <c r="L305" s="226"/>
      <c r="M305" s="226"/>
      <c r="Q305" s="211" t="s">
        <v>50</v>
      </c>
      <c r="R305" s="219"/>
      <c r="T305" s="220">
        <f>T303</f>
        <v>12.91938248122084</v>
      </c>
      <c r="U305" s="220">
        <f>U303</f>
        <v>39.440483902801446</v>
      </c>
      <c r="V305" s="220">
        <f>V303</f>
        <v>90.647576683611092</v>
      </c>
      <c r="W305" s="220">
        <f>W303</f>
        <v>136.9873645357365</v>
      </c>
    </row>
    <row r="306" spans="1:23" ht="13.8" x14ac:dyDescent="0.25">
      <c r="A306" s="226"/>
      <c r="F306" s="226"/>
      <c r="G306" s="226"/>
      <c r="H306" s="226"/>
      <c r="I306" s="226"/>
      <c r="J306" s="226"/>
      <c r="K306" s="226"/>
      <c r="L306" s="226"/>
      <c r="M306" s="226"/>
      <c r="Q306" s="211" t="s">
        <v>52</v>
      </c>
      <c r="R306" s="209">
        <v>15</v>
      </c>
      <c r="T306" s="220">
        <f>1/(SQRT(1+(SIGMA_ZETA/N_2)*(T305/d^2)^2))</f>
        <v>0.99902465887476266</v>
      </c>
      <c r="U306" s="220">
        <f>1/(SQRT(1+(SIGMA_ZETA/N_2)*(U305/d^2)^2))</f>
        <v>0.99101926336592272</v>
      </c>
      <c r="V306" s="220">
        <f>1/(SQRT(1+(SIGMA_ZETA/N_2)*(V305/d^2)^2))</f>
        <v>0.95512571470487728</v>
      </c>
      <c r="W306" s="220">
        <f>1/(SQRT(1+(SIGMA_ZETA/N_2)*(W305/d^2)^2))</f>
        <v>0.9054932551467747</v>
      </c>
    </row>
    <row r="307" spans="1:23" ht="15.6" x14ac:dyDescent="0.35">
      <c r="A307" s="226"/>
      <c r="B307" s="226"/>
      <c r="C307" s="226"/>
      <c r="D307" s="528"/>
      <c r="E307" s="226"/>
      <c r="F307" s="226"/>
      <c r="G307" s="226"/>
      <c r="H307" s="226"/>
      <c r="I307" s="226"/>
      <c r="J307" s="226"/>
      <c r="K307" s="226"/>
      <c r="L307" s="226"/>
      <c r="M307" s="226"/>
      <c r="Q307" s="211" t="s">
        <v>84</v>
      </c>
      <c r="R307" s="221">
        <v>22</v>
      </c>
      <c r="T307" s="220">
        <f>(x_T/T306^2)/(1+(x_T*SIGMA_ZETA_1/N_5)*(T305/d^2)^2)</f>
        <v>0.6402212470060592</v>
      </c>
      <c r="U307" s="220">
        <f>(E$9/U306^2)/(1+(E$9*SIGMA_ZETA_1/N_5)*(U305/d^2)^2)</f>
        <v>0.62529707078029195</v>
      </c>
      <c r="V307" s="220">
        <f>(F$9/V306^2)/(1+(F$9*SIGMA_ZETA_1/N_5)*(V305/d^2)^2)</f>
        <v>0.56879518297355325</v>
      </c>
      <c r="W307" s="220">
        <f>(G$9/W306^2)/(1+(G$9*SIGMA_ZETA_1/N_5)*(W305/d^2)^2)</f>
        <v>0.48669680663327008</v>
      </c>
    </row>
    <row r="308" spans="1:23" ht="13.8" x14ac:dyDescent="0.25">
      <c r="A308" s="226"/>
      <c r="B308" s="226"/>
      <c r="C308" s="226"/>
      <c r="D308" s="528"/>
      <c r="E308" s="226"/>
      <c r="F308" s="226"/>
      <c r="G308" s="226"/>
      <c r="H308" s="226"/>
      <c r="I308" s="226"/>
      <c r="J308" s="226"/>
      <c r="K308" s="226"/>
      <c r="L308" s="226"/>
      <c r="M308" s="226"/>
      <c r="Q308" s="211" t="s">
        <v>21</v>
      </c>
      <c r="R308" s="209">
        <v>12</v>
      </c>
      <c r="S308" s="211"/>
      <c r="T308" s="220">
        <f>1-(x/(3*F_GAMMA*T307))</f>
        <v>0.82644888523973103</v>
      </c>
      <c r="U308" s="220">
        <f>1-(U$4/(3*F_GAMMA*U307))</f>
        <v>0.82792227238878624</v>
      </c>
      <c r="V308" s="220">
        <f>1-(V$4/(3*F_GAMMA*V307))</f>
        <v>0.83406204884769286</v>
      </c>
      <c r="W308" s="220">
        <f>1-(W$4/(3*F_GAMMA*W307))</f>
        <v>0.82877772732927402</v>
      </c>
    </row>
    <row r="309" spans="1:23" ht="13.8" x14ac:dyDescent="0.25">
      <c r="A309" s="226"/>
      <c r="B309" s="226"/>
      <c r="C309" s="226"/>
      <c r="D309" s="528"/>
      <c r="E309" s="226"/>
      <c r="F309" s="226"/>
      <c r="G309" s="226"/>
      <c r="H309" s="226"/>
      <c r="I309" s="226"/>
      <c r="J309" s="226"/>
      <c r="K309" s="226"/>
      <c r="L309" s="226"/>
      <c r="M309" s="226"/>
      <c r="Q309" s="211" t="s">
        <v>57</v>
      </c>
      <c r="R309" s="221">
        <v>7</v>
      </c>
      <c r="T309" s="220">
        <f>(Q/(N_9*T306*P_1*T308))*SQRT(M*T_abs*Z/x)</f>
        <v>12.91938248122084</v>
      </c>
      <c r="U309" s="220">
        <f>(E$2/(N_9*U306*E$3*U308))*SQRT(M*U$6*E$8/U$4)</f>
        <v>39.440483902801446</v>
      </c>
      <c r="V309" s="220">
        <f>(F$2/(N_9*V306*F$3*V308))*SQRT(M*V$6*F$8/V$4)</f>
        <v>90.647576683611092</v>
      </c>
      <c r="W309" s="220">
        <f>(G$2/(N_9*W306*G$3*W308))*SQRT(M*W$6*G$8/W$4)</f>
        <v>136.9873645357365</v>
      </c>
    </row>
    <row r="310" spans="1:23" ht="13.8" x14ac:dyDescent="0.25">
      <c r="A310" s="226"/>
      <c r="B310" s="226"/>
      <c r="C310" s="226"/>
      <c r="D310" s="528"/>
      <c r="E310" s="226"/>
      <c r="F310" s="226"/>
      <c r="G310" s="226"/>
      <c r="H310" s="226"/>
      <c r="I310" s="226"/>
      <c r="J310" s="226"/>
      <c r="K310" s="226"/>
      <c r="L310" s="226"/>
      <c r="M310" s="226"/>
      <c r="Q310" s="211" t="s">
        <v>59</v>
      </c>
      <c r="R310" s="221">
        <v>7</v>
      </c>
      <c r="T310" s="220">
        <f>(Q/(0.667*N_9*T306*P_1))*SQRT(M*T_abs*Z/(T311))</f>
        <v>11.55064539614397</v>
      </c>
      <c r="U310" s="220">
        <f>(E$2/(0.667*N_9*U306*E$3))*SQRT(M*U$6*E$8/(U311))</f>
        <v>35.174580389549035</v>
      </c>
      <c r="V310" s="220">
        <f>(F$2/(0.667*N_9*V306*F$3))*SQRT(M*V$6*F$8/(V311))</f>
        <v>79.976466841065104</v>
      </c>
      <c r="W310" s="220">
        <f>(G$2/(0.667*N_9*W306*G$3))*SQRT(M*W$6*G$8/(W311))</f>
        <v>121.99260460384164</v>
      </c>
    </row>
    <row r="311" spans="1:23" ht="13.8" x14ac:dyDescent="0.25">
      <c r="A311" s="226"/>
      <c r="B311" s="226"/>
      <c r="C311" s="226"/>
      <c r="D311" s="528"/>
      <c r="E311" s="226"/>
      <c r="F311" s="226"/>
      <c r="G311" s="226"/>
      <c r="H311" s="226"/>
      <c r="I311" s="226"/>
      <c r="J311" s="226"/>
      <c r="K311" s="226"/>
      <c r="L311" s="226"/>
      <c r="M311" s="226"/>
      <c r="Q311" s="211" t="s">
        <v>61</v>
      </c>
      <c r="R311" s="221">
        <v>10</v>
      </c>
      <c r="T311" s="220">
        <f>F_GAMMA*T307</f>
        <v>0.6402212470060592</v>
      </c>
      <c r="U311" s="220">
        <f>F_GAMMA*U307</f>
        <v>0.62529707078029195</v>
      </c>
      <c r="V311" s="220">
        <f>F_GAMMA*V307</f>
        <v>0.56879518297355325</v>
      </c>
      <c r="W311" s="220">
        <f>F_GAMMA*W307</f>
        <v>0.48669680663327008</v>
      </c>
    </row>
    <row r="312" spans="1:23" ht="15.6" x14ac:dyDescent="0.35">
      <c r="A312" s="226"/>
      <c r="B312" s="226"/>
      <c r="C312" s="226"/>
      <c r="D312" s="528"/>
      <c r="E312" s="226"/>
      <c r="F312" s="226"/>
      <c r="G312" s="226"/>
      <c r="H312" s="226"/>
      <c r="I312" s="226"/>
      <c r="J312" s="226"/>
      <c r="K312" s="226"/>
      <c r="L312" s="226"/>
      <c r="M312" s="226"/>
      <c r="Q312" s="211" t="s">
        <v>84</v>
      </c>
      <c r="R312" s="224"/>
      <c r="T312" s="220">
        <f>IF(x&lt;T311,T309,T310)</f>
        <v>12.91938248122084</v>
      </c>
      <c r="U312" s="220">
        <f>IF(U$4&lt;U311,U309,U310)</f>
        <v>39.440483902801446</v>
      </c>
      <c r="V312" s="220">
        <f>IF(V$4&lt;V311,V309,V310)</f>
        <v>90.647576683611092</v>
      </c>
      <c r="W312" s="220">
        <f>IF(W$4&lt;W311,W309,W310)</f>
        <v>136.9873645357365</v>
      </c>
    </row>
    <row r="313" spans="1:23" ht="13.8" x14ac:dyDescent="0.25">
      <c r="A313" s="226"/>
      <c r="B313" s="226"/>
      <c r="C313" s="226"/>
      <c r="D313" s="528"/>
      <c r="E313" s="226"/>
      <c r="F313" s="226"/>
      <c r="G313" s="226"/>
      <c r="H313" s="226"/>
      <c r="I313" s="226"/>
      <c r="J313" s="226"/>
      <c r="K313" s="226"/>
      <c r="L313" s="226"/>
      <c r="M313" s="226"/>
    </row>
    <row r="314" spans="1:23" ht="14.4" x14ac:dyDescent="0.3">
      <c r="A314" s="226"/>
      <c r="B314" s="226"/>
      <c r="C314" s="226"/>
      <c r="D314" s="528"/>
      <c r="E314" s="226"/>
      <c r="F314" s="226"/>
      <c r="G314" s="226"/>
      <c r="H314" s="226"/>
      <c r="I314" s="226"/>
      <c r="J314" s="226"/>
      <c r="K314" s="226"/>
      <c r="L314" s="226"/>
      <c r="M314" s="226"/>
      <c r="Q314" s="211" t="s">
        <v>50</v>
      </c>
      <c r="R314" s="219"/>
      <c r="T314" s="220">
        <f>T312</f>
        <v>12.91938248122084</v>
      </c>
      <c r="U314" s="220">
        <f>U312</f>
        <v>39.440483902801446</v>
      </c>
      <c r="V314" s="220">
        <f>V312</f>
        <v>90.647576683611092</v>
      </c>
      <c r="W314" s="220">
        <f>W312</f>
        <v>136.9873645357365</v>
      </c>
    </row>
    <row r="315" spans="1:23" ht="13.8" x14ac:dyDescent="0.25">
      <c r="A315" s="226"/>
      <c r="B315" s="226"/>
      <c r="C315" s="226"/>
      <c r="D315" s="528"/>
      <c r="E315" s="226"/>
      <c r="F315" s="226"/>
      <c r="G315" s="226"/>
      <c r="H315" s="226"/>
      <c r="I315" s="226"/>
      <c r="J315" s="226"/>
      <c r="K315" s="226"/>
      <c r="L315" s="226"/>
      <c r="M315" s="226"/>
      <c r="Q315" s="211" t="s">
        <v>52</v>
      </c>
      <c r="R315" s="209">
        <v>15</v>
      </c>
      <c r="T315" s="220">
        <f>1/(SQRT(1+(SIGMA_ZETA/N_2)*(T314/d^2)^2))</f>
        <v>0.99902465887476266</v>
      </c>
      <c r="U315" s="220">
        <f>1/(SQRT(1+(SIGMA_ZETA/N_2)*(U314/d^2)^2))</f>
        <v>0.99101926336592272</v>
      </c>
      <c r="V315" s="220">
        <f>1/(SQRT(1+(SIGMA_ZETA/N_2)*(V314/d^2)^2))</f>
        <v>0.95512571470487728</v>
      </c>
      <c r="W315" s="220">
        <f>1/(SQRT(1+(SIGMA_ZETA/N_2)*(W314/d^2)^2))</f>
        <v>0.9054932551467747</v>
      </c>
    </row>
    <row r="316" spans="1:23" ht="13.8" x14ac:dyDescent="0.25">
      <c r="A316" s="226"/>
      <c r="B316" s="226"/>
      <c r="C316" s="226"/>
      <c r="D316" s="528"/>
      <c r="E316" s="226"/>
      <c r="F316" s="226"/>
      <c r="G316" s="226"/>
      <c r="H316" s="226"/>
      <c r="I316" s="226"/>
      <c r="J316" s="226"/>
      <c r="K316" s="226"/>
      <c r="L316" s="226"/>
      <c r="M316" s="226"/>
      <c r="Q316" s="211" t="s">
        <v>54</v>
      </c>
      <c r="R316" s="221">
        <v>22</v>
      </c>
      <c r="T316" s="220">
        <f>(x_T/T315^2)/(1+(x_T*SIGMA_ZETA_1/N_5)*(T314/d^2)^2)</f>
        <v>0.6402212470060592</v>
      </c>
      <c r="U316" s="220">
        <f>(E$9/U315^2)/(1+(E$9*SIGMA_ZETA_1/N_5)*(U314/d^2)^2)</f>
        <v>0.62529707078029195</v>
      </c>
      <c r="V316" s="220">
        <f>(F$9/V315^2)/(1+(F$9*SIGMA_ZETA_1/N_5)*(V314/d^2)^2)</f>
        <v>0.56879518297355325</v>
      </c>
      <c r="W316" s="220">
        <f>(G$9/W315^2)/(1+(G$9*SIGMA_ZETA_1/N_5)*(W314/d^2)^2)</f>
        <v>0.48669680663327008</v>
      </c>
    </row>
    <row r="317" spans="1:23" ht="13.8" x14ac:dyDescent="0.25">
      <c r="A317" s="226"/>
      <c r="B317" s="226"/>
      <c r="C317" s="226"/>
      <c r="D317" s="528"/>
      <c r="E317" s="226"/>
      <c r="F317" s="226"/>
      <c r="G317" s="226"/>
      <c r="H317" s="226"/>
      <c r="I317" s="226"/>
      <c r="J317" s="226"/>
      <c r="K317" s="226"/>
      <c r="L317" s="226"/>
      <c r="M317" s="226"/>
      <c r="Q317" s="211" t="s">
        <v>21</v>
      </c>
      <c r="R317" s="209">
        <v>12</v>
      </c>
      <c r="S317" s="211"/>
      <c r="T317" s="220">
        <f>1-(x/(3*F_GAMMA*T316))</f>
        <v>0.82644888523973103</v>
      </c>
      <c r="U317" s="220">
        <f>1-(U$4/(3*F_GAMMA*U316))</f>
        <v>0.82792227238878624</v>
      </c>
      <c r="V317" s="220">
        <f>1-(V$4/(3*F_GAMMA*V316))</f>
        <v>0.83406204884769286</v>
      </c>
      <c r="W317" s="220">
        <f>1-(W$4/(3*F_GAMMA*W316))</f>
        <v>0.82877772732927402</v>
      </c>
    </row>
    <row r="318" spans="1:23" ht="13.8" x14ac:dyDescent="0.25">
      <c r="A318" s="226"/>
      <c r="B318" s="226"/>
      <c r="C318" s="226"/>
      <c r="D318" s="528"/>
      <c r="E318" s="226"/>
      <c r="F318" s="226"/>
      <c r="G318" s="226"/>
      <c r="H318" s="226"/>
      <c r="I318" s="226"/>
      <c r="J318" s="226"/>
      <c r="K318" s="226"/>
      <c r="L318" s="226"/>
      <c r="M318" s="226"/>
      <c r="Q318" s="211" t="s">
        <v>57</v>
      </c>
      <c r="R318" s="221">
        <v>7</v>
      </c>
      <c r="T318" s="220">
        <f>(Q/(N_9*T315*P_1*T317))*SQRT(M*T_abs*Z/x)</f>
        <v>12.91938248122084</v>
      </c>
      <c r="U318" s="220">
        <f>(E$2/(N_9*U315*E$3*U317))*SQRT(M*U$6*E$8/U$4)</f>
        <v>39.440483902801446</v>
      </c>
      <c r="V318" s="220">
        <f>(F$2/(N_9*V315*F$3*V317))*SQRT(M*V$6*F$8/V$4)</f>
        <v>90.647576683611092</v>
      </c>
      <c r="W318" s="220">
        <f>(G$2/(N_9*W315*G$3*W317))*SQRT(M*W$6*G$8/W$4)</f>
        <v>136.9873645357365</v>
      </c>
    </row>
    <row r="319" spans="1:23" ht="13.8" x14ac:dyDescent="0.25">
      <c r="A319" s="226"/>
      <c r="B319" s="226"/>
      <c r="C319" s="226"/>
      <c r="D319" s="528"/>
      <c r="E319" s="226"/>
      <c r="F319" s="226"/>
      <c r="G319" s="226"/>
      <c r="H319" s="226"/>
      <c r="I319" s="226"/>
      <c r="J319" s="226"/>
      <c r="K319" s="226"/>
      <c r="L319" s="226"/>
      <c r="M319" s="226"/>
      <c r="Q319" s="211" t="s">
        <v>59</v>
      </c>
      <c r="R319" s="221">
        <v>7</v>
      </c>
      <c r="T319" s="220">
        <f>(Q/(0.667*N_9*T315*P_1))*SQRT(M*T_abs*Z/(T320))</f>
        <v>11.55064539614397</v>
      </c>
      <c r="U319" s="220">
        <f>(E$2/(0.667*N_9*U315*E$3))*SQRT(M*U$6*E$8/(U320))</f>
        <v>35.174580389549035</v>
      </c>
      <c r="V319" s="220">
        <f>(F$2/(0.667*N_9*V315*F$3))*SQRT(M*V$6*F$8/(V320))</f>
        <v>79.976466841065104</v>
      </c>
      <c r="W319" s="220">
        <f>(G$2/(0.667*N_9*W315*G$3))*SQRT(M*W$6*G$8/(W320))</f>
        <v>121.99260460384164</v>
      </c>
    </row>
    <row r="320" spans="1:23" ht="15.6" x14ac:dyDescent="0.35">
      <c r="A320" s="226"/>
      <c r="B320" s="226"/>
      <c r="C320" s="226"/>
      <c r="D320" s="528"/>
      <c r="E320" s="226"/>
      <c r="F320" s="226"/>
      <c r="G320" s="226"/>
      <c r="H320" s="226"/>
      <c r="I320" s="226"/>
      <c r="J320" s="226"/>
      <c r="K320" s="226"/>
      <c r="L320" s="226"/>
      <c r="M320" s="226"/>
      <c r="Q320" s="211" t="s">
        <v>84</v>
      </c>
      <c r="R320" s="221">
        <v>10</v>
      </c>
      <c r="T320" s="220">
        <f>F_GAMMA*T316</f>
        <v>0.6402212470060592</v>
      </c>
      <c r="U320" s="220">
        <f>F_GAMMA*U316</f>
        <v>0.62529707078029195</v>
      </c>
      <c r="V320" s="220">
        <f>F_GAMMA*V316</f>
        <v>0.56879518297355325</v>
      </c>
      <c r="W320" s="220">
        <f>F_GAMMA*W316</f>
        <v>0.48669680663327008</v>
      </c>
    </row>
    <row r="321" spans="1:23" ht="13.8" x14ac:dyDescent="0.25">
      <c r="A321" s="226"/>
      <c r="B321" s="226"/>
      <c r="C321" s="226"/>
      <c r="D321" s="528"/>
      <c r="E321" s="226"/>
      <c r="F321" s="226"/>
      <c r="G321" s="226"/>
      <c r="H321" s="226"/>
      <c r="I321" s="226"/>
      <c r="J321" s="226"/>
      <c r="K321" s="226"/>
      <c r="L321" s="226"/>
      <c r="M321" s="226"/>
      <c r="Q321" s="211" t="s">
        <v>30</v>
      </c>
      <c r="R321" s="224"/>
      <c r="T321" s="220">
        <f>IF(x&lt;T320,T318,T319)</f>
        <v>12.91938248122084</v>
      </c>
      <c r="U321" s="220">
        <f>IF(U$4&lt;U320,U318,U319)</f>
        <v>39.440483902801446</v>
      </c>
      <c r="V321" s="220">
        <f>IF(V$4&lt;V320,V318,V319)</f>
        <v>90.647576683611092</v>
      </c>
      <c r="W321" s="220">
        <f>IF(W$4&lt;W320,W318,W319)</f>
        <v>136.9873645357365</v>
      </c>
    </row>
    <row r="322" spans="1:23" ht="13.8" x14ac:dyDescent="0.25">
      <c r="A322" s="226"/>
      <c r="B322" s="226"/>
      <c r="C322" s="226"/>
      <c r="D322" s="528"/>
      <c r="E322" s="226"/>
      <c r="F322" s="226"/>
      <c r="G322" s="226"/>
      <c r="H322" s="226"/>
      <c r="I322" s="226"/>
      <c r="J322" s="226"/>
      <c r="K322" s="226"/>
      <c r="L322" s="226"/>
      <c r="M322" s="226"/>
    </row>
    <row r="323" spans="1:23" ht="14.4" x14ac:dyDescent="0.3">
      <c r="A323" s="226"/>
      <c r="B323" s="226"/>
      <c r="C323" s="226"/>
      <c r="D323" s="528"/>
      <c r="E323" s="226"/>
      <c r="F323" s="226"/>
      <c r="G323" s="226"/>
      <c r="H323" s="226"/>
      <c r="I323" s="226"/>
      <c r="J323" s="226"/>
      <c r="K323" s="226"/>
      <c r="L323" s="226"/>
      <c r="M323" s="226"/>
      <c r="Q323" s="211" t="s">
        <v>50</v>
      </c>
      <c r="R323" s="219"/>
      <c r="T323" s="220">
        <f>T321</f>
        <v>12.91938248122084</v>
      </c>
      <c r="U323" s="220">
        <f>U321</f>
        <v>39.440483902801446</v>
      </c>
      <c r="V323" s="220">
        <f>V321</f>
        <v>90.647576683611092</v>
      </c>
      <c r="W323" s="220">
        <f>W321</f>
        <v>136.9873645357365</v>
      </c>
    </row>
    <row r="324" spans="1:23" ht="13.8" x14ac:dyDescent="0.25">
      <c r="A324" s="226"/>
      <c r="B324" s="226"/>
      <c r="C324" s="226"/>
      <c r="D324" s="528"/>
      <c r="E324" s="226"/>
      <c r="F324" s="226"/>
      <c r="G324" s="226"/>
      <c r="H324" s="226"/>
      <c r="I324" s="226"/>
      <c r="J324" s="226"/>
      <c r="K324" s="226"/>
      <c r="L324" s="226"/>
      <c r="M324" s="226"/>
      <c r="Q324" s="211" t="s">
        <v>52</v>
      </c>
      <c r="R324" s="209">
        <v>15</v>
      </c>
      <c r="T324" s="220">
        <f>1/(SQRT(1+(SIGMA_ZETA/N_2)*(T323/d^2)^2))</f>
        <v>0.99902465887476266</v>
      </c>
      <c r="U324" s="220">
        <f>1/(SQRT(1+(SIGMA_ZETA/N_2)*(U323/d^2)^2))</f>
        <v>0.99101926336592272</v>
      </c>
      <c r="V324" s="220">
        <f>1/(SQRT(1+(SIGMA_ZETA/N_2)*(V323/d^2)^2))</f>
        <v>0.95512571470487728</v>
      </c>
      <c r="W324" s="220">
        <f>1/(SQRT(1+(SIGMA_ZETA/N_2)*(W323/d^2)^2))</f>
        <v>0.9054932551467747</v>
      </c>
    </row>
    <row r="325" spans="1:23" ht="13.8" x14ac:dyDescent="0.25">
      <c r="A325" s="226"/>
      <c r="B325" s="226"/>
      <c r="C325" s="226"/>
      <c r="D325" s="528"/>
      <c r="E325" s="226"/>
      <c r="F325" s="226"/>
      <c r="G325" s="226"/>
      <c r="H325" s="226"/>
      <c r="I325" s="226"/>
      <c r="J325" s="226"/>
      <c r="K325" s="226"/>
      <c r="L325" s="226"/>
      <c r="M325" s="226"/>
      <c r="Q325" s="211" t="s">
        <v>54</v>
      </c>
      <c r="R325" s="221">
        <v>22</v>
      </c>
      <c r="T325" s="220">
        <f>(x_T/T324^2)/(1+(x_T*SIGMA_ZETA_1/N_5)*(T323/d^2)^2)</f>
        <v>0.6402212470060592</v>
      </c>
      <c r="U325" s="220">
        <f>(E$9/U324^2)/(1+(E$9*SIGMA_ZETA_1/N_5)*(U323/d^2)^2)</f>
        <v>0.62529707078029195</v>
      </c>
      <c r="V325" s="220">
        <f>(F$9/V324^2)/(1+(F$9*SIGMA_ZETA_1/N_5)*(V323/d^2)^2)</f>
        <v>0.56879518297355325</v>
      </c>
      <c r="W325" s="220">
        <f>(G$9/W324^2)/(1+(G$9*SIGMA_ZETA_1/N_5)*(W323/d^2)^2)</f>
        <v>0.48669680663327008</v>
      </c>
    </row>
    <row r="326" spans="1:23" ht="13.8" x14ac:dyDescent="0.25">
      <c r="A326" s="226"/>
      <c r="B326" s="226"/>
      <c r="C326" s="226"/>
      <c r="D326" s="528"/>
      <c r="E326" s="226"/>
      <c r="F326" s="226"/>
      <c r="G326" s="226"/>
      <c r="H326" s="226"/>
      <c r="I326" s="226"/>
      <c r="J326" s="226"/>
      <c r="K326" s="226"/>
      <c r="L326" s="226"/>
      <c r="M326" s="226"/>
      <c r="Q326" s="211" t="s">
        <v>21</v>
      </c>
      <c r="R326" s="209">
        <v>12</v>
      </c>
      <c r="S326" s="211"/>
      <c r="T326" s="220">
        <f>1-(x/(3*F_GAMMA*T325))</f>
        <v>0.82644888523973103</v>
      </c>
      <c r="U326" s="220">
        <f>1-(U$4/(3*F_GAMMA*U325))</f>
        <v>0.82792227238878624</v>
      </c>
      <c r="V326" s="220">
        <f>1-(V$4/(3*F_GAMMA*V325))</f>
        <v>0.83406204884769286</v>
      </c>
      <c r="W326" s="220">
        <f>1-(W$4/(3*F_GAMMA*W325))</f>
        <v>0.82877772732927402</v>
      </c>
    </row>
    <row r="327" spans="1:23" ht="13.8" x14ac:dyDescent="0.25">
      <c r="A327" s="226"/>
      <c r="B327" s="226"/>
      <c r="C327" s="226"/>
      <c r="D327" s="528"/>
      <c r="E327" s="226"/>
      <c r="F327" s="226"/>
      <c r="G327" s="226"/>
      <c r="H327" s="226"/>
      <c r="I327" s="226"/>
      <c r="J327" s="226"/>
      <c r="K327" s="226"/>
      <c r="L327" s="226"/>
      <c r="M327" s="226"/>
      <c r="Q327" s="211" t="s">
        <v>57</v>
      </c>
      <c r="R327" s="221">
        <v>7</v>
      </c>
      <c r="T327" s="220">
        <f>(Q/(N_9*T324*P_1*T326))*SQRT(M*T_abs*Z/x)</f>
        <v>12.91938248122084</v>
      </c>
      <c r="U327" s="220">
        <f>(E$2/(N_9*U324*E$3*U326))*SQRT(M*U$6*E$8/U$4)</f>
        <v>39.440483902801446</v>
      </c>
      <c r="V327" s="220">
        <f>(F$2/(N_9*V324*F$3*V326))*SQRT(M*V$6*F$8/V$4)</f>
        <v>90.647576683611092</v>
      </c>
      <c r="W327" s="220">
        <f>(G$2/(N_9*W324*G$3*W326))*SQRT(M*W$6*G$8/W$4)</f>
        <v>136.9873645357365</v>
      </c>
    </row>
    <row r="328" spans="1:23" ht="13.8" x14ac:dyDescent="0.25">
      <c r="A328" s="226"/>
      <c r="B328" s="226"/>
      <c r="C328" s="226"/>
      <c r="D328" s="528"/>
      <c r="E328" s="226"/>
      <c r="F328" s="226"/>
      <c r="G328" s="226"/>
      <c r="H328" s="226"/>
      <c r="I328" s="226"/>
      <c r="J328" s="226"/>
      <c r="K328" s="226"/>
      <c r="L328" s="226"/>
      <c r="M328" s="226"/>
      <c r="Q328" s="211" t="s">
        <v>59</v>
      </c>
      <c r="R328" s="221">
        <v>7</v>
      </c>
      <c r="T328" s="220">
        <f>(Q/(0.667*N_9*T324*P_1))*SQRT(M*T_abs*Z/(T329))</f>
        <v>11.55064539614397</v>
      </c>
      <c r="U328" s="220">
        <f>(E$2/(0.667*N_9*U324*E$3))*SQRT(M*U$6*E$8/(U329))</f>
        <v>35.174580389549035</v>
      </c>
      <c r="V328" s="220">
        <f>(F$2/(0.667*N_9*V324*F$3))*SQRT(M*V$6*F$8/(V329))</f>
        <v>79.976466841065104</v>
      </c>
      <c r="W328" s="220">
        <f>(G$2/(0.667*N_9*W324*G$3))*SQRT(M*W$6*G$8/(W329))</f>
        <v>121.99260460384164</v>
      </c>
    </row>
    <row r="329" spans="1:23" ht="15.6" x14ac:dyDescent="0.35">
      <c r="A329" s="226"/>
      <c r="B329" s="226"/>
      <c r="C329" s="226"/>
      <c r="D329" s="528"/>
      <c r="E329" s="226"/>
      <c r="F329" s="226"/>
      <c r="G329" s="226"/>
      <c r="H329" s="226"/>
      <c r="I329" s="226"/>
      <c r="J329" s="226"/>
      <c r="K329" s="226"/>
      <c r="L329" s="226"/>
      <c r="M329" s="226"/>
      <c r="Q329" s="211" t="s">
        <v>84</v>
      </c>
      <c r="R329" s="221">
        <v>10</v>
      </c>
      <c r="T329" s="220">
        <f>F_GAMMA*T325</f>
        <v>0.6402212470060592</v>
      </c>
      <c r="U329" s="220">
        <f>F_GAMMA*U325</f>
        <v>0.62529707078029195</v>
      </c>
      <c r="V329" s="220">
        <f>F_GAMMA*V325</f>
        <v>0.56879518297355325</v>
      </c>
      <c r="W329" s="220">
        <f>F_GAMMA*W325</f>
        <v>0.48669680663327008</v>
      </c>
    </row>
    <row r="330" spans="1:23" ht="13.8" x14ac:dyDescent="0.25">
      <c r="A330" s="226"/>
      <c r="B330" s="226"/>
      <c r="C330" s="226"/>
      <c r="D330" s="528"/>
      <c r="E330" s="226"/>
      <c r="F330" s="226"/>
      <c r="G330" s="226"/>
      <c r="H330" s="226"/>
      <c r="I330" s="226"/>
      <c r="J330" s="226"/>
      <c r="K330" s="226"/>
      <c r="L330" s="226"/>
      <c r="M330" s="226"/>
      <c r="Q330" s="211" t="s">
        <v>30</v>
      </c>
      <c r="R330" s="224"/>
      <c r="T330" s="220">
        <f>IF(x&lt;T329,T327,T328)</f>
        <v>12.91938248122084</v>
      </c>
      <c r="U330" s="220">
        <f>IF(U$4&lt;U329,U327,U328)</f>
        <v>39.440483902801446</v>
      </c>
      <c r="V330" s="220">
        <f>IF(V$4&lt;V329,V327,V328)</f>
        <v>90.647576683611092</v>
      </c>
      <c r="W330" s="220">
        <f>IF(W$4&lt;W329,W327,W328)</f>
        <v>136.9873645357365</v>
      </c>
    </row>
    <row r="331" spans="1:23" ht="13.8" x14ac:dyDescent="0.25">
      <c r="A331" s="226"/>
      <c r="B331" s="226"/>
      <c r="C331" s="226"/>
      <c r="D331" s="528"/>
      <c r="E331" s="226"/>
      <c r="F331" s="226"/>
      <c r="G331" s="226"/>
      <c r="H331" s="226"/>
      <c r="I331" s="226"/>
      <c r="J331" s="226"/>
      <c r="K331" s="226"/>
      <c r="L331" s="226"/>
      <c r="M331" s="226"/>
    </row>
    <row r="332" spans="1:23" ht="14.4" x14ac:dyDescent="0.3">
      <c r="A332" s="226"/>
      <c r="B332" s="226"/>
      <c r="C332" s="226"/>
      <c r="D332" s="528"/>
      <c r="E332" s="226"/>
      <c r="F332" s="226"/>
      <c r="G332" s="226"/>
      <c r="H332" s="226"/>
      <c r="I332" s="226"/>
      <c r="J332" s="226"/>
      <c r="K332" s="226"/>
      <c r="L332" s="226"/>
      <c r="M332" s="226"/>
      <c r="Q332" s="211" t="s">
        <v>50</v>
      </c>
      <c r="R332" s="219"/>
      <c r="T332" s="220">
        <f>T330</f>
        <v>12.91938248122084</v>
      </c>
      <c r="U332" s="220">
        <f>U330</f>
        <v>39.440483902801446</v>
      </c>
      <c r="V332" s="220">
        <f>V330</f>
        <v>90.647576683611092</v>
      </c>
      <c r="W332" s="220">
        <f>W330</f>
        <v>136.9873645357365</v>
      </c>
    </row>
    <row r="333" spans="1:23" ht="13.8" x14ac:dyDescent="0.25">
      <c r="A333" s="226"/>
      <c r="B333" s="226"/>
      <c r="C333" s="226"/>
      <c r="D333" s="528"/>
      <c r="E333" s="226"/>
      <c r="F333" s="226"/>
      <c r="G333" s="226"/>
      <c r="H333" s="226"/>
      <c r="I333" s="226"/>
      <c r="J333" s="226"/>
      <c r="K333" s="226"/>
      <c r="L333" s="226"/>
      <c r="M333" s="226"/>
      <c r="Q333" s="211" t="s">
        <v>52</v>
      </c>
      <c r="R333" s="209">
        <v>15</v>
      </c>
      <c r="T333" s="220">
        <f>1/(SQRT(1+(SIGMA_ZETA/N_2)*(T332/d^2)^2))</f>
        <v>0.99902465887476266</v>
      </c>
      <c r="U333" s="220">
        <f>1/(SQRT(1+(SIGMA_ZETA/N_2)*(U332/d^2)^2))</f>
        <v>0.99101926336592272</v>
      </c>
      <c r="V333" s="220">
        <f>1/(SQRT(1+(SIGMA_ZETA/N_2)*(V332/d^2)^2))</f>
        <v>0.95512571470487728</v>
      </c>
      <c r="W333" s="220">
        <f>1/(SQRT(1+(SIGMA_ZETA/N_2)*(W332/d^2)^2))</f>
        <v>0.9054932551467747</v>
      </c>
    </row>
    <row r="334" spans="1:23" ht="13.8" x14ac:dyDescent="0.25">
      <c r="A334" s="226"/>
      <c r="B334" s="226"/>
      <c r="C334" s="226"/>
      <c r="D334" s="528"/>
      <c r="E334" s="226"/>
      <c r="F334" s="226"/>
      <c r="G334" s="226"/>
      <c r="H334" s="226"/>
      <c r="I334" s="226"/>
      <c r="J334" s="226"/>
      <c r="K334" s="226"/>
      <c r="L334" s="226"/>
      <c r="M334" s="226"/>
      <c r="Q334" s="211" t="s">
        <v>54</v>
      </c>
      <c r="R334" s="221">
        <v>22</v>
      </c>
      <c r="T334" s="220">
        <f>(x_T/T333^2)/(1+(x_T*SIGMA_ZETA_1/N_5)*(T332/d^2)^2)</f>
        <v>0.6402212470060592</v>
      </c>
      <c r="U334" s="220">
        <f>(E$9/U333^2)/(1+(E$9*SIGMA_ZETA_1/N_5)*(U332/d^2)^2)</f>
        <v>0.62529707078029195</v>
      </c>
      <c r="V334" s="220">
        <f>(F$9/V333^2)/(1+(F$9*SIGMA_ZETA_1/N_5)*(V332/d^2)^2)</f>
        <v>0.56879518297355325</v>
      </c>
      <c r="W334" s="220">
        <f>(G$9/W333^2)/(1+(G$9*SIGMA_ZETA_1/N_5)*(W332/d^2)^2)</f>
        <v>0.48669680663327008</v>
      </c>
    </row>
    <row r="335" spans="1:23" ht="13.8" x14ac:dyDescent="0.25">
      <c r="A335" s="226"/>
      <c r="B335" s="226"/>
      <c r="C335" s="226"/>
      <c r="D335" s="528"/>
      <c r="E335" s="226"/>
      <c r="F335" s="226"/>
      <c r="G335" s="226"/>
      <c r="H335" s="226"/>
      <c r="I335" s="226"/>
      <c r="J335" s="226"/>
      <c r="K335" s="226"/>
      <c r="L335" s="226"/>
      <c r="M335" s="226"/>
      <c r="Q335" s="211" t="s">
        <v>21</v>
      </c>
      <c r="R335" s="209">
        <v>12</v>
      </c>
      <c r="S335" s="211"/>
      <c r="T335" s="220">
        <f>1-(x/(3*F_GAMMA*T334))</f>
        <v>0.82644888523973103</v>
      </c>
      <c r="U335" s="220">
        <f>1-(U$4/(3*F_GAMMA*U334))</f>
        <v>0.82792227238878624</v>
      </c>
      <c r="V335" s="220">
        <f>1-(V$4/(3*F_GAMMA*V334))</f>
        <v>0.83406204884769286</v>
      </c>
      <c r="W335" s="220">
        <f>1-(W$4/(3*F_GAMMA*W334))</f>
        <v>0.82877772732927402</v>
      </c>
    </row>
    <row r="336" spans="1:23" ht="13.8" x14ac:dyDescent="0.25">
      <c r="A336" s="226"/>
      <c r="B336" s="226"/>
      <c r="C336" s="226"/>
      <c r="D336" s="528"/>
      <c r="E336" s="226"/>
      <c r="F336" s="226"/>
      <c r="G336" s="226"/>
      <c r="H336" s="226"/>
      <c r="I336" s="226"/>
      <c r="J336" s="226"/>
      <c r="K336" s="226"/>
      <c r="L336" s="226"/>
      <c r="M336" s="226"/>
      <c r="Q336" s="211" t="s">
        <v>57</v>
      </c>
      <c r="R336" s="221">
        <v>7</v>
      </c>
      <c r="T336" s="220">
        <f>(Q/(N_9*T333*P_1*T335))*SQRT(M*T_abs*Z/x)</f>
        <v>12.91938248122084</v>
      </c>
      <c r="U336" s="220">
        <f>(E$2/(N_9*U333*E$3*U335))*SQRT(M*U$6*E$8/U$4)</f>
        <v>39.440483902801446</v>
      </c>
      <c r="V336" s="220">
        <f>(F$2/(N_9*V333*F$3*V335))*SQRT(M*V$6*F$8/V$4)</f>
        <v>90.647576683611092</v>
      </c>
      <c r="W336" s="220">
        <f>(G$2/(N_9*W333*G$3*W335))*SQRT(M*W$6*G$8/W$4)</f>
        <v>136.9873645357365</v>
      </c>
    </row>
    <row r="337" spans="1:23" ht="13.8" x14ac:dyDescent="0.25">
      <c r="A337" s="226"/>
      <c r="B337" s="226"/>
      <c r="C337" s="226"/>
      <c r="D337" s="528"/>
      <c r="E337" s="226"/>
      <c r="F337" s="226"/>
      <c r="G337" s="226"/>
      <c r="H337" s="226"/>
      <c r="I337" s="226"/>
      <c r="J337" s="226"/>
      <c r="K337" s="226"/>
      <c r="L337" s="226"/>
      <c r="M337" s="226"/>
      <c r="Q337" s="211" t="s">
        <v>59</v>
      </c>
      <c r="R337" s="221">
        <v>7</v>
      </c>
      <c r="T337" s="220">
        <f>(Q/(0.667*N_9*T333*P_1))*SQRT(M*T_abs*Z/(T338))</f>
        <v>11.55064539614397</v>
      </c>
      <c r="U337" s="220">
        <f>(E$2/(0.667*N_9*U333*E$3))*SQRT(M*U$6*E$8/(U338))</f>
        <v>35.174580389549035</v>
      </c>
      <c r="V337" s="220">
        <f>(F$2/(0.667*N_9*V333*F$3))*SQRT(M*V$6*F$8/(V338))</f>
        <v>79.976466841065104</v>
      </c>
      <c r="W337" s="220">
        <f>(G$2/(0.667*N_9*W333*G$3))*SQRT(M*W$6*G$8/(W338))</f>
        <v>121.99260460384164</v>
      </c>
    </row>
    <row r="338" spans="1:23" ht="15.6" x14ac:dyDescent="0.35">
      <c r="A338" s="226"/>
      <c r="B338" s="226"/>
      <c r="C338" s="226"/>
      <c r="D338" s="528"/>
      <c r="E338" s="226"/>
      <c r="F338" s="226"/>
      <c r="G338" s="226"/>
      <c r="H338" s="226"/>
      <c r="I338" s="226"/>
      <c r="J338" s="226"/>
      <c r="K338" s="226"/>
      <c r="L338" s="226"/>
      <c r="M338" s="226"/>
      <c r="Q338" s="211" t="s">
        <v>84</v>
      </c>
      <c r="R338" s="221">
        <v>10</v>
      </c>
      <c r="T338" s="220">
        <f>F_GAMMA*T334</f>
        <v>0.6402212470060592</v>
      </c>
      <c r="U338" s="220">
        <f>F_GAMMA*U334</f>
        <v>0.62529707078029195</v>
      </c>
      <c r="V338" s="220">
        <f>F_GAMMA*V334</f>
        <v>0.56879518297355325</v>
      </c>
      <c r="W338" s="220">
        <f>F_GAMMA*W334</f>
        <v>0.48669680663327008</v>
      </c>
    </row>
    <row r="339" spans="1:23" ht="13.8" x14ac:dyDescent="0.25">
      <c r="A339" s="226"/>
      <c r="B339" s="226"/>
      <c r="C339" s="226"/>
      <c r="D339" s="528"/>
      <c r="E339" s="226"/>
      <c r="F339" s="226"/>
      <c r="G339" s="226"/>
      <c r="H339" s="226"/>
      <c r="I339" s="226"/>
      <c r="J339" s="226"/>
      <c r="K339" s="226"/>
      <c r="L339" s="226"/>
      <c r="M339" s="226"/>
      <c r="Q339" s="211" t="s">
        <v>30</v>
      </c>
      <c r="R339" s="224"/>
      <c r="T339" s="220">
        <f>IF(x&lt;T338,T336,T337)</f>
        <v>12.91938248122084</v>
      </c>
      <c r="U339" s="220">
        <f>IF(U$4&lt;U338,U336,U337)</f>
        <v>39.440483902801446</v>
      </c>
      <c r="V339" s="220">
        <f>IF(V$4&lt;V338,V336,V337)</f>
        <v>90.647576683611092</v>
      </c>
      <c r="W339" s="220">
        <f>IF(W$4&lt;W338,W336,W337)</f>
        <v>136.9873645357365</v>
      </c>
    </row>
    <row r="340" spans="1:23" ht="13.8" x14ac:dyDescent="0.25">
      <c r="A340" s="226"/>
      <c r="B340" s="226"/>
      <c r="C340" s="226"/>
      <c r="D340" s="528"/>
      <c r="E340" s="226"/>
      <c r="F340" s="226"/>
      <c r="G340" s="226"/>
      <c r="H340" s="226"/>
      <c r="I340" s="226"/>
      <c r="J340" s="226"/>
      <c r="K340" s="226"/>
      <c r="L340" s="226"/>
      <c r="M340" s="226"/>
    </row>
    <row r="341" spans="1:23" ht="14.4" x14ac:dyDescent="0.3">
      <c r="A341" s="226"/>
      <c r="B341" s="226"/>
      <c r="C341" s="226"/>
      <c r="D341" s="528"/>
      <c r="E341" s="226"/>
      <c r="F341" s="226"/>
      <c r="G341" s="226"/>
      <c r="H341" s="226"/>
      <c r="I341" s="226"/>
      <c r="J341" s="226"/>
      <c r="K341" s="226"/>
      <c r="L341" s="226"/>
      <c r="M341" s="226"/>
      <c r="Q341" s="211" t="s">
        <v>50</v>
      </c>
      <c r="R341" s="219"/>
      <c r="T341" s="220">
        <f>T339</f>
        <v>12.91938248122084</v>
      </c>
      <c r="U341" s="220">
        <f>U339</f>
        <v>39.440483902801446</v>
      </c>
      <c r="V341" s="220">
        <f>V339</f>
        <v>90.647576683611092</v>
      </c>
      <c r="W341" s="220">
        <f>W339</f>
        <v>136.9873645357365</v>
      </c>
    </row>
    <row r="342" spans="1:23" ht="13.8" x14ac:dyDescent="0.25">
      <c r="A342" s="226"/>
      <c r="B342" s="226"/>
      <c r="C342" s="226"/>
      <c r="D342" s="528"/>
      <c r="E342" s="226"/>
      <c r="F342" s="226"/>
      <c r="G342" s="226"/>
      <c r="H342" s="226"/>
      <c r="I342" s="226"/>
      <c r="J342" s="226"/>
      <c r="K342" s="226"/>
      <c r="L342" s="226"/>
      <c r="M342" s="226"/>
      <c r="Q342" s="211" t="s">
        <v>52</v>
      </c>
      <c r="R342" s="209">
        <v>15</v>
      </c>
      <c r="T342" s="220">
        <f>1/(SQRT(1+(SIGMA_ZETA/N_2)*(T341/d^2)^2))</f>
        <v>0.99902465887476266</v>
      </c>
      <c r="U342" s="220">
        <f>1/(SQRT(1+(SIGMA_ZETA/N_2)*(U341/d^2)^2))</f>
        <v>0.99101926336592272</v>
      </c>
      <c r="V342" s="220">
        <f>1/(SQRT(1+(SIGMA_ZETA/N_2)*(V341/d^2)^2))</f>
        <v>0.95512571470487728</v>
      </c>
      <c r="W342" s="220">
        <f>1/(SQRT(1+(SIGMA_ZETA/N_2)*(W341/d^2)^2))</f>
        <v>0.9054932551467747</v>
      </c>
    </row>
    <row r="343" spans="1:23" ht="13.8" x14ac:dyDescent="0.25">
      <c r="A343" s="226"/>
      <c r="B343" s="226"/>
      <c r="C343" s="226"/>
      <c r="D343" s="528"/>
      <c r="E343" s="226"/>
      <c r="F343" s="226"/>
      <c r="G343" s="226"/>
      <c r="H343" s="226"/>
      <c r="I343" s="226"/>
      <c r="J343" s="226"/>
      <c r="K343" s="226"/>
      <c r="L343" s="226"/>
      <c r="M343" s="226"/>
      <c r="Q343" s="211" t="s">
        <v>54</v>
      </c>
      <c r="R343" s="221">
        <v>22</v>
      </c>
      <c r="T343" s="220">
        <f>(x_T/T342^2)/(1+(x_T*SIGMA_ZETA_1/N_5)*(T341/d^2)^2)</f>
        <v>0.6402212470060592</v>
      </c>
      <c r="U343" s="220">
        <f>(E$9/U342^2)/(1+(E$9*SIGMA_ZETA_1/N_5)*(U341/d^2)^2)</f>
        <v>0.62529707078029195</v>
      </c>
      <c r="V343" s="220">
        <f>(F$9/V342^2)/(1+(F$9*SIGMA_ZETA_1/N_5)*(V341/d^2)^2)</f>
        <v>0.56879518297355325</v>
      </c>
      <c r="W343" s="220">
        <f>(G$9/W342^2)/(1+(G$9*SIGMA_ZETA_1/N_5)*(W341/d^2)^2)</f>
        <v>0.48669680663327008</v>
      </c>
    </row>
    <row r="344" spans="1:23" ht="13.8" x14ac:dyDescent="0.25">
      <c r="A344" s="226"/>
      <c r="B344" s="226"/>
      <c r="C344" s="226"/>
      <c r="D344" s="528"/>
      <c r="E344" s="226"/>
      <c r="F344" s="226"/>
      <c r="G344" s="226"/>
      <c r="H344" s="226"/>
      <c r="I344" s="226"/>
      <c r="J344" s="226"/>
      <c r="K344" s="226"/>
      <c r="L344" s="226"/>
      <c r="M344" s="226"/>
      <c r="Q344" s="211" t="s">
        <v>21</v>
      </c>
      <c r="R344" s="209">
        <v>12</v>
      </c>
      <c r="S344" s="211"/>
      <c r="T344" s="220">
        <f>1-(x/(3*F_GAMMA*T343))</f>
        <v>0.82644888523973103</v>
      </c>
      <c r="U344" s="220">
        <f>1-(U$4/(3*F_GAMMA*U343))</f>
        <v>0.82792227238878624</v>
      </c>
      <c r="V344" s="220">
        <f>1-(V$4/(3*F_GAMMA*V343))</f>
        <v>0.83406204884769286</v>
      </c>
      <c r="W344" s="220">
        <f>1-(W$4/(3*F_GAMMA*W343))</f>
        <v>0.82877772732927402</v>
      </c>
    </row>
    <row r="345" spans="1:23" ht="13.8" x14ac:dyDescent="0.25">
      <c r="A345" s="226"/>
      <c r="B345" s="226"/>
      <c r="C345" s="226"/>
      <c r="D345" s="528"/>
      <c r="E345" s="226"/>
      <c r="F345" s="226"/>
      <c r="G345" s="226"/>
      <c r="H345" s="226"/>
      <c r="I345" s="226"/>
      <c r="J345" s="226"/>
      <c r="K345" s="226"/>
      <c r="L345" s="226"/>
      <c r="M345" s="226"/>
      <c r="Q345" s="211" t="s">
        <v>57</v>
      </c>
      <c r="R345" s="221">
        <v>7</v>
      </c>
      <c r="T345" s="220">
        <f>(Q/(N_9*T342*P_1*T344))*SQRT(M*T_abs*Z/x)</f>
        <v>12.91938248122084</v>
      </c>
      <c r="U345" s="220">
        <f>(E$2/(N_9*U342*E$3*U344))*SQRT(M*U$6*E$8/U$4)</f>
        <v>39.440483902801446</v>
      </c>
      <c r="V345" s="220">
        <f>(F$2/(N_9*V342*F$3*V344))*SQRT(M*V$6*F$8/V$4)</f>
        <v>90.647576683611092</v>
      </c>
      <c r="W345" s="220">
        <f>(G$2/(N_9*W342*G$3*W344))*SQRT(M*W$6*G$8/W$4)</f>
        <v>136.9873645357365</v>
      </c>
    </row>
    <row r="346" spans="1:23" ht="13.8" x14ac:dyDescent="0.25">
      <c r="A346" s="226"/>
      <c r="B346" s="226"/>
      <c r="C346" s="226"/>
      <c r="D346" s="528"/>
      <c r="E346" s="226"/>
      <c r="F346" s="226"/>
      <c r="G346" s="226"/>
      <c r="H346" s="226"/>
      <c r="I346" s="226"/>
      <c r="J346" s="226"/>
      <c r="K346" s="226"/>
      <c r="L346" s="226"/>
      <c r="M346" s="226"/>
      <c r="Q346" s="211" t="s">
        <v>59</v>
      </c>
      <c r="R346" s="221">
        <v>7</v>
      </c>
      <c r="T346" s="220">
        <f>(Q/(0.667*N_9*T342*P_1))*SQRT(M*T_abs*Z/(T347))</f>
        <v>11.55064539614397</v>
      </c>
      <c r="U346" s="220">
        <f>(E$2/(0.667*N_9*U342*E$3))*SQRT(M*U$6*E$8/(U347))</f>
        <v>35.174580389549035</v>
      </c>
      <c r="V346" s="220">
        <f>(F$2/(0.667*N_9*V342*F$3))*SQRT(M*V$6*F$8/(V347))</f>
        <v>79.976466841065104</v>
      </c>
      <c r="W346" s="220">
        <f>(G$2/(0.667*N_9*W342*G$3))*SQRT(M*W$6*G$8/(W347))</f>
        <v>121.99260460384164</v>
      </c>
    </row>
    <row r="347" spans="1:23" ht="15.6" x14ac:dyDescent="0.35">
      <c r="A347" s="226"/>
      <c r="B347" s="226"/>
      <c r="C347" s="226"/>
      <c r="D347" s="528"/>
      <c r="E347" s="226"/>
      <c r="F347" s="226"/>
      <c r="G347" s="226"/>
      <c r="H347" s="226"/>
      <c r="I347" s="226"/>
      <c r="J347" s="226"/>
      <c r="K347" s="226"/>
      <c r="L347" s="226"/>
      <c r="M347" s="226"/>
      <c r="Q347" s="211" t="s">
        <v>84</v>
      </c>
      <c r="R347" s="221">
        <v>10</v>
      </c>
      <c r="T347" s="220">
        <f>F_GAMMA*T343</f>
        <v>0.6402212470060592</v>
      </c>
      <c r="U347" s="220">
        <f>F_GAMMA*U343</f>
        <v>0.62529707078029195</v>
      </c>
      <c r="V347" s="220">
        <f>F_GAMMA*V343</f>
        <v>0.56879518297355325</v>
      </c>
      <c r="W347" s="220">
        <f>F_GAMMA*W343</f>
        <v>0.48669680663327008</v>
      </c>
    </row>
    <row r="348" spans="1:23" ht="13.8" x14ac:dyDescent="0.25">
      <c r="A348" s="226"/>
      <c r="B348" s="226"/>
      <c r="C348" s="226"/>
      <c r="D348" s="528"/>
      <c r="E348" s="226"/>
      <c r="F348" s="226"/>
      <c r="G348" s="226"/>
      <c r="H348" s="226"/>
      <c r="I348" s="226"/>
      <c r="J348" s="226"/>
      <c r="K348" s="226"/>
      <c r="L348" s="226"/>
      <c r="M348" s="226"/>
      <c r="Q348" s="211" t="s">
        <v>30</v>
      </c>
      <c r="R348" s="224"/>
      <c r="T348" s="220">
        <f>IF(x&lt;T347,T345,T346)</f>
        <v>12.91938248122084</v>
      </c>
      <c r="U348" s="220">
        <f>IF(U$4&lt;U347,U345,U346)</f>
        <v>39.440483902801446</v>
      </c>
      <c r="V348" s="220">
        <f>IF(V$4&lt;V347,V345,V346)</f>
        <v>90.647576683611092</v>
      </c>
      <c r="W348" s="220">
        <f>IF(W$4&lt;W347,W345,W346)</f>
        <v>136.9873645357365</v>
      </c>
    </row>
    <row r="349" spans="1:23" ht="13.8" x14ac:dyDescent="0.25">
      <c r="A349" s="226"/>
      <c r="B349" s="226"/>
      <c r="C349" s="226"/>
      <c r="D349" s="528"/>
      <c r="E349" s="226"/>
      <c r="F349" s="226"/>
      <c r="G349" s="226"/>
      <c r="H349" s="226"/>
      <c r="I349" s="226"/>
      <c r="J349" s="226"/>
      <c r="K349" s="226"/>
      <c r="L349" s="226"/>
      <c r="M349" s="226"/>
    </row>
    <row r="350" spans="1:23" ht="14.4" x14ac:dyDescent="0.3">
      <c r="A350" s="226"/>
      <c r="B350" s="226"/>
      <c r="C350" s="226"/>
      <c r="D350" s="528"/>
      <c r="E350" s="226"/>
      <c r="F350" s="226"/>
      <c r="G350" s="226"/>
      <c r="H350" s="226"/>
      <c r="I350" s="226"/>
      <c r="J350" s="226"/>
      <c r="K350" s="226"/>
      <c r="L350" s="226"/>
      <c r="M350" s="226"/>
      <c r="Q350" s="211" t="s">
        <v>50</v>
      </c>
      <c r="R350" s="219"/>
      <c r="T350" s="220">
        <f>T348</f>
        <v>12.91938248122084</v>
      </c>
      <c r="U350" s="220">
        <f>U348</f>
        <v>39.440483902801446</v>
      </c>
      <c r="V350" s="220">
        <f>V348</f>
        <v>90.647576683611092</v>
      </c>
      <c r="W350" s="220">
        <f>W348</f>
        <v>136.9873645357365</v>
      </c>
    </row>
    <row r="351" spans="1:23" ht="13.8" x14ac:dyDescent="0.25">
      <c r="A351" s="226"/>
      <c r="B351" s="226"/>
      <c r="C351" s="226"/>
      <c r="D351" s="528"/>
      <c r="E351" s="226"/>
      <c r="F351" s="226"/>
      <c r="G351" s="226"/>
      <c r="H351" s="226"/>
      <c r="I351" s="226"/>
      <c r="J351" s="226"/>
      <c r="K351" s="226"/>
      <c r="L351" s="226"/>
      <c r="M351" s="226"/>
      <c r="Q351" s="211" t="s">
        <v>52</v>
      </c>
      <c r="R351" s="209">
        <v>15</v>
      </c>
      <c r="T351" s="220">
        <f>1/(SQRT(1+(SIGMA_ZETA/N_2)*(T350/d^2)^2))</f>
        <v>0.99902465887476266</v>
      </c>
      <c r="U351" s="220">
        <f>1/(SQRT(1+(SIGMA_ZETA/N_2)*(U350/d^2)^2))</f>
        <v>0.99101926336592272</v>
      </c>
      <c r="V351" s="220">
        <f>1/(SQRT(1+(SIGMA_ZETA/N_2)*(V350/d^2)^2))</f>
        <v>0.95512571470487728</v>
      </c>
      <c r="W351" s="220">
        <f>1/(SQRT(1+(SIGMA_ZETA/N_2)*(W350/d^2)^2))</f>
        <v>0.9054932551467747</v>
      </c>
    </row>
    <row r="352" spans="1:23" ht="13.8" x14ac:dyDescent="0.25">
      <c r="A352" s="226"/>
      <c r="B352" s="226"/>
      <c r="C352" s="226"/>
      <c r="D352" s="528"/>
      <c r="E352" s="226"/>
      <c r="F352" s="226"/>
      <c r="G352" s="226"/>
      <c r="H352" s="226"/>
      <c r="I352" s="226"/>
      <c r="J352" s="226"/>
      <c r="K352" s="226"/>
      <c r="L352" s="226"/>
      <c r="M352" s="226"/>
      <c r="Q352" s="211" t="s">
        <v>54</v>
      </c>
      <c r="R352" s="221">
        <v>22</v>
      </c>
      <c r="T352" s="220">
        <f>(x_T/T351^2)/(1+(x_T*SIGMA_ZETA_1/N_5)*(T350/d^2)^2)</f>
        <v>0.6402212470060592</v>
      </c>
      <c r="U352" s="220">
        <f>(E$9/U351^2)/(1+(E$9*SIGMA_ZETA_1/N_5)*(U350/d^2)^2)</f>
        <v>0.62529707078029195</v>
      </c>
      <c r="V352" s="220">
        <f>(F$9/V351^2)/(1+(F$9*SIGMA_ZETA_1/N_5)*(V350/d^2)^2)</f>
        <v>0.56879518297355325</v>
      </c>
      <c r="W352" s="220">
        <f>(G$9/W351^2)/(1+(G$9*SIGMA_ZETA_1/N_5)*(W350/d^2)^2)</f>
        <v>0.48669680663327008</v>
      </c>
    </row>
    <row r="353" spans="1:23" ht="13.8" x14ac:dyDescent="0.25">
      <c r="A353" s="226"/>
      <c r="B353" s="226"/>
      <c r="C353" s="226"/>
      <c r="D353" s="528"/>
      <c r="E353" s="226"/>
      <c r="F353" s="226"/>
      <c r="G353" s="226"/>
      <c r="H353" s="226"/>
      <c r="I353" s="226"/>
      <c r="J353" s="226"/>
      <c r="K353" s="226"/>
      <c r="L353" s="226"/>
      <c r="M353" s="226"/>
      <c r="Q353" s="211" t="s">
        <v>21</v>
      </c>
      <c r="R353" s="209">
        <v>12</v>
      </c>
      <c r="S353" s="211"/>
      <c r="T353" s="220">
        <f>1-(x/(3*F_GAMMA*T352))</f>
        <v>0.82644888523973103</v>
      </c>
      <c r="U353" s="220">
        <f>1-(U$4/(3*F_GAMMA*U352))</f>
        <v>0.82792227238878624</v>
      </c>
      <c r="V353" s="220">
        <f>1-(V$4/(3*F_GAMMA*V352))</f>
        <v>0.83406204884769286</v>
      </c>
      <c r="W353" s="220">
        <f>1-(W$4/(3*F_GAMMA*W352))</f>
        <v>0.82877772732927402</v>
      </c>
    </row>
    <row r="354" spans="1:23" ht="13.8" x14ac:dyDescent="0.25">
      <c r="A354" s="226"/>
      <c r="B354" s="226"/>
      <c r="C354" s="226"/>
      <c r="D354" s="528"/>
      <c r="E354" s="226"/>
      <c r="F354" s="226"/>
      <c r="G354" s="226"/>
      <c r="H354" s="226"/>
      <c r="I354" s="226"/>
      <c r="J354" s="226"/>
      <c r="K354" s="226"/>
      <c r="L354" s="226"/>
      <c r="M354" s="226"/>
      <c r="Q354" s="211" t="s">
        <v>57</v>
      </c>
      <c r="R354" s="221">
        <v>7</v>
      </c>
      <c r="T354" s="220">
        <f>(Q/(N_9*T351*P_1*T353))*SQRT(M*T_abs*Z/x)</f>
        <v>12.91938248122084</v>
      </c>
      <c r="U354" s="220">
        <f>(E$2/(N_9*U351*E$3*U353))*SQRT(M*U$6*E$8/U$4)</f>
        <v>39.440483902801446</v>
      </c>
      <c r="V354" s="220">
        <f>(F$2/(N_9*V351*F$3*V353))*SQRT(M*V$6*F$8/V$4)</f>
        <v>90.647576683611092</v>
      </c>
      <c r="W354" s="220">
        <f>(G$2/(N_9*W351*G$3*W353))*SQRT(M*W$6*G$8/W$4)</f>
        <v>136.9873645357365</v>
      </c>
    </row>
    <row r="355" spans="1:23" ht="13.8" x14ac:dyDescent="0.25">
      <c r="A355" s="226"/>
      <c r="B355" s="226"/>
      <c r="C355" s="226"/>
      <c r="D355" s="528"/>
      <c r="E355" s="226"/>
      <c r="F355" s="226"/>
      <c r="G355" s="226"/>
      <c r="H355" s="226"/>
      <c r="I355" s="226"/>
      <c r="J355" s="226"/>
      <c r="K355" s="226"/>
      <c r="L355" s="226"/>
      <c r="M355" s="226"/>
      <c r="Q355" s="211" t="s">
        <v>59</v>
      </c>
      <c r="R355" s="221">
        <v>7</v>
      </c>
      <c r="T355" s="220">
        <f>(Q/(0.667*N_9*T351*P_1))*SQRT(M*T_abs*Z/(T356))</f>
        <v>11.55064539614397</v>
      </c>
      <c r="U355" s="220">
        <f>(E$2/(0.667*N_9*U351*E$3))*SQRT(M*U$6*E$8/(U356))</f>
        <v>35.174580389549035</v>
      </c>
      <c r="V355" s="220">
        <f>(F$2/(0.667*N_9*V351*F$3))*SQRT(M*V$6*F$8/(V356))</f>
        <v>79.976466841065104</v>
      </c>
      <c r="W355" s="220">
        <f>(G$2/(0.667*N_9*W351*G$3))*SQRT(M*W$6*G$8/(W356))</f>
        <v>121.99260460384164</v>
      </c>
    </row>
    <row r="356" spans="1:23" ht="15.6" x14ac:dyDescent="0.35">
      <c r="A356" s="226"/>
      <c r="B356" s="226"/>
      <c r="C356" s="226"/>
      <c r="D356" s="528"/>
      <c r="E356" s="226"/>
      <c r="F356" s="226"/>
      <c r="G356" s="226"/>
      <c r="H356" s="226"/>
      <c r="I356" s="226"/>
      <c r="J356" s="226"/>
      <c r="K356" s="226"/>
      <c r="L356" s="226"/>
      <c r="M356" s="226"/>
      <c r="Q356" s="211" t="s">
        <v>84</v>
      </c>
      <c r="R356" s="221">
        <v>10</v>
      </c>
      <c r="T356" s="220">
        <f>F_GAMMA*T352</f>
        <v>0.6402212470060592</v>
      </c>
      <c r="U356" s="220">
        <f>F_GAMMA*U352</f>
        <v>0.62529707078029195</v>
      </c>
      <c r="V356" s="220">
        <f>F_GAMMA*V352</f>
        <v>0.56879518297355325</v>
      </c>
      <c r="W356" s="220">
        <f>F_GAMMA*W352</f>
        <v>0.48669680663327008</v>
      </c>
    </row>
    <row r="357" spans="1:23" ht="13.8" x14ac:dyDescent="0.25">
      <c r="A357" s="226"/>
      <c r="B357" s="226"/>
      <c r="C357" s="226"/>
      <c r="D357" s="528"/>
      <c r="E357" s="226"/>
      <c r="F357" s="226"/>
      <c r="G357" s="226"/>
      <c r="H357" s="226"/>
      <c r="I357" s="226"/>
      <c r="J357" s="226"/>
      <c r="K357" s="226"/>
      <c r="L357" s="226"/>
      <c r="M357" s="226"/>
      <c r="Q357" s="211" t="s">
        <v>30</v>
      </c>
      <c r="R357" s="224"/>
      <c r="T357" s="220">
        <f>IF(x&lt;T356,T354,T355)</f>
        <v>12.91938248122084</v>
      </c>
      <c r="U357" s="220">
        <f>IF(U$4&lt;U356,U354,U355)</f>
        <v>39.440483902801446</v>
      </c>
      <c r="V357" s="220">
        <f>IF(V$4&lt;V356,V354,V355)</f>
        <v>90.647576683611092</v>
      </c>
      <c r="W357" s="220">
        <f>IF(W$4&lt;W356,W354,W355)</f>
        <v>136.9873645357365</v>
      </c>
    </row>
    <row r="358" spans="1:23" ht="13.8" x14ac:dyDescent="0.25">
      <c r="A358" s="226"/>
      <c r="B358" s="226"/>
      <c r="C358" s="226"/>
      <c r="D358" s="528"/>
      <c r="E358" s="226"/>
      <c r="F358" s="226"/>
      <c r="G358" s="226"/>
      <c r="H358" s="226"/>
      <c r="I358" s="226"/>
      <c r="J358" s="226"/>
      <c r="K358" s="226"/>
      <c r="L358" s="226"/>
      <c r="M358" s="226"/>
    </row>
    <row r="359" spans="1:23" ht="14.4" x14ac:dyDescent="0.3">
      <c r="A359" s="226"/>
      <c r="B359" s="226"/>
      <c r="C359" s="226"/>
      <c r="D359" s="528"/>
      <c r="E359" s="226"/>
      <c r="F359" s="226"/>
      <c r="G359" s="226"/>
      <c r="H359" s="226"/>
      <c r="I359" s="226"/>
      <c r="J359" s="226"/>
      <c r="K359" s="226"/>
      <c r="L359" s="226"/>
      <c r="M359" s="226"/>
      <c r="Q359" s="211" t="s">
        <v>50</v>
      </c>
      <c r="R359" s="219"/>
      <c r="T359" s="220">
        <f>T357</f>
        <v>12.91938248122084</v>
      </c>
      <c r="U359" s="220">
        <f>U357</f>
        <v>39.440483902801446</v>
      </c>
      <c r="V359" s="220">
        <f>V357</f>
        <v>90.647576683611092</v>
      </c>
      <c r="W359" s="220">
        <f>W357</f>
        <v>136.9873645357365</v>
      </c>
    </row>
    <row r="360" spans="1:23" ht="13.8" x14ac:dyDescent="0.25">
      <c r="A360" s="226"/>
      <c r="B360" s="226"/>
      <c r="C360" s="226"/>
      <c r="D360" s="528"/>
      <c r="E360" s="226"/>
      <c r="F360" s="226"/>
      <c r="G360" s="226"/>
      <c r="H360" s="226"/>
      <c r="I360" s="226"/>
      <c r="J360" s="226"/>
      <c r="K360" s="226"/>
      <c r="L360" s="226"/>
      <c r="M360" s="226"/>
      <c r="Q360" s="211" t="s">
        <v>52</v>
      </c>
      <c r="R360" s="209">
        <v>15</v>
      </c>
      <c r="T360" s="220">
        <f>1/(SQRT(1+(SIGMA_ZETA/N_2)*(T359/d^2)^2))</f>
        <v>0.99902465887476266</v>
      </c>
      <c r="U360" s="220">
        <f>1/(SQRT(1+(SIGMA_ZETA/N_2)*(U359/d^2)^2))</f>
        <v>0.99101926336592272</v>
      </c>
      <c r="V360" s="220">
        <f>1/(SQRT(1+(SIGMA_ZETA/N_2)*(V359/d^2)^2))</f>
        <v>0.95512571470487728</v>
      </c>
      <c r="W360" s="220">
        <f>1/(SQRT(1+(SIGMA_ZETA/N_2)*(W359/d^2)^2))</f>
        <v>0.9054932551467747</v>
      </c>
    </row>
    <row r="361" spans="1:23" ht="13.8" x14ac:dyDescent="0.25">
      <c r="A361" s="226"/>
      <c r="B361" s="226"/>
      <c r="C361" s="226"/>
      <c r="D361" s="528"/>
      <c r="E361" s="226"/>
      <c r="F361" s="226"/>
      <c r="G361" s="226"/>
      <c r="H361" s="226"/>
      <c r="I361" s="226"/>
      <c r="J361" s="226"/>
      <c r="K361" s="226"/>
      <c r="L361" s="226"/>
      <c r="M361" s="226"/>
      <c r="Q361" s="211" t="s">
        <v>54</v>
      </c>
      <c r="R361" s="221">
        <v>22</v>
      </c>
      <c r="T361" s="220">
        <f>(x_T/T360^2)/(1+(x_T*SIGMA_ZETA_1/N_5)*(T359/d^2)^2)</f>
        <v>0.6402212470060592</v>
      </c>
      <c r="U361" s="220">
        <f>(E$9/U360^2)/(1+(E$9*SIGMA_ZETA_1/N_5)*(U359/d^2)^2)</f>
        <v>0.62529707078029195</v>
      </c>
      <c r="V361" s="220">
        <f>(F$9/V360^2)/(1+(F$9*SIGMA_ZETA_1/N_5)*(V359/d^2)^2)</f>
        <v>0.56879518297355325</v>
      </c>
      <c r="W361" s="220">
        <f>(G$9/W360^2)/(1+(G$9*SIGMA_ZETA_1/N_5)*(W359/d^2)^2)</f>
        <v>0.48669680663327008</v>
      </c>
    </row>
    <row r="362" spans="1:23" ht="13.8" x14ac:dyDescent="0.25">
      <c r="A362" s="226"/>
      <c r="B362" s="226"/>
      <c r="C362" s="226"/>
      <c r="D362" s="528"/>
      <c r="E362" s="226"/>
      <c r="F362" s="226"/>
      <c r="G362" s="226"/>
      <c r="H362" s="226"/>
      <c r="I362" s="226"/>
      <c r="J362" s="226"/>
      <c r="K362" s="226"/>
      <c r="L362" s="226"/>
      <c r="M362" s="226"/>
      <c r="Q362" s="211" t="s">
        <v>21</v>
      </c>
      <c r="R362" s="209">
        <v>12</v>
      </c>
      <c r="S362" s="211"/>
      <c r="T362" s="220">
        <f>1-(x/(3*F_GAMMA*T361))</f>
        <v>0.82644888523973103</v>
      </c>
      <c r="U362" s="220">
        <f>1-(U$4/(3*F_GAMMA*U361))</f>
        <v>0.82792227238878624</v>
      </c>
      <c r="V362" s="220">
        <f>1-(V$4/(3*F_GAMMA*V361))</f>
        <v>0.83406204884769286</v>
      </c>
      <c r="W362" s="220">
        <f>1-(W$4/(3*F_GAMMA*W361))</f>
        <v>0.82877772732927402</v>
      </c>
    </row>
    <row r="363" spans="1:23" ht="13.8" x14ac:dyDescent="0.25">
      <c r="A363" s="226"/>
      <c r="B363" s="226"/>
      <c r="C363" s="226"/>
      <c r="D363" s="528"/>
      <c r="E363" s="226"/>
      <c r="F363" s="226"/>
      <c r="G363" s="226"/>
      <c r="H363" s="226"/>
      <c r="I363" s="226"/>
      <c r="J363" s="226"/>
      <c r="K363" s="226"/>
      <c r="L363" s="226"/>
      <c r="M363" s="226"/>
      <c r="Q363" s="211" t="s">
        <v>57</v>
      </c>
      <c r="R363" s="221">
        <v>7</v>
      </c>
      <c r="T363" s="220">
        <f>(Q/(N_9*T360*P_1*T362))*SQRT(M*T_abs*Z/x)</f>
        <v>12.91938248122084</v>
      </c>
      <c r="U363" s="220">
        <f>(E$2/(N_9*U360*E$3*U362))*SQRT(M*U$6*E$8/U$4)</f>
        <v>39.440483902801446</v>
      </c>
      <c r="V363" s="220">
        <f>(F$2/(N_9*V360*F$3*V362))*SQRT(M*V$6*F$8/V$4)</f>
        <v>90.647576683611092</v>
      </c>
      <c r="W363" s="220">
        <f>(G$2/(N_9*W360*G$3*W362))*SQRT(M*W$6*G$8/W$4)</f>
        <v>136.9873645357365</v>
      </c>
    </row>
    <row r="364" spans="1:23" ht="13.8" x14ac:dyDescent="0.25">
      <c r="A364" s="226"/>
      <c r="B364" s="226"/>
      <c r="C364" s="226"/>
      <c r="D364" s="528"/>
      <c r="E364" s="226"/>
      <c r="F364" s="226"/>
      <c r="G364" s="226"/>
      <c r="H364" s="226"/>
      <c r="I364" s="226"/>
      <c r="J364" s="226"/>
      <c r="K364" s="226"/>
      <c r="L364" s="226"/>
      <c r="M364" s="226"/>
      <c r="Q364" s="211" t="s">
        <v>59</v>
      </c>
      <c r="R364" s="221">
        <v>7</v>
      </c>
      <c r="T364" s="220">
        <f>(Q/(0.667*N_9*T360*P_1))*SQRT(M*T_abs*Z/(T365))</f>
        <v>11.55064539614397</v>
      </c>
      <c r="U364" s="220">
        <f>(E$2/(0.667*N_9*U360*E$3))*SQRT(M*U$6*E$8/(U365))</f>
        <v>35.174580389549035</v>
      </c>
      <c r="V364" s="220">
        <f>(F$2/(0.667*N_9*V360*F$3))*SQRT(M*V$6*F$8/(V365))</f>
        <v>79.976466841065104</v>
      </c>
      <c r="W364" s="220">
        <f>(G$2/(0.667*N_9*W360*G$3))*SQRT(M*W$6*G$8/(W365))</f>
        <v>121.99260460384164</v>
      </c>
    </row>
    <row r="365" spans="1:23" ht="15.6" x14ac:dyDescent="0.35">
      <c r="A365" s="226"/>
      <c r="B365" s="226"/>
      <c r="C365" s="226"/>
      <c r="D365" s="528"/>
      <c r="E365" s="226"/>
      <c r="F365" s="226"/>
      <c r="G365" s="226"/>
      <c r="H365" s="226"/>
      <c r="I365" s="226"/>
      <c r="J365" s="226"/>
      <c r="K365" s="226"/>
      <c r="L365" s="226"/>
      <c r="M365" s="226"/>
      <c r="Q365" s="211" t="s">
        <v>84</v>
      </c>
      <c r="R365" s="221">
        <v>10</v>
      </c>
      <c r="T365" s="220">
        <f>F_GAMMA*T361</f>
        <v>0.6402212470060592</v>
      </c>
      <c r="U365" s="220">
        <f>F_GAMMA*U361</f>
        <v>0.62529707078029195</v>
      </c>
      <c r="V365" s="220">
        <f>F_GAMMA*V361</f>
        <v>0.56879518297355325</v>
      </c>
      <c r="W365" s="220">
        <f>F_GAMMA*W361</f>
        <v>0.48669680663327008</v>
      </c>
    </row>
    <row r="366" spans="1:23" ht="13.8" x14ac:dyDescent="0.25">
      <c r="A366" s="226"/>
      <c r="B366" s="226"/>
      <c r="C366" s="226"/>
      <c r="D366" s="528"/>
      <c r="E366" s="226"/>
      <c r="F366" s="226"/>
      <c r="G366" s="226"/>
      <c r="H366" s="226"/>
      <c r="I366" s="226"/>
      <c r="J366" s="226"/>
      <c r="K366" s="226"/>
      <c r="L366" s="226"/>
      <c r="M366" s="226"/>
      <c r="Q366" s="211" t="s">
        <v>30</v>
      </c>
      <c r="R366" s="224"/>
      <c r="T366" s="220">
        <f>IF(x&lt;T365,T363,T364)</f>
        <v>12.91938248122084</v>
      </c>
      <c r="U366" s="220">
        <f>IF(U$4&lt;U365,U363,U364)</f>
        <v>39.440483902801446</v>
      </c>
      <c r="V366" s="220">
        <f>IF(V$4&lt;V365,V363,V364)</f>
        <v>90.647576683611092</v>
      </c>
      <c r="W366" s="220">
        <f>IF(W$4&lt;W365,W363,W364)</f>
        <v>136.9873645357365</v>
      </c>
    </row>
    <row r="367" spans="1:23" ht="13.8" x14ac:dyDescent="0.25">
      <c r="A367" s="226"/>
      <c r="B367" s="226"/>
      <c r="C367" s="226"/>
      <c r="D367" s="528"/>
      <c r="E367" s="226"/>
      <c r="F367" s="226"/>
      <c r="G367" s="226"/>
      <c r="H367" s="226"/>
      <c r="I367" s="226"/>
      <c r="J367" s="226"/>
      <c r="K367" s="226"/>
      <c r="L367" s="226"/>
      <c r="M367" s="226"/>
    </row>
    <row r="368" spans="1:23" ht="14.4" x14ac:dyDescent="0.3">
      <c r="A368" s="226"/>
      <c r="B368" s="226"/>
      <c r="C368" s="226"/>
      <c r="D368" s="528"/>
      <c r="E368" s="226"/>
      <c r="F368" s="226"/>
      <c r="G368" s="226"/>
      <c r="H368" s="226"/>
      <c r="I368" s="226"/>
      <c r="J368" s="226"/>
      <c r="K368" s="226"/>
      <c r="L368" s="226"/>
      <c r="M368" s="226"/>
      <c r="Q368" s="211" t="s">
        <v>50</v>
      </c>
      <c r="R368" s="219"/>
      <c r="T368" s="220">
        <f>T366</f>
        <v>12.91938248122084</v>
      </c>
      <c r="U368" s="220">
        <f>U366</f>
        <v>39.440483902801446</v>
      </c>
      <c r="V368" s="220">
        <f>V366</f>
        <v>90.647576683611092</v>
      </c>
      <c r="W368" s="220">
        <f>W366</f>
        <v>136.9873645357365</v>
      </c>
    </row>
    <row r="369" spans="17:23" x14ac:dyDescent="0.25">
      <c r="Q369" s="211" t="s">
        <v>52</v>
      </c>
      <c r="R369" s="209">
        <v>15</v>
      </c>
      <c r="T369" s="220">
        <f>1/(SQRT(1+(SIGMA_ZETA/N_2)*(T368/d^2)^2))</f>
        <v>0.99902465887476266</v>
      </c>
      <c r="U369" s="220">
        <f>1/(SQRT(1+(SIGMA_ZETA/N_2)*(U368/d^2)^2))</f>
        <v>0.99101926336592272</v>
      </c>
      <c r="V369" s="220">
        <f>1/(SQRT(1+(SIGMA_ZETA/N_2)*(V368/d^2)^2))</f>
        <v>0.95512571470487728</v>
      </c>
      <c r="W369" s="220">
        <f>1/(SQRT(1+(SIGMA_ZETA/N_2)*(W368/d^2)^2))</f>
        <v>0.9054932551467747</v>
      </c>
    </row>
    <row r="370" spans="17:23" x14ac:dyDescent="0.25">
      <c r="Q370" s="211" t="s">
        <v>54</v>
      </c>
      <c r="R370" s="221">
        <v>22</v>
      </c>
      <c r="T370" s="220">
        <f>(x_T/T369^2)/(1+(x_T*SIGMA_ZETA_1/N_5)*(T368/d^2)^2)</f>
        <v>0.6402212470060592</v>
      </c>
      <c r="U370" s="220">
        <f>(E$9/U369^2)/(1+(E$9*SIGMA_ZETA_1/N_5)*(U368/d^2)^2)</f>
        <v>0.62529707078029195</v>
      </c>
      <c r="V370" s="220">
        <f>(F$9/V369^2)/(1+(F$9*SIGMA_ZETA_1/N_5)*(V368/d^2)^2)</f>
        <v>0.56879518297355325</v>
      </c>
      <c r="W370" s="220">
        <f>(G$9/W369^2)/(1+(G$9*SIGMA_ZETA_1/N_5)*(W368/d^2)^2)</f>
        <v>0.48669680663327008</v>
      </c>
    </row>
    <row r="371" spans="17:23" x14ac:dyDescent="0.25">
      <c r="Q371" s="211" t="s">
        <v>21</v>
      </c>
      <c r="R371" s="209">
        <v>12</v>
      </c>
      <c r="S371" s="211"/>
      <c r="T371" s="220">
        <f>1-(x/(3*F_GAMMA*T370))</f>
        <v>0.82644888523973103</v>
      </c>
      <c r="U371" s="220">
        <f>1-(U$4/(3*F_GAMMA*U370))</f>
        <v>0.82792227238878624</v>
      </c>
      <c r="V371" s="220">
        <f>1-(V$4/(3*F_GAMMA*V370))</f>
        <v>0.83406204884769286</v>
      </c>
      <c r="W371" s="220">
        <f>1-(W$4/(3*F_GAMMA*W370))</f>
        <v>0.82877772732927402</v>
      </c>
    </row>
    <row r="372" spans="17:23" x14ac:dyDescent="0.25">
      <c r="Q372" s="211" t="s">
        <v>57</v>
      </c>
      <c r="R372" s="221">
        <v>7</v>
      </c>
      <c r="T372" s="220">
        <f>(Q/(N_9*T369*P_1*T371))*SQRT(M*T_abs*Z/x)</f>
        <v>12.91938248122084</v>
      </c>
      <c r="U372" s="220">
        <f>(E$2/(N_9*U369*E$3*U371))*SQRT(M*U$6*E$8/U$4)</f>
        <v>39.440483902801446</v>
      </c>
      <c r="V372" s="220">
        <f>(F$2/(N_9*V369*F$3*V371))*SQRT(M*V$6*F$8/V$4)</f>
        <v>90.647576683611092</v>
      </c>
      <c r="W372" s="220">
        <f>(G$2/(N_9*W369*G$3*W371))*SQRT(M*W$6*G$8/W$4)</f>
        <v>136.9873645357365</v>
      </c>
    </row>
    <row r="373" spans="17:23" x14ac:dyDescent="0.25">
      <c r="Q373" s="211" t="s">
        <v>59</v>
      </c>
      <c r="R373" s="221">
        <v>7</v>
      </c>
      <c r="T373" s="220">
        <f>(Q/(0.667*N_9*T369*P_1))*SQRT(M*T_abs*Z/(T374))</f>
        <v>11.55064539614397</v>
      </c>
      <c r="U373" s="220">
        <f>(E$2/(0.667*N_9*U369*E$3))*SQRT(M*U$6*E$8/(U374))</f>
        <v>35.174580389549035</v>
      </c>
      <c r="V373" s="220">
        <f>(F$2/(0.667*N_9*V369*F$3))*SQRT(M*V$6*F$8/(V374))</f>
        <v>79.976466841065104</v>
      </c>
      <c r="W373" s="220">
        <f>(G$2/(0.667*N_9*W369*G$3))*SQRT(M*W$6*G$8/(W374))</f>
        <v>121.99260460384164</v>
      </c>
    </row>
    <row r="374" spans="17:23" ht="15.6" x14ac:dyDescent="0.35">
      <c r="Q374" s="211" t="s">
        <v>84</v>
      </c>
      <c r="R374" s="221">
        <v>10</v>
      </c>
      <c r="T374" s="220">
        <f>F_GAMMA*T370</f>
        <v>0.6402212470060592</v>
      </c>
      <c r="U374" s="220">
        <f>F_GAMMA*U370</f>
        <v>0.62529707078029195</v>
      </c>
      <c r="V374" s="220">
        <f>F_GAMMA*V370</f>
        <v>0.56879518297355325</v>
      </c>
      <c r="W374" s="220">
        <f>F_GAMMA*W370</f>
        <v>0.48669680663327008</v>
      </c>
    </row>
    <row r="375" spans="17:23" x14ac:dyDescent="0.25">
      <c r="Q375" s="211" t="s">
        <v>30</v>
      </c>
      <c r="R375" s="224"/>
      <c r="T375" s="220">
        <f>IF(x&lt;T374,T372,T373)</f>
        <v>12.91938248122084</v>
      </c>
      <c r="U375" s="220">
        <f>IF(U$4&lt;U374,U372,U373)</f>
        <v>39.440483902801446</v>
      </c>
      <c r="V375" s="220">
        <f>IF(V$4&lt;V374,V372,V373)</f>
        <v>90.647576683611092</v>
      </c>
      <c r="W375" s="220">
        <f>IF(W$4&lt;W374,W372,W373)</f>
        <v>136.9873645357365</v>
      </c>
    </row>
    <row r="377" spans="17:23" ht="14.4" x14ac:dyDescent="0.3">
      <c r="Q377" s="211" t="s">
        <v>50</v>
      </c>
      <c r="R377" s="219"/>
      <c r="T377" s="220">
        <f>T375</f>
        <v>12.91938248122084</v>
      </c>
      <c r="U377" s="220">
        <f>U375</f>
        <v>39.440483902801446</v>
      </c>
      <c r="V377" s="220">
        <f>V375</f>
        <v>90.647576683611092</v>
      </c>
      <c r="W377" s="220">
        <f>W375</f>
        <v>136.9873645357365</v>
      </c>
    </row>
    <row r="378" spans="17:23" x14ac:dyDescent="0.25">
      <c r="Q378" s="211" t="s">
        <v>52</v>
      </c>
      <c r="R378" s="209">
        <v>15</v>
      </c>
      <c r="T378" s="220">
        <f>1/(SQRT(1+(SIGMA_ZETA/N_2)*(T377/d^2)^2))</f>
        <v>0.99902465887476266</v>
      </c>
      <c r="U378" s="220">
        <f>1/(SQRT(1+(SIGMA_ZETA/N_2)*(U377/d^2)^2))</f>
        <v>0.99101926336592272</v>
      </c>
      <c r="V378" s="220">
        <f>1/(SQRT(1+(SIGMA_ZETA/N_2)*(V377/d^2)^2))</f>
        <v>0.95512571470487728</v>
      </c>
      <c r="W378" s="220">
        <f>1/(SQRT(1+(SIGMA_ZETA/N_2)*(W377/d^2)^2))</f>
        <v>0.9054932551467747</v>
      </c>
    </row>
    <row r="379" spans="17:23" x14ac:dyDescent="0.25">
      <c r="Q379" s="211" t="s">
        <v>54</v>
      </c>
      <c r="R379" s="221">
        <v>22</v>
      </c>
      <c r="T379" s="220">
        <f>(x_T/T378^2)/(1+(x_T*SIGMA_ZETA_1/N_5)*(T377/d^2)^2)</f>
        <v>0.6402212470060592</v>
      </c>
      <c r="U379" s="220">
        <f>(E$9/U378^2)/(1+(E$9*SIGMA_ZETA_1/N_5)*(U377/d^2)^2)</f>
        <v>0.62529707078029195</v>
      </c>
      <c r="V379" s="220">
        <f>(F$9/V378^2)/(1+(F$9*SIGMA_ZETA_1/N_5)*(V377/d^2)^2)</f>
        <v>0.56879518297355325</v>
      </c>
      <c r="W379" s="220">
        <f>(G$9/W378^2)/(1+(G$9*SIGMA_ZETA_1/N_5)*(W377/d^2)^2)</f>
        <v>0.48669680663327008</v>
      </c>
    </row>
    <row r="380" spans="17:23" x14ac:dyDescent="0.25">
      <c r="Q380" s="211" t="s">
        <v>21</v>
      </c>
      <c r="R380" s="209">
        <v>12</v>
      </c>
      <c r="S380" s="211"/>
      <c r="T380" s="220">
        <f>1-(x/(3*F_GAMMA*T379))</f>
        <v>0.82644888523973103</v>
      </c>
      <c r="U380" s="220">
        <f>1-(U$4/(3*F_GAMMA*U379))</f>
        <v>0.82792227238878624</v>
      </c>
      <c r="V380" s="220">
        <f>1-(V$4/(3*F_GAMMA*V379))</f>
        <v>0.83406204884769286</v>
      </c>
      <c r="W380" s="220">
        <f>1-(W$4/(3*F_GAMMA*W379))</f>
        <v>0.82877772732927402</v>
      </c>
    </row>
    <row r="381" spans="17:23" x14ac:dyDescent="0.25">
      <c r="Q381" s="211" t="s">
        <v>57</v>
      </c>
      <c r="R381" s="221">
        <v>7</v>
      </c>
      <c r="T381" s="220">
        <f>(Q/(N_9*T378*P_1*T380))*SQRT(M*T_abs*Z/x)</f>
        <v>12.91938248122084</v>
      </c>
      <c r="U381" s="220">
        <f>(E$2/(N_9*U378*E$3*U380))*SQRT(M*U$6*E$8/U$4)</f>
        <v>39.440483902801446</v>
      </c>
      <c r="V381" s="220">
        <f>(F$2/(N_9*V378*F$3*V380))*SQRT(M*V$6*F$8/V$4)</f>
        <v>90.647576683611092</v>
      </c>
      <c r="W381" s="220">
        <f>(G$2/(N_9*W378*G$3*W380))*SQRT(M*W$6*G$8/W$4)</f>
        <v>136.9873645357365</v>
      </c>
    </row>
    <row r="382" spans="17:23" x14ac:dyDescent="0.25">
      <c r="Q382" s="211" t="s">
        <v>59</v>
      </c>
      <c r="R382" s="221">
        <v>7</v>
      </c>
      <c r="T382" s="220">
        <f>(Q/(0.667*N_9*T378*P_1))*SQRT(M*T_abs*Z/(T383))</f>
        <v>11.55064539614397</v>
      </c>
      <c r="U382" s="220">
        <f>(E$2/(0.667*N_9*U378*E$3))*SQRT(M*U$6*E$8/(U383))</f>
        <v>35.174580389549035</v>
      </c>
      <c r="V382" s="220">
        <f>(F$2/(0.667*N_9*V378*F$3))*SQRT(M*V$6*F$8/(V383))</f>
        <v>79.976466841065104</v>
      </c>
      <c r="W382" s="220">
        <f>(G$2/(0.667*N_9*W378*G$3))*SQRT(M*W$6*G$8/(W383))</f>
        <v>121.99260460384164</v>
      </c>
    </row>
    <row r="383" spans="17:23" ht="15.6" x14ac:dyDescent="0.35">
      <c r="Q383" s="211" t="s">
        <v>84</v>
      </c>
      <c r="R383" s="221">
        <v>10</v>
      </c>
      <c r="T383" s="220">
        <f>F_GAMMA*T379</f>
        <v>0.6402212470060592</v>
      </c>
      <c r="U383" s="220">
        <f>F_GAMMA*U379</f>
        <v>0.62529707078029195</v>
      </c>
      <c r="V383" s="220">
        <f>F_GAMMA*V379</f>
        <v>0.56879518297355325</v>
      </c>
      <c r="W383" s="220">
        <f>F_GAMMA*W379</f>
        <v>0.48669680663327008</v>
      </c>
    </row>
    <row r="384" spans="17:23" x14ac:dyDescent="0.25">
      <c r="Q384" s="211" t="s">
        <v>30</v>
      </c>
      <c r="R384" s="230"/>
      <c r="T384" s="220">
        <f>IF(x&lt;T383,T381,T382)</f>
        <v>12.91938248122084</v>
      </c>
      <c r="U384" s="220">
        <f>IF(U$4&lt;U383,U381,U382)</f>
        <v>39.440483902801446</v>
      </c>
      <c r="V384" s="220">
        <f>IF(V$4&lt;V383,V381,V382)</f>
        <v>90.647576683611092</v>
      </c>
      <c r="W384" s="220">
        <f>IF(W$4&lt;W383,W381,W382)</f>
        <v>136.9873645357365</v>
      </c>
    </row>
    <row r="386" spans="17:23" ht="14.4" x14ac:dyDescent="0.3">
      <c r="Q386" s="211" t="s">
        <v>50</v>
      </c>
      <c r="R386" s="219"/>
      <c r="T386" s="220">
        <f>T384</f>
        <v>12.91938248122084</v>
      </c>
      <c r="U386" s="220">
        <f>U384</f>
        <v>39.440483902801446</v>
      </c>
      <c r="V386" s="220">
        <f>V384</f>
        <v>90.647576683611092</v>
      </c>
      <c r="W386" s="220">
        <f>W384</f>
        <v>136.9873645357365</v>
      </c>
    </row>
    <row r="387" spans="17:23" x14ac:dyDescent="0.25">
      <c r="Q387" s="211" t="s">
        <v>52</v>
      </c>
      <c r="R387" s="209">
        <v>15</v>
      </c>
      <c r="T387" s="220">
        <f>1/(SQRT(1+(SIGMA_ZETA/N_2)*(T386/d^2)^2))</f>
        <v>0.99902465887476266</v>
      </c>
      <c r="U387" s="220">
        <f>1/(SQRT(1+(SIGMA_ZETA/N_2)*(U386/d^2)^2))</f>
        <v>0.99101926336592272</v>
      </c>
      <c r="V387" s="220">
        <f>1/(SQRT(1+(SIGMA_ZETA/N_2)*(V386/d^2)^2))</f>
        <v>0.95512571470487728</v>
      </c>
      <c r="W387" s="220">
        <f>1/(SQRT(1+(SIGMA_ZETA/N_2)*(W386/d^2)^2))</f>
        <v>0.9054932551467747</v>
      </c>
    </row>
    <row r="388" spans="17:23" x14ac:dyDescent="0.25">
      <c r="Q388" s="211" t="s">
        <v>54</v>
      </c>
      <c r="R388" s="221">
        <v>22</v>
      </c>
      <c r="T388" s="220">
        <f>(x_T/T387^2)/(1+(x_T*SIGMA_ZETA_1/N_5)*(T386/d^2)^2)</f>
        <v>0.6402212470060592</v>
      </c>
      <c r="U388" s="220">
        <f>(E$9/U387^2)/(1+(E$9*SIGMA_ZETA_1/N_5)*(U386/d^2)^2)</f>
        <v>0.62529707078029195</v>
      </c>
      <c r="V388" s="220">
        <f>(F$9/V387^2)/(1+(F$9*SIGMA_ZETA_1/N_5)*(V386/d^2)^2)</f>
        <v>0.56879518297355325</v>
      </c>
      <c r="W388" s="220">
        <f>(G$9/W387^2)/(1+(G$9*SIGMA_ZETA_1/N_5)*(W386/d^2)^2)</f>
        <v>0.48669680663327008</v>
      </c>
    </row>
    <row r="389" spans="17:23" x14ac:dyDescent="0.25">
      <c r="Q389" s="211" t="s">
        <v>21</v>
      </c>
      <c r="R389" s="209">
        <v>12</v>
      </c>
      <c r="S389" s="211"/>
      <c r="T389" s="220">
        <f>1-(x/(3*F_GAMMA*T388))</f>
        <v>0.82644888523973103</v>
      </c>
      <c r="U389" s="220">
        <f>1-(U$4/(3*F_GAMMA*U388))</f>
        <v>0.82792227238878624</v>
      </c>
      <c r="V389" s="220">
        <f>1-(V$4/(3*F_GAMMA*V388))</f>
        <v>0.83406204884769286</v>
      </c>
      <c r="W389" s="220">
        <f>1-(W$4/(3*F_GAMMA*W388))</f>
        <v>0.82877772732927402</v>
      </c>
    </row>
    <row r="390" spans="17:23" x14ac:dyDescent="0.25">
      <c r="Q390" s="211" t="s">
        <v>57</v>
      </c>
      <c r="R390" s="221">
        <v>7</v>
      </c>
      <c r="T390" s="220">
        <f>(Q/(N_9*T387*P_1*T389))*SQRT(M*T_abs*Z/x)</f>
        <v>12.91938248122084</v>
      </c>
      <c r="U390" s="220">
        <f>(E$2/(N_9*U387*E$3*U389))*SQRT(M*U$6*E$8/U$4)</f>
        <v>39.440483902801446</v>
      </c>
      <c r="V390" s="220">
        <f>(F$2/(N_9*V387*F$3*V389))*SQRT(M*V$6*F$8/V$4)</f>
        <v>90.647576683611092</v>
      </c>
      <c r="W390" s="220">
        <f>(G$2/(N_9*W387*G$3*W389))*SQRT(M*W$6*G$8/W$4)</f>
        <v>136.9873645357365</v>
      </c>
    </row>
    <row r="391" spans="17:23" x14ac:dyDescent="0.25">
      <c r="Q391" s="211" t="s">
        <v>59</v>
      </c>
      <c r="R391" s="221">
        <v>7</v>
      </c>
      <c r="T391" s="220">
        <f>(Q/(0.667*N_9*T387*P_1))*SQRT(M*T_abs*Z/(T392))</f>
        <v>11.55064539614397</v>
      </c>
      <c r="U391" s="220">
        <f>(E$2/(0.667*N_9*U387*E$3))*SQRT(M*U$6*E$8/(U392))</f>
        <v>35.174580389549035</v>
      </c>
      <c r="V391" s="220">
        <f>(F$2/(0.667*N_9*V387*F$3))*SQRT(M*V$6*F$8/(V392))</f>
        <v>79.976466841065104</v>
      </c>
      <c r="W391" s="220">
        <f>(G$2/(0.667*N_9*W387*G$3))*SQRT(M*W$6*G$8/(W392))</f>
        <v>121.99260460384164</v>
      </c>
    </row>
    <row r="392" spans="17:23" ht="15.6" x14ac:dyDescent="0.35">
      <c r="Q392" s="211" t="s">
        <v>84</v>
      </c>
      <c r="R392" s="221">
        <v>10</v>
      </c>
      <c r="T392" s="220">
        <f>F_GAMMA*T388</f>
        <v>0.6402212470060592</v>
      </c>
      <c r="U392" s="220">
        <f>F_GAMMA*U388</f>
        <v>0.62529707078029195</v>
      </c>
      <c r="V392" s="220">
        <f>F_GAMMA*V388</f>
        <v>0.56879518297355325</v>
      </c>
      <c r="W392" s="220">
        <f>F_GAMMA*W388</f>
        <v>0.48669680663327008</v>
      </c>
    </row>
    <row r="393" spans="17:23" x14ac:dyDescent="0.25">
      <c r="Q393" s="211" t="s">
        <v>30</v>
      </c>
      <c r="R393" s="224"/>
      <c r="T393" s="220">
        <f>IF(x&lt;T392,T390,T391)</f>
        <v>12.91938248122084</v>
      </c>
      <c r="U393" s="220">
        <f>IF(U$4&lt;U392,U390,U391)</f>
        <v>39.440483902801446</v>
      </c>
      <c r="V393" s="220">
        <f>IF(V$4&lt;V392,V390,V391)</f>
        <v>90.647576683611092</v>
      </c>
      <c r="W393" s="220">
        <f>IF(W$4&lt;W392,W390,W391)</f>
        <v>136.9873645357365</v>
      </c>
    </row>
    <row r="394" spans="17:23" x14ac:dyDescent="0.25">
      <c r="Q394" s="211"/>
      <c r="R394" s="224"/>
      <c r="T394" s="220"/>
      <c r="U394" s="220"/>
      <c r="V394" s="220"/>
      <c r="W394" s="220"/>
    </row>
    <row r="395" spans="17:23" ht="14.4" x14ac:dyDescent="0.3">
      <c r="Q395" s="211" t="s">
        <v>50</v>
      </c>
      <c r="R395" s="219"/>
      <c r="T395" s="220">
        <f>T393</f>
        <v>12.91938248122084</v>
      </c>
      <c r="U395" s="220">
        <f>U393</f>
        <v>39.440483902801446</v>
      </c>
      <c r="V395" s="220">
        <f>V393</f>
        <v>90.647576683611092</v>
      </c>
      <c r="W395" s="220">
        <f>W393</f>
        <v>136.9873645357365</v>
      </c>
    </row>
    <row r="396" spans="17:23" x14ac:dyDescent="0.25">
      <c r="Q396" s="211" t="s">
        <v>52</v>
      </c>
      <c r="R396" s="209">
        <v>15</v>
      </c>
      <c r="T396" s="220">
        <f>1/(SQRT(1+(SIGMA_ZETA/N_2)*(T395/d^2)^2))</f>
        <v>0.99902465887476266</v>
      </c>
      <c r="U396" s="220">
        <f>1/(SQRT(1+(SIGMA_ZETA/N_2)*(U395/d^2)^2))</f>
        <v>0.99101926336592272</v>
      </c>
      <c r="V396" s="220">
        <f>1/(SQRT(1+(SIGMA_ZETA/N_2)*(V395/d^2)^2))</f>
        <v>0.95512571470487728</v>
      </c>
      <c r="W396" s="220">
        <f>1/(SQRT(1+(SIGMA_ZETA/N_2)*(W395/d^2)^2))</f>
        <v>0.9054932551467747</v>
      </c>
    </row>
    <row r="397" spans="17:23" ht="15.6" x14ac:dyDescent="0.35">
      <c r="Q397" s="211" t="s">
        <v>84</v>
      </c>
      <c r="R397" s="221">
        <v>22</v>
      </c>
      <c r="T397" s="220">
        <f>(x_T/T396^2)/(1+(x_T*SIGMA_ZETA_1/N_5)*(T395/d^2)^2)</f>
        <v>0.6402212470060592</v>
      </c>
      <c r="U397" s="220">
        <f>(E$9/U396^2)/(1+(E$9*SIGMA_ZETA_1/N_5)*(U395/d^2)^2)</f>
        <v>0.62529707078029195</v>
      </c>
      <c r="V397" s="220">
        <f>(F$9/V396^2)/(1+(F$9*SIGMA_ZETA_1/N_5)*(V395/d^2)^2)</f>
        <v>0.56879518297355325</v>
      </c>
      <c r="W397" s="220">
        <f>(G$9/W396^2)/(1+(G$9*SIGMA_ZETA_1/N_5)*(W395/d^2)^2)</f>
        <v>0.48669680663327008</v>
      </c>
    </row>
    <row r="398" spans="17:23" x14ac:dyDescent="0.25">
      <c r="Q398" s="211" t="s">
        <v>21</v>
      </c>
      <c r="R398" s="209">
        <v>12</v>
      </c>
      <c r="S398" s="211"/>
      <c r="T398" s="220">
        <f>1-(x/(3*F_GAMMA*T397))</f>
        <v>0.82644888523973103</v>
      </c>
      <c r="U398" s="220">
        <f>1-(U$4/(3*F_GAMMA*U397))</f>
        <v>0.82792227238878624</v>
      </c>
      <c r="V398" s="220">
        <f>1-(V$4/(3*F_GAMMA*V397))</f>
        <v>0.83406204884769286</v>
      </c>
      <c r="W398" s="220">
        <f>1-(W$4/(3*F_GAMMA*W397))</f>
        <v>0.82877772732927402</v>
      </c>
    </row>
    <row r="399" spans="17:23" x14ac:dyDescent="0.25">
      <c r="Q399" s="211" t="s">
        <v>57</v>
      </c>
      <c r="R399" s="221">
        <v>7</v>
      </c>
      <c r="T399" s="220">
        <f>(Q/(N_9*T396*P_1*T398))*SQRT(M*T_abs*Z/x)</f>
        <v>12.91938248122084</v>
      </c>
      <c r="U399" s="220">
        <f>(E$2/(N_9*U396*E$3*U398))*SQRT(M*U$6*E$8/U$4)</f>
        <v>39.440483902801446</v>
      </c>
      <c r="V399" s="220">
        <f>(F$2/(N_9*V396*F$3*V398))*SQRT(M*V$6*F$8/V$4)</f>
        <v>90.647576683611092</v>
      </c>
      <c r="W399" s="220">
        <f>(G$2/(N_9*W396*G$3*W398))*SQRT(M*W$6*G$8/W$4)</f>
        <v>136.9873645357365</v>
      </c>
    </row>
    <row r="400" spans="17:23" x14ac:dyDescent="0.25">
      <c r="Q400" s="211" t="s">
        <v>59</v>
      </c>
      <c r="R400" s="221">
        <v>7</v>
      </c>
      <c r="T400" s="220">
        <f>(Q/(0.667*N_9*T396*P_1))*SQRT(M*T_abs*Z/(T401))</f>
        <v>11.55064539614397</v>
      </c>
      <c r="U400" s="220">
        <f>(E$2/(0.667*N_9*U396*E$3))*SQRT(M*U$6*E$8/(U401))</f>
        <v>35.174580389549035</v>
      </c>
      <c r="V400" s="220">
        <f>(F$2/(0.667*N_9*V396*F$3))*SQRT(M*V$6*F$8/(V401))</f>
        <v>79.976466841065104</v>
      </c>
      <c r="W400" s="220">
        <f>(G$2/(0.667*N_9*W396*G$3))*SQRT(M*W$6*G$8/(W401))</f>
        <v>121.99260460384164</v>
      </c>
    </row>
    <row r="401" spans="17:23" x14ac:dyDescent="0.25">
      <c r="Q401" s="211" t="s">
        <v>61</v>
      </c>
      <c r="R401" s="221">
        <v>10</v>
      </c>
      <c r="T401" s="220">
        <f>F_GAMMA*T397</f>
        <v>0.6402212470060592</v>
      </c>
      <c r="U401" s="220">
        <f>F_GAMMA*U397</f>
        <v>0.62529707078029195</v>
      </c>
      <c r="V401" s="220">
        <f>F_GAMMA*V397</f>
        <v>0.56879518297355325</v>
      </c>
      <c r="W401" s="220">
        <f>F_GAMMA*W397</f>
        <v>0.48669680663327008</v>
      </c>
    </row>
    <row r="402" spans="17:23" ht="15.6" x14ac:dyDescent="0.35">
      <c r="Q402" s="211" t="s">
        <v>84</v>
      </c>
      <c r="R402" s="224"/>
      <c r="T402" s="220">
        <f>IF(x&lt;T401,T399,T400)</f>
        <v>12.91938248122084</v>
      </c>
      <c r="U402" s="220">
        <f>IF(U$4&lt;U401,U399,U400)</f>
        <v>39.440483902801446</v>
      </c>
      <c r="V402" s="220">
        <f>IF(V$4&lt;V401,V399,V400)</f>
        <v>90.647576683611092</v>
      </c>
      <c r="W402" s="220">
        <f>IF(W$4&lt;W401,W399,W400)</f>
        <v>136.9873645357365</v>
      </c>
    </row>
    <row r="404" spans="17:23" ht="14.4" x14ac:dyDescent="0.3">
      <c r="Q404" s="211" t="s">
        <v>50</v>
      </c>
      <c r="R404" s="219"/>
      <c r="T404" s="220">
        <f>T402</f>
        <v>12.91938248122084</v>
      </c>
      <c r="U404" s="220">
        <f>U402</f>
        <v>39.440483902801446</v>
      </c>
      <c r="V404" s="220">
        <f>V402</f>
        <v>90.647576683611092</v>
      </c>
      <c r="W404" s="220">
        <f>W402</f>
        <v>136.9873645357365</v>
      </c>
    </row>
    <row r="405" spans="17:23" x14ac:dyDescent="0.25">
      <c r="Q405" s="211" t="s">
        <v>52</v>
      </c>
      <c r="R405" s="209">
        <v>15</v>
      </c>
      <c r="T405" s="220">
        <f>1/(SQRT(1+(SIGMA_ZETA/N_2)*(T404/d^2)^2))</f>
        <v>0.99902465887476266</v>
      </c>
      <c r="U405" s="220">
        <f>1/(SQRT(1+(SIGMA_ZETA/N_2)*(U404/d^2)^2))</f>
        <v>0.99101926336592272</v>
      </c>
      <c r="V405" s="220">
        <f>1/(SQRT(1+(SIGMA_ZETA/N_2)*(V404/d^2)^2))</f>
        <v>0.95512571470487728</v>
      </c>
      <c r="W405" s="220">
        <f>1/(SQRT(1+(SIGMA_ZETA/N_2)*(W404/d^2)^2))</f>
        <v>0.9054932551467747</v>
      </c>
    </row>
    <row r="406" spans="17:23" x14ac:dyDescent="0.25">
      <c r="Q406" s="211" t="s">
        <v>54</v>
      </c>
      <c r="R406" s="221">
        <v>22</v>
      </c>
      <c r="T406" s="220">
        <f>(x_T/T405^2)/(1+(x_T*SIGMA_ZETA_1/N_5)*(T404/d^2)^2)</f>
        <v>0.6402212470060592</v>
      </c>
      <c r="U406" s="220">
        <f>(E$9/U405^2)/(1+(E$9*SIGMA_ZETA_1/N_5)*(U404/d^2)^2)</f>
        <v>0.62529707078029195</v>
      </c>
      <c r="V406" s="220">
        <f>(F$9/V405^2)/(1+(F$9*SIGMA_ZETA_1/N_5)*(V404/d^2)^2)</f>
        <v>0.56879518297355325</v>
      </c>
      <c r="W406" s="220">
        <f>(G$9/W405^2)/(1+(G$9*SIGMA_ZETA_1/N_5)*(W404/d^2)^2)</f>
        <v>0.48669680663327008</v>
      </c>
    </row>
    <row r="407" spans="17:23" x14ac:dyDescent="0.25">
      <c r="Q407" s="211" t="s">
        <v>21</v>
      </c>
      <c r="R407" s="209">
        <v>12</v>
      </c>
      <c r="S407" s="211"/>
      <c r="T407" s="220">
        <f>1-(x/(3*F_GAMMA*T406))</f>
        <v>0.82644888523973103</v>
      </c>
      <c r="U407" s="220">
        <f>1-(U$4/(3*F_GAMMA*U406))</f>
        <v>0.82792227238878624</v>
      </c>
      <c r="V407" s="220">
        <f>1-(V$4/(3*F_GAMMA*V406))</f>
        <v>0.83406204884769286</v>
      </c>
      <c r="W407" s="220">
        <f>1-(W$4/(3*F_GAMMA*W406))</f>
        <v>0.82877772732927402</v>
      </c>
    </row>
    <row r="408" spans="17:23" x14ac:dyDescent="0.25">
      <c r="Q408" s="211" t="s">
        <v>57</v>
      </c>
      <c r="R408" s="221">
        <v>7</v>
      </c>
      <c r="T408" s="220">
        <f>(Q/(N_9*T405*P_1*T407))*SQRT(M*T_abs*Z/x)</f>
        <v>12.91938248122084</v>
      </c>
      <c r="U408" s="220">
        <f>(E$2/(N_9*U405*E$3*U407))*SQRT(M*U$6*E$8/U$4)</f>
        <v>39.440483902801446</v>
      </c>
      <c r="V408" s="220">
        <f>(F$2/(N_9*V405*F$3*V407))*SQRT(M*V$6*F$8/V$4)</f>
        <v>90.647576683611092</v>
      </c>
      <c r="W408" s="220">
        <f>(G$2/(N_9*W405*G$3*W407))*SQRT(M*W$6*G$8/W$4)</f>
        <v>136.9873645357365</v>
      </c>
    </row>
    <row r="409" spans="17:23" x14ac:dyDescent="0.25">
      <c r="Q409" s="211" t="s">
        <v>59</v>
      </c>
      <c r="R409" s="221">
        <v>7</v>
      </c>
      <c r="T409" s="220">
        <f>(Q/(0.667*N_9*T405*P_1))*SQRT(M*T_abs*Z/(T410))</f>
        <v>11.55064539614397</v>
      </c>
      <c r="U409" s="220">
        <f>(E$2/(0.667*N_9*U405*E$3))*SQRT(M*U$6*E$8/(U410))</f>
        <v>35.174580389549035</v>
      </c>
      <c r="V409" s="220">
        <f>(F$2/(0.667*N_9*V405*F$3))*SQRT(M*V$6*F$8/(V410))</f>
        <v>79.976466841065104</v>
      </c>
      <c r="W409" s="220">
        <f>(G$2/(0.667*N_9*W405*G$3))*SQRT(M*W$6*G$8/(W410))</f>
        <v>121.99260460384164</v>
      </c>
    </row>
    <row r="410" spans="17:23" ht="15.6" x14ac:dyDescent="0.35">
      <c r="Q410" s="211" t="s">
        <v>84</v>
      </c>
      <c r="R410" s="221">
        <v>10</v>
      </c>
      <c r="T410" s="220">
        <f>F_GAMMA*T406</f>
        <v>0.6402212470060592</v>
      </c>
      <c r="U410" s="220">
        <f>F_GAMMA*U406</f>
        <v>0.62529707078029195</v>
      </c>
      <c r="V410" s="220">
        <f>F_GAMMA*V406</f>
        <v>0.56879518297355325</v>
      </c>
      <c r="W410" s="220">
        <f>F_GAMMA*W406</f>
        <v>0.48669680663327008</v>
      </c>
    </row>
    <row r="411" spans="17:23" x14ac:dyDescent="0.25">
      <c r="Q411" s="211" t="s">
        <v>30</v>
      </c>
      <c r="R411" s="224"/>
      <c r="T411" s="220">
        <f>IF(x&lt;T410,T408,T409)</f>
        <v>12.91938248122084</v>
      </c>
      <c r="U411" s="220">
        <f>IF(U$4&lt;U410,U408,U409)</f>
        <v>39.440483902801446</v>
      </c>
      <c r="V411" s="220">
        <f>IF(V$4&lt;V410,V408,V409)</f>
        <v>90.647576683611092</v>
      </c>
      <c r="W411" s="220">
        <f>IF(W$4&lt;W410,W408,W409)</f>
        <v>136.9873645357365</v>
      </c>
    </row>
    <row r="413" spans="17:23" ht="14.4" x14ac:dyDescent="0.3">
      <c r="Q413" s="211" t="s">
        <v>50</v>
      </c>
      <c r="R413" s="219"/>
      <c r="T413" s="220">
        <f>T411</f>
        <v>12.91938248122084</v>
      </c>
      <c r="U413" s="220">
        <f>U411</f>
        <v>39.440483902801446</v>
      </c>
      <c r="V413" s="220">
        <f>V411</f>
        <v>90.647576683611092</v>
      </c>
      <c r="W413" s="220">
        <f>W411</f>
        <v>136.9873645357365</v>
      </c>
    </row>
    <row r="414" spans="17:23" x14ac:dyDescent="0.25">
      <c r="Q414" s="211" t="s">
        <v>52</v>
      </c>
      <c r="R414" s="209">
        <v>15</v>
      </c>
      <c r="T414" s="220">
        <f>1/(SQRT(1+(SIGMA_ZETA/N_2)*(T413/d^2)^2))</f>
        <v>0.99902465887476266</v>
      </c>
      <c r="U414" s="220">
        <f>1/(SQRT(1+(SIGMA_ZETA/N_2)*(U413/d^2)^2))</f>
        <v>0.99101926336592272</v>
      </c>
      <c r="V414" s="220">
        <f>1/(SQRT(1+(SIGMA_ZETA/N_2)*(V413/d^2)^2))</f>
        <v>0.95512571470487728</v>
      </c>
      <c r="W414" s="220">
        <f>1/(SQRT(1+(SIGMA_ZETA/N_2)*(W413/d^2)^2))</f>
        <v>0.9054932551467747</v>
      </c>
    </row>
    <row r="415" spans="17:23" x14ac:dyDescent="0.25">
      <c r="Q415" s="211" t="s">
        <v>54</v>
      </c>
      <c r="R415" s="221">
        <v>22</v>
      </c>
      <c r="T415" s="220">
        <f>(x_T/T414^2)/(1+(x_T*SIGMA_ZETA_1/N_5)*(T413/d^2)^2)</f>
        <v>0.6402212470060592</v>
      </c>
      <c r="U415" s="220">
        <f>(E$9/U414^2)/(1+(E$9*SIGMA_ZETA_1/N_5)*(U413/d^2)^2)</f>
        <v>0.62529707078029195</v>
      </c>
      <c r="V415" s="220">
        <f>(F$9/V414^2)/(1+(F$9*SIGMA_ZETA_1/N_5)*(V413/d^2)^2)</f>
        <v>0.56879518297355325</v>
      </c>
      <c r="W415" s="220">
        <f>(G$9/W414^2)/(1+(G$9*SIGMA_ZETA_1/N_5)*(W413/d^2)^2)</f>
        <v>0.48669680663327008</v>
      </c>
    </row>
    <row r="416" spans="17:23" x14ac:dyDescent="0.25">
      <c r="Q416" s="211" t="s">
        <v>21</v>
      </c>
      <c r="R416" s="209">
        <v>12</v>
      </c>
      <c r="S416" s="211"/>
      <c r="T416" s="220">
        <f>1-(x/(3*F_GAMMA*T415))</f>
        <v>0.82644888523973103</v>
      </c>
      <c r="U416" s="220">
        <f>1-(U$4/(3*F_GAMMA*U415))</f>
        <v>0.82792227238878624</v>
      </c>
      <c r="V416" s="220">
        <f>1-(V$4/(3*F_GAMMA*V415))</f>
        <v>0.83406204884769286</v>
      </c>
      <c r="W416" s="220">
        <f>1-(W$4/(3*F_GAMMA*W415))</f>
        <v>0.82877772732927402</v>
      </c>
    </row>
    <row r="417" spans="17:23" x14ac:dyDescent="0.25">
      <c r="Q417" s="211" t="s">
        <v>57</v>
      </c>
      <c r="R417" s="221">
        <v>7</v>
      </c>
      <c r="T417" s="220">
        <f>(Q/(N_9*T414*P_1*T416))*SQRT(M*T_abs*Z/x)</f>
        <v>12.91938248122084</v>
      </c>
      <c r="U417" s="220">
        <f>(E$2/(N_9*U414*E$3*U416))*SQRT(M*U$6*E$8/U$4)</f>
        <v>39.440483902801446</v>
      </c>
      <c r="V417" s="220">
        <f>(F$2/(N_9*V414*F$3*V416))*SQRT(M*V$6*F$8/V$4)</f>
        <v>90.647576683611092</v>
      </c>
      <c r="W417" s="220">
        <f>(G$2/(N_9*W414*G$3*W416))*SQRT(M*W$6*G$8/W$4)</f>
        <v>136.9873645357365</v>
      </c>
    </row>
    <row r="418" spans="17:23" x14ac:dyDescent="0.25">
      <c r="Q418" s="211" t="s">
        <v>59</v>
      </c>
      <c r="R418" s="221">
        <v>7</v>
      </c>
      <c r="T418" s="220">
        <f>(Q/(0.667*N_9*T414*P_1))*SQRT(M*T_abs*Z/(T419))</f>
        <v>11.55064539614397</v>
      </c>
      <c r="U418" s="220">
        <f>(E$2/(0.667*N_9*U414*E$3))*SQRT(M*U$6*E$8/(U419))</f>
        <v>35.174580389549035</v>
      </c>
      <c r="V418" s="220">
        <f>(F$2/(0.667*N_9*V414*F$3))*SQRT(M*V$6*F$8/(V419))</f>
        <v>79.976466841065104</v>
      </c>
      <c r="W418" s="220">
        <f>(G$2/(0.667*N_9*W414*G$3))*SQRT(M*W$6*G$8/(W419))</f>
        <v>121.99260460384164</v>
      </c>
    </row>
    <row r="419" spans="17:23" ht="15.6" x14ac:dyDescent="0.35">
      <c r="Q419" s="211" t="s">
        <v>84</v>
      </c>
      <c r="R419" s="221">
        <v>10</v>
      </c>
      <c r="T419" s="220">
        <f>F_GAMMA*T415</f>
        <v>0.6402212470060592</v>
      </c>
      <c r="U419" s="220">
        <f>F_GAMMA*U415</f>
        <v>0.62529707078029195</v>
      </c>
      <c r="V419" s="220">
        <f>F_GAMMA*V415</f>
        <v>0.56879518297355325</v>
      </c>
      <c r="W419" s="220">
        <f>F_GAMMA*W415</f>
        <v>0.48669680663327008</v>
      </c>
    </row>
    <row r="420" spans="17:23" x14ac:dyDescent="0.25">
      <c r="Q420" s="211" t="s">
        <v>30</v>
      </c>
      <c r="R420" s="224"/>
      <c r="T420" s="220">
        <f>IF(x&lt;T419,T417,T418)</f>
        <v>12.91938248122084</v>
      </c>
      <c r="U420" s="220">
        <f>IF(U$4&lt;U419,U417,U418)</f>
        <v>39.440483902801446</v>
      </c>
      <c r="V420" s="220">
        <f>IF(V$4&lt;V419,V417,V418)</f>
        <v>90.647576683611092</v>
      </c>
      <c r="W420" s="220">
        <f>IF(W$4&lt;W419,W417,W418)</f>
        <v>136.9873645357365</v>
      </c>
    </row>
    <row r="422" spans="17:23" ht="14.4" x14ac:dyDescent="0.3">
      <c r="Q422" s="211" t="s">
        <v>50</v>
      </c>
      <c r="R422" s="219"/>
      <c r="T422" s="220">
        <f>T420</f>
        <v>12.91938248122084</v>
      </c>
      <c r="U422" s="220">
        <f>U420</f>
        <v>39.440483902801446</v>
      </c>
      <c r="V422" s="220">
        <f>V420</f>
        <v>90.647576683611092</v>
      </c>
      <c r="W422" s="220">
        <f>W420</f>
        <v>136.9873645357365</v>
      </c>
    </row>
    <row r="423" spans="17:23" x14ac:dyDescent="0.25">
      <c r="Q423" s="211" t="s">
        <v>52</v>
      </c>
      <c r="R423" s="209">
        <v>15</v>
      </c>
      <c r="T423" s="220">
        <f>1/(SQRT(1+(SIGMA_ZETA/N_2)*(T422/d^2)^2))</f>
        <v>0.99902465887476266</v>
      </c>
      <c r="U423" s="220">
        <f>1/(SQRT(1+(SIGMA_ZETA/N_2)*(U422/d^2)^2))</f>
        <v>0.99101926336592272</v>
      </c>
      <c r="V423" s="220">
        <f>1/(SQRT(1+(SIGMA_ZETA/N_2)*(V422/d^2)^2))</f>
        <v>0.95512571470487728</v>
      </c>
      <c r="W423" s="220">
        <f>1/(SQRT(1+(SIGMA_ZETA/N_2)*(W422/d^2)^2))</f>
        <v>0.9054932551467747</v>
      </c>
    </row>
    <row r="424" spans="17:23" x14ac:dyDescent="0.25">
      <c r="Q424" s="211" t="s">
        <v>54</v>
      </c>
      <c r="R424" s="221">
        <v>22</v>
      </c>
      <c r="T424" s="220">
        <f>(x_T/T423^2)/(1+(x_T*SIGMA_ZETA_1/N_5)*(T422/d^2)^2)</f>
        <v>0.6402212470060592</v>
      </c>
      <c r="U424" s="220">
        <f>(E$9/U423^2)/(1+(E$9*SIGMA_ZETA_1/N_5)*(U422/d^2)^2)</f>
        <v>0.62529707078029195</v>
      </c>
      <c r="V424" s="220">
        <f>(F$9/V423^2)/(1+(F$9*SIGMA_ZETA_1/N_5)*(V422/d^2)^2)</f>
        <v>0.56879518297355325</v>
      </c>
      <c r="W424" s="220">
        <f>(G$9/W423^2)/(1+(G$9*SIGMA_ZETA_1/N_5)*(W422/d^2)^2)</f>
        <v>0.48669680663327008</v>
      </c>
    </row>
    <row r="425" spans="17:23" x14ac:dyDescent="0.25">
      <c r="Q425" s="211" t="s">
        <v>21</v>
      </c>
      <c r="R425" s="209">
        <v>12</v>
      </c>
      <c r="S425" s="211"/>
      <c r="T425" s="220">
        <f>1-(x/(3*F_GAMMA*T424))</f>
        <v>0.82644888523973103</v>
      </c>
      <c r="U425" s="220">
        <f>1-(U$4/(3*F_GAMMA*U424))</f>
        <v>0.82792227238878624</v>
      </c>
      <c r="V425" s="220">
        <f>1-(V$4/(3*F_GAMMA*V424))</f>
        <v>0.83406204884769286</v>
      </c>
      <c r="W425" s="220">
        <f>1-(W$4/(3*F_GAMMA*W424))</f>
        <v>0.82877772732927402</v>
      </c>
    </row>
    <row r="426" spans="17:23" x14ac:dyDescent="0.25">
      <c r="Q426" s="211" t="s">
        <v>57</v>
      </c>
      <c r="R426" s="221">
        <v>7</v>
      </c>
      <c r="T426" s="220">
        <f>(Q/(N_9*T423*P_1*T425))*SQRT(M*T_abs*Z/x)</f>
        <v>12.91938248122084</v>
      </c>
      <c r="U426" s="220">
        <f>(E$2/(N_9*U423*E$3*U425))*SQRT(M*U$6*E$8/U$4)</f>
        <v>39.440483902801446</v>
      </c>
      <c r="V426" s="220">
        <f>(F$2/(N_9*V423*F$3*V425))*SQRT(M*V$6*F$8/V$4)</f>
        <v>90.647576683611092</v>
      </c>
      <c r="W426" s="220">
        <f>(G$2/(N_9*W423*G$3*W425))*SQRT(M*W$6*G$8/W$4)</f>
        <v>136.9873645357365</v>
      </c>
    </row>
    <row r="427" spans="17:23" x14ac:dyDescent="0.25">
      <c r="Q427" s="211" t="s">
        <v>59</v>
      </c>
      <c r="R427" s="221">
        <v>7</v>
      </c>
      <c r="T427" s="220">
        <f>(Q/(0.667*N_9*T423*P_1))*SQRT(M*T_abs*Z/(T428))</f>
        <v>11.55064539614397</v>
      </c>
      <c r="U427" s="220">
        <f>(E$2/(0.667*N_9*U423*E$3))*SQRT(M*U$6*E$8/(U428))</f>
        <v>35.174580389549035</v>
      </c>
      <c r="V427" s="220">
        <f>(F$2/(0.667*N_9*V423*F$3))*SQRT(M*V$6*F$8/(V428))</f>
        <v>79.976466841065104</v>
      </c>
      <c r="W427" s="220">
        <f>(G$2/(0.667*N_9*W423*G$3))*SQRT(M*W$6*G$8/(W428))</f>
        <v>121.99260460384164</v>
      </c>
    </row>
    <row r="428" spans="17:23" ht="15.6" x14ac:dyDescent="0.35">
      <c r="Q428" s="211" t="s">
        <v>84</v>
      </c>
      <c r="R428" s="221">
        <v>10</v>
      </c>
      <c r="T428" s="220">
        <f>F_GAMMA*T424</f>
        <v>0.6402212470060592</v>
      </c>
      <c r="U428" s="220">
        <f>F_GAMMA*U424</f>
        <v>0.62529707078029195</v>
      </c>
      <c r="V428" s="220">
        <f>F_GAMMA*V424</f>
        <v>0.56879518297355325</v>
      </c>
      <c r="W428" s="220">
        <f>F_GAMMA*W424</f>
        <v>0.48669680663327008</v>
      </c>
    </row>
    <row r="429" spans="17:23" x14ac:dyDescent="0.25">
      <c r="Q429" s="211" t="s">
        <v>30</v>
      </c>
      <c r="R429" s="224"/>
      <c r="T429" s="220">
        <f>IF(x&lt;T428,T426,T427)</f>
        <v>12.91938248122084</v>
      </c>
      <c r="U429" s="220">
        <f>IF(U$4&lt;U428,U426,U427)</f>
        <v>39.440483902801446</v>
      </c>
      <c r="V429" s="220">
        <f>IF(V$4&lt;V428,V426,V427)</f>
        <v>90.647576683611092</v>
      </c>
      <c r="W429" s="220">
        <f>IF(W$4&lt;W428,W426,W427)</f>
        <v>136.9873645357365</v>
      </c>
    </row>
    <row r="431" spans="17:23" ht="14.4" x14ac:dyDescent="0.3">
      <c r="Q431" s="211" t="s">
        <v>50</v>
      </c>
      <c r="R431" s="219"/>
      <c r="T431" s="220">
        <f>T429</f>
        <v>12.91938248122084</v>
      </c>
      <c r="U431" s="220">
        <f>U429</f>
        <v>39.440483902801446</v>
      </c>
      <c r="V431" s="220">
        <f>V429</f>
        <v>90.647576683611092</v>
      </c>
      <c r="W431" s="220">
        <f>W429</f>
        <v>136.9873645357365</v>
      </c>
    </row>
    <row r="432" spans="17:23" x14ac:dyDescent="0.25">
      <c r="Q432" s="211" t="s">
        <v>52</v>
      </c>
      <c r="R432" s="209">
        <v>15</v>
      </c>
      <c r="T432" s="220">
        <f>1/(SQRT(1+(SIGMA_ZETA/N_2)*(T431/d^2)^2))</f>
        <v>0.99902465887476266</v>
      </c>
      <c r="U432" s="220">
        <f>1/(SQRT(1+(SIGMA_ZETA/N_2)*(U431/d^2)^2))</f>
        <v>0.99101926336592272</v>
      </c>
      <c r="V432" s="220">
        <f>1/(SQRT(1+(SIGMA_ZETA/N_2)*(V431/d^2)^2))</f>
        <v>0.95512571470487728</v>
      </c>
      <c r="W432" s="220">
        <f>1/(SQRT(1+(SIGMA_ZETA/N_2)*(W431/d^2)^2))</f>
        <v>0.9054932551467747</v>
      </c>
    </row>
    <row r="433" spans="17:23" x14ac:dyDescent="0.25">
      <c r="Q433" s="211" t="s">
        <v>54</v>
      </c>
      <c r="R433" s="221">
        <v>22</v>
      </c>
      <c r="T433" s="220">
        <f>(x_T/T432^2)/(1+(x_T*SIGMA_ZETA_1/N_5)*(T431/d^2)^2)</f>
        <v>0.6402212470060592</v>
      </c>
      <c r="U433" s="220">
        <f>(E$9/U432^2)/(1+(E$9*SIGMA_ZETA_1/N_5)*(U431/d^2)^2)</f>
        <v>0.62529707078029195</v>
      </c>
      <c r="V433" s="220">
        <f>(F$9/V432^2)/(1+(F$9*SIGMA_ZETA_1/N_5)*(V431/d^2)^2)</f>
        <v>0.56879518297355325</v>
      </c>
      <c r="W433" s="220">
        <f>(G$9/W432^2)/(1+(G$9*SIGMA_ZETA_1/N_5)*(W431/d^2)^2)</f>
        <v>0.48669680663327008</v>
      </c>
    </row>
    <row r="434" spans="17:23" x14ac:dyDescent="0.25">
      <c r="Q434" s="211" t="s">
        <v>21</v>
      </c>
      <c r="R434" s="209">
        <v>12</v>
      </c>
      <c r="S434" s="211"/>
      <c r="T434" s="220">
        <f>1-(x/(3*F_GAMMA*T433))</f>
        <v>0.82644888523973103</v>
      </c>
      <c r="U434" s="220">
        <f>1-(U$4/(3*F_GAMMA*U433))</f>
        <v>0.82792227238878624</v>
      </c>
      <c r="V434" s="220">
        <f>1-(V$4/(3*F_GAMMA*V433))</f>
        <v>0.83406204884769286</v>
      </c>
      <c r="W434" s="220">
        <f>1-(W$4/(3*F_GAMMA*W433))</f>
        <v>0.82877772732927402</v>
      </c>
    </row>
    <row r="435" spans="17:23" x14ac:dyDescent="0.25">
      <c r="Q435" s="211" t="s">
        <v>57</v>
      </c>
      <c r="R435" s="221">
        <v>7</v>
      </c>
      <c r="T435" s="220">
        <f>(Q/(N_9*T432*P_1*T434))*SQRT(M*T_abs*Z/x)</f>
        <v>12.91938248122084</v>
      </c>
      <c r="U435" s="220">
        <f>(E$2/(N_9*U432*E$3*U434))*SQRT(M*U$6*E$8/U$4)</f>
        <v>39.440483902801446</v>
      </c>
      <c r="V435" s="220">
        <f>(F$2/(N_9*V432*F$3*V434))*SQRT(M*V$6*F$8/V$4)</f>
        <v>90.647576683611092</v>
      </c>
      <c r="W435" s="220">
        <f>(G$2/(N_9*W432*G$3*W434))*SQRT(M*W$6*G$8/W$4)</f>
        <v>136.9873645357365</v>
      </c>
    </row>
    <row r="436" spans="17:23" x14ac:dyDescent="0.25">
      <c r="Q436" s="211" t="s">
        <v>59</v>
      </c>
      <c r="R436" s="221">
        <v>7</v>
      </c>
      <c r="T436" s="220">
        <f>(Q/(0.667*N_9*T432*P_1))*SQRT(M*T_abs*Z/(T437))</f>
        <v>11.55064539614397</v>
      </c>
      <c r="U436" s="220">
        <f>(E$2/(0.667*N_9*U432*E$3))*SQRT(M*U$6*E$8/(U437))</f>
        <v>35.174580389549035</v>
      </c>
      <c r="V436" s="220">
        <f>(F$2/(0.667*N_9*V432*F$3))*SQRT(M*V$6*F$8/(V437))</f>
        <v>79.976466841065104</v>
      </c>
      <c r="W436" s="220">
        <f>(G$2/(0.667*N_9*W432*G$3))*SQRT(M*W$6*G$8/(W437))</f>
        <v>121.99260460384164</v>
      </c>
    </row>
    <row r="437" spans="17:23" ht="15.6" x14ac:dyDescent="0.35">
      <c r="Q437" s="211" t="s">
        <v>84</v>
      </c>
      <c r="R437" s="221">
        <v>10</v>
      </c>
      <c r="T437" s="220">
        <f>F_GAMMA*T433</f>
        <v>0.6402212470060592</v>
      </c>
      <c r="U437" s="220">
        <f>F_GAMMA*U433</f>
        <v>0.62529707078029195</v>
      </c>
      <c r="V437" s="220">
        <f>F_GAMMA*V433</f>
        <v>0.56879518297355325</v>
      </c>
      <c r="W437" s="220">
        <f>F_GAMMA*W433</f>
        <v>0.48669680663327008</v>
      </c>
    </row>
    <row r="438" spans="17:23" x14ac:dyDescent="0.25">
      <c r="Q438" s="211" t="s">
        <v>30</v>
      </c>
      <c r="R438" s="224"/>
      <c r="T438" s="220">
        <f>IF(x&lt;T437,T435,T436)</f>
        <v>12.91938248122084</v>
      </c>
      <c r="U438" s="220">
        <f>IF(U$4&lt;U437,U435,U436)</f>
        <v>39.440483902801446</v>
      </c>
      <c r="V438" s="220">
        <f>IF(V$4&lt;V437,V435,V436)</f>
        <v>90.647576683611092</v>
      </c>
      <c r="W438" s="220">
        <f>IF(W$4&lt;W437,W435,W436)</f>
        <v>136.9873645357365</v>
      </c>
    </row>
    <row r="440" spans="17:23" ht="14.4" x14ac:dyDescent="0.3">
      <c r="Q440" s="211" t="s">
        <v>50</v>
      </c>
      <c r="R440" s="219"/>
      <c r="T440" s="220">
        <f>T438</f>
        <v>12.91938248122084</v>
      </c>
      <c r="U440" s="220">
        <f>U438</f>
        <v>39.440483902801446</v>
      </c>
      <c r="V440" s="220">
        <f>V438</f>
        <v>90.647576683611092</v>
      </c>
      <c r="W440" s="220">
        <f>W438</f>
        <v>136.9873645357365</v>
      </c>
    </row>
    <row r="441" spans="17:23" x14ac:dyDescent="0.25">
      <c r="Q441" s="211" t="s">
        <v>52</v>
      </c>
      <c r="R441" s="209">
        <v>15</v>
      </c>
      <c r="T441" s="220">
        <f>1/(SQRT(1+(SIGMA_ZETA/N_2)*(T440/d^2)^2))</f>
        <v>0.99902465887476266</v>
      </c>
      <c r="U441" s="220">
        <f>1/(SQRT(1+(SIGMA_ZETA/N_2)*(U440/d^2)^2))</f>
        <v>0.99101926336592272</v>
      </c>
      <c r="V441" s="220">
        <f>1/(SQRT(1+(SIGMA_ZETA/N_2)*(V440/d^2)^2))</f>
        <v>0.95512571470487728</v>
      </c>
      <c r="W441" s="220">
        <f>1/(SQRT(1+(SIGMA_ZETA/N_2)*(W440/d^2)^2))</f>
        <v>0.9054932551467747</v>
      </c>
    </row>
    <row r="442" spans="17:23" x14ac:dyDescent="0.25">
      <c r="Q442" s="211" t="s">
        <v>54</v>
      </c>
      <c r="R442" s="221">
        <v>22</v>
      </c>
      <c r="T442" s="220">
        <f>(x_T/T441^2)/(1+(x_T*SIGMA_ZETA_1/N_5)*(T440/d^2)^2)</f>
        <v>0.6402212470060592</v>
      </c>
      <c r="U442" s="220">
        <f>(E$9/U441^2)/(1+(E$9*SIGMA_ZETA_1/N_5)*(U440/d^2)^2)</f>
        <v>0.62529707078029195</v>
      </c>
      <c r="V442" s="220">
        <f>(F$9/V441^2)/(1+(F$9*SIGMA_ZETA_1/N_5)*(V440/d^2)^2)</f>
        <v>0.56879518297355325</v>
      </c>
      <c r="W442" s="220">
        <f>(G$9/W441^2)/(1+(G$9*SIGMA_ZETA_1/N_5)*(W440/d^2)^2)</f>
        <v>0.48669680663327008</v>
      </c>
    </row>
    <row r="443" spans="17:23" x14ac:dyDescent="0.25">
      <c r="Q443" s="211" t="s">
        <v>21</v>
      </c>
      <c r="R443" s="209">
        <v>12</v>
      </c>
      <c r="S443" s="211"/>
      <c r="T443" s="220">
        <f>1-(x/(3*F_GAMMA*T442))</f>
        <v>0.82644888523973103</v>
      </c>
      <c r="U443" s="220">
        <f>1-(U$4/(3*F_GAMMA*U442))</f>
        <v>0.82792227238878624</v>
      </c>
      <c r="V443" s="220">
        <f>1-(V$4/(3*F_GAMMA*V442))</f>
        <v>0.83406204884769286</v>
      </c>
      <c r="W443" s="220">
        <f>1-(W$4/(3*F_GAMMA*W442))</f>
        <v>0.82877772732927402</v>
      </c>
    </row>
    <row r="444" spans="17:23" x14ac:dyDescent="0.25">
      <c r="Q444" s="211" t="s">
        <v>57</v>
      </c>
      <c r="R444" s="221">
        <v>7</v>
      </c>
      <c r="T444" s="220">
        <f>(Q/(N_9*T441*P_1*T443))*SQRT(M*T_abs*Z/x)</f>
        <v>12.91938248122084</v>
      </c>
      <c r="U444" s="220">
        <f>(E$2/(N_9*U441*E$3*U443))*SQRT(M*U$6*E$8/U$4)</f>
        <v>39.440483902801446</v>
      </c>
      <c r="V444" s="220">
        <f>(F$2/(N_9*V441*F$3*V443))*SQRT(M*V$6*F$8/V$4)</f>
        <v>90.647576683611092</v>
      </c>
      <c r="W444" s="220">
        <f>(G$2/(N_9*W441*G$3*W443))*SQRT(M*W$6*G$8/W$4)</f>
        <v>136.9873645357365</v>
      </c>
    </row>
    <row r="445" spans="17:23" x14ac:dyDescent="0.25">
      <c r="Q445" s="211" t="s">
        <v>59</v>
      </c>
      <c r="R445" s="221">
        <v>7</v>
      </c>
      <c r="T445" s="220">
        <f>(Q/(0.667*N_9*T441*P_1))*SQRT(M*T_abs*Z/(T446))</f>
        <v>11.55064539614397</v>
      </c>
      <c r="U445" s="220">
        <f>(E$2/(0.667*N_9*U441*E$3))*SQRT(M*U$6*E$8/(U446))</f>
        <v>35.174580389549035</v>
      </c>
      <c r="V445" s="220">
        <f>(F$2/(0.667*N_9*V441*F$3))*SQRT(M*V$6*F$8/(V446))</f>
        <v>79.976466841065104</v>
      </c>
      <c r="W445" s="220">
        <f>(G$2/(0.667*N_9*W441*G$3))*SQRT(M*W$6*G$8/(W446))</f>
        <v>121.99260460384164</v>
      </c>
    </row>
    <row r="446" spans="17:23" ht="15.6" x14ac:dyDescent="0.35">
      <c r="Q446" s="211" t="s">
        <v>84</v>
      </c>
      <c r="R446" s="221">
        <v>10</v>
      </c>
      <c r="T446" s="220">
        <f>F_GAMMA*T442</f>
        <v>0.6402212470060592</v>
      </c>
      <c r="U446" s="220">
        <f>F_GAMMA*U442</f>
        <v>0.62529707078029195</v>
      </c>
      <c r="V446" s="220">
        <f>F_GAMMA*V442</f>
        <v>0.56879518297355325</v>
      </c>
      <c r="W446" s="220">
        <f>F_GAMMA*W442</f>
        <v>0.48669680663327008</v>
      </c>
    </row>
    <row r="447" spans="17:23" x14ac:dyDescent="0.25">
      <c r="Q447" s="211" t="s">
        <v>30</v>
      </c>
      <c r="R447" s="224"/>
      <c r="T447" s="220">
        <f>IF(x&lt;T446,T444,T445)</f>
        <v>12.91938248122084</v>
      </c>
      <c r="U447" s="220">
        <f>IF(U$4&lt;U446,U444,U445)</f>
        <v>39.440483902801446</v>
      </c>
      <c r="V447" s="220">
        <f>IF(V$4&lt;V446,V444,V445)</f>
        <v>90.647576683611092</v>
      </c>
      <c r="W447" s="220">
        <f>IF(W$4&lt;W446,W444,W445)</f>
        <v>136.9873645357365</v>
      </c>
    </row>
    <row r="449" spans="17:23" ht="14.4" x14ac:dyDescent="0.3">
      <c r="Q449" s="211" t="s">
        <v>50</v>
      </c>
      <c r="R449" s="219"/>
      <c r="T449" s="220">
        <f>T447</f>
        <v>12.91938248122084</v>
      </c>
      <c r="U449" s="220">
        <f>U447</f>
        <v>39.440483902801446</v>
      </c>
      <c r="V449" s="220">
        <f>V447</f>
        <v>90.647576683611092</v>
      </c>
      <c r="W449" s="220">
        <f>W447</f>
        <v>136.9873645357365</v>
      </c>
    </row>
    <row r="450" spans="17:23" x14ac:dyDescent="0.25">
      <c r="Q450" s="211" t="s">
        <v>52</v>
      </c>
      <c r="R450" s="209">
        <v>15</v>
      </c>
      <c r="T450" s="220">
        <f>1/(SQRT(1+(SIGMA_ZETA/N_2)*(T449/d^2)^2))</f>
        <v>0.99902465887476266</v>
      </c>
      <c r="U450" s="220">
        <f>1/(SQRT(1+(SIGMA_ZETA/N_2)*(U449/d^2)^2))</f>
        <v>0.99101926336592272</v>
      </c>
      <c r="V450" s="220">
        <f>1/(SQRT(1+(SIGMA_ZETA/N_2)*(V449/d^2)^2))</f>
        <v>0.95512571470487728</v>
      </c>
      <c r="W450" s="220">
        <f>1/(SQRT(1+(SIGMA_ZETA/N_2)*(W449/d^2)^2))</f>
        <v>0.9054932551467747</v>
      </c>
    </row>
    <row r="451" spans="17:23" x14ac:dyDescent="0.25">
      <c r="Q451" s="211" t="s">
        <v>54</v>
      </c>
      <c r="R451" s="221">
        <v>22</v>
      </c>
      <c r="T451" s="220">
        <f>(x_T/T450^2)/(1+(x_T*SIGMA_ZETA_1/N_5)*(T449/d^2)^2)</f>
        <v>0.6402212470060592</v>
      </c>
      <c r="U451" s="220">
        <f>(E$9/U450^2)/(1+(E$9*SIGMA_ZETA_1/N_5)*(U449/d^2)^2)</f>
        <v>0.62529707078029195</v>
      </c>
      <c r="V451" s="220">
        <f>(F$9/V450^2)/(1+(F$9*SIGMA_ZETA_1/N_5)*(V449/d^2)^2)</f>
        <v>0.56879518297355325</v>
      </c>
      <c r="W451" s="220">
        <f>(G$9/W450^2)/(1+(G$9*SIGMA_ZETA_1/N_5)*(W449/d^2)^2)</f>
        <v>0.48669680663327008</v>
      </c>
    </row>
    <row r="452" spans="17:23" x14ac:dyDescent="0.25">
      <c r="Q452" s="211" t="s">
        <v>21</v>
      </c>
      <c r="R452" s="209">
        <v>12</v>
      </c>
      <c r="S452" s="211"/>
      <c r="T452" s="220">
        <f>1-(x/(3*F_GAMMA*T451))</f>
        <v>0.82644888523973103</v>
      </c>
      <c r="U452" s="220">
        <f>1-(U$4/(3*F_GAMMA*U451))</f>
        <v>0.82792227238878624</v>
      </c>
      <c r="V452" s="220">
        <f>1-(V$4/(3*F_GAMMA*V451))</f>
        <v>0.83406204884769286</v>
      </c>
      <c r="W452" s="220">
        <f>1-(W$4/(3*F_GAMMA*W451))</f>
        <v>0.82877772732927402</v>
      </c>
    </row>
    <row r="453" spans="17:23" x14ac:dyDescent="0.25">
      <c r="Q453" s="211" t="s">
        <v>57</v>
      </c>
      <c r="R453" s="221">
        <v>7</v>
      </c>
      <c r="T453" s="220">
        <f>(Q/(N_9*T450*P_1*T452))*SQRT(M*T_abs*Z/x)</f>
        <v>12.91938248122084</v>
      </c>
      <c r="U453" s="220">
        <f>(E$2/(N_9*U450*E$3*U452))*SQRT(M*U$6*E$8/U$4)</f>
        <v>39.440483902801446</v>
      </c>
      <c r="V453" s="220">
        <f>(F$2/(N_9*V450*F$3*V452))*SQRT(M*V$6*F$8/V$4)</f>
        <v>90.647576683611092</v>
      </c>
      <c r="W453" s="220">
        <f>(G$2/(N_9*W450*G$3*W452))*SQRT(M*W$6*G$8/W$4)</f>
        <v>136.9873645357365</v>
      </c>
    </row>
    <row r="454" spans="17:23" x14ac:dyDescent="0.25">
      <c r="Q454" s="211" t="s">
        <v>59</v>
      </c>
      <c r="R454" s="221">
        <v>7</v>
      </c>
      <c r="T454" s="220">
        <f>(Q/(0.667*N_9*T450*P_1))*SQRT(M*T_abs*Z/(T455))</f>
        <v>11.55064539614397</v>
      </c>
      <c r="U454" s="220">
        <f>(E$2/(0.667*N_9*U450*E$3))*SQRT(M*U$6*E$8/(U455))</f>
        <v>35.174580389549035</v>
      </c>
      <c r="V454" s="220">
        <f>(F$2/(0.667*N_9*V450*F$3))*SQRT(M*V$6*F$8/(V455))</f>
        <v>79.976466841065104</v>
      </c>
      <c r="W454" s="220">
        <f>(G$2/(0.667*N_9*W450*G$3))*SQRT(M*W$6*G$8/(W455))</f>
        <v>121.99260460384164</v>
      </c>
    </row>
    <row r="455" spans="17:23" ht="15.6" x14ac:dyDescent="0.35">
      <c r="Q455" s="211" t="s">
        <v>84</v>
      </c>
      <c r="R455" s="221">
        <v>10</v>
      </c>
      <c r="T455" s="220">
        <f>F_GAMMA*T451</f>
        <v>0.6402212470060592</v>
      </c>
      <c r="U455" s="220">
        <f>F_GAMMA*U451</f>
        <v>0.62529707078029195</v>
      </c>
      <c r="V455" s="220">
        <f>F_GAMMA*V451</f>
        <v>0.56879518297355325</v>
      </c>
      <c r="W455" s="220">
        <f>F_GAMMA*W451</f>
        <v>0.48669680663327008</v>
      </c>
    </row>
    <row r="456" spans="17:23" x14ac:dyDescent="0.25">
      <c r="Q456" s="211" t="s">
        <v>30</v>
      </c>
      <c r="R456" s="224"/>
      <c r="T456" s="220">
        <f>IF(x&lt;T455,T453,T454)</f>
        <v>12.91938248122084</v>
      </c>
      <c r="U456" s="220">
        <f>IF(U$4&lt;U455,U453,U454)</f>
        <v>39.440483902801446</v>
      </c>
      <c r="V456" s="220">
        <f>IF(V$4&lt;V455,V453,V454)</f>
        <v>90.647576683611092</v>
      </c>
      <c r="W456" s="220">
        <f>IF(W$4&lt;W455,W453,W454)</f>
        <v>136.9873645357365</v>
      </c>
    </row>
    <row r="458" spans="17:23" ht="14.4" x14ac:dyDescent="0.3">
      <c r="Q458" s="211" t="s">
        <v>50</v>
      </c>
      <c r="R458" s="219"/>
      <c r="T458" s="220">
        <f>T456</f>
        <v>12.91938248122084</v>
      </c>
      <c r="U458" s="220">
        <f>U456</f>
        <v>39.440483902801446</v>
      </c>
      <c r="V458" s="220">
        <f>V456</f>
        <v>90.647576683611092</v>
      </c>
      <c r="W458" s="220">
        <f>W456</f>
        <v>136.9873645357365</v>
      </c>
    </row>
    <row r="459" spans="17:23" x14ac:dyDescent="0.25">
      <c r="Q459" s="211" t="s">
        <v>52</v>
      </c>
      <c r="R459" s="209">
        <v>15</v>
      </c>
      <c r="T459" s="220">
        <f>1/(SQRT(1+(SIGMA_ZETA/N_2)*(T458/d^2)^2))</f>
        <v>0.99902465887476266</v>
      </c>
      <c r="U459" s="220">
        <f>1/(SQRT(1+(SIGMA_ZETA/N_2)*(U458/d^2)^2))</f>
        <v>0.99101926336592272</v>
      </c>
      <c r="V459" s="220">
        <f>1/(SQRT(1+(SIGMA_ZETA/N_2)*(V458/d^2)^2))</f>
        <v>0.95512571470487728</v>
      </c>
      <c r="W459" s="220">
        <f>1/(SQRT(1+(SIGMA_ZETA/N_2)*(W458/d^2)^2))</f>
        <v>0.9054932551467747</v>
      </c>
    </row>
    <row r="460" spans="17:23" x14ac:dyDescent="0.25">
      <c r="Q460" s="211" t="s">
        <v>54</v>
      </c>
      <c r="R460" s="221">
        <v>22</v>
      </c>
      <c r="T460" s="220">
        <f>(x_T/T459^2)/(1+(x_T*SIGMA_ZETA_1/N_5)*(T458/d^2)^2)</f>
        <v>0.6402212470060592</v>
      </c>
      <c r="U460" s="220">
        <f>(E$9/U459^2)/(1+(E$9*SIGMA_ZETA_1/N_5)*(U458/d^2)^2)</f>
        <v>0.62529707078029195</v>
      </c>
      <c r="V460" s="220">
        <f>(F$9/V459^2)/(1+(F$9*SIGMA_ZETA_1/N_5)*(V458/d^2)^2)</f>
        <v>0.56879518297355325</v>
      </c>
      <c r="W460" s="220">
        <f>(G$9/W459^2)/(1+(G$9*SIGMA_ZETA_1/N_5)*(W458/d^2)^2)</f>
        <v>0.48669680663327008</v>
      </c>
    </row>
    <row r="461" spans="17:23" x14ac:dyDescent="0.25">
      <c r="Q461" s="211" t="s">
        <v>21</v>
      </c>
      <c r="R461" s="209">
        <v>12</v>
      </c>
      <c r="S461" s="211"/>
      <c r="T461" s="220">
        <f>1-(x/(3*F_GAMMA*T460))</f>
        <v>0.82644888523973103</v>
      </c>
      <c r="U461" s="220">
        <f>1-(U$4/(3*F_GAMMA*U460))</f>
        <v>0.82792227238878624</v>
      </c>
      <c r="V461" s="220">
        <f>1-(V$4/(3*F_GAMMA*V460))</f>
        <v>0.83406204884769286</v>
      </c>
      <c r="W461" s="220">
        <f>1-(W$4/(3*F_GAMMA*W460))</f>
        <v>0.82877772732927402</v>
      </c>
    </row>
    <row r="462" spans="17:23" x14ac:dyDescent="0.25">
      <c r="Q462" s="211" t="s">
        <v>57</v>
      </c>
      <c r="R462" s="221">
        <v>7</v>
      </c>
      <c r="T462" s="220">
        <f>(Q/(N_9*T459*P_1*T461))*SQRT(M*T_abs*Z/x)</f>
        <v>12.91938248122084</v>
      </c>
      <c r="U462" s="220">
        <f>(E$2/(N_9*U459*E$3*U461))*SQRT(M*U$6*E$8/U$4)</f>
        <v>39.440483902801446</v>
      </c>
      <c r="V462" s="220">
        <f>(F$2/(N_9*V459*F$3*V461))*SQRT(M*V$6*F$8/V$4)</f>
        <v>90.647576683611092</v>
      </c>
      <c r="W462" s="220">
        <f>(G$2/(N_9*W459*G$3*W461))*SQRT(M*W$6*G$8/W$4)</f>
        <v>136.9873645357365</v>
      </c>
    </row>
    <row r="463" spans="17:23" x14ac:dyDescent="0.25">
      <c r="Q463" s="211" t="s">
        <v>59</v>
      </c>
      <c r="R463" s="221">
        <v>7</v>
      </c>
      <c r="T463" s="220">
        <f>(Q/(0.667*N_9*T459*P_1))*SQRT(M*T_abs*Z/(T464))</f>
        <v>11.55064539614397</v>
      </c>
      <c r="U463" s="220">
        <f>(E$2/(0.667*N_9*U459*E$3))*SQRT(M*U$6*E$8/(U464))</f>
        <v>35.174580389549035</v>
      </c>
      <c r="V463" s="220">
        <f>(F$2/(0.667*N_9*V459*F$3))*SQRT(M*V$6*F$8/(V464))</f>
        <v>79.976466841065104</v>
      </c>
      <c r="W463" s="220">
        <f>(G$2/(0.667*N_9*W459*G$3))*SQRT(M*W$6*G$8/(W464))</f>
        <v>121.99260460384164</v>
      </c>
    </row>
    <row r="464" spans="17:23" ht="15.6" x14ac:dyDescent="0.35">
      <c r="Q464" s="211" t="s">
        <v>84</v>
      </c>
      <c r="R464" s="221">
        <v>10</v>
      </c>
      <c r="T464" s="220">
        <f>F_GAMMA*T460</f>
        <v>0.6402212470060592</v>
      </c>
      <c r="U464" s="220">
        <f>F_GAMMA*U460</f>
        <v>0.62529707078029195</v>
      </c>
      <c r="V464" s="220">
        <f>F_GAMMA*V460</f>
        <v>0.56879518297355325</v>
      </c>
      <c r="W464" s="220">
        <f>F_GAMMA*W460</f>
        <v>0.48669680663327008</v>
      </c>
    </row>
    <row r="465" spans="17:23" x14ac:dyDescent="0.25">
      <c r="Q465" s="211" t="s">
        <v>30</v>
      </c>
      <c r="R465" s="224"/>
      <c r="T465" s="220">
        <f>IF(x&lt;T464,T462,T463)</f>
        <v>12.91938248122084</v>
      </c>
      <c r="U465" s="220">
        <f>IF(U$4&lt;U464,U462,U463)</f>
        <v>39.440483902801446</v>
      </c>
      <c r="V465" s="220">
        <f>IF(V$4&lt;V464,V462,V463)</f>
        <v>90.647576683611092</v>
      </c>
      <c r="W465" s="220">
        <f>IF(W$4&lt;W464,W462,W463)</f>
        <v>136.9873645357365</v>
      </c>
    </row>
    <row r="467" spans="17:23" ht="14.4" x14ac:dyDescent="0.3">
      <c r="Q467" s="211" t="s">
        <v>50</v>
      </c>
      <c r="R467" s="219"/>
      <c r="T467" s="220">
        <f>T465</f>
        <v>12.91938248122084</v>
      </c>
      <c r="U467" s="220">
        <f>U465</f>
        <v>39.440483902801446</v>
      </c>
      <c r="V467" s="220">
        <f>V465</f>
        <v>90.647576683611092</v>
      </c>
      <c r="W467" s="220">
        <f>W465</f>
        <v>136.9873645357365</v>
      </c>
    </row>
    <row r="468" spans="17:23" x14ac:dyDescent="0.25">
      <c r="Q468" s="211" t="s">
        <v>52</v>
      </c>
      <c r="R468" s="209">
        <v>15</v>
      </c>
      <c r="T468" s="220">
        <f>1/(SQRT(1+(SIGMA_ZETA/N_2)*(T467/d^2)^2))</f>
        <v>0.99902465887476266</v>
      </c>
      <c r="U468" s="220">
        <f>1/(SQRT(1+(SIGMA_ZETA/N_2)*(U467/d^2)^2))</f>
        <v>0.99101926336592272</v>
      </c>
      <c r="V468" s="220">
        <f>1/(SQRT(1+(SIGMA_ZETA/N_2)*(V467/d^2)^2))</f>
        <v>0.95512571470487728</v>
      </c>
      <c r="W468" s="220">
        <f>1/(SQRT(1+(SIGMA_ZETA/N_2)*(W467/d^2)^2))</f>
        <v>0.9054932551467747</v>
      </c>
    </row>
    <row r="469" spans="17:23" x14ac:dyDescent="0.25">
      <c r="Q469" s="211" t="s">
        <v>54</v>
      </c>
      <c r="R469" s="221">
        <v>22</v>
      </c>
      <c r="T469" s="220">
        <f>(x_T/T468^2)/(1+(x_T*SIGMA_ZETA_1/N_5)*(T467/d^2)^2)</f>
        <v>0.6402212470060592</v>
      </c>
      <c r="U469" s="220">
        <f>(E$9/U468^2)/(1+(E$9*SIGMA_ZETA_1/N_5)*(U467/d^2)^2)</f>
        <v>0.62529707078029195</v>
      </c>
      <c r="V469" s="220">
        <f>(F$9/V468^2)/(1+(F$9*SIGMA_ZETA_1/N_5)*(V467/d^2)^2)</f>
        <v>0.56879518297355325</v>
      </c>
      <c r="W469" s="220">
        <f>(G$9/W468^2)/(1+(G$9*SIGMA_ZETA_1/N_5)*(W467/d^2)^2)</f>
        <v>0.48669680663327008</v>
      </c>
    </row>
    <row r="470" spans="17:23" x14ac:dyDescent="0.25">
      <c r="Q470" s="211" t="s">
        <v>21</v>
      </c>
      <c r="R470" s="209">
        <v>12</v>
      </c>
      <c r="S470" s="211"/>
      <c r="T470" s="220">
        <f>1-(x/(3*F_GAMMA*T469))</f>
        <v>0.82644888523973103</v>
      </c>
      <c r="U470" s="220">
        <f>1-(U$4/(3*F_GAMMA*U469))</f>
        <v>0.82792227238878624</v>
      </c>
      <c r="V470" s="220">
        <f>1-(V$4/(3*F_GAMMA*V469))</f>
        <v>0.83406204884769286</v>
      </c>
      <c r="W470" s="220">
        <f>1-(W$4/(3*F_GAMMA*W469))</f>
        <v>0.82877772732927402</v>
      </c>
    </row>
    <row r="471" spans="17:23" x14ac:dyDescent="0.25">
      <c r="Q471" s="211" t="s">
        <v>57</v>
      </c>
      <c r="R471" s="221">
        <v>7</v>
      </c>
      <c r="T471" s="220">
        <f>(Q/(N_9*T468*P_1*T470))*SQRT(M*T_abs*Z/x)</f>
        <v>12.91938248122084</v>
      </c>
      <c r="U471" s="220">
        <f>(E$2/(N_9*U468*E$3*U470))*SQRT(M*U$6*E$8/U$4)</f>
        <v>39.440483902801446</v>
      </c>
      <c r="V471" s="220">
        <f>(F$2/(N_9*V468*F$3*V470))*SQRT(M*V$6*F$8/V$4)</f>
        <v>90.647576683611092</v>
      </c>
      <c r="W471" s="220">
        <f>(G$2/(N_9*W468*G$3*W470))*SQRT(M*W$6*G$8/W$4)</f>
        <v>136.9873645357365</v>
      </c>
    </row>
    <row r="472" spans="17:23" x14ac:dyDescent="0.25">
      <c r="Q472" s="211" t="s">
        <v>59</v>
      </c>
      <c r="R472" s="221">
        <v>7</v>
      </c>
      <c r="T472" s="220">
        <f>(Q/(0.667*N_9*T468*P_1))*SQRT(M*T_abs*Z/(T473))</f>
        <v>11.55064539614397</v>
      </c>
      <c r="U472" s="220">
        <f>(E$2/(0.667*N_9*U468*E$3))*SQRT(M*U$6*E$8/(U473))</f>
        <v>35.174580389549035</v>
      </c>
      <c r="V472" s="220">
        <f>(F$2/(0.667*N_9*V468*F$3))*SQRT(M*V$6*F$8/(V473))</f>
        <v>79.976466841065104</v>
      </c>
      <c r="W472" s="220">
        <f>(G$2/(0.667*N_9*W468*G$3))*SQRT(M*W$6*G$8/(W473))</f>
        <v>121.99260460384164</v>
      </c>
    </row>
    <row r="473" spans="17:23" ht="15.6" x14ac:dyDescent="0.35">
      <c r="Q473" s="211" t="s">
        <v>84</v>
      </c>
      <c r="R473" s="221">
        <v>10</v>
      </c>
      <c r="T473" s="220">
        <f>F_GAMMA*T469</f>
        <v>0.6402212470060592</v>
      </c>
      <c r="U473" s="220">
        <f>F_GAMMA*U469</f>
        <v>0.62529707078029195</v>
      </c>
      <c r="V473" s="220">
        <f>F_GAMMA*V469</f>
        <v>0.56879518297355325</v>
      </c>
      <c r="W473" s="220">
        <f>F_GAMMA*W469</f>
        <v>0.48669680663327008</v>
      </c>
    </row>
    <row r="474" spans="17:23" x14ac:dyDescent="0.25">
      <c r="Q474" s="211" t="s">
        <v>30</v>
      </c>
      <c r="R474" s="230"/>
      <c r="T474" s="220">
        <f>IF(x&lt;T473,T471,T472)</f>
        <v>12.91938248122084</v>
      </c>
      <c r="U474" s="220">
        <f>IF(U$4&lt;U473,U471,U472)</f>
        <v>39.440483902801446</v>
      </c>
      <c r="V474" s="220">
        <f>IF(V$4&lt;V473,V471,V472)</f>
        <v>90.647576683611092</v>
      </c>
      <c r="W474" s="220">
        <f>IF(W$4&lt;W473,W471,W472)</f>
        <v>136.9873645357365</v>
      </c>
    </row>
    <row r="475" spans="17:23" x14ac:dyDescent="0.25">
      <c r="Q475" s="211"/>
      <c r="R475" s="228"/>
      <c r="T475" s="220"/>
    </row>
    <row r="476" spans="17:23" ht="14.4" x14ac:dyDescent="0.3">
      <c r="Q476" s="211" t="s">
        <v>50</v>
      </c>
      <c r="R476" s="219"/>
      <c r="T476" s="220">
        <f>T474</f>
        <v>12.91938248122084</v>
      </c>
      <c r="U476" s="220">
        <f>U474</f>
        <v>39.440483902801446</v>
      </c>
      <c r="V476" s="220">
        <f>V474</f>
        <v>90.647576683611092</v>
      </c>
      <c r="W476" s="220">
        <f>W474</f>
        <v>136.9873645357365</v>
      </c>
    </row>
    <row r="477" spans="17:23" x14ac:dyDescent="0.25">
      <c r="Q477" s="211" t="s">
        <v>52</v>
      </c>
      <c r="R477" s="209">
        <v>15</v>
      </c>
      <c r="T477" s="220">
        <f>1/(SQRT(1+(SIGMA_ZETA/N_2)*(T476/d^2)^2))</f>
        <v>0.99902465887476266</v>
      </c>
      <c r="U477" s="220">
        <f>1/(SQRT(1+(SIGMA_ZETA/N_2)*(U476/d^2)^2))</f>
        <v>0.99101926336592272</v>
      </c>
      <c r="V477" s="220">
        <f>1/(SQRT(1+(SIGMA_ZETA/N_2)*(V476/d^2)^2))</f>
        <v>0.95512571470487728</v>
      </c>
      <c r="W477" s="220">
        <f>1/(SQRT(1+(SIGMA_ZETA/N_2)*(W476/d^2)^2))</f>
        <v>0.9054932551467747</v>
      </c>
    </row>
    <row r="478" spans="17:23" x14ac:dyDescent="0.25">
      <c r="Q478" s="211" t="s">
        <v>54</v>
      </c>
      <c r="R478" s="221">
        <v>22</v>
      </c>
      <c r="T478" s="220">
        <f>(x_T/T477^2)/(1+(x_T*SIGMA_ZETA_1/N_5)*(T476/d^2)^2)</f>
        <v>0.6402212470060592</v>
      </c>
      <c r="U478" s="220">
        <f>(E$9/U477^2)/(1+(E$9*SIGMA_ZETA_1/N_5)*(U476/d^2)^2)</f>
        <v>0.62529707078029195</v>
      </c>
      <c r="V478" s="220">
        <f>(F$9/V477^2)/(1+(F$9*SIGMA_ZETA_1/N_5)*(V476/d^2)^2)</f>
        <v>0.56879518297355325</v>
      </c>
      <c r="W478" s="220">
        <f>(G$9/W477^2)/(1+(G$9*SIGMA_ZETA_1/N_5)*(W476/d^2)^2)</f>
        <v>0.48669680663327008</v>
      </c>
    </row>
    <row r="479" spans="17:23" x14ac:dyDescent="0.25">
      <c r="Q479" s="211" t="s">
        <v>21</v>
      </c>
      <c r="R479" s="209">
        <v>12</v>
      </c>
      <c r="S479" s="211"/>
      <c r="T479" s="220">
        <f>1-(x/(3*F_GAMMA*T478))</f>
        <v>0.82644888523973103</v>
      </c>
      <c r="U479" s="220">
        <f>1-(U$4/(3*F_GAMMA*U478))</f>
        <v>0.82792227238878624</v>
      </c>
      <c r="V479" s="220">
        <f>1-(V$4/(3*F_GAMMA*V478))</f>
        <v>0.83406204884769286</v>
      </c>
      <c r="W479" s="220">
        <f>1-(W$4/(3*F_GAMMA*W478))</f>
        <v>0.82877772732927402</v>
      </c>
    </row>
    <row r="480" spans="17:23" x14ac:dyDescent="0.25">
      <c r="Q480" s="211" t="s">
        <v>57</v>
      </c>
      <c r="R480" s="221">
        <v>7</v>
      </c>
      <c r="T480" s="220">
        <f>(Q/(N_9*T477*P_1*T479))*SQRT(M*T_abs*Z/x)</f>
        <v>12.91938248122084</v>
      </c>
      <c r="U480" s="220">
        <f>(E$2/(N_9*U477*E$3*U479))*SQRT(M*U$6*E$8/U$4)</f>
        <v>39.440483902801446</v>
      </c>
      <c r="V480" s="220">
        <f>(F$2/(N_9*V477*F$3*V479))*SQRT(M*V$6*F$8/V$4)</f>
        <v>90.647576683611092</v>
      </c>
      <c r="W480" s="220">
        <f>(G$2/(N_9*W477*G$3*W479))*SQRT(M*W$6*G$8/W$4)</f>
        <v>136.9873645357365</v>
      </c>
    </row>
    <row r="481" spans="17:23" x14ac:dyDescent="0.25">
      <c r="Q481" s="211" t="s">
        <v>59</v>
      </c>
      <c r="R481" s="221">
        <v>7</v>
      </c>
      <c r="T481" s="220">
        <f>(Q/(0.667*N_9*T477*P_1))*SQRT(M*T_abs*Z/(T482))</f>
        <v>11.55064539614397</v>
      </c>
      <c r="U481" s="220">
        <f>(E$2/(0.667*N_9*U477*E$3))*SQRT(M*U$6*E$8/(U482))</f>
        <v>35.174580389549035</v>
      </c>
      <c r="V481" s="220">
        <f>(F$2/(0.667*N_9*V477*F$3))*SQRT(M*V$6*F$8/(V482))</f>
        <v>79.976466841065104</v>
      </c>
      <c r="W481" s="220">
        <f>(G$2/(0.667*N_9*W477*G$3))*SQRT(M*W$6*G$8/(W482))</f>
        <v>121.99260460384164</v>
      </c>
    </row>
    <row r="482" spans="17:23" ht="15.6" x14ac:dyDescent="0.35">
      <c r="Q482" s="211" t="s">
        <v>84</v>
      </c>
      <c r="R482" s="221">
        <v>10</v>
      </c>
      <c r="T482" s="220">
        <f>F_GAMMA*T478</f>
        <v>0.6402212470060592</v>
      </c>
      <c r="U482" s="220">
        <f>F_GAMMA*U478</f>
        <v>0.62529707078029195</v>
      </c>
      <c r="V482" s="220">
        <f>F_GAMMA*V478</f>
        <v>0.56879518297355325</v>
      </c>
      <c r="W482" s="220">
        <f>F_GAMMA*W478</f>
        <v>0.48669680663327008</v>
      </c>
    </row>
    <row r="483" spans="17:23" x14ac:dyDescent="0.25">
      <c r="Q483" s="211" t="s">
        <v>30</v>
      </c>
      <c r="R483" s="224"/>
      <c r="T483" s="220">
        <f>IF(x&lt;T482,T480,T481)</f>
        <v>12.91938248122084</v>
      </c>
      <c r="U483" s="220">
        <f>IF(U$4&lt;U482,U480,U481)</f>
        <v>39.440483902801446</v>
      </c>
      <c r="V483" s="220">
        <f>IF(V$4&lt;V482,V480,V481)</f>
        <v>90.647576683611092</v>
      </c>
      <c r="W483" s="220">
        <f>IF(W$4&lt;W482,W480,W481)</f>
        <v>136.9873645357365</v>
      </c>
    </row>
    <row r="484" spans="17:23" x14ac:dyDescent="0.25">
      <c r="Q484" s="211"/>
      <c r="R484" s="224"/>
      <c r="T484" s="220"/>
      <c r="U484" s="220"/>
      <c r="V484" s="220"/>
      <c r="W484" s="220"/>
    </row>
    <row r="485" spans="17:23" ht="14.4" x14ac:dyDescent="0.3">
      <c r="Q485" s="211" t="s">
        <v>50</v>
      </c>
      <c r="R485" s="219"/>
      <c r="T485" s="220">
        <f>T483</f>
        <v>12.91938248122084</v>
      </c>
      <c r="U485" s="220">
        <f>U483</f>
        <v>39.440483902801446</v>
      </c>
      <c r="V485" s="220">
        <f>V483</f>
        <v>90.647576683611092</v>
      </c>
      <c r="W485" s="220">
        <f>W483</f>
        <v>136.9873645357365</v>
      </c>
    </row>
    <row r="486" spans="17:23" x14ac:dyDescent="0.25">
      <c r="Q486" s="211" t="s">
        <v>52</v>
      </c>
      <c r="R486" s="209">
        <v>15</v>
      </c>
      <c r="T486" s="220">
        <f>1/(SQRT(1+(SIGMA_ZETA/N_2)*(T485/d^2)^2))</f>
        <v>0.99902465887476266</v>
      </c>
      <c r="U486" s="220">
        <f>1/(SQRT(1+(SIGMA_ZETA/N_2)*(U485/d^2)^2))</f>
        <v>0.99101926336592272</v>
      </c>
      <c r="V486" s="220">
        <f>1/(SQRT(1+(SIGMA_ZETA/N_2)*(V485/d^2)^2))</f>
        <v>0.95512571470487728</v>
      </c>
      <c r="W486" s="220">
        <f>1/(SQRT(1+(SIGMA_ZETA/N_2)*(W485/d^2)^2))</f>
        <v>0.9054932551467747</v>
      </c>
    </row>
    <row r="487" spans="17:23" ht="15.6" x14ac:dyDescent="0.35">
      <c r="Q487" s="211" t="s">
        <v>84</v>
      </c>
      <c r="R487" s="221">
        <v>22</v>
      </c>
      <c r="T487" s="220">
        <f>(x_T/T486^2)/(1+(x_T*SIGMA_ZETA_1/N_5)*(T485/d^2)^2)</f>
        <v>0.6402212470060592</v>
      </c>
      <c r="U487" s="220">
        <f>(E$9/U486^2)/(1+(E$9*SIGMA_ZETA_1/N_5)*(U485/d^2)^2)</f>
        <v>0.62529707078029195</v>
      </c>
      <c r="V487" s="220">
        <f>(F$9/V486^2)/(1+(F$9*SIGMA_ZETA_1/N_5)*(V485/d^2)^2)</f>
        <v>0.56879518297355325</v>
      </c>
      <c r="W487" s="220">
        <f>(G$9/W486^2)/(1+(G$9*SIGMA_ZETA_1/N_5)*(W485/d^2)^2)</f>
        <v>0.48669680663327008</v>
      </c>
    </row>
    <row r="488" spans="17:23" x14ac:dyDescent="0.25">
      <c r="Q488" s="211" t="s">
        <v>21</v>
      </c>
      <c r="R488" s="209">
        <v>12</v>
      </c>
      <c r="S488" s="211"/>
      <c r="T488" s="220">
        <f>1-(x/(3*F_GAMMA*T487))</f>
        <v>0.82644888523973103</v>
      </c>
      <c r="U488" s="220">
        <f>1-(U$4/(3*F_GAMMA*U487))</f>
        <v>0.82792227238878624</v>
      </c>
      <c r="V488" s="220">
        <f>1-(V$4/(3*F_GAMMA*V487))</f>
        <v>0.83406204884769286</v>
      </c>
      <c r="W488" s="220">
        <f>1-(W$4/(3*F_GAMMA*W487))</f>
        <v>0.82877772732927402</v>
      </c>
    </row>
    <row r="489" spans="17:23" x14ac:dyDescent="0.25">
      <c r="Q489" s="211" t="s">
        <v>57</v>
      </c>
      <c r="R489" s="221">
        <v>7</v>
      </c>
      <c r="T489" s="220">
        <f>(Q/(N_9*T486*P_1*T488))*SQRT(M*T_abs*Z/x)</f>
        <v>12.91938248122084</v>
      </c>
      <c r="U489" s="220">
        <f>(E$2/(N_9*U486*E$3*U488))*SQRT(M*U$6*E$8/U$4)</f>
        <v>39.440483902801446</v>
      </c>
      <c r="V489" s="220">
        <f>(F$2/(N_9*V486*F$3*V488))*SQRT(M*V$6*F$8/V$4)</f>
        <v>90.647576683611092</v>
      </c>
      <c r="W489" s="220">
        <f>(G$2/(N_9*W486*G$3*W488))*SQRT(M*W$6*G$8/W$4)</f>
        <v>136.9873645357365</v>
      </c>
    </row>
    <row r="490" spans="17:23" x14ac:dyDescent="0.25">
      <c r="Q490" s="211" t="s">
        <v>59</v>
      </c>
      <c r="R490" s="221">
        <v>7</v>
      </c>
      <c r="T490" s="220">
        <f>(Q/(0.667*N_9*T486*P_1))*SQRT(M*T_abs*Z/(T491))</f>
        <v>11.55064539614397</v>
      </c>
      <c r="U490" s="220">
        <f>(E$2/(0.667*N_9*U486*E$3))*SQRT(M*U$6*E$8/(U491))</f>
        <v>35.174580389549035</v>
      </c>
      <c r="V490" s="220">
        <f>(F$2/(0.667*N_9*V486*F$3))*SQRT(M*V$6*F$8/(V491))</f>
        <v>79.976466841065104</v>
      </c>
      <c r="W490" s="220">
        <f>(G$2/(0.667*N_9*W486*G$3))*SQRT(M*W$6*G$8/(W491))</f>
        <v>121.99260460384164</v>
      </c>
    </row>
    <row r="491" spans="17:23" x14ac:dyDescent="0.25">
      <c r="Q491" s="211" t="s">
        <v>61</v>
      </c>
      <c r="R491" s="221">
        <v>10</v>
      </c>
      <c r="T491" s="220">
        <f>F_GAMMA*T487</f>
        <v>0.6402212470060592</v>
      </c>
      <c r="U491" s="220">
        <f>F_GAMMA*U487</f>
        <v>0.62529707078029195</v>
      </c>
      <c r="V491" s="220">
        <f>F_GAMMA*V487</f>
        <v>0.56879518297355325</v>
      </c>
      <c r="W491" s="220">
        <f>F_GAMMA*W487</f>
        <v>0.48669680663327008</v>
      </c>
    </row>
    <row r="492" spans="17:23" ht="15.6" x14ac:dyDescent="0.35">
      <c r="Q492" s="211" t="s">
        <v>84</v>
      </c>
      <c r="R492" s="224"/>
      <c r="T492" s="220">
        <f>IF(x&lt;T491,T489,T490)</f>
        <v>12.91938248122084</v>
      </c>
      <c r="U492" s="220">
        <f>IF(U$4&lt;U491,U489,U490)</f>
        <v>39.440483902801446</v>
      </c>
      <c r="V492" s="220">
        <f>IF(V$4&lt;V491,V489,V490)</f>
        <v>90.647576683611092</v>
      </c>
      <c r="W492" s="220">
        <f>IF(W$4&lt;W491,W489,W490)</f>
        <v>136.9873645357365</v>
      </c>
    </row>
    <row r="494" spans="17:23" ht="14.4" x14ac:dyDescent="0.3">
      <c r="Q494" s="211" t="s">
        <v>50</v>
      </c>
      <c r="R494" s="219"/>
      <c r="T494" s="220">
        <f>T492</f>
        <v>12.91938248122084</v>
      </c>
      <c r="U494" s="220">
        <f>U492</f>
        <v>39.440483902801446</v>
      </c>
      <c r="V494" s="220">
        <f>V492</f>
        <v>90.647576683611092</v>
      </c>
      <c r="W494" s="220">
        <f>W492</f>
        <v>136.9873645357365</v>
      </c>
    </row>
    <row r="495" spans="17:23" x14ac:dyDescent="0.25">
      <c r="Q495" s="211" t="s">
        <v>52</v>
      </c>
      <c r="R495" s="209">
        <v>15</v>
      </c>
      <c r="T495" s="220">
        <f>1/(SQRT(1+(SIGMA_ZETA/N_2)*(T494/d^2)^2))</f>
        <v>0.99902465887476266</v>
      </c>
      <c r="U495" s="220">
        <f>1/(SQRT(1+(SIGMA_ZETA/N_2)*(U494/d^2)^2))</f>
        <v>0.99101926336592272</v>
      </c>
      <c r="V495" s="220">
        <f>1/(SQRT(1+(SIGMA_ZETA/N_2)*(V494/d^2)^2))</f>
        <v>0.95512571470487728</v>
      </c>
      <c r="W495" s="220">
        <f>1/(SQRT(1+(SIGMA_ZETA/N_2)*(W494/d^2)^2))</f>
        <v>0.9054932551467747</v>
      </c>
    </row>
    <row r="496" spans="17:23" x14ac:dyDescent="0.25">
      <c r="Q496" s="211" t="s">
        <v>54</v>
      </c>
      <c r="R496" s="221">
        <v>22</v>
      </c>
      <c r="T496" s="220">
        <f>(x_T/T495^2)/(1+(x_T*SIGMA_ZETA_1/N_5)*(T494/d^2)^2)</f>
        <v>0.6402212470060592</v>
      </c>
      <c r="U496" s="220">
        <f>(E$9/U495^2)/(1+(E$9*SIGMA_ZETA_1/N_5)*(U494/d^2)^2)</f>
        <v>0.62529707078029195</v>
      </c>
      <c r="V496" s="220">
        <f>(F$9/V495^2)/(1+(F$9*SIGMA_ZETA_1/N_5)*(V494/d^2)^2)</f>
        <v>0.56879518297355325</v>
      </c>
      <c r="W496" s="220">
        <f>(G$9/W495^2)/(1+(G$9*SIGMA_ZETA_1/N_5)*(W494/d^2)^2)</f>
        <v>0.48669680663327008</v>
      </c>
    </row>
    <row r="497" spans="17:23" x14ac:dyDescent="0.25">
      <c r="Q497" s="211" t="s">
        <v>21</v>
      </c>
      <c r="R497" s="209">
        <v>12</v>
      </c>
      <c r="S497" s="211"/>
      <c r="T497" s="220">
        <f>1-(x/(3*F_GAMMA*T496))</f>
        <v>0.82644888523973103</v>
      </c>
      <c r="U497" s="220">
        <f>1-(U$4/(3*F_GAMMA*U496))</f>
        <v>0.82792227238878624</v>
      </c>
      <c r="V497" s="220">
        <f>1-(V$4/(3*F_GAMMA*V496))</f>
        <v>0.83406204884769286</v>
      </c>
      <c r="W497" s="220">
        <f>1-(W$4/(3*F_GAMMA*W496))</f>
        <v>0.82877772732927402</v>
      </c>
    </row>
    <row r="498" spans="17:23" x14ac:dyDescent="0.25">
      <c r="Q498" s="211" t="s">
        <v>57</v>
      </c>
      <c r="R498" s="221">
        <v>7</v>
      </c>
      <c r="T498" s="220">
        <f>(Q/(N_9*T495*P_1*T497))*SQRT(M*T_abs*Z/x)</f>
        <v>12.91938248122084</v>
      </c>
      <c r="U498" s="220">
        <f>(E$2/(N_9*U495*E$3*U497))*SQRT(M*U$6*E$8/U$4)</f>
        <v>39.440483902801446</v>
      </c>
      <c r="V498" s="220">
        <f>(F$2/(N_9*V495*F$3*V497))*SQRT(M*V$6*F$8/V$4)</f>
        <v>90.647576683611092</v>
      </c>
      <c r="W498" s="220">
        <f>(G$2/(N_9*W495*G$3*W497))*SQRT(M*W$6*G$8/W$4)</f>
        <v>136.9873645357365</v>
      </c>
    </row>
    <row r="499" spans="17:23" x14ac:dyDescent="0.25">
      <c r="Q499" s="211" t="s">
        <v>59</v>
      </c>
      <c r="R499" s="221">
        <v>7</v>
      </c>
      <c r="T499" s="220">
        <f>(Q/(0.667*N_9*T495*P_1))*SQRT(M*T_abs*Z/(T500))</f>
        <v>11.55064539614397</v>
      </c>
      <c r="U499" s="220">
        <f>(E$2/(0.667*N_9*U495*E$3))*SQRT(M*U$6*E$8/(U500))</f>
        <v>35.174580389549035</v>
      </c>
      <c r="V499" s="220">
        <f>(F$2/(0.667*N_9*V495*F$3))*SQRT(M*V$6*F$8/(V500))</f>
        <v>79.976466841065104</v>
      </c>
      <c r="W499" s="220">
        <f>(G$2/(0.667*N_9*W495*G$3))*SQRT(M*W$6*G$8/(W500))</f>
        <v>121.99260460384164</v>
      </c>
    </row>
    <row r="500" spans="17:23" ht="15.6" x14ac:dyDescent="0.35">
      <c r="Q500" s="211" t="s">
        <v>84</v>
      </c>
      <c r="R500" s="221">
        <v>10</v>
      </c>
      <c r="T500" s="220">
        <f>F_GAMMA*T496</f>
        <v>0.6402212470060592</v>
      </c>
      <c r="U500" s="220">
        <f>F_GAMMA*U496</f>
        <v>0.62529707078029195</v>
      </c>
      <c r="V500" s="220">
        <f>F_GAMMA*V496</f>
        <v>0.56879518297355325</v>
      </c>
      <c r="W500" s="220">
        <f>F_GAMMA*W496</f>
        <v>0.48669680663327008</v>
      </c>
    </row>
    <row r="501" spans="17:23" x14ac:dyDescent="0.25">
      <c r="Q501" s="211" t="s">
        <v>30</v>
      </c>
      <c r="R501" s="224"/>
      <c r="T501" s="220">
        <f>IF(x&lt;T500,T498,T499)</f>
        <v>12.91938248122084</v>
      </c>
      <c r="U501" s="220">
        <f>IF(U$4&lt;U500,U498,U499)</f>
        <v>39.440483902801446</v>
      </c>
      <c r="V501" s="220">
        <f>IF(V$4&lt;V500,V498,V499)</f>
        <v>90.647576683611092</v>
      </c>
      <c r="W501" s="220">
        <f>IF(W$4&lt;W500,W498,W499)</f>
        <v>136.9873645357365</v>
      </c>
    </row>
    <row r="503" spans="17:23" ht="14.4" x14ac:dyDescent="0.3">
      <c r="Q503" s="211" t="s">
        <v>50</v>
      </c>
      <c r="R503" s="219"/>
      <c r="T503" s="220">
        <f>T501</f>
        <v>12.91938248122084</v>
      </c>
      <c r="U503" s="220">
        <f>U501</f>
        <v>39.440483902801446</v>
      </c>
      <c r="V503" s="220">
        <f>V501</f>
        <v>90.647576683611092</v>
      </c>
      <c r="W503" s="220">
        <f>W501</f>
        <v>136.9873645357365</v>
      </c>
    </row>
    <row r="504" spans="17:23" x14ac:dyDescent="0.25">
      <c r="Q504" s="211" t="s">
        <v>52</v>
      </c>
      <c r="R504" s="209">
        <v>15</v>
      </c>
      <c r="T504" s="220">
        <f>1/(SQRT(1+(SIGMA_ZETA/N_2)*(T503/d^2)^2))</f>
        <v>0.99902465887476266</v>
      </c>
      <c r="U504" s="220">
        <f>1/(SQRT(1+(SIGMA_ZETA/N_2)*(U503/d^2)^2))</f>
        <v>0.99101926336592272</v>
      </c>
      <c r="V504" s="220">
        <f>1/(SQRT(1+(SIGMA_ZETA/N_2)*(V503/d^2)^2))</f>
        <v>0.95512571470487728</v>
      </c>
      <c r="W504" s="220">
        <f>1/(SQRT(1+(SIGMA_ZETA/N_2)*(W503/d^2)^2))</f>
        <v>0.9054932551467747</v>
      </c>
    </row>
    <row r="505" spans="17:23" x14ac:dyDescent="0.25">
      <c r="Q505" s="211" t="s">
        <v>54</v>
      </c>
      <c r="R505" s="221">
        <v>22</v>
      </c>
      <c r="T505" s="220">
        <f>(x_T/T504^2)/(1+(x_T*SIGMA_ZETA_1/N_5)*(T503/d^2)^2)</f>
        <v>0.6402212470060592</v>
      </c>
      <c r="U505" s="220">
        <f>(E$9/U504^2)/(1+(E$9*SIGMA_ZETA_1/N_5)*(U503/d^2)^2)</f>
        <v>0.62529707078029195</v>
      </c>
      <c r="V505" s="220">
        <f>(F$9/V504^2)/(1+(F$9*SIGMA_ZETA_1/N_5)*(V503/d^2)^2)</f>
        <v>0.56879518297355325</v>
      </c>
      <c r="W505" s="220">
        <f>(G$9/W504^2)/(1+(G$9*SIGMA_ZETA_1/N_5)*(W503/d^2)^2)</f>
        <v>0.48669680663327008</v>
      </c>
    </row>
    <row r="506" spans="17:23" x14ac:dyDescent="0.25">
      <c r="Q506" s="211" t="s">
        <v>21</v>
      </c>
      <c r="R506" s="209">
        <v>12</v>
      </c>
      <c r="S506" s="211"/>
      <c r="T506" s="220">
        <f>1-(x/(3*F_GAMMA*T505))</f>
        <v>0.82644888523973103</v>
      </c>
      <c r="U506" s="220">
        <f>1-(U$4/(3*F_GAMMA*U505))</f>
        <v>0.82792227238878624</v>
      </c>
      <c r="V506" s="220">
        <f>1-(V$4/(3*F_GAMMA*V505))</f>
        <v>0.83406204884769286</v>
      </c>
      <c r="W506" s="220">
        <f>1-(W$4/(3*F_GAMMA*W505))</f>
        <v>0.82877772732927402</v>
      </c>
    </row>
    <row r="507" spans="17:23" x14ac:dyDescent="0.25">
      <c r="Q507" s="211" t="s">
        <v>57</v>
      </c>
      <c r="R507" s="221">
        <v>7</v>
      </c>
      <c r="T507" s="220">
        <f>(Q/(N_9*T504*P_1*T506))*SQRT(M*T_abs*Z/x)</f>
        <v>12.91938248122084</v>
      </c>
      <c r="U507" s="220">
        <f>(E$2/(N_9*U504*E$3*U506))*SQRT(M*U$6*E$8/U$4)</f>
        <v>39.440483902801446</v>
      </c>
      <c r="V507" s="220">
        <f>(F$2/(N_9*V504*F$3*V506))*SQRT(M*V$6*F$8/V$4)</f>
        <v>90.647576683611092</v>
      </c>
      <c r="W507" s="220">
        <f>(G$2/(N_9*W504*G$3*W506))*SQRT(M*W$6*G$8/W$4)</f>
        <v>136.9873645357365</v>
      </c>
    </row>
    <row r="508" spans="17:23" x14ac:dyDescent="0.25">
      <c r="Q508" s="211" t="s">
        <v>59</v>
      </c>
      <c r="R508" s="221">
        <v>7</v>
      </c>
      <c r="T508" s="220">
        <f>(Q/(0.667*N_9*T504*P_1))*SQRT(M*T_abs*Z/(T509))</f>
        <v>11.55064539614397</v>
      </c>
      <c r="U508" s="220">
        <f>(E$2/(0.667*N_9*U504*E$3))*SQRT(M*U$6*E$8/(U509))</f>
        <v>35.174580389549035</v>
      </c>
      <c r="V508" s="220">
        <f>(F$2/(0.667*N_9*V504*F$3))*SQRT(M*V$6*F$8/(V509))</f>
        <v>79.976466841065104</v>
      </c>
      <c r="W508" s="220">
        <f>(G$2/(0.667*N_9*W504*G$3))*SQRT(M*W$6*G$8/(W509))</f>
        <v>121.99260460384164</v>
      </c>
    </row>
    <row r="509" spans="17:23" ht="15.6" x14ac:dyDescent="0.35">
      <c r="Q509" s="211" t="s">
        <v>84</v>
      </c>
      <c r="R509" s="221">
        <v>10</v>
      </c>
      <c r="T509" s="220">
        <f>F_GAMMA*T505</f>
        <v>0.6402212470060592</v>
      </c>
      <c r="U509" s="220">
        <f>F_GAMMA*U505</f>
        <v>0.62529707078029195</v>
      </c>
      <c r="V509" s="220">
        <f>F_GAMMA*V505</f>
        <v>0.56879518297355325</v>
      </c>
      <c r="W509" s="220">
        <f>F_GAMMA*W505</f>
        <v>0.48669680663327008</v>
      </c>
    </row>
    <row r="510" spans="17:23" x14ac:dyDescent="0.25">
      <c r="Q510" s="211" t="s">
        <v>30</v>
      </c>
      <c r="R510" s="224"/>
      <c r="T510" s="220">
        <f>IF(x&lt;T509,T507,T508)</f>
        <v>12.91938248122084</v>
      </c>
      <c r="U510" s="220">
        <f>IF(U$4&lt;U509,U507,U508)</f>
        <v>39.440483902801446</v>
      </c>
      <c r="V510" s="220">
        <f>IF(V$4&lt;V509,V507,V508)</f>
        <v>90.647576683611092</v>
      </c>
      <c r="W510" s="220">
        <f>IF(W$4&lt;W509,W507,W508)</f>
        <v>136.9873645357365</v>
      </c>
    </row>
    <row r="512" spans="17:23" ht="14.4" x14ac:dyDescent="0.3">
      <c r="Q512" s="211" t="s">
        <v>50</v>
      </c>
      <c r="R512" s="219"/>
      <c r="T512" s="220">
        <f>T510</f>
        <v>12.91938248122084</v>
      </c>
      <c r="U512" s="220">
        <f>U510</f>
        <v>39.440483902801446</v>
      </c>
      <c r="V512" s="220">
        <f>V510</f>
        <v>90.647576683611092</v>
      </c>
      <c r="W512" s="220">
        <f>W510</f>
        <v>136.9873645357365</v>
      </c>
    </row>
    <row r="513" spans="17:23" x14ac:dyDescent="0.25">
      <c r="Q513" s="211" t="s">
        <v>52</v>
      </c>
      <c r="R513" s="209">
        <v>15</v>
      </c>
      <c r="T513" s="220">
        <f>1/(SQRT(1+(SIGMA_ZETA/N_2)*(T512/d^2)^2))</f>
        <v>0.99902465887476266</v>
      </c>
      <c r="U513" s="220">
        <f>1/(SQRT(1+(SIGMA_ZETA/N_2)*(U512/d^2)^2))</f>
        <v>0.99101926336592272</v>
      </c>
      <c r="V513" s="220">
        <f>1/(SQRT(1+(SIGMA_ZETA/N_2)*(V512/d^2)^2))</f>
        <v>0.95512571470487728</v>
      </c>
      <c r="W513" s="220">
        <f>1/(SQRT(1+(SIGMA_ZETA/N_2)*(W512/d^2)^2))</f>
        <v>0.9054932551467747</v>
      </c>
    </row>
    <row r="514" spans="17:23" x14ac:dyDescent="0.25">
      <c r="Q514" s="211" t="s">
        <v>54</v>
      </c>
      <c r="R514" s="221">
        <v>22</v>
      </c>
      <c r="T514" s="220">
        <f>(x_T/T513^2)/(1+(x_T*SIGMA_ZETA_1/N_5)*(T512/d^2)^2)</f>
        <v>0.6402212470060592</v>
      </c>
      <c r="U514" s="220">
        <f>(E$9/U513^2)/(1+(E$9*SIGMA_ZETA_1/N_5)*(U512/d^2)^2)</f>
        <v>0.62529707078029195</v>
      </c>
      <c r="V514" s="220">
        <f>(F$9/V513^2)/(1+(F$9*SIGMA_ZETA_1/N_5)*(V512/d^2)^2)</f>
        <v>0.56879518297355325</v>
      </c>
      <c r="W514" s="220">
        <f>(G$9/W513^2)/(1+(G$9*SIGMA_ZETA_1/N_5)*(W512/d^2)^2)</f>
        <v>0.48669680663327008</v>
      </c>
    </row>
    <row r="515" spans="17:23" x14ac:dyDescent="0.25">
      <c r="Q515" s="211" t="s">
        <v>21</v>
      </c>
      <c r="R515" s="209">
        <v>12</v>
      </c>
      <c r="S515" s="211"/>
      <c r="T515" s="220">
        <f>1-(x/(3*F_GAMMA*T514))</f>
        <v>0.82644888523973103</v>
      </c>
      <c r="U515" s="220">
        <f>1-(U$4/(3*F_GAMMA*U514))</f>
        <v>0.82792227238878624</v>
      </c>
      <c r="V515" s="220">
        <f>1-(V$4/(3*F_GAMMA*V514))</f>
        <v>0.83406204884769286</v>
      </c>
      <c r="W515" s="220">
        <f>1-(W$4/(3*F_GAMMA*W514))</f>
        <v>0.82877772732927402</v>
      </c>
    </row>
    <row r="516" spans="17:23" x14ac:dyDescent="0.25">
      <c r="Q516" s="211" t="s">
        <v>57</v>
      </c>
      <c r="R516" s="221">
        <v>7</v>
      </c>
      <c r="T516" s="220">
        <f>(Q/(N_9*T513*P_1*T515))*SQRT(M*T_abs*Z/x)</f>
        <v>12.91938248122084</v>
      </c>
      <c r="U516" s="220">
        <f>(E$2/(N_9*U513*E$3*U515))*SQRT(M*U$6*E$8/U$4)</f>
        <v>39.440483902801446</v>
      </c>
      <c r="V516" s="220">
        <f>(F$2/(N_9*V513*F$3*V515))*SQRT(M*V$6*F$8/V$4)</f>
        <v>90.647576683611092</v>
      </c>
      <c r="W516" s="220">
        <f>(G$2/(N_9*W513*G$3*W515))*SQRT(M*W$6*G$8/W$4)</f>
        <v>136.9873645357365</v>
      </c>
    </row>
    <row r="517" spans="17:23" x14ac:dyDescent="0.25">
      <c r="Q517" s="211" t="s">
        <v>59</v>
      </c>
      <c r="R517" s="221">
        <v>7</v>
      </c>
      <c r="T517" s="220">
        <f>(Q/(0.667*N_9*T513*P_1))*SQRT(M*T_abs*Z/(T518))</f>
        <v>11.55064539614397</v>
      </c>
      <c r="U517" s="220">
        <f>(E$2/(0.667*N_9*U513*E$3))*SQRT(M*U$6*E$8/(U518))</f>
        <v>35.174580389549035</v>
      </c>
      <c r="V517" s="220">
        <f>(F$2/(0.667*N_9*V513*F$3))*SQRT(M*V$6*F$8/(V518))</f>
        <v>79.976466841065104</v>
      </c>
      <c r="W517" s="220">
        <f>(G$2/(0.667*N_9*W513*G$3))*SQRT(M*W$6*G$8/(W518))</f>
        <v>121.99260460384164</v>
      </c>
    </row>
    <row r="518" spans="17:23" ht="15.6" x14ac:dyDescent="0.35">
      <c r="Q518" s="211" t="s">
        <v>84</v>
      </c>
      <c r="R518" s="221">
        <v>10</v>
      </c>
      <c r="T518" s="220">
        <f>F_GAMMA*T514</f>
        <v>0.6402212470060592</v>
      </c>
      <c r="U518" s="220">
        <f>F_GAMMA*U514</f>
        <v>0.62529707078029195</v>
      </c>
      <c r="V518" s="220">
        <f>F_GAMMA*V514</f>
        <v>0.56879518297355325</v>
      </c>
      <c r="W518" s="220">
        <f>F_GAMMA*W514</f>
        <v>0.48669680663327008</v>
      </c>
    </row>
    <row r="519" spans="17:23" x14ac:dyDescent="0.25">
      <c r="Q519" s="211" t="s">
        <v>30</v>
      </c>
      <c r="R519" s="224"/>
      <c r="T519" s="220">
        <f>IF(x&lt;T518,T516,T517)</f>
        <v>12.91938248122084</v>
      </c>
      <c r="U519" s="220">
        <f>IF(U$4&lt;U518,U516,U517)</f>
        <v>39.440483902801446</v>
      </c>
      <c r="V519" s="220">
        <f>IF(V$4&lt;V518,V516,V517)</f>
        <v>90.647576683611092</v>
      </c>
      <c r="W519" s="220">
        <f>IF(W$4&lt;W518,W516,W517)</f>
        <v>136.9873645357365</v>
      </c>
    </row>
    <row r="521" spans="17:23" ht="14.4" x14ac:dyDescent="0.3">
      <c r="Q521" s="211" t="s">
        <v>50</v>
      </c>
      <c r="R521" s="219"/>
      <c r="T521" s="220">
        <f>T519</f>
        <v>12.91938248122084</v>
      </c>
      <c r="U521" s="220">
        <f>U519</f>
        <v>39.440483902801446</v>
      </c>
      <c r="V521" s="220">
        <f>V519</f>
        <v>90.647576683611092</v>
      </c>
      <c r="W521" s="220">
        <f>W519</f>
        <v>136.9873645357365</v>
      </c>
    </row>
    <row r="522" spans="17:23" x14ac:dyDescent="0.25">
      <c r="Q522" s="211" t="s">
        <v>52</v>
      </c>
      <c r="R522" s="209">
        <v>15</v>
      </c>
      <c r="T522" s="220">
        <f>1/(SQRT(1+(SIGMA_ZETA/N_2)*(T521/d^2)^2))</f>
        <v>0.99902465887476266</v>
      </c>
      <c r="U522" s="220">
        <f>1/(SQRT(1+(SIGMA_ZETA/N_2)*(U521/d^2)^2))</f>
        <v>0.99101926336592272</v>
      </c>
      <c r="V522" s="220">
        <f>1/(SQRT(1+(SIGMA_ZETA/N_2)*(V521/d^2)^2))</f>
        <v>0.95512571470487728</v>
      </c>
      <c r="W522" s="220">
        <f>1/(SQRT(1+(SIGMA_ZETA/N_2)*(W521/d^2)^2))</f>
        <v>0.9054932551467747</v>
      </c>
    </row>
    <row r="523" spans="17:23" x14ac:dyDescent="0.25">
      <c r="Q523" s="211" t="s">
        <v>54</v>
      </c>
      <c r="R523" s="221">
        <v>22</v>
      </c>
      <c r="T523" s="220">
        <f>(x_T/T522^2)/(1+(x_T*SIGMA_ZETA_1/N_5)*(T521/d^2)^2)</f>
        <v>0.6402212470060592</v>
      </c>
      <c r="U523" s="220">
        <f>(E$9/U522^2)/(1+(E$9*SIGMA_ZETA_1/N_5)*(U521/d^2)^2)</f>
        <v>0.62529707078029195</v>
      </c>
      <c r="V523" s="220">
        <f>(F$9/V522^2)/(1+(F$9*SIGMA_ZETA_1/N_5)*(V521/d^2)^2)</f>
        <v>0.56879518297355325</v>
      </c>
      <c r="W523" s="220">
        <f>(G$9/W522^2)/(1+(G$9*SIGMA_ZETA_1/N_5)*(W521/d^2)^2)</f>
        <v>0.48669680663327008</v>
      </c>
    </row>
    <row r="524" spans="17:23" x14ac:dyDescent="0.25">
      <c r="Q524" s="211" t="s">
        <v>21</v>
      </c>
      <c r="R524" s="209">
        <v>12</v>
      </c>
      <c r="S524" s="211"/>
      <c r="T524" s="220">
        <f>1-(x/(3*F_GAMMA*T523))</f>
        <v>0.82644888523973103</v>
      </c>
      <c r="U524" s="220">
        <f>1-(U$4/(3*F_GAMMA*U523))</f>
        <v>0.82792227238878624</v>
      </c>
      <c r="V524" s="220">
        <f>1-(V$4/(3*F_GAMMA*V523))</f>
        <v>0.83406204884769286</v>
      </c>
      <c r="W524" s="220">
        <f>1-(W$4/(3*F_GAMMA*W523))</f>
        <v>0.82877772732927402</v>
      </c>
    </row>
    <row r="525" spans="17:23" x14ac:dyDescent="0.25">
      <c r="Q525" s="211" t="s">
        <v>57</v>
      </c>
      <c r="R525" s="221">
        <v>7</v>
      </c>
      <c r="T525" s="220">
        <f>(Q/(N_9*T522*P_1*T524))*SQRT(M*T_abs*Z/x)</f>
        <v>12.91938248122084</v>
      </c>
      <c r="U525" s="220">
        <f>(E$2/(N_9*U522*E$3*U524))*SQRT(M*U$6*E$8/U$4)</f>
        <v>39.440483902801446</v>
      </c>
      <c r="V525" s="220">
        <f>(F$2/(N_9*V522*F$3*V524))*SQRT(M*V$6*F$8/V$4)</f>
        <v>90.647576683611092</v>
      </c>
      <c r="W525" s="220">
        <f>(G$2/(N_9*W522*G$3*W524))*SQRT(M*W$6*G$8/W$4)</f>
        <v>136.9873645357365</v>
      </c>
    </row>
    <row r="526" spans="17:23" x14ac:dyDescent="0.25">
      <c r="Q526" s="211" t="s">
        <v>59</v>
      </c>
      <c r="R526" s="221">
        <v>7</v>
      </c>
      <c r="T526" s="220">
        <f>(Q/(0.667*N_9*T522*P_1))*SQRT(M*T_abs*Z/(T527))</f>
        <v>11.55064539614397</v>
      </c>
      <c r="U526" s="220">
        <f>(E$2/(0.667*N_9*U522*E$3))*SQRT(M*U$6*E$8/(U527))</f>
        <v>35.174580389549035</v>
      </c>
      <c r="V526" s="220">
        <f>(F$2/(0.667*N_9*V522*F$3))*SQRT(M*V$6*F$8/(V527))</f>
        <v>79.976466841065104</v>
      </c>
      <c r="W526" s="220">
        <f>(G$2/(0.667*N_9*W522*G$3))*SQRT(M*W$6*G$8/(W527))</f>
        <v>121.99260460384164</v>
      </c>
    </row>
    <row r="527" spans="17:23" ht="15.6" x14ac:dyDescent="0.35">
      <c r="Q527" s="211" t="s">
        <v>84</v>
      </c>
      <c r="R527" s="221">
        <v>10</v>
      </c>
      <c r="T527" s="220">
        <f>F_GAMMA*T523</f>
        <v>0.6402212470060592</v>
      </c>
      <c r="U527" s="220">
        <f>F_GAMMA*U523</f>
        <v>0.62529707078029195</v>
      </c>
      <c r="V527" s="220">
        <f>F_GAMMA*V523</f>
        <v>0.56879518297355325</v>
      </c>
      <c r="W527" s="220">
        <f>F_GAMMA*W523</f>
        <v>0.48669680663327008</v>
      </c>
    </row>
    <row r="528" spans="17:23" x14ac:dyDescent="0.25">
      <c r="Q528" s="211" t="s">
        <v>30</v>
      </c>
      <c r="R528" s="224"/>
      <c r="T528" s="220">
        <f>IF(x&lt;T527,T525,T526)</f>
        <v>12.91938248122084</v>
      </c>
      <c r="U528" s="220">
        <f>IF(U$4&lt;U527,U525,U526)</f>
        <v>39.440483902801446</v>
      </c>
      <c r="V528" s="220">
        <f>IF(V$4&lt;V527,V525,V526)</f>
        <v>90.647576683611092</v>
      </c>
      <c r="W528" s="220">
        <f>IF(W$4&lt;W527,W525,W526)</f>
        <v>136.9873645357365</v>
      </c>
    </row>
    <row r="530" spans="17:23" ht="14.4" x14ac:dyDescent="0.3">
      <c r="Q530" s="211" t="s">
        <v>50</v>
      </c>
      <c r="R530" s="219"/>
      <c r="T530" s="220">
        <f>T528</f>
        <v>12.91938248122084</v>
      </c>
      <c r="U530" s="220">
        <f>U528</f>
        <v>39.440483902801446</v>
      </c>
      <c r="V530" s="220">
        <f>V528</f>
        <v>90.647576683611092</v>
      </c>
      <c r="W530" s="220">
        <f>W528</f>
        <v>136.9873645357365</v>
      </c>
    </row>
    <row r="531" spans="17:23" x14ac:dyDescent="0.25">
      <c r="Q531" s="211" t="s">
        <v>52</v>
      </c>
      <c r="R531" s="209">
        <v>15</v>
      </c>
      <c r="T531" s="220">
        <f>1/(SQRT(1+(SIGMA_ZETA/N_2)*(T530/d^2)^2))</f>
        <v>0.99902465887476266</v>
      </c>
      <c r="U531" s="220">
        <f>1/(SQRT(1+(SIGMA_ZETA/N_2)*(U530/d^2)^2))</f>
        <v>0.99101926336592272</v>
      </c>
      <c r="V531" s="220">
        <f>1/(SQRT(1+(SIGMA_ZETA/N_2)*(V530/d^2)^2))</f>
        <v>0.95512571470487728</v>
      </c>
      <c r="W531" s="220">
        <f>1/(SQRT(1+(SIGMA_ZETA/N_2)*(W530/d^2)^2))</f>
        <v>0.9054932551467747</v>
      </c>
    </row>
    <row r="532" spans="17:23" x14ac:dyDescent="0.25">
      <c r="Q532" s="211" t="s">
        <v>54</v>
      </c>
      <c r="R532" s="221">
        <v>22</v>
      </c>
      <c r="T532" s="220">
        <f>(x_T/T531^2)/(1+(x_T*SIGMA_ZETA_1/N_5)*(T530/d^2)^2)</f>
        <v>0.6402212470060592</v>
      </c>
      <c r="U532" s="220">
        <f>(E$9/U531^2)/(1+(E$9*SIGMA_ZETA_1/N_5)*(U530/d^2)^2)</f>
        <v>0.62529707078029195</v>
      </c>
      <c r="V532" s="220">
        <f>(F$9/V531^2)/(1+(F$9*SIGMA_ZETA_1/N_5)*(V530/d^2)^2)</f>
        <v>0.56879518297355325</v>
      </c>
      <c r="W532" s="220">
        <f>(G$9/W531^2)/(1+(G$9*SIGMA_ZETA_1/N_5)*(W530/d^2)^2)</f>
        <v>0.48669680663327008</v>
      </c>
    </row>
    <row r="533" spans="17:23" x14ac:dyDescent="0.25">
      <c r="Q533" s="211" t="s">
        <v>21</v>
      </c>
      <c r="R533" s="209">
        <v>12</v>
      </c>
      <c r="S533" s="211"/>
      <c r="T533" s="220">
        <f>1-(x/(3*F_GAMMA*T532))</f>
        <v>0.82644888523973103</v>
      </c>
      <c r="U533" s="220">
        <f>1-(U$4/(3*F_GAMMA*U532))</f>
        <v>0.82792227238878624</v>
      </c>
      <c r="V533" s="220">
        <f>1-(V$4/(3*F_GAMMA*V532))</f>
        <v>0.83406204884769286</v>
      </c>
      <c r="W533" s="220">
        <f>1-(W$4/(3*F_GAMMA*W532))</f>
        <v>0.82877772732927402</v>
      </c>
    </row>
    <row r="534" spans="17:23" x14ac:dyDescent="0.25">
      <c r="Q534" s="211" t="s">
        <v>57</v>
      </c>
      <c r="R534" s="221">
        <v>7</v>
      </c>
      <c r="T534" s="220">
        <f>(Q/(N_9*T531*P_1*T533))*SQRT(M*T_abs*Z/x)</f>
        <v>12.91938248122084</v>
      </c>
      <c r="U534" s="220">
        <f>(E$2/(N_9*U531*E$3*U533))*SQRT(M*U$6*E$8/U$4)</f>
        <v>39.440483902801446</v>
      </c>
      <c r="V534" s="220">
        <f>(F$2/(N_9*V531*F$3*V533))*SQRT(M*V$6*F$8/V$4)</f>
        <v>90.647576683611092</v>
      </c>
      <c r="W534" s="220">
        <f>(G$2/(N_9*W531*G$3*W533))*SQRT(M*W$6*G$8/W$4)</f>
        <v>136.9873645357365</v>
      </c>
    </row>
    <row r="535" spans="17:23" x14ac:dyDescent="0.25">
      <c r="Q535" s="211" t="s">
        <v>59</v>
      </c>
      <c r="R535" s="221">
        <v>7</v>
      </c>
      <c r="T535" s="220">
        <f>(Q/(0.667*N_9*T531*P_1))*SQRT(M*T_abs*Z/(T536))</f>
        <v>11.55064539614397</v>
      </c>
      <c r="U535" s="220">
        <f>(E$2/(0.667*N_9*U531*E$3))*SQRT(M*U$6*E$8/(U536))</f>
        <v>35.174580389549035</v>
      </c>
      <c r="V535" s="220">
        <f>(F$2/(0.667*N_9*V531*F$3))*SQRT(M*V$6*F$8/(V536))</f>
        <v>79.976466841065104</v>
      </c>
      <c r="W535" s="220">
        <f>(G$2/(0.667*N_9*W531*G$3))*SQRT(M*W$6*G$8/(W536))</f>
        <v>121.99260460384164</v>
      </c>
    </row>
    <row r="536" spans="17:23" ht="15.6" x14ac:dyDescent="0.35">
      <c r="Q536" s="211" t="s">
        <v>84</v>
      </c>
      <c r="R536" s="221">
        <v>10</v>
      </c>
      <c r="T536" s="220">
        <f>F_GAMMA*T532</f>
        <v>0.6402212470060592</v>
      </c>
      <c r="U536" s="220">
        <f>F_GAMMA*U532</f>
        <v>0.62529707078029195</v>
      </c>
      <c r="V536" s="220">
        <f>F_GAMMA*V532</f>
        <v>0.56879518297355325</v>
      </c>
      <c r="W536" s="220">
        <f>F_GAMMA*W532</f>
        <v>0.48669680663327008</v>
      </c>
    </row>
    <row r="537" spans="17:23" x14ac:dyDescent="0.25">
      <c r="Q537" s="211" t="s">
        <v>30</v>
      </c>
      <c r="R537" s="224"/>
      <c r="T537" s="220">
        <f>IF(x&lt;T536,T534,T535)</f>
        <v>12.91938248122084</v>
      </c>
      <c r="U537" s="220">
        <f>IF(U$4&lt;U536,U534,U535)</f>
        <v>39.440483902801446</v>
      </c>
      <c r="V537" s="220">
        <f>IF(V$4&lt;V536,V534,V535)</f>
        <v>90.647576683611092</v>
      </c>
      <c r="W537" s="220">
        <f>IF(W$4&lt;W536,W534,W535)</f>
        <v>136.9873645357365</v>
      </c>
    </row>
    <row r="539" spans="17:23" ht="14.4" x14ac:dyDescent="0.3">
      <c r="Q539" s="211" t="s">
        <v>50</v>
      </c>
      <c r="R539" s="219"/>
      <c r="T539" s="220">
        <f>T537</f>
        <v>12.91938248122084</v>
      </c>
      <c r="U539" s="220">
        <f>U537</f>
        <v>39.440483902801446</v>
      </c>
      <c r="V539" s="220">
        <f>V537</f>
        <v>90.647576683611092</v>
      </c>
      <c r="W539" s="220">
        <f>W537</f>
        <v>136.9873645357365</v>
      </c>
    </row>
    <row r="540" spans="17:23" x14ac:dyDescent="0.25">
      <c r="Q540" s="211" t="s">
        <v>52</v>
      </c>
      <c r="R540" s="209">
        <v>15</v>
      </c>
      <c r="T540" s="220">
        <f>1/(SQRT(1+(SIGMA_ZETA/N_2)*(T539/d^2)^2))</f>
        <v>0.99902465887476266</v>
      </c>
      <c r="U540" s="220">
        <f>1/(SQRT(1+(SIGMA_ZETA/N_2)*(U539/d^2)^2))</f>
        <v>0.99101926336592272</v>
      </c>
      <c r="V540" s="220">
        <f>1/(SQRT(1+(SIGMA_ZETA/N_2)*(V539/d^2)^2))</f>
        <v>0.95512571470487728</v>
      </c>
      <c r="W540" s="220">
        <f>1/(SQRT(1+(SIGMA_ZETA/N_2)*(W539/d^2)^2))</f>
        <v>0.9054932551467747</v>
      </c>
    </row>
    <row r="541" spans="17:23" x14ac:dyDescent="0.25">
      <c r="Q541" s="211" t="s">
        <v>54</v>
      </c>
      <c r="R541" s="221">
        <v>22</v>
      </c>
      <c r="T541" s="220">
        <f>(x_T/T540^2)/(1+(x_T*SIGMA_ZETA_1/N_5)*(T539/d^2)^2)</f>
        <v>0.6402212470060592</v>
      </c>
      <c r="U541" s="220">
        <f>(E$9/U540^2)/(1+(E$9*SIGMA_ZETA_1/N_5)*(U539/d^2)^2)</f>
        <v>0.62529707078029195</v>
      </c>
      <c r="V541" s="220">
        <f>(F$9/V540^2)/(1+(F$9*SIGMA_ZETA_1/N_5)*(V539/d^2)^2)</f>
        <v>0.56879518297355325</v>
      </c>
      <c r="W541" s="220">
        <f>(G$9/W540^2)/(1+(G$9*SIGMA_ZETA_1/N_5)*(W539/d^2)^2)</f>
        <v>0.48669680663327008</v>
      </c>
    </row>
    <row r="542" spans="17:23" x14ac:dyDescent="0.25">
      <c r="Q542" s="211" t="s">
        <v>21</v>
      </c>
      <c r="R542" s="209">
        <v>12</v>
      </c>
      <c r="S542" s="211"/>
      <c r="T542" s="220">
        <f>1-(x/(3*F_GAMMA*T541))</f>
        <v>0.82644888523973103</v>
      </c>
      <c r="U542" s="220">
        <f>1-(U$4/(3*F_GAMMA*U541))</f>
        <v>0.82792227238878624</v>
      </c>
      <c r="V542" s="220">
        <f>1-(V$4/(3*F_GAMMA*V541))</f>
        <v>0.83406204884769286</v>
      </c>
      <c r="W542" s="220">
        <f>1-(W$4/(3*F_GAMMA*W541))</f>
        <v>0.82877772732927402</v>
      </c>
    </row>
    <row r="543" spans="17:23" x14ac:dyDescent="0.25">
      <c r="Q543" s="211" t="s">
        <v>57</v>
      </c>
      <c r="R543" s="221">
        <v>7</v>
      </c>
      <c r="T543" s="220">
        <f>(Q/(N_9*T540*P_1*T542))*SQRT(M*T_abs*Z/x)</f>
        <v>12.91938248122084</v>
      </c>
      <c r="U543" s="220">
        <f>(E$2/(N_9*U540*E$3*U542))*SQRT(M*U$6*E$8/U$4)</f>
        <v>39.440483902801446</v>
      </c>
      <c r="V543" s="220">
        <f>(F$2/(N_9*V540*F$3*V542))*SQRT(M*V$6*F$8/V$4)</f>
        <v>90.647576683611092</v>
      </c>
      <c r="W543" s="220">
        <f>(G$2/(N_9*W540*G$3*W542))*SQRT(M*W$6*G$8/W$4)</f>
        <v>136.9873645357365</v>
      </c>
    </row>
    <row r="544" spans="17:23" x14ac:dyDescent="0.25">
      <c r="Q544" s="211" t="s">
        <v>59</v>
      </c>
      <c r="R544" s="221">
        <v>7</v>
      </c>
      <c r="T544" s="220">
        <f>(Q/(0.667*N_9*T540*P_1))*SQRT(M*T_abs*Z/(T545))</f>
        <v>11.55064539614397</v>
      </c>
      <c r="U544" s="220">
        <f>(E$2/(0.667*N_9*U540*E$3))*SQRT(M*U$6*E$8/(U545))</f>
        <v>35.174580389549035</v>
      </c>
      <c r="V544" s="220">
        <f>(F$2/(0.667*N_9*V540*F$3))*SQRT(M*V$6*F$8/(V545))</f>
        <v>79.976466841065104</v>
      </c>
      <c r="W544" s="220">
        <f>(G$2/(0.667*N_9*W540*G$3))*SQRT(M*W$6*G$8/(W545))</f>
        <v>121.99260460384164</v>
      </c>
    </row>
    <row r="545" spans="17:23" ht="15.6" x14ac:dyDescent="0.35">
      <c r="Q545" s="211" t="s">
        <v>84</v>
      </c>
      <c r="R545" s="221">
        <v>10</v>
      </c>
      <c r="T545" s="220">
        <f>F_GAMMA*T541</f>
        <v>0.6402212470060592</v>
      </c>
      <c r="U545" s="220">
        <f>F_GAMMA*U541</f>
        <v>0.62529707078029195</v>
      </c>
      <c r="V545" s="220">
        <f>F_GAMMA*V541</f>
        <v>0.56879518297355325</v>
      </c>
      <c r="W545" s="220">
        <f>F_GAMMA*W541</f>
        <v>0.48669680663327008</v>
      </c>
    </row>
    <row r="546" spans="17:23" x14ac:dyDescent="0.25">
      <c r="Q546" s="211" t="s">
        <v>30</v>
      </c>
      <c r="R546" s="224"/>
      <c r="T546" s="220">
        <f>IF(x&lt;T545,T543,T544)</f>
        <v>12.91938248122084</v>
      </c>
      <c r="U546" s="220">
        <f>IF(U$4&lt;U545,U543,U544)</f>
        <v>39.440483902801446</v>
      </c>
      <c r="V546" s="220">
        <f>IF(V$4&lt;V545,V543,V544)</f>
        <v>90.647576683611092</v>
      </c>
      <c r="W546" s="220">
        <f>IF(W$4&lt;W545,W543,W544)</f>
        <v>136.9873645357365</v>
      </c>
    </row>
    <row r="548" spans="17:23" ht="14.4" x14ac:dyDescent="0.3">
      <c r="Q548" s="211" t="s">
        <v>50</v>
      </c>
      <c r="R548" s="219"/>
      <c r="T548" s="220">
        <f>T546</f>
        <v>12.91938248122084</v>
      </c>
      <c r="U548" s="220">
        <f>U546</f>
        <v>39.440483902801446</v>
      </c>
      <c r="V548" s="220">
        <f>V546</f>
        <v>90.647576683611092</v>
      </c>
      <c r="W548" s="220">
        <f>W546</f>
        <v>136.9873645357365</v>
      </c>
    </row>
    <row r="549" spans="17:23" x14ac:dyDescent="0.25">
      <c r="Q549" s="211" t="s">
        <v>52</v>
      </c>
      <c r="R549" s="209">
        <v>15</v>
      </c>
      <c r="T549" s="220">
        <f>1/(SQRT(1+(SIGMA_ZETA/N_2)*(T548/d^2)^2))</f>
        <v>0.99902465887476266</v>
      </c>
      <c r="U549" s="220">
        <f>1/(SQRT(1+(SIGMA_ZETA/N_2)*(U548/d^2)^2))</f>
        <v>0.99101926336592272</v>
      </c>
      <c r="V549" s="220">
        <f>1/(SQRT(1+(SIGMA_ZETA/N_2)*(V548/d^2)^2))</f>
        <v>0.95512571470487728</v>
      </c>
      <c r="W549" s="220">
        <f>1/(SQRT(1+(SIGMA_ZETA/N_2)*(W548/d^2)^2))</f>
        <v>0.9054932551467747</v>
      </c>
    </row>
    <row r="550" spans="17:23" x14ac:dyDescent="0.25">
      <c r="Q550" s="211" t="s">
        <v>54</v>
      </c>
      <c r="R550" s="221">
        <v>22</v>
      </c>
      <c r="T550" s="220">
        <f>(x_T/T549^2)/(1+(x_T*SIGMA_ZETA_1/N_5)*(T548/d^2)^2)</f>
        <v>0.6402212470060592</v>
      </c>
      <c r="U550" s="220">
        <f>(E$9/U549^2)/(1+(E$9*SIGMA_ZETA_1/N_5)*(U548/d^2)^2)</f>
        <v>0.62529707078029195</v>
      </c>
      <c r="V550" s="220">
        <f>(F$9/V549^2)/(1+(F$9*SIGMA_ZETA_1/N_5)*(V548/d^2)^2)</f>
        <v>0.56879518297355325</v>
      </c>
      <c r="W550" s="220">
        <f>(G$9/W549^2)/(1+(G$9*SIGMA_ZETA_1/N_5)*(W548/d^2)^2)</f>
        <v>0.48669680663327008</v>
      </c>
    </row>
    <row r="551" spans="17:23" x14ac:dyDescent="0.25">
      <c r="Q551" s="211" t="s">
        <v>21</v>
      </c>
      <c r="R551" s="209">
        <v>12</v>
      </c>
      <c r="S551" s="211"/>
      <c r="T551" s="220">
        <f>1-(x/(3*F_GAMMA*T550))</f>
        <v>0.82644888523973103</v>
      </c>
      <c r="U551" s="220">
        <f>1-(U$4/(3*F_GAMMA*U550))</f>
        <v>0.82792227238878624</v>
      </c>
      <c r="V551" s="220">
        <f>1-(V$4/(3*F_GAMMA*V550))</f>
        <v>0.83406204884769286</v>
      </c>
      <c r="W551" s="220">
        <f>1-(W$4/(3*F_GAMMA*W550))</f>
        <v>0.82877772732927402</v>
      </c>
    </row>
    <row r="552" spans="17:23" x14ac:dyDescent="0.25">
      <c r="Q552" s="211" t="s">
        <v>57</v>
      </c>
      <c r="R552" s="221">
        <v>7</v>
      </c>
      <c r="T552" s="220">
        <f>(Q/(N_9*T549*P_1*T551))*SQRT(M*T_abs*Z/x)</f>
        <v>12.91938248122084</v>
      </c>
      <c r="U552" s="220">
        <f>(E$2/(N_9*U549*E$3*U551))*SQRT(M*U$6*E$8/U$4)</f>
        <v>39.440483902801446</v>
      </c>
      <c r="V552" s="220">
        <f>(F$2/(N_9*V549*F$3*V551))*SQRT(M*V$6*F$8/V$4)</f>
        <v>90.647576683611092</v>
      </c>
      <c r="W552" s="220">
        <f>(G$2/(N_9*W549*G$3*W551))*SQRT(M*W$6*G$8/W$4)</f>
        <v>136.9873645357365</v>
      </c>
    </row>
    <row r="553" spans="17:23" x14ac:dyDescent="0.25">
      <c r="Q553" s="211" t="s">
        <v>59</v>
      </c>
      <c r="R553" s="221">
        <v>7</v>
      </c>
      <c r="T553" s="220">
        <f>(Q/(0.667*N_9*T549*P_1))*SQRT(M*T_abs*Z/(T554))</f>
        <v>11.55064539614397</v>
      </c>
      <c r="U553" s="220">
        <f>(E$2/(0.667*N_9*U549*E$3))*SQRT(M*U$6*E$8/(U554))</f>
        <v>35.174580389549035</v>
      </c>
      <c r="V553" s="220">
        <f>(F$2/(0.667*N_9*V549*F$3))*SQRT(M*V$6*F$8/(V554))</f>
        <v>79.976466841065104</v>
      </c>
      <c r="W553" s="220">
        <f>(G$2/(0.667*N_9*W549*G$3))*SQRT(M*W$6*G$8/(W554))</f>
        <v>121.99260460384164</v>
      </c>
    </row>
    <row r="554" spans="17:23" ht="15.6" x14ac:dyDescent="0.35">
      <c r="Q554" s="211" t="s">
        <v>84</v>
      </c>
      <c r="R554" s="221">
        <v>10</v>
      </c>
      <c r="T554" s="220">
        <f>F_GAMMA*T550</f>
        <v>0.6402212470060592</v>
      </c>
      <c r="U554" s="220">
        <f>F_GAMMA*U550</f>
        <v>0.62529707078029195</v>
      </c>
      <c r="V554" s="220">
        <f>F_GAMMA*V550</f>
        <v>0.56879518297355325</v>
      </c>
      <c r="W554" s="220">
        <f>F_GAMMA*W550</f>
        <v>0.48669680663327008</v>
      </c>
    </row>
    <row r="555" spans="17:23" x14ac:dyDescent="0.25">
      <c r="Q555" s="211" t="s">
        <v>30</v>
      </c>
      <c r="R555" s="224"/>
      <c r="T555" s="220">
        <f>IF(x&lt;T554,T552,T553)</f>
        <v>12.91938248122084</v>
      </c>
      <c r="U555" s="220">
        <f>IF(U$4&lt;U554,U552,U553)</f>
        <v>39.440483902801446</v>
      </c>
      <c r="V555" s="220">
        <f>IF(V$4&lt;V554,V552,V553)</f>
        <v>90.647576683611092</v>
      </c>
      <c r="W555" s="220">
        <f>IF(W$4&lt;W554,W552,W553)</f>
        <v>136.9873645357365</v>
      </c>
    </row>
    <row r="557" spans="17:23" ht="14.4" x14ac:dyDescent="0.3">
      <c r="Q557" s="211" t="s">
        <v>50</v>
      </c>
      <c r="R557" s="219"/>
      <c r="T557" s="220">
        <f>T555</f>
        <v>12.91938248122084</v>
      </c>
      <c r="U557" s="220">
        <f>U555</f>
        <v>39.440483902801446</v>
      </c>
      <c r="V557" s="220">
        <f>V555</f>
        <v>90.647576683611092</v>
      </c>
      <c r="W557" s="220">
        <f>W555</f>
        <v>136.9873645357365</v>
      </c>
    </row>
    <row r="558" spans="17:23" x14ac:dyDescent="0.25">
      <c r="Q558" s="211" t="s">
        <v>52</v>
      </c>
      <c r="R558" s="209">
        <v>15</v>
      </c>
      <c r="T558" s="220">
        <f>1/(SQRT(1+(SIGMA_ZETA/N_2)*(T557/d^2)^2))</f>
        <v>0.99902465887476266</v>
      </c>
      <c r="U558" s="220">
        <f>1/(SQRT(1+(SIGMA_ZETA/N_2)*(U557/d^2)^2))</f>
        <v>0.99101926336592272</v>
      </c>
      <c r="V558" s="220">
        <f>1/(SQRT(1+(SIGMA_ZETA/N_2)*(V557/d^2)^2))</f>
        <v>0.95512571470487728</v>
      </c>
      <c r="W558" s="220">
        <f>1/(SQRT(1+(SIGMA_ZETA/N_2)*(W557/d^2)^2))</f>
        <v>0.9054932551467747</v>
      </c>
    </row>
    <row r="559" spans="17:23" x14ac:dyDescent="0.25">
      <c r="Q559" s="211" t="s">
        <v>54</v>
      </c>
      <c r="R559" s="221">
        <v>22</v>
      </c>
      <c r="T559" s="220">
        <f>(x_T/T558^2)/(1+(x_T*SIGMA_ZETA_1/N_5)*(T557/d^2)^2)</f>
        <v>0.6402212470060592</v>
      </c>
      <c r="U559" s="220">
        <f>(E$9/U558^2)/(1+(E$9*SIGMA_ZETA_1/N_5)*(U557/d^2)^2)</f>
        <v>0.62529707078029195</v>
      </c>
      <c r="V559" s="220">
        <f>(F$9/V558^2)/(1+(F$9*SIGMA_ZETA_1/N_5)*(V557/d^2)^2)</f>
        <v>0.56879518297355325</v>
      </c>
      <c r="W559" s="220">
        <f>(G$9/W558^2)/(1+(G$9*SIGMA_ZETA_1/N_5)*(W557/d^2)^2)</f>
        <v>0.48669680663327008</v>
      </c>
    </row>
    <row r="560" spans="17:23" x14ac:dyDescent="0.25">
      <c r="Q560" s="211" t="s">
        <v>21</v>
      </c>
      <c r="R560" s="209">
        <v>12</v>
      </c>
      <c r="S560" s="211"/>
      <c r="T560" s="220">
        <f>1-(x/(3*F_GAMMA*T559))</f>
        <v>0.82644888523973103</v>
      </c>
      <c r="U560" s="220">
        <f>1-(U$4/(3*F_GAMMA*U559))</f>
        <v>0.82792227238878624</v>
      </c>
      <c r="V560" s="220">
        <f>1-(V$4/(3*F_GAMMA*V559))</f>
        <v>0.83406204884769286</v>
      </c>
      <c r="W560" s="220">
        <f>1-(W$4/(3*F_GAMMA*W559))</f>
        <v>0.82877772732927402</v>
      </c>
    </row>
    <row r="561" spans="17:23" x14ac:dyDescent="0.25">
      <c r="Q561" s="211" t="s">
        <v>57</v>
      </c>
      <c r="R561" s="221">
        <v>7</v>
      </c>
      <c r="T561" s="220">
        <f>(Q/(N_9*T558*P_1*T560))*SQRT(M*T_abs*Z/x)</f>
        <v>12.91938248122084</v>
      </c>
      <c r="U561" s="220">
        <f>(E$2/(N_9*U558*E$3*U560))*SQRT(M*U$6*E$8/U$4)</f>
        <v>39.440483902801446</v>
      </c>
      <c r="V561" s="220">
        <f>(F$2/(N_9*V558*F$3*V560))*SQRT(M*V$6*F$8/V$4)</f>
        <v>90.647576683611092</v>
      </c>
      <c r="W561" s="220">
        <f>(G$2/(N_9*W558*G$3*W560))*SQRT(M*W$6*G$8/W$4)</f>
        <v>136.9873645357365</v>
      </c>
    </row>
    <row r="562" spans="17:23" x14ac:dyDescent="0.25">
      <c r="Q562" s="211" t="s">
        <v>59</v>
      </c>
      <c r="R562" s="221">
        <v>7</v>
      </c>
      <c r="T562" s="220">
        <f>(Q/(0.667*N_9*T558*P_1))*SQRT(M*T_abs*Z/(T563))</f>
        <v>11.55064539614397</v>
      </c>
      <c r="U562" s="220">
        <f>(E$2/(0.667*N_9*U558*E$3))*SQRT(M*U$6*E$8/(U563))</f>
        <v>35.174580389549035</v>
      </c>
      <c r="V562" s="220">
        <f>(F$2/(0.667*N_9*V558*F$3))*SQRT(M*V$6*F$8/(V563))</f>
        <v>79.976466841065104</v>
      </c>
      <c r="W562" s="220">
        <f>(G$2/(0.667*N_9*W558*G$3))*SQRT(M*W$6*G$8/(W563))</f>
        <v>121.99260460384164</v>
      </c>
    </row>
    <row r="563" spans="17:23" ht="15.6" x14ac:dyDescent="0.35">
      <c r="Q563" s="211" t="s">
        <v>84</v>
      </c>
      <c r="R563" s="221">
        <v>10</v>
      </c>
      <c r="T563" s="220">
        <f>F_GAMMA*T559</f>
        <v>0.6402212470060592</v>
      </c>
      <c r="U563" s="220">
        <f>F_GAMMA*U559</f>
        <v>0.62529707078029195</v>
      </c>
      <c r="V563" s="220">
        <f>F_GAMMA*V559</f>
        <v>0.56879518297355325</v>
      </c>
      <c r="W563" s="220">
        <f>F_GAMMA*W559</f>
        <v>0.48669680663327008</v>
      </c>
    </row>
    <row r="564" spans="17:23" x14ac:dyDescent="0.25">
      <c r="Q564" s="211" t="s">
        <v>30</v>
      </c>
      <c r="R564" s="230"/>
      <c r="T564" s="220">
        <f>IF(x&lt;T563,T561,T562)</f>
        <v>12.91938248122084</v>
      </c>
      <c r="U564" s="220">
        <f>IF(U$4&lt;U563,U561,U562)</f>
        <v>39.440483902801446</v>
      </c>
      <c r="V564" s="220">
        <f>IF(V$4&lt;V563,V561,V562)</f>
        <v>90.647576683611092</v>
      </c>
      <c r="W564" s="220">
        <f>IF(W$4&lt;W563,W561,W562)</f>
        <v>136.9873645357365</v>
      </c>
    </row>
    <row r="566" spans="17:23" x14ac:dyDescent="0.25">
      <c r="Q566" s="225" t="s">
        <v>88</v>
      </c>
    </row>
    <row r="567" spans="17:23" x14ac:dyDescent="0.25">
      <c r="Q567" s="209" t="s">
        <v>74</v>
      </c>
      <c r="S567" s="220" t="s">
        <v>75</v>
      </c>
      <c r="T567" s="231">
        <f>C_</f>
        <v>12.91938248122084</v>
      </c>
      <c r="U567" s="231">
        <f>E21</f>
        <v>39.440483902801446</v>
      </c>
      <c r="V567" s="231">
        <f>F21</f>
        <v>90.647576683611092</v>
      </c>
      <c r="W567" s="231">
        <f>G21</f>
        <v>136.9873645357365</v>
      </c>
    </row>
    <row r="568" spans="17:23" x14ac:dyDescent="0.25">
      <c r="Q568" s="209" t="s">
        <v>52</v>
      </c>
      <c r="R568" s="209">
        <v>15</v>
      </c>
      <c r="S568" s="209" t="s">
        <v>76</v>
      </c>
      <c r="T568" s="220">
        <f>1/(SQRT(1+(SIGMA_ZETA/N_2)*(Final_Calculated_C/d^2)^2))</f>
        <v>0.99902465887476266</v>
      </c>
      <c r="U568" s="220">
        <f>1/(SQRT(1+(SIGMA_ZETA/N_2)*(U567/d^2)^2))</f>
        <v>0.99101926336592272</v>
      </c>
      <c r="V568" s="220">
        <f>1/(SQRT(1+(SIGMA_ZETA/N_2)*(V567/d^2)^2))</f>
        <v>0.95512571470487728</v>
      </c>
      <c r="W568" s="220">
        <f>1/(SQRT(1+(SIGMA_ZETA/N_2)*(W567/d^2)^2))</f>
        <v>0.9054932551467747</v>
      </c>
    </row>
    <row r="569" spans="17:23" ht="14.4" x14ac:dyDescent="0.3">
      <c r="Q569" s="219" t="s">
        <v>77</v>
      </c>
      <c r="R569" s="221">
        <v>22</v>
      </c>
      <c r="S569" s="209" t="s">
        <v>78</v>
      </c>
      <c r="T569" s="231">
        <f>(x_T/Final_F_P^2)/(1+(x_T*SIGMA_ZETA_1/N_5)*(Final_Calculated_C/d^2)^2)</f>
        <v>0.6402212470060592</v>
      </c>
      <c r="U569" s="231">
        <f>(E9/U568^2)/(1+(E9*SIGMA_ZETA_1/N_5)*(U567/d^2)^2)</f>
        <v>0.62529707078029195</v>
      </c>
      <c r="V569" s="231">
        <f>(F9/V568^2)/(1+(F9*SIGMA_ZETA_1/N_5)*(V567/d^2)^2)</f>
        <v>0.56879518297355325</v>
      </c>
      <c r="W569" s="231">
        <f>(G9/W568^2)/(1+(G9*SIGMA_ZETA_1/N_5)*(W567/d^2)^2)</f>
        <v>0.48669680663327008</v>
      </c>
    </row>
    <row r="570" spans="17:23" x14ac:dyDescent="0.25">
      <c r="Q570" s="209" t="s">
        <v>21</v>
      </c>
      <c r="R570" s="209">
        <v>12</v>
      </c>
      <c r="S570" s="228" t="s">
        <v>79</v>
      </c>
      <c r="T570" s="231">
        <f>1-(x/(3*F_GAMMA*Final_x_TP))</f>
        <v>0.82644888523973103</v>
      </c>
      <c r="U570" s="231">
        <f>1-(U4/(3*U5*U569))</f>
        <v>0.82792227238878624</v>
      </c>
      <c r="V570" s="231">
        <f>1-(V4/(3*V5*V569))</f>
        <v>0.83406204884769286</v>
      </c>
      <c r="W570" s="231">
        <f>1-(W4/(3*W5*W569))</f>
        <v>0.82877772732927402</v>
      </c>
    </row>
    <row r="571" spans="17:23" x14ac:dyDescent="0.25">
      <c r="Q571" s="209" t="s">
        <v>80</v>
      </c>
      <c r="R571" s="221">
        <v>7</v>
      </c>
      <c r="S571" s="209" t="s">
        <v>81</v>
      </c>
      <c r="T571" s="220">
        <f>Final_Calculated_C*N_9*Final_F_P*P_1*Final_Y_W_Reducers*SQRT(x/(M*T_abs*Z))</f>
        <v>31863.000000000004</v>
      </c>
      <c r="U571" s="220">
        <f>U567*N_9*U568*E3*U570*SQRT(U4/(M*U6*E8))</f>
        <v>93645.000000000029</v>
      </c>
      <c r="V571" s="220">
        <f>V567*N_9*V568*F3*V570*SQRT(V4/(M*V6*F8))</f>
        <v>184894</v>
      </c>
      <c r="W571" s="220">
        <f>W567*N_9*W568*G3*W570*SQRT(W4/(M*W6*G8))</f>
        <v>236393.00000000003</v>
      </c>
    </row>
    <row r="572" spans="17:23" x14ac:dyDescent="0.25">
      <c r="Q572" s="209" t="s">
        <v>82</v>
      </c>
      <c r="R572" s="221">
        <v>7</v>
      </c>
      <c r="S572" s="209" t="s">
        <v>83</v>
      </c>
      <c r="T572" s="220">
        <f>Final_Calculated_C*0.667*N_9*Final_F_P*P_1*SQRT(Final_CH_x_W_Reducers/(M*T_abs*Z))</f>
        <v>35638.725792462094</v>
      </c>
      <c r="U572" s="220">
        <f>U567*0.667*N_9*U568*E3*SQRT(U573/(M*U6*E8))</f>
        <v>105002.08031408997</v>
      </c>
      <c r="V572" s="220">
        <f>V567*0.667*N_9*V568*F3*SQRT(V573/(M*V6*F8))</f>
        <v>209564.05934569013</v>
      </c>
      <c r="W572" s="220">
        <f>W567*0.667*N_9*W568*G3*SQRT(W573/(M*W6*G8))</f>
        <v>265449.32104578248</v>
      </c>
    </row>
    <row r="573" spans="17:23" ht="15.6" x14ac:dyDescent="0.35">
      <c r="Q573" s="209" t="s">
        <v>84</v>
      </c>
      <c r="R573" s="221">
        <v>10</v>
      </c>
      <c r="S573" s="228" t="s">
        <v>85</v>
      </c>
      <c r="T573" s="231">
        <f>F_GAMMA*Final_x_TP</f>
        <v>0.6402212470060592</v>
      </c>
      <c r="U573" s="231">
        <f>U5*U569</f>
        <v>0.62529707078029195</v>
      </c>
      <c r="V573" s="231">
        <f>V5*V569</f>
        <v>0.56879518297355325</v>
      </c>
      <c r="W573" s="231">
        <f>W5*W569</f>
        <v>0.48669680663327008</v>
      </c>
    </row>
    <row r="574" spans="17:23" x14ac:dyDescent="0.25">
      <c r="Q574" s="209" t="s">
        <v>86</v>
      </c>
      <c r="S574" s="209" t="s">
        <v>87</v>
      </c>
      <c r="T574" s="231">
        <f>IF(x&lt;Final_CH_x_W_Reducers,Final_Flow_NonCh_W_Reducers,Final_Flow_Ch_W_Reducers)</f>
        <v>31863.000000000004</v>
      </c>
      <c r="U574" s="231">
        <f>IF(U4&lt;U573,U571,U572)</f>
        <v>93645.000000000029</v>
      </c>
      <c r="V574" s="231">
        <f>IF(V4&lt;V573,V571,V572)</f>
        <v>184894</v>
      </c>
      <c r="W574" s="231">
        <f>IF(W4&lt;W573,W571,W572)</f>
        <v>236393.00000000003</v>
      </c>
    </row>
    <row r="576" spans="17:23" x14ac:dyDescent="0.25">
      <c r="Q576" s="232"/>
      <c r="R576" s="224"/>
    </row>
    <row r="577" spans="17:23" x14ac:dyDescent="0.25">
      <c r="S577" s="211"/>
      <c r="T577" s="213"/>
      <c r="U577" s="213"/>
      <c r="V577" s="213"/>
      <c r="W577" s="213"/>
    </row>
    <row r="578" spans="17:23" x14ac:dyDescent="0.25">
      <c r="Q578" s="228"/>
      <c r="R578" s="224"/>
      <c r="T578" s="231"/>
      <c r="U578" s="231"/>
      <c r="V578" s="231"/>
      <c r="W578" s="231"/>
    </row>
    <row r="579" spans="17:23" x14ac:dyDescent="0.25">
      <c r="Q579" s="228"/>
      <c r="R579" s="224"/>
      <c r="T579" s="231"/>
      <c r="U579" s="231"/>
      <c r="V579" s="231"/>
      <c r="W579" s="231"/>
    </row>
    <row r="580" spans="17:23" x14ac:dyDescent="0.25">
      <c r="Q580" s="228"/>
      <c r="R580" s="224"/>
      <c r="S580" s="228"/>
      <c r="T580" s="231"/>
      <c r="U580" s="222"/>
      <c r="V580" s="222"/>
      <c r="W580" s="222"/>
    </row>
    <row r="581" spans="17:23" x14ac:dyDescent="0.25">
      <c r="Q581" s="228"/>
      <c r="R581" s="224"/>
      <c r="S581" s="228"/>
      <c r="T581" s="231"/>
    </row>
    <row r="582" spans="17:23" x14ac:dyDescent="0.25">
      <c r="Q582" s="211"/>
      <c r="R582" s="211"/>
      <c r="S582" s="211"/>
    </row>
    <row r="583" spans="17:23" x14ac:dyDescent="0.25">
      <c r="Q583" s="211"/>
      <c r="R583" s="211"/>
      <c r="S583" s="211"/>
    </row>
    <row r="584" spans="17:23" x14ac:dyDescent="0.25">
      <c r="Q584" s="211"/>
      <c r="R584" s="211"/>
      <c r="S584" s="211"/>
      <c r="T584" s="220"/>
      <c r="U584" s="220"/>
      <c r="V584" s="220"/>
      <c r="W584" s="220"/>
    </row>
    <row r="585" spans="17:23" x14ac:dyDescent="0.25">
      <c r="Q585" s="211"/>
      <c r="R585" s="211"/>
      <c r="S585" s="211"/>
    </row>
    <row r="586" spans="17:23" x14ac:dyDescent="0.25">
      <c r="Q586" s="211"/>
      <c r="R586" s="211"/>
      <c r="S586" s="211"/>
    </row>
    <row r="587" spans="17:23" x14ac:dyDescent="0.25">
      <c r="Q587" s="211"/>
      <c r="S587" s="211"/>
      <c r="T587" s="220"/>
      <c r="U587" s="220"/>
      <c r="V587" s="220"/>
      <c r="W587" s="220"/>
    </row>
    <row r="588" spans="17:23" x14ac:dyDescent="0.25">
      <c r="Q588" s="211"/>
      <c r="R588" s="211"/>
      <c r="S588" s="211"/>
      <c r="T588" s="213"/>
      <c r="U588" s="213"/>
      <c r="V588" s="213"/>
      <c r="W588" s="213"/>
    </row>
    <row r="589" spans="17:23" ht="10.95" customHeight="1" x14ac:dyDescent="0.25">
      <c r="Q589" s="211"/>
      <c r="R589" s="230"/>
      <c r="T589" s="231"/>
      <c r="U589" s="231"/>
      <c r="V589" s="231"/>
      <c r="W589" s="231"/>
    </row>
    <row r="590" spans="17:23" x14ac:dyDescent="0.25">
      <c r="Q590" s="211"/>
      <c r="S590" s="211"/>
      <c r="T590" s="233"/>
      <c r="U590" s="233"/>
      <c r="V590" s="233"/>
      <c r="W590" s="233"/>
    </row>
    <row r="591" spans="17:23" x14ac:dyDescent="0.25">
      <c r="Q591" s="228"/>
      <c r="R591" s="224"/>
      <c r="S591" s="228"/>
      <c r="T591" s="231"/>
      <c r="U591" s="231"/>
      <c r="V591" s="231"/>
      <c r="W591" s="231"/>
    </row>
    <row r="592" spans="17:23" x14ac:dyDescent="0.25">
      <c r="Q592" s="228"/>
      <c r="R592" s="224"/>
      <c r="S592" s="228"/>
      <c r="T592" s="231"/>
    </row>
    <row r="593" spans="17:23" x14ac:dyDescent="0.25">
      <c r="Q593" s="232"/>
      <c r="R593" s="224"/>
      <c r="S593" s="228"/>
      <c r="T593" s="220"/>
    </row>
    <row r="594" spans="17:23" x14ac:dyDescent="0.25">
      <c r="Q594" s="211"/>
      <c r="R594" s="230"/>
      <c r="S594" s="211"/>
      <c r="T594" s="213"/>
      <c r="U594" s="222"/>
      <c r="V594" s="222"/>
      <c r="W594" s="222"/>
    </row>
    <row r="595" spans="17:23" x14ac:dyDescent="0.25">
      <c r="Q595" s="228"/>
      <c r="S595" s="228"/>
      <c r="T595" s="231"/>
      <c r="U595" s="231"/>
      <c r="V595" s="231"/>
      <c r="W595" s="231"/>
    </row>
    <row r="596" spans="17:23" x14ac:dyDescent="0.25">
      <c r="Q596" s="228"/>
      <c r="R596" s="224"/>
      <c r="S596" s="228"/>
      <c r="T596" s="231"/>
      <c r="U596" s="231"/>
      <c r="V596" s="231"/>
      <c r="W596" s="231"/>
    </row>
  </sheetData>
  <sheetProtection sheet="1" formatCells="0" formatColumns="0"/>
  <mergeCells count="2">
    <mergeCell ref="D1:F1"/>
    <mergeCell ref="I31:K31"/>
  </mergeCells>
  <phoneticPr fontId="0" type="noConversion"/>
  <conditionalFormatting sqref="D22:H22">
    <cfRule type="expression" dxfId="0" priority="12">
      <formula>T574&lt;0.98*D2</formula>
    </cfRule>
  </conditionalFormatting>
  <pageMargins left="0.75" right="0.5" top="1" bottom="0.5" header="0.5" footer="0.5"/>
  <pageSetup scale="81" orientation="portrait" r:id="rId1"/>
  <headerFooter alignWithMargins="0"/>
  <ignoredErrors>
    <ignoredError sqref="D10:D11 E10:G11 D13"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U7406"/>
  <sheetViews>
    <sheetView topLeftCell="A8" zoomScaleNormal="100" workbookViewId="0">
      <selection activeCell="M5" sqref="M5"/>
    </sheetView>
  </sheetViews>
  <sheetFormatPr defaultRowHeight="13.2" x14ac:dyDescent="0.25"/>
  <cols>
    <col min="1" max="1" width="38" customWidth="1"/>
    <col min="2" max="12" width="8.77734375" customWidth="1"/>
    <col min="13" max="13" width="72" customWidth="1"/>
    <col min="14" max="14" width="63.5546875" style="1" customWidth="1"/>
    <col min="15" max="15" width="52.44140625" customWidth="1"/>
    <col min="16" max="16" width="4.77734375" customWidth="1"/>
    <col min="17" max="17" width="29.21875" customWidth="1"/>
    <col min="18" max="18" width="17.77734375" customWidth="1"/>
    <col min="19" max="19" width="23" style="1" customWidth="1"/>
    <col min="20" max="48" width="23" customWidth="1"/>
  </cols>
  <sheetData>
    <row r="1" spans="1:20" ht="27" customHeight="1" thickBot="1" x14ac:dyDescent="0.3">
      <c r="A1" s="38"/>
      <c r="B1" s="39"/>
      <c r="C1" s="40"/>
      <c r="D1" s="852"/>
      <c r="E1" s="852"/>
      <c r="F1" s="1"/>
      <c r="G1" s="1"/>
      <c r="H1" s="1"/>
      <c r="I1" s="1"/>
      <c r="J1" s="1"/>
      <c r="O1" s="3" t="s">
        <v>101</v>
      </c>
      <c r="P1" s="2"/>
      <c r="Q1" s="2"/>
      <c r="R1" s="4"/>
      <c r="T1" s="1"/>
    </row>
    <row r="2" spans="1:20" ht="12.75" customHeight="1" thickTop="1" thickBot="1" x14ac:dyDescent="0.3">
      <c r="A2" s="171" t="s">
        <v>157</v>
      </c>
      <c r="B2" s="492"/>
      <c r="C2" s="493"/>
      <c r="D2" s="491"/>
      <c r="E2" s="95"/>
      <c r="F2" s="82"/>
      <c r="G2" s="82"/>
      <c r="H2" s="82"/>
      <c r="I2" s="82"/>
      <c r="J2" s="82"/>
      <c r="K2" s="83"/>
      <c r="M2" s="164" t="s">
        <v>178</v>
      </c>
      <c r="N2" s="164"/>
      <c r="O2" s="2" t="s">
        <v>1</v>
      </c>
      <c r="P2" s="2" t="s">
        <v>70</v>
      </c>
      <c r="Q2" s="2" t="s">
        <v>2</v>
      </c>
      <c r="R2" s="4" t="s">
        <v>3</v>
      </c>
      <c r="T2" s="1"/>
    </row>
    <row r="3" spans="1:20" ht="12.75" customHeight="1" thickTop="1" thickBot="1" x14ac:dyDescent="0.3">
      <c r="A3" s="84" t="s">
        <v>760</v>
      </c>
      <c r="B3" s="865" t="str">
        <f>Cv_Table</f>
        <v>BALL_SEG</v>
      </c>
      <c r="C3" s="866"/>
      <c r="D3" s="494"/>
      <c r="F3" s="14"/>
      <c r="G3" s="14"/>
      <c r="H3" s="14"/>
      <c r="I3" s="14"/>
      <c r="J3" s="14"/>
      <c r="K3" s="85"/>
      <c r="M3" s="164" t="s">
        <v>179</v>
      </c>
      <c r="N3" s="164"/>
      <c r="O3" s="5" t="s">
        <v>102</v>
      </c>
      <c r="P3" s="5"/>
      <c r="Q3" s="5" t="s">
        <v>102</v>
      </c>
      <c r="R3" s="6"/>
      <c r="T3" s="1"/>
    </row>
    <row r="4" spans="1:20" ht="12.75" customHeight="1" thickTop="1" thickBot="1" x14ac:dyDescent="0.3">
      <c r="A4" s="86" t="s">
        <v>734</v>
      </c>
      <c r="B4" s="486">
        <f>VS_IN</f>
        <v>3</v>
      </c>
      <c r="C4" s="14"/>
      <c r="D4" s="14"/>
      <c r="E4" s="14"/>
      <c r="F4" s="14"/>
      <c r="G4" s="14"/>
      <c r="H4" s="14"/>
      <c r="I4" s="14"/>
      <c r="J4" s="14"/>
      <c r="K4" s="85"/>
      <c r="M4" s="162"/>
      <c r="N4" s="162"/>
      <c r="O4" s="1"/>
      <c r="P4" s="1"/>
      <c r="Q4" s="1"/>
      <c r="R4" s="1"/>
      <c r="T4" s="1"/>
    </row>
    <row r="5" spans="1:20" ht="12.75" customHeight="1" thickTop="1" thickBot="1" x14ac:dyDescent="0.35">
      <c r="A5" s="87" t="s">
        <v>158</v>
      </c>
      <c r="B5" s="88">
        <v>0.1</v>
      </c>
      <c r="C5" s="89">
        <v>0.2</v>
      </c>
      <c r="D5" s="89">
        <v>0.3</v>
      </c>
      <c r="E5" s="89">
        <v>0.4</v>
      </c>
      <c r="F5" s="89">
        <v>0.5</v>
      </c>
      <c r="G5" s="89">
        <v>0.6</v>
      </c>
      <c r="H5" s="90">
        <v>0.7</v>
      </c>
      <c r="I5" s="91">
        <v>0.8</v>
      </c>
      <c r="J5" s="92">
        <v>0.9</v>
      </c>
      <c r="K5" s="93">
        <v>1</v>
      </c>
      <c r="M5" s="514" t="s">
        <v>582</v>
      </c>
      <c r="N5" s="163"/>
      <c r="O5" s="15" t="s">
        <v>103</v>
      </c>
      <c r="P5" s="1"/>
      <c r="Q5" s="1"/>
      <c r="R5" s="1"/>
      <c r="T5" s="1"/>
    </row>
    <row r="6" spans="1:20" ht="12.75" customHeight="1" x14ac:dyDescent="0.25">
      <c r="A6" s="727" t="s">
        <v>620</v>
      </c>
      <c r="B6" s="609">
        <f ca="1">VLOOKUP(VS_IN,INDIRECT(Cv_Table),2)</f>
        <v>4.7300000000000004</v>
      </c>
      <c r="C6" s="610">
        <f ca="1">VLOOKUP(VS_IN,INDIRECT(Cv_Table),3)</f>
        <v>11.6</v>
      </c>
      <c r="D6" s="610">
        <f ca="1">VLOOKUP(VS_IN,INDIRECT(Cv_Table),4)</f>
        <v>23</v>
      </c>
      <c r="E6" s="610">
        <f ca="1">VLOOKUP(VS_IN,INDIRECT(Cv_Table),5)</f>
        <v>39.4</v>
      </c>
      <c r="F6" s="610">
        <f ca="1">VLOOKUP(VS_IN,INDIRECT(Cv_Table),6)</f>
        <v>61</v>
      </c>
      <c r="G6" s="610">
        <f ca="1">VLOOKUP(VS_IN,INDIRECT(Cv_Table),7)</f>
        <v>88.2</v>
      </c>
      <c r="H6" s="610">
        <f ca="1">VLOOKUP(VS_IN,INDIRECT(Cv_Table),8)</f>
        <v>121</v>
      </c>
      <c r="I6" s="611">
        <f ca="1">VLOOKUP(VS_IN,INDIRECT(Cv_Table),9)</f>
        <v>165</v>
      </c>
      <c r="J6" s="612">
        <f ca="1">VLOOKUP(VS_IN,INDIRECT(Cv_Table),10)</f>
        <v>246</v>
      </c>
      <c r="K6" s="613">
        <f ca="1">VLOOKUP(VS_IN,INDIRECT(Cv_Table),11)</f>
        <v>420</v>
      </c>
      <c r="L6" s="206"/>
      <c r="O6" s="8" t="s">
        <v>616</v>
      </c>
      <c r="P6" s="8"/>
      <c r="Q6" s="8" t="s">
        <v>104</v>
      </c>
      <c r="R6" s="8">
        <f>Q</f>
        <v>31863</v>
      </c>
      <c r="S6" s="8"/>
      <c r="T6" s="1"/>
    </row>
    <row r="7" spans="1:20" ht="12.75" customHeight="1" thickBot="1" x14ac:dyDescent="0.4">
      <c r="A7" s="94" t="s">
        <v>160</v>
      </c>
      <c r="B7" s="496">
        <f ca="1">IF(OR(Cv_Table="GC_EQ",Cv_Table="GC_LIN"),B76,IF(OR(Cv_Table="GP_EQ",Cv_Table="GP_LIN"),B77,IF(Cv_Table="ROT_PLUG",B78,IF(Cv_Table="BALL_SEG",B79,IF(OR(Cv_Table="HPBF_150",Cv_Table="HPBF_300",Cv_Table="HPBF_600"),B80,IF(OR(Cv_Table="BALL_FP",Cv_Table="BALL_RP"),B81,""))))))</f>
        <v>0.64</v>
      </c>
      <c r="C7" s="496">
        <f t="shared" ref="C7:K7" ca="1" si="0">IF(OR(Cv_Table="GC_EQ",Cv_Table="GC_LIN"),C76,IF(OR(Cv_Table="GP_EQ",Cv_Table="GP_LIN"),C77,IF(Cv_Table="ROT_PLUG",C78,IF(Cv_Table="BALL_SEG",C79,IF(OR(Cv_Table="HPBF_150",Cv_Table="HPBF_300",Cv_Table="HPBF_600"),C80,IF(OR(Cv_Table="BALL_FP",Cv_Table="BALL_RP"),C81,""))))))</f>
        <v>0.64</v>
      </c>
      <c r="D7" s="496">
        <f t="shared" ca="1" si="0"/>
        <v>0.63341407481370215</v>
      </c>
      <c r="E7" s="496">
        <f t="shared" ca="1" si="0"/>
        <v>0.62310390844695651</v>
      </c>
      <c r="F7" s="496">
        <f t="shared" ca="1" si="0"/>
        <v>0.60075000527552214</v>
      </c>
      <c r="G7" s="496">
        <f t="shared" ca="1" si="0"/>
        <v>0.55872722592752011</v>
      </c>
      <c r="H7" s="496">
        <f t="shared" ca="1" si="0"/>
        <v>0.50448898026226197</v>
      </c>
      <c r="I7" s="496">
        <f t="shared" ca="1" si="0"/>
        <v>0.42326666666666657</v>
      </c>
      <c r="J7" s="496">
        <f t="shared" ca="1" si="0"/>
        <v>0.34676666666666656</v>
      </c>
      <c r="K7" s="496">
        <f t="shared" ca="1" si="0"/>
        <v>0.18243333333333323</v>
      </c>
      <c r="L7" s="206"/>
      <c r="O7" s="8" t="s">
        <v>617</v>
      </c>
      <c r="P7" s="8"/>
      <c r="Q7" s="16" t="s">
        <v>105</v>
      </c>
      <c r="R7" s="8">
        <f>'Valve Sizing'!G2</f>
        <v>236393</v>
      </c>
      <c r="S7" s="8"/>
      <c r="T7" s="1"/>
    </row>
    <row r="8" spans="1:20" ht="12.75" customHeight="1" thickTop="1" x14ac:dyDescent="0.25">
      <c r="A8" s="118"/>
      <c r="B8" s="118"/>
      <c r="C8" s="118"/>
      <c r="D8" s="118"/>
      <c r="E8" s="118"/>
      <c r="F8" s="118"/>
      <c r="G8" s="118"/>
      <c r="H8" s="118"/>
      <c r="I8" s="1"/>
      <c r="J8" s="1"/>
      <c r="K8" s="1"/>
      <c r="L8" s="1"/>
      <c r="O8" s="8" t="s">
        <v>106</v>
      </c>
      <c r="P8" s="8"/>
      <c r="Q8" s="16" t="s">
        <v>107</v>
      </c>
      <c r="R8" s="8">
        <f>P_1</f>
        <v>90</v>
      </c>
      <c r="S8" s="8"/>
      <c r="T8" s="1"/>
    </row>
    <row r="9" spans="1:20" ht="12.75" customHeight="1" x14ac:dyDescent="0.25">
      <c r="A9" s="118"/>
      <c r="B9" s="118"/>
      <c r="C9" s="118"/>
      <c r="D9" s="118"/>
      <c r="E9" s="118"/>
      <c r="F9" s="118"/>
      <c r="J9" s="157"/>
      <c r="K9" s="1"/>
      <c r="L9" s="1"/>
      <c r="M9" s="8" t="s">
        <v>180</v>
      </c>
      <c r="N9" s="8"/>
      <c r="O9" s="8" t="s">
        <v>108</v>
      </c>
      <c r="P9" s="8"/>
      <c r="Q9" s="16" t="s">
        <v>109</v>
      </c>
      <c r="R9" s="8">
        <f>'Valve Sizing'!G3</f>
        <v>80</v>
      </c>
      <c r="S9" s="8"/>
      <c r="T9" s="1"/>
    </row>
    <row r="10" spans="1:20" ht="12.75" customHeight="1" x14ac:dyDescent="0.4">
      <c r="A10" s="118"/>
      <c r="B10" s="118"/>
      <c r="C10" s="118"/>
      <c r="D10" s="118"/>
      <c r="E10" s="118"/>
      <c r="F10" s="118"/>
      <c r="J10" s="1"/>
      <c r="K10" s="1"/>
      <c r="L10" s="1"/>
      <c r="M10" s="165" t="s">
        <v>181</v>
      </c>
      <c r="N10" s="165"/>
      <c r="O10" s="8" t="s">
        <v>110</v>
      </c>
      <c r="P10" s="8"/>
      <c r="Q10" s="16" t="s">
        <v>111</v>
      </c>
      <c r="R10" s="8">
        <f>DELTA_P</f>
        <v>30</v>
      </c>
      <c r="S10" s="8"/>
      <c r="T10" s="1"/>
    </row>
    <row r="11" spans="1:20" ht="12.75" customHeight="1" x14ac:dyDescent="0.25">
      <c r="A11" s="118"/>
      <c r="B11" s="118"/>
      <c r="C11" s="118"/>
      <c r="D11" s="118"/>
      <c r="E11" s="118"/>
      <c r="F11" s="118"/>
      <c r="H11" s="862" t="str">
        <f>Cv_Table</f>
        <v>BALL_SEG</v>
      </c>
      <c r="I11" s="862"/>
      <c r="J11" s="157"/>
      <c r="K11" s="1"/>
      <c r="L11" s="1"/>
      <c r="M11" s="8" t="s">
        <v>182</v>
      </c>
      <c r="N11" s="8"/>
      <c r="O11" s="8" t="s">
        <v>112</v>
      </c>
      <c r="P11" s="8"/>
      <c r="Q11" s="16" t="s">
        <v>113</v>
      </c>
      <c r="R11" s="8">
        <f>'Valve Sizing'!G5</f>
        <v>20</v>
      </c>
      <c r="S11" s="8"/>
      <c r="T11" s="1"/>
    </row>
    <row r="12" spans="1:20" ht="12.75" customHeight="1" x14ac:dyDescent="0.25">
      <c r="A12" s="118"/>
      <c r="B12" s="118"/>
      <c r="C12" s="118"/>
      <c r="D12" s="118"/>
      <c r="E12" s="118"/>
      <c r="F12" s="118"/>
      <c r="H12" s="119">
        <f>B4</f>
        <v>3</v>
      </c>
      <c r="I12" s="1"/>
      <c r="J12" s="1"/>
      <c r="K12" s="1"/>
      <c r="L12" s="1"/>
      <c r="M12" s="166" t="s">
        <v>183</v>
      </c>
      <c r="N12" s="166"/>
      <c r="O12" s="8" t="s">
        <v>114</v>
      </c>
      <c r="P12" s="8"/>
      <c r="Q12" s="16" t="s">
        <v>115</v>
      </c>
      <c r="R12" s="8">
        <f>P_1_minQ-DELTA_P_minQ</f>
        <v>60</v>
      </c>
      <c r="S12" s="8"/>
      <c r="T12" s="1"/>
    </row>
    <row r="13" spans="1:20" ht="12.75" customHeight="1" x14ac:dyDescent="0.25">
      <c r="A13" s="120"/>
      <c r="B13" s="121"/>
      <c r="C13" s="121"/>
      <c r="D13" s="121"/>
      <c r="E13" s="121"/>
      <c r="F13" s="121"/>
      <c r="H13" s="869" t="str">
        <f>TAG</f>
        <v>PV123</v>
      </c>
      <c r="I13" s="870"/>
      <c r="J13" s="870"/>
      <c r="L13" s="1"/>
      <c r="O13" s="8" t="s">
        <v>116</v>
      </c>
      <c r="P13" s="8"/>
      <c r="Q13" s="16" t="s">
        <v>117</v>
      </c>
      <c r="R13" s="8">
        <f>P_1_maxQ-R11</f>
        <v>60</v>
      </c>
      <c r="S13" s="8"/>
      <c r="T13" s="1"/>
    </row>
    <row r="14" spans="1:20" ht="12.75" customHeight="1" thickBot="1" x14ac:dyDescent="0.3">
      <c r="A14" s="122"/>
      <c r="B14" s="118"/>
      <c r="C14" s="121"/>
      <c r="D14" s="123"/>
      <c r="E14" s="121"/>
      <c r="F14" s="121"/>
      <c r="H14" s="172"/>
      <c r="I14" s="160"/>
      <c r="J14" s="160"/>
      <c r="L14" s="1"/>
      <c r="O14" s="8" t="s">
        <v>118</v>
      </c>
      <c r="P14" s="8"/>
      <c r="Q14" s="16" t="s">
        <v>119</v>
      </c>
      <c r="R14" s="8">
        <f>P_1_minQ-P_1_maxQ</f>
        <v>10</v>
      </c>
      <c r="S14" s="8"/>
      <c r="T14" s="1"/>
    </row>
    <row r="15" spans="1:20" ht="12.75" customHeight="1" thickTop="1" x14ac:dyDescent="0.4">
      <c r="A15" s="118"/>
      <c r="B15" s="118"/>
      <c r="C15" s="118"/>
      <c r="D15" s="118"/>
      <c r="E15" s="121"/>
      <c r="F15" s="121"/>
      <c r="H15" s="174" t="s">
        <v>165</v>
      </c>
      <c r="I15" s="175"/>
      <c r="J15" s="176"/>
      <c r="K15" s="1"/>
      <c r="L15" s="1"/>
      <c r="M15" s="167" t="s">
        <v>184</v>
      </c>
      <c r="N15" s="26"/>
      <c r="O15" s="13" t="s">
        <v>120</v>
      </c>
      <c r="P15" s="8"/>
      <c r="Q15" s="17" t="s">
        <v>121</v>
      </c>
      <c r="R15" s="13">
        <f>dp_up/(Q_max^2-Q_min^2)</f>
        <v>1.8226091120109013E-10</v>
      </c>
      <c r="S15" s="8"/>
      <c r="T15" s="1"/>
    </row>
    <row r="16" spans="1:20" ht="12.75" customHeight="1" thickBot="1" x14ac:dyDescent="0.3">
      <c r="A16" s="125"/>
      <c r="B16" s="126"/>
      <c r="C16" s="122"/>
      <c r="D16" s="127"/>
      <c r="E16" s="121"/>
      <c r="F16" s="121"/>
      <c r="H16" s="124" t="s">
        <v>188</v>
      </c>
      <c r="I16" s="863">
        <f ca="1">IF(AND(M17="",M18="",M19=""),AU19,"NOT VALID")</f>
        <v>328229.90073625033</v>
      </c>
      <c r="J16" s="864"/>
      <c r="L16" s="1"/>
      <c r="M16" s="181" t="s">
        <v>189</v>
      </c>
      <c r="N16" s="165"/>
      <c r="O16" s="8" t="s">
        <v>122</v>
      </c>
      <c r="P16" s="8"/>
      <c r="Q16" s="16" t="s">
        <v>123</v>
      </c>
      <c r="R16" s="8">
        <f>P_2_maxQ-P_2_minQ</f>
        <v>0</v>
      </c>
      <c r="S16" s="8"/>
      <c r="T16" s="1"/>
    </row>
    <row r="17" spans="1:47" ht="12.75" customHeight="1" thickTop="1" x14ac:dyDescent="0.25">
      <c r="A17" s="129"/>
      <c r="B17" s="121"/>
      <c r="C17" s="121"/>
      <c r="D17" s="121"/>
      <c r="E17" s="121"/>
      <c r="F17" s="121"/>
      <c r="K17" s="59"/>
      <c r="L17" s="1"/>
      <c r="M17" s="168" t="str">
        <f>IF(Q_max&lt;=Q_min,"ERROR! Flow in G2 must be greater than Flow in D2 on the Valve Sizing tab","")</f>
        <v/>
      </c>
      <c r="N17" s="177"/>
      <c r="O17" s="13" t="s">
        <v>124</v>
      </c>
      <c r="P17" s="8"/>
      <c r="Q17" s="17" t="s">
        <v>125</v>
      </c>
      <c r="R17" s="13">
        <f>dp_dn/(Q_max^2-Q_min^2)</f>
        <v>0</v>
      </c>
      <c r="S17" s="41" t="s">
        <v>159</v>
      </c>
      <c r="T17" s="42">
        <v>0.1</v>
      </c>
      <c r="U17" s="43"/>
      <c r="V17" s="43"/>
      <c r="W17" s="42">
        <v>0.2</v>
      </c>
      <c r="X17" s="43"/>
      <c r="Y17" s="43"/>
      <c r="Z17" s="42">
        <v>0.3</v>
      </c>
      <c r="AA17" s="43"/>
      <c r="AB17" s="43"/>
      <c r="AC17" s="43">
        <v>0.4</v>
      </c>
      <c r="AD17" s="41"/>
      <c r="AE17" s="43"/>
      <c r="AF17" s="43">
        <v>0.5</v>
      </c>
      <c r="AG17" s="41"/>
      <c r="AH17" s="43"/>
      <c r="AI17" s="43">
        <v>0.6</v>
      </c>
      <c r="AJ17" s="41"/>
      <c r="AK17" s="43"/>
      <c r="AL17" s="43">
        <v>0.7</v>
      </c>
      <c r="AM17" s="41"/>
      <c r="AN17" s="43"/>
      <c r="AO17" s="43">
        <v>0.8</v>
      </c>
      <c r="AP17" s="41"/>
      <c r="AQ17" s="43"/>
      <c r="AR17" s="43">
        <v>0.9</v>
      </c>
      <c r="AS17" s="41"/>
      <c r="AT17" s="43"/>
      <c r="AU17" s="43">
        <v>1</v>
      </c>
    </row>
    <row r="18" spans="1:47" ht="12.75" customHeight="1" x14ac:dyDescent="0.3">
      <c r="A18" s="129"/>
      <c r="B18" s="121"/>
      <c r="C18" s="121"/>
      <c r="D18" s="121"/>
      <c r="E18" s="121"/>
      <c r="F18" s="121"/>
      <c r="G18" s="158"/>
      <c r="H18" s="142"/>
      <c r="I18" s="157"/>
      <c r="K18" s="59"/>
      <c r="L18" s="1"/>
      <c r="M18" s="169" t="str">
        <f>IF(P_1_maxQ&gt;P_1_minQ,"ERROR! P1 must be constant or decreasing with increasing flow","")</f>
        <v/>
      </c>
      <c r="N18" s="178"/>
      <c r="O18" s="18" t="s">
        <v>126</v>
      </c>
      <c r="P18" s="8"/>
      <c r="Q18" s="19" t="s">
        <v>127</v>
      </c>
      <c r="R18" s="9">
        <f>R_up*Q_min^2</f>
        <v>0.18504053025554748</v>
      </c>
      <c r="S18" s="44" t="s">
        <v>149</v>
      </c>
      <c r="T18" s="45">
        <f ca="1">MIN(S44:S5097)</f>
        <v>5.9933077918383759E-4</v>
      </c>
      <c r="U18" s="39"/>
      <c r="V18" s="46"/>
      <c r="W18" s="45">
        <f ca="1">MIN(V44:V4663)</f>
        <v>1.5885408633415921E-2</v>
      </c>
      <c r="X18" s="39"/>
      <c r="Y18" s="46"/>
      <c r="Z18" s="45">
        <f ca="1">MIN(Y44:Y4663)</f>
        <v>0.10968466080368344</v>
      </c>
      <c r="AA18" s="39"/>
      <c r="AB18" s="46"/>
      <c r="AC18" s="46">
        <f ca="1">MIN(AB44:AB4663)</f>
        <v>6.8213933368575397E-2</v>
      </c>
      <c r="AD18" s="47"/>
      <c r="AE18" s="46"/>
      <c r="AF18" s="46">
        <f ca="1">MIN(AE44:AE4663)</f>
        <v>0.29766912345580465</v>
      </c>
      <c r="AG18" s="47"/>
      <c r="AH18" s="46"/>
      <c r="AI18" s="46">
        <f ca="1">MIN(AH44:AH4663)</f>
        <v>0.17793220266715082</v>
      </c>
      <c r="AJ18" s="47"/>
      <c r="AK18" s="46"/>
      <c r="AL18" s="46">
        <f ca="1">MIN(AK44:AK4663)</f>
        <v>5.5026077854805067E-2</v>
      </c>
      <c r="AM18" s="47"/>
      <c r="AN18" s="46"/>
      <c r="AO18" s="46">
        <f ca="1">MIN(AN44:AN4663)</f>
        <v>0.63104888648800284</v>
      </c>
      <c r="AP18" s="47"/>
      <c r="AQ18" s="46"/>
      <c r="AR18" s="46">
        <f ca="1">MIN(AQ44:AQ4663)</f>
        <v>1.3662740648153715</v>
      </c>
      <c r="AS18" s="47"/>
      <c r="AT18" s="46"/>
      <c r="AU18" s="46">
        <f ca="1">MIN(AT44:AT4663)</f>
        <v>2.2591392372509631</v>
      </c>
    </row>
    <row r="19" spans="1:47" ht="12.75" customHeight="1" thickBot="1" x14ac:dyDescent="0.35">
      <c r="A19" s="867"/>
      <c r="B19" s="868"/>
      <c r="C19" s="868"/>
      <c r="D19" s="130"/>
      <c r="E19" s="121"/>
      <c r="F19" s="121"/>
      <c r="G19" s="158"/>
      <c r="I19" s="158"/>
      <c r="L19" s="157"/>
      <c r="M19" s="170" t="str">
        <f>IF(P_2_maxQ&lt;P_2_minQ,"ERROR! P2 must be constant or increasing with increasing flow","")</f>
        <v/>
      </c>
      <c r="N19" s="179"/>
      <c r="O19" s="18" t="s">
        <v>128</v>
      </c>
      <c r="P19" s="8"/>
      <c r="Q19" s="19" t="s">
        <v>129</v>
      </c>
      <c r="R19" s="9">
        <f>R_dn*Q_min^2</f>
        <v>0</v>
      </c>
      <c r="S19" s="48" t="s">
        <v>150</v>
      </c>
      <c r="T19" s="49">
        <f ca="1">VLOOKUP(T18,S44:T5097,2,FALSE)</f>
        <v>11708.949265686702</v>
      </c>
      <c r="U19" s="39"/>
      <c r="V19" s="50"/>
      <c r="W19" s="49">
        <f ca="1">VLOOKUP(W18,V44:W4663,2,FALSE)</f>
        <v>28670.915757761817</v>
      </c>
      <c r="X19" s="39"/>
      <c r="Y19" s="50"/>
      <c r="Z19" s="49">
        <f ca="1">VLOOKUP(Z18,Y44:Z4663,2,FALSE)</f>
        <v>55843.625776376437</v>
      </c>
      <c r="AA19" s="39"/>
      <c r="AB19" s="50"/>
      <c r="AC19" s="50">
        <f ca="1">VLOOKUP(AC18,AB44:AC4663,2,FALSE)</f>
        <v>93688.232299349285</v>
      </c>
      <c r="AD19" s="47"/>
      <c r="AE19" s="50"/>
      <c r="AF19" s="50">
        <f ca="1">VLOOKUP(AF18,AE44:AF4663,2,FALSE)</f>
        <v>136740.52674687753</v>
      </c>
      <c r="AG19" s="47"/>
      <c r="AH19" s="50"/>
      <c r="AI19" s="50">
        <f ca="1">VLOOKUP(AI18,AH44:AI4663,2,FALSE)</f>
        <v>182480.76302755359</v>
      </c>
      <c r="AJ19" s="47"/>
      <c r="AK19" s="50"/>
      <c r="AL19" s="50">
        <f ca="1">VLOOKUP(AL18,AK44:AL4663,2,FALSE)</f>
        <v>222661.20952832617</v>
      </c>
      <c r="AM19" s="47"/>
      <c r="AN19" s="50"/>
      <c r="AO19" s="50">
        <f ca="1">VLOOKUP(AO18,AN44:AO4663,2,FALSE)</f>
        <v>258502.75182752116</v>
      </c>
      <c r="AP19" s="47"/>
      <c r="AQ19" s="50"/>
      <c r="AR19" s="50">
        <f ca="1">VLOOKUP(AR18,AQ44:AR4663,2,FALSE)</f>
        <v>303114.80644696194</v>
      </c>
      <c r="AS19" s="47"/>
      <c r="AT19" s="50"/>
      <c r="AU19" s="50">
        <f ca="1">VLOOKUP(AU18,AT44:AU4663,2,FALSE)</f>
        <v>328229.90073625033</v>
      </c>
    </row>
    <row r="20" spans="1:47" ht="12.75" customHeight="1" thickTop="1" thickBot="1" x14ac:dyDescent="0.3">
      <c r="A20" s="121"/>
      <c r="B20" s="121"/>
      <c r="C20" s="121"/>
      <c r="D20" s="125"/>
      <c r="E20" s="121"/>
      <c r="F20" s="121"/>
      <c r="H20" s="142" t="s">
        <v>186</v>
      </c>
      <c r="I20" s="173"/>
      <c r="J20" s="59"/>
      <c r="K20" s="59"/>
      <c r="L20" s="1"/>
      <c r="O20" s="8"/>
      <c r="P20" s="8"/>
      <c r="Q20" s="8"/>
      <c r="R20" s="8"/>
      <c r="S20" s="51" t="s">
        <v>151</v>
      </c>
      <c r="T20" s="52">
        <f ca="1">MATCH(T18,S44:S5097,0)+43</f>
        <v>2591</v>
      </c>
      <c r="U20" s="53"/>
      <c r="V20" s="54"/>
      <c r="W20" s="52">
        <f ca="1">MATCH(W18,V44:V4663,0)+43</f>
        <v>1303</v>
      </c>
      <c r="X20" s="53"/>
      <c r="Y20" s="54"/>
      <c r="Z20" s="52">
        <f ca="1">MATCH(Z18,Y44:Y4663,0)+43</f>
        <v>981</v>
      </c>
      <c r="AA20" s="53"/>
      <c r="AB20" s="54"/>
      <c r="AC20" s="54">
        <f ca="1">MATCH(AC18,AB44:AB4663,0)+43</f>
        <v>771</v>
      </c>
      <c r="AD20" s="55"/>
      <c r="AE20" s="54"/>
      <c r="AF20" s="54">
        <f ca="1">MATCH(AF18,AE44:AE4663,0)+43</f>
        <v>575</v>
      </c>
      <c r="AG20" s="55"/>
      <c r="AH20" s="54"/>
      <c r="AI20" s="54">
        <f ca="1">MATCH(AI18,AH44:AH4663,0)+43</f>
        <v>449</v>
      </c>
      <c r="AJ20" s="55"/>
      <c r="AK20" s="54"/>
      <c r="AL20" s="54">
        <f ca="1">MATCH(AL18,AK44:AK4663,0)+43</f>
        <v>323</v>
      </c>
      <c r="AM20" s="55"/>
      <c r="AN20" s="54"/>
      <c r="AO20" s="54">
        <f ca="1">MATCH(AO18,AN44:AN4663,0)+43</f>
        <v>253</v>
      </c>
      <c r="AP20" s="55"/>
      <c r="AQ20" s="54"/>
      <c r="AR20" s="54">
        <f ca="1">MATCH(AR18,AQ44:AQ4663,0)+43</f>
        <v>267</v>
      </c>
      <c r="AS20" s="55"/>
      <c r="AT20" s="54"/>
      <c r="AU20" s="54">
        <f ca="1">MATCH(AU18,AT44:AT4663,0)+43</f>
        <v>155</v>
      </c>
    </row>
    <row r="21" spans="1:47" ht="12.75" customHeight="1" thickTop="1" x14ac:dyDescent="0.3">
      <c r="A21" s="132"/>
      <c r="B21" s="121"/>
      <c r="C21" s="121"/>
      <c r="D21" s="121"/>
      <c r="E21" s="121"/>
      <c r="F21" s="121"/>
      <c r="H21" s="173"/>
      <c r="I21" s="158" t="s">
        <v>185</v>
      </c>
      <c r="J21" s="495">
        <f>Q_max</f>
        <v>236393</v>
      </c>
      <c r="K21" s="161"/>
      <c r="L21" s="1"/>
      <c r="O21" s="1"/>
      <c r="P21" s="1"/>
      <c r="Q21" s="1"/>
      <c r="R21" s="98"/>
      <c r="S21" s="115"/>
      <c r="T21" s="68"/>
      <c r="U21" s="69"/>
      <c r="V21" s="104"/>
      <c r="W21" s="71"/>
      <c r="X21" s="69"/>
      <c r="Y21" s="70"/>
      <c r="Z21" s="71"/>
      <c r="AA21" s="69"/>
      <c r="AB21" s="70"/>
      <c r="AC21" s="72"/>
      <c r="AD21" s="73"/>
      <c r="AE21" s="70"/>
      <c r="AF21" s="72"/>
      <c r="AG21" s="73"/>
      <c r="AH21" s="70"/>
      <c r="AI21" s="72"/>
      <c r="AJ21" s="73"/>
      <c r="AK21" s="70"/>
      <c r="AL21" s="72"/>
      <c r="AM21" s="73"/>
      <c r="AN21" s="70"/>
      <c r="AO21" s="72"/>
      <c r="AP21" s="73"/>
      <c r="AQ21" s="70"/>
      <c r="AR21" s="72"/>
      <c r="AS21" s="73"/>
      <c r="AT21" s="70"/>
      <c r="AU21" s="72"/>
    </row>
    <row r="22" spans="1:47" ht="12.75" customHeight="1" x14ac:dyDescent="0.25">
      <c r="A22" s="132"/>
      <c r="B22" s="121"/>
      <c r="C22" s="121"/>
      <c r="D22" s="121"/>
      <c r="E22" s="121"/>
      <c r="F22" s="121"/>
      <c r="I22" s="157"/>
      <c r="J22" s="157"/>
      <c r="K22" s="1"/>
      <c r="L22" s="430" t="s">
        <v>585</v>
      </c>
      <c r="O22" s="20" t="s">
        <v>161</v>
      </c>
      <c r="P22" s="1"/>
      <c r="Q22" s="1"/>
      <c r="R22" s="98"/>
      <c r="S22" s="74"/>
      <c r="T22" s="75"/>
      <c r="U22" s="39"/>
      <c r="V22" s="105"/>
      <c r="W22" s="77"/>
      <c r="X22" s="39"/>
      <c r="Y22" s="76"/>
      <c r="Z22" s="77"/>
      <c r="AA22" s="39"/>
      <c r="AB22" s="76"/>
      <c r="AC22" s="59"/>
      <c r="AD22" s="47"/>
      <c r="AE22" s="76"/>
      <c r="AF22" s="59"/>
      <c r="AG22" s="47"/>
      <c r="AH22" s="76"/>
      <c r="AI22" s="59"/>
      <c r="AJ22" s="47"/>
      <c r="AK22" s="76"/>
      <c r="AL22" s="59"/>
      <c r="AM22" s="47"/>
      <c r="AN22" s="76"/>
      <c r="AO22" s="59"/>
      <c r="AP22" s="47"/>
      <c r="AQ22" s="76"/>
      <c r="AR22" s="59"/>
      <c r="AS22" s="47"/>
      <c r="AT22" s="76"/>
      <c r="AU22" s="59"/>
    </row>
    <row r="23" spans="1:47" ht="12.75" customHeight="1" x14ac:dyDescent="0.25">
      <c r="A23" s="125"/>
      <c r="B23" s="121"/>
      <c r="C23" s="133"/>
      <c r="D23" s="134"/>
      <c r="E23" s="135"/>
      <c r="F23" s="121"/>
      <c r="J23" s="157"/>
      <c r="K23" s="161"/>
      <c r="L23" s="1"/>
      <c r="O23" s="56" t="s">
        <v>152</v>
      </c>
      <c r="P23" s="56"/>
      <c r="Q23" s="56" t="s">
        <v>153</v>
      </c>
      <c r="R23" s="490">
        <f ca="1">IF(IEC_6=1,B6,IF(IEC_6=2,B6/1.17,"Invallid"))</f>
        <v>4.7300000000000004</v>
      </c>
      <c r="S23" s="74"/>
      <c r="T23" s="78"/>
      <c r="U23" s="490">
        <f ca="1">IF(IEC_6=1,C6,IF(IEC_6=2,C6/1.17,"Invallid"))</f>
        <v>11.6</v>
      </c>
      <c r="V23" s="74"/>
      <c r="W23" s="81" t="s">
        <v>159</v>
      </c>
      <c r="X23" s="490">
        <f ca="1">IF(IEC_6=1,D6,IF(IEC_6=2,D6/1.17,"Invallid"))</f>
        <v>23</v>
      </c>
      <c r="Y23" s="74"/>
      <c r="Z23" s="78"/>
      <c r="AA23" s="490">
        <f ca="1">IF(IEC_6=1,E6,IF(IEC_6=2,E6/1.17,"Invallid"))</f>
        <v>39.4</v>
      </c>
      <c r="AB23" s="74"/>
      <c r="AC23" s="78"/>
      <c r="AD23" s="490">
        <f ca="1">IF(IEC_6=1,F6,IF(IEC_6=2,F6/1.17,"Invallid"))</f>
        <v>61</v>
      </c>
      <c r="AE23" s="74"/>
      <c r="AF23" s="78"/>
      <c r="AG23" s="490">
        <f ca="1">IF(IEC_6=1,G6,IF(IEC_6=2,G6/1.17,"Invallid"))</f>
        <v>88.2</v>
      </c>
      <c r="AH23" s="74"/>
      <c r="AI23" s="78"/>
      <c r="AJ23" s="490">
        <f ca="1">IF(IEC_6=1,H6,IF(IEC_6=2,H6/1.17,"Invallid"))</f>
        <v>121</v>
      </c>
      <c r="AK23" s="74"/>
      <c r="AL23" s="78"/>
      <c r="AM23" s="490">
        <f ca="1">IF(IEC_6=1,I6,IF(IEC_6=2,I6/1.17,"Invallid"))</f>
        <v>165</v>
      </c>
      <c r="AN23" s="74"/>
      <c r="AO23" s="78"/>
      <c r="AP23" s="490">
        <f ca="1">IF(IEC_6=1,J6,IF(IEC_6=2,J6/1.17,"Invallid"))</f>
        <v>246</v>
      </c>
      <c r="AS23" s="490">
        <f ca="1">IF(IEC_6=1,K6,IF(IEC_6=2,K6/1.17,"Invallid"))</f>
        <v>420</v>
      </c>
      <c r="AT23" s="74"/>
      <c r="AU23" s="77"/>
    </row>
    <row r="24" spans="1:47" ht="12.75" customHeight="1" x14ac:dyDescent="0.25">
      <c r="A24" s="125"/>
      <c r="B24" s="121"/>
      <c r="C24" s="121"/>
      <c r="D24" s="121"/>
      <c r="E24" s="136"/>
      <c r="F24" s="121"/>
      <c r="H24" s="142"/>
      <c r="I24" s="157"/>
      <c r="O24" s="56"/>
      <c r="P24" s="56"/>
      <c r="Q24" s="487" t="s">
        <v>621</v>
      </c>
      <c r="R24" s="100"/>
      <c r="S24" s="74"/>
      <c r="T24" s="78"/>
      <c r="U24" s="100"/>
      <c r="V24" s="74"/>
      <c r="W24" s="78"/>
      <c r="X24" s="58"/>
      <c r="Y24" s="74"/>
      <c r="Z24" s="78"/>
      <c r="AA24" s="58"/>
      <c r="AB24" s="74"/>
      <c r="AC24" s="78"/>
      <c r="AD24" s="58"/>
      <c r="AE24" s="74"/>
      <c r="AF24" s="78"/>
      <c r="AG24" s="58"/>
      <c r="AH24" s="74"/>
      <c r="AI24" s="78"/>
      <c r="AJ24" s="58"/>
      <c r="AK24" s="74"/>
      <c r="AL24" s="78"/>
      <c r="AM24" s="58"/>
      <c r="AN24" s="74"/>
      <c r="AO24" s="78"/>
      <c r="AP24" s="58"/>
      <c r="AQ24" s="74"/>
      <c r="AR24" s="78"/>
      <c r="AS24" s="58"/>
      <c r="AT24" s="74"/>
      <c r="AU24" s="77"/>
    </row>
    <row r="25" spans="1:47" ht="12.75" customHeight="1" x14ac:dyDescent="0.25">
      <c r="A25" s="118"/>
      <c r="B25" s="118"/>
      <c r="C25" s="118"/>
      <c r="D25" s="118"/>
      <c r="E25" s="118"/>
      <c r="F25" s="121"/>
      <c r="H25" s="142" t="s">
        <v>187</v>
      </c>
      <c r="I25" s="173"/>
      <c r="J25" s="118"/>
      <c r="K25" s="1"/>
      <c r="L25" s="1"/>
      <c r="O25" s="59"/>
      <c r="P25" s="59"/>
      <c r="Q25" s="487" t="s">
        <v>622</v>
      </c>
      <c r="R25" s="101"/>
      <c r="S25" s="74"/>
      <c r="T25" s="78"/>
      <c r="U25" s="101"/>
      <c r="V25" s="74"/>
      <c r="W25" s="78"/>
      <c r="X25" s="60"/>
      <c r="Y25" s="74"/>
      <c r="Z25" s="78"/>
      <c r="AA25" s="60"/>
      <c r="AB25" s="74"/>
      <c r="AC25" s="78"/>
      <c r="AD25" s="60"/>
      <c r="AE25" s="74"/>
      <c r="AF25" s="78"/>
      <c r="AG25" s="60"/>
      <c r="AH25" s="74"/>
      <c r="AI25" s="78"/>
      <c r="AJ25" s="60"/>
      <c r="AK25" s="74"/>
      <c r="AL25" s="78"/>
      <c r="AM25" s="60"/>
      <c r="AN25" s="74"/>
      <c r="AO25" s="78"/>
      <c r="AP25" s="60"/>
      <c r="AQ25" s="74"/>
      <c r="AR25" s="78"/>
      <c r="AS25" s="60"/>
      <c r="AT25" s="74"/>
      <c r="AU25" s="77"/>
    </row>
    <row r="26" spans="1:47" ht="12.75" customHeight="1" x14ac:dyDescent="0.25">
      <c r="A26" s="118"/>
      <c r="B26" s="118"/>
      <c r="C26" s="118"/>
      <c r="D26" s="118"/>
      <c r="E26" s="118"/>
      <c r="F26" s="118"/>
      <c r="H26" s="173"/>
      <c r="I26" s="158" t="s">
        <v>185</v>
      </c>
      <c r="J26" s="495">
        <f>Q_min</f>
        <v>31863</v>
      </c>
      <c r="K26" s="1"/>
      <c r="L26" s="1"/>
      <c r="O26" s="61" t="s">
        <v>162</v>
      </c>
      <c r="P26" s="59"/>
      <c r="Q26" s="487" t="s">
        <v>623</v>
      </c>
      <c r="R26" s="101"/>
      <c r="S26" s="74"/>
      <c r="T26" s="78"/>
      <c r="U26" s="101"/>
      <c r="V26" s="74"/>
      <c r="W26" s="78"/>
      <c r="X26" s="60"/>
      <c r="Y26" s="74"/>
      <c r="Z26" s="78"/>
      <c r="AA26" s="60"/>
      <c r="AB26" s="74"/>
      <c r="AC26" s="78"/>
      <c r="AD26" s="60"/>
      <c r="AE26" s="74"/>
      <c r="AF26" s="78"/>
      <c r="AG26" s="60"/>
      <c r="AH26" s="74"/>
      <c r="AI26" s="78"/>
      <c r="AJ26" s="60"/>
      <c r="AK26" s="74"/>
      <c r="AL26" s="78"/>
      <c r="AM26" s="60"/>
      <c r="AN26" s="74"/>
      <c r="AO26" s="78"/>
      <c r="AP26" s="60"/>
      <c r="AQ26" s="74"/>
      <c r="AR26" s="78"/>
      <c r="AS26" s="60"/>
      <c r="AT26" s="74"/>
      <c r="AU26" s="77"/>
    </row>
    <row r="27" spans="1:47" ht="12.75" customHeight="1" x14ac:dyDescent="0.25">
      <c r="A27" s="118"/>
      <c r="B27" s="118"/>
      <c r="C27" s="118"/>
      <c r="D27" s="118"/>
      <c r="E27" s="118"/>
      <c r="F27" s="118"/>
      <c r="I27" s="158"/>
      <c r="L27" s="1"/>
      <c r="O27" s="56" t="s">
        <v>154</v>
      </c>
      <c r="P27" s="56">
        <v>15</v>
      </c>
      <c r="Q27" s="56" t="s">
        <v>155</v>
      </c>
      <c r="R27" s="102">
        <f ca="1">1/(SQRT(1+(SIGMA_ZETA/N_2)*(C_h/d^2)^2))</f>
        <v>0.99986909815592784</v>
      </c>
      <c r="S27" s="74"/>
      <c r="T27" s="78"/>
      <c r="U27" s="102">
        <f ca="1">1/(SQRT(1+(SIGMA_ZETA/N_2)*(U23/d^2)^2))</f>
        <v>0.99921347572121866</v>
      </c>
      <c r="V27" s="74"/>
      <c r="W27" s="78"/>
      <c r="X27" s="102">
        <f ca="1">1/(SQRT(1+(SIGMA_ZETA/N_2)*(X23/d^2)^2))</f>
        <v>0.996918561934801</v>
      </c>
      <c r="Y27" s="74"/>
      <c r="Z27" s="78"/>
      <c r="AA27" s="102">
        <f ca="1">1/(SQRT(1+(SIGMA_ZETA/N_2)*(AA23/d^2)^2))</f>
        <v>0.99103744356602164</v>
      </c>
      <c r="AB27" s="74"/>
      <c r="AC27" s="78"/>
      <c r="AD27" s="102">
        <f ca="1">1/(SQRT(1+(SIGMA_ZETA/N_2)*(AD23/d^2)^2))</f>
        <v>0.97891087779046448</v>
      </c>
      <c r="AE27" s="74"/>
      <c r="AF27" s="78"/>
      <c r="AG27" s="102">
        <f ca="1">1/(SQRT(1+(SIGMA_ZETA/N_2)*(AG23/d^2)^2))</f>
        <v>0.95736564963315518</v>
      </c>
      <c r="AH27" s="74"/>
      <c r="AI27" s="78"/>
      <c r="AJ27" s="102">
        <f ca="1">1/(SQRT(1+(SIGMA_ZETA/N_2)*(AJ23/d^2)^2))</f>
        <v>0.92396347120335021</v>
      </c>
      <c r="AK27" s="74"/>
      <c r="AL27" s="78"/>
      <c r="AM27" s="102">
        <f ca="1">1/(SQRT(1+(SIGMA_ZETA/N_2)*(AM23/d^2)^2))</f>
        <v>0.87083546868902117</v>
      </c>
      <c r="AN27" s="74"/>
      <c r="AO27" s="78"/>
      <c r="AP27" s="102">
        <f ca="1">1/(SQRT(1+(SIGMA_ZETA/N_2)*(AP23/d^2)^2))</f>
        <v>0.76510253947679263</v>
      </c>
      <c r="AQ27" s="74"/>
      <c r="AR27" s="78"/>
      <c r="AS27" s="102">
        <f ca="1">1/(SQRT(1+(SIGMA_ZETA/N_2)*(AS23/d^2)^2))</f>
        <v>0.57123212545768454</v>
      </c>
      <c r="AT27" s="74"/>
      <c r="AU27" s="77"/>
    </row>
    <row r="28" spans="1:47" ht="12.75" customHeight="1" x14ac:dyDescent="0.25">
      <c r="A28" s="118"/>
      <c r="B28" s="118"/>
      <c r="C28" s="118"/>
      <c r="D28" s="118"/>
      <c r="E28" s="118"/>
      <c r="F28" s="118"/>
      <c r="G28" s="118"/>
      <c r="H28" s="137"/>
      <c r="I28" s="1"/>
      <c r="J28" s="1"/>
      <c r="K28" s="59"/>
      <c r="L28" s="59"/>
      <c r="P28" s="56"/>
      <c r="Q28" s="56"/>
      <c r="R28" s="44"/>
      <c r="S28" s="74"/>
      <c r="T28" s="78"/>
      <c r="U28" s="44"/>
      <c r="V28" s="74"/>
      <c r="W28" s="78"/>
      <c r="X28" s="57"/>
      <c r="Y28" s="74"/>
      <c r="Z28" s="78"/>
      <c r="AA28" s="57"/>
      <c r="AB28" s="74"/>
      <c r="AC28" s="78"/>
      <c r="AD28" s="57"/>
      <c r="AE28" s="74"/>
      <c r="AF28" s="78"/>
      <c r="AG28" s="57"/>
      <c r="AH28" s="74"/>
      <c r="AI28" s="78"/>
      <c r="AJ28" s="57"/>
      <c r="AK28" s="74"/>
      <c r="AL28" s="78"/>
      <c r="AM28" s="57"/>
      <c r="AN28" s="74"/>
      <c r="AO28" s="78"/>
      <c r="AP28" s="57"/>
      <c r="AQ28" s="74"/>
      <c r="AR28" s="78"/>
      <c r="AS28" s="57"/>
      <c r="AT28" s="74"/>
      <c r="AU28" s="77"/>
    </row>
    <row r="29" spans="1:47" ht="12.75" customHeight="1" x14ac:dyDescent="0.3">
      <c r="A29" s="118"/>
      <c r="B29" s="118"/>
      <c r="C29" s="118"/>
      <c r="D29" s="118"/>
      <c r="E29" s="118"/>
      <c r="F29" s="118"/>
      <c r="G29" s="118"/>
      <c r="H29" s="137"/>
      <c r="I29" s="158" t="s">
        <v>175</v>
      </c>
      <c r="J29" s="1" t="str">
        <f>'Valve Sizing'!B2</f>
        <v>scfh</v>
      </c>
      <c r="K29" s="59"/>
      <c r="O29" s="56" t="s">
        <v>170</v>
      </c>
      <c r="P29" s="56">
        <v>21</v>
      </c>
      <c r="Q29" s="56" t="s">
        <v>163</v>
      </c>
      <c r="R29" s="144">
        <f ca="1">(B7/R27^2)/(1+(B7*SIGMA_ZETA_1/N_5)*(R23/d^2)^2)</f>
        <v>0.64002969751372984</v>
      </c>
      <c r="S29" s="79"/>
      <c r="T29" s="39"/>
      <c r="U29" s="144">
        <f ca="1">(C7/U27^2)/(1+(C7*SIGMA_ZETA_1/N_5)*(U23/d^2)^2)</f>
        <v>0.64017842058782071</v>
      </c>
      <c r="V29" s="79"/>
      <c r="W29" s="39"/>
      <c r="X29" s="144">
        <f ca="1">(D7/X27^2)/(1+(D7*SIGMA_ZETA_1/N_5)*(X23/d^2)^2)</f>
        <v>0.63413873724904268</v>
      </c>
      <c r="Y29" s="79"/>
      <c r="Z29" s="39"/>
      <c r="AA29" s="144">
        <f ca="1">(E7/AA27^2)/(1+(E7*SIGMA_ZETA_1/N_5)*(AA23/d^2)^2)</f>
        <v>0.62532411750377137</v>
      </c>
      <c r="AB29" s="79"/>
      <c r="AC29" s="39"/>
      <c r="AD29" s="144">
        <f ca="1">(F7/AD27^2)/(1+(F7*SIGMA_ZETA_1/N_5)*(AD23/d^2)^2)</f>
        <v>0.60651359509139569</v>
      </c>
      <c r="AE29" s="79"/>
      <c r="AF29" s="39"/>
      <c r="AG29" s="144">
        <f ca="1">(G7/AG27^2)/(1+(G7*SIGMA_ZETA_1/N_5)*(AG23/d^2)^2)</f>
        <v>0.57217930198481592</v>
      </c>
      <c r="AH29" s="79"/>
      <c r="AI29" s="39"/>
      <c r="AJ29" s="144">
        <f ca="1">(H7/AJ27^2)/(1+(H7*SIGMA_ZETA_1/N_5)*(AJ23/d^2)^2)</f>
        <v>0.53183282018848232</v>
      </c>
      <c r="AK29" s="79"/>
      <c r="AL29" s="39"/>
      <c r="AM29" s="144">
        <f ca="1">(I7/AM27^2)/(1+(I7*SIGMA_ZETA_1/N_5)*(AM23/d^2)^2)</f>
        <v>0.47566512503094399</v>
      </c>
      <c r="AN29" s="79"/>
      <c r="AO29" s="39"/>
      <c r="AP29" s="144">
        <f ca="1">(H7/AP27^2)/(1+(H7*SIGMA_ZETA_1/N_5)*(AP23/d^2)^2)</f>
        <v>0.59054158265645496</v>
      </c>
      <c r="AQ29" s="79"/>
      <c r="AR29" s="39"/>
      <c r="AS29" s="144">
        <f ca="1">(K7/AS27^2)/(1+(K7*SIGMA_ZETA_1/N_5)*(AS23/d^2)^2)</f>
        <v>0.3766899554102966</v>
      </c>
      <c r="AT29" s="79"/>
      <c r="AU29" s="77"/>
    </row>
    <row r="30" spans="1:47" ht="12.75" customHeight="1" x14ac:dyDescent="0.25">
      <c r="A30" s="118"/>
      <c r="B30" s="118"/>
      <c r="C30" s="118"/>
      <c r="D30" s="118"/>
      <c r="E30" s="118"/>
      <c r="F30" s="118"/>
      <c r="G30" s="118"/>
      <c r="H30" s="137"/>
      <c r="I30" s="59"/>
      <c r="J30" s="59"/>
      <c r="K30" s="59"/>
      <c r="L30" s="59"/>
      <c r="O30" s="59"/>
      <c r="P30" s="59"/>
      <c r="Q30" s="59"/>
      <c r="R30" s="47"/>
      <c r="S30" s="80"/>
      <c r="T30" s="81"/>
      <c r="U30" s="47"/>
      <c r="V30" s="80"/>
      <c r="W30" s="81"/>
      <c r="X30" s="62"/>
      <c r="Y30" s="80"/>
      <c r="Z30" s="81"/>
      <c r="AA30" s="62"/>
      <c r="AB30" s="80"/>
      <c r="AC30" s="81"/>
      <c r="AD30" s="62"/>
      <c r="AE30" s="80"/>
      <c r="AF30" s="81"/>
      <c r="AG30" s="62"/>
      <c r="AH30" s="80"/>
      <c r="AI30" s="81"/>
      <c r="AJ30" s="62"/>
      <c r="AK30" s="80"/>
      <c r="AL30" s="81"/>
      <c r="AM30" s="62"/>
      <c r="AN30" s="80"/>
      <c r="AO30" s="81"/>
      <c r="AP30" s="62"/>
      <c r="AQ30" s="80"/>
      <c r="AR30" s="81"/>
      <c r="AS30" s="62"/>
      <c r="AT30" s="80"/>
      <c r="AU30" s="75"/>
    </row>
    <row r="31" spans="1:47" ht="12.75" customHeight="1" x14ac:dyDescent="0.25">
      <c r="A31" s="1"/>
      <c r="B31" s="1"/>
      <c r="C31" s="1"/>
      <c r="D31" s="1"/>
      <c r="E31" s="1"/>
      <c r="F31" s="1"/>
      <c r="G31" s="1"/>
      <c r="H31" s="138"/>
      <c r="I31" s="59"/>
      <c r="J31" s="59"/>
      <c r="K31" s="59"/>
      <c r="O31" s="16"/>
      <c r="P31" s="59"/>
      <c r="Q31" s="59"/>
      <c r="R31" s="103"/>
      <c r="S31" s="80"/>
      <c r="T31" s="78"/>
      <c r="U31" s="103"/>
      <c r="V31" s="80"/>
      <c r="W31" s="78"/>
      <c r="X31" s="63"/>
      <c r="Y31" s="80"/>
      <c r="Z31" s="78"/>
      <c r="AA31" s="63"/>
      <c r="AB31" s="80"/>
      <c r="AC31" s="78"/>
      <c r="AD31" s="63"/>
      <c r="AE31" s="80"/>
      <c r="AF31" s="78"/>
      <c r="AG31" s="63"/>
      <c r="AH31" s="80"/>
      <c r="AI31" s="78"/>
      <c r="AJ31" s="63"/>
      <c r="AK31" s="80"/>
      <c r="AL31" s="78"/>
      <c r="AM31" s="63"/>
      <c r="AN31" s="80"/>
      <c r="AO31" s="78"/>
      <c r="AP31" s="63"/>
      <c r="AQ31" s="80"/>
      <c r="AR31" s="78"/>
      <c r="AS31" s="63"/>
      <c r="AT31" s="80"/>
      <c r="AU31" s="77"/>
    </row>
    <row r="32" spans="1:47" ht="12.75" customHeight="1" x14ac:dyDescent="0.25">
      <c r="A32" s="1"/>
      <c r="B32" s="1"/>
      <c r="C32" s="1"/>
      <c r="D32" s="1"/>
      <c r="E32" s="1"/>
      <c r="F32" s="1"/>
      <c r="G32" s="1"/>
      <c r="H32" s="138"/>
      <c r="I32" s="59"/>
      <c r="J32" s="59"/>
      <c r="K32" s="59"/>
      <c r="L32" s="59"/>
      <c r="O32" s="8"/>
      <c r="P32" s="8"/>
      <c r="Q32" s="8"/>
      <c r="R32" s="31"/>
      <c r="S32" s="80"/>
      <c r="T32" s="81"/>
      <c r="U32" s="44"/>
      <c r="V32" s="80"/>
      <c r="W32" s="81"/>
      <c r="X32" s="57"/>
      <c r="Y32" s="80"/>
      <c r="Z32" s="81"/>
      <c r="AA32" s="57"/>
      <c r="AB32" s="80"/>
      <c r="AC32" s="81"/>
      <c r="AD32" s="57"/>
      <c r="AE32" s="80"/>
      <c r="AF32" s="81"/>
      <c r="AG32" s="57"/>
      <c r="AH32" s="80"/>
      <c r="AI32" s="81"/>
      <c r="AJ32" s="57"/>
      <c r="AK32" s="80"/>
      <c r="AL32" s="81"/>
      <c r="AM32" s="57"/>
      <c r="AN32" s="80"/>
      <c r="AO32" s="81"/>
      <c r="AP32" s="57"/>
      <c r="AQ32" s="80"/>
      <c r="AR32" s="81"/>
      <c r="AS32" s="57"/>
      <c r="AT32" s="80"/>
      <c r="AU32" s="75"/>
    </row>
    <row r="33" spans="1:47" ht="12.75" customHeight="1" x14ac:dyDescent="0.25">
      <c r="A33" s="1"/>
      <c r="B33" s="1"/>
      <c r="C33" s="1"/>
      <c r="D33" s="1"/>
      <c r="E33" s="1"/>
      <c r="F33" s="1"/>
      <c r="G33" s="1"/>
      <c r="H33" s="138"/>
      <c r="I33" s="59"/>
      <c r="J33" s="59"/>
      <c r="K33" s="59"/>
      <c r="L33" s="59"/>
      <c r="O33" s="20" t="s">
        <v>130</v>
      </c>
      <c r="P33" s="8"/>
      <c r="Q33" s="8" t="s">
        <v>131</v>
      </c>
      <c r="R33" s="31">
        <f>Q_min/100</f>
        <v>318.63</v>
      </c>
      <c r="S33" s="64" t="s">
        <v>137</v>
      </c>
      <c r="T33" s="65" t="s">
        <v>146</v>
      </c>
      <c r="U33" s="102">
        <f ca="1">T19</f>
        <v>11708.949265686702</v>
      </c>
      <c r="V33" s="64" t="s">
        <v>137</v>
      </c>
      <c r="W33" s="65" t="s">
        <v>146</v>
      </c>
      <c r="X33" s="102">
        <f ca="1">W19</f>
        <v>28670.915757761817</v>
      </c>
      <c r="Y33" s="64" t="s">
        <v>137</v>
      </c>
      <c r="Z33" s="65" t="s">
        <v>146</v>
      </c>
      <c r="AA33" s="102">
        <f ca="1">Z19</f>
        <v>55843.625776376437</v>
      </c>
      <c r="AB33" s="64" t="s">
        <v>137</v>
      </c>
      <c r="AC33" s="65" t="s">
        <v>146</v>
      </c>
      <c r="AD33" s="102">
        <f ca="1">AC19</f>
        <v>93688.232299349285</v>
      </c>
      <c r="AE33" s="64" t="s">
        <v>137</v>
      </c>
      <c r="AF33" s="65" t="s">
        <v>146</v>
      </c>
      <c r="AG33" s="102">
        <f ca="1">AF19</f>
        <v>136740.52674687753</v>
      </c>
      <c r="AH33" s="64" t="s">
        <v>137</v>
      </c>
      <c r="AI33" s="65" t="s">
        <v>146</v>
      </c>
      <c r="AJ33" s="102">
        <f ca="1">AI19</f>
        <v>182480.76302755359</v>
      </c>
      <c r="AK33" s="64" t="s">
        <v>137</v>
      </c>
      <c r="AL33" s="65" t="s">
        <v>146</v>
      </c>
      <c r="AM33" s="102">
        <f ca="1">AL19</f>
        <v>222661.20952832617</v>
      </c>
      <c r="AN33" s="64" t="s">
        <v>137</v>
      </c>
      <c r="AO33" s="65" t="s">
        <v>146</v>
      </c>
      <c r="AP33" s="102">
        <f ca="1">AO19</f>
        <v>258502.75182752116</v>
      </c>
      <c r="AQ33" s="64" t="s">
        <v>137</v>
      </c>
      <c r="AR33" s="65" t="s">
        <v>146</v>
      </c>
      <c r="AS33" s="102">
        <f ca="1">AR19</f>
        <v>303114.80644696194</v>
      </c>
      <c r="AT33" s="64" t="s">
        <v>137</v>
      </c>
      <c r="AU33" s="180" t="s">
        <v>146</v>
      </c>
    </row>
    <row r="34" spans="1:47" ht="12.75" customHeight="1" x14ac:dyDescent="0.25">
      <c r="A34" s="1"/>
      <c r="B34" s="1"/>
      <c r="C34" s="1"/>
      <c r="D34" s="1"/>
      <c r="E34" s="1"/>
      <c r="F34" s="1"/>
      <c r="G34" s="1"/>
      <c r="H34" s="138"/>
      <c r="I34" s="59"/>
      <c r="J34" s="59"/>
      <c r="K34" s="59"/>
      <c r="L34" s="59"/>
      <c r="O34" s="8"/>
      <c r="P34" s="8"/>
      <c r="Q34" s="8"/>
      <c r="R34" s="112"/>
      <c r="S34" s="66" t="s">
        <v>156</v>
      </c>
      <c r="T34" s="67" t="s">
        <v>147</v>
      </c>
      <c r="U34" s="59"/>
      <c r="V34" s="66" t="s">
        <v>156</v>
      </c>
      <c r="W34" s="67" t="s">
        <v>147</v>
      </c>
      <c r="X34" s="59"/>
      <c r="Y34" s="66" t="s">
        <v>156</v>
      </c>
      <c r="Z34" s="67" t="s">
        <v>147</v>
      </c>
      <c r="AA34" s="59"/>
      <c r="AB34" s="66" t="s">
        <v>156</v>
      </c>
      <c r="AC34" s="67" t="s">
        <v>147</v>
      </c>
      <c r="AD34" s="59"/>
      <c r="AE34" s="66" t="s">
        <v>156</v>
      </c>
      <c r="AF34" s="67" t="s">
        <v>147</v>
      </c>
      <c r="AG34" s="59"/>
      <c r="AH34" s="66" t="s">
        <v>156</v>
      </c>
      <c r="AI34" s="67" t="s">
        <v>147</v>
      </c>
      <c r="AJ34" s="59"/>
      <c r="AK34" s="66" t="s">
        <v>156</v>
      </c>
      <c r="AL34" s="67" t="s">
        <v>147</v>
      </c>
      <c r="AM34" s="59"/>
      <c r="AN34" s="66" t="s">
        <v>156</v>
      </c>
      <c r="AO34" s="67" t="s">
        <v>147</v>
      </c>
      <c r="AP34" s="59"/>
      <c r="AQ34" s="66" t="s">
        <v>156</v>
      </c>
      <c r="AR34" s="67" t="s">
        <v>147</v>
      </c>
      <c r="AS34" s="59"/>
      <c r="AT34" s="66" t="s">
        <v>156</v>
      </c>
      <c r="AU34" s="67" t="s">
        <v>147</v>
      </c>
    </row>
    <row r="35" spans="1:47" ht="12.75" customHeight="1" thickBot="1" x14ac:dyDescent="0.3">
      <c r="A35" s="1"/>
      <c r="B35" s="1"/>
      <c r="C35" s="1"/>
      <c r="D35" s="1"/>
      <c r="E35" s="1"/>
      <c r="F35" s="1"/>
      <c r="G35" s="1"/>
      <c r="H35" s="138"/>
      <c r="I35" s="59"/>
      <c r="J35" s="59"/>
      <c r="K35" s="59"/>
      <c r="L35" s="59"/>
      <c r="O35" s="8" t="s">
        <v>132</v>
      </c>
      <c r="P35" s="8"/>
      <c r="Q35" s="8" t="s">
        <v>133</v>
      </c>
      <c r="R35" s="96">
        <f>P_1_minQ-(Q_i^2*R_up)+dpup_minQ</f>
        <v>90.185022026202518</v>
      </c>
      <c r="S35" s="106"/>
      <c r="T35" s="22"/>
      <c r="U35" s="96">
        <f ca="1">P_1_minQ-(U33^2*R_up)+dpup_minQ</f>
        <v>90.160052651753219</v>
      </c>
      <c r="V35" s="106"/>
      <c r="W35" s="22"/>
      <c r="X35" s="96">
        <f ca="1">P_1_minQ-(X33^2*R_up)+dpup_minQ</f>
        <v>90.035218158971304</v>
      </c>
      <c r="Y35" s="106"/>
      <c r="Z35" s="22"/>
      <c r="AA35" s="96">
        <f ca="1">P_1_minQ-(AA33^2*R_up)+dpup_minQ</f>
        <v>89.616657957671919</v>
      </c>
      <c r="AB35" s="106"/>
      <c r="AC35" s="22"/>
      <c r="AD35" s="96">
        <f ca="1">P_1_minQ-(AD33^2*R_up)+dpup_minQ</f>
        <v>88.585248139544618</v>
      </c>
      <c r="AE35" s="106"/>
      <c r="AF35" s="22"/>
      <c r="AG35" s="96">
        <f ca="1">P_1_minQ-(AG33^2*R_up)+dpup_minQ</f>
        <v>86.77713117880063</v>
      </c>
      <c r="AH35" s="106"/>
      <c r="AI35" s="22"/>
      <c r="AJ35" s="96">
        <f ca="1">P_1_minQ-(AJ33^2*R_up)+dpup_minQ</f>
        <v>84.115892733182861</v>
      </c>
      <c r="AK35" s="106"/>
      <c r="AL35" s="22"/>
      <c r="AM35" s="96">
        <f ca="1">P_1_minQ-(AM33^2*R_up)+dpup_minQ</f>
        <v>81.148906481407167</v>
      </c>
      <c r="AN35" s="106"/>
      <c r="AO35" s="22"/>
      <c r="AP35" s="96">
        <f ca="1">P_1_minQ-(AP33^2*R_up)+dpup_minQ</f>
        <v>78.005697053712538</v>
      </c>
      <c r="AQ35" s="106"/>
      <c r="AR35" s="22"/>
      <c r="AS35" s="96">
        <f ca="1">P_1_minQ-(AS33^2*R_up)+dpup_minQ</f>
        <v>73.439165746554195</v>
      </c>
      <c r="AT35" s="106"/>
      <c r="AU35" s="22"/>
    </row>
    <row r="36" spans="1:47" ht="12.75" customHeight="1" thickTop="1" x14ac:dyDescent="0.25">
      <c r="A36" s="149" t="s">
        <v>166</v>
      </c>
      <c r="B36" s="150">
        <v>0</v>
      </c>
      <c r="C36" s="150">
        <v>0.1</v>
      </c>
      <c r="D36" s="150">
        <v>0.2</v>
      </c>
      <c r="E36" s="150">
        <v>0.3</v>
      </c>
      <c r="F36" s="150">
        <v>0.4</v>
      </c>
      <c r="G36" s="150">
        <v>0.5</v>
      </c>
      <c r="H36" s="150">
        <v>0.6</v>
      </c>
      <c r="I36" s="151">
        <v>0.7</v>
      </c>
      <c r="J36" s="151">
        <v>0.8</v>
      </c>
      <c r="K36" s="151">
        <v>0.9</v>
      </c>
      <c r="L36" s="193">
        <v>1</v>
      </c>
      <c r="O36" s="8" t="s">
        <v>134</v>
      </c>
      <c r="Q36" s="8" t="s">
        <v>135</v>
      </c>
      <c r="R36" s="97">
        <f>P_2_minQ+(Q_i^2*R_dn)-dpdn_minQ</f>
        <v>60</v>
      </c>
      <c r="S36" s="106"/>
      <c r="T36" s="22"/>
      <c r="U36" s="97">
        <f ca="1">P_2_minQ+(U33^2*R_dn)-dpdn_minQ</f>
        <v>60</v>
      </c>
      <c r="V36" s="106"/>
      <c r="W36" s="22"/>
      <c r="X36" s="97">
        <f ca="1">P_2_minQ+(X33^2*R_dn)-dpdn_minQ</f>
        <v>60</v>
      </c>
      <c r="Y36" s="106"/>
      <c r="Z36" s="22"/>
      <c r="AA36" s="97">
        <f ca="1">P_2_minQ+(AA33^2*R_dn)-dpdn_minQ</f>
        <v>60</v>
      </c>
      <c r="AB36" s="106"/>
      <c r="AC36" s="22"/>
      <c r="AD36" s="97">
        <f ca="1">P_2_minQ+(AD33^2*R_dn)-dpdn_minQ</f>
        <v>60</v>
      </c>
      <c r="AE36" s="106"/>
      <c r="AF36" s="22"/>
      <c r="AG36" s="97">
        <f ca="1">P_2_minQ+(AG33^2*R_dn)-dpdn_minQ</f>
        <v>60</v>
      </c>
      <c r="AH36" s="106"/>
      <c r="AI36" s="22"/>
      <c r="AJ36" s="97">
        <f ca="1">P_2_minQ+(AJ33^2*R_dn)-dpdn_minQ</f>
        <v>60</v>
      </c>
      <c r="AK36" s="106"/>
      <c r="AL36" s="22"/>
      <c r="AM36" s="97">
        <f ca="1">P_2_minQ+(AM33^2*R_dn)-dpdn_minQ</f>
        <v>60</v>
      </c>
      <c r="AN36" s="106"/>
      <c r="AO36" s="22"/>
      <c r="AP36" s="97">
        <f ca="1">P_2_minQ+(AP33^2*R_dn)-dpdn_minQ</f>
        <v>60</v>
      </c>
      <c r="AQ36" s="106"/>
      <c r="AR36" s="22"/>
      <c r="AS36" s="97">
        <f ca="1">P_2_minQ+(AS33^2*R_dn)-dpdn_minQ</f>
        <v>60</v>
      </c>
      <c r="AT36" s="106"/>
      <c r="AU36" s="22"/>
    </row>
    <row r="37" spans="1:47" x14ac:dyDescent="0.25">
      <c r="A37" s="153" t="s">
        <v>167</v>
      </c>
      <c r="B37" s="140">
        <v>0</v>
      </c>
      <c r="C37" s="140">
        <f ca="1">T19/Qf</f>
        <v>3.5673012237527522E-2</v>
      </c>
      <c r="D37" s="140">
        <f ca="1">W19/Qf</f>
        <v>8.7350103367945076E-2</v>
      </c>
      <c r="E37" s="140">
        <f ca="1">Z19/Qf</f>
        <v>0.17013570564751709</v>
      </c>
      <c r="F37" s="140">
        <f ca="1">AC19/Qf</f>
        <v>0.28543478851012</v>
      </c>
      <c r="G37" s="140">
        <f ca="1">AF19/Qf</f>
        <v>0.41659984797288652</v>
      </c>
      <c r="H37" s="140">
        <f ca="1">AI19/Qf</f>
        <v>0.55595411209713741</v>
      </c>
      <c r="I37" s="140">
        <f ca="1">AL19/Qf</f>
        <v>0.67836967024904271</v>
      </c>
      <c r="J37" s="140">
        <f ca="1">AO19/Qf</f>
        <v>0.78756612742372145</v>
      </c>
      <c r="K37" s="140">
        <f ca="1">AR19/Qf</f>
        <v>0.92348322248231229</v>
      </c>
      <c r="L37" s="194">
        <f ca="1">AU19/Qf</f>
        <v>1</v>
      </c>
      <c r="O37" s="8" t="s">
        <v>138</v>
      </c>
      <c r="Q37" s="8" t="s">
        <v>139</v>
      </c>
      <c r="R37" s="97">
        <f>P1_Qi-P2_Qi</f>
        <v>30.185022026202518</v>
      </c>
      <c r="S37" s="106"/>
      <c r="T37" s="22"/>
      <c r="U37" s="97">
        <f ca="1">U35-U36</f>
        <v>30.160052651753219</v>
      </c>
      <c r="V37" s="106"/>
      <c r="W37" s="22"/>
      <c r="X37" s="97">
        <f ca="1">X35-X36</f>
        <v>30.035218158971304</v>
      </c>
      <c r="Y37" s="106"/>
      <c r="Z37" s="22"/>
      <c r="AA37" s="97">
        <f ca="1">AA35-AA36</f>
        <v>29.616657957671919</v>
      </c>
      <c r="AB37" s="106"/>
      <c r="AC37" s="22"/>
      <c r="AD37" s="97">
        <f ca="1">AD35-AD36</f>
        <v>28.585248139544618</v>
      </c>
      <c r="AE37" s="106"/>
      <c r="AF37" s="22"/>
      <c r="AG37" s="97">
        <f ca="1">AG35-AG36</f>
        <v>26.77713117880063</v>
      </c>
      <c r="AH37" s="106"/>
      <c r="AI37" s="22"/>
      <c r="AJ37" s="97">
        <f ca="1">AJ35-AJ36</f>
        <v>24.115892733182861</v>
      </c>
      <c r="AK37" s="106"/>
      <c r="AL37" s="22"/>
      <c r="AM37" s="97">
        <f ca="1">AM35-AM36</f>
        <v>21.148906481407167</v>
      </c>
      <c r="AN37" s="106"/>
      <c r="AO37" s="22"/>
      <c r="AP37" s="97">
        <f ca="1">AP35-AP36</f>
        <v>18.005697053712538</v>
      </c>
      <c r="AQ37" s="106"/>
      <c r="AR37" s="22"/>
      <c r="AS37" s="97">
        <f ca="1">AS35-AS36</f>
        <v>13.439165746554195</v>
      </c>
      <c r="AT37" s="106"/>
      <c r="AU37" s="22"/>
    </row>
    <row r="38" spans="1:47" ht="14.4" x14ac:dyDescent="0.3">
      <c r="A38" s="148" t="s">
        <v>168</v>
      </c>
      <c r="B38" s="141">
        <f t="shared" ref="B38:L38" ca="1" si="1">Q_min/Qf</f>
        <v>9.7075251000985324E-2</v>
      </c>
      <c r="C38" s="141">
        <f t="shared" ca="1" si="1"/>
        <v>9.7075251000985324E-2</v>
      </c>
      <c r="D38" s="141">
        <f t="shared" ca="1" si="1"/>
        <v>9.7075251000985324E-2</v>
      </c>
      <c r="E38" s="141">
        <f t="shared" ca="1" si="1"/>
        <v>9.7075251000985324E-2</v>
      </c>
      <c r="F38" s="141">
        <f t="shared" ca="1" si="1"/>
        <v>9.7075251000985324E-2</v>
      </c>
      <c r="G38" s="141">
        <f t="shared" ca="1" si="1"/>
        <v>9.7075251000985324E-2</v>
      </c>
      <c r="H38" s="141">
        <f t="shared" ca="1" si="1"/>
        <v>9.7075251000985324E-2</v>
      </c>
      <c r="I38" s="141">
        <f t="shared" ca="1" si="1"/>
        <v>9.7075251000985324E-2</v>
      </c>
      <c r="J38" s="141">
        <f t="shared" ca="1" si="1"/>
        <v>9.7075251000985324E-2</v>
      </c>
      <c r="K38" s="141">
        <f t="shared" ca="1" si="1"/>
        <v>9.7075251000985324E-2</v>
      </c>
      <c r="L38" s="195">
        <f t="shared" ca="1" si="1"/>
        <v>9.7075251000985324E-2</v>
      </c>
      <c r="O38" s="2" t="s">
        <v>140</v>
      </c>
      <c r="P38" s="11"/>
      <c r="Q38" s="2" t="s">
        <v>141</v>
      </c>
      <c r="R38" s="96">
        <f>DELTA_P_Qi/P1_Qi</f>
        <v>0.3347010550979575</v>
      </c>
      <c r="S38" s="106"/>
      <c r="T38" s="22"/>
      <c r="U38" s="96">
        <f ca="1">U37/U35</f>
        <v>0.33451680389149302</v>
      </c>
      <c r="V38" s="106"/>
      <c r="W38" s="22"/>
      <c r="X38" s="96">
        <f ca="1">X37/X35</f>
        <v>0.33359410654105837</v>
      </c>
      <c r="Y38" s="106"/>
      <c r="Z38" s="22"/>
      <c r="AA38" s="96">
        <f ca="1">AA37/AA35</f>
        <v>0.33048161617074107</v>
      </c>
      <c r="AB38" s="106"/>
      <c r="AC38" s="22"/>
      <c r="AD38" s="96">
        <f ca="1">AD37/AD35</f>
        <v>0.3226863246408192</v>
      </c>
      <c r="AE38" s="106"/>
      <c r="AF38" s="22"/>
      <c r="AG38" s="96">
        <f ca="1">AG37/AG35</f>
        <v>0.30857359323883937</v>
      </c>
      <c r="AH38" s="106"/>
      <c r="AI38" s="22"/>
      <c r="AJ38" s="96">
        <f ca="1">AJ37/AJ35</f>
        <v>0.28669841036674137</v>
      </c>
      <c r="AK38" s="106"/>
      <c r="AL38" s="22"/>
      <c r="AM38" s="96">
        <f ca="1">AM37/AM35</f>
        <v>0.26061850243481471</v>
      </c>
      <c r="AN38" s="106"/>
      <c r="AO38" s="22"/>
      <c r="AP38" s="96">
        <f ca="1">AP37/AP35</f>
        <v>0.23082541062756376</v>
      </c>
      <c r="AQ38" s="106"/>
      <c r="AR38" s="22"/>
      <c r="AS38" s="96">
        <f ca="1">AS37/AS35</f>
        <v>0.18299725507413961</v>
      </c>
      <c r="AT38" s="106"/>
      <c r="AU38" s="22"/>
    </row>
    <row r="39" spans="1:47" ht="13.8" thickBot="1" x14ac:dyDescent="0.3">
      <c r="A39" s="196" t="s">
        <v>169</v>
      </c>
      <c r="B39" s="155">
        <f t="shared" ref="B39:L39" ca="1" si="2">Q_max/Qf</f>
        <v>0.72020556161930527</v>
      </c>
      <c r="C39" s="155">
        <f t="shared" ca="1" si="2"/>
        <v>0.72020556161930527</v>
      </c>
      <c r="D39" s="155">
        <f t="shared" ca="1" si="2"/>
        <v>0.72020556161930527</v>
      </c>
      <c r="E39" s="155">
        <f t="shared" ca="1" si="2"/>
        <v>0.72020556161930527</v>
      </c>
      <c r="F39" s="155">
        <f t="shared" ca="1" si="2"/>
        <v>0.72020556161930527</v>
      </c>
      <c r="G39" s="155">
        <f t="shared" ca="1" si="2"/>
        <v>0.72020556161930527</v>
      </c>
      <c r="H39" s="155">
        <f t="shared" ca="1" si="2"/>
        <v>0.72020556161930527</v>
      </c>
      <c r="I39" s="155">
        <f t="shared" ca="1" si="2"/>
        <v>0.72020556161930527</v>
      </c>
      <c r="J39" s="155">
        <f t="shared" ca="1" si="2"/>
        <v>0.72020556161930527</v>
      </c>
      <c r="K39" s="155">
        <f t="shared" ca="1" si="2"/>
        <v>0.72020556161930527</v>
      </c>
      <c r="L39" s="197">
        <f t="shared" ca="1" si="2"/>
        <v>0.72020556161930527</v>
      </c>
      <c r="O39" s="2" t="s">
        <v>21</v>
      </c>
      <c r="P39" s="8">
        <v>12</v>
      </c>
      <c r="Q39" s="2" t="s">
        <v>164</v>
      </c>
      <c r="R39" s="96">
        <f ca="1">1-x_Qi/(3*F_GAMMA*x_TP_h)</f>
        <v>0.82568462244895668</v>
      </c>
      <c r="S39" s="106"/>
      <c r="T39" s="22"/>
      <c r="U39" s="96">
        <f ca="1">1-U38/(3*F_GAMMA*U$29)</f>
        <v>0.82582105595690281</v>
      </c>
      <c r="V39" s="106"/>
      <c r="W39" s="22"/>
      <c r="X39" s="96">
        <f ca="1">1-X38/(3*F_GAMMA*X$29)</f>
        <v>0.82464714898813096</v>
      </c>
      <c r="Y39" s="106"/>
      <c r="Z39" s="22"/>
      <c r="AA39" s="96">
        <f ca="1">1-AA38/(3*F_GAMMA*AA$29)</f>
        <v>0.82383449536005471</v>
      </c>
      <c r="AB39" s="106"/>
      <c r="AC39" s="22"/>
      <c r="AD39" s="96">
        <f ca="1">1-AD38/(3*F_GAMMA*AD$29)</f>
        <v>0.82265507470216259</v>
      </c>
      <c r="AE39" s="106"/>
      <c r="AF39" s="22"/>
      <c r="AG39" s="96">
        <f ca="1">1-AG38/(3*F_GAMMA*AG$29)</f>
        <v>0.82023490878445648</v>
      </c>
      <c r="AH39" s="106"/>
      <c r="AI39" s="22"/>
      <c r="AJ39" s="96">
        <f ca="1">1-AJ38/(3*F_GAMMA*AJ$29)</f>
        <v>0.82030793670265589</v>
      </c>
      <c r="AK39" s="106"/>
      <c r="AL39" s="22"/>
      <c r="AM39" s="96">
        <f ca="1">1-AM38/(3*F_GAMMA*AM$29)</f>
        <v>0.81736555914355336</v>
      </c>
      <c r="AN39" s="106"/>
      <c r="AO39" s="22"/>
      <c r="AP39" s="96">
        <f ca="1">1-AP38/(3*F_GAMMA*AP$29)</f>
        <v>0.86970976167942127</v>
      </c>
      <c r="AQ39" s="106"/>
      <c r="AR39" s="22"/>
      <c r="AS39" s="96">
        <f ca="1">1-AS38/(3*F_GAMMA*AS$29)</f>
        <v>0.83806553865161593</v>
      </c>
      <c r="AT39" s="106"/>
      <c r="AU39" s="22"/>
    </row>
    <row r="40" spans="1:47" ht="13.8" thickTop="1" x14ac:dyDescent="0.25">
      <c r="O40" s="2" t="s">
        <v>57</v>
      </c>
      <c r="P40" s="10">
        <v>7</v>
      </c>
      <c r="Q40" s="2" t="s">
        <v>142</v>
      </c>
      <c r="R40" s="96">
        <f ca="1">(Q_i/(N_9*F_P_h*P1_Qi*Y_C_h))*SQRT(M*'Valve Sizing'!$W$6*'Valve Sizing'!G$8/x_Qi)</f>
        <v>0.12867540535034422</v>
      </c>
      <c r="S40" s="107"/>
      <c r="T40" s="22"/>
      <c r="U40" s="96">
        <f ca="1">(U33/(N_9*U$27*U35*U39))*SQRT(M*'Valve Sizing'!$W$6*'Valve Sizing'!$G$8/U38)</f>
        <v>4.7334712586246015</v>
      </c>
      <c r="V40" s="106"/>
      <c r="W40" s="22"/>
      <c r="X40" s="96">
        <f ca="1">(X33/(N_9*X$27*X35*X39))*SQRT(M*'Valve Sizing'!$W$6*'Valve Sizing'!$G$8/X38)</f>
        <v>11.665981813207353</v>
      </c>
      <c r="Y40" s="106"/>
      <c r="Z40" s="22"/>
      <c r="AA40" s="96">
        <f ca="1">(AA33/(N_9*AA$27*AA35*AA39))*SQRT(M*'Valve Sizing'!$W$6*'Valve Sizing'!$G$8/AA38)</f>
        <v>23.094595276691948</v>
      </c>
      <c r="AB40" s="106"/>
      <c r="AC40" s="22"/>
      <c r="AD40" s="96">
        <f ca="1">(AD33/(N_9*AD$27*AD35*AD39))*SQRT(M*'Valve Sizing'!$W$6*'Valve Sizing'!$G$8/AD38)</f>
        <v>40.216252921859962</v>
      </c>
      <c r="AE40" s="106"/>
      <c r="AF40" s="22"/>
      <c r="AG40" s="96">
        <f ca="1">(AG33/(N_9*AG$27*AG35*AG39))*SQRT(M*'Valve Sizing'!$W$6*'Valve Sizing'!$G$8/AG38)</f>
        <v>62.838480125967322</v>
      </c>
      <c r="AH40" s="106"/>
      <c r="AI40" s="22"/>
      <c r="AJ40" s="96">
        <f ca="1">(AJ33/(N_9*AJ$27*AJ35*AJ39))*SQRT(M*'Valve Sizing'!$W$6*'Valve Sizing'!$G$8/AJ38)</f>
        <v>92.987346017521361</v>
      </c>
      <c r="AK40" s="106"/>
      <c r="AL40" s="22"/>
      <c r="AM40" s="96">
        <f ca="1">(AM33/(N_9*AM$27*AM35*AM39))*SQRT(M*'Valve Sizing'!$W$6*'Valve Sizing'!$G$8/AM38)</f>
        <v>131.35179336187878</v>
      </c>
      <c r="AN40" s="106"/>
      <c r="AO40" s="22"/>
      <c r="AP40" s="96">
        <f ca="1">(AP33/(N_9*AP$27*AP35*AP39))*SQRT(M*'Valve Sizing'!$W$6*'Valve Sizing'!$G$8/AP38)</f>
        <v>180.31515629482615</v>
      </c>
      <c r="AQ40" s="106"/>
      <c r="AR40" s="22"/>
      <c r="AS40" s="96">
        <f ca="1">(AS33/(N_9*AS$27*AS35*AS39))*SQRT(M*'Valve Sizing'!$W$6*'Valve Sizing'!$G$8/AS38)</f>
        <v>350.5869149650635</v>
      </c>
      <c r="AT40" s="106"/>
      <c r="AU40" s="22"/>
    </row>
    <row r="41" spans="1:47" ht="13.8" thickBot="1" x14ac:dyDescent="0.3">
      <c r="O41" s="2" t="s">
        <v>59</v>
      </c>
      <c r="P41" s="10">
        <v>7</v>
      </c>
      <c r="Q41" s="2" t="s">
        <v>26</v>
      </c>
      <c r="R41" s="96">
        <f ca="1">(Q_i/(N_9*F_P_h*P1_Qi*0.667))*SQRT(M*'Valve Sizing'!$W$6*'Valve Sizing'!$G$8/R42)</f>
        <v>0.11518936529709156</v>
      </c>
      <c r="S41" s="107"/>
      <c r="T41" s="22"/>
      <c r="U41" s="96">
        <f ca="1">(U33/(N_9*U$27*U35*0.667))*SQRT(M*'Valve Sizing'!$W$6*'Valve Sizing'!$G$8/U42)</f>
        <v>4.2364132378152881</v>
      </c>
      <c r="V41" s="106"/>
      <c r="W41" s="22"/>
      <c r="X41" s="96">
        <f ca="1">(X33/(N_9*X$27*X35*0.667))*SQRT(M*'Valve Sizing'!$W$6*'Valve Sizing'!$G$8/X42)</f>
        <v>10.461179787478242</v>
      </c>
      <c r="Y41" s="106"/>
      <c r="Z41" s="22"/>
      <c r="AA41" s="96">
        <f ca="1">(AA33/(N_9*AA$27*AA35*0.667))*SQRT(M*'Valve Sizing'!$W$6*'Valve Sizing'!$G$8/AA42)</f>
        <v>20.736982350103006</v>
      </c>
      <c r="AB41" s="106"/>
      <c r="AC41" s="22"/>
      <c r="AD41" s="96">
        <f ca="1">(AD33/(N_9*AD$27*AD35*0.667))*SQRT(M*'Valve Sizing'!$W$6*'Valve Sizing'!$G$8/AD42)</f>
        <v>36.179583329439602</v>
      </c>
      <c r="AE41" s="106"/>
      <c r="AF41" s="22"/>
      <c r="AG41" s="96">
        <f ca="1">(AG33/(N_9*AG$27*AG35*0.667))*SQRT(M*'Valve Sizing'!$W$6*'Valve Sizing'!$G$8/AG42)</f>
        <v>56.748108979351734</v>
      </c>
      <c r="AH41" s="106"/>
      <c r="AI41" s="22"/>
      <c r="AJ41" s="96">
        <f ca="1">(AJ33/(N_9*AJ$27*AJ35*0.667))*SQRT(M*'Valve Sizing'!$W$6*'Valve Sizing'!$G$8/AJ42)</f>
        <v>83.965331551705944</v>
      </c>
      <c r="AK41" s="106"/>
      <c r="AL41" s="22"/>
      <c r="AM41" s="96">
        <f ca="1">(AM33/(N_9*AM$27*AM35*0.667))*SQRT(M*'Valve Sizing'!$W$6*'Valve Sizing'!$G$8/AM42)</f>
        <v>119.14572763783849</v>
      </c>
      <c r="AN41" s="106"/>
      <c r="AO41" s="22"/>
      <c r="AP41" s="96">
        <f ca="1">(AP33/(N_9*AP$27*AP35*0.667))*SQRT(M*'Valve Sizing'!$W$6*'Valve Sizing'!$G$8/AP42)</f>
        <v>146.99322217274181</v>
      </c>
      <c r="AQ41" s="106"/>
      <c r="AR41" s="22"/>
      <c r="AS41" s="96">
        <f ca="1">(AS33/(N_9*AS$27*AS35*0.667))*SQRT(M*'Valve Sizing'!$W$6*'Valve Sizing'!$G$8/AS42)</f>
        <v>307.02809609428431</v>
      </c>
      <c r="AT41" s="106"/>
      <c r="AU41" s="22"/>
    </row>
    <row r="42" spans="1:47" ht="16.2" thickTop="1" x14ac:dyDescent="0.35">
      <c r="A42" s="853" t="s">
        <v>190</v>
      </c>
      <c r="B42" s="854"/>
      <c r="C42" s="854"/>
      <c r="D42" s="854"/>
      <c r="E42" s="854"/>
      <c r="F42" s="854"/>
      <c r="G42" s="854"/>
      <c r="H42" s="855"/>
      <c r="O42" s="2" t="s">
        <v>68</v>
      </c>
      <c r="P42" s="10">
        <v>10</v>
      </c>
      <c r="Q42" s="2" t="s">
        <v>62</v>
      </c>
      <c r="R42" s="96">
        <f ca="1">F_GAMMA*x_TP_h</f>
        <v>0.64002969751372984</v>
      </c>
      <c r="S42" s="107"/>
      <c r="T42" s="1"/>
      <c r="U42" s="96">
        <f ca="1">F_GAMMA*U$29</f>
        <v>0.64017842058782071</v>
      </c>
      <c r="V42" s="107"/>
      <c r="X42" s="96">
        <f ca="1">F_GAMMA*X$29</f>
        <v>0.63413873724904268</v>
      </c>
      <c r="Y42" s="107"/>
      <c r="Z42" s="1"/>
      <c r="AA42" s="96">
        <f ca="1">F_GAMMA*AA$29</f>
        <v>0.62532411750377137</v>
      </c>
      <c r="AB42" s="107"/>
      <c r="AC42" s="1"/>
      <c r="AD42" s="96">
        <f ca="1">F_GAMMA*AD$29</f>
        <v>0.60651359509139569</v>
      </c>
      <c r="AE42" s="107"/>
      <c r="AF42" s="1"/>
      <c r="AG42" s="96">
        <f ca="1">F_GAMMA*AG$29</f>
        <v>0.57217930198481592</v>
      </c>
      <c r="AH42" s="107"/>
      <c r="AI42" s="1"/>
      <c r="AJ42" s="96">
        <f ca="1">F_GAMMA*AJ$29</f>
        <v>0.53183282018848232</v>
      </c>
      <c r="AK42" s="107"/>
      <c r="AL42" s="1"/>
      <c r="AM42" s="96">
        <f ca="1">F_GAMMA*AM$29</f>
        <v>0.47566512503094399</v>
      </c>
      <c r="AN42" s="107"/>
      <c r="AO42" s="1"/>
      <c r="AP42" s="96">
        <f ca="1">F_GAMMA*AP$29</f>
        <v>0.59054158265645496</v>
      </c>
      <c r="AQ42" s="107"/>
      <c r="AR42" s="1"/>
      <c r="AS42" s="96">
        <f ca="1">F_GAMMA*AS$29</f>
        <v>0.3766899554102966</v>
      </c>
      <c r="AT42" s="107"/>
      <c r="AU42" s="1"/>
    </row>
    <row r="43" spans="1:47" x14ac:dyDescent="0.25">
      <c r="A43" s="856"/>
      <c r="B43" s="857"/>
      <c r="C43" s="857"/>
      <c r="D43" s="857"/>
      <c r="E43" s="857"/>
      <c r="F43" s="857"/>
      <c r="G43" s="857"/>
      <c r="H43" s="858"/>
      <c r="O43" s="2" t="s">
        <v>145</v>
      </c>
      <c r="P43" s="12"/>
      <c r="Q43" s="2" t="s">
        <v>51</v>
      </c>
      <c r="R43" s="96">
        <f ca="1">IF(x_Qi&lt;R42,C_N_Ch,C_Ch)</f>
        <v>0.12867540535034422</v>
      </c>
      <c r="S43" s="107"/>
      <c r="T43" s="1"/>
      <c r="U43" s="96">
        <f ca="1">IF(U38&lt;U42,U40,U41)</f>
        <v>4.7334712586246015</v>
      </c>
      <c r="V43" s="107"/>
      <c r="X43" s="96">
        <f ca="1">IF(X38&lt;X42,X40,X41)</f>
        <v>11.665981813207353</v>
      </c>
      <c r="Y43" s="107"/>
      <c r="Z43" s="1"/>
      <c r="AA43" s="96">
        <f ca="1">IF(AA38&lt;AA42,AA40,AA41)</f>
        <v>23.094595276691948</v>
      </c>
      <c r="AB43" s="107"/>
      <c r="AC43" s="1"/>
      <c r="AD43" s="96">
        <f ca="1">IF(AD38&lt;AD42,AD40,AD41)</f>
        <v>40.216252921859962</v>
      </c>
      <c r="AE43" s="107"/>
      <c r="AF43" s="1"/>
      <c r="AG43" s="96">
        <f ca="1">IF(AG38&lt;AG42,AG40,AG41)</f>
        <v>62.838480125967322</v>
      </c>
      <c r="AH43" s="107"/>
      <c r="AI43" s="1"/>
      <c r="AJ43" s="96">
        <f ca="1">IF(AJ38&lt;AJ42,AJ40,AJ41)</f>
        <v>92.987346017521361</v>
      </c>
      <c r="AK43" s="107"/>
      <c r="AL43" s="1"/>
      <c r="AM43" s="96">
        <f ca="1">IF(AM38&lt;AM42,AM40,AM41)</f>
        <v>131.35179336187878</v>
      </c>
      <c r="AN43" s="107"/>
      <c r="AO43" s="1"/>
      <c r="AP43" s="96">
        <f ca="1">IF(AP38&lt;AP42,AP40,AP41)</f>
        <v>180.31515629482615</v>
      </c>
      <c r="AQ43" s="107"/>
      <c r="AR43" s="1"/>
      <c r="AS43" s="96">
        <f ca="1">IF(AS38&lt;AS42,AS40,AS41)</f>
        <v>350.5869149650635</v>
      </c>
      <c r="AT43" s="107"/>
      <c r="AU43" s="1"/>
    </row>
    <row r="44" spans="1:47" x14ac:dyDescent="0.25">
      <c r="A44" s="856"/>
      <c r="B44" s="857"/>
      <c r="C44" s="857"/>
      <c r="D44" s="857"/>
      <c r="E44" s="857"/>
      <c r="F44" s="857"/>
      <c r="G44" s="857"/>
      <c r="H44" s="858"/>
      <c r="O44" s="13" t="s">
        <v>143</v>
      </c>
      <c r="R44" s="113"/>
      <c r="S44" s="106">
        <f ca="1">ABS(C_h-C_i)</f>
        <v>4.6013245946496566</v>
      </c>
      <c r="T44" s="1">
        <f>Q_i</f>
        <v>318.63</v>
      </c>
      <c r="U44" s="98"/>
      <c r="V44" s="106">
        <f ca="1">ABS(U23-U43)</f>
        <v>6.8665287413753981</v>
      </c>
      <c r="W44" s="9">
        <f ca="1">U33</f>
        <v>11708.949265686702</v>
      </c>
      <c r="X44" s="98"/>
      <c r="Y44" s="106">
        <f ca="1">ABS(X23-X43)</f>
        <v>11.334018186792647</v>
      </c>
      <c r="Z44" s="9">
        <f ca="1">X33</f>
        <v>28670.915757761817</v>
      </c>
      <c r="AA44" s="98"/>
      <c r="AB44" s="106">
        <f ca="1">ABS(AA23-AA43)</f>
        <v>16.305404723308051</v>
      </c>
      <c r="AC44" s="9">
        <f ca="1">AA33</f>
        <v>55843.625776376437</v>
      </c>
      <c r="AD44" s="98"/>
      <c r="AE44" s="106">
        <f ca="1">ABS(AD23-AD43)</f>
        <v>20.783747078140038</v>
      </c>
      <c r="AF44" s="9">
        <f ca="1">AD33</f>
        <v>93688.232299349285</v>
      </c>
      <c r="AG44" s="98"/>
      <c r="AH44" s="106">
        <f ca="1">ABS(AG23-AG43)</f>
        <v>25.36151987403268</v>
      </c>
      <c r="AI44" s="9">
        <f ca="1">AG33</f>
        <v>136740.52674687753</v>
      </c>
      <c r="AJ44" s="98"/>
      <c r="AK44" s="106">
        <f ca="1">ABS(AJ23-AJ43)</f>
        <v>28.012653982478639</v>
      </c>
      <c r="AL44" s="9">
        <f ca="1">AJ33</f>
        <v>182480.76302755359</v>
      </c>
      <c r="AM44" s="98"/>
      <c r="AN44" s="106">
        <f ca="1">ABS(AM23-AM43)</f>
        <v>33.648206638121223</v>
      </c>
      <c r="AO44" s="9">
        <f ca="1">AM33</f>
        <v>222661.20952832617</v>
      </c>
      <c r="AP44" s="98"/>
      <c r="AQ44" s="106">
        <f ca="1">ABS(AP23-AP43)</f>
        <v>65.684843705173847</v>
      </c>
      <c r="AR44" s="9">
        <f ca="1">AP33</f>
        <v>258502.75182752116</v>
      </c>
      <c r="AS44" s="98"/>
      <c r="AT44" s="106">
        <f ca="1">ABS(AS23-AS43)</f>
        <v>69.413085034936501</v>
      </c>
      <c r="AU44" s="9">
        <f ca="1">AS33</f>
        <v>303114.80644696194</v>
      </c>
    </row>
    <row r="45" spans="1:47" x14ac:dyDescent="0.25">
      <c r="A45" s="856"/>
      <c r="B45" s="857"/>
      <c r="C45" s="857"/>
      <c r="D45" s="857"/>
      <c r="E45" s="857"/>
      <c r="F45" s="857"/>
      <c r="G45" s="857"/>
      <c r="H45" s="858"/>
      <c r="R45" s="98"/>
      <c r="S45" s="108" t="s">
        <v>137</v>
      </c>
      <c r="T45" s="26" t="s">
        <v>146</v>
      </c>
      <c r="U45" s="98"/>
      <c r="V45" s="108" t="s">
        <v>137</v>
      </c>
      <c r="W45" s="26" t="s">
        <v>146</v>
      </c>
      <c r="X45" s="98"/>
      <c r="Y45" s="108" t="s">
        <v>137</v>
      </c>
      <c r="Z45" s="26" t="s">
        <v>146</v>
      </c>
      <c r="AA45" s="98"/>
      <c r="AB45" s="108" t="s">
        <v>137</v>
      </c>
      <c r="AC45" s="26" t="s">
        <v>146</v>
      </c>
      <c r="AD45" s="98"/>
      <c r="AE45" s="108" t="s">
        <v>137</v>
      </c>
      <c r="AF45" s="26" t="s">
        <v>146</v>
      </c>
      <c r="AG45" s="98"/>
      <c r="AH45" s="108" t="s">
        <v>137</v>
      </c>
      <c r="AI45" s="26" t="s">
        <v>146</v>
      </c>
      <c r="AJ45" s="98"/>
      <c r="AK45" s="108" t="s">
        <v>137</v>
      </c>
      <c r="AL45" s="26" t="s">
        <v>146</v>
      </c>
      <c r="AM45" s="98"/>
      <c r="AN45" s="108" t="s">
        <v>137</v>
      </c>
      <c r="AO45" s="26" t="s">
        <v>146</v>
      </c>
      <c r="AP45" s="98"/>
      <c r="AQ45" s="108" t="s">
        <v>137</v>
      </c>
      <c r="AR45" s="26" t="s">
        <v>146</v>
      </c>
      <c r="AS45" s="98"/>
      <c r="AT45" s="108" t="s">
        <v>137</v>
      </c>
      <c r="AU45" s="26" t="s">
        <v>146</v>
      </c>
    </row>
    <row r="46" spans="1:47" ht="13.8" x14ac:dyDescent="0.25">
      <c r="A46" s="856"/>
      <c r="B46" s="857"/>
      <c r="C46" s="857"/>
      <c r="D46" s="857"/>
      <c r="E46" s="857"/>
      <c r="F46" s="857"/>
      <c r="G46" s="857"/>
      <c r="H46" s="858"/>
      <c r="O46" s="20" t="s">
        <v>136</v>
      </c>
      <c r="R46" s="96">
        <f>R33*1.02</f>
        <v>325.00259999999997</v>
      </c>
      <c r="S46" s="109" t="s">
        <v>144</v>
      </c>
      <c r="T46" s="23" t="s">
        <v>147</v>
      </c>
      <c r="U46" s="96">
        <f ca="1">U33*1.01</f>
        <v>11826.038758343569</v>
      </c>
      <c r="V46" s="109" t="s">
        <v>144</v>
      </c>
      <c r="W46" s="23" t="s">
        <v>147</v>
      </c>
      <c r="X46" s="96">
        <f ca="1">X33*1.01</f>
        <v>28957.624915339435</v>
      </c>
      <c r="Y46" s="109" t="s">
        <v>144</v>
      </c>
      <c r="Z46" s="23" t="s">
        <v>147</v>
      </c>
      <c r="AA46" s="96">
        <f ca="1">AA33*1.01</f>
        <v>56402.062034140203</v>
      </c>
      <c r="AB46" s="109" t="s">
        <v>144</v>
      </c>
      <c r="AC46" s="23" t="s">
        <v>147</v>
      </c>
      <c r="AD46" s="96">
        <f ca="1">AD33*1.01</f>
        <v>94625.114622342779</v>
      </c>
      <c r="AE46" s="109" t="s">
        <v>144</v>
      </c>
      <c r="AF46" s="23" t="s">
        <v>147</v>
      </c>
      <c r="AG46" s="96">
        <f ca="1">AG33*1.01</f>
        <v>138107.9320143463</v>
      </c>
      <c r="AH46" s="109" t="s">
        <v>144</v>
      </c>
      <c r="AI46" s="23" t="s">
        <v>147</v>
      </c>
      <c r="AJ46" s="96">
        <f ca="1">AJ33*1.01</f>
        <v>184305.57065782914</v>
      </c>
      <c r="AK46" s="109" t="s">
        <v>144</v>
      </c>
      <c r="AL46" s="23" t="s">
        <v>147</v>
      </c>
      <c r="AM46" s="96">
        <f ca="1">AM33*1.01</f>
        <v>224887.82162360943</v>
      </c>
      <c r="AN46" s="109" t="s">
        <v>144</v>
      </c>
      <c r="AO46" s="23" t="s">
        <v>147</v>
      </c>
      <c r="AP46" s="96">
        <f ca="1">AP33*1.01</f>
        <v>261087.77934579639</v>
      </c>
      <c r="AQ46" s="109" t="s">
        <v>144</v>
      </c>
      <c r="AR46" s="23" t="s">
        <v>147</v>
      </c>
      <c r="AS46" s="96">
        <f ca="1">AS33*1.01</f>
        <v>306145.95451143157</v>
      </c>
      <c r="AT46" s="109" t="s">
        <v>144</v>
      </c>
      <c r="AU46" s="23" t="s">
        <v>147</v>
      </c>
    </row>
    <row r="47" spans="1:47" x14ac:dyDescent="0.25">
      <c r="A47" s="856"/>
      <c r="B47" s="857"/>
      <c r="C47" s="857"/>
      <c r="D47" s="857"/>
      <c r="E47" s="857"/>
      <c r="F47" s="857"/>
      <c r="G47" s="857"/>
      <c r="H47" s="858"/>
      <c r="R47" s="98"/>
      <c r="S47" s="107"/>
      <c r="T47" s="1"/>
      <c r="U47" s="47"/>
      <c r="V47" s="107"/>
      <c r="X47" s="47"/>
      <c r="Y47" s="107"/>
      <c r="Z47" s="1"/>
      <c r="AA47" s="47"/>
      <c r="AB47" s="107"/>
      <c r="AC47" s="1"/>
      <c r="AD47" s="47"/>
      <c r="AE47" s="107"/>
      <c r="AF47" s="1"/>
      <c r="AG47" s="47"/>
      <c r="AH47" s="107"/>
      <c r="AI47" s="1"/>
      <c r="AJ47" s="47"/>
      <c r="AK47" s="107"/>
      <c r="AL47" s="1"/>
      <c r="AM47" s="47"/>
      <c r="AN47" s="107"/>
      <c r="AO47" s="1"/>
      <c r="AP47" s="47"/>
      <c r="AQ47" s="107"/>
      <c r="AR47" s="1"/>
      <c r="AS47" s="47"/>
      <c r="AT47" s="107"/>
      <c r="AU47" s="1"/>
    </row>
    <row r="48" spans="1:47" x14ac:dyDescent="0.25">
      <c r="A48" s="856"/>
      <c r="B48" s="857"/>
      <c r="C48" s="857"/>
      <c r="D48" s="857"/>
      <c r="E48" s="857"/>
      <c r="F48" s="857"/>
      <c r="G48" s="857"/>
      <c r="H48" s="858"/>
      <c r="O48" s="8" t="s">
        <v>132</v>
      </c>
      <c r="P48" s="8"/>
      <c r="Q48" s="8"/>
      <c r="R48" s="96">
        <f>P_1_minQ-(R46^2*R_up)+dpup_minQ</f>
        <v>90.185021278638786</v>
      </c>
      <c r="S48" s="106"/>
      <c r="T48" s="22"/>
      <c r="U48" s="96">
        <f ca="1">P_1_minQ-(U46^2*R_up)+dpup_minQ</f>
        <v>90.159550395395314</v>
      </c>
      <c r="V48" s="107"/>
      <c r="X48" s="96">
        <f ca="1">P_1_minQ-(X46^2*R_up)+dpup_minQ</f>
        <v>90.032206729308484</v>
      </c>
      <c r="Y48" s="107"/>
      <c r="Z48" s="1"/>
      <c r="AA48" s="96">
        <f ca="1">P_1_minQ-(AA46^2*R_up)+dpup_minQ</f>
        <v>89.605233467962989</v>
      </c>
      <c r="AB48" s="107"/>
      <c r="AC48" s="1"/>
      <c r="AD48" s="96">
        <f ca="1">P_1_minQ-(AD46^2*R_up)+dpup_minQ</f>
        <v>88.55309231249133</v>
      </c>
      <c r="AE48" s="107"/>
      <c r="AF48" s="1"/>
      <c r="AG48" s="96">
        <f ca="1">P_1_minQ-(AG46^2*R_up)+dpup_minQ</f>
        <v>86.708632200836377</v>
      </c>
      <c r="AH48" s="107"/>
      <c r="AI48" s="1"/>
      <c r="AJ48" s="96">
        <f ca="1">P_1_minQ-(AJ46^2*R_up)+dpup_minQ</f>
        <v>83.993902862461695</v>
      </c>
      <c r="AK48" s="107"/>
      <c r="AL48" s="1"/>
      <c r="AM48" s="96">
        <f ca="1">P_1_minQ-(AM46^2*R_up)+dpup_minQ</f>
        <v>80.967280187025324</v>
      </c>
      <c r="AN48" s="107"/>
      <c r="AO48" s="1"/>
      <c r="AP48" s="96">
        <f ca="1">P_1_minQ-(AP46^2*R_up)+dpup_minQ</f>
        <v>77.760892249834015</v>
      </c>
      <c r="AQ48" s="107"/>
      <c r="AR48" s="1"/>
      <c r="AS48" s="96">
        <f ca="1">P_1_minQ-(AS46^2*R_up)+dpup_minQ</f>
        <v>73.102573663401799</v>
      </c>
      <c r="AT48" s="107"/>
      <c r="AU48" s="1"/>
    </row>
    <row r="49" spans="1:47" x14ac:dyDescent="0.25">
      <c r="A49" s="856"/>
      <c r="B49" s="857"/>
      <c r="C49" s="857"/>
      <c r="D49" s="857"/>
      <c r="E49" s="857"/>
      <c r="F49" s="857"/>
      <c r="G49" s="857"/>
      <c r="H49" s="858"/>
      <c r="O49" s="8" t="s">
        <v>134</v>
      </c>
      <c r="P49" s="1"/>
      <c r="Q49" s="8"/>
      <c r="R49" s="97">
        <f>P_2_minQ+(R46^2*R_dn)-dpdn_minQ</f>
        <v>60</v>
      </c>
      <c r="S49" s="106"/>
      <c r="T49" s="22"/>
      <c r="U49" s="97">
        <f ca="1">P_2_minQ+(U46^2*R_dn)-dpdn_minQ</f>
        <v>60</v>
      </c>
      <c r="V49" s="107"/>
      <c r="X49" s="97">
        <f ca="1">P_2_minQ+(X46^2*R_dn)-dpdn_minQ</f>
        <v>60</v>
      </c>
      <c r="Y49" s="107"/>
      <c r="Z49" s="1"/>
      <c r="AA49" s="97">
        <f ca="1">P_2_minQ+(AA46^2*R_dn)-dpdn_minQ</f>
        <v>60</v>
      </c>
      <c r="AB49" s="107"/>
      <c r="AC49" s="1"/>
      <c r="AD49" s="97">
        <f ca="1">P_2_minQ+(AD46^2*R_dn)-dpdn_minQ</f>
        <v>60</v>
      </c>
      <c r="AE49" s="107"/>
      <c r="AF49" s="1"/>
      <c r="AG49" s="97">
        <f ca="1">P_2_minQ+(AG46^2*R_dn)-dpdn_minQ</f>
        <v>60</v>
      </c>
      <c r="AH49" s="107"/>
      <c r="AI49" s="1"/>
      <c r="AJ49" s="97">
        <f ca="1">P_2_minQ+(AJ46^2*R_dn)-dpdn_minQ</f>
        <v>60</v>
      </c>
      <c r="AK49" s="107"/>
      <c r="AL49" s="1"/>
      <c r="AM49" s="97">
        <f ca="1">P_2_minQ+(AM46^2*R_dn)-dpdn_minQ</f>
        <v>60</v>
      </c>
      <c r="AN49" s="107"/>
      <c r="AO49" s="1"/>
      <c r="AP49" s="97">
        <f ca="1">P_2_minQ+(AP46^2*R_dn)-dpdn_minQ</f>
        <v>60</v>
      </c>
      <c r="AQ49" s="107"/>
      <c r="AR49" s="1"/>
      <c r="AS49" s="97">
        <f ca="1">P_2_minQ+(AS46^2*R_dn)-dpdn_minQ</f>
        <v>60</v>
      </c>
      <c r="AT49" s="107"/>
      <c r="AU49" s="1"/>
    </row>
    <row r="50" spans="1:47" x14ac:dyDescent="0.25">
      <c r="A50" s="856"/>
      <c r="B50" s="857"/>
      <c r="C50" s="857"/>
      <c r="D50" s="857"/>
      <c r="E50" s="857"/>
      <c r="F50" s="857"/>
      <c r="G50" s="857"/>
      <c r="H50" s="858"/>
      <c r="O50" s="8" t="s">
        <v>138</v>
      </c>
      <c r="P50" s="1"/>
      <c r="Q50" s="8"/>
      <c r="R50" s="97">
        <f>R48-R49</f>
        <v>30.185021278638786</v>
      </c>
      <c r="S50" s="106"/>
      <c r="T50" s="22"/>
      <c r="U50" s="97">
        <f ca="1">U48-U49</f>
        <v>30.159550395395314</v>
      </c>
      <c r="V50" s="110"/>
      <c r="W50" s="25"/>
      <c r="X50" s="97">
        <f ca="1">X48-X49</f>
        <v>30.032206729308484</v>
      </c>
      <c r="Y50" s="110"/>
      <c r="Z50" s="25"/>
      <c r="AA50" s="97">
        <f ca="1">AA48-AA49</f>
        <v>29.605233467962989</v>
      </c>
      <c r="AB50" s="110"/>
      <c r="AC50" s="25"/>
      <c r="AD50" s="97">
        <f ca="1">AD48-AD49</f>
        <v>28.55309231249133</v>
      </c>
      <c r="AE50" s="110"/>
      <c r="AF50" s="25"/>
      <c r="AG50" s="97">
        <f ca="1">AG48-AG49</f>
        <v>26.708632200836377</v>
      </c>
      <c r="AH50" s="110"/>
      <c r="AI50" s="25"/>
      <c r="AJ50" s="97">
        <f ca="1">AJ48-AJ49</f>
        <v>23.993902862461695</v>
      </c>
      <c r="AK50" s="110"/>
      <c r="AL50" s="25"/>
      <c r="AM50" s="97">
        <f ca="1">AM48-AM49</f>
        <v>20.967280187025324</v>
      </c>
      <c r="AN50" s="110"/>
      <c r="AO50" s="25"/>
      <c r="AP50" s="97">
        <f ca="1">AP48-AP49</f>
        <v>17.760892249834015</v>
      </c>
      <c r="AQ50" s="110"/>
      <c r="AR50" s="25"/>
      <c r="AS50" s="97">
        <f ca="1">AS48-AS49</f>
        <v>13.102573663401799</v>
      </c>
      <c r="AT50" s="110"/>
      <c r="AU50" s="25"/>
    </row>
    <row r="51" spans="1:47" ht="14.4" x14ac:dyDescent="0.3">
      <c r="A51" s="856"/>
      <c r="B51" s="857"/>
      <c r="C51" s="857"/>
      <c r="D51" s="857"/>
      <c r="E51" s="857"/>
      <c r="F51" s="857"/>
      <c r="G51" s="857"/>
      <c r="H51" s="858"/>
      <c r="O51" s="2" t="s">
        <v>140</v>
      </c>
      <c r="P51" s="11"/>
      <c r="Q51" s="2"/>
      <c r="R51" s="96">
        <f>R50/R48</f>
        <v>0.33470104958314634</v>
      </c>
      <c r="S51" s="106"/>
      <c r="T51" s="22"/>
      <c r="U51" s="96">
        <f ca="1">U50/U48</f>
        <v>0.33451309665066431</v>
      </c>
      <c r="V51" s="111"/>
      <c r="W51" s="28"/>
      <c r="X51" s="96">
        <f ca="1">X50/X48</f>
        <v>0.33357181635682376</v>
      </c>
      <c r="Y51" s="111"/>
      <c r="Z51" s="28"/>
      <c r="AA51" s="96">
        <f ca="1">AA50/AA48</f>
        <v>0.33039625390349436</v>
      </c>
      <c r="AB51" s="111"/>
      <c r="AC51" s="28"/>
      <c r="AD51" s="96">
        <f ca="1">AD50/AD48</f>
        <v>0.32244037522406904</v>
      </c>
      <c r="AE51" s="111"/>
      <c r="AF51" s="28"/>
      <c r="AG51" s="96">
        <f ca="1">AG50/AG48</f>
        <v>0.3080273730875292</v>
      </c>
      <c r="AH51" s="111"/>
      <c r="AI51" s="28"/>
      <c r="AJ51" s="96">
        <f ca="1">AJ50/AJ48</f>
        <v>0.28566243554310389</v>
      </c>
      <c r="AK51" s="111"/>
      <c r="AL51" s="28"/>
      <c r="AM51" s="96">
        <f ca="1">AM50/AM48</f>
        <v>0.25895991737147722</v>
      </c>
      <c r="AN51" s="111"/>
      <c r="AO51" s="28"/>
      <c r="AP51" s="96">
        <f ca="1">AP50/AP48</f>
        <v>0.22840391533537124</v>
      </c>
      <c r="AQ51" s="111"/>
      <c r="AR51" s="28"/>
      <c r="AS51" s="96">
        <f ca="1">AS50/AS48</f>
        <v>0.17923546336045751</v>
      </c>
      <c r="AT51" s="111"/>
      <c r="AU51" s="28"/>
    </row>
    <row r="52" spans="1:47" x14ac:dyDescent="0.25">
      <c r="A52" s="856"/>
      <c r="B52" s="857"/>
      <c r="C52" s="857"/>
      <c r="D52" s="857"/>
      <c r="E52" s="857"/>
      <c r="F52" s="857"/>
      <c r="G52" s="857"/>
      <c r="H52" s="858"/>
      <c r="O52" s="2" t="s">
        <v>21</v>
      </c>
      <c r="P52" s="8">
        <v>12</v>
      </c>
      <c r="Q52" s="2"/>
      <c r="R52" s="96">
        <f ca="1">1-R51/(3*F_GAMMA*x_TP_h)</f>
        <v>0.82568462532112097</v>
      </c>
      <c r="S52" s="106"/>
      <c r="T52" s="22"/>
      <c r="U52" s="96">
        <f ca="1">1-U51/(3*F_GAMMA*U$29)</f>
        <v>0.82582298627336326</v>
      </c>
      <c r="V52" s="111"/>
      <c r="W52" s="28"/>
      <c r="X52" s="96">
        <f ca="1">1-X51/(3*F_GAMMA*X$29)</f>
        <v>0.82465886576393266</v>
      </c>
      <c r="Y52" s="111"/>
      <c r="Z52" s="28"/>
      <c r="AA52" s="96">
        <f ca="1">1-AA51/(3*F_GAMMA*AA$29)</f>
        <v>0.82387999830530456</v>
      </c>
      <c r="AB52" s="111"/>
      <c r="AC52" s="28"/>
      <c r="AD52" s="96">
        <f ca="1">1-AD51/(3*F_GAMMA*AD$29)</f>
        <v>0.82279024585014704</v>
      </c>
      <c r="AE52" s="111"/>
      <c r="AF52" s="28"/>
      <c r="AG52" s="96">
        <f ca="1">1-AG51/(3*F_GAMMA*AG$29)</f>
        <v>0.82055311914812823</v>
      </c>
      <c r="AH52" s="111"/>
      <c r="AI52" s="28"/>
      <c r="AJ52" s="96">
        <f ca="1">1-AJ51/(3*F_GAMMA*AJ$29)</f>
        <v>0.82095724777956558</v>
      </c>
      <c r="AK52" s="111"/>
      <c r="AL52" s="28"/>
      <c r="AM52" s="96">
        <f ca="1">1-AM51/(3*F_GAMMA*AM$29)</f>
        <v>0.81852785097174485</v>
      </c>
      <c r="AN52" s="111"/>
      <c r="AO52" s="28"/>
      <c r="AP52" s="96">
        <f ca="1">1-AP51/(3*F_GAMMA*AP$29)</f>
        <v>0.87107658345980565</v>
      </c>
      <c r="AQ52" s="111"/>
      <c r="AR52" s="28"/>
      <c r="AS52" s="96">
        <f ca="1">1-AS51/(3*F_GAMMA*AS$29)</f>
        <v>0.84139435205164825</v>
      </c>
      <c r="AT52" s="111"/>
      <c r="AU52" s="28"/>
    </row>
    <row r="53" spans="1:47" x14ac:dyDescent="0.25">
      <c r="A53" s="856"/>
      <c r="B53" s="857"/>
      <c r="C53" s="857"/>
      <c r="D53" s="857"/>
      <c r="E53" s="857"/>
      <c r="F53" s="857"/>
      <c r="G53" s="857"/>
      <c r="H53" s="858"/>
      <c r="O53" s="2" t="s">
        <v>57</v>
      </c>
      <c r="P53" s="10">
        <v>7</v>
      </c>
      <c r="Q53" s="2"/>
      <c r="R53" s="96">
        <f ca="1">(R46/(N_9*F_P_h*R48*R52))*SQRT(M*'Valve Sizing'!$W$6*'Valve Sizing'!$G$8/R51)</f>
        <v>0.13124891517003281</v>
      </c>
      <c r="S53" s="107"/>
      <c r="T53" s="22"/>
      <c r="U53" s="96">
        <f ca="1">(U46/(N_9*U27*U48*U52))*SQRT(M*'Valve Sizing'!$W$6*'Valve Sizing'!$G$8/U51)</f>
        <v>4.7808479206002445</v>
      </c>
      <c r="V53" s="111"/>
      <c r="W53" s="28"/>
      <c r="X53" s="96">
        <f ca="1">(X46/(N_9*X27*X48*X52))*SQRT(M*'Valve Sizing'!$W$6*'Valve Sizing'!$G$8/X51)</f>
        <v>11.783262002906246</v>
      </c>
      <c r="Y53" s="111"/>
      <c r="Z53" s="28"/>
      <c r="AA53" s="96">
        <f ca="1">(AA46/(N_9*AA27*AA48*AA52))*SQRT(M*'Valve Sizing'!$W$6*'Valve Sizing'!$G$8/AA51)</f>
        <v>23.330240009405138</v>
      </c>
      <c r="AB53" s="111"/>
      <c r="AC53" s="28"/>
      <c r="AD53" s="96">
        <f ca="1">(AD46/(N_9*AD27*AD48*AD52))*SQRT(M*'Valve Sizing'!$W$6*'Valve Sizing'!$G$8/AD51)</f>
        <v>40.64198111297879</v>
      </c>
      <c r="AE53" s="111"/>
      <c r="AF53" s="28"/>
      <c r="AG53" s="96">
        <f ca="1">(AG46/(N_9*AG27*AG48*AG52))*SQRT(M*'Valve Sizing'!$W$6*'Valve Sizing'!$G$8/AG51)</f>
        <v>63.548641333999932</v>
      </c>
      <c r="AH53" s="111"/>
      <c r="AI53" s="28"/>
      <c r="AJ53" s="96">
        <f ca="1">(AJ46/(N_9*AJ27*AJ48*AJ52))*SQRT(M*'Valve Sizing'!$W$6*'Valve Sizing'!$G$8/AJ51)</f>
        <v>94.149489704198416</v>
      </c>
      <c r="AK53" s="111"/>
      <c r="AL53" s="28"/>
      <c r="AM53" s="96">
        <f ca="1">(AM46/(N_9*AM27*AM48*AM52))*SQRT(M*'Valve Sizing'!$W$6*'Valve Sizing'!$G$8/AM51)</f>
        <v>133.1986192498795</v>
      </c>
      <c r="AN53" s="111"/>
      <c r="AO53" s="28"/>
      <c r="AP53" s="96">
        <f ca="1">(AP46/(N_9*AP27*AP48*AP52))*SQRT(M*'Valve Sizing'!$W$6*'Valve Sizing'!$G$8/AP51)</f>
        <v>183.36934560576969</v>
      </c>
      <c r="AQ53" s="111"/>
      <c r="AR53" s="28"/>
      <c r="AS53" s="96">
        <f ca="1">(AS46/(N_9*AS27*AS48*AS52))*SQRT(M*'Valve Sizing'!$W$6*'Valve Sizing'!$G$8/AS51)</f>
        <v>358.01469321949151</v>
      </c>
      <c r="AT53" s="111"/>
      <c r="AU53" s="28"/>
    </row>
    <row r="54" spans="1:47" x14ac:dyDescent="0.25">
      <c r="A54" s="856"/>
      <c r="B54" s="857"/>
      <c r="C54" s="857"/>
      <c r="D54" s="857"/>
      <c r="E54" s="857"/>
      <c r="F54" s="857"/>
      <c r="G54" s="857"/>
      <c r="H54" s="858"/>
      <c r="I54" s="1"/>
      <c r="O54" s="2" t="s">
        <v>59</v>
      </c>
      <c r="P54" s="10">
        <v>7</v>
      </c>
      <c r="Q54" s="2"/>
      <c r="R54" s="96">
        <f ca="1">(R46/(N_9*F_P_h*R48*0.667))*SQRT(M*'Valve Sizing'!$W$6*'Valve Sizing'!$G$8/R55)</f>
        <v>0.1174931535769603</v>
      </c>
      <c r="S54" s="107"/>
      <c r="T54" s="22"/>
      <c r="U54" s="96">
        <f ca="1">(U46/(N_9*U27*U48*0.667))*SQRT(M*'Valve Sizing'!$W$6*'Valve Sizing'!$G$8/U55)</f>
        <v>4.2788012061944949</v>
      </c>
      <c r="V54" s="111"/>
      <c r="W54" s="28"/>
      <c r="X54" s="96">
        <f ca="1">(X46/(N_9*X27*X48*0.667))*SQRT(M*'Valve Sizing'!$W$6*'Valve Sizing'!$G$8/X55)</f>
        <v>10.566144993753721</v>
      </c>
      <c r="Y54" s="111"/>
      <c r="Z54" s="28"/>
      <c r="AA54" s="96">
        <f ca="1">(AA46/(N_9*AA27*AA48*0.667))*SQRT(M*'Valve Sizing'!$W$6*'Valve Sizing'!$G$8/AA55)</f>
        <v>20.947022537003658</v>
      </c>
      <c r="AB54" s="111"/>
      <c r="AC54" s="28"/>
      <c r="AD54" s="96">
        <f ca="1">(AD46/(N_9*AD27*AD48*0.667))*SQRT(M*'Valve Sizing'!$W$6*'Valve Sizing'!$G$8/AD55)</f>
        <v>36.554648245020807</v>
      </c>
      <c r="AE54" s="111"/>
      <c r="AF54" s="28"/>
      <c r="AG54" s="96">
        <f ca="1">(AG46/(N_9*AG27*AG48*0.667))*SQRT(M*'Valve Sizing'!$W$6*'Valve Sizing'!$G$8/AG55)</f>
        <v>57.360868829073802</v>
      </c>
      <c r="AH54" s="111"/>
      <c r="AI54" s="28"/>
      <c r="AJ54" s="96">
        <f ca="1">(AJ46/(N_9*AJ27*AJ48*0.667))*SQRT(M*'Valve Sizing'!$W$6*'Valve Sizing'!$G$8/AJ55)</f>
        <v>84.928152725697259</v>
      </c>
      <c r="AK54" s="111"/>
      <c r="AL54" s="28"/>
      <c r="AM54" s="96">
        <f ca="1">(AM46/(N_9*AM27*AM48*0.667))*SQRT(M*'Valve Sizing'!$W$6*'Valve Sizing'!$G$8/AM55)</f>
        <v>120.60712601785561</v>
      </c>
      <c r="AN54" s="111"/>
      <c r="AO54" s="28"/>
      <c r="AP54" s="96">
        <f ca="1">(AP46/(N_9*AP27*AP48*0.667))*SQRT(M*'Valve Sizing'!$W$6*'Valve Sizing'!$G$8/AP55)</f>
        <v>148.93054220784404</v>
      </c>
      <c r="AQ54" s="111"/>
      <c r="AR54" s="28"/>
      <c r="AS54" s="96">
        <f ca="1">(AS46/(N_9*AS27*AS48*0.667))*SQRT(M*'Valve Sizing'!$W$6*'Valve Sizing'!$G$8/AS55)</f>
        <v>311.52618805399993</v>
      </c>
      <c r="AT54" s="111"/>
      <c r="AU54" s="28"/>
    </row>
    <row r="55" spans="1:47" ht="15.6" x14ac:dyDescent="0.35">
      <c r="A55" s="856"/>
      <c r="B55" s="857"/>
      <c r="C55" s="857"/>
      <c r="D55" s="857"/>
      <c r="E55" s="857"/>
      <c r="F55" s="857"/>
      <c r="G55" s="857"/>
      <c r="H55" s="858"/>
      <c r="O55" s="2" t="s">
        <v>68</v>
      </c>
      <c r="P55" s="10">
        <v>10</v>
      </c>
      <c r="Q55" s="2"/>
      <c r="R55" s="96">
        <f ca="1">F_GAMMA*x_TP_h</f>
        <v>0.64002969751372984</v>
      </c>
      <c r="S55" s="107"/>
      <c r="T55" s="1"/>
      <c r="U55" s="96">
        <f ca="1">F_GAMMA*U$29</f>
        <v>0.64017842058782071</v>
      </c>
      <c r="V55" s="111"/>
      <c r="W55" s="28"/>
      <c r="X55" s="96">
        <f ca="1">F_GAMMA*X$29</f>
        <v>0.63413873724904268</v>
      </c>
      <c r="Y55" s="111"/>
      <c r="Z55" s="28"/>
      <c r="AA55" s="96">
        <f ca="1">F_GAMMA*AA$29</f>
        <v>0.62532411750377137</v>
      </c>
      <c r="AB55" s="111"/>
      <c r="AC55" s="28"/>
      <c r="AD55" s="96">
        <f ca="1">F_GAMMA*AD$29</f>
        <v>0.60651359509139569</v>
      </c>
      <c r="AE55" s="111"/>
      <c r="AF55" s="28"/>
      <c r="AG55" s="96">
        <f ca="1">F_GAMMA*AG$29</f>
        <v>0.57217930198481592</v>
      </c>
      <c r="AH55" s="111"/>
      <c r="AI55" s="28"/>
      <c r="AJ55" s="96">
        <f ca="1">F_GAMMA*AJ$29</f>
        <v>0.53183282018848232</v>
      </c>
      <c r="AK55" s="111"/>
      <c r="AL55" s="28"/>
      <c r="AM55" s="96">
        <f ca="1">F_GAMMA*AM$29</f>
        <v>0.47566512503094399</v>
      </c>
      <c r="AN55" s="111"/>
      <c r="AO55" s="28"/>
      <c r="AP55" s="96">
        <f ca="1">F_GAMMA*AP$29</f>
        <v>0.59054158265645496</v>
      </c>
      <c r="AQ55" s="111"/>
      <c r="AR55" s="28"/>
      <c r="AS55" s="96">
        <f ca="1">F_GAMMA*AS$29</f>
        <v>0.3766899554102966</v>
      </c>
      <c r="AT55" s="111"/>
      <c r="AU55" s="28"/>
    </row>
    <row r="56" spans="1:47" ht="9.4499999999999993" customHeight="1" x14ac:dyDescent="0.25">
      <c r="A56" s="856"/>
      <c r="B56" s="857"/>
      <c r="C56" s="857"/>
      <c r="D56" s="857"/>
      <c r="E56" s="857"/>
      <c r="F56" s="857"/>
      <c r="G56" s="857"/>
      <c r="H56" s="858"/>
      <c r="O56" s="2" t="s">
        <v>145</v>
      </c>
      <c r="P56" s="12"/>
      <c r="Q56" s="2"/>
      <c r="R56" s="96">
        <f ca="1">IF(R51&lt;R55,R53,R54)</f>
        <v>0.13124891517003281</v>
      </c>
      <c r="S56" s="116"/>
      <c r="T56" s="1"/>
      <c r="U56" s="96">
        <f ca="1">IF(U51&lt;U55,U53,U54)</f>
        <v>4.7808479206002445</v>
      </c>
      <c r="V56" s="111"/>
      <c r="W56" s="28"/>
      <c r="X56" s="96">
        <f ca="1">IF(X51&lt;X55,X53,X54)</f>
        <v>11.783262002906246</v>
      </c>
      <c r="Y56" s="111"/>
      <c r="Z56" s="28"/>
      <c r="AA56" s="96">
        <f ca="1">IF(AA51&lt;AA55,AA53,AA54)</f>
        <v>23.330240009405138</v>
      </c>
      <c r="AB56" s="111"/>
      <c r="AC56" s="28"/>
      <c r="AD56" s="96">
        <f ca="1">IF(AD51&lt;AD55,AD53,AD54)</f>
        <v>40.64198111297879</v>
      </c>
      <c r="AE56" s="111"/>
      <c r="AF56" s="28"/>
      <c r="AG56" s="96">
        <f ca="1">IF(AG51&lt;AG55,AG53,AG54)</f>
        <v>63.548641333999932</v>
      </c>
      <c r="AH56" s="111"/>
      <c r="AI56" s="28"/>
      <c r="AJ56" s="96">
        <f ca="1">IF(AJ51&lt;AJ55,AJ53,AJ54)</f>
        <v>94.149489704198416</v>
      </c>
      <c r="AK56" s="111"/>
      <c r="AL56" s="28"/>
      <c r="AM56" s="96">
        <f ca="1">IF(AM51&lt;AM55,AM53,AM54)</f>
        <v>133.1986192498795</v>
      </c>
      <c r="AN56" s="111"/>
      <c r="AO56" s="28"/>
      <c r="AP56" s="96">
        <f ca="1">IF(AP51&lt;AP55,AP53,AP54)</f>
        <v>183.36934560576969</v>
      </c>
      <c r="AQ56" s="111"/>
      <c r="AR56" s="28"/>
      <c r="AS56" s="96">
        <f ca="1">IF(AS51&lt;AS55,AS53,AS54)</f>
        <v>358.01469321949151</v>
      </c>
      <c r="AT56" s="111"/>
      <c r="AU56" s="28"/>
    </row>
    <row r="57" spans="1:47" x14ac:dyDescent="0.25">
      <c r="A57" s="856"/>
      <c r="B57" s="857"/>
      <c r="C57" s="857"/>
      <c r="D57" s="857"/>
      <c r="E57" s="857"/>
      <c r="F57" s="857"/>
      <c r="G57" s="857"/>
      <c r="H57" s="858"/>
      <c r="O57" s="13" t="s">
        <v>143</v>
      </c>
      <c r="P57" s="1"/>
      <c r="Q57" s="1"/>
      <c r="R57" s="113"/>
      <c r="S57" s="106">
        <f ca="1">IF(R50&lt;=0,Q_max,ABS(C_h-R56))</f>
        <v>4.598751084829968</v>
      </c>
      <c r="T57" s="7">
        <f>R46</f>
        <v>325.00259999999997</v>
      </c>
      <c r="U57" s="98"/>
      <c r="V57" s="106">
        <f ca="1">IF(U50&lt;=0,Q_max,ABS(U$23-U56))</f>
        <v>6.8191520793997551</v>
      </c>
      <c r="W57" s="9">
        <f ca="1">U46</f>
        <v>11826.038758343569</v>
      </c>
      <c r="X57" s="98"/>
      <c r="Y57" s="106">
        <f ca="1">IF(X50&lt;=0,Q_max,ABS(X$23-X56))</f>
        <v>11.216737997093754</v>
      </c>
      <c r="Z57" s="9">
        <f ca="1">X46</f>
        <v>28957.624915339435</v>
      </c>
      <c r="AA57" s="98"/>
      <c r="AB57" s="106">
        <f ca="1">IF(AA50&lt;=0,Q_max,ABS(AA$23-AA56))</f>
        <v>16.069759990594861</v>
      </c>
      <c r="AC57" s="9">
        <f ca="1">AA46</f>
        <v>56402.062034140203</v>
      </c>
      <c r="AD57" s="98"/>
      <c r="AE57" s="106">
        <f ca="1">IF(AD50&lt;=0,Q_max,ABS(AD$23-AD56))</f>
        <v>20.35801888702121</v>
      </c>
      <c r="AF57" s="9">
        <f ca="1">AD46</f>
        <v>94625.114622342779</v>
      </c>
      <c r="AG57" s="98"/>
      <c r="AH57" s="106">
        <f ca="1">IF(AG50&lt;=0,Q_max,ABS(AG$23-AG56))</f>
        <v>24.651358666000071</v>
      </c>
      <c r="AI57" s="9">
        <f ca="1">AG46</f>
        <v>138107.9320143463</v>
      </c>
      <c r="AJ57" s="98"/>
      <c r="AK57" s="106">
        <f ca="1">IF(AJ50&lt;=0,Q_max,ABS(AJ$23-AJ56))</f>
        <v>26.850510295801584</v>
      </c>
      <c r="AL57" s="9">
        <f ca="1">AJ46</f>
        <v>184305.57065782914</v>
      </c>
      <c r="AM57" s="98"/>
      <c r="AN57" s="106">
        <f ca="1">IF(AM50&lt;=0,Q_max,ABS(AM$23-AM56))</f>
        <v>31.801380750120501</v>
      </c>
      <c r="AO57" s="9">
        <f ca="1">AM46</f>
        <v>224887.82162360943</v>
      </c>
      <c r="AP57" s="98"/>
      <c r="AQ57" s="106">
        <f ca="1">IF(AP50&lt;=0,Q_max,ABS(AP$23-AP56))</f>
        <v>62.630654394230305</v>
      </c>
      <c r="AR57" s="9">
        <f ca="1">AP46</f>
        <v>261087.77934579639</v>
      </c>
      <c r="AS57" s="98"/>
      <c r="AT57" s="106">
        <f ca="1">IF(AS50&lt;=0,Q_max,ABS(AS$23-AS56))</f>
        <v>61.985306780508495</v>
      </c>
      <c r="AU57" s="9">
        <f ca="1">AS46</f>
        <v>306145.95451143157</v>
      </c>
    </row>
    <row r="58" spans="1:47" ht="13.8" x14ac:dyDescent="0.25">
      <c r="A58" s="856"/>
      <c r="B58" s="857"/>
      <c r="C58" s="857"/>
      <c r="D58" s="857"/>
      <c r="E58" s="857"/>
      <c r="F58" s="857"/>
      <c r="G58" s="857"/>
      <c r="H58" s="858"/>
      <c r="O58" s="21"/>
      <c r="P58" s="21"/>
      <c r="Q58" s="21"/>
      <c r="R58" s="114"/>
      <c r="S58" s="117"/>
      <c r="T58" s="25"/>
      <c r="U58" s="99"/>
      <c r="V58" s="110"/>
      <c r="W58" s="25"/>
      <c r="X58" s="99"/>
      <c r="Y58" s="110"/>
      <c r="Z58" s="25"/>
      <c r="AA58" s="99"/>
      <c r="AB58" s="110"/>
      <c r="AC58" s="25"/>
      <c r="AD58" s="99"/>
      <c r="AE58" s="110"/>
      <c r="AF58" s="25"/>
      <c r="AG58" s="99"/>
      <c r="AH58" s="110"/>
      <c r="AI58" s="25"/>
      <c r="AJ58" s="99"/>
      <c r="AK58" s="110"/>
      <c r="AL58" s="25"/>
      <c r="AM58" s="99"/>
      <c r="AN58" s="110"/>
      <c r="AO58" s="25"/>
      <c r="AP58" s="99"/>
      <c r="AQ58" s="110"/>
      <c r="AR58" s="25"/>
      <c r="AS58" s="99"/>
      <c r="AT58" s="110"/>
      <c r="AU58" s="25"/>
    </row>
    <row r="59" spans="1:47" x14ac:dyDescent="0.25">
      <c r="A59" s="856"/>
      <c r="B59" s="857"/>
      <c r="C59" s="857"/>
      <c r="D59" s="857"/>
      <c r="E59" s="857"/>
      <c r="F59" s="857"/>
      <c r="G59" s="857"/>
      <c r="H59" s="858"/>
      <c r="O59" s="1"/>
      <c r="P59" s="1"/>
      <c r="Q59" s="1"/>
      <c r="R59" s="98"/>
      <c r="S59" s="108" t="s">
        <v>137</v>
      </c>
      <c r="T59" s="26" t="s">
        <v>146</v>
      </c>
      <c r="U59" s="98"/>
      <c r="V59" s="108" t="s">
        <v>137</v>
      </c>
      <c r="W59" s="26" t="s">
        <v>146</v>
      </c>
      <c r="X59" s="98"/>
      <c r="Y59" s="108" t="s">
        <v>137</v>
      </c>
      <c r="Z59" s="26" t="s">
        <v>146</v>
      </c>
      <c r="AA59" s="98"/>
      <c r="AB59" s="108" t="s">
        <v>137</v>
      </c>
      <c r="AC59" s="26" t="s">
        <v>146</v>
      </c>
      <c r="AD59" s="98"/>
      <c r="AE59" s="108" t="s">
        <v>137</v>
      </c>
      <c r="AF59" s="26" t="s">
        <v>146</v>
      </c>
      <c r="AG59" s="98"/>
      <c r="AH59" s="108" t="s">
        <v>137</v>
      </c>
      <c r="AI59" s="26" t="s">
        <v>146</v>
      </c>
      <c r="AJ59" s="98"/>
      <c r="AK59" s="108" t="s">
        <v>137</v>
      </c>
      <c r="AL59" s="26" t="s">
        <v>146</v>
      </c>
      <c r="AM59" s="98"/>
      <c r="AN59" s="108" t="s">
        <v>137</v>
      </c>
      <c r="AO59" s="26" t="s">
        <v>146</v>
      </c>
      <c r="AP59" s="98"/>
      <c r="AQ59" s="108" t="s">
        <v>137</v>
      </c>
      <c r="AR59" s="26" t="s">
        <v>146</v>
      </c>
      <c r="AS59" s="98"/>
      <c r="AT59" s="108" t="s">
        <v>137</v>
      </c>
      <c r="AU59" s="26" t="s">
        <v>146</v>
      </c>
    </row>
    <row r="60" spans="1:47" ht="13.8" x14ac:dyDescent="0.25">
      <c r="A60" s="856"/>
      <c r="B60" s="857"/>
      <c r="C60" s="857"/>
      <c r="D60" s="857"/>
      <c r="E60" s="857"/>
      <c r="F60" s="857"/>
      <c r="G60" s="857"/>
      <c r="H60" s="858"/>
      <c r="O60" s="20" t="s">
        <v>136</v>
      </c>
      <c r="P60" s="1"/>
      <c r="Q60" s="1"/>
      <c r="R60" s="96">
        <f>R46*1.02</f>
        <v>331.50265199999996</v>
      </c>
      <c r="S60" s="109" t="s">
        <v>144</v>
      </c>
      <c r="T60" s="23" t="s">
        <v>147</v>
      </c>
      <c r="U60" s="96">
        <f ca="1">U46*1.01</f>
        <v>11944.299145927005</v>
      </c>
      <c r="V60" s="109" t="s">
        <v>144</v>
      </c>
      <c r="W60" s="23" t="s">
        <v>147</v>
      </c>
      <c r="X60" s="96">
        <f ca="1">X46*1.01</f>
        <v>29247.201164492828</v>
      </c>
      <c r="Y60" s="109" t="s">
        <v>144</v>
      </c>
      <c r="Z60" s="23" t="s">
        <v>147</v>
      </c>
      <c r="AA60" s="96">
        <f ca="1">AA46*1.01</f>
        <v>56966.082654481608</v>
      </c>
      <c r="AB60" s="109" t="s">
        <v>144</v>
      </c>
      <c r="AC60" s="23" t="s">
        <v>147</v>
      </c>
      <c r="AD60" s="96">
        <f ca="1">AD46*1.01</f>
        <v>95571.365768566204</v>
      </c>
      <c r="AE60" s="109" t="s">
        <v>144</v>
      </c>
      <c r="AF60" s="23" t="s">
        <v>147</v>
      </c>
      <c r="AG60" s="96">
        <f ca="1">AG46*1.01</f>
        <v>139489.01133448977</v>
      </c>
      <c r="AH60" s="109" t="s">
        <v>144</v>
      </c>
      <c r="AI60" s="23" t="s">
        <v>147</v>
      </c>
      <c r="AJ60" s="96">
        <f ca="1">AJ46*1.01</f>
        <v>186148.62636440745</v>
      </c>
      <c r="AK60" s="109" t="s">
        <v>144</v>
      </c>
      <c r="AL60" s="23" t="s">
        <v>147</v>
      </c>
      <c r="AM60" s="96">
        <f ca="1">AM46*1.01</f>
        <v>227136.69983984553</v>
      </c>
      <c r="AN60" s="109" t="s">
        <v>144</v>
      </c>
      <c r="AO60" s="23" t="s">
        <v>147</v>
      </c>
      <c r="AP60" s="96">
        <f ca="1">AP46*1.01</f>
        <v>263698.65713925433</v>
      </c>
      <c r="AQ60" s="109" t="s">
        <v>144</v>
      </c>
      <c r="AR60" s="23" t="s">
        <v>147</v>
      </c>
      <c r="AS60" s="96">
        <f ca="1">AS46*1.01</f>
        <v>309207.41405654588</v>
      </c>
      <c r="AT60" s="109" t="s">
        <v>144</v>
      </c>
      <c r="AU60" s="23" t="s">
        <v>147</v>
      </c>
    </row>
    <row r="61" spans="1:47" x14ac:dyDescent="0.25">
      <c r="A61" s="856"/>
      <c r="B61" s="857"/>
      <c r="C61" s="857"/>
      <c r="D61" s="857"/>
      <c r="E61" s="857"/>
      <c r="F61" s="857"/>
      <c r="G61" s="857"/>
      <c r="H61" s="858"/>
      <c r="O61" s="1"/>
      <c r="P61" s="1"/>
      <c r="Q61" s="1"/>
      <c r="R61" s="98"/>
      <c r="S61" s="107"/>
      <c r="T61" s="1"/>
      <c r="U61" s="47"/>
      <c r="V61" s="107"/>
      <c r="W61" s="1"/>
      <c r="X61" s="47"/>
      <c r="Y61" s="107"/>
      <c r="Z61" s="1"/>
      <c r="AA61" s="47"/>
      <c r="AB61" s="107"/>
      <c r="AC61" s="1"/>
      <c r="AD61" s="47"/>
      <c r="AE61" s="107"/>
      <c r="AF61" s="1"/>
      <c r="AG61" s="47"/>
      <c r="AH61" s="107"/>
      <c r="AI61" s="1"/>
      <c r="AJ61" s="47"/>
      <c r="AK61" s="107"/>
      <c r="AL61" s="1"/>
      <c r="AM61" s="47"/>
      <c r="AN61" s="107"/>
      <c r="AO61" s="1"/>
      <c r="AP61" s="47"/>
      <c r="AQ61" s="107"/>
      <c r="AR61" s="1"/>
      <c r="AS61" s="47"/>
      <c r="AT61" s="107"/>
      <c r="AU61" s="1"/>
    </row>
    <row r="62" spans="1:47" x14ac:dyDescent="0.25">
      <c r="A62" s="856"/>
      <c r="B62" s="857"/>
      <c r="C62" s="857"/>
      <c r="D62" s="857"/>
      <c r="E62" s="857"/>
      <c r="F62" s="857"/>
      <c r="G62" s="857"/>
      <c r="H62" s="858"/>
      <c r="O62" s="8" t="s">
        <v>132</v>
      </c>
      <c r="P62" s="8"/>
      <c r="Q62" s="8"/>
      <c r="R62" s="96">
        <f>P_1_minQ-(R60^2*R_up)+dpup_minQ</f>
        <v>90.185020500873463</v>
      </c>
      <c r="S62" s="106"/>
      <c r="T62" s="22"/>
      <c r="U62" s="96">
        <f ca="1">P_1_minQ-(U60^2*R_up)+dpup_minQ</f>
        <v>90.159038043684632</v>
      </c>
      <c r="V62" s="107"/>
      <c r="W62" s="1"/>
      <c r="X62" s="96">
        <f ca="1">P_1_minQ-(X60^2*R_up)+dpup_minQ</f>
        <v>90.029134769909447</v>
      </c>
      <c r="Y62" s="107"/>
      <c r="Z62" s="1"/>
      <c r="AA62" s="96">
        <f ca="1">P_1_minQ-(AA60^2*R_up)+dpup_minQ</f>
        <v>89.593579346010912</v>
      </c>
      <c r="AB62" s="107"/>
      <c r="AC62" s="1"/>
      <c r="AD62" s="96">
        <f ca="1">P_1_minQ-(AD60^2*R_up)+dpup_minQ</f>
        <v>88.520290153314278</v>
      </c>
      <c r="AE62" s="107"/>
      <c r="AF62" s="1"/>
      <c r="AG62" s="96">
        <f ca="1">P_1_minQ-(AG60^2*R_up)+dpup_minQ</f>
        <v>86.638756393415065</v>
      </c>
      <c r="AH62" s="107"/>
      <c r="AI62" s="1"/>
      <c r="AJ62" s="96">
        <f ca="1">P_1_minQ-(AJ60^2*R_up)+dpup_minQ</f>
        <v>83.86946099533904</v>
      </c>
      <c r="AK62" s="107"/>
      <c r="AL62" s="1"/>
      <c r="AM62" s="96">
        <f ca="1">P_1_minQ-(AM60^2*R_up)+dpup_minQ</f>
        <v>80.782003204126397</v>
      </c>
      <c r="AN62" s="107"/>
      <c r="AO62" s="1"/>
      <c r="AP62" s="96">
        <f ca="1">P_1_minQ-(AP60^2*R_up)+dpup_minQ</f>
        <v>77.511166869397542</v>
      </c>
      <c r="AQ62" s="107"/>
      <c r="AR62" s="1"/>
      <c r="AS62" s="96">
        <f ca="1">P_1_minQ-(AS60^2*R_up)+dpup_minQ</f>
        <v>72.759216079378035</v>
      </c>
      <c r="AT62" s="107"/>
      <c r="AU62" s="1"/>
    </row>
    <row r="63" spans="1:47" x14ac:dyDescent="0.25">
      <c r="A63" s="856"/>
      <c r="B63" s="857"/>
      <c r="C63" s="857"/>
      <c r="D63" s="857"/>
      <c r="E63" s="857"/>
      <c r="F63" s="857"/>
      <c r="G63" s="857"/>
      <c r="H63" s="858"/>
      <c r="O63" s="8" t="s">
        <v>134</v>
      </c>
      <c r="P63" s="1"/>
      <c r="Q63" s="8"/>
      <c r="R63" s="97">
        <f>P_2_minQ+(R60^2*R_dn)-dpdn_minQ</f>
        <v>60</v>
      </c>
      <c r="S63" s="106"/>
      <c r="T63" s="22"/>
      <c r="U63" s="97">
        <f ca="1">P_2_minQ+(U60^2*R_dn)-dpdn_minQ</f>
        <v>60</v>
      </c>
      <c r="V63" s="107"/>
      <c r="W63" s="1"/>
      <c r="X63" s="97">
        <f ca="1">P_2_minQ+(X60^2*R_dn)-dpdn_minQ</f>
        <v>60</v>
      </c>
      <c r="Y63" s="107"/>
      <c r="Z63" s="1"/>
      <c r="AA63" s="97">
        <f ca="1">P_2_minQ+(AA60^2*R_dn)-dpdn_minQ</f>
        <v>60</v>
      </c>
      <c r="AB63" s="107"/>
      <c r="AC63" s="1"/>
      <c r="AD63" s="97">
        <f ca="1">P_2_minQ+(AD60^2*R_dn)-dpdn_minQ</f>
        <v>60</v>
      </c>
      <c r="AE63" s="107"/>
      <c r="AF63" s="1"/>
      <c r="AG63" s="97">
        <f ca="1">P_2_minQ+(AG60^2*R_dn)-dpdn_minQ</f>
        <v>60</v>
      </c>
      <c r="AH63" s="107"/>
      <c r="AI63" s="1"/>
      <c r="AJ63" s="97">
        <f ca="1">P_2_minQ+(AJ60^2*R_dn)-dpdn_minQ</f>
        <v>60</v>
      </c>
      <c r="AK63" s="107"/>
      <c r="AL63" s="1"/>
      <c r="AM63" s="97">
        <f ca="1">P_2_minQ+(AM60^2*R_dn)-dpdn_minQ</f>
        <v>60</v>
      </c>
      <c r="AN63" s="107"/>
      <c r="AO63" s="1"/>
      <c r="AP63" s="97">
        <f ca="1">P_2_minQ+(AP60^2*R_dn)-dpdn_minQ</f>
        <v>60</v>
      </c>
      <c r="AQ63" s="107"/>
      <c r="AR63" s="1"/>
      <c r="AS63" s="97">
        <f ca="1">P_2_minQ+(AS60^2*R_dn)-dpdn_minQ</f>
        <v>60</v>
      </c>
      <c r="AT63" s="107"/>
      <c r="AU63" s="1"/>
    </row>
    <row r="64" spans="1:47" x14ac:dyDescent="0.25">
      <c r="A64" s="856"/>
      <c r="B64" s="857"/>
      <c r="C64" s="857"/>
      <c r="D64" s="857"/>
      <c r="E64" s="857"/>
      <c r="F64" s="857"/>
      <c r="G64" s="857"/>
      <c r="H64" s="858"/>
      <c r="O64" s="8" t="s">
        <v>138</v>
      </c>
      <c r="P64" s="1"/>
      <c r="Q64" s="8"/>
      <c r="R64" s="97">
        <f>R62-R63</f>
        <v>30.185020500873463</v>
      </c>
      <c r="S64" s="106"/>
      <c r="T64" s="22"/>
      <c r="U64" s="97">
        <f ca="1">U62-U63</f>
        <v>30.159038043684632</v>
      </c>
      <c r="V64" s="110"/>
      <c r="W64" s="25"/>
      <c r="X64" s="97">
        <f ca="1">X62-X63</f>
        <v>30.029134769909447</v>
      </c>
      <c r="Y64" s="110"/>
      <c r="Z64" s="25"/>
      <c r="AA64" s="97">
        <f ca="1">AA62-AA63</f>
        <v>29.593579346010912</v>
      </c>
      <c r="AB64" s="110"/>
      <c r="AC64" s="25"/>
      <c r="AD64" s="97">
        <f ca="1">AD62-AD63</f>
        <v>28.520290153314278</v>
      </c>
      <c r="AE64" s="110"/>
      <c r="AF64" s="25"/>
      <c r="AG64" s="97">
        <f ca="1">AG62-AG63</f>
        <v>26.638756393415065</v>
      </c>
      <c r="AH64" s="110"/>
      <c r="AI64" s="25"/>
      <c r="AJ64" s="97">
        <f ca="1">AJ62-AJ63</f>
        <v>23.86946099533904</v>
      </c>
      <c r="AK64" s="110"/>
      <c r="AL64" s="25"/>
      <c r="AM64" s="97">
        <f ca="1">AM62-AM63</f>
        <v>20.782003204126397</v>
      </c>
      <c r="AN64" s="110"/>
      <c r="AO64" s="25"/>
      <c r="AP64" s="97">
        <f ca="1">AP62-AP63</f>
        <v>17.511166869397542</v>
      </c>
      <c r="AQ64" s="110"/>
      <c r="AR64" s="25"/>
      <c r="AS64" s="97">
        <f ca="1">AS62-AS63</f>
        <v>12.759216079378035</v>
      </c>
      <c r="AT64" s="110"/>
      <c r="AU64" s="25"/>
    </row>
    <row r="65" spans="1:47" ht="14.4" x14ac:dyDescent="0.3">
      <c r="A65" s="856"/>
      <c r="B65" s="857"/>
      <c r="C65" s="857"/>
      <c r="D65" s="857"/>
      <c r="E65" s="857"/>
      <c r="F65" s="857"/>
      <c r="G65" s="857"/>
      <c r="H65" s="858"/>
      <c r="O65" s="2" t="s">
        <v>140</v>
      </c>
      <c r="P65" s="11"/>
      <c r="Q65" s="2"/>
      <c r="R65" s="96">
        <f>R64/R62</f>
        <v>0.33470104384553656</v>
      </c>
      <c r="S65" s="106"/>
      <c r="T65" s="22"/>
      <c r="U65" s="96">
        <f ca="1">U64/U62</f>
        <v>0.33450931485173696</v>
      </c>
      <c r="V65" s="111"/>
      <c r="W65" s="28"/>
      <c r="X65" s="96">
        <f ca="1">X64/X62</f>
        <v>0.33354907660343441</v>
      </c>
      <c r="Y65" s="111"/>
      <c r="Z65" s="28"/>
      <c r="AA65" s="96">
        <f ca="1">AA64/AA62</f>
        <v>0.33030915342404549</v>
      </c>
      <c r="AB65" s="111"/>
      <c r="AC65" s="28"/>
      <c r="AD65" s="96">
        <f ca="1">AD64/AD62</f>
        <v>0.32218929811366476</v>
      </c>
      <c r="AE65" s="111"/>
      <c r="AF65" s="28"/>
      <c r="AG65" s="96">
        <f ca="1">AG64/AG62</f>
        <v>0.30746928398247103</v>
      </c>
      <c r="AH65" s="111"/>
      <c r="AI65" s="28"/>
      <c r="AJ65" s="96">
        <f ca="1">AJ64/AJ62</f>
        <v>0.28460253246012351</v>
      </c>
      <c r="AK65" s="111"/>
      <c r="AL65" s="28"/>
      <c r="AM65" s="96">
        <f ca="1">AM64/AM62</f>
        <v>0.25726031021554119</v>
      </c>
      <c r="AN65" s="111"/>
      <c r="AO65" s="28"/>
      <c r="AP65" s="96">
        <f ca="1">AP64/AP62</f>
        <v>0.2259179880352335</v>
      </c>
      <c r="AQ65" s="111"/>
      <c r="AR65" s="28"/>
      <c r="AS65" s="96">
        <f ca="1">AS64/AS62</f>
        <v>0.17536219831530522</v>
      </c>
      <c r="AT65" s="111"/>
      <c r="AU65" s="28"/>
    </row>
    <row r="66" spans="1:47" x14ac:dyDescent="0.25">
      <c r="A66" s="856"/>
      <c r="B66" s="857"/>
      <c r="C66" s="857"/>
      <c r="D66" s="857"/>
      <c r="E66" s="857"/>
      <c r="F66" s="857"/>
      <c r="G66" s="857"/>
      <c r="H66" s="858"/>
      <c r="O66" s="2" t="s">
        <v>21</v>
      </c>
      <c r="P66" s="8">
        <v>12</v>
      </c>
      <c r="Q66" s="2"/>
      <c r="R66" s="96">
        <f ca="1">1-R65/(3*F_GAMMA*R$29)</f>
        <v>0.82568462830932066</v>
      </c>
      <c r="S66" s="106"/>
      <c r="T66" s="22"/>
      <c r="U66" s="96">
        <f ca="1">1-U65/(3*F_GAMMA*U$29)</f>
        <v>0.82582495541134415</v>
      </c>
      <c r="V66" s="111"/>
      <c r="W66" s="28"/>
      <c r="X66" s="96">
        <f ca="1">1-X65/(3*F_GAMMA*X$29)</f>
        <v>0.82467081885455973</v>
      </c>
      <c r="Y66" s="111"/>
      <c r="Z66" s="28"/>
      <c r="AA66" s="96">
        <f ca="1">1-AA65/(3*F_GAMMA*AA$29)</f>
        <v>0.82392642781655634</v>
      </c>
      <c r="AB66" s="111"/>
      <c r="AC66" s="28"/>
      <c r="AD66" s="96">
        <f ca="1">1-AD65/(3*F_GAMMA*AD$29)</f>
        <v>0.82292823512328472</v>
      </c>
      <c r="AE66" s="111"/>
      <c r="AF66" s="28"/>
      <c r="AG66" s="96">
        <f ca="1">1-AG65/(3*F_GAMMA*AG$29)</f>
        <v>0.82087824398406828</v>
      </c>
      <c r="AH66" s="111"/>
      <c r="AI66" s="28"/>
      <c r="AJ66" s="96">
        <f ca="1">1-AJ65/(3*F_GAMMA*AJ$29)</f>
        <v>0.82162155621305955</v>
      </c>
      <c r="AK66" s="111"/>
      <c r="AL66" s="28"/>
      <c r="AM66" s="96">
        <f ca="1">1-AM65/(3*F_GAMMA*AM$29)</f>
        <v>0.81971888997972031</v>
      </c>
      <c r="AN66" s="111"/>
      <c r="AO66" s="28"/>
      <c r="AP66" s="96">
        <f ca="1">1-AP65/(3*F_GAMMA*AP$29)</f>
        <v>0.87247977412023592</v>
      </c>
      <c r="AQ66" s="111"/>
      <c r="AR66" s="28"/>
      <c r="AS66" s="96">
        <f ca="1">1-AS65/(3*F_GAMMA*AS$29)</f>
        <v>0.84482180831864062</v>
      </c>
      <c r="AT66" s="111"/>
      <c r="AU66" s="28"/>
    </row>
    <row r="67" spans="1:47" x14ac:dyDescent="0.25">
      <c r="A67" s="856"/>
      <c r="B67" s="857"/>
      <c r="C67" s="857"/>
      <c r="D67" s="857"/>
      <c r="E67" s="857"/>
      <c r="F67" s="857"/>
      <c r="G67" s="857"/>
      <c r="H67" s="858"/>
      <c r="O67" s="2" t="s">
        <v>57</v>
      </c>
      <c r="P67" s="10">
        <v>7</v>
      </c>
      <c r="Q67" s="2"/>
      <c r="R67" s="96">
        <f ca="1">(R60/(N_9*R$27*R62*R66))*SQRT(M*'Valve Sizing'!$W$6*'Valve Sizing'!$G$8/R65)</f>
        <v>0.13387389529094512</v>
      </c>
      <c r="S67" s="107"/>
      <c r="T67" s="22"/>
      <c r="U67" s="96">
        <f ca="1">(U60/(N_9*U$27*U62*U66))*SQRT(M*'Valve Sizing'!$W$6*'Valve Sizing'!$G$8/U65)</f>
        <v>4.8286996213518565</v>
      </c>
      <c r="V67" s="111"/>
      <c r="W67" s="28"/>
      <c r="X67" s="96">
        <f ca="1">(X60/(N_9*X$27*X62*X66))*SQRT(M*'Valve Sizing'!$W$6*'Valve Sizing'!$G$8/X65)</f>
        <v>11.90173388570247</v>
      </c>
      <c r="Y67" s="111"/>
      <c r="Z67" s="28"/>
      <c r="AA67" s="96">
        <f ca="1">(AA60/(N_9*AA$27*AA62*AA66))*SQRT(M*'Valve Sizing'!$W$6*'Valve Sizing'!$G$8/AA65)</f>
        <v>23.568386289732558</v>
      </c>
      <c r="AB67" s="111"/>
      <c r="AC67" s="28"/>
      <c r="AD67" s="96">
        <f ca="1">(AD60/(N_9*AD$27*AD62*AD66))*SQRT(M*'Valve Sizing'!$W$6*'Valve Sizing'!$G$8/AD65)</f>
        <v>41.072720595942982</v>
      </c>
      <c r="AE67" s="111"/>
      <c r="AF67" s="28"/>
      <c r="AG67" s="96">
        <f ca="1">(AG60/(N_9*AG$27*AG62*AG66))*SQRT(M*'Valve Sizing'!$W$6*'Valve Sizing'!$G$8/AG65)</f>
        <v>64.268699534447236</v>
      </c>
      <c r="AH67" s="111"/>
      <c r="AI67" s="28"/>
      <c r="AJ67" s="96">
        <f ca="1">(AJ60/(N_9*AJ$27*AJ62*AJ66))*SQRT(M*'Valve Sizing'!$W$6*'Valve Sizing'!$G$8/AJ65)</f>
        <v>95.332099493541492</v>
      </c>
      <c r="AK67" s="111"/>
      <c r="AL67" s="28"/>
      <c r="AM67" s="96">
        <f ca="1">(AM60/(N_9*AM$27*AM62*AM66))*SQRT(M*'Valve Sizing'!$W$6*'Valve Sizing'!$G$8/AM65)</f>
        <v>135.08727044019673</v>
      </c>
      <c r="AN67" s="111"/>
      <c r="AO67" s="28"/>
      <c r="AP67" s="96">
        <f ca="1">(AP60/(N_9*AP$27*AP62*AP66))*SQRT(M*'Valve Sizing'!$W$6*'Valve Sizing'!$G$8/AP65)</f>
        <v>186.51871151939281</v>
      </c>
      <c r="AQ67" s="111"/>
      <c r="AR67" s="28"/>
      <c r="AS67" s="96">
        <f ca="1">(AS60/(N_9*AS$27*AS62*AS66))*SQRT(M*'Valve Sizing'!$W$6*'Valve Sizing'!$G$8/AS65)</f>
        <v>365.80137831172885</v>
      </c>
      <c r="AT67" s="111"/>
      <c r="AU67" s="28"/>
    </row>
    <row r="68" spans="1:47" x14ac:dyDescent="0.25">
      <c r="A68" s="856"/>
      <c r="B68" s="857"/>
      <c r="C68" s="857"/>
      <c r="D68" s="857"/>
      <c r="E68" s="857"/>
      <c r="F68" s="857"/>
      <c r="G68" s="857"/>
      <c r="H68" s="858"/>
      <c r="O68" s="2" t="s">
        <v>59</v>
      </c>
      <c r="P68" s="10">
        <v>7</v>
      </c>
      <c r="Q68" s="2"/>
      <c r="R68" s="96">
        <f ca="1">(R60/(N_9*R$27*R62*0.667))*SQRT(M*'Valve Sizing'!$W$6*'Valve Sizing'!$G$8/R69)</f>
        <v>0.11984301768203856</v>
      </c>
      <c r="S68" s="107"/>
      <c r="T68" s="22"/>
      <c r="U68" s="96">
        <f ca="1">(U60/(N_9*U$27*U62*0.667))*SQRT(M*'Valve Sizing'!$W$6*'Valve Sizing'!$G$8/U69)</f>
        <v>4.3216137767885288</v>
      </c>
      <c r="V68" s="111"/>
      <c r="W68" s="28"/>
      <c r="X68" s="96">
        <f ca="1">(X60/(N_9*X$27*X62*0.667))*SQRT(M*'Valve Sizing'!$W$6*'Valve Sizing'!$G$8/X69)</f>
        <v>10.672170585323776</v>
      </c>
      <c r="Y68" s="111"/>
      <c r="Z68" s="28"/>
      <c r="AA68" s="96">
        <f ca="1">(AA60/(N_9*AA$27*AA62*0.667))*SQRT(M*'Valve Sizing'!$W$6*'Valve Sizing'!$G$8/AA69)</f>
        <v>21.159244749162603</v>
      </c>
      <c r="AB68" s="111"/>
      <c r="AC68" s="28"/>
      <c r="AD68" s="96">
        <f ca="1">(AD60/(N_9*AD$27*AD62*0.667))*SQRT(M*'Valve Sizing'!$W$6*'Valve Sizing'!$G$8/AD69)</f>
        <v>36.933875908386717</v>
      </c>
      <c r="AE68" s="111"/>
      <c r="AF68" s="28"/>
      <c r="AG68" s="96">
        <f ca="1">(AG60/(N_9*AG$27*AG62*0.667))*SQRT(M*'Valve Sizing'!$W$6*'Valve Sizing'!$G$8/AG69)</f>
        <v>57.981202777081727</v>
      </c>
      <c r="AH68" s="111"/>
      <c r="AI68" s="28"/>
      <c r="AJ68" s="96">
        <f ca="1">(AJ60/(N_9*AJ$27*AJ62*0.667))*SQRT(M*'Valve Sizing'!$W$6*'Valve Sizing'!$G$8/AJ69)</f>
        <v>85.904707088009445</v>
      </c>
      <c r="AK68" s="111"/>
      <c r="AL68" s="28"/>
      <c r="AM68" s="96">
        <f ca="1">(AM60/(N_9*AM$27*AM62*0.667))*SQRT(M*'Valve Sizing'!$W$6*'Valve Sizing'!$G$8/AM69)</f>
        <v>122.09258106122553</v>
      </c>
      <c r="AN68" s="111"/>
      <c r="AO68" s="28"/>
      <c r="AP68" s="96">
        <f ca="1">(AP60/(N_9*AP$27*AP62*0.667))*SQRT(M*'Valve Sizing'!$W$6*'Valve Sizing'!$G$8/AP69)</f>
        <v>150.90447010680853</v>
      </c>
      <c r="AQ68" s="111"/>
      <c r="AR68" s="28"/>
      <c r="AS68" s="96">
        <f ca="1">(AS60/(N_9*AS$27*AS62*0.667))*SQRT(M*'Valve Sizing'!$W$6*'Valve Sizing'!$G$8/AS69)</f>
        <v>316.12627253028353</v>
      </c>
      <c r="AT68" s="111"/>
      <c r="AU68" s="28"/>
    </row>
    <row r="69" spans="1:47" ht="16.2" thickBot="1" x14ac:dyDescent="0.4">
      <c r="A69" s="859"/>
      <c r="B69" s="860"/>
      <c r="C69" s="860"/>
      <c r="D69" s="860"/>
      <c r="E69" s="860"/>
      <c r="F69" s="860"/>
      <c r="G69" s="860"/>
      <c r="H69" s="861"/>
      <c r="O69" s="2" t="s">
        <v>68</v>
      </c>
      <c r="P69" s="10">
        <v>10</v>
      </c>
      <c r="Q69" s="2"/>
      <c r="R69" s="96">
        <f ca="1">F_GAMMA*R$29</f>
        <v>0.64002969751372984</v>
      </c>
      <c r="S69" s="107"/>
      <c r="T69" s="1"/>
      <c r="U69" s="96">
        <f ca="1">F_GAMMA*U$29</f>
        <v>0.64017842058782071</v>
      </c>
      <c r="V69" s="111"/>
      <c r="W69" s="28"/>
      <c r="X69" s="96">
        <f ca="1">F_GAMMA*X$29</f>
        <v>0.63413873724904268</v>
      </c>
      <c r="Y69" s="111"/>
      <c r="Z69" s="28"/>
      <c r="AA69" s="96">
        <f ca="1">F_GAMMA*AA$29</f>
        <v>0.62532411750377137</v>
      </c>
      <c r="AB69" s="111"/>
      <c r="AC69" s="28"/>
      <c r="AD69" s="96">
        <f ca="1">F_GAMMA*AD$29</f>
        <v>0.60651359509139569</v>
      </c>
      <c r="AE69" s="111"/>
      <c r="AF69" s="28"/>
      <c r="AG69" s="96">
        <f ca="1">F_GAMMA*AG$29</f>
        <v>0.57217930198481592</v>
      </c>
      <c r="AH69" s="111"/>
      <c r="AI69" s="28"/>
      <c r="AJ69" s="96">
        <f ca="1">F_GAMMA*AJ$29</f>
        <v>0.53183282018848232</v>
      </c>
      <c r="AK69" s="111"/>
      <c r="AL69" s="28"/>
      <c r="AM69" s="96">
        <f ca="1">F_GAMMA*AM$29</f>
        <v>0.47566512503094399</v>
      </c>
      <c r="AN69" s="111"/>
      <c r="AO69" s="28"/>
      <c r="AP69" s="96">
        <f ca="1">F_GAMMA*AP$29</f>
        <v>0.59054158265645496</v>
      </c>
      <c r="AQ69" s="111"/>
      <c r="AR69" s="28"/>
      <c r="AS69" s="96">
        <f ca="1">F_GAMMA*AS$29</f>
        <v>0.3766899554102966</v>
      </c>
      <c r="AT69" s="111"/>
      <c r="AU69" s="28"/>
    </row>
    <row r="70" spans="1:47" ht="13.8" thickTop="1" x14ac:dyDescent="0.25">
      <c r="A70" s="145"/>
      <c r="B70" s="145"/>
      <c r="C70" s="145"/>
      <c r="D70" s="145"/>
      <c r="E70" s="145"/>
      <c r="F70" s="145"/>
      <c r="G70" s="145"/>
      <c r="H70" s="145"/>
      <c r="O70" s="2" t="s">
        <v>145</v>
      </c>
      <c r="P70" s="12"/>
      <c r="Q70" s="2"/>
      <c r="R70" s="96">
        <f ca="1">IF(R65&lt;R69,R67,R68)</f>
        <v>0.13387389529094512</v>
      </c>
      <c r="S70" s="116"/>
      <c r="T70" s="1"/>
      <c r="U70" s="96">
        <f ca="1">IF(U65&lt;U69,U67,U68)</f>
        <v>4.8286996213518565</v>
      </c>
      <c r="V70" s="111"/>
      <c r="W70" s="28"/>
      <c r="X70" s="96">
        <f ca="1">IF(X65&lt;X69,X67,X68)</f>
        <v>11.90173388570247</v>
      </c>
      <c r="Y70" s="111"/>
      <c r="Z70" s="28"/>
      <c r="AA70" s="96">
        <f ca="1">IF(AA65&lt;AA69,AA67,AA68)</f>
        <v>23.568386289732558</v>
      </c>
      <c r="AB70" s="111"/>
      <c r="AC70" s="28"/>
      <c r="AD70" s="96">
        <f ca="1">IF(AD65&lt;AD69,AD67,AD68)</f>
        <v>41.072720595942982</v>
      </c>
      <c r="AE70" s="111"/>
      <c r="AF70" s="28"/>
      <c r="AG70" s="96">
        <f ca="1">IF(AG65&lt;AG69,AG67,AG68)</f>
        <v>64.268699534447236</v>
      </c>
      <c r="AH70" s="111"/>
      <c r="AI70" s="28"/>
      <c r="AJ70" s="96">
        <f ca="1">IF(AJ65&lt;AJ69,AJ67,AJ68)</f>
        <v>95.332099493541492</v>
      </c>
      <c r="AK70" s="111"/>
      <c r="AL70" s="28"/>
      <c r="AM70" s="96">
        <f ca="1">IF(AM65&lt;AM69,AM67,AM68)</f>
        <v>135.08727044019673</v>
      </c>
      <c r="AN70" s="111"/>
      <c r="AO70" s="28"/>
      <c r="AP70" s="96">
        <f ca="1">IF(AP65&lt;AP69,AP67,AP68)</f>
        <v>186.51871151939281</v>
      </c>
      <c r="AQ70" s="111"/>
      <c r="AR70" s="28"/>
      <c r="AS70" s="96">
        <f ca="1">IF(AS65&lt;AS69,AS67,AS68)</f>
        <v>365.80137831172885</v>
      </c>
      <c r="AT70" s="111"/>
      <c r="AU70" s="28"/>
    </row>
    <row r="71" spans="1:47" x14ac:dyDescent="0.25">
      <c r="A71" s="145"/>
      <c r="B71" s="534"/>
      <c r="C71" s="145"/>
      <c r="D71" s="145"/>
      <c r="E71" s="145"/>
      <c r="F71" s="145"/>
      <c r="G71" s="145"/>
      <c r="H71" s="145"/>
      <c r="O71" s="13" t="s">
        <v>143</v>
      </c>
      <c r="P71" s="1"/>
      <c r="Q71" s="1"/>
      <c r="R71" s="113"/>
      <c r="S71" s="106">
        <f ca="1">IF(R64&lt;=0,Q_max,ABS(R$23-R70))</f>
        <v>4.5961261047090556</v>
      </c>
      <c r="T71" s="7">
        <f>R60</f>
        <v>331.50265199999996</v>
      </c>
      <c r="U71" s="98"/>
      <c r="V71" s="106">
        <f ca="1">IF(U64&lt;=0,Q_max,ABS(U$23-U70))</f>
        <v>6.7713003786481432</v>
      </c>
      <c r="W71" s="9">
        <f ca="1">U60</f>
        <v>11944.299145927005</v>
      </c>
      <c r="X71" s="98"/>
      <c r="Y71" s="106">
        <f ca="1">IF(X64&lt;=0,Q_max,ABS(X$23-X70))</f>
        <v>11.09826611429753</v>
      </c>
      <c r="Z71" s="9">
        <f ca="1">X60</f>
        <v>29247.201164492828</v>
      </c>
      <c r="AA71" s="98"/>
      <c r="AB71" s="106">
        <f ca="1">IF(AA64&lt;=0,Q_max,ABS(AA$23-AA70))</f>
        <v>15.83161371026744</v>
      </c>
      <c r="AC71" s="9">
        <f ca="1">AA60</f>
        <v>56966.082654481608</v>
      </c>
      <c r="AD71" s="98"/>
      <c r="AE71" s="106">
        <f ca="1">IF(AD64&lt;=0,Q_max,ABS(AD$23-AD70))</f>
        <v>19.927279404057018</v>
      </c>
      <c r="AF71" s="9">
        <f ca="1">AD60</f>
        <v>95571.365768566204</v>
      </c>
      <c r="AG71" s="98"/>
      <c r="AH71" s="106">
        <f ca="1">IF(AG64&lt;=0,Q_max,ABS(AG$23-AG70))</f>
        <v>23.931300465552766</v>
      </c>
      <c r="AI71" s="9">
        <f ca="1">AG60</f>
        <v>139489.01133448977</v>
      </c>
      <c r="AJ71" s="98"/>
      <c r="AK71" s="106">
        <f ca="1">IF(AJ64&lt;=0,Q_max,ABS(AJ$23-AJ70))</f>
        <v>25.667900506458508</v>
      </c>
      <c r="AL71" s="9">
        <f ca="1">AJ60</f>
        <v>186148.62636440745</v>
      </c>
      <c r="AM71" s="98"/>
      <c r="AN71" s="106">
        <f ca="1">IF(AM64&lt;=0,Q_max,ABS(AM$23-AM70))</f>
        <v>29.912729559803267</v>
      </c>
      <c r="AO71" s="9">
        <f ca="1">AM60</f>
        <v>227136.69983984553</v>
      </c>
      <c r="AP71" s="98"/>
      <c r="AQ71" s="106">
        <f ca="1">IF(AP64&lt;=0,Q_max,ABS(AP$23-AP70))</f>
        <v>59.481288480607191</v>
      </c>
      <c r="AR71" s="9">
        <f ca="1">AP60</f>
        <v>263698.65713925433</v>
      </c>
      <c r="AS71" s="98"/>
      <c r="AT71" s="106">
        <f ca="1">IF(AS64&lt;=0,Q_max,ABS(AS$23-AS70))</f>
        <v>54.198621688271146</v>
      </c>
      <c r="AU71" s="9">
        <f ca="1">AS60</f>
        <v>309207.41405654588</v>
      </c>
    </row>
    <row r="72" spans="1:47" x14ac:dyDescent="0.25">
      <c r="A72" s="145"/>
      <c r="B72" s="145"/>
      <c r="C72" s="145"/>
      <c r="D72" s="145"/>
      <c r="E72" s="145"/>
      <c r="F72" s="145"/>
      <c r="G72" s="145"/>
      <c r="H72" s="145"/>
      <c r="O72" s="21"/>
      <c r="P72" s="14"/>
      <c r="Q72" s="21"/>
      <c r="R72" s="97"/>
      <c r="S72" s="106"/>
      <c r="T72" s="28"/>
      <c r="U72" s="97"/>
      <c r="V72" s="111"/>
      <c r="W72" s="28"/>
      <c r="X72" s="97"/>
      <c r="Y72" s="111"/>
      <c r="Z72" s="28"/>
      <c r="AA72" s="97"/>
      <c r="AB72" s="111"/>
      <c r="AC72" s="28"/>
      <c r="AD72" s="97"/>
      <c r="AE72" s="111"/>
      <c r="AF72" s="28"/>
      <c r="AG72" s="97"/>
      <c r="AH72" s="111"/>
      <c r="AI72" s="28"/>
      <c r="AJ72" s="97"/>
      <c r="AK72" s="111"/>
      <c r="AL72" s="28"/>
      <c r="AM72" s="97"/>
      <c r="AN72" s="111"/>
      <c r="AO72" s="28"/>
      <c r="AP72" s="97"/>
      <c r="AQ72" s="111"/>
      <c r="AR72" s="28"/>
      <c r="AS72" s="97"/>
      <c r="AT72" s="111"/>
      <c r="AU72" s="28"/>
    </row>
    <row r="73" spans="1:47" x14ac:dyDescent="0.25">
      <c r="A73" s="145"/>
      <c r="B73" s="145"/>
      <c r="C73" s="145"/>
      <c r="D73" s="145"/>
      <c r="E73" s="145"/>
      <c r="F73" s="145"/>
      <c r="G73" s="145"/>
      <c r="H73" s="145"/>
      <c r="O73" s="1"/>
      <c r="P73" s="1"/>
      <c r="Q73" s="1"/>
      <c r="R73" s="98"/>
      <c r="S73" s="108" t="s">
        <v>137</v>
      </c>
      <c r="T73" s="26" t="s">
        <v>146</v>
      </c>
      <c r="U73" s="98"/>
      <c r="V73" s="108" t="s">
        <v>137</v>
      </c>
      <c r="W73" s="26" t="s">
        <v>146</v>
      </c>
      <c r="X73" s="98"/>
      <c r="Y73" s="108" t="s">
        <v>137</v>
      </c>
      <c r="Z73" s="26" t="s">
        <v>146</v>
      </c>
      <c r="AA73" s="98"/>
      <c r="AB73" s="108" t="s">
        <v>137</v>
      </c>
      <c r="AC73" s="26" t="s">
        <v>146</v>
      </c>
      <c r="AD73" s="98"/>
      <c r="AE73" s="108" t="s">
        <v>137</v>
      </c>
      <c r="AF73" s="26" t="s">
        <v>146</v>
      </c>
      <c r="AG73" s="98"/>
      <c r="AH73" s="108" t="s">
        <v>137</v>
      </c>
      <c r="AI73" s="26" t="s">
        <v>146</v>
      </c>
      <c r="AJ73" s="98"/>
      <c r="AK73" s="108" t="s">
        <v>137</v>
      </c>
      <c r="AL73" s="26" t="s">
        <v>146</v>
      </c>
      <c r="AM73" s="98"/>
      <c r="AN73" s="108" t="s">
        <v>137</v>
      </c>
      <c r="AO73" s="26" t="s">
        <v>146</v>
      </c>
      <c r="AP73" s="98"/>
      <c r="AQ73" s="108" t="s">
        <v>137</v>
      </c>
      <c r="AR73" s="26" t="s">
        <v>146</v>
      </c>
      <c r="AS73" s="98"/>
      <c r="AT73" s="108" t="s">
        <v>137</v>
      </c>
      <c r="AU73" s="26" t="s">
        <v>146</v>
      </c>
    </row>
    <row r="74" spans="1:47" ht="13.8" x14ac:dyDescent="0.25">
      <c r="A74" s="606" t="s">
        <v>729</v>
      </c>
      <c r="B74" s="145"/>
      <c r="C74" s="145"/>
      <c r="D74" s="145"/>
      <c r="E74" s="145"/>
      <c r="F74" s="145"/>
      <c r="G74" s="145"/>
      <c r="H74" s="145"/>
      <c r="O74" s="20" t="s">
        <v>136</v>
      </c>
      <c r="P74" s="1"/>
      <c r="Q74" s="1"/>
      <c r="R74" s="96">
        <f>R60*1.02</f>
        <v>338.13270503999996</v>
      </c>
      <c r="S74" s="109" t="s">
        <v>144</v>
      </c>
      <c r="T74" s="23" t="s">
        <v>147</v>
      </c>
      <c r="U74" s="96">
        <f ca="1">U60*1.01</f>
        <v>12063.742137386274</v>
      </c>
      <c r="V74" s="109" t="s">
        <v>144</v>
      </c>
      <c r="W74" s="23" t="s">
        <v>147</v>
      </c>
      <c r="X74" s="96">
        <f ca="1">X60*1.01</f>
        <v>29539.673176137756</v>
      </c>
      <c r="Y74" s="109" t="s">
        <v>144</v>
      </c>
      <c r="Z74" s="23" t="s">
        <v>147</v>
      </c>
      <c r="AA74" s="96">
        <f ca="1">AA60*1.01</f>
        <v>57535.743481026424</v>
      </c>
      <c r="AB74" s="109" t="s">
        <v>144</v>
      </c>
      <c r="AC74" s="23" t="s">
        <v>147</v>
      </c>
      <c r="AD74" s="96">
        <f ca="1">AD60*1.01</f>
        <v>96527.079426251861</v>
      </c>
      <c r="AE74" s="109" t="s">
        <v>144</v>
      </c>
      <c r="AF74" s="23" t="s">
        <v>147</v>
      </c>
      <c r="AG74" s="96">
        <f ca="1">AG60*1.01</f>
        <v>140883.90144783468</v>
      </c>
      <c r="AH74" s="109" t="s">
        <v>144</v>
      </c>
      <c r="AI74" s="23" t="s">
        <v>147</v>
      </c>
      <c r="AJ74" s="96">
        <f ca="1">AJ60*1.01</f>
        <v>188010.11262805152</v>
      </c>
      <c r="AK74" s="109" t="s">
        <v>144</v>
      </c>
      <c r="AL74" s="23" t="s">
        <v>147</v>
      </c>
      <c r="AM74" s="96">
        <f ca="1">AM60*1.01</f>
        <v>229408.06683824398</v>
      </c>
      <c r="AN74" s="109" t="s">
        <v>144</v>
      </c>
      <c r="AO74" s="23" t="s">
        <v>147</v>
      </c>
      <c r="AP74" s="96">
        <f ca="1">AP60*1.01</f>
        <v>266335.64371064689</v>
      </c>
      <c r="AQ74" s="109" t="s">
        <v>144</v>
      </c>
      <c r="AR74" s="23" t="s">
        <v>147</v>
      </c>
      <c r="AS74" s="96">
        <f ca="1">AS60*1.01</f>
        <v>312299.48819711135</v>
      </c>
      <c r="AT74" s="109" t="s">
        <v>144</v>
      </c>
      <c r="AU74" s="23" t="s">
        <v>147</v>
      </c>
    </row>
    <row r="75" spans="1:47" x14ac:dyDescent="0.25">
      <c r="A75" s="145"/>
      <c r="B75" s="145"/>
      <c r="C75" s="145"/>
      <c r="D75" s="145"/>
      <c r="E75" s="145"/>
      <c r="F75" s="145"/>
      <c r="G75" s="145"/>
      <c r="H75" s="145"/>
      <c r="O75" s="1"/>
      <c r="P75" s="1"/>
      <c r="Q75" s="1"/>
      <c r="R75" s="98"/>
      <c r="S75" s="107"/>
      <c r="T75" s="1"/>
      <c r="U75" s="47"/>
      <c r="V75" s="107"/>
      <c r="W75" s="1"/>
      <c r="X75" s="47"/>
      <c r="Y75" s="107"/>
      <c r="Z75" s="1"/>
      <c r="AA75" s="47"/>
      <c r="AB75" s="107"/>
      <c r="AC75" s="1"/>
      <c r="AD75" s="47"/>
      <c r="AE75" s="107"/>
      <c r="AF75" s="1"/>
      <c r="AG75" s="47"/>
      <c r="AH75" s="107"/>
      <c r="AI75" s="1"/>
      <c r="AJ75" s="47"/>
      <c r="AK75" s="107"/>
      <c r="AL75" s="1"/>
      <c r="AM75" s="47"/>
      <c r="AN75" s="107"/>
      <c r="AO75" s="1"/>
      <c r="AP75" s="47"/>
      <c r="AQ75" s="107"/>
      <c r="AR75" s="1"/>
      <c r="AS75" s="47"/>
      <c r="AT75" s="107"/>
      <c r="AU75" s="1"/>
    </row>
    <row r="76" spans="1:47" ht="13.8" x14ac:dyDescent="0.25">
      <c r="A76" s="207" t="s">
        <v>730</v>
      </c>
      <c r="B76" s="532">
        <f ca="1">IFERROR(IF(B6/VS_IN^2&lt;0.801,0.74,IF(B6/VS_IN^2&gt;5.838,0.7,-0.000258*(B6/VS_IN^2)^4+0.002423*(B6/VS_IN^2)^3-0.005909*(B6/VS_IN^2)^2-0.00442*B6/VS_IN^2+0.744951)),"")</f>
        <v>0.74</v>
      </c>
      <c r="C76" s="532">
        <f t="shared" ref="C76:K76" ca="1" si="3">IFERROR(IF(C6/VS_IN^2&lt;0.801,0.74,IF(C6/VS_IN^2&gt;5.838,0.7,-0.000258*(C6/VS_IN^2)^4+0.002423*(C6/VS_IN^2)^3-0.005909*(C6/VS_IN^2)^2-0.00442*C6/VS_IN^2+0.744951)),"")</f>
        <v>0.73391387201390035</v>
      </c>
      <c r="D76" s="532">
        <f t="shared" ca="1" si="3"/>
        <v>0.72450014037494292</v>
      </c>
      <c r="E76" s="532">
        <f t="shared" ca="1" si="3"/>
        <v>0.72088284281225423</v>
      </c>
      <c r="F76" s="532">
        <f t="shared" ca="1" si="3"/>
        <v>0.7</v>
      </c>
      <c r="G76" s="532">
        <f t="shared" ca="1" si="3"/>
        <v>0.7</v>
      </c>
      <c r="H76" s="532">
        <f t="shared" ca="1" si="3"/>
        <v>0.7</v>
      </c>
      <c r="I76" s="532">
        <f t="shared" ca="1" si="3"/>
        <v>0.7</v>
      </c>
      <c r="J76" s="532">
        <f t="shared" ca="1" si="3"/>
        <v>0.7</v>
      </c>
      <c r="K76" s="532">
        <f t="shared" ca="1" si="3"/>
        <v>0.7</v>
      </c>
      <c r="O76" s="8" t="s">
        <v>132</v>
      </c>
      <c r="P76" s="8"/>
      <c r="Q76" s="8"/>
      <c r="R76" s="96">
        <f>P_1_minQ-(R74^2*R_up)+dpup_minQ</f>
        <v>90.185019691686421</v>
      </c>
      <c r="S76" s="106"/>
      <c r="T76" s="22"/>
      <c r="U76" s="96">
        <f ca="1">P_1_minQ-(U74^2*R_up)+dpup_minQ</f>
        <v>90.158515393704548</v>
      </c>
      <c r="V76" s="107"/>
      <c r="W76" s="1"/>
      <c r="X76" s="96">
        <f ca="1">P_1_minQ-(X74^2*R_up)+dpup_minQ</f>
        <v>90.026001064126504</v>
      </c>
      <c r="Y76" s="107"/>
      <c r="Z76" s="1"/>
      <c r="AA76" s="96">
        <f ca="1">P_1_minQ-(AA74^2*R_up)+dpup_minQ</f>
        <v>89.581690976207597</v>
      </c>
      <c r="AB76" s="107"/>
      <c r="AC76" s="1"/>
      <c r="AD76" s="96">
        <f ca="1">P_1_minQ-(AD74^2*R_up)+dpup_minQ</f>
        <v>88.486828670737751</v>
      </c>
      <c r="AE76" s="107"/>
      <c r="AF76" s="1"/>
      <c r="AG76" s="96">
        <f ca="1">P_1_minQ-(AG74^2*R_up)+dpup_minQ</f>
        <v>86.567476082264562</v>
      </c>
      <c r="AH76" s="107"/>
      <c r="AI76" s="1"/>
      <c r="AJ76" s="96">
        <f ca="1">P_1_minQ-(AJ74^2*R_up)+dpup_minQ</f>
        <v>83.742517846687221</v>
      </c>
      <c r="AK76" s="107"/>
      <c r="AL76" s="1"/>
      <c r="AM76" s="96">
        <f ca="1">P_1_minQ-(AM74^2*R_up)+dpup_minQ</f>
        <v>80.593002153871197</v>
      </c>
      <c r="AN76" s="107"/>
      <c r="AO76" s="1"/>
      <c r="AP76" s="96">
        <f ca="1">P_1_minQ-(AP74^2*R_up)+dpup_minQ</f>
        <v>77.256422008814297</v>
      </c>
      <c r="AQ76" s="107"/>
      <c r="AR76" s="1"/>
      <c r="AS76" s="96">
        <f ca="1">P_1_minQ-(AS74^2*R_up)+dpup_minQ</f>
        <v>72.408957007915404</v>
      </c>
      <c r="AT76" s="107"/>
      <c r="AU76" s="1"/>
    </row>
    <row r="77" spans="1:47" x14ac:dyDescent="0.25">
      <c r="A77" s="8" t="s">
        <v>731</v>
      </c>
      <c r="B77" s="532">
        <f ca="1">IFERROR(IF(B6/VS_IN^2&lt;=0.011,0.64,IF(B6/VS_IN^2&gt;2.02,0.6,-0.01502*(B6/VS_IN^2)^3+0.0571*(B6/VS_IN^2)^2-0.07493*B6/VS_IN^2+0.64234)),"")</f>
        <v>0.61655128762504807</v>
      </c>
      <c r="C77" s="208">
        <f t="shared" ref="C77:K77" ca="1" si="4">IFERROR(IF(C6/VS_IN^2&lt;=0.011,0.64,IF(C6/VS_IN^2&gt;2.02,0.6,-0.01502*(C6/VS_IN^2)^3+0.0571*(C6/VS_IN^2)^2-0.07493*C6/VS_IN^2+0.64234)),"")</f>
        <v>0.6084600248010974</v>
      </c>
      <c r="D77" s="208">
        <f t="shared" ca="1" si="4"/>
        <v>0.6</v>
      </c>
      <c r="E77" s="208">
        <f t="shared" ca="1" si="4"/>
        <v>0.6</v>
      </c>
      <c r="F77" s="208">
        <f t="shared" ca="1" si="4"/>
        <v>0.6</v>
      </c>
      <c r="G77" s="208">
        <f t="shared" ca="1" si="4"/>
        <v>0.6</v>
      </c>
      <c r="H77" s="208">
        <f t="shared" ca="1" si="4"/>
        <v>0.6</v>
      </c>
      <c r="I77" s="208">
        <f t="shared" ca="1" si="4"/>
        <v>0.6</v>
      </c>
      <c r="J77" s="208">
        <f t="shared" ca="1" si="4"/>
        <v>0.6</v>
      </c>
      <c r="K77" s="208">
        <f t="shared" ca="1" si="4"/>
        <v>0.6</v>
      </c>
      <c r="O77" s="8" t="s">
        <v>134</v>
      </c>
      <c r="P77" s="1"/>
      <c r="Q77" s="8"/>
      <c r="R77" s="97">
        <f>P_2_minQ+(R74^2*R_dn)-dpdn_minQ</f>
        <v>60</v>
      </c>
      <c r="S77" s="106"/>
      <c r="T77" s="22"/>
      <c r="U77" s="97">
        <f ca="1">P_2_minQ+(U74^2*R_dn)-dpdn_minQ</f>
        <v>60</v>
      </c>
      <c r="V77" s="107"/>
      <c r="W77" s="1"/>
      <c r="X77" s="97">
        <f ca="1">P_2_minQ+(X74^2*R_dn)-dpdn_minQ</f>
        <v>60</v>
      </c>
      <c r="Y77" s="107"/>
      <c r="Z77" s="1"/>
      <c r="AA77" s="97">
        <f ca="1">P_2_minQ+(AA74^2*R_dn)-dpdn_minQ</f>
        <v>60</v>
      </c>
      <c r="AB77" s="107"/>
      <c r="AC77" s="1"/>
      <c r="AD77" s="97">
        <f ca="1">P_2_minQ+(AD74^2*R_dn)-dpdn_minQ</f>
        <v>60</v>
      </c>
      <c r="AE77" s="107"/>
      <c r="AF77" s="1"/>
      <c r="AG77" s="97">
        <f ca="1">P_2_minQ+(AG74^2*R_dn)-dpdn_minQ</f>
        <v>60</v>
      </c>
      <c r="AH77" s="107"/>
      <c r="AI77" s="1"/>
      <c r="AJ77" s="97">
        <f ca="1">P_2_minQ+(AJ74^2*R_dn)-dpdn_minQ</f>
        <v>60</v>
      </c>
      <c r="AK77" s="107"/>
      <c r="AL77" s="1"/>
      <c r="AM77" s="97">
        <f ca="1">P_2_minQ+(AM74^2*R_dn)-dpdn_minQ</f>
        <v>60</v>
      </c>
      <c r="AN77" s="107"/>
      <c r="AO77" s="1"/>
      <c r="AP77" s="97">
        <f ca="1">P_2_minQ+(AP74^2*R_dn)-dpdn_minQ</f>
        <v>60</v>
      </c>
      <c r="AQ77" s="107"/>
      <c r="AR77" s="1"/>
      <c r="AS77" s="97">
        <f ca="1">P_2_minQ+(AS74^2*R_dn)-dpdn_minQ</f>
        <v>60</v>
      </c>
      <c r="AT77" s="107"/>
      <c r="AU77" s="1"/>
    </row>
    <row r="78" spans="1:47" x14ac:dyDescent="0.25">
      <c r="A78" s="8" t="s">
        <v>732</v>
      </c>
      <c r="B78" s="532">
        <f ca="1">IFERROR(IF(B6/VS_IN^2&lt;4.53,0.62,IF(B6/VS_IN^2&gt;15,0.399,0.6213-0.002517*B6/VS_IN^2+0.0014569*(B6/VS_IN^2)^2-0.00026659*(B6/VS_IN^2)^3+0.0000076526*(B6/VS_IN^2)^4)),"")</f>
        <v>0.62</v>
      </c>
      <c r="C78" s="532">
        <f t="shared" ref="C78:K78" ca="1" si="5">IFERROR(IF(C6/VS_IN^2&lt;4.53,0.62,IF(C6/VS_IN^2&gt;15,0.399,0.6213-0.002517*C6/VS_IN^2+0.0014569*(C6/VS_IN^2)^2-0.00026659*(C6/VS_IN^2)^3+0.0000076526*(C6/VS_IN^2)^4)),"")</f>
        <v>0.62</v>
      </c>
      <c r="D78" s="532">
        <f t="shared" ca="1" si="5"/>
        <v>0.62</v>
      </c>
      <c r="E78" s="532">
        <f t="shared" ca="1" si="5"/>
        <v>0.62</v>
      </c>
      <c r="F78" s="532">
        <f t="shared" ca="1" si="5"/>
        <v>0.60431197128891934</v>
      </c>
      <c r="G78" s="532">
        <f t="shared" ca="1" si="5"/>
        <v>0.55622684653216004</v>
      </c>
      <c r="H78" s="532">
        <f t="shared" ca="1" si="5"/>
        <v>0.45297581187785396</v>
      </c>
      <c r="I78" s="532">
        <f t="shared" ca="1" si="5"/>
        <v>0.39900000000000002</v>
      </c>
      <c r="J78" s="532">
        <f t="shared" ca="1" si="5"/>
        <v>0.39900000000000002</v>
      </c>
      <c r="K78" s="532">
        <f t="shared" ca="1" si="5"/>
        <v>0.39900000000000002</v>
      </c>
      <c r="O78" s="8" t="s">
        <v>138</v>
      </c>
      <c r="P78" s="1"/>
      <c r="Q78" s="8"/>
      <c r="R78" s="97">
        <f>R76-R77</f>
        <v>30.185019691686421</v>
      </c>
      <c r="S78" s="106"/>
      <c r="T78" s="22"/>
      <c r="U78" s="97">
        <f ca="1">U76-U77</f>
        <v>30.158515393704548</v>
      </c>
      <c r="V78" s="110"/>
      <c r="W78" s="25"/>
      <c r="X78" s="97">
        <f ca="1">X76-X77</f>
        <v>30.026001064126504</v>
      </c>
      <c r="Y78" s="110"/>
      <c r="Z78" s="25"/>
      <c r="AA78" s="97">
        <f ca="1">AA76-AA77</f>
        <v>29.581690976207597</v>
      </c>
      <c r="AB78" s="110"/>
      <c r="AC78" s="25"/>
      <c r="AD78" s="97">
        <f ca="1">AD76-AD77</f>
        <v>28.486828670737751</v>
      </c>
      <c r="AE78" s="110"/>
      <c r="AF78" s="25"/>
      <c r="AG78" s="97">
        <f ca="1">AG76-AG77</f>
        <v>26.567476082264562</v>
      </c>
      <c r="AH78" s="110"/>
      <c r="AI78" s="25"/>
      <c r="AJ78" s="97">
        <f ca="1">AJ76-AJ77</f>
        <v>23.742517846687221</v>
      </c>
      <c r="AK78" s="110"/>
      <c r="AL78" s="25"/>
      <c r="AM78" s="97">
        <f ca="1">AM76-AM77</f>
        <v>20.593002153871197</v>
      </c>
      <c r="AN78" s="110"/>
      <c r="AO78" s="25"/>
      <c r="AP78" s="97">
        <f ca="1">AP76-AP77</f>
        <v>17.256422008814297</v>
      </c>
      <c r="AQ78" s="110"/>
      <c r="AR78" s="25"/>
      <c r="AS78" s="97">
        <f ca="1">AS76-AS77</f>
        <v>12.408957007915404</v>
      </c>
      <c r="AT78" s="110"/>
      <c r="AU78" s="25"/>
    </row>
    <row r="79" spans="1:47" ht="14.4" x14ac:dyDescent="0.3">
      <c r="A79" s="8" t="s">
        <v>93</v>
      </c>
      <c r="B79" s="532">
        <f ca="1">IFERROR(IF(B6/VS_IN^2&lt;1.45,0.64,IF(B6/VS_IN^2&gt;48.9,0.16,IF(B6/VS_IN^2&lt;=15.07,0.64307-0.0039208*B6/VS_IN^2+0.00041546*(B6/VS_IN^2)^2-0.00015826*(B6/VS_IN^2)^3+0.0000068447*(B6/VS_IN^2)^4,-0.0085*B6/VS_IN^2+0.5791))),"")</f>
        <v>0.64</v>
      </c>
      <c r="C79" s="532">
        <f t="shared" ref="C79:K79" ca="1" si="6">IFERROR(IF(C6/VS_IN^2&lt;1.45,0.64,IF(C6/VS_IN^2&gt;48.9,0.16,IF(C6/VS_IN^2&lt;=15.07,0.64307-0.0039208*C6/VS_IN^2+0.00041546*(C6/VS_IN^2)^2-0.00015826*(C6/VS_IN^2)^3+0.0000068447*(C6/VS_IN^2)^4,-0.0085*C6/VS_IN^2+0.5791))),"")</f>
        <v>0.64</v>
      </c>
      <c r="D79" s="532">
        <f t="shared" ca="1" si="6"/>
        <v>0.63341407481370215</v>
      </c>
      <c r="E79" s="532">
        <f t="shared" ca="1" si="6"/>
        <v>0.62310390844695651</v>
      </c>
      <c r="F79" s="532">
        <f t="shared" ca="1" si="6"/>
        <v>0.60075000527552214</v>
      </c>
      <c r="G79" s="532">
        <f t="shared" ca="1" si="6"/>
        <v>0.55872722592752011</v>
      </c>
      <c r="H79" s="532">
        <f t="shared" ca="1" si="6"/>
        <v>0.50448898026226197</v>
      </c>
      <c r="I79" s="532">
        <f t="shared" ca="1" si="6"/>
        <v>0.42326666666666657</v>
      </c>
      <c r="J79" s="532">
        <f t="shared" ca="1" si="6"/>
        <v>0.34676666666666656</v>
      </c>
      <c r="K79" s="532">
        <f t="shared" ca="1" si="6"/>
        <v>0.18243333333333323</v>
      </c>
      <c r="O79" s="2" t="s">
        <v>140</v>
      </c>
      <c r="P79" s="11"/>
      <c r="Q79" s="2"/>
      <c r="R79" s="96">
        <f>R78/R76</f>
        <v>0.33470103787612726</v>
      </c>
      <c r="S79" s="106"/>
      <c r="T79" s="22"/>
      <c r="U79" s="96">
        <f ca="1">U78/U76</f>
        <v>0.33450545699436407</v>
      </c>
      <c r="V79" s="111"/>
      <c r="W79" s="28"/>
      <c r="X79" s="96">
        <f ca="1">X78/X76</f>
        <v>0.33352587818200052</v>
      </c>
      <c r="Y79" s="111"/>
      <c r="Z79" s="28"/>
      <c r="AA79" s="96">
        <f ca="1">AA78/AA76</f>
        <v>0.33022027887444466</v>
      </c>
      <c r="AB79" s="111"/>
      <c r="AC79" s="28"/>
      <c r="AD79" s="96">
        <f ca="1">AD78/AD76</f>
        <v>0.32193298255425257</v>
      </c>
      <c r="AE79" s="111"/>
      <c r="AF79" s="28"/>
      <c r="AG79" s="96">
        <f ca="1">AG78/AG76</f>
        <v>0.30689904898021569</v>
      </c>
      <c r="AH79" s="111"/>
      <c r="AI79" s="28"/>
      <c r="AJ79" s="96">
        <f ca="1">AJ78/AJ76</f>
        <v>0.28351807967076137</v>
      </c>
      <c r="AK79" s="111"/>
      <c r="AL79" s="28"/>
      <c r="AM79" s="96">
        <f ca="1">AM78/AM76</f>
        <v>0.25551848924245635</v>
      </c>
      <c r="AN79" s="111"/>
      <c r="AO79" s="28"/>
      <c r="AP79" s="96">
        <f ca="1">AP78/AP76</f>
        <v>0.22336553467160941</v>
      </c>
      <c r="AQ79" s="111"/>
      <c r="AR79" s="28"/>
      <c r="AS79" s="96">
        <f ca="1">AS78/AS76</f>
        <v>0.1713732322723405</v>
      </c>
      <c r="AT79" s="111"/>
      <c r="AU79" s="28"/>
    </row>
    <row r="80" spans="1:47" x14ac:dyDescent="0.25">
      <c r="A80" s="8" t="s">
        <v>94</v>
      </c>
      <c r="B80" s="532">
        <f ca="1">IFERROR(IF(B6/VS_IN^2&lt;2.43,0.693,IF(B6/VS_IN^2&gt;47.01,0.15,IF(B6/VS_IN^2&lt;20.3,0.73141-0.01581*B6/VS_IN^2,IF(B6/VS_IN^2&lt;29.6,0.4964-0.0043*B6/VS_IN^2,0.74428-0.01265*B6/VS_IN^2)))),"")</f>
        <v>0.69299999999999995</v>
      </c>
      <c r="C80" s="208">
        <f t="shared" ref="C80:K80" ca="1" si="7">IFERROR(IF(C6/VS_IN^2&lt;2.43,0.693,IF(C6/VS_IN^2&gt;47.01,0.15,IF(C6/VS_IN^2&lt;20.3,0.73141-0.01581*C6/VS_IN^2,IF(C6/VS_IN^2&lt;29.6,0.4964-0.0043*C6/VS_IN^2,0.74428-0.01265*C6/VS_IN^2)))),"")</f>
        <v>0.69299999999999995</v>
      </c>
      <c r="D80" s="208">
        <f t="shared" ca="1" si="7"/>
        <v>0.69100666666666666</v>
      </c>
      <c r="E80" s="208">
        <f t="shared" ca="1" si="7"/>
        <v>0.6621973333333333</v>
      </c>
      <c r="F80" s="208">
        <f t="shared" ca="1" si="7"/>
        <v>0.62425333333333333</v>
      </c>
      <c r="G80" s="208">
        <f t="shared" ca="1" si="7"/>
        <v>0.57647199999999998</v>
      </c>
      <c r="H80" s="208">
        <f t="shared" ca="1" si="7"/>
        <v>0.51885333333333339</v>
      </c>
      <c r="I80" s="208">
        <f t="shared" ca="1" si="7"/>
        <v>0.44155999999999995</v>
      </c>
      <c r="J80" s="208">
        <f t="shared" ca="1" si="7"/>
        <v>0.37886666666666668</v>
      </c>
      <c r="K80" s="208">
        <f t="shared" ca="1" si="7"/>
        <v>0.15394666666666679</v>
      </c>
      <c r="O80" s="2" t="s">
        <v>21</v>
      </c>
      <c r="P80" s="8">
        <v>12</v>
      </c>
      <c r="Q80" s="2"/>
      <c r="R80" s="96">
        <f ca="1">1-R79/(3*F_GAMMA*R$29)</f>
        <v>0.82568463141824378</v>
      </c>
      <c r="S80" s="106"/>
      <c r="T80" s="22"/>
      <c r="U80" s="96">
        <f ca="1">1-U79/(3*F_GAMMA*U$29)</f>
        <v>0.82582696415205803</v>
      </c>
      <c r="V80" s="111"/>
      <c r="W80" s="28"/>
      <c r="X80" s="96">
        <f ca="1">1-X79/(3*F_GAMMA*X$29)</f>
        <v>0.82468301304281921</v>
      </c>
      <c r="Y80" s="111"/>
      <c r="Z80" s="28"/>
      <c r="AA80" s="96">
        <f ca="1">1-AA79/(3*F_GAMMA*AA$29)</f>
        <v>0.82397380300813727</v>
      </c>
      <c r="AB80" s="111"/>
      <c r="AC80" s="28"/>
      <c r="AD80" s="96">
        <f ca="1">1-AD79/(3*F_GAMMA*AD$29)</f>
        <v>0.82306910339152395</v>
      </c>
      <c r="AE80" s="111"/>
      <c r="AF80" s="28"/>
      <c r="AG80" s="96">
        <f ca="1">1-AG79/(3*F_GAMMA*AG$29)</f>
        <v>0.82121044463065884</v>
      </c>
      <c r="AH80" s="111"/>
      <c r="AI80" s="28"/>
      <c r="AJ80" s="96">
        <f ca="1">1-AJ79/(3*F_GAMMA*AJ$29)</f>
        <v>0.82230125150338151</v>
      </c>
      <c r="AK80" s="111"/>
      <c r="AL80" s="28"/>
      <c r="AM80" s="96">
        <f ca="1">1-AM79/(3*F_GAMMA*AM$29)</f>
        <v>0.82093951129600973</v>
      </c>
      <c r="AN80" s="111"/>
      <c r="AO80" s="28"/>
      <c r="AP80" s="96">
        <f ca="1">1-AP79/(3*F_GAMMA*AP$29)</f>
        <v>0.87392051565794004</v>
      </c>
      <c r="AQ80" s="111"/>
      <c r="AR80" s="28"/>
      <c r="AS80" s="96">
        <f ca="1">1-AS79/(3*F_GAMMA*AS$29)</f>
        <v>0.84835164851893641</v>
      </c>
      <c r="AT80" s="111"/>
      <c r="AU80" s="28"/>
    </row>
    <row r="81" spans="1:47" ht="14.4" x14ac:dyDescent="0.3">
      <c r="A81" s="8" t="s">
        <v>733</v>
      </c>
      <c r="B81" s="607">
        <f ca="1">IFERROR(IF(B6/VS_IN^2&lt;2.2,0.82,IF(B6/VS_IN^2&gt;156,0.05,IF(B6/VS_IN^2&lt;66.67,0.8854-0.03093788*B6/VS_IN^2+0.0004934683*(B6/VS_IN^2)^2-0.000002920251*(B6/VS_IN^2)^3,-0.0014*B6/VS_IN^2+0.2684))),"")</f>
        <v>0.82</v>
      </c>
      <c r="C81" s="608">
        <f t="shared" ref="C81:K81" ca="1" si="8">IFERROR(IF(C6/VS_IN^2&lt;2.2,0.82,IF(C6/VS_IN^2&gt;156,0.05,IF(C6/VS_IN^2&lt;66.67,0.8854-0.03093788*C6/VS_IN^2+0.0004934683*(C6/VS_IN^2)^2-0.000002920251*(C6/VS_IN^2)^3,-0.0014*C6/VS_IN^2+0.2684))),"")</f>
        <v>0.82</v>
      </c>
      <c r="D81" s="608">
        <f t="shared" ca="1" si="8"/>
        <v>0.80951056439284352</v>
      </c>
      <c r="E81" s="608">
        <f t="shared" ca="1" si="8"/>
        <v>0.75917311735871462</v>
      </c>
      <c r="F81" s="608">
        <f t="shared" ca="1" si="8"/>
        <v>0.69746975764947727</v>
      </c>
      <c r="G81" s="608">
        <f t="shared" ca="1" si="8"/>
        <v>0.62685295465280788</v>
      </c>
      <c r="H81" s="608">
        <f t="shared" ca="1" si="8"/>
        <v>0.55155673492577362</v>
      </c>
      <c r="I81" s="608">
        <f t="shared" ca="1" si="8"/>
        <v>0.46607101712500004</v>
      </c>
      <c r="J81" s="608">
        <f t="shared" ca="1" si="8"/>
        <v>0.34880570941599992</v>
      </c>
      <c r="K81" s="608">
        <f t="shared" ca="1" si="8"/>
        <v>0.21951253688888867</v>
      </c>
      <c r="O81" s="2" t="s">
        <v>57</v>
      </c>
      <c r="P81" s="143">
        <v>7</v>
      </c>
      <c r="Q81" s="2"/>
      <c r="R81" s="96">
        <f ca="1">(R74/(N_9*R$27*R76*R80))*SQRT(M*'Valve Sizing'!$W$6*'Valve Sizing'!$G$8/R79)</f>
        <v>0.13655137512552196</v>
      </c>
      <c r="S81" s="107"/>
      <c r="T81" s="22"/>
      <c r="U81" s="96">
        <f ca="1">(U74/(N_9*U$27*U76*U80))*SQRT(M*'Valve Sizing'!$W$6*'Valve Sizing'!$G$8/U79)</f>
        <v>4.8770311498682988</v>
      </c>
      <c r="V81" s="111"/>
      <c r="W81" s="28"/>
      <c r="X81" s="96">
        <f ca="1">(X74/(N_9*X$27*X76*X80))*SQRT(M*'Valve Sizing'!$W$6*'Valve Sizing'!$G$8/X79)</f>
        <v>12.021409955734518</v>
      </c>
      <c r="Y81" s="111"/>
      <c r="Z81" s="28"/>
      <c r="AA81" s="96">
        <f ca="1">(AA74/(N_9*AA$27*AA76*AA80))*SQRT(M*'Valve Sizing'!$W$6*'Valve Sizing'!$G$8/AA79)</f>
        <v>23.809063671514181</v>
      </c>
      <c r="AB81" s="111"/>
      <c r="AC81" s="28"/>
      <c r="AD81" s="96">
        <f ca="1">(AD74/(N_9*AD$27*AD76*AD80))*SQRT(M*'Valve Sizing'!$W$6*'Valve Sizing'!$G$8/AD79)</f>
        <v>41.508546489022763</v>
      </c>
      <c r="AE81" s="111"/>
      <c r="AF81" s="28"/>
      <c r="AG81" s="96">
        <f ca="1">(AG74/(N_9*AG$27*AG76*AG80))*SQRT(M*'Valve Sizing'!$W$6*'Valve Sizing'!$G$8/AG79)</f>
        <v>64.998856787833844</v>
      </c>
      <c r="AH81" s="111"/>
      <c r="AI81" s="28"/>
      <c r="AJ81" s="96">
        <f ca="1">(AJ74/(N_9*AJ$27*AJ76*AJ80))*SQRT(M*'Valve Sizing'!$W$6*'Valve Sizing'!$G$8/AJ79)</f>
        <v>96.535765183758684</v>
      </c>
      <c r="AK81" s="111"/>
      <c r="AL81" s="28"/>
      <c r="AM81" s="96">
        <f ca="1">(AM74/(N_9*AM$27*AM76*AM80))*SQRT(M*'Valve Sizing'!$W$6*'Valve Sizing'!$G$8/AM79)</f>
        <v>137.0194117200148</v>
      </c>
      <c r="AN81" s="111"/>
      <c r="AO81" s="28"/>
      <c r="AP81" s="96">
        <f ca="1">(AP74/(N_9*AP$27*AP76*AP80))*SQRT(M*'Valve Sizing'!$W$6*'Valve Sizing'!$G$8/AP79)</f>
        <v>189.76854271228405</v>
      </c>
      <c r="AQ81" s="111"/>
      <c r="AR81" s="28"/>
      <c r="AS81" s="96">
        <f ca="1">(AS74/(N_9*AS$27*AS76*AS80))*SQRT(M*'Valve Sizing'!$W$6*'Valve Sizing'!$G$8/AS79)</f>
        <v>373.97979170014565</v>
      </c>
      <c r="AT81" s="111"/>
      <c r="AU81" s="28"/>
    </row>
    <row r="82" spans="1:47" x14ac:dyDescent="0.25">
      <c r="B82" s="208"/>
      <c r="C82" s="208"/>
      <c r="D82" s="208"/>
      <c r="E82" s="208"/>
      <c r="F82" s="208"/>
      <c r="G82" s="208"/>
      <c r="H82" s="208"/>
      <c r="I82" s="208"/>
      <c r="J82" s="208"/>
      <c r="K82" s="208"/>
      <c r="O82" s="2" t="s">
        <v>59</v>
      </c>
      <c r="P82" s="143">
        <v>7</v>
      </c>
      <c r="Q82" s="2"/>
      <c r="R82" s="96">
        <f ca="1">(R74/(N_9*R$27*R76*0.667))*SQRT(M*'Valve Sizing'!$W$6*'Valve Sizing'!$G$8/R83)</f>
        <v>0.12223987913247929</v>
      </c>
      <c r="S82" s="107"/>
      <c r="T82" s="22"/>
      <c r="U82" s="96">
        <f ca="1">(U74/(N_9*U$27*U76*0.667))*SQRT(M*'Valve Sizing'!$W$6*'Valve Sizing'!$G$8/U83)</f>
        <v>4.3648552175270519</v>
      </c>
      <c r="V82" s="111"/>
      <c r="W82" s="28"/>
      <c r="X82" s="96">
        <f ca="1">(X74/(N_9*X$27*X76*0.667))*SQRT(M*'Valve Sizing'!$W$6*'Valve Sizing'!$G$8/X83)</f>
        <v>10.779267492526706</v>
      </c>
      <c r="Y82" s="111"/>
      <c r="Z82" s="28"/>
      <c r="AA82" s="96">
        <f ca="1">(AA74/(N_9*AA$27*AA76*0.667))*SQRT(M*'Valve Sizing'!$W$6*'Valve Sizing'!$G$8/AA83)</f>
        <v>21.373673316544707</v>
      </c>
      <c r="AB82" s="111"/>
      <c r="AC82" s="28"/>
      <c r="AD82" s="96">
        <f ca="1">(AD74/(N_9*AD$27*AD76*0.667))*SQRT(M*'Valve Sizing'!$W$6*'Valve Sizing'!$G$8/AD83)</f>
        <v>37.317320957484533</v>
      </c>
      <c r="AE82" s="111"/>
      <c r="AF82" s="28"/>
      <c r="AG82" s="96">
        <f ca="1">(AG74/(N_9*AG$27*AG76*0.667))*SQRT(M*'Valve Sizing'!$W$6*'Valve Sizing'!$G$8/AG83)</f>
        <v>58.609234385063168</v>
      </c>
      <c r="AH82" s="111"/>
      <c r="AI82" s="28"/>
      <c r="AJ82" s="96">
        <f ca="1">(AJ74/(N_9*AJ$27*AJ76*0.667))*SQRT(M*'Valve Sizing'!$W$6*'Valve Sizing'!$G$8/AJ83)</f>
        <v>86.895277122671743</v>
      </c>
      <c r="AK82" s="111"/>
      <c r="AL82" s="28"/>
      <c r="AM82" s="96">
        <f ca="1">(AM74/(N_9*AM$27*AM76*0.667))*SQRT(M*'Valve Sizing'!$W$6*'Valve Sizing'!$G$8/AM83)</f>
        <v>123.60269305037139</v>
      </c>
      <c r="AN82" s="111"/>
      <c r="AO82" s="28"/>
      <c r="AP82" s="96">
        <f ca="1">(AP74/(N_9*AP$27*AP76*0.667))*SQRT(M*'Valve Sizing'!$W$6*'Valve Sizing'!$G$8/AP83)</f>
        <v>152.91608221355204</v>
      </c>
      <c r="AQ82" s="111"/>
      <c r="AR82" s="28"/>
      <c r="AS82" s="96">
        <f ca="1">(AS74/(N_9*AS$27*AS76*0.667))*SQRT(M*'Valve Sizing'!$W$6*'Valve Sizing'!$G$8/AS83)</f>
        <v>320.83200378889217</v>
      </c>
      <c r="AT82" s="111"/>
      <c r="AU82" s="28"/>
    </row>
    <row r="83" spans="1:47" ht="15.6" x14ac:dyDescent="0.35">
      <c r="B83" s="208"/>
      <c r="C83" s="208"/>
      <c r="D83" s="208"/>
      <c r="E83" s="208"/>
      <c r="F83" s="208"/>
      <c r="G83" s="208"/>
      <c r="H83" s="208"/>
      <c r="I83" s="208"/>
      <c r="J83" s="208"/>
      <c r="K83" s="208"/>
      <c r="O83" s="2" t="s">
        <v>68</v>
      </c>
      <c r="P83" s="143">
        <v>10</v>
      </c>
      <c r="Q83" s="2"/>
      <c r="R83" s="96">
        <f ca="1">F_GAMMA*R$29</f>
        <v>0.64002969751372984</v>
      </c>
      <c r="S83" s="107"/>
      <c r="T83" s="1"/>
      <c r="U83" s="96">
        <f ca="1">F_GAMMA*U$29</f>
        <v>0.64017842058782071</v>
      </c>
      <c r="V83" s="111"/>
      <c r="W83" s="28"/>
      <c r="X83" s="96">
        <f ca="1">F_GAMMA*X$29</f>
        <v>0.63413873724904268</v>
      </c>
      <c r="Y83" s="111"/>
      <c r="Z83" s="28"/>
      <c r="AA83" s="96">
        <f ca="1">F_GAMMA*AA$29</f>
        <v>0.62532411750377137</v>
      </c>
      <c r="AB83" s="111"/>
      <c r="AC83" s="28"/>
      <c r="AD83" s="96">
        <f ca="1">F_GAMMA*AD$29</f>
        <v>0.60651359509139569</v>
      </c>
      <c r="AE83" s="111"/>
      <c r="AF83" s="28"/>
      <c r="AG83" s="96">
        <f ca="1">F_GAMMA*AG$29</f>
        <v>0.57217930198481592</v>
      </c>
      <c r="AH83" s="111"/>
      <c r="AI83" s="28"/>
      <c r="AJ83" s="96">
        <f ca="1">F_GAMMA*AJ$29</f>
        <v>0.53183282018848232</v>
      </c>
      <c r="AK83" s="111"/>
      <c r="AL83" s="28"/>
      <c r="AM83" s="96">
        <f ca="1">F_GAMMA*AM$29</f>
        <v>0.47566512503094399</v>
      </c>
      <c r="AN83" s="111"/>
      <c r="AO83" s="28"/>
      <c r="AP83" s="96">
        <f ca="1">F_GAMMA*AP$29</f>
        <v>0.59054158265645496</v>
      </c>
      <c r="AQ83" s="111"/>
      <c r="AR83" s="28"/>
      <c r="AS83" s="96">
        <f ca="1">F_GAMMA*AS$29</f>
        <v>0.3766899554102966</v>
      </c>
      <c r="AT83" s="111"/>
      <c r="AU83" s="28"/>
    </row>
    <row r="84" spans="1:47" x14ac:dyDescent="0.25">
      <c r="B84" s="208"/>
      <c r="C84" s="208"/>
      <c r="D84" s="208"/>
      <c r="E84" s="208"/>
      <c r="F84" s="208"/>
      <c r="G84" s="208"/>
      <c r="H84" s="208"/>
      <c r="I84" s="208"/>
      <c r="J84" s="208"/>
      <c r="K84" s="208"/>
      <c r="O84" s="2" t="s">
        <v>145</v>
      </c>
      <c r="P84" s="12"/>
      <c r="Q84" s="2"/>
      <c r="R84" s="96">
        <f ca="1">IF(R79&lt;R83,R81,R82)</f>
        <v>0.13655137512552196</v>
      </c>
      <c r="S84" s="116"/>
      <c r="T84" s="1"/>
      <c r="U84" s="96">
        <f ca="1">IF(U79&lt;U83,U81,U82)</f>
        <v>4.8770311498682988</v>
      </c>
      <c r="V84" s="111"/>
      <c r="W84" s="28"/>
      <c r="X84" s="96">
        <f ca="1">IF(X79&lt;X83,X81,X82)</f>
        <v>12.021409955734518</v>
      </c>
      <c r="Y84" s="111"/>
      <c r="Z84" s="28"/>
      <c r="AA84" s="96">
        <f ca="1">IF(AA79&lt;AA83,AA81,AA82)</f>
        <v>23.809063671514181</v>
      </c>
      <c r="AB84" s="111"/>
      <c r="AC84" s="28"/>
      <c r="AD84" s="96">
        <f ca="1">IF(AD79&lt;AD83,AD81,AD82)</f>
        <v>41.508546489022763</v>
      </c>
      <c r="AE84" s="111"/>
      <c r="AF84" s="28"/>
      <c r="AG84" s="96">
        <f ca="1">IF(AG79&lt;AG83,AG81,AG82)</f>
        <v>64.998856787833844</v>
      </c>
      <c r="AH84" s="111"/>
      <c r="AI84" s="28"/>
      <c r="AJ84" s="96">
        <f ca="1">IF(AJ79&lt;AJ83,AJ81,AJ82)</f>
        <v>96.535765183758684</v>
      </c>
      <c r="AK84" s="111"/>
      <c r="AL84" s="28"/>
      <c r="AM84" s="96">
        <f ca="1">IF(AM79&lt;AM83,AM81,AM82)</f>
        <v>137.0194117200148</v>
      </c>
      <c r="AN84" s="111"/>
      <c r="AO84" s="28"/>
      <c r="AP84" s="96">
        <f ca="1">IF(AP79&lt;AP83,AP81,AP82)</f>
        <v>189.76854271228405</v>
      </c>
      <c r="AQ84" s="111"/>
      <c r="AR84" s="28"/>
      <c r="AS84" s="96">
        <f ca="1">IF(AS79&lt;AS83,AS81,AS82)</f>
        <v>373.97979170014565</v>
      </c>
      <c r="AT84" s="111"/>
      <c r="AU84" s="28"/>
    </row>
    <row r="85" spans="1:47" x14ac:dyDescent="0.25">
      <c r="O85" s="13" t="s">
        <v>143</v>
      </c>
      <c r="P85" s="1"/>
      <c r="Q85" s="1"/>
      <c r="R85" s="113"/>
      <c r="S85" s="106">
        <f ca="1">IF(R78&lt;=0,Q_max,ABS(R$23-R84))</f>
        <v>4.5934486248744788</v>
      </c>
      <c r="T85" s="7">
        <f>R74</f>
        <v>338.13270503999996</v>
      </c>
      <c r="U85" s="98"/>
      <c r="V85" s="106">
        <f ca="1">IF(U78&lt;=0,Q_max,ABS(U$23-U84))</f>
        <v>6.7229688501317009</v>
      </c>
      <c r="W85" s="9">
        <f ca="1">U74</f>
        <v>12063.742137386274</v>
      </c>
      <c r="X85" s="98"/>
      <c r="Y85" s="106">
        <f ca="1">IF(X78&lt;=0,Q_max,ABS(X$23-X84))</f>
        <v>10.978590044265482</v>
      </c>
      <c r="Z85" s="9">
        <f ca="1">X74</f>
        <v>29539.673176137756</v>
      </c>
      <c r="AA85" s="98"/>
      <c r="AB85" s="106">
        <f ca="1">IF(AA78&lt;=0,Q_max,ABS(AA$23-AA84))</f>
        <v>15.590936328485817</v>
      </c>
      <c r="AC85" s="9">
        <f ca="1">AA74</f>
        <v>57535.743481026424</v>
      </c>
      <c r="AD85" s="98"/>
      <c r="AE85" s="106">
        <f ca="1">IF(AD78&lt;=0,Q_max,ABS(AD$23-AD84))</f>
        <v>19.491453510977237</v>
      </c>
      <c r="AF85" s="9">
        <f ca="1">AD74</f>
        <v>96527.079426251861</v>
      </c>
      <c r="AG85" s="98"/>
      <c r="AH85" s="106">
        <f ca="1">IF(AG78&lt;=0,Q_max,ABS(AG$23-AG84))</f>
        <v>23.201143212166158</v>
      </c>
      <c r="AI85" s="9">
        <f ca="1">AG74</f>
        <v>140883.90144783468</v>
      </c>
      <c r="AJ85" s="98"/>
      <c r="AK85" s="106">
        <f ca="1">IF(AJ78&lt;=0,Q_max,ABS(AJ$23-AJ84))</f>
        <v>24.464234816241316</v>
      </c>
      <c r="AL85" s="9">
        <f ca="1">AJ74</f>
        <v>188010.11262805152</v>
      </c>
      <c r="AM85" s="98"/>
      <c r="AN85" s="106">
        <f ca="1">IF(AM78&lt;=0,Q_max,ABS(AM$23-AM84))</f>
        <v>27.980588279985199</v>
      </c>
      <c r="AO85" s="9">
        <f ca="1">AM74</f>
        <v>229408.06683824398</v>
      </c>
      <c r="AP85" s="98"/>
      <c r="AQ85" s="106">
        <f ca="1">IF(AP78&lt;=0,Q_max,ABS(AP$23-AP84))</f>
        <v>56.231457287715955</v>
      </c>
      <c r="AR85" s="9">
        <f ca="1">AP74</f>
        <v>266335.64371064689</v>
      </c>
      <c r="AS85" s="98"/>
      <c r="AT85" s="106">
        <f ca="1">IF(AS78&lt;=0,Q_max,ABS(AS$23-AS84))</f>
        <v>46.020208299854346</v>
      </c>
      <c r="AU85" s="9">
        <f ca="1">AS74</f>
        <v>312299.48819711135</v>
      </c>
    </row>
    <row r="86" spans="1:47" x14ac:dyDescent="0.25">
      <c r="O86" s="21"/>
      <c r="P86" s="14"/>
      <c r="Q86" s="21"/>
      <c r="R86" s="97"/>
      <c r="S86" s="106"/>
      <c r="T86" s="28"/>
      <c r="U86" s="97"/>
      <c r="V86" s="111"/>
      <c r="W86" s="28"/>
      <c r="X86" s="97"/>
      <c r="Y86" s="111"/>
      <c r="Z86" s="28"/>
      <c r="AA86" s="97"/>
      <c r="AB86" s="111"/>
      <c r="AC86" s="28"/>
      <c r="AD86" s="97"/>
      <c r="AE86" s="111"/>
      <c r="AF86" s="28"/>
      <c r="AG86" s="97"/>
      <c r="AH86" s="111"/>
      <c r="AI86" s="28"/>
      <c r="AJ86" s="97"/>
      <c r="AK86" s="111"/>
      <c r="AL86" s="28"/>
      <c r="AM86" s="97"/>
      <c r="AN86" s="111"/>
      <c r="AO86" s="28"/>
      <c r="AP86" s="97"/>
      <c r="AQ86" s="111"/>
      <c r="AR86" s="28"/>
      <c r="AS86" s="97"/>
      <c r="AT86" s="111"/>
      <c r="AU86" s="28"/>
    </row>
    <row r="87" spans="1:47" x14ac:dyDescent="0.25">
      <c r="O87" s="1"/>
      <c r="P87" s="1"/>
      <c r="Q87" s="1"/>
      <c r="R87" s="98"/>
      <c r="S87" s="108" t="s">
        <v>137</v>
      </c>
      <c r="T87" s="26" t="s">
        <v>146</v>
      </c>
      <c r="U87" s="98"/>
      <c r="V87" s="108" t="s">
        <v>137</v>
      </c>
      <c r="W87" s="26" t="s">
        <v>146</v>
      </c>
      <c r="X87" s="98"/>
      <c r="Y87" s="108" t="s">
        <v>137</v>
      </c>
      <c r="Z87" s="26" t="s">
        <v>146</v>
      </c>
      <c r="AA87" s="98"/>
      <c r="AB87" s="108" t="s">
        <v>137</v>
      </c>
      <c r="AC87" s="26" t="s">
        <v>146</v>
      </c>
      <c r="AD87" s="98"/>
      <c r="AE87" s="108" t="s">
        <v>137</v>
      </c>
      <c r="AF87" s="26" t="s">
        <v>146</v>
      </c>
      <c r="AG87" s="98"/>
      <c r="AH87" s="108" t="s">
        <v>137</v>
      </c>
      <c r="AI87" s="26" t="s">
        <v>146</v>
      </c>
      <c r="AJ87" s="98"/>
      <c r="AK87" s="108" t="s">
        <v>137</v>
      </c>
      <c r="AL87" s="26" t="s">
        <v>146</v>
      </c>
      <c r="AM87" s="98"/>
      <c r="AN87" s="108" t="s">
        <v>137</v>
      </c>
      <c r="AO87" s="26" t="s">
        <v>146</v>
      </c>
      <c r="AP87" s="98"/>
      <c r="AQ87" s="108" t="s">
        <v>137</v>
      </c>
      <c r="AR87" s="26" t="s">
        <v>146</v>
      </c>
      <c r="AS87" s="98"/>
      <c r="AT87" s="108" t="s">
        <v>137</v>
      </c>
      <c r="AU87" s="26" t="s">
        <v>146</v>
      </c>
    </row>
    <row r="88" spans="1:47" ht="13.8" x14ac:dyDescent="0.25">
      <c r="O88" s="20" t="s">
        <v>136</v>
      </c>
      <c r="P88" s="1"/>
      <c r="Q88" s="1"/>
      <c r="R88" s="96">
        <f>R74*1.02</f>
        <v>344.89535914079994</v>
      </c>
      <c r="S88" s="109" t="s">
        <v>144</v>
      </c>
      <c r="T88" s="23" t="s">
        <v>147</v>
      </c>
      <c r="U88" s="96">
        <f ca="1">U74*1.01</f>
        <v>12184.379558760138</v>
      </c>
      <c r="V88" s="109" t="s">
        <v>144</v>
      </c>
      <c r="W88" s="23" t="s">
        <v>147</v>
      </c>
      <c r="X88" s="96">
        <f ca="1">X74*1.01</f>
        <v>29835.069907899135</v>
      </c>
      <c r="Y88" s="109" t="s">
        <v>144</v>
      </c>
      <c r="Z88" s="23" t="s">
        <v>147</v>
      </c>
      <c r="AA88" s="96">
        <f ca="1">AA74*1.01</f>
        <v>58111.100915836687</v>
      </c>
      <c r="AB88" s="109" t="s">
        <v>144</v>
      </c>
      <c r="AC88" s="23" t="s">
        <v>147</v>
      </c>
      <c r="AD88" s="96">
        <f ca="1">AD74*1.01</f>
        <v>97492.350220514374</v>
      </c>
      <c r="AE88" s="109" t="s">
        <v>144</v>
      </c>
      <c r="AF88" s="23" t="s">
        <v>147</v>
      </c>
      <c r="AG88" s="96">
        <f ca="1">AG74*1.01</f>
        <v>142292.74046231303</v>
      </c>
      <c r="AH88" s="109" t="s">
        <v>144</v>
      </c>
      <c r="AI88" s="23" t="s">
        <v>147</v>
      </c>
      <c r="AJ88" s="96">
        <f ca="1">AJ74*1.01</f>
        <v>189890.21375433204</v>
      </c>
      <c r="AK88" s="109" t="s">
        <v>144</v>
      </c>
      <c r="AL88" s="23" t="s">
        <v>147</v>
      </c>
      <c r="AM88" s="96">
        <f ca="1">AM74*1.01</f>
        <v>231702.14750662641</v>
      </c>
      <c r="AN88" s="109" t="s">
        <v>144</v>
      </c>
      <c r="AO88" s="23" t="s">
        <v>147</v>
      </c>
      <c r="AP88" s="96">
        <f ca="1">AP74*1.01</f>
        <v>268999.0001477534</v>
      </c>
      <c r="AQ88" s="109" t="s">
        <v>144</v>
      </c>
      <c r="AR88" s="23" t="s">
        <v>147</v>
      </c>
      <c r="AS88" s="96">
        <f ca="1">AS74*1.01</f>
        <v>315422.48307908245</v>
      </c>
      <c r="AT88" s="109" t="s">
        <v>144</v>
      </c>
      <c r="AU88" s="23" t="s">
        <v>147</v>
      </c>
    </row>
    <row r="89" spans="1:47" x14ac:dyDescent="0.25">
      <c r="O89" s="1"/>
      <c r="P89" s="1"/>
      <c r="Q89" s="1"/>
      <c r="R89" s="98"/>
      <c r="S89" s="107"/>
      <c r="T89" s="1"/>
      <c r="U89" s="47"/>
      <c r="V89" s="107"/>
      <c r="W89" s="1"/>
      <c r="X89" s="47"/>
      <c r="Y89" s="107"/>
      <c r="Z89" s="1"/>
      <c r="AA89" s="47"/>
      <c r="AB89" s="107"/>
      <c r="AC89" s="1"/>
      <c r="AD89" s="47"/>
      <c r="AE89" s="107"/>
      <c r="AF89" s="1"/>
      <c r="AG89" s="47"/>
      <c r="AH89" s="107"/>
      <c r="AI89" s="1"/>
      <c r="AJ89" s="47"/>
      <c r="AK89" s="107"/>
      <c r="AL89" s="1"/>
      <c r="AM89" s="47"/>
      <c r="AN89" s="107"/>
      <c r="AO89" s="1"/>
      <c r="AP89" s="47"/>
      <c r="AQ89" s="107"/>
      <c r="AR89" s="1"/>
      <c r="AS89" s="47"/>
      <c r="AT89" s="107"/>
      <c r="AU89" s="1"/>
    </row>
    <row r="90" spans="1:47" x14ac:dyDescent="0.25">
      <c r="O90" s="8" t="s">
        <v>132</v>
      </c>
      <c r="P90" s="8"/>
      <c r="Q90" s="8"/>
      <c r="R90" s="96">
        <f>P_1_minQ-(R88^2*R_up)+dpup_minQ</f>
        <v>90.18501884980823</v>
      </c>
      <c r="S90" s="106"/>
      <c r="T90" s="22"/>
      <c r="U90" s="96">
        <f ca="1">P_1_minQ-(U88^2*R_up)+dpup_minQ</f>
        <v>90.15798223845988</v>
      </c>
      <c r="V90" s="107"/>
      <c r="W90" s="1"/>
      <c r="X90" s="96">
        <f ca="1">P_1_minQ-(X88^2*R_up)+dpup_minQ</f>
        <v>90.022804370857301</v>
      </c>
      <c r="Y90" s="107"/>
      <c r="Z90" s="1"/>
      <c r="AA90" s="96">
        <f ca="1">P_1_minQ-(AA88^2*R_up)+dpup_minQ</f>
        <v>89.569563650171233</v>
      </c>
      <c r="AB90" s="107"/>
      <c r="AC90" s="1"/>
      <c r="AD90" s="96">
        <f ca="1">P_1_minQ-(AD88^2*R_up)+dpup_minQ</f>
        <v>88.452694612361441</v>
      </c>
      <c r="AE90" s="107"/>
      <c r="AF90" s="1"/>
      <c r="AG90" s="96">
        <f ca="1">P_1_minQ-(AG88^2*R_up)+dpup_minQ</f>
        <v>86.49476303685995</v>
      </c>
      <c r="AH90" s="107"/>
      <c r="AI90" s="1"/>
      <c r="AJ90" s="96">
        <f ca="1">P_1_minQ-(AJ88^2*R_up)+dpup_minQ</f>
        <v>83.613023140747487</v>
      </c>
      <c r="AK90" s="107"/>
      <c r="AL90" s="1"/>
      <c r="AM90" s="96">
        <f ca="1">P_1_minQ-(AM88^2*R_up)+dpup_minQ</f>
        <v>80.400202182505865</v>
      </c>
      <c r="AN90" s="107"/>
      <c r="AO90" s="1"/>
      <c r="AP90" s="96">
        <f ca="1">P_1_minQ-(AP88^2*R_up)+dpup_minQ</f>
        <v>76.996556776533325</v>
      </c>
      <c r="AQ90" s="107"/>
      <c r="AR90" s="1"/>
      <c r="AS90" s="96">
        <f ca="1">P_1_minQ-(AS88^2*R_up)+dpup_minQ</f>
        <v>72.051657729116357</v>
      </c>
      <c r="AT90" s="107"/>
      <c r="AU90" s="1"/>
    </row>
    <row r="91" spans="1:47" x14ac:dyDescent="0.25">
      <c r="O91" s="8" t="s">
        <v>134</v>
      </c>
      <c r="P91" s="1"/>
      <c r="Q91" s="8"/>
      <c r="R91" s="97">
        <f>P_2_minQ+(R88^2*R_dn)-dpdn_minQ</f>
        <v>60</v>
      </c>
      <c r="S91" s="106"/>
      <c r="T91" s="22"/>
      <c r="U91" s="97">
        <f ca="1">P_2_minQ+(U88^2*R_dn)-dpdn_minQ</f>
        <v>60</v>
      </c>
      <c r="V91" s="107"/>
      <c r="W91" s="1"/>
      <c r="X91" s="97">
        <f ca="1">P_2_minQ+(X88^2*R_dn)-dpdn_minQ</f>
        <v>60</v>
      </c>
      <c r="Y91" s="107"/>
      <c r="Z91" s="1"/>
      <c r="AA91" s="97">
        <f ca="1">P_2_minQ+(AA88^2*R_dn)-dpdn_minQ</f>
        <v>60</v>
      </c>
      <c r="AB91" s="107"/>
      <c r="AC91" s="1"/>
      <c r="AD91" s="97">
        <f ca="1">P_2_minQ+(AD88^2*R_dn)-dpdn_minQ</f>
        <v>60</v>
      </c>
      <c r="AE91" s="107"/>
      <c r="AF91" s="1"/>
      <c r="AG91" s="97">
        <f ca="1">P_2_minQ+(AG88^2*R_dn)-dpdn_minQ</f>
        <v>60</v>
      </c>
      <c r="AH91" s="107"/>
      <c r="AI91" s="1"/>
      <c r="AJ91" s="97">
        <f ca="1">P_2_minQ+(AJ88^2*R_dn)-dpdn_minQ</f>
        <v>60</v>
      </c>
      <c r="AK91" s="107"/>
      <c r="AL91" s="1"/>
      <c r="AM91" s="97">
        <f ca="1">P_2_minQ+(AM88^2*R_dn)-dpdn_minQ</f>
        <v>60</v>
      </c>
      <c r="AN91" s="107"/>
      <c r="AO91" s="1"/>
      <c r="AP91" s="97">
        <f ca="1">P_2_minQ+(AP88^2*R_dn)-dpdn_minQ</f>
        <v>60</v>
      </c>
      <c r="AQ91" s="107"/>
      <c r="AR91" s="1"/>
      <c r="AS91" s="97">
        <f ca="1">P_2_minQ+(AS88^2*R_dn)-dpdn_minQ</f>
        <v>60</v>
      </c>
      <c r="AT91" s="107"/>
      <c r="AU91" s="1"/>
    </row>
    <row r="92" spans="1:47" x14ac:dyDescent="0.25">
      <c r="O92" s="8" t="s">
        <v>138</v>
      </c>
      <c r="P92" s="1"/>
      <c r="Q92" s="8"/>
      <c r="R92" s="97">
        <f>R90-R91</f>
        <v>30.18501884980823</v>
      </c>
      <c r="S92" s="106"/>
      <c r="T92" s="22"/>
      <c r="U92" s="97">
        <f ca="1">U90-U91</f>
        <v>30.15798223845988</v>
      </c>
      <c r="V92" s="110"/>
      <c r="W92" s="25"/>
      <c r="X92" s="97">
        <f ca="1">X90-X91</f>
        <v>30.022804370857301</v>
      </c>
      <c r="Y92" s="110"/>
      <c r="Z92" s="25"/>
      <c r="AA92" s="97">
        <f ca="1">AA90-AA91</f>
        <v>29.569563650171233</v>
      </c>
      <c r="AB92" s="110"/>
      <c r="AC92" s="25"/>
      <c r="AD92" s="97">
        <f ca="1">AD90-AD91</f>
        <v>28.452694612361441</v>
      </c>
      <c r="AE92" s="110"/>
      <c r="AF92" s="25"/>
      <c r="AG92" s="97">
        <f ca="1">AG90-AG91</f>
        <v>26.49476303685995</v>
      </c>
      <c r="AH92" s="110"/>
      <c r="AI92" s="25"/>
      <c r="AJ92" s="97">
        <f ca="1">AJ90-AJ91</f>
        <v>23.613023140747487</v>
      </c>
      <c r="AK92" s="110"/>
      <c r="AL92" s="25"/>
      <c r="AM92" s="97">
        <f ca="1">AM90-AM91</f>
        <v>20.400202182505865</v>
      </c>
      <c r="AN92" s="110"/>
      <c r="AO92" s="25"/>
      <c r="AP92" s="97">
        <f ca="1">AP90-AP91</f>
        <v>16.996556776533325</v>
      </c>
      <c r="AQ92" s="110"/>
      <c r="AR92" s="25"/>
      <c r="AS92" s="97">
        <f ca="1">AS90-AS91</f>
        <v>12.051657729116357</v>
      </c>
      <c r="AT92" s="110"/>
      <c r="AU92" s="25"/>
    </row>
    <row r="93" spans="1:47" ht="14.4" x14ac:dyDescent="0.3">
      <c r="O93" s="2" t="s">
        <v>140</v>
      </c>
      <c r="P93" s="11"/>
      <c r="Q93" s="2"/>
      <c r="R93" s="96">
        <f>R92/R90</f>
        <v>0.33470103166555382</v>
      </c>
      <c r="S93" s="106"/>
      <c r="T93" s="22"/>
      <c r="U93" s="96">
        <f ca="1">U92/U90</f>
        <v>0.33450152154797219</v>
      </c>
      <c r="V93" s="111"/>
      <c r="W93" s="28"/>
      <c r="X93" s="96">
        <f ca="1">X92/X90</f>
        <v>0.33350221180819439</v>
      </c>
      <c r="Y93" s="111"/>
      <c r="Z93" s="28"/>
      <c r="AA93" s="96">
        <f ca="1">AA92/AA90</f>
        <v>0.3301295936380807</v>
      </c>
      <c r="AB93" s="111"/>
      <c r="AC93" s="28"/>
      <c r="AD93" s="96">
        <f ca="1">AD92/AD90</f>
        <v>0.3216713152386555</v>
      </c>
      <c r="AE93" s="111"/>
      <c r="AF93" s="28"/>
      <c r="AG93" s="96">
        <f ca="1">AG92/AG90</f>
        <v>0.306316383866722</v>
      </c>
      <c r="AH93" s="111"/>
      <c r="AI93" s="28"/>
      <c r="AJ93" s="96">
        <f ca="1">AJ92/AJ90</f>
        <v>0.28240843655418618</v>
      </c>
      <c r="AK93" s="111"/>
      <c r="AL93" s="28"/>
      <c r="AM93" s="96">
        <f ca="1">AM92/AM90</f>
        <v>0.25373321992646319</v>
      </c>
      <c r="AN93" s="111"/>
      <c r="AO93" s="28"/>
      <c r="AP93" s="96">
        <f ca="1">AP92/AP90</f>
        <v>0.22074437465901672</v>
      </c>
      <c r="AQ93" s="111"/>
      <c r="AR93" s="28"/>
      <c r="AS93" s="96">
        <f ca="1">AS92/AS90</f>
        <v>0.16726412839001531</v>
      </c>
      <c r="AT93" s="111"/>
      <c r="AU93" s="28"/>
    </row>
    <row r="94" spans="1:47" x14ac:dyDescent="0.25">
      <c r="O94" s="2" t="s">
        <v>21</v>
      </c>
      <c r="P94" s="8">
        <v>12</v>
      </c>
      <c r="Q94" s="2"/>
      <c r="R94" s="96">
        <f ca="1">1-R93/(3*F_GAMMA*R$29)</f>
        <v>0.82568463465276731</v>
      </c>
      <c r="S94" s="106"/>
      <c r="T94" s="22"/>
      <c r="U94" s="96">
        <f ca="1">1-U93/(3*F_GAMMA*U$29)</f>
        <v>0.82582901329245662</v>
      </c>
      <c r="V94" s="111"/>
      <c r="W94" s="28"/>
      <c r="X94" s="96">
        <f ca="1">1-X93/(3*F_GAMMA*X$29)</f>
        <v>0.82469545320899318</v>
      </c>
      <c r="Y94" s="111"/>
      <c r="Z94" s="28"/>
      <c r="AA94" s="96">
        <f ca="1">1-AA93/(3*F_GAMMA*AA$29)</f>
        <v>0.82402214339878466</v>
      </c>
      <c r="AB94" s="111"/>
      <c r="AC94" s="28"/>
      <c r="AD94" s="96">
        <f ca="1">1-AD93/(3*F_GAMMA*AD$29)</f>
        <v>0.82321291292726761</v>
      </c>
      <c r="AE94" s="111"/>
      <c r="AF94" s="28"/>
      <c r="AG94" s="96">
        <f ca="1">1-AG93/(3*F_GAMMA*AG$29)</f>
        <v>0.82154988666189654</v>
      </c>
      <c r="AH94" s="111"/>
      <c r="AI94" s="28"/>
      <c r="AJ94" s="96">
        <f ca="1">1-AJ93/(3*F_GAMMA*AJ$29)</f>
        <v>0.82299673516820548</v>
      </c>
      <c r="AK94" s="111"/>
      <c r="AL94" s="28"/>
      <c r="AM94" s="96">
        <f ca="1">1-AM93/(3*F_GAMMA*AM$29)</f>
        <v>0.82219058004308054</v>
      </c>
      <c r="AN94" s="111"/>
      <c r="AO94" s="28"/>
      <c r="AP94" s="96">
        <f ca="1">1-AP93/(3*F_GAMMA*AP$29)</f>
        <v>0.87540003891228446</v>
      </c>
      <c r="AQ94" s="111"/>
      <c r="AR94" s="28"/>
      <c r="AS94" s="96">
        <f ca="1">1-AS93/(3*F_GAMMA*AS$29)</f>
        <v>0.85198779881823627</v>
      </c>
      <c r="AT94" s="111"/>
      <c r="AU94" s="28"/>
    </row>
    <row r="95" spans="1:47" x14ac:dyDescent="0.25">
      <c r="O95" s="2" t="s">
        <v>57</v>
      </c>
      <c r="P95" s="143">
        <v>7</v>
      </c>
      <c r="Q95" s="2"/>
      <c r="R95" s="96">
        <f ca="1">(R88/(N_9*R$27*R90*R94))*SQRT(M*'Valve Sizing'!$W$6*'Valve Sizing'!$G$8/R93)</f>
        <v>0.13928240467484584</v>
      </c>
      <c r="S95" s="107"/>
      <c r="T95" s="22"/>
      <c r="U95" s="96">
        <f ca="1">(U88/(N_9*U$27*U90*U94))*SQRT(M*'Valve Sizing'!$W$6*'Valve Sizing'!$G$8/U93)</f>
        <v>4.9258473442007009</v>
      </c>
      <c r="V95" s="111"/>
      <c r="W95" s="28"/>
      <c r="X95" s="96">
        <f ca="1">(X88/(N_9*X$27*X90*X94))*SQRT(M*'Valve Sizing'!$W$6*'Valve Sizing'!$G$8/X93)</f>
        <v>12.142302849818133</v>
      </c>
      <c r="Y95" s="111"/>
      <c r="Z95" s="28"/>
      <c r="AA95" s="96">
        <f ca="1">(AA88/(N_9*AA$27*AA90*AA94))*SQRT(M*'Valve Sizing'!$W$6*'Valve Sizing'!$G$8/AA93)</f>
        <v>24.05230214907882</v>
      </c>
      <c r="AB95" s="111"/>
      <c r="AC95" s="28"/>
      <c r="AD95" s="96">
        <f ca="1">(AD88/(N_9*AD$27*AD90*AD94))*SQRT(M*'Valve Sizing'!$W$6*'Valve Sizing'!$G$8/AD93)</f>
        <v>41.949535538656029</v>
      </c>
      <c r="AE95" s="111"/>
      <c r="AF95" s="28"/>
      <c r="AG95" s="96">
        <f ca="1">(AG88/(N_9*AG$27*AG90*AG94))*SQRT(M*'Valve Sizing'!$W$6*'Valve Sizing'!$G$8/AG93)</f>
        <v>65.739321417231466</v>
      </c>
      <c r="AH95" s="111"/>
      <c r="AI95" s="28"/>
      <c r="AJ95" s="96">
        <f ca="1">(AJ88/(N_9*AJ$27*AJ90*AJ94))*SQRT(M*'Valve Sizing'!$W$6*'Valve Sizing'!$G$8/AJ93)</f>
        <v>97.761102419003009</v>
      </c>
      <c r="AK95" s="111"/>
      <c r="AL95" s="28"/>
      <c r="AM95" s="96">
        <f ca="1">(AM88/(N_9*AM$27*AM90*AM94))*SQRT(M*'Valve Sizing'!$W$6*'Valve Sizing'!$G$8/AM93)</f>
        <v>138.99680809853186</v>
      </c>
      <c r="AN95" s="111"/>
      <c r="AO95" s="28"/>
      <c r="AP95" s="96">
        <f ca="1">(AP88/(N_9*AP$27*AP90*AP94))*SQRT(M*'Valve Sizing'!$W$6*'Valve Sizing'!$G$8/AP93)</f>
        <v>193.12456318103915</v>
      </c>
      <c r="AQ95" s="111"/>
      <c r="AR95" s="28"/>
      <c r="AS95" s="96">
        <f ca="1">(AS88/(N_9*AS$27*AS90*AS94))*SQRT(M*'Valve Sizing'!$W$6*'Valve Sizing'!$G$8/AS93)</f>
        <v>382.58720759551522</v>
      </c>
      <c r="AT95" s="111"/>
      <c r="AU95" s="28"/>
    </row>
    <row r="96" spans="1:47" x14ac:dyDescent="0.25">
      <c r="O96" s="2" t="s">
        <v>59</v>
      </c>
      <c r="P96" s="143">
        <v>7</v>
      </c>
      <c r="Q96" s="2"/>
      <c r="R96" s="96">
        <f ca="1">(R88/(N_9*R$27*R90*0.667))*SQRT(M*'Valve Sizing'!$W$6*'Valve Sizing'!$G$8/R97)</f>
        <v>0.12468467787906176</v>
      </c>
      <c r="S96" s="107"/>
      <c r="T96" s="22"/>
      <c r="U96" s="96">
        <f ca="1">(U88/(N_9*U$27*U90*0.667))*SQRT(M*'Valve Sizing'!$W$6*'Valve Sizing'!$G$8/U97)</f>
        <v>4.4085298396835677</v>
      </c>
      <c r="V96" s="111"/>
      <c r="W96" s="28"/>
      <c r="X96" s="96">
        <f ca="1">(X88/(N_9*X$27*X90*0.667))*SQRT(M*'Valve Sizing'!$W$6*'Valve Sizing'!$G$8/X97)</f>
        <v>10.88744676496137</v>
      </c>
      <c r="Y96" s="111"/>
      <c r="Z96" s="28"/>
      <c r="AA96" s="96">
        <f ca="1">(AA88/(N_9*AA$27*AA90*0.667))*SQRT(M*'Valve Sizing'!$W$6*'Valve Sizing'!$G$8/AA97)</f>
        <v>21.59033289034133</v>
      </c>
      <c r="AB96" s="111"/>
      <c r="AC96" s="28"/>
      <c r="AD96" s="96">
        <f ca="1">(AD88/(N_9*AD$27*AD90*0.667))*SQRT(M*'Valve Sizing'!$W$6*'Valve Sizing'!$G$8/AD97)</f>
        <v>37.705038998438098</v>
      </c>
      <c r="AE96" s="111"/>
      <c r="AF96" s="28"/>
      <c r="AG96" s="96">
        <f ca="1">(AG88/(N_9*AG$27*AG90*0.667))*SQRT(M*'Valve Sizing'!$W$6*'Valve Sizing'!$G$8/AG97)</f>
        <v>59.245090117228386</v>
      </c>
      <c r="AH96" s="111"/>
      <c r="AI96" s="28"/>
      <c r="AJ96" s="96">
        <f ca="1">(AJ88/(N_9*AJ$27*AJ90*0.667))*SQRT(M*'Valve Sizing'!$W$6*'Valve Sizing'!$G$8/AJ97)</f>
        <v>87.900153733454033</v>
      </c>
      <c r="AK96" s="111"/>
      <c r="AL96" s="28"/>
      <c r="AM96" s="96">
        <f ca="1">(AM88/(N_9*AM$27*AM90*0.667))*SQRT(M*'Valve Sizing'!$W$6*'Valve Sizing'!$G$8/AM97)</f>
        <v>125.13808367629171</v>
      </c>
      <c r="AN96" s="111"/>
      <c r="AO96" s="28"/>
      <c r="AP96" s="96">
        <f ca="1">(AP88/(N_9*AP$27*AP90*0.667))*SQRT(M*'Valve Sizing'!$W$6*'Valve Sizing'!$G$8/AP97)</f>
        <v>154.96649944813529</v>
      </c>
      <c r="AQ96" s="111"/>
      <c r="AR96" s="28"/>
      <c r="AS96" s="96">
        <f ca="1">(AS88/(N_9*AS$27*AS90*0.667))*SQRT(M*'Valve Sizing'!$W$6*'Valve Sizing'!$G$8/AS97)</f>
        <v>325.64721779222458</v>
      </c>
      <c r="AT96" s="111"/>
      <c r="AU96" s="28"/>
    </row>
    <row r="97" spans="15:47" ht="15.6" x14ac:dyDescent="0.35">
      <c r="O97" s="2" t="s">
        <v>68</v>
      </c>
      <c r="P97" s="143">
        <v>10</v>
      </c>
      <c r="Q97" s="2"/>
      <c r="R97" s="96">
        <f ca="1">F_GAMMA*R$29</f>
        <v>0.64002969751372984</v>
      </c>
      <c r="S97" s="107"/>
      <c r="T97" s="1"/>
      <c r="U97" s="96">
        <f ca="1">F_GAMMA*U$29</f>
        <v>0.64017842058782071</v>
      </c>
      <c r="V97" s="111"/>
      <c r="W97" s="28"/>
      <c r="X97" s="96">
        <f ca="1">F_GAMMA*X$29</f>
        <v>0.63413873724904268</v>
      </c>
      <c r="Y97" s="111"/>
      <c r="Z97" s="28"/>
      <c r="AA97" s="96">
        <f ca="1">F_GAMMA*AA$29</f>
        <v>0.62532411750377137</v>
      </c>
      <c r="AB97" s="111"/>
      <c r="AC97" s="28"/>
      <c r="AD97" s="96">
        <f ca="1">F_GAMMA*AD$29</f>
        <v>0.60651359509139569</v>
      </c>
      <c r="AE97" s="111"/>
      <c r="AF97" s="28"/>
      <c r="AG97" s="96">
        <f ca="1">F_GAMMA*AG$29</f>
        <v>0.57217930198481592</v>
      </c>
      <c r="AH97" s="111"/>
      <c r="AI97" s="28"/>
      <c r="AJ97" s="96">
        <f ca="1">F_GAMMA*AJ$29</f>
        <v>0.53183282018848232</v>
      </c>
      <c r="AK97" s="111"/>
      <c r="AL97" s="28"/>
      <c r="AM97" s="96">
        <f ca="1">F_GAMMA*AM$29</f>
        <v>0.47566512503094399</v>
      </c>
      <c r="AN97" s="111"/>
      <c r="AO97" s="28"/>
      <c r="AP97" s="96">
        <f ca="1">F_GAMMA*AP$29</f>
        <v>0.59054158265645496</v>
      </c>
      <c r="AQ97" s="111"/>
      <c r="AR97" s="28"/>
      <c r="AS97" s="96">
        <f ca="1">F_GAMMA*AS$29</f>
        <v>0.3766899554102966</v>
      </c>
      <c r="AT97" s="111"/>
      <c r="AU97" s="28"/>
    </row>
    <row r="98" spans="15:47" x14ac:dyDescent="0.25">
      <c r="O98" s="2" t="s">
        <v>145</v>
      </c>
      <c r="P98" s="12"/>
      <c r="Q98" s="2"/>
      <c r="R98" s="96">
        <f ca="1">IF(R93&lt;R97,R95,R96)</f>
        <v>0.13928240467484584</v>
      </c>
      <c r="S98" s="116"/>
      <c r="T98" s="1"/>
      <c r="U98" s="96">
        <f ca="1">IF(U93&lt;U97,U95,U96)</f>
        <v>4.9258473442007009</v>
      </c>
      <c r="V98" s="111"/>
      <c r="W98" s="28"/>
      <c r="X98" s="96">
        <f ca="1">IF(X93&lt;X97,X95,X96)</f>
        <v>12.142302849818133</v>
      </c>
      <c r="Y98" s="111"/>
      <c r="Z98" s="28"/>
      <c r="AA98" s="96">
        <f ca="1">IF(AA93&lt;AA97,AA95,AA96)</f>
        <v>24.05230214907882</v>
      </c>
      <c r="AB98" s="111"/>
      <c r="AC98" s="28"/>
      <c r="AD98" s="96">
        <f ca="1">IF(AD93&lt;AD97,AD95,AD96)</f>
        <v>41.949535538656029</v>
      </c>
      <c r="AE98" s="111"/>
      <c r="AF98" s="28"/>
      <c r="AG98" s="96">
        <f ca="1">IF(AG93&lt;AG97,AG95,AG96)</f>
        <v>65.739321417231466</v>
      </c>
      <c r="AH98" s="111"/>
      <c r="AI98" s="28"/>
      <c r="AJ98" s="96">
        <f ca="1">IF(AJ93&lt;AJ97,AJ95,AJ96)</f>
        <v>97.761102419003009</v>
      </c>
      <c r="AK98" s="111"/>
      <c r="AL98" s="28"/>
      <c r="AM98" s="96">
        <f ca="1">IF(AM93&lt;AM97,AM95,AM96)</f>
        <v>138.99680809853186</v>
      </c>
      <c r="AN98" s="111"/>
      <c r="AO98" s="28"/>
      <c r="AP98" s="96">
        <f ca="1">IF(AP93&lt;AP97,AP95,AP96)</f>
        <v>193.12456318103915</v>
      </c>
      <c r="AQ98" s="111"/>
      <c r="AR98" s="28"/>
      <c r="AS98" s="96">
        <f ca="1">IF(AS93&lt;AS97,AS95,AS96)</f>
        <v>382.58720759551522</v>
      </c>
      <c r="AT98" s="111"/>
      <c r="AU98" s="28"/>
    </row>
    <row r="99" spans="15:47" x14ac:dyDescent="0.25">
      <c r="O99" s="13" t="s">
        <v>143</v>
      </c>
      <c r="P99" s="1"/>
      <c r="Q99" s="1"/>
      <c r="R99" s="113"/>
      <c r="S99" s="106">
        <f ca="1">IF(R92&lt;=0,Q_max,ABS(R$23-R98))</f>
        <v>4.5907175953251542</v>
      </c>
      <c r="T99" s="7">
        <f>R88</f>
        <v>344.89535914079994</v>
      </c>
      <c r="U99" s="98"/>
      <c r="V99" s="106">
        <f ca="1">IF(U92&lt;=0,Q_max,ABS(U$23-U98))</f>
        <v>6.6741526557992987</v>
      </c>
      <c r="W99" s="9">
        <f ca="1">U88</f>
        <v>12184.379558760138</v>
      </c>
      <c r="X99" s="98"/>
      <c r="Y99" s="106">
        <f ca="1">IF(X92&lt;=0,Q_max,ABS(X$23-X98))</f>
        <v>10.857697150181867</v>
      </c>
      <c r="Z99" s="9">
        <f ca="1">X88</f>
        <v>29835.069907899135</v>
      </c>
      <c r="AA99" s="98"/>
      <c r="AB99" s="106">
        <f ca="1">IF(AA92&lt;=0,Q_max,ABS(AA$23-AA98))</f>
        <v>15.347697850921179</v>
      </c>
      <c r="AC99" s="9">
        <f ca="1">AA88</f>
        <v>58111.100915836687</v>
      </c>
      <c r="AD99" s="98"/>
      <c r="AE99" s="106">
        <f ca="1">IF(AD92&lt;=0,Q_max,ABS(AD$23-AD98))</f>
        <v>19.050464461343971</v>
      </c>
      <c r="AF99" s="9">
        <f ca="1">AD88</f>
        <v>97492.350220514374</v>
      </c>
      <c r="AG99" s="98"/>
      <c r="AH99" s="106">
        <f ca="1">IF(AG92&lt;=0,Q_max,ABS(AG$23-AG98))</f>
        <v>22.460678582768537</v>
      </c>
      <c r="AI99" s="9">
        <f ca="1">AG88</f>
        <v>142292.74046231303</v>
      </c>
      <c r="AJ99" s="98"/>
      <c r="AK99" s="106">
        <f ca="1">IF(AJ92&lt;=0,Q_max,ABS(AJ$23-AJ98))</f>
        <v>23.238897580996991</v>
      </c>
      <c r="AL99" s="9">
        <f ca="1">AJ88</f>
        <v>189890.21375433204</v>
      </c>
      <c r="AM99" s="98"/>
      <c r="AN99" s="106">
        <f ca="1">IF(AM92&lt;=0,Q_max,ABS(AM$23-AM98))</f>
        <v>26.003191901468142</v>
      </c>
      <c r="AO99" s="9">
        <f ca="1">AM88</f>
        <v>231702.14750662641</v>
      </c>
      <c r="AP99" s="98"/>
      <c r="AQ99" s="106">
        <f ca="1">IF(AP92&lt;=0,Q_max,ABS(AP$23-AP98))</f>
        <v>52.87543681896085</v>
      </c>
      <c r="AR99" s="9">
        <f ca="1">AP88</f>
        <v>268999.0001477534</v>
      </c>
      <c r="AS99" s="98"/>
      <c r="AT99" s="106">
        <f ca="1">IF(AS92&lt;=0,Q_max,ABS(AS$23-AS98))</f>
        <v>37.412792404484776</v>
      </c>
      <c r="AU99" s="9">
        <f ca="1">AS88</f>
        <v>315422.48307908245</v>
      </c>
    </row>
    <row r="100" spans="15:47" x14ac:dyDescent="0.25">
      <c r="O100" s="21"/>
      <c r="P100" s="14"/>
      <c r="Q100" s="21"/>
      <c r="R100" s="97"/>
      <c r="S100" s="106"/>
      <c r="T100" s="28"/>
      <c r="U100" s="97"/>
      <c r="V100" s="111"/>
      <c r="W100" s="28"/>
      <c r="X100" s="97"/>
      <c r="Y100" s="111"/>
      <c r="Z100" s="28"/>
      <c r="AA100" s="97"/>
      <c r="AB100" s="111"/>
      <c r="AC100" s="28"/>
      <c r="AD100" s="97"/>
      <c r="AE100" s="111"/>
      <c r="AF100" s="28"/>
      <c r="AG100" s="97"/>
      <c r="AH100" s="111"/>
      <c r="AI100" s="28"/>
      <c r="AJ100" s="97"/>
      <c r="AK100" s="111"/>
      <c r="AL100" s="28"/>
      <c r="AM100" s="97"/>
      <c r="AN100" s="111"/>
      <c r="AO100" s="28"/>
      <c r="AP100" s="97"/>
      <c r="AQ100" s="111"/>
      <c r="AR100" s="28"/>
      <c r="AS100" s="97"/>
      <c r="AT100" s="111"/>
      <c r="AU100" s="28"/>
    </row>
    <row r="101" spans="15:47" x14ac:dyDescent="0.25">
      <c r="O101" s="1"/>
      <c r="P101" s="1"/>
      <c r="Q101" s="1"/>
      <c r="R101" s="98"/>
      <c r="S101" s="108" t="s">
        <v>137</v>
      </c>
      <c r="T101" s="26" t="s">
        <v>146</v>
      </c>
      <c r="U101" s="98"/>
      <c r="V101" s="108" t="s">
        <v>137</v>
      </c>
      <c r="W101" s="26" t="s">
        <v>146</v>
      </c>
      <c r="X101" s="98"/>
      <c r="Y101" s="108" t="s">
        <v>137</v>
      </c>
      <c r="Z101" s="26" t="s">
        <v>146</v>
      </c>
      <c r="AA101" s="98"/>
      <c r="AB101" s="108" t="s">
        <v>137</v>
      </c>
      <c r="AC101" s="26" t="s">
        <v>146</v>
      </c>
      <c r="AD101" s="98"/>
      <c r="AE101" s="108" t="s">
        <v>137</v>
      </c>
      <c r="AF101" s="26" t="s">
        <v>146</v>
      </c>
      <c r="AG101" s="98"/>
      <c r="AH101" s="108" t="s">
        <v>137</v>
      </c>
      <c r="AI101" s="26" t="s">
        <v>146</v>
      </c>
      <c r="AJ101" s="98"/>
      <c r="AK101" s="108" t="s">
        <v>137</v>
      </c>
      <c r="AL101" s="26" t="s">
        <v>146</v>
      </c>
      <c r="AM101" s="98"/>
      <c r="AN101" s="108" t="s">
        <v>137</v>
      </c>
      <c r="AO101" s="26" t="s">
        <v>146</v>
      </c>
      <c r="AP101" s="98"/>
      <c r="AQ101" s="108" t="s">
        <v>137</v>
      </c>
      <c r="AR101" s="26" t="s">
        <v>146</v>
      </c>
      <c r="AS101" s="98"/>
      <c r="AT101" s="108" t="s">
        <v>137</v>
      </c>
      <c r="AU101" s="26" t="s">
        <v>146</v>
      </c>
    </row>
    <row r="102" spans="15:47" ht="13.8" x14ac:dyDescent="0.25">
      <c r="O102" s="20" t="s">
        <v>136</v>
      </c>
      <c r="P102" s="1"/>
      <c r="Q102" s="1"/>
      <c r="R102" s="96">
        <f>R88*1.02</f>
        <v>351.79326632361597</v>
      </c>
      <c r="S102" s="109" t="s">
        <v>144</v>
      </c>
      <c r="T102" s="23" t="s">
        <v>147</v>
      </c>
      <c r="U102" s="96">
        <f ca="1">U88*1.01</f>
        <v>12306.22335434774</v>
      </c>
      <c r="V102" s="109" t="s">
        <v>144</v>
      </c>
      <c r="W102" s="23" t="s">
        <v>147</v>
      </c>
      <c r="X102" s="96">
        <f ca="1">X88*1.01</f>
        <v>30133.420606978125</v>
      </c>
      <c r="Y102" s="109" t="s">
        <v>144</v>
      </c>
      <c r="Z102" s="23" t="s">
        <v>147</v>
      </c>
      <c r="AA102" s="96">
        <f ca="1">AA88*1.01</f>
        <v>58692.211924995056</v>
      </c>
      <c r="AB102" s="109" t="s">
        <v>144</v>
      </c>
      <c r="AC102" s="23" t="s">
        <v>147</v>
      </c>
      <c r="AD102" s="96">
        <f ca="1">AD88*1.01</f>
        <v>98467.273722719518</v>
      </c>
      <c r="AE102" s="109" t="s">
        <v>144</v>
      </c>
      <c r="AF102" s="23" t="s">
        <v>147</v>
      </c>
      <c r="AG102" s="96">
        <f ca="1">AG88*1.01</f>
        <v>143715.66786693616</v>
      </c>
      <c r="AH102" s="109" t="s">
        <v>144</v>
      </c>
      <c r="AI102" s="23" t="s">
        <v>147</v>
      </c>
      <c r="AJ102" s="96">
        <f ca="1">AJ88*1.01</f>
        <v>191789.11589187535</v>
      </c>
      <c r="AK102" s="109" t="s">
        <v>144</v>
      </c>
      <c r="AL102" s="23" t="s">
        <v>147</v>
      </c>
      <c r="AM102" s="96">
        <f ca="1">AM88*1.01</f>
        <v>234019.16898169267</v>
      </c>
      <c r="AN102" s="109" t="s">
        <v>144</v>
      </c>
      <c r="AO102" s="23" t="s">
        <v>147</v>
      </c>
      <c r="AP102" s="96">
        <f ca="1">AP88*1.01</f>
        <v>271688.99014923093</v>
      </c>
      <c r="AQ102" s="109" t="s">
        <v>144</v>
      </c>
      <c r="AR102" s="23" t="s">
        <v>147</v>
      </c>
      <c r="AS102" s="96">
        <f ca="1">AS88*1.01</f>
        <v>318576.70790987328</v>
      </c>
      <c r="AT102" s="109" t="s">
        <v>144</v>
      </c>
      <c r="AU102" s="23" t="s">
        <v>147</v>
      </c>
    </row>
    <row r="103" spans="15:47" x14ac:dyDescent="0.25">
      <c r="O103" s="1"/>
      <c r="P103" s="1"/>
      <c r="Q103" s="1"/>
      <c r="R103" s="98"/>
      <c r="S103" s="107"/>
      <c r="T103" s="1"/>
      <c r="U103" s="47"/>
      <c r="V103" s="107"/>
      <c r="W103" s="1"/>
      <c r="X103" s="47"/>
      <c r="Y103" s="107"/>
      <c r="Z103" s="1"/>
      <c r="AA103" s="47"/>
      <c r="AB103" s="107"/>
      <c r="AC103" s="1"/>
      <c r="AD103" s="47"/>
      <c r="AE103" s="107"/>
      <c r="AF103" s="1"/>
      <c r="AG103" s="47"/>
      <c r="AH103" s="107"/>
      <c r="AI103" s="1"/>
      <c r="AJ103" s="47"/>
      <c r="AK103" s="107"/>
      <c r="AL103" s="1"/>
      <c r="AM103" s="47"/>
      <c r="AN103" s="107"/>
      <c r="AO103" s="1"/>
      <c r="AP103" s="47"/>
      <c r="AQ103" s="107"/>
      <c r="AR103" s="1"/>
      <c r="AS103" s="47"/>
      <c r="AT103" s="107"/>
      <c r="AU103" s="1"/>
    </row>
    <row r="104" spans="15:47" x14ac:dyDescent="0.25">
      <c r="O104" s="8" t="s">
        <v>132</v>
      </c>
      <c r="P104" s="8"/>
      <c r="Q104" s="8"/>
      <c r="R104" s="96">
        <f>P_1_minQ-(R102^2*R_up)+dpup_minQ</f>
        <v>90.185017973918164</v>
      </c>
      <c r="S104" s="106"/>
      <c r="T104" s="22"/>
      <c r="U104" s="96">
        <f ca="1">P_1_minQ-(U102^2*R_up)+dpup_minQ</f>
        <v>90.157438366794779</v>
      </c>
      <c r="V104" s="107"/>
      <c r="W104" s="1"/>
      <c r="X104" s="96">
        <f ca="1">P_1_minQ-(X102^2*R_up)+dpup_minQ</f>
        <v>90.019543424053396</v>
      </c>
      <c r="Y104" s="107"/>
      <c r="Z104" s="1"/>
      <c r="AA104" s="96">
        <f ca="1">P_1_minQ-(AA102^2*R_up)+dpup_minQ</f>
        <v>89.557192564881532</v>
      </c>
      <c r="AB104" s="107"/>
      <c r="AC104" s="1"/>
      <c r="AD104" s="96">
        <f ca="1">P_1_minQ-(AD102^2*R_up)+dpup_minQ</f>
        <v>88.417874459411777</v>
      </c>
      <c r="AE104" s="107"/>
      <c r="AF104" s="1"/>
      <c r="AG104" s="96">
        <f ca="1">P_1_minQ-(AG102^2*R_up)+dpup_minQ</f>
        <v>86.420588459242694</v>
      </c>
      <c r="AH104" s="107"/>
      <c r="AI104" s="1"/>
      <c r="AJ104" s="96">
        <f ca="1">P_1_minQ-(AJ102^2*R_up)+dpup_minQ</f>
        <v>83.48092559121838</v>
      </c>
      <c r="AK104" s="107"/>
      <c r="AL104" s="1"/>
      <c r="AM104" s="96">
        <f ca="1">P_1_minQ-(AM102^2*R_up)+dpup_minQ</f>
        <v>80.203526931716098</v>
      </c>
      <c r="AN104" s="107"/>
      <c r="AO104" s="1"/>
      <c r="AP104" s="96">
        <f ca="1">P_1_minQ-(AP102^2*R_up)+dpup_minQ</f>
        <v>76.731468253083506</v>
      </c>
      <c r="AQ104" s="107"/>
      <c r="AR104" s="1"/>
      <c r="AS104" s="96">
        <f ca="1">P_1_minQ-(AS102^2*R_up)+dpup_minQ</f>
        <v>71.687176734813463</v>
      </c>
      <c r="AT104" s="107"/>
      <c r="AU104" s="1"/>
    </row>
    <row r="105" spans="15:47" x14ac:dyDescent="0.25">
      <c r="O105" s="8" t="s">
        <v>134</v>
      </c>
      <c r="P105" s="1"/>
      <c r="Q105" s="8"/>
      <c r="R105" s="97">
        <f>P_2_minQ+(R102^2*R_dn)-dpdn_minQ</f>
        <v>60</v>
      </c>
      <c r="S105" s="106"/>
      <c r="T105" s="22"/>
      <c r="U105" s="97">
        <f ca="1">P_2_minQ+(U102^2*R_dn)-dpdn_minQ</f>
        <v>60</v>
      </c>
      <c r="V105" s="107"/>
      <c r="W105" s="1"/>
      <c r="X105" s="97">
        <f ca="1">P_2_minQ+(X102^2*R_dn)-dpdn_minQ</f>
        <v>60</v>
      </c>
      <c r="Y105" s="107"/>
      <c r="Z105" s="1"/>
      <c r="AA105" s="97">
        <f ca="1">P_2_minQ+(AA102^2*R_dn)-dpdn_minQ</f>
        <v>60</v>
      </c>
      <c r="AB105" s="107"/>
      <c r="AC105" s="1"/>
      <c r="AD105" s="97">
        <f ca="1">P_2_minQ+(AD102^2*R_dn)-dpdn_minQ</f>
        <v>60</v>
      </c>
      <c r="AE105" s="107"/>
      <c r="AF105" s="1"/>
      <c r="AG105" s="97">
        <f ca="1">P_2_minQ+(AG102^2*R_dn)-dpdn_minQ</f>
        <v>60</v>
      </c>
      <c r="AH105" s="107"/>
      <c r="AI105" s="1"/>
      <c r="AJ105" s="97">
        <f ca="1">P_2_minQ+(AJ102^2*R_dn)-dpdn_minQ</f>
        <v>60</v>
      </c>
      <c r="AK105" s="107"/>
      <c r="AL105" s="1"/>
      <c r="AM105" s="97">
        <f ca="1">P_2_minQ+(AM102^2*R_dn)-dpdn_minQ</f>
        <v>60</v>
      </c>
      <c r="AN105" s="107"/>
      <c r="AO105" s="1"/>
      <c r="AP105" s="97">
        <f ca="1">P_2_minQ+(AP102^2*R_dn)-dpdn_minQ</f>
        <v>60</v>
      </c>
      <c r="AQ105" s="107"/>
      <c r="AR105" s="1"/>
      <c r="AS105" s="97">
        <f ca="1">P_2_minQ+(AS102^2*R_dn)-dpdn_minQ</f>
        <v>60</v>
      </c>
      <c r="AT105" s="107"/>
      <c r="AU105" s="1"/>
    </row>
    <row r="106" spans="15:47" x14ac:dyDescent="0.25">
      <c r="O106" s="8" t="s">
        <v>138</v>
      </c>
      <c r="P106" s="1"/>
      <c r="Q106" s="8"/>
      <c r="R106" s="97">
        <f>R104-R105</f>
        <v>30.185017973918164</v>
      </c>
      <c r="S106" s="106"/>
      <c r="T106" s="22"/>
      <c r="U106" s="97">
        <f ca="1">U104-U105</f>
        <v>30.157438366794779</v>
      </c>
      <c r="V106" s="110"/>
      <c r="W106" s="25"/>
      <c r="X106" s="97">
        <f ca="1">X104-X105</f>
        <v>30.019543424053396</v>
      </c>
      <c r="Y106" s="110"/>
      <c r="Z106" s="25"/>
      <c r="AA106" s="97">
        <f ca="1">AA104-AA105</f>
        <v>29.557192564881532</v>
      </c>
      <c r="AB106" s="110"/>
      <c r="AC106" s="25"/>
      <c r="AD106" s="97">
        <f ca="1">AD104-AD105</f>
        <v>28.417874459411777</v>
      </c>
      <c r="AE106" s="110"/>
      <c r="AF106" s="25"/>
      <c r="AG106" s="97">
        <f ca="1">AG104-AG105</f>
        <v>26.420588459242694</v>
      </c>
      <c r="AH106" s="110"/>
      <c r="AI106" s="25"/>
      <c r="AJ106" s="97">
        <f ca="1">AJ104-AJ105</f>
        <v>23.48092559121838</v>
      </c>
      <c r="AK106" s="110"/>
      <c r="AL106" s="25"/>
      <c r="AM106" s="97">
        <f ca="1">AM104-AM105</f>
        <v>20.203526931716098</v>
      </c>
      <c r="AN106" s="110"/>
      <c r="AO106" s="25"/>
      <c r="AP106" s="97">
        <f ca="1">AP104-AP105</f>
        <v>16.731468253083506</v>
      </c>
      <c r="AQ106" s="110"/>
      <c r="AR106" s="25"/>
      <c r="AS106" s="97">
        <f ca="1">AS104-AS105</f>
        <v>11.687176734813463</v>
      </c>
      <c r="AT106" s="110"/>
      <c r="AU106" s="25"/>
    </row>
    <row r="107" spans="15:47" ht="14.4" x14ac:dyDescent="0.3">
      <c r="O107" s="2" t="s">
        <v>140</v>
      </c>
      <c r="P107" s="11"/>
      <c r="Q107" s="2"/>
      <c r="R107" s="96">
        <f>R106/R104</f>
        <v>0.33470102520407302</v>
      </c>
      <c r="S107" s="106"/>
      <c r="T107" s="22"/>
      <c r="U107" s="96">
        <f ca="1">U106/U104</f>
        <v>0.3344975069511496</v>
      </c>
      <c r="V107" s="111"/>
      <c r="W107" s="28"/>
      <c r="X107" s="96">
        <f ca="1">X106/X104</f>
        <v>0.33347806800842</v>
      </c>
      <c r="Y107" s="111"/>
      <c r="Z107" s="28"/>
      <c r="AA107" s="96">
        <f ca="1">AA106/AA104</f>
        <v>0.33003706032285707</v>
      </c>
      <c r="AB107" s="111"/>
      <c r="AC107" s="28"/>
      <c r="AD107" s="96">
        <f ca="1">AD106/AD104</f>
        <v>0.32140418024250289</v>
      </c>
      <c r="AE107" s="111"/>
      <c r="AF107" s="28"/>
      <c r="AG107" s="96">
        <f ca="1">AG106/AG104</f>
        <v>0.30572099693238097</v>
      </c>
      <c r="AH107" s="111"/>
      <c r="AI107" s="28"/>
      <c r="AJ107" s="96">
        <f ca="1">AJ106/AJ104</f>
        <v>0.28127294259047375</v>
      </c>
      <c r="AK107" s="111"/>
      <c r="AL107" s="28"/>
      <c r="AM107" s="96">
        <f ca="1">AM106/AM104</f>
        <v>0.25190322302056656</v>
      </c>
      <c r="AN107" s="111"/>
      <c r="AO107" s="28"/>
      <c r="AP107" s="96">
        <f ca="1">AP106/AP104</f>
        <v>0.21805223637710255</v>
      </c>
      <c r="AQ107" s="111"/>
      <c r="AR107" s="28"/>
      <c r="AS107" s="96">
        <f ca="1">AS106/AS104</f>
        <v>0.16303022754051097</v>
      </c>
      <c r="AT107" s="111"/>
      <c r="AU107" s="28"/>
    </row>
    <row r="108" spans="15:47" x14ac:dyDescent="0.25">
      <c r="O108" s="2" t="s">
        <v>21</v>
      </c>
      <c r="P108" s="8">
        <v>12</v>
      </c>
      <c r="Q108" s="2"/>
      <c r="R108" s="96">
        <f ca="1">1-R107/(3*F_GAMMA*R$29)</f>
        <v>0.82568463801796577</v>
      </c>
      <c r="S108" s="106"/>
      <c r="T108" s="22"/>
      <c r="U108" s="96">
        <f ca="1">1-U107/(3*F_GAMMA*U$29)</f>
        <v>0.82583110364554857</v>
      </c>
      <c r="V108" s="111"/>
      <c r="W108" s="28"/>
      <c r="X108" s="96">
        <f ca="1">1-X107/(3*F_GAMMA*X$29)</f>
        <v>0.824708144332852</v>
      </c>
      <c r="Y108" s="111"/>
      <c r="Z108" s="28"/>
      <c r="AA108" s="96">
        <f ca="1">1-AA107/(3*F_GAMMA*AA$29)</f>
        <v>0.82407146892061323</v>
      </c>
      <c r="AB108" s="111"/>
      <c r="AC108" s="28"/>
      <c r="AD108" s="96">
        <f ca="1">1-AD107/(3*F_GAMMA*AD$29)</f>
        <v>0.82335972744130026</v>
      </c>
      <c r="AE108" s="111"/>
      <c r="AF108" s="28"/>
      <c r="AG108" s="96">
        <f ca="1">1-AG107/(3*F_GAMMA*AG$29)</f>
        <v>0.82189674001845547</v>
      </c>
      <c r="AH108" s="111"/>
      <c r="AI108" s="28"/>
      <c r="AJ108" s="96">
        <f ca="1">1-AJ107/(3*F_GAMMA*AJ$29)</f>
        <v>0.82370842119722876</v>
      </c>
      <c r="AK108" s="111"/>
      <c r="AL108" s="28"/>
      <c r="AM108" s="96">
        <f ca="1">1-AM107/(3*F_GAMMA*AM$29)</f>
        <v>0.82347299268283947</v>
      </c>
      <c r="AN108" s="111"/>
      <c r="AO108" s="28"/>
      <c r="AP108" s="96">
        <f ca="1">1-AP107/(3*F_GAMMA*AP$29)</f>
        <v>0.87691962610759766</v>
      </c>
      <c r="AQ108" s="111"/>
      <c r="AR108" s="28"/>
      <c r="AS108" s="96">
        <f ca="1">1-AS107/(3*F_GAMMA*AS$29)</f>
        <v>0.85573438208359276</v>
      </c>
      <c r="AT108" s="111"/>
      <c r="AU108" s="28"/>
    </row>
    <row r="109" spans="15:47" x14ac:dyDescent="0.25">
      <c r="O109" s="2" t="s">
        <v>57</v>
      </c>
      <c r="P109" s="143">
        <v>7</v>
      </c>
      <c r="Q109" s="2"/>
      <c r="R109" s="96">
        <f ca="1">(R102/(N_9*R$27*R104*R108))*SQRT(M*'Valve Sizing'!$W$6*'Valve Sizing'!$G$8/R107)</f>
        <v>0.14206805494043764</v>
      </c>
      <c r="S109" s="107"/>
      <c r="T109" s="22"/>
      <c r="U109" s="96">
        <f ca="1">(U102/(N_9*U$27*U104*U108))*SQRT(M*'Valve Sizing'!$W$6*'Valve Sizing'!$G$8/U107)</f>
        <v>4.9751530919887514</v>
      </c>
      <c r="V109" s="111"/>
      <c r="W109" s="28"/>
      <c r="X109" s="96">
        <f ca="1">(X102/(N_9*X$27*X104*X108))*SQRT(M*'Valve Sizing'!$W$6*'Valve Sizing'!$G$8/X107)</f>
        <v>12.26442534942319</v>
      </c>
      <c r="Y109" s="111"/>
      <c r="Z109" s="28"/>
      <c r="AA109" s="96">
        <f ca="1">(AA102/(N_9*AA$27*AA104*AA108))*SQRT(M*'Valve Sizing'!$W$6*'Valve Sizing'!$G$8/AA107)</f>
        <v>24.298132166435575</v>
      </c>
      <c r="AB109" s="111"/>
      <c r="AC109" s="28"/>
      <c r="AD109" s="96">
        <f ca="1">(AD102/(N_9*AD$27*AD104*AD108))*SQRT(M*'Valve Sizing'!$W$6*'Valve Sizing'!$G$8/AD107)</f>
        <v>42.395766169106039</v>
      </c>
      <c r="AE109" s="111"/>
      <c r="AF109" s="28"/>
      <c r="AG109" s="96">
        <f ca="1">(AG102/(N_9*AG$27*AG104*AG108))*SQRT(M*'Valve Sizing'!$W$6*'Valve Sizing'!$G$8/AG107)</f>
        <v>66.490308271814769</v>
      </c>
      <c r="AH109" s="111"/>
      <c r="AI109" s="28"/>
      <c r="AJ109" s="96">
        <f ca="1">(AJ102/(N_9*AJ$27*AJ104*AJ108))*SQRT(M*'Valve Sizing'!$W$6*'Valve Sizing'!$G$8/AJ107)</f>
        <v>99.008754200953973</v>
      </c>
      <c r="AK109" s="111"/>
      <c r="AL109" s="28"/>
      <c r="AM109" s="96">
        <f ca="1">(AM102/(N_9*AM$27*AM104*AM108))*SQRT(M*'Valve Sizing'!$W$6*'Valve Sizing'!$G$8/AM107)</f>
        <v>141.02133282932277</v>
      </c>
      <c r="AN109" s="111"/>
      <c r="AO109" s="28"/>
      <c r="AP109" s="96">
        <f ca="1">(AP102/(N_9*AP$27*AP104*AP108))*SQRT(M*'Valve Sizing'!$W$6*'Valve Sizing'!$G$8/AP107)</f>
        <v>196.59297985815584</v>
      </c>
      <c r="AQ109" s="111"/>
      <c r="AR109" s="28"/>
      <c r="AS109" s="96">
        <f ca="1">(AS102/(N_9*AS$27*AS104*AS108))*SQRT(M*'Valve Sizing'!$W$6*'Valve Sizing'!$G$8/AS107)</f>
        <v>391.66616094095428</v>
      </c>
      <c r="AT109" s="111"/>
      <c r="AU109" s="28"/>
    </row>
    <row r="110" spans="15:47" x14ac:dyDescent="0.25">
      <c r="O110" s="2" t="s">
        <v>59</v>
      </c>
      <c r="P110" s="143">
        <v>7</v>
      </c>
      <c r="Q110" s="2"/>
      <c r="R110" s="96">
        <f ca="1">(R102/(N_9*R$27*R104*0.667))*SQRT(M*'Valve Sizing'!$W$6*'Valve Sizing'!$G$8/R111)</f>
        <v>0.12717837267181795</v>
      </c>
      <c r="S110" s="107"/>
      <c r="T110" s="22"/>
      <c r="U110" s="96">
        <f ca="1">(U102/(N_9*U$27*U104*0.667))*SQRT(M*'Valve Sizing'!$W$6*'Valve Sizing'!$G$8/U111)</f>
        <v>4.4526419983290202</v>
      </c>
      <c r="V110" s="111"/>
      <c r="W110" s="28"/>
      <c r="X110" s="96">
        <f ca="1">(X102/(N_9*X$27*X104*0.667))*SQRT(M*'Valve Sizing'!$W$6*'Valve Sizing'!$G$8/X111)</f>
        <v>10.996719572984798</v>
      </c>
      <c r="Y110" s="111"/>
      <c r="Z110" s="28"/>
      <c r="AA110" s="96">
        <f ca="1">(AA102/(N_9*AA$27*AA104*0.667))*SQRT(M*'Valve Sizing'!$W$6*'Valve Sizing'!$G$8/AA111)</f>
        <v>21.809248448641284</v>
      </c>
      <c r="AB110" s="111"/>
      <c r="AC110" s="28"/>
      <c r="AD110" s="96">
        <f ca="1">(AD102/(N_9*AD$27*AD104*0.667))*SQRT(M*'Valve Sizing'!$W$6*'Valve Sizing'!$G$8/AD111)</f>
        <v>38.09708662948097</v>
      </c>
      <c r="AE110" s="111"/>
      <c r="AF110" s="28"/>
      <c r="AG110" s="96">
        <f ca="1">(AG102/(N_9*AG$27*AG104*0.667))*SQRT(M*'Valve Sizing'!$W$6*'Valve Sizing'!$G$8/AG111)</f>
        <v>59.888899432059105</v>
      </c>
      <c r="AH110" s="111"/>
      <c r="AI110" s="28"/>
      <c r="AJ110" s="96">
        <f ca="1">(AJ102/(N_9*AJ$27*AJ104*0.667))*SQRT(M*'Valve Sizing'!$W$6*'Valve Sizing'!$G$8/AJ111)</f>
        <v>88.919636569689843</v>
      </c>
      <c r="AK110" s="111"/>
      <c r="AL110" s="28"/>
      <c r="AM110" s="96">
        <f ca="1">(AM102/(N_9*AM$27*AM104*0.667))*SQRT(M*'Valve Sizing'!$W$6*'Valve Sizing'!$G$8/AM111)</f>
        <v>126.69939701329807</v>
      </c>
      <c r="AN110" s="111"/>
      <c r="AO110" s="28"/>
      <c r="AP110" s="96">
        <f ca="1">(AP102/(N_9*AP$27*AP104*0.667))*SQRT(M*'Valve Sizing'!$W$6*'Valve Sizing'!$G$8/AP111)</f>
        <v>157.05688964796883</v>
      </c>
      <c r="AQ110" s="111"/>
      <c r="AR110" s="28"/>
      <c r="AS110" s="96">
        <f ca="1">(AS102/(N_9*AS$27*AS104*0.667))*SQRT(M*'Valve Sizing'!$W$6*'Valve Sizing'!$G$8/AS111)</f>
        <v>330.57594363405764</v>
      </c>
      <c r="AT110" s="111"/>
      <c r="AU110" s="28"/>
    </row>
    <row r="111" spans="15:47" ht="15.6" x14ac:dyDescent="0.35">
      <c r="O111" s="2" t="s">
        <v>68</v>
      </c>
      <c r="P111" s="143">
        <v>10</v>
      </c>
      <c r="Q111" s="2"/>
      <c r="R111" s="96">
        <f ca="1">F_GAMMA*R$29</f>
        <v>0.64002969751372984</v>
      </c>
      <c r="S111" s="107"/>
      <c r="T111" s="1"/>
      <c r="U111" s="96">
        <f ca="1">F_GAMMA*U$29</f>
        <v>0.64017842058782071</v>
      </c>
      <c r="V111" s="111"/>
      <c r="W111" s="28"/>
      <c r="X111" s="96">
        <f ca="1">F_GAMMA*X$29</f>
        <v>0.63413873724904268</v>
      </c>
      <c r="Y111" s="111"/>
      <c r="Z111" s="28"/>
      <c r="AA111" s="96">
        <f ca="1">F_GAMMA*AA$29</f>
        <v>0.62532411750377137</v>
      </c>
      <c r="AB111" s="111"/>
      <c r="AC111" s="28"/>
      <c r="AD111" s="96">
        <f ca="1">F_GAMMA*AD$29</f>
        <v>0.60651359509139569</v>
      </c>
      <c r="AE111" s="111"/>
      <c r="AF111" s="28"/>
      <c r="AG111" s="96">
        <f ca="1">F_GAMMA*AG$29</f>
        <v>0.57217930198481592</v>
      </c>
      <c r="AH111" s="111"/>
      <c r="AI111" s="28"/>
      <c r="AJ111" s="96">
        <f ca="1">F_GAMMA*AJ$29</f>
        <v>0.53183282018848232</v>
      </c>
      <c r="AK111" s="111"/>
      <c r="AL111" s="28"/>
      <c r="AM111" s="96">
        <f ca="1">F_GAMMA*AM$29</f>
        <v>0.47566512503094399</v>
      </c>
      <c r="AN111" s="111"/>
      <c r="AO111" s="28"/>
      <c r="AP111" s="96">
        <f ca="1">F_GAMMA*AP$29</f>
        <v>0.59054158265645496</v>
      </c>
      <c r="AQ111" s="111"/>
      <c r="AR111" s="28"/>
      <c r="AS111" s="96">
        <f ca="1">F_GAMMA*AS$29</f>
        <v>0.3766899554102966</v>
      </c>
      <c r="AT111" s="111"/>
      <c r="AU111" s="28"/>
    </row>
    <row r="112" spans="15:47" x14ac:dyDescent="0.25">
      <c r="O112" s="2" t="s">
        <v>145</v>
      </c>
      <c r="P112" s="12"/>
      <c r="Q112" s="2"/>
      <c r="R112" s="96">
        <f ca="1">IF(R107&lt;R111,R109,R110)</f>
        <v>0.14206805494043764</v>
      </c>
      <c r="S112" s="116"/>
      <c r="T112" s="1"/>
      <c r="U112" s="96">
        <f ca="1">IF(U107&lt;U111,U109,U110)</f>
        <v>4.9751530919887514</v>
      </c>
      <c r="V112" s="111"/>
      <c r="W112" s="28"/>
      <c r="X112" s="96">
        <f ca="1">IF(X107&lt;X111,X109,X110)</f>
        <v>12.26442534942319</v>
      </c>
      <c r="Y112" s="111"/>
      <c r="Z112" s="28"/>
      <c r="AA112" s="96">
        <f ca="1">IF(AA107&lt;AA111,AA109,AA110)</f>
        <v>24.298132166435575</v>
      </c>
      <c r="AB112" s="111"/>
      <c r="AC112" s="28"/>
      <c r="AD112" s="96">
        <f ca="1">IF(AD107&lt;AD111,AD109,AD110)</f>
        <v>42.395766169106039</v>
      </c>
      <c r="AE112" s="111"/>
      <c r="AF112" s="28"/>
      <c r="AG112" s="96">
        <f ca="1">IF(AG107&lt;AG111,AG109,AG110)</f>
        <v>66.490308271814769</v>
      </c>
      <c r="AH112" s="111"/>
      <c r="AI112" s="28"/>
      <c r="AJ112" s="96">
        <f ca="1">IF(AJ107&lt;AJ111,AJ109,AJ110)</f>
        <v>99.008754200953973</v>
      </c>
      <c r="AK112" s="111"/>
      <c r="AL112" s="28"/>
      <c r="AM112" s="96">
        <f ca="1">IF(AM107&lt;AM111,AM109,AM110)</f>
        <v>141.02133282932277</v>
      </c>
      <c r="AN112" s="111"/>
      <c r="AO112" s="28"/>
      <c r="AP112" s="96">
        <f ca="1">IF(AP107&lt;AP111,AP109,AP110)</f>
        <v>196.59297985815584</v>
      </c>
      <c r="AQ112" s="111"/>
      <c r="AR112" s="28"/>
      <c r="AS112" s="96">
        <f ca="1">IF(AS107&lt;AS111,AS109,AS110)</f>
        <v>391.66616094095428</v>
      </c>
      <c r="AT112" s="111"/>
      <c r="AU112" s="28"/>
    </row>
    <row r="113" spans="15:47" x14ac:dyDescent="0.25">
      <c r="O113" s="13" t="s">
        <v>143</v>
      </c>
      <c r="P113" s="1"/>
      <c r="Q113" s="1"/>
      <c r="R113" s="113"/>
      <c r="S113" s="106">
        <f ca="1">IF(R106&lt;=0,Q_max,ABS(R$23-R112))</f>
        <v>4.5879319450595624</v>
      </c>
      <c r="T113" s="7">
        <f>R102</f>
        <v>351.79326632361597</v>
      </c>
      <c r="U113" s="98"/>
      <c r="V113" s="106">
        <f ca="1">IF(U106&lt;=0,Q_max,ABS(U$23-U112))</f>
        <v>6.6248469080112482</v>
      </c>
      <c r="W113" s="9">
        <f ca="1">U102</f>
        <v>12306.22335434774</v>
      </c>
      <c r="X113" s="98"/>
      <c r="Y113" s="106">
        <f ca="1">IF(X106&lt;=0,Q_max,ABS(X$23-X112))</f>
        <v>10.73557465057681</v>
      </c>
      <c r="Z113" s="9">
        <f ca="1">X102</f>
        <v>30133.420606978125</v>
      </c>
      <c r="AA113" s="98"/>
      <c r="AB113" s="106">
        <f ca="1">IF(AA106&lt;=0,Q_max,ABS(AA$23-AA112))</f>
        <v>15.101867833564423</v>
      </c>
      <c r="AC113" s="9">
        <f ca="1">AA102</f>
        <v>58692.211924995056</v>
      </c>
      <c r="AD113" s="98"/>
      <c r="AE113" s="106">
        <f ca="1">IF(AD106&lt;=0,Q_max,ABS(AD$23-AD112))</f>
        <v>18.604233830893961</v>
      </c>
      <c r="AF113" s="9">
        <f ca="1">AD102</f>
        <v>98467.273722719518</v>
      </c>
      <c r="AG113" s="98"/>
      <c r="AH113" s="106">
        <f ca="1">IF(AG106&lt;=0,Q_max,ABS(AG$23-AG112))</f>
        <v>21.709691728185234</v>
      </c>
      <c r="AI113" s="9">
        <f ca="1">AG102</f>
        <v>143715.66786693616</v>
      </c>
      <c r="AJ113" s="98"/>
      <c r="AK113" s="106">
        <f ca="1">IF(AJ106&lt;=0,Q_max,ABS(AJ$23-AJ112))</f>
        <v>21.991245799046027</v>
      </c>
      <c r="AL113" s="9">
        <f ca="1">AJ102</f>
        <v>191789.11589187535</v>
      </c>
      <c r="AM113" s="98"/>
      <c r="AN113" s="106">
        <f ca="1">IF(AM106&lt;=0,Q_max,ABS(AM$23-AM112))</f>
        <v>23.978667170677227</v>
      </c>
      <c r="AO113" s="9">
        <f ca="1">AM102</f>
        <v>234019.16898169267</v>
      </c>
      <c r="AP113" s="98"/>
      <c r="AQ113" s="106">
        <f ca="1">IF(AP106&lt;=0,Q_max,ABS(AP$23-AP112))</f>
        <v>49.407020141844157</v>
      </c>
      <c r="AR113" s="9">
        <f ca="1">AP102</f>
        <v>271688.99014923093</v>
      </c>
      <c r="AS113" s="98"/>
      <c r="AT113" s="106">
        <f ca="1">IF(AS106&lt;=0,Q_max,ABS(AS$23-AS112))</f>
        <v>28.333839059045715</v>
      </c>
      <c r="AU113" s="9">
        <f ca="1">AS102</f>
        <v>318576.70790987328</v>
      </c>
    </row>
    <row r="114" spans="15:47" x14ac:dyDescent="0.25">
      <c r="O114" s="21"/>
      <c r="P114" s="14"/>
      <c r="Q114" s="21"/>
      <c r="R114" s="97"/>
      <c r="S114" s="106"/>
      <c r="T114" s="28"/>
      <c r="U114" s="97"/>
      <c r="V114" s="111"/>
      <c r="W114" s="28"/>
      <c r="X114" s="97"/>
      <c r="Y114" s="111"/>
      <c r="Z114" s="28"/>
      <c r="AA114" s="97"/>
      <c r="AB114" s="111"/>
      <c r="AC114" s="28"/>
      <c r="AD114" s="97"/>
      <c r="AE114" s="111"/>
      <c r="AF114" s="28"/>
      <c r="AG114" s="97"/>
      <c r="AH114" s="111"/>
      <c r="AI114" s="28"/>
      <c r="AJ114" s="97"/>
      <c r="AK114" s="111"/>
      <c r="AL114" s="28"/>
      <c r="AM114" s="97"/>
      <c r="AN114" s="111"/>
      <c r="AO114" s="28"/>
      <c r="AP114" s="97"/>
      <c r="AQ114" s="111"/>
      <c r="AR114" s="28"/>
      <c r="AS114" s="97"/>
      <c r="AT114" s="111"/>
      <c r="AU114" s="28"/>
    </row>
    <row r="115" spans="15:47" x14ac:dyDescent="0.25">
      <c r="O115" s="1"/>
      <c r="P115" s="1"/>
      <c r="Q115" s="1"/>
      <c r="R115" s="98"/>
      <c r="S115" s="108" t="s">
        <v>137</v>
      </c>
      <c r="T115" s="26" t="s">
        <v>146</v>
      </c>
      <c r="U115" s="98"/>
      <c r="V115" s="108" t="s">
        <v>137</v>
      </c>
      <c r="W115" s="26" t="s">
        <v>146</v>
      </c>
      <c r="X115" s="98"/>
      <c r="Y115" s="108" t="s">
        <v>137</v>
      </c>
      <c r="Z115" s="26" t="s">
        <v>146</v>
      </c>
      <c r="AA115" s="98"/>
      <c r="AB115" s="108" t="s">
        <v>137</v>
      </c>
      <c r="AC115" s="26" t="s">
        <v>146</v>
      </c>
      <c r="AD115" s="98"/>
      <c r="AE115" s="108" t="s">
        <v>137</v>
      </c>
      <c r="AF115" s="26" t="s">
        <v>146</v>
      </c>
      <c r="AG115" s="98"/>
      <c r="AH115" s="108" t="s">
        <v>137</v>
      </c>
      <c r="AI115" s="26" t="s">
        <v>146</v>
      </c>
      <c r="AJ115" s="98"/>
      <c r="AK115" s="108" t="s">
        <v>137</v>
      </c>
      <c r="AL115" s="26" t="s">
        <v>146</v>
      </c>
      <c r="AM115" s="98"/>
      <c r="AN115" s="108" t="s">
        <v>137</v>
      </c>
      <c r="AO115" s="26" t="s">
        <v>146</v>
      </c>
      <c r="AP115" s="98"/>
      <c r="AQ115" s="108" t="s">
        <v>137</v>
      </c>
      <c r="AR115" s="26" t="s">
        <v>146</v>
      </c>
      <c r="AS115" s="98"/>
      <c r="AT115" s="108" t="s">
        <v>137</v>
      </c>
      <c r="AU115" s="26" t="s">
        <v>146</v>
      </c>
    </row>
    <row r="116" spans="15:47" ht="13.8" x14ac:dyDescent="0.25">
      <c r="O116" s="20" t="s">
        <v>136</v>
      </c>
      <c r="P116" s="1"/>
      <c r="Q116" s="1"/>
      <c r="R116" s="96">
        <f>R102*1.02</f>
        <v>358.8291316500883</v>
      </c>
      <c r="S116" s="109" t="s">
        <v>144</v>
      </c>
      <c r="T116" s="23" t="s">
        <v>147</v>
      </c>
      <c r="U116" s="96">
        <f ca="1">U102*1.01</f>
        <v>12429.285587891218</v>
      </c>
      <c r="V116" s="109" t="s">
        <v>144</v>
      </c>
      <c r="W116" s="23" t="s">
        <v>147</v>
      </c>
      <c r="X116" s="96">
        <f ca="1">X102*1.01</f>
        <v>30434.754813047908</v>
      </c>
      <c r="Y116" s="109" t="s">
        <v>144</v>
      </c>
      <c r="Z116" s="23" t="s">
        <v>147</v>
      </c>
      <c r="AA116" s="96">
        <f ca="1">AA102*1.01</f>
        <v>59279.134044245009</v>
      </c>
      <c r="AB116" s="109" t="s">
        <v>144</v>
      </c>
      <c r="AC116" s="23" t="s">
        <v>147</v>
      </c>
      <c r="AD116" s="96">
        <f ca="1">AD102*1.01</f>
        <v>99451.946459946717</v>
      </c>
      <c r="AE116" s="109" t="s">
        <v>144</v>
      </c>
      <c r="AF116" s="23" t="s">
        <v>147</v>
      </c>
      <c r="AG116" s="96">
        <f ca="1">AG102*1.01</f>
        <v>145152.82454560552</v>
      </c>
      <c r="AH116" s="109" t="s">
        <v>144</v>
      </c>
      <c r="AI116" s="23" t="s">
        <v>147</v>
      </c>
      <c r="AJ116" s="96">
        <f ca="1">AJ102*1.01</f>
        <v>193707.00705079411</v>
      </c>
      <c r="AK116" s="109" t="s">
        <v>144</v>
      </c>
      <c r="AL116" s="23" t="s">
        <v>147</v>
      </c>
      <c r="AM116" s="96">
        <f ca="1">AM102*1.01</f>
        <v>236359.36067150958</v>
      </c>
      <c r="AN116" s="109" t="s">
        <v>144</v>
      </c>
      <c r="AO116" s="23" t="s">
        <v>147</v>
      </c>
      <c r="AP116" s="96">
        <f ca="1">AP102*1.01</f>
        <v>274405.88005072327</v>
      </c>
      <c r="AQ116" s="109" t="s">
        <v>144</v>
      </c>
      <c r="AR116" s="23" t="s">
        <v>147</v>
      </c>
      <c r="AS116" s="96">
        <f ca="1">AS102*1.01</f>
        <v>321762.47498897201</v>
      </c>
      <c r="AT116" s="109" t="s">
        <v>144</v>
      </c>
      <c r="AU116" s="23" t="s">
        <v>147</v>
      </c>
    </row>
    <row r="117" spans="15:47" x14ac:dyDescent="0.25">
      <c r="O117" s="1"/>
      <c r="P117" s="1"/>
      <c r="Q117" s="1"/>
      <c r="R117" s="98"/>
      <c r="S117" s="107"/>
      <c r="T117" s="1"/>
      <c r="U117" s="47"/>
      <c r="V117" s="107"/>
      <c r="W117" s="1"/>
      <c r="X117" s="47"/>
      <c r="Y117" s="107"/>
      <c r="Z117" s="1"/>
      <c r="AA117" s="47"/>
      <c r="AB117" s="107"/>
      <c r="AC117" s="1"/>
      <c r="AD117" s="47"/>
      <c r="AE117" s="107"/>
      <c r="AF117" s="1"/>
      <c r="AG117" s="47"/>
      <c r="AH117" s="107"/>
      <c r="AI117" s="1"/>
      <c r="AJ117" s="47"/>
      <c r="AK117" s="107"/>
      <c r="AL117" s="1"/>
      <c r="AM117" s="47"/>
      <c r="AN117" s="107"/>
      <c r="AO117" s="1"/>
      <c r="AP117" s="47"/>
      <c r="AQ117" s="107"/>
      <c r="AR117" s="1"/>
      <c r="AS117" s="47"/>
      <c r="AT117" s="107"/>
      <c r="AU117" s="1"/>
    </row>
    <row r="118" spans="15:47" x14ac:dyDescent="0.25">
      <c r="O118" s="8" t="s">
        <v>132</v>
      </c>
      <c r="P118" s="8"/>
      <c r="Q118" s="8"/>
      <c r="R118" s="96">
        <f>P_1_minQ-(R116^2*R_up)+dpup_minQ</f>
        <v>90.185017062642132</v>
      </c>
      <c r="S118" s="106"/>
      <c r="T118" s="22"/>
      <c r="U118" s="96">
        <f ca="1">P_1_minQ-(U116^2*R_up)+dpup_minQ</f>
        <v>90.156883563309222</v>
      </c>
      <c r="V118" s="107"/>
      <c r="W118" s="1"/>
      <c r="X118" s="96">
        <f ca="1">P_1_minQ-(X116^2*R_up)+dpup_minQ</f>
        <v>90.01621693221874</v>
      </c>
      <c r="Y118" s="107"/>
      <c r="Z118" s="1"/>
      <c r="AA118" s="96">
        <f ca="1">P_1_minQ-(AA116^2*R_up)+dpup_minQ</f>
        <v>89.544572820777518</v>
      </c>
      <c r="AB118" s="107"/>
      <c r="AC118" s="1"/>
      <c r="AD118" s="96">
        <f ca="1">P_1_minQ-(AD116^2*R_up)+dpup_minQ</f>
        <v>88.382354421387817</v>
      </c>
      <c r="AE118" s="107"/>
      <c r="AF118" s="1"/>
      <c r="AG118" s="96">
        <f ca="1">P_1_minQ-(AG116^2*R_up)+dpup_minQ</f>
        <v>86.344922972615336</v>
      </c>
      <c r="AH118" s="107"/>
      <c r="AI118" s="1"/>
      <c r="AJ118" s="96">
        <f ca="1">P_1_minQ-(AJ116^2*R_up)+dpup_minQ</f>
        <v>83.34617288094374</v>
      </c>
      <c r="AK118" s="107"/>
      <c r="AL118" s="1"/>
      <c r="AM118" s="96">
        <f ca="1">P_1_minQ-(AM116^2*R_up)+dpup_minQ</f>
        <v>80.002898508385456</v>
      </c>
      <c r="AN118" s="107"/>
      <c r="AO118" s="1"/>
      <c r="AP118" s="96">
        <f ca="1">P_1_minQ-(AP116^2*R_up)+dpup_minQ</f>
        <v>76.46105145031234</v>
      </c>
      <c r="AQ118" s="107"/>
      <c r="AR118" s="1"/>
      <c r="AS118" s="96">
        <f ca="1">P_1_minQ-(AS116^2*R_up)+dpup_minQ</f>
        <v>71.31536967252508</v>
      </c>
      <c r="AT118" s="107"/>
      <c r="AU118" s="1"/>
    </row>
    <row r="119" spans="15:47" x14ac:dyDescent="0.25">
      <c r="O119" s="8" t="s">
        <v>134</v>
      </c>
      <c r="P119" s="1"/>
      <c r="Q119" s="8"/>
      <c r="R119" s="97">
        <f>P_2_minQ+(R116^2*R_dn)-dpdn_minQ</f>
        <v>60</v>
      </c>
      <c r="S119" s="106"/>
      <c r="T119" s="22"/>
      <c r="U119" s="97">
        <f ca="1">P_2_minQ+(U116^2*R_dn)-dpdn_minQ</f>
        <v>60</v>
      </c>
      <c r="V119" s="107"/>
      <c r="W119" s="1"/>
      <c r="X119" s="97">
        <f ca="1">P_2_minQ+(X116^2*R_dn)-dpdn_minQ</f>
        <v>60</v>
      </c>
      <c r="Y119" s="107"/>
      <c r="Z119" s="1"/>
      <c r="AA119" s="97">
        <f ca="1">P_2_minQ+(AA116^2*R_dn)-dpdn_minQ</f>
        <v>60</v>
      </c>
      <c r="AB119" s="107"/>
      <c r="AC119" s="1"/>
      <c r="AD119" s="97">
        <f ca="1">P_2_minQ+(AD116^2*R_dn)-dpdn_minQ</f>
        <v>60</v>
      </c>
      <c r="AE119" s="107"/>
      <c r="AF119" s="1"/>
      <c r="AG119" s="97">
        <f ca="1">P_2_minQ+(AG116^2*R_dn)-dpdn_minQ</f>
        <v>60</v>
      </c>
      <c r="AH119" s="107"/>
      <c r="AI119" s="1"/>
      <c r="AJ119" s="97">
        <f ca="1">P_2_minQ+(AJ116^2*R_dn)-dpdn_minQ</f>
        <v>60</v>
      </c>
      <c r="AK119" s="107"/>
      <c r="AL119" s="1"/>
      <c r="AM119" s="97">
        <f ca="1">P_2_minQ+(AM116^2*R_dn)-dpdn_minQ</f>
        <v>60</v>
      </c>
      <c r="AN119" s="107"/>
      <c r="AO119" s="1"/>
      <c r="AP119" s="97">
        <f ca="1">P_2_minQ+(AP116^2*R_dn)-dpdn_minQ</f>
        <v>60</v>
      </c>
      <c r="AQ119" s="107"/>
      <c r="AR119" s="1"/>
      <c r="AS119" s="97">
        <f ca="1">P_2_minQ+(AS116^2*R_dn)-dpdn_minQ</f>
        <v>60</v>
      </c>
      <c r="AT119" s="107"/>
      <c r="AU119" s="1"/>
    </row>
    <row r="120" spans="15:47" x14ac:dyDescent="0.25">
      <c r="O120" s="8" t="s">
        <v>138</v>
      </c>
      <c r="P120" s="1"/>
      <c r="Q120" s="8"/>
      <c r="R120" s="97">
        <f>R118-R119</f>
        <v>30.185017062642132</v>
      </c>
      <c r="S120" s="106"/>
      <c r="T120" s="22"/>
      <c r="U120" s="97">
        <f ca="1">U118-U119</f>
        <v>30.156883563309222</v>
      </c>
      <c r="V120" s="110"/>
      <c r="W120" s="25"/>
      <c r="X120" s="97">
        <f ca="1">X118-X119</f>
        <v>30.01621693221874</v>
      </c>
      <c r="Y120" s="110"/>
      <c r="Z120" s="25"/>
      <c r="AA120" s="97">
        <f ca="1">AA118-AA119</f>
        <v>29.544572820777518</v>
      </c>
      <c r="AB120" s="110"/>
      <c r="AC120" s="25"/>
      <c r="AD120" s="97">
        <f ca="1">AD118-AD119</f>
        <v>28.382354421387817</v>
      </c>
      <c r="AE120" s="110"/>
      <c r="AF120" s="25"/>
      <c r="AG120" s="97">
        <f ca="1">AG118-AG119</f>
        <v>26.344922972615336</v>
      </c>
      <c r="AH120" s="110"/>
      <c r="AI120" s="25"/>
      <c r="AJ120" s="97">
        <f ca="1">AJ118-AJ119</f>
        <v>23.34617288094374</v>
      </c>
      <c r="AK120" s="110"/>
      <c r="AL120" s="25"/>
      <c r="AM120" s="97">
        <f ca="1">AM118-AM119</f>
        <v>20.002898508385456</v>
      </c>
      <c r="AN120" s="110"/>
      <c r="AO120" s="25"/>
      <c r="AP120" s="97">
        <f ca="1">AP118-AP119</f>
        <v>16.46105145031234</v>
      </c>
      <c r="AQ120" s="110"/>
      <c r="AR120" s="25"/>
      <c r="AS120" s="97">
        <f ca="1">AS118-AS119</f>
        <v>11.31536967252508</v>
      </c>
      <c r="AT120" s="110"/>
      <c r="AU120" s="25"/>
    </row>
    <row r="121" spans="15:47" ht="14.4" x14ac:dyDescent="0.3">
      <c r="O121" s="2" t="s">
        <v>140</v>
      </c>
      <c r="P121" s="11"/>
      <c r="Q121" s="2"/>
      <c r="R121" s="96">
        <f>R120/R118</f>
        <v>0.33470101848154826</v>
      </c>
      <c r="S121" s="106"/>
      <c r="T121" s="22"/>
      <c r="U121" s="96">
        <f ca="1">U120/U118</f>
        <v>0.33449341161102475</v>
      </c>
      <c r="V121" s="111"/>
      <c r="W121" s="28"/>
      <c r="X121" s="96">
        <f ca="1">X120/X118</f>
        <v>0.33345343711589914</v>
      </c>
      <c r="Y121" s="111"/>
      <c r="Z121" s="28"/>
      <c r="AA121" s="96">
        <f ca="1">AA120/AA118</f>
        <v>0.32994264074396396</v>
      </c>
      <c r="AB121" s="111"/>
      <c r="AC121" s="28"/>
      <c r="AD121" s="96">
        <f ca="1">AD120/AD118</f>
        <v>0.32113145895691952</v>
      </c>
      <c r="AE121" s="111"/>
      <c r="AF121" s="28"/>
      <c r="AG121" s="96">
        <f ca="1">AG120/AG118</f>
        <v>0.30511258873866554</v>
      </c>
      <c r="AH121" s="111"/>
      <c r="AI121" s="28"/>
      <c r="AJ121" s="96">
        <f ca="1">AJ120/AJ118</f>
        <v>0.280110916601926</v>
      </c>
      <c r="AK121" s="111"/>
      <c r="AL121" s="28"/>
      <c r="AM121" s="96">
        <f ca="1">AM120/AM118</f>
        <v>0.25002717253161599</v>
      </c>
      <c r="AN121" s="111"/>
      <c r="AO121" s="28"/>
      <c r="AP121" s="96">
        <f ca="1">AP120/AP118</f>
        <v>0.21528675238018974</v>
      </c>
      <c r="AQ121" s="111"/>
      <c r="AR121" s="28"/>
      <c r="AS121" s="96">
        <f ca="1">AS120/AS118</f>
        <v>0.1586666341979916</v>
      </c>
      <c r="AT121" s="111"/>
      <c r="AU121" s="28"/>
    </row>
    <row r="122" spans="15:47" x14ac:dyDescent="0.25">
      <c r="O122" s="2" t="s">
        <v>21</v>
      </c>
      <c r="P122" s="8">
        <v>12</v>
      </c>
      <c r="Q122" s="2"/>
      <c r="R122" s="96">
        <f ca="1">1-R121/(3*F_GAMMA*R$29)</f>
        <v>0.82568464151911836</v>
      </c>
      <c r="S122" s="106"/>
      <c r="T122" s="22"/>
      <c r="U122" s="96">
        <f ca="1">1-U121/(3*F_GAMMA*U$29)</f>
        <v>0.82583323604072323</v>
      </c>
      <c r="V122" s="111"/>
      <c r="W122" s="28"/>
      <c r="X122" s="96">
        <f ca="1">1-X121/(3*F_GAMMA*X$29)</f>
        <v>0.82472109149571193</v>
      </c>
      <c r="Y122" s="111"/>
      <c r="Z122" s="28"/>
      <c r="AA122" s="96">
        <f ca="1">1-AA121/(3*F_GAMMA*AA$29)</f>
        <v>0.82412179992829926</v>
      </c>
      <c r="AB122" s="111"/>
      <c r="AC122" s="28"/>
      <c r="AD122" s="96">
        <f ca="1">1-AD121/(3*F_GAMMA*AD$29)</f>
        <v>0.82350961211978102</v>
      </c>
      <c r="AE122" s="111"/>
      <c r="AF122" s="28"/>
      <c r="AG122" s="96">
        <f ca="1">1-AG121/(3*F_GAMMA*AG$29)</f>
        <v>0.82225117914363</v>
      </c>
      <c r="AH122" s="111"/>
      <c r="AI122" s="28"/>
      <c r="AJ122" s="96">
        <f ca="1">1-AJ121/(3*F_GAMMA*AJ$29)</f>
        <v>0.82443673652768412</v>
      </c>
      <c r="AK122" s="111"/>
      <c r="AL122" s="28"/>
      <c r="AM122" s="96">
        <f ca="1">1-AM121/(3*F_GAMMA*AM$29)</f>
        <v>0.82478767843564271</v>
      </c>
      <c r="AN122" s="111"/>
      <c r="AO122" s="28"/>
      <c r="AP122" s="96">
        <f ca="1">1-AP121/(3*F_GAMMA*AP$29)</f>
        <v>0.87848061355715912</v>
      </c>
      <c r="AQ122" s="111"/>
      <c r="AR122" s="28"/>
      <c r="AS122" s="96">
        <f ca="1">1-AS121/(3*F_GAMMA*AS$29)</f>
        <v>0.85959573037090997</v>
      </c>
      <c r="AT122" s="111"/>
      <c r="AU122" s="28"/>
    </row>
    <row r="123" spans="15:47" x14ac:dyDescent="0.25">
      <c r="O123" s="2" t="s">
        <v>57</v>
      </c>
      <c r="P123" s="143">
        <v>7</v>
      </c>
      <c r="Q123" s="2"/>
      <c r="R123" s="96">
        <f ca="1">(R116/(N_9*R$27*R118*R122))*SQRT(M*'Valve Sizing'!$W$6*'Valve Sizing'!$G$8/R121)</f>
        <v>0.14490941834429097</v>
      </c>
      <c r="S123" s="107"/>
      <c r="T123" s="22"/>
      <c r="U123" s="96">
        <f ca="1">(U116/(N_9*U$27*U118*U122))*SQRT(M*'Valve Sizing'!$W$6*'Valve Sizing'!$G$8/U121)</f>
        <v>5.0249533309933367</v>
      </c>
      <c r="V123" s="111"/>
      <c r="W123" s="28"/>
      <c r="X123" s="96">
        <f ca="1">(X116/(N_9*X$27*X118*X122))*SQRT(M*'Valve Sizing'!$W$6*'Valve Sizing'!$G$8/X121)</f>
        <v>12.387790382687609</v>
      </c>
      <c r="Y123" s="111"/>
      <c r="Z123" s="28"/>
      <c r="AA123" s="96">
        <f ca="1">(AA116/(N_9*AA$27*AA118*AA122))*SQRT(M*'Valve Sizing'!$W$6*'Valve Sizing'!$G$8/AA121)</f>
        <v>24.546584626723586</v>
      </c>
      <c r="AB123" s="111"/>
      <c r="AC123" s="28"/>
      <c r="AD123" s="96">
        <f ca="1">(AD116/(N_9*AD$27*AD118*AD122))*SQRT(M*'Valve Sizing'!$W$6*'Valve Sizing'!$G$8/AD121)</f>
        <v>42.847318534031075</v>
      </c>
      <c r="AE123" s="111"/>
      <c r="AF123" s="28"/>
      <c r="AG123" s="96">
        <f ca="1">(AG116/(N_9*AG$27*AG118*AG122))*SQRT(M*'Valve Sizing'!$W$6*'Valve Sizing'!$G$8/AG121)</f>
        <v>67.252039004200427</v>
      </c>
      <c r="AH123" s="111"/>
      <c r="AI123" s="28"/>
      <c r="AJ123" s="96">
        <f ca="1">(AJ116/(N_9*AJ$27*AJ118*AJ122))*SQRT(M*'Valve Sizing'!$W$6*'Valve Sizing'!$G$8/AJ121)</f>
        <v>100.27939251055473</v>
      </c>
      <c r="AK123" s="111"/>
      <c r="AL123" s="28"/>
      <c r="AM123" s="96">
        <f ca="1">(AM116/(N_9*AM$27*AM118*AM122))*SQRT(M*'Valve Sizing'!$W$6*'Valve Sizing'!$G$8/AM121)</f>
        <v>143.09497623519906</v>
      </c>
      <c r="AN123" s="111"/>
      <c r="AO123" s="28"/>
      <c r="AP123" s="96">
        <f ca="1">(AP116/(N_9*AP$27*AP118*AP122))*SQRT(M*'Valve Sizing'!$W$6*'Valve Sizing'!$G$8/AP121)</f>
        <v>200.18053677577845</v>
      </c>
      <c r="AQ123" s="111"/>
      <c r="AR123" s="28"/>
      <c r="AS123" s="96">
        <f ca="1">(AS116/(N_9*AS$27*AS118*AS122))*SQRT(M*'Valve Sizing'!$W$6*'Valve Sizing'!$G$8/AS121)</f>
        <v>401.26544191402633</v>
      </c>
      <c r="AT123" s="111"/>
      <c r="AU123" s="28"/>
    </row>
    <row r="124" spans="15:47" x14ac:dyDescent="0.25">
      <c r="O124" s="2" t="s">
        <v>59</v>
      </c>
      <c r="P124" s="143">
        <v>7</v>
      </c>
      <c r="Q124" s="2"/>
      <c r="R124" s="96">
        <f ca="1">(R116/(N_9*R$27*R118*0.667))*SQRT(M*'Valve Sizing'!$W$6*'Valve Sizing'!$G$8/R125)</f>
        <v>0.12972194143603183</v>
      </c>
      <c r="S124" s="107"/>
      <c r="T124" s="22"/>
      <c r="U124" s="96">
        <f ca="1">(U116/(N_9*U$27*U118*0.667))*SQRT(M*'Valve Sizing'!$W$6*'Valve Sizing'!$G$8/U125)</f>
        <v>4.4971960927905652</v>
      </c>
      <c r="V124" s="111"/>
      <c r="W124" s="28"/>
      <c r="X124" s="96">
        <f ca="1">(X116/(N_9*X$27*X118*0.667))*SQRT(M*'Valve Sizing'!$W$6*'Valve Sizing'!$G$8/X125)</f>
        <v>11.107097209234203</v>
      </c>
      <c r="Y124" s="111"/>
      <c r="Z124" s="28"/>
      <c r="AA124" s="96">
        <f ca="1">(AA116/(N_9*AA$27*AA118*0.667))*SQRT(M*'Valve Sizing'!$W$6*'Valve Sizing'!$G$8/AA125)</f>
        <v>22.030445302238089</v>
      </c>
      <c r="AB124" s="111"/>
      <c r="AC124" s="28"/>
      <c r="AD124" s="96">
        <f ca="1">(AD116/(N_9*AD$27*AD118*0.667))*SQRT(M*'Valve Sizing'!$W$6*'Valve Sizing'!$G$8/AD125)</f>
        <v>38.493521465640427</v>
      </c>
      <c r="AE124" s="111"/>
      <c r="AF124" s="28"/>
      <c r="AG124" s="96">
        <f ca="1">(AG116/(N_9*AG$27*AG118*0.667))*SQRT(M*'Valve Sizing'!$W$6*'Valve Sizing'!$G$8/AG125)</f>
        <v>60.540794877584077</v>
      </c>
      <c r="AH124" s="111"/>
      <c r="AI124" s="28"/>
      <c r="AJ124" s="96">
        <f ca="1">(AJ116/(N_9*AJ$27*AJ118*0.667))*SQRT(M*'Valve Sizing'!$W$6*'Valve Sizing'!$G$8/AJ125)</f>
        <v>89.954034367274105</v>
      </c>
      <c r="AK124" s="111"/>
      <c r="AL124" s="28"/>
      <c r="AM124" s="96">
        <f ca="1">(AM116/(N_9*AM$27*AM118*0.667))*SQRT(M*'Valve Sizing'!$W$6*'Valve Sizing'!$G$8/AM125)</f>
        <v>128.28730054722178</v>
      </c>
      <c r="AN124" s="111"/>
      <c r="AO124" s="28"/>
      <c r="AP124" s="96">
        <f ca="1">(AP116/(N_9*AP$27*AP118*0.667))*SQRT(M*'Valve Sizing'!$W$6*'Valve Sizing'!$G$8/AP125)</f>
        <v>159.18847005760014</v>
      </c>
      <c r="AQ124" s="111"/>
      <c r="AR124" s="28"/>
      <c r="AS124" s="96">
        <f ca="1">(AS116/(N_9*AS$27*AS118*0.667))*SQRT(M*'Valve Sizing'!$W$6*'Valve Sizing'!$G$8/AS125)</f>
        <v>335.62241584718788</v>
      </c>
      <c r="AT124" s="111"/>
      <c r="AU124" s="28"/>
    </row>
    <row r="125" spans="15:47" ht="15.6" x14ac:dyDescent="0.35">
      <c r="O125" s="2" t="s">
        <v>68</v>
      </c>
      <c r="P125" s="143">
        <v>10</v>
      </c>
      <c r="Q125" s="2"/>
      <c r="R125" s="96">
        <f ca="1">F_GAMMA*R$29</f>
        <v>0.64002969751372984</v>
      </c>
      <c r="S125" s="107"/>
      <c r="T125" s="1"/>
      <c r="U125" s="96">
        <f ca="1">F_GAMMA*U$29</f>
        <v>0.64017842058782071</v>
      </c>
      <c r="V125" s="111"/>
      <c r="W125" s="28"/>
      <c r="X125" s="96">
        <f ca="1">F_GAMMA*X$29</f>
        <v>0.63413873724904268</v>
      </c>
      <c r="Y125" s="111"/>
      <c r="Z125" s="28"/>
      <c r="AA125" s="96">
        <f ca="1">F_GAMMA*AA$29</f>
        <v>0.62532411750377137</v>
      </c>
      <c r="AB125" s="111"/>
      <c r="AC125" s="28"/>
      <c r="AD125" s="96">
        <f ca="1">F_GAMMA*AD$29</f>
        <v>0.60651359509139569</v>
      </c>
      <c r="AE125" s="111"/>
      <c r="AF125" s="28"/>
      <c r="AG125" s="96">
        <f ca="1">F_GAMMA*AG$29</f>
        <v>0.57217930198481592</v>
      </c>
      <c r="AH125" s="111"/>
      <c r="AI125" s="28"/>
      <c r="AJ125" s="96">
        <f ca="1">F_GAMMA*AJ$29</f>
        <v>0.53183282018848232</v>
      </c>
      <c r="AK125" s="111"/>
      <c r="AL125" s="28"/>
      <c r="AM125" s="96">
        <f ca="1">F_GAMMA*AM$29</f>
        <v>0.47566512503094399</v>
      </c>
      <c r="AN125" s="111"/>
      <c r="AO125" s="28"/>
      <c r="AP125" s="96">
        <f ca="1">F_GAMMA*AP$29</f>
        <v>0.59054158265645496</v>
      </c>
      <c r="AQ125" s="111"/>
      <c r="AR125" s="28"/>
      <c r="AS125" s="96">
        <f ca="1">F_GAMMA*AS$29</f>
        <v>0.3766899554102966</v>
      </c>
      <c r="AT125" s="111"/>
      <c r="AU125" s="28"/>
    </row>
    <row r="126" spans="15:47" x14ac:dyDescent="0.25">
      <c r="O126" s="2" t="s">
        <v>145</v>
      </c>
      <c r="P126" s="12"/>
      <c r="Q126" s="2"/>
      <c r="R126" s="96">
        <f ca="1">IF(R121&lt;R125,R123,R124)</f>
        <v>0.14490941834429097</v>
      </c>
      <c r="S126" s="116"/>
      <c r="T126" s="1"/>
      <c r="U126" s="96">
        <f ca="1">IF(U121&lt;U125,U123,U124)</f>
        <v>5.0249533309933367</v>
      </c>
      <c r="V126" s="111"/>
      <c r="W126" s="28"/>
      <c r="X126" s="96">
        <f ca="1">IF(X121&lt;X125,X123,X124)</f>
        <v>12.387790382687609</v>
      </c>
      <c r="Y126" s="111"/>
      <c r="Z126" s="28"/>
      <c r="AA126" s="96">
        <f ca="1">IF(AA121&lt;AA125,AA123,AA124)</f>
        <v>24.546584626723586</v>
      </c>
      <c r="AB126" s="111"/>
      <c r="AC126" s="28"/>
      <c r="AD126" s="96">
        <f ca="1">IF(AD121&lt;AD125,AD123,AD124)</f>
        <v>42.847318534031075</v>
      </c>
      <c r="AE126" s="111"/>
      <c r="AF126" s="28"/>
      <c r="AG126" s="96">
        <f ca="1">IF(AG121&lt;AG125,AG123,AG124)</f>
        <v>67.252039004200427</v>
      </c>
      <c r="AH126" s="111"/>
      <c r="AI126" s="28"/>
      <c r="AJ126" s="96">
        <f ca="1">IF(AJ121&lt;AJ125,AJ123,AJ124)</f>
        <v>100.27939251055473</v>
      </c>
      <c r="AK126" s="111"/>
      <c r="AL126" s="28"/>
      <c r="AM126" s="96">
        <f ca="1">IF(AM121&lt;AM125,AM123,AM124)</f>
        <v>143.09497623519906</v>
      </c>
      <c r="AN126" s="111"/>
      <c r="AO126" s="28"/>
      <c r="AP126" s="96">
        <f ca="1">IF(AP121&lt;AP125,AP123,AP124)</f>
        <v>200.18053677577845</v>
      </c>
      <c r="AQ126" s="111"/>
      <c r="AR126" s="28"/>
      <c r="AS126" s="96">
        <f ca="1">IF(AS121&lt;AS125,AS123,AS124)</f>
        <v>401.26544191402633</v>
      </c>
      <c r="AT126" s="111"/>
      <c r="AU126" s="28"/>
    </row>
    <row r="127" spans="15:47" x14ac:dyDescent="0.25">
      <c r="O127" s="13" t="s">
        <v>143</v>
      </c>
      <c r="P127" s="1"/>
      <c r="Q127" s="1"/>
      <c r="R127" s="113"/>
      <c r="S127" s="106">
        <f ca="1">IF(R120&lt;=0,Q_max,ABS(R$23-R126))</f>
        <v>4.5850905816557095</v>
      </c>
      <c r="T127" s="7">
        <f>R116</f>
        <v>358.8291316500883</v>
      </c>
      <c r="U127" s="98"/>
      <c r="V127" s="106">
        <f ca="1">IF(U120&lt;=0,Q_max,ABS(U$23-U126))</f>
        <v>6.5750466690066629</v>
      </c>
      <c r="W127" s="9">
        <f ca="1">U116</f>
        <v>12429.285587891218</v>
      </c>
      <c r="X127" s="98"/>
      <c r="Y127" s="106">
        <f ca="1">IF(X120&lt;=0,Q_max,ABS(X$23-X126))</f>
        <v>10.612209617312391</v>
      </c>
      <c r="Z127" s="9">
        <f ca="1">X116</f>
        <v>30434.754813047908</v>
      </c>
      <c r="AA127" s="98"/>
      <c r="AB127" s="106">
        <f ca="1">IF(AA120&lt;=0,Q_max,ABS(AA$23-AA126))</f>
        <v>14.853415373276412</v>
      </c>
      <c r="AC127" s="9">
        <f ca="1">AA116</f>
        <v>59279.134044245009</v>
      </c>
      <c r="AD127" s="98"/>
      <c r="AE127" s="106">
        <f ca="1">IF(AD120&lt;=0,Q_max,ABS(AD$23-AD126))</f>
        <v>18.152681465968925</v>
      </c>
      <c r="AF127" s="9">
        <f ca="1">AD116</f>
        <v>99451.946459946717</v>
      </c>
      <c r="AG127" s="98"/>
      <c r="AH127" s="106">
        <f ca="1">IF(AG120&lt;=0,Q_max,ABS(AG$23-AG126))</f>
        <v>20.947960995799576</v>
      </c>
      <c r="AI127" s="9">
        <f ca="1">AG116</f>
        <v>145152.82454560552</v>
      </c>
      <c r="AJ127" s="98"/>
      <c r="AK127" s="106">
        <f ca="1">IF(AJ120&lt;=0,Q_max,ABS(AJ$23-AJ126))</f>
        <v>20.720607489445271</v>
      </c>
      <c r="AL127" s="9">
        <f ca="1">AJ116</f>
        <v>193707.00705079411</v>
      </c>
      <c r="AM127" s="98"/>
      <c r="AN127" s="106">
        <f ca="1">IF(AM120&lt;=0,Q_max,ABS(AM$23-AM126))</f>
        <v>21.905023764800944</v>
      </c>
      <c r="AO127" s="9">
        <f ca="1">AM116</f>
        <v>236359.36067150958</v>
      </c>
      <c r="AP127" s="98"/>
      <c r="AQ127" s="106">
        <f ca="1">IF(AP120&lt;=0,Q_max,ABS(AP$23-AP126))</f>
        <v>45.81946322422155</v>
      </c>
      <c r="AR127" s="9">
        <f ca="1">AP116</f>
        <v>274405.88005072327</v>
      </c>
      <c r="AS127" s="98"/>
      <c r="AT127" s="106">
        <f ca="1">IF(AS120&lt;=0,Q_max,ABS(AS$23-AS126))</f>
        <v>18.734558085973674</v>
      </c>
      <c r="AU127" s="9">
        <f ca="1">AS116</f>
        <v>321762.47498897201</v>
      </c>
    </row>
    <row r="128" spans="15:47" x14ac:dyDescent="0.25">
      <c r="O128" s="21"/>
      <c r="P128" s="14"/>
      <c r="Q128" s="21"/>
      <c r="R128" s="97"/>
      <c r="S128" s="106"/>
      <c r="T128" s="28"/>
      <c r="U128" s="97"/>
      <c r="V128" s="111"/>
      <c r="W128" s="28"/>
      <c r="X128" s="97"/>
      <c r="Y128" s="111"/>
      <c r="Z128" s="28"/>
      <c r="AA128" s="97"/>
      <c r="AB128" s="111"/>
      <c r="AC128" s="28"/>
      <c r="AD128" s="97"/>
      <c r="AE128" s="111"/>
      <c r="AF128" s="28"/>
      <c r="AG128" s="97"/>
      <c r="AH128" s="111"/>
      <c r="AI128" s="28"/>
      <c r="AJ128" s="97"/>
      <c r="AK128" s="111"/>
      <c r="AL128" s="28"/>
      <c r="AM128" s="97"/>
      <c r="AN128" s="111"/>
      <c r="AO128" s="28"/>
      <c r="AP128" s="97"/>
      <c r="AQ128" s="111"/>
      <c r="AR128" s="28"/>
      <c r="AS128" s="97"/>
      <c r="AT128" s="111"/>
      <c r="AU128" s="28"/>
    </row>
    <row r="129" spans="15:47" x14ac:dyDescent="0.25">
      <c r="O129" s="1"/>
      <c r="P129" s="1"/>
      <c r="Q129" s="1"/>
      <c r="R129" s="98"/>
      <c r="S129" s="108" t="s">
        <v>137</v>
      </c>
      <c r="T129" s="26" t="s">
        <v>146</v>
      </c>
      <c r="U129" s="98"/>
      <c r="V129" s="108" t="s">
        <v>137</v>
      </c>
      <c r="W129" s="26" t="s">
        <v>146</v>
      </c>
      <c r="X129" s="98"/>
      <c r="Y129" s="108" t="s">
        <v>137</v>
      </c>
      <c r="Z129" s="26" t="s">
        <v>146</v>
      </c>
      <c r="AA129" s="98"/>
      <c r="AB129" s="108" t="s">
        <v>137</v>
      </c>
      <c r="AC129" s="26" t="s">
        <v>146</v>
      </c>
      <c r="AD129" s="98"/>
      <c r="AE129" s="108" t="s">
        <v>137</v>
      </c>
      <c r="AF129" s="26" t="s">
        <v>146</v>
      </c>
      <c r="AG129" s="98"/>
      <c r="AH129" s="108" t="s">
        <v>137</v>
      </c>
      <c r="AI129" s="26" t="s">
        <v>146</v>
      </c>
      <c r="AJ129" s="98"/>
      <c r="AK129" s="108" t="s">
        <v>137</v>
      </c>
      <c r="AL129" s="26" t="s">
        <v>146</v>
      </c>
      <c r="AM129" s="98"/>
      <c r="AN129" s="108" t="s">
        <v>137</v>
      </c>
      <c r="AO129" s="26" t="s">
        <v>146</v>
      </c>
      <c r="AP129" s="98"/>
      <c r="AQ129" s="108" t="s">
        <v>137</v>
      </c>
      <c r="AR129" s="26" t="s">
        <v>146</v>
      </c>
      <c r="AS129" s="98"/>
      <c r="AT129" s="108" t="s">
        <v>137</v>
      </c>
      <c r="AU129" s="26" t="s">
        <v>146</v>
      </c>
    </row>
    <row r="130" spans="15:47" ht="13.8" x14ac:dyDescent="0.25">
      <c r="O130" s="20" t="s">
        <v>136</v>
      </c>
      <c r="P130" s="1"/>
      <c r="Q130" s="1"/>
      <c r="R130" s="96">
        <f>R116*1.02</f>
        <v>366.00571428309007</v>
      </c>
      <c r="S130" s="109" t="s">
        <v>144</v>
      </c>
      <c r="T130" s="23" t="s">
        <v>147</v>
      </c>
      <c r="U130" s="96">
        <f ca="1">U116*1.01</f>
        <v>12553.57844377013</v>
      </c>
      <c r="V130" s="109" t="s">
        <v>144</v>
      </c>
      <c r="W130" s="23" t="s">
        <v>147</v>
      </c>
      <c r="X130" s="96">
        <f ca="1">X116*1.01</f>
        <v>30739.102361178386</v>
      </c>
      <c r="Y130" s="109" t="s">
        <v>144</v>
      </c>
      <c r="Z130" s="23" t="s">
        <v>147</v>
      </c>
      <c r="AA130" s="96">
        <f ca="1">AA116*1.01</f>
        <v>59871.925384687456</v>
      </c>
      <c r="AB130" s="109" t="s">
        <v>144</v>
      </c>
      <c r="AC130" s="23" t="s">
        <v>147</v>
      </c>
      <c r="AD130" s="96">
        <f ca="1">AD116*1.01</f>
        <v>100446.46592454618</v>
      </c>
      <c r="AE130" s="109" t="s">
        <v>144</v>
      </c>
      <c r="AF130" s="23" t="s">
        <v>147</v>
      </c>
      <c r="AG130" s="96">
        <f ca="1">AG116*1.01</f>
        <v>146604.35279106157</v>
      </c>
      <c r="AH130" s="109" t="s">
        <v>144</v>
      </c>
      <c r="AI130" s="23" t="s">
        <v>147</v>
      </c>
      <c r="AJ130" s="96">
        <f ca="1">AJ116*1.01</f>
        <v>195644.07712130205</v>
      </c>
      <c r="AK130" s="109" t="s">
        <v>144</v>
      </c>
      <c r="AL130" s="23" t="s">
        <v>147</v>
      </c>
      <c r="AM130" s="96">
        <f ca="1">AM116*1.01</f>
        <v>238722.95427822467</v>
      </c>
      <c r="AN130" s="109" t="s">
        <v>144</v>
      </c>
      <c r="AO130" s="23" t="s">
        <v>147</v>
      </c>
      <c r="AP130" s="96">
        <f ca="1">AP116*1.01</f>
        <v>277149.93885123049</v>
      </c>
      <c r="AQ130" s="109" t="s">
        <v>144</v>
      </c>
      <c r="AR130" s="23" t="s">
        <v>147</v>
      </c>
      <c r="AS130" s="96">
        <f ca="1">AS116*1.01</f>
        <v>324980.09973886173</v>
      </c>
      <c r="AT130" s="109" t="s">
        <v>144</v>
      </c>
      <c r="AU130" s="23" t="s">
        <v>147</v>
      </c>
    </row>
    <row r="131" spans="15:47" x14ac:dyDescent="0.25">
      <c r="O131" s="1"/>
      <c r="P131" s="1"/>
      <c r="Q131" s="1"/>
      <c r="R131" s="98"/>
      <c r="S131" s="107"/>
      <c r="T131" s="1"/>
      <c r="U131" s="47"/>
      <c r="V131" s="107"/>
      <c r="W131" s="1"/>
      <c r="X131" s="47"/>
      <c r="Y131" s="107"/>
      <c r="Z131" s="1"/>
      <c r="AA131" s="47"/>
      <c r="AB131" s="107"/>
      <c r="AC131" s="1"/>
      <c r="AD131" s="47"/>
      <c r="AE131" s="107"/>
      <c r="AF131" s="1"/>
      <c r="AG131" s="47"/>
      <c r="AH131" s="107"/>
      <c r="AI131" s="1"/>
      <c r="AJ131" s="47"/>
      <c r="AK131" s="107"/>
      <c r="AL131" s="1"/>
      <c r="AM131" s="47"/>
      <c r="AN131" s="107"/>
      <c r="AO131" s="1"/>
      <c r="AP131" s="47"/>
      <c r="AQ131" s="107"/>
      <c r="AR131" s="1"/>
      <c r="AS131" s="47"/>
      <c r="AT131" s="107"/>
      <c r="AU131" s="1"/>
    </row>
    <row r="132" spans="15:47" x14ac:dyDescent="0.25">
      <c r="O132" s="8" t="s">
        <v>132</v>
      </c>
      <c r="P132" s="8"/>
      <c r="Q132" s="8"/>
      <c r="R132" s="96">
        <f>P_1_minQ-(R130^2*R_up)+dpup_minQ</f>
        <v>90.18501611455055</v>
      </c>
      <c r="S132" s="106"/>
      <c r="T132" s="22"/>
      <c r="U132" s="96">
        <f ca="1">P_1_minQ-(U130^2*R_up)+dpup_minQ</f>
        <v>90.156317608273596</v>
      </c>
      <c r="V132" s="107"/>
      <c r="W132" s="1"/>
      <c r="X132" s="96">
        <f ca="1">P_1_minQ-(X130^2*R_up)+dpup_minQ</f>
        <v>90.012823577898203</v>
      </c>
      <c r="Y132" s="107"/>
      <c r="Z132" s="1"/>
      <c r="AA132" s="96">
        <f ca="1">P_1_minQ-(AA130^2*R_up)+dpup_minQ</f>
        <v>89.531699419817016</v>
      </c>
      <c r="AB132" s="107"/>
      <c r="AC132" s="1"/>
      <c r="AD132" s="96">
        <f ca="1">P_1_minQ-(AD130^2*R_up)+dpup_minQ</f>
        <v>88.346120430599569</v>
      </c>
      <c r="AE132" s="107"/>
      <c r="AF132" s="1"/>
      <c r="AG132" s="96">
        <f ca="1">P_1_minQ-(AG130^2*R_up)+dpup_minQ</f>
        <v>86.267736609706773</v>
      </c>
      <c r="AH132" s="107"/>
      <c r="AI132" s="1"/>
      <c r="AJ132" s="96">
        <f ca="1">P_1_minQ-(AJ130^2*R_up)+dpup_minQ</f>
        <v>83.208711641192565</v>
      </c>
      <c r="AK132" s="107"/>
      <c r="AL132" s="1"/>
      <c r="AM132" s="96">
        <f ca="1">P_1_minQ-(AM130^2*R_up)+dpup_minQ</f>
        <v>79.79823745374587</v>
      </c>
      <c r="AN132" s="107"/>
      <c r="AO132" s="1"/>
      <c r="AP132" s="96">
        <f ca="1">P_1_minQ-(AP130^2*R_up)+dpup_minQ</f>
        <v>76.185199269805494</v>
      </c>
      <c r="AQ132" s="107"/>
      <c r="AR132" s="1"/>
      <c r="AS132" s="96">
        <f ca="1">P_1_minQ-(AS130^2*R_up)+dpup_minQ</f>
        <v>70.936089288284705</v>
      </c>
      <c r="AT132" s="107"/>
      <c r="AU132" s="1"/>
    </row>
    <row r="133" spans="15:47" x14ac:dyDescent="0.25">
      <c r="O133" s="8" t="s">
        <v>134</v>
      </c>
      <c r="P133" s="1"/>
      <c r="Q133" s="8"/>
      <c r="R133" s="97">
        <f>P_2_minQ+(R130^2*R_dn)-dpdn_minQ</f>
        <v>60</v>
      </c>
      <c r="S133" s="106"/>
      <c r="T133" s="22"/>
      <c r="U133" s="97">
        <f ca="1">P_2_minQ+(U130^2*R_dn)-dpdn_minQ</f>
        <v>60</v>
      </c>
      <c r="V133" s="107"/>
      <c r="W133" s="1"/>
      <c r="X133" s="97">
        <f ca="1">P_2_minQ+(X130^2*R_dn)-dpdn_minQ</f>
        <v>60</v>
      </c>
      <c r="Y133" s="107"/>
      <c r="Z133" s="1"/>
      <c r="AA133" s="97">
        <f ca="1">P_2_minQ+(AA130^2*R_dn)-dpdn_minQ</f>
        <v>60</v>
      </c>
      <c r="AB133" s="107"/>
      <c r="AC133" s="1"/>
      <c r="AD133" s="97">
        <f ca="1">P_2_minQ+(AD130^2*R_dn)-dpdn_minQ</f>
        <v>60</v>
      </c>
      <c r="AE133" s="107"/>
      <c r="AF133" s="1"/>
      <c r="AG133" s="97">
        <f ca="1">P_2_minQ+(AG130^2*R_dn)-dpdn_minQ</f>
        <v>60</v>
      </c>
      <c r="AH133" s="107"/>
      <c r="AI133" s="1"/>
      <c r="AJ133" s="97">
        <f ca="1">P_2_minQ+(AJ130^2*R_dn)-dpdn_minQ</f>
        <v>60</v>
      </c>
      <c r="AK133" s="107"/>
      <c r="AL133" s="1"/>
      <c r="AM133" s="97">
        <f ca="1">P_2_minQ+(AM130^2*R_dn)-dpdn_minQ</f>
        <v>60</v>
      </c>
      <c r="AN133" s="107"/>
      <c r="AO133" s="1"/>
      <c r="AP133" s="97">
        <f ca="1">P_2_minQ+(AP130^2*R_dn)-dpdn_minQ</f>
        <v>60</v>
      </c>
      <c r="AQ133" s="107"/>
      <c r="AR133" s="1"/>
      <c r="AS133" s="97">
        <f ca="1">P_2_minQ+(AS130^2*R_dn)-dpdn_minQ</f>
        <v>60</v>
      </c>
      <c r="AT133" s="107"/>
      <c r="AU133" s="1"/>
    </row>
    <row r="134" spans="15:47" x14ac:dyDescent="0.25">
      <c r="O134" s="8" t="s">
        <v>138</v>
      </c>
      <c r="P134" s="1"/>
      <c r="Q134" s="8"/>
      <c r="R134" s="97">
        <f>R132-R133</f>
        <v>30.18501611455055</v>
      </c>
      <c r="S134" s="106"/>
      <c r="T134" s="22"/>
      <c r="U134" s="97">
        <f ca="1">U132-U133</f>
        <v>30.156317608273596</v>
      </c>
      <c r="V134" s="110"/>
      <c r="W134" s="25"/>
      <c r="X134" s="97">
        <f ca="1">X132-X133</f>
        <v>30.012823577898203</v>
      </c>
      <c r="Y134" s="110"/>
      <c r="Z134" s="25"/>
      <c r="AA134" s="97">
        <f ca="1">AA132-AA133</f>
        <v>29.531699419817016</v>
      </c>
      <c r="AB134" s="110"/>
      <c r="AC134" s="25"/>
      <c r="AD134" s="97">
        <f ca="1">AD132-AD133</f>
        <v>28.346120430599569</v>
      </c>
      <c r="AE134" s="110"/>
      <c r="AF134" s="25"/>
      <c r="AG134" s="97">
        <f ca="1">AG132-AG133</f>
        <v>26.267736609706773</v>
      </c>
      <c r="AH134" s="110"/>
      <c r="AI134" s="25"/>
      <c r="AJ134" s="97">
        <f ca="1">AJ132-AJ133</f>
        <v>23.208711641192565</v>
      </c>
      <c r="AK134" s="110"/>
      <c r="AL134" s="25"/>
      <c r="AM134" s="97">
        <f ca="1">AM132-AM133</f>
        <v>19.79823745374587</v>
      </c>
      <c r="AN134" s="110"/>
      <c r="AO134" s="25"/>
      <c r="AP134" s="97">
        <f ca="1">AP132-AP133</f>
        <v>16.185199269805494</v>
      </c>
      <c r="AQ134" s="110"/>
      <c r="AR134" s="25"/>
      <c r="AS134" s="97">
        <f ca="1">AS132-AS133</f>
        <v>10.936089288284705</v>
      </c>
      <c r="AT134" s="110"/>
      <c r="AU134" s="25"/>
    </row>
    <row r="135" spans="15:47" ht="14.4" x14ac:dyDescent="0.3">
      <c r="O135" s="2" t="s">
        <v>140</v>
      </c>
      <c r="P135" s="11"/>
      <c r="Q135" s="2"/>
      <c r="R135" s="96">
        <f>R134/R132</f>
        <v>0.33470101148743342</v>
      </c>
      <c r="S135" s="106"/>
      <c r="T135" s="22"/>
      <c r="U135" s="96">
        <f ca="1">U134/U132</f>
        <v>0.33448923390262969</v>
      </c>
      <c r="V135" s="111"/>
      <c r="W135" s="28"/>
      <c r="X135" s="96">
        <f ca="1">X134/X132</f>
        <v>0.33342830926667616</v>
      </c>
      <c r="Y135" s="111"/>
      <c r="Z135" s="28"/>
      <c r="AA135" s="96">
        <f ca="1">AA134/AA132</f>
        <v>0.3298462959062346</v>
      </c>
      <c r="AB135" s="111"/>
      <c r="AC135" s="28"/>
      <c r="AD135" s="96">
        <f ca="1">AD134/AD132</f>
        <v>0.32085303001920618</v>
      </c>
      <c r="AE135" s="111"/>
      <c r="AF135" s="28"/>
      <c r="AG135" s="96">
        <f ca="1">AG134/AG132</f>
        <v>0.30449085187603209</v>
      </c>
      <c r="AH135" s="111"/>
      <c r="AI135" s="28"/>
      <c r="AJ135" s="96">
        <f ca="1">AJ134/AJ132</f>
        <v>0.27892165595919488</v>
      </c>
      <c r="AK135" s="111"/>
      <c r="AL135" s="28"/>
      <c r="AM135" s="96">
        <f ca="1">AM134/AM132</f>
        <v>0.24810369358372972</v>
      </c>
      <c r="AN135" s="111"/>
      <c r="AO135" s="28"/>
      <c r="AP135" s="96">
        <f ca="1">AP134/AP132</f>
        <v>0.21244545429994274</v>
      </c>
      <c r="AQ135" s="111"/>
      <c r="AR135" s="28"/>
      <c r="AS135" s="96">
        <f ca="1">AS134/AS132</f>
        <v>0.1541682012359093</v>
      </c>
      <c r="AT135" s="111"/>
      <c r="AU135" s="28"/>
    </row>
    <row r="136" spans="15:47" x14ac:dyDescent="0.25">
      <c r="O136" s="2" t="s">
        <v>21</v>
      </c>
      <c r="P136" s="8">
        <v>12</v>
      </c>
      <c r="Q136" s="2"/>
      <c r="R136" s="96">
        <f ca="1">1-R135/(3*F_GAMMA*R$29)</f>
        <v>0.82568464516171747</v>
      </c>
      <c r="S136" s="106"/>
      <c r="T136" s="22"/>
      <c r="U136" s="96">
        <f ca="1">1-U135/(3*F_GAMMA*U$29)</f>
        <v>0.82583541132408211</v>
      </c>
      <c r="V136" s="111"/>
      <c r="W136" s="28"/>
      <c r="X136" s="96">
        <f ca="1">1-X135/(3*F_GAMMA*X$29)</f>
        <v>0.82473429988253488</v>
      </c>
      <c r="Y136" s="111"/>
      <c r="Z136" s="28"/>
      <c r="AA136" s="96">
        <f ca="1">1-AA135/(3*F_GAMMA*AA$29)</f>
        <v>0.82417315720848539</v>
      </c>
      <c r="AB136" s="111"/>
      <c r="AC136" s="28"/>
      <c r="AD136" s="96">
        <f ca="1">1-AD135/(3*F_GAMMA*AD$29)</f>
        <v>0.82366263366234094</v>
      </c>
      <c r="AE136" s="111"/>
      <c r="AF136" s="28"/>
      <c r="AG136" s="96">
        <f ca="1">1-AG135/(3*F_GAMMA*AG$29)</f>
        <v>0.82261338312437338</v>
      </c>
      <c r="AH136" s="111"/>
      <c r="AI136" s="28"/>
      <c r="AJ136" s="96">
        <f ca="1">1-AJ135/(3*F_GAMMA*AJ$29)</f>
        <v>0.82518212154191328</v>
      </c>
      <c r="AK136" s="111"/>
      <c r="AL136" s="28"/>
      <c r="AM136" s="96">
        <f ca="1">1-AM135/(3*F_GAMMA*AM$29)</f>
        <v>0.82613560077755011</v>
      </c>
      <c r="AN136" s="111"/>
      <c r="AO136" s="28"/>
      <c r="AP136" s="96">
        <f ca="1">1-AP135/(3*F_GAMMA*AP$29)</f>
        <v>0.88008439454040843</v>
      </c>
      <c r="AQ136" s="111"/>
      <c r="AR136" s="28"/>
      <c r="AS136" s="96">
        <f ca="1">1-AS135/(3*F_GAMMA*AS$29)</f>
        <v>0.86357639837782341</v>
      </c>
      <c r="AT136" s="111"/>
      <c r="AU136" s="28"/>
    </row>
    <row r="137" spans="15:47" x14ac:dyDescent="0.25">
      <c r="O137" s="2" t="s">
        <v>57</v>
      </c>
      <c r="P137" s="143">
        <v>7</v>
      </c>
      <c r="Q137" s="2"/>
      <c r="R137" s="96">
        <f ca="1">(R130/(N_9*R$27*R132*R136))*SQRT(M*'Valve Sizing'!$W$6*'Valve Sizing'!$G$8/R135)</f>
        <v>0.14780760915730864</v>
      </c>
      <c r="S137" s="107"/>
      <c r="T137" s="22"/>
      <c r="U137" s="96">
        <f ca="1">(U130/(N_9*U$27*U132*U136))*SQRT(M*'Valve Sizing'!$W$6*'Valve Sizing'!$G$8/U135)</f>
        <v>5.0752530496356272</v>
      </c>
      <c r="V137" s="111"/>
      <c r="W137" s="28"/>
      <c r="X137" s="96">
        <f ca="1">(X130/(N_9*X$27*X132*X136))*SQRT(M*'Valve Sizing'!$W$6*'Valve Sizing'!$G$8/X135)</f>
        <v>12.51241102646938</v>
      </c>
      <c r="Y137" s="111"/>
      <c r="Z137" s="28"/>
      <c r="AA137" s="96">
        <f ca="1">(AA130/(N_9*AA$27*AA132*AA136))*SQRT(M*'Valve Sizing'!$W$6*'Valve Sizing'!$G$8/AA135)</f>
        <v>24.797690901928721</v>
      </c>
      <c r="AB137" s="111"/>
      <c r="AC137" s="28"/>
      <c r="AD137" s="96">
        <f ca="1">(AD130/(N_9*AD$27*AD132*AD136))*SQRT(M*'Valve Sizing'!$W$6*'Valve Sizing'!$G$8/AD135)</f>
        <v>43.304274570053174</v>
      </c>
      <c r="AE137" s="111"/>
      <c r="AF137" s="28"/>
      <c r="AG137" s="96">
        <f ca="1">(AG130/(N_9*AG$27*AG132*AG136))*SQRT(M*'Valve Sizing'!$W$6*'Valve Sizing'!$G$8/AG135)</f>
        <v>68.024742362432718</v>
      </c>
      <c r="AH137" s="111"/>
      <c r="AI137" s="28"/>
      <c r="AJ137" s="96">
        <f ca="1">(AJ130/(N_9*AJ$27*AJ132*AJ136))*SQRT(M*'Valve Sizing'!$W$6*'Valve Sizing'!$G$8/AJ135)</f>
        <v>101.57372004955334</v>
      </c>
      <c r="AK137" s="111"/>
      <c r="AL137" s="28"/>
      <c r="AM137" s="96">
        <f ca="1">(AM130/(N_9*AM$27*AM132*AM136))*SQRT(M*'Valve Sizing'!$W$6*'Valve Sizing'!$G$8/AM135)</f>
        <v>145.2198554323511</v>
      </c>
      <c r="AN137" s="111"/>
      <c r="AO137" s="28"/>
      <c r="AP137" s="96">
        <f ca="1">(AP130/(N_9*AP$27*AP132*AP136))*SQRT(M*'Valve Sizing'!$W$6*'Valve Sizing'!$G$8/AP135)</f>
        <v>203.8945768704707</v>
      </c>
      <c r="AQ137" s="111"/>
      <c r="AR137" s="28"/>
      <c r="AS137" s="96">
        <f ca="1">(AS130/(N_9*AS$27*AS132*AS136))*SQRT(M*'Valve Sizing'!$W$6*'Valve Sizing'!$G$8/AS135)</f>
        <v>411.44133004018136</v>
      </c>
      <c r="AT137" s="111"/>
      <c r="AU137" s="28"/>
    </row>
    <row r="138" spans="15:47" x14ac:dyDescent="0.25">
      <c r="O138" s="2" t="s">
        <v>59</v>
      </c>
      <c r="P138" s="143">
        <v>7</v>
      </c>
      <c r="Q138" s="2"/>
      <c r="R138" s="96">
        <f ca="1">(R130/(N_9*R$27*R132*0.667))*SQRT(M*'Valve Sizing'!$W$6*'Valve Sizing'!$G$8/R139)</f>
        <v>0.13231638165576012</v>
      </c>
      <c r="S138" s="107"/>
      <c r="T138" s="22"/>
      <c r="U138" s="96">
        <f ca="1">(U130/(N_9*U$27*U132*0.667))*SQRT(M*'Valve Sizing'!$W$6*'Valve Sizing'!$G$8/U139)</f>
        <v>4.5421965671155435</v>
      </c>
      <c r="V138" s="111"/>
      <c r="W138" s="28"/>
      <c r="X138" s="96">
        <f ca="1">(X130/(N_9*X$27*X132*0.667))*SQRT(M*'Valve Sizing'!$W$6*'Valve Sizing'!$G$8/X139)</f>
        <v>11.218591090173902</v>
      </c>
      <c r="Y138" s="111"/>
      <c r="Z138" s="28"/>
      <c r="AA138" s="96">
        <f ca="1">(AA130/(N_9*AA$27*AA132*0.667))*SQRT(M*'Valve Sizing'!$W$6*'Valve Sizing'!$G$8/AA139)</f>
        <v>22.253949100577575</v>
      </c>
      <c r="AB138" s="111"/>
      <c r="AC138" s="28"/>
      <c r="AD138" s="96">
        <f ca="1">(AD130/(N_9*AD$27*AD132*0.667))*SQRT(M*'Valve Sizing'!$W$6*'Valve Sizing'!$G$8/AD139)</f>
        <v>38.894402164199782</v>
      </c>
      <c r="AE138" s="111"/>
      <c r="AF138" s="28"/>
      <c r="AG138" s="96">
        <f ca="1">(AG130/(N_9*AG$27*AG132*0.667))*SQRT(M*'Valve Sizing'!$W$6*'Valve Sizing'!$G$8/AG139)</f>
        <v>61.200912190339047</v>
      </c>
      <c r="AH138" s="111"/>
      <c r="AI138" s="28"/>
      <c r="AJ138" s="96">
        <f ca="1">(AJ130/(N_9*AJ$27*AJ132*0.667))*SQRT(M*'Valve Sizing'!$W$6*'Valve Sizing'!$G$8/AJ139)</f>
        <v>91.003665305660633</v>
      </c>
      <c r="AK138" s="111"/>
      <c r="AL138" s="28"/>
      <c r="AM138" s="96">
        <f ca="1">(AM130/(N_9*AM$27*AM132*0.667))*SQRT(M*'Valve Sizing'!$W$6*'Valve Sizing'!$G$8/AM139)</f>
        <v>129.90248626053418</v>
      </c>
      <c r="AN138" s="111"/>
      <c r="AO138" s="28"/>
      <c r="AP138" s="96">
        <f ca="1">(AP130/(N_9*AP$27*AP132*0.667))*SQRT(M*'Valve Sizing'!$W$6*'Valve Sizing'!$G$8/AP139)</f>
        <v>161.36250997818996</v>
      </c>
      <c r="AQ138" s="111"/>
      <c r="AR138" s="28"/>
      <c r="AS138" s="96">
        <f ca="1">(AS130/(N_9*AS$27*AS132*0.667))*SQRT(M*'Valve Sizing'!$W$6*'Valve Sizing'!$G$8/AS139)</f>
        <v>340.79108766270673</v>
      </c>
      <c r="AT138" s="111"/>
      <c r="AU138" s="28"/>
    </row>
    <row r="139" spans="15:47" ht="15.6" x14ac:dyDescent="0.35">
      <c r="O139" s="2" t="s">
        <v>68</v>
      </c>
      <c r="P139" s="143">
        <v>10</v>
      </c>
      <c r="Q139" s="2"/>
      <c r="R139" s="96">
        <f ca="1">F_GAMMA*R$29</f>
        <v>0.64002969751372984</v>
      </c>
      <c r="S139" s="107"/>
      <c r="T139" s="1"/>
      <c r="U139" s="96">
        <f ca="1">F_GAMMA*U$29</f>
        <v>0.64017842058782071</v>
      </c>
      <c r="V139" s="111"/>
      <c r="W139" s="28"/>
      <c r="X139" s="96">
        <f ca="1">F_GAMMA*X$29</f>
        <v>0.63413873724904268</v>
      </c>
      <c r="Y139" s="111"/>
      <c r="Z139" s="28"/>
      <c r="AA139" s="96">
        <f ca="1">F_GAMMA*AA$29</f>
        <v>0.62532411750377137</v>
      </c>
      <c r="AB139" s="111"/>
      <c r="AC139" s="28"/>
      <c r="AD139" s="96">
        <f ca="1">F_GAMMA*AD$29</f>
        <v>0.60651359509139569</v>
      </c>
      <c r="AE139" s="111"/>
      <c r="AF139" s="28"/>
      <c r="AG139" s="96">
        <f ca="1">F_GAMMA*AG$29</f>
        <v>0.57217930198481592</v>
      </c>
      <c r="AH139" s="111"/>
      <c r="AI139" s="28"/>
      <c r="AJ139" s="96">
        <f ca="1">F_GAMMA*AJ$29</f>
        <v>0.53183282018848232</v>
      </c>
      <c r="AK139" s="111"/>
      <c r="AL139" s="28"/>
      <c r="AM139" s="96">
        <f ca="1">F_GAMMA*AM$29</f>
        <v>0.47566512503094399</v>
      </c>
      <c r="AN139" s="111"/>
      <c r="AO139" s="28"/>
      <c r="AP139" s="96">
        <f ca="1">F_GAMMA*AP$29</f>
        <v>0.59054158265645496</v>
      </c>
      <c r="AQ139" s="111"/>
      <c r="AR139" s="28"/>
      <c r="AS139" s="96">
        <f ca="1">F_GAMMA*AS$29</f>
        <v>0.3766899554102966</v>
      </c>
      <c r="AT139" s="111"/>
      <c r="AU139" s="28"/>
    </row>
    <row r="140" spans="15:47" x14ac:dyDescent="0.25">
      <c r="O140" s="2" t="s">
        <v>145</v>
      </c>
      <c r="P140" s="12"/>
      <c r="Q140" s="2"/>
      <c r="R140" s="96">
        <f ca="1">IF(R135&lt;R139,R137,R138)</f>
        <v>0.14780760915730864</v>
      </c>
      <c r="S140" s="116"/>
      <c r="T140" s="1"/>
      <c r="U140" s="96">
        <f ca="1">IF(U135&lt;U139,U137,U138)</f>
        <v>5.0752530496356272</v>
      </c>
      <c r="V140" s="111"/>
      <c r="W140" s="28"/>
      <c r="X140" s="96">
        <f ca="1">IF(X135&lt;X139,X137,X138)</f>
        <v>12.51241102646938</v>
      </c>
      <c r="Y140" s="111"/>
      <c r="Z140" s="28"/>
      <c r="AA140" s="96">
        <f ca="1">IF(AA135&lt;AA139,AA137,AA138)</f>
        <v>24.797690901928721</v>
      </c>
      <c r="AB140" s="111"/>
      <c r="AC140" s="28"/>
      <c r="AD140" s="96">
        <f ca="1">IF(AD135&lt;AD139,AD137,AD138)</f>
        <v>43.304274570053174</v>
      </c>
      <c r="AE140" s="111"/>
      <c r="AF140" s="28"/>
      <c r="AG140" s="96">
        <f ca="1">IF(AG135&lt;AG139,AG137,AG138)</f>
        <v>68.024742362432718</v>
      </c>
      <c r="AH140" s="111"/>
      <c r="AI140" s="28"/>
      <c r="AJ140" s="96">
        <f ca="1">IF(AJ135&lt;AJ139,AJ137,AJ138)</f>
        <v>101.57372004955334</v>
      </c>
      <c r="AK140" s="111"/>
      <c r="AL140" s="28"/>
      <c r="AM140" s="96">
        <f ca="1">IF(AM135&lt;AM139,AM137,AM138)</f>
        <v>145.2198554323511</v>
      </c>
      <c r="AN140" s="111"/>
      <c r="AO140" s="28"/>
      <c r="AP140" s="96">
        <f ca="1">IF(AP135&lt;AP139,AP137,AP138)</f>
        <v>203.8945768704707</v>
      </c>
      <c r="AQ140" s="111"/>
      <c r="AR140" s="28"/>
      <c r="AS140" s="96">
        <f ca="1">IF(AS135&lt;AS139,AS137,AS138)</f>
        <v>411.44133004018136</v>
      </c>
      <c r="AT140" s="111"/>
      <c r="AU140" s="28"/>
    </row>
    <row r="141" spans="15:47" x14ac:dyDescent="0.25">
      <c r="O141" s="13" t="s">
        <v>143</v>
      </c>
      <c r="P141" s="1"/>
      <c r="Q141" s="1"/>
      <c r="R141" s="113"/>
      <c r="S141" s="106">
        <f ca="1">IF(R134&lt;=0,Q_max,ABS(R$23-R140))</f>
        <v>4.5821923908426916</v>
      </c>
      <c r="T141" s="7">
        <f>R130</f>
        <v>366.00571428309007</v>
      </c>
      <c r="U141" s="98"/>
      <c r="V141" s="106">
        <f ca="1">IF(U134&lt;=0,Q_max,ABS(U$23-U140))</f>
        <v>6.5247469503643725</v>
      </c>
      <c r="W141" s="9">
        <f ca="1">U130</f>
        <v>12553.57844377013</v>
      </c>
      <c r="X141" s="98"/>
      <c r="Y141" s="106">
        <f ca="1">IF(X134&lt;=0,Q_max,ABS(X$23-X140))</f>
        <v>10.48758897353062</v>
      </c>
      <c r="Z141" s="9">
        <f ca="1">X130</f>
        <v>30739.102361178386</v>
      </c>
      <c r="AA141" s="98"/>
      <c r="AB141" s="106">
        <f ca="1">IF(AA134&lt;=0,Q_max,ABS(AA$23-AA140))</f>
        <v>14.602309098071277</v>
      </c>
      <c r="AC141" s="9">
        <f ca="1">AA130</f>
        <v>59871.925384687456</v>
      </c>
      <c r="AD141" s="98"/>
      <c r="AE141" s="106">
        <f ca="1">IF(AD134&lt;=0,Q_max,ABS(AD$23-AD140))</f>
        <v>17.695725429946826</v>
      </c>
      <c r="AF141" s="9">
        <f ca="1">AD130</f>
        <v>100446.46592454618</v>
      </c>
      <c r="AG141" s="98"/>
      <c r="AH141" s="106">
        <f ca="1">IF(AG134&lt;=0,Q_max,ABS(AG$23-AG140))</f>
        <v>20.175257637567285</v>
      </c>
      <c r="AI141" s="9">
        <f ca="1">AG130</f>
        <v>146604.35279106157</v>
      </c>
      <c r="AJ141" s="98"/>
      <c r="AK141" s="106">
        <f ca="1">IF(AJ134&lt;=0,Q_max,ABS(AJ$23-AJ140))</f>
        <v>19.426279950446656</v>
      </c>
      <c r="AL141" s="9">
        <f ca="1">AJ130</f>
        <v>195644.07712130205</v>
      </c>
      <c r="AM141" s="98"/>
      <c r="AN141" s="106">
        <f ca="1">IF(AM134&lt;=0,Q_max,ABS(AM$23-AM140))</f>
        <v>19.780144567648904</v>
      </c>
      <c r="AO141" s="9">
        <f ca="1">AM130</f>
        <v>238722.95427822467</v>
      </c>
      <c r="AP141" s="98"/>
      <c r="AQ141" s="106">
        <f ca="1">IF(AP134&lt;=0,Q_max,ABS(AP$23-AP140))</f>
        <v>42.105423129529299</v>
      </c>
      <c r="AR141" s="9">
        <f ca="1">AP130</f>
        <v>277149.93885123049</v>
      </c>
      <c r="AS141" s="98"/>
      <c r="AT141" s="106">
        <f ca="1">IF(AS134&lt;=0,Q_max,ABS(AS$23-AS140))</f>
        <v>8.5586699598186442</v>
      </c>
      <c r="AU141" s="9">
        <f ca="1">AS130</f>
        <v>324980.09973886173</v>
      </c>
    </row>
    <row r="142" spans="15:47" x14ac:dyDescent="0.25">
      <c r="O142" s="21"/>
      <c r="P142" s="14"/>
      <c r="Q142" s="21"/>
      <c r="R142" s="97"/>
      <c r="S142" s="106"/>
      <c r="T142" s="28"/>
      <c r="U142" s="99"/>
      <c r="V142" s="110"/>
      <c r="W142" s="25"/>
      <c r="X142" s="99"/>
      <c r="Y142" s="110"/>
      <c r="Z142" s="25"/>
      <c r="AA142" s="99"/>
      <c r="AB142" s="110"/>
      <c r="AC142" s="25"/>
      <c r="AD142" s="99"/>
      <c r="AE142" s="110"/>
      <c r="AF142" s="25"/>
      <c r="AG142" s="99"/>
      <c r="AH142" s="110"/>
      <c r="AI142" s="25"/>
      <c r="AJ142" s="99"/>
      <c r="AK142" s="110"/>
      <c r="AL142" s="25"/>
      <c r="AM142" s="99"/>
      <c r="AN142" s="110"/>
      <c r="AO142" s="25"/>
      <c r="AP142" s="99"/>
      <c r="AQ142" s="110"/>
      <c r="AR142" s="25"/>
      <c r="AS142" s="99"/>
      <c r="AT142" s="110"/>
      <c r="AU142" s="25"/>
    </row>
    <row r="143" spans="15:47" x14ac:dyDescent="0.25">
      <c r="O143" s="1"/>
      <c r="P143" s="1"/>
      <c r="Q143" s="1"/>
      <c r="R143" s="98"/>
      <c r="S143" s="108" t="s">
        <v>137</v>
      </c>
      <c r="T143" s="26" t="s">
        <v>146</v>
      </c>
      <c r="U143" s="98"/>
      <c r="V143" s="108" t="s">
        <v>137</v>
      </c>
      <c r="W143" s="26" t="s">
        <v>146</v>
      </c>
      <c r="X143" s="98"/>
      <c r="Y143" s="108" t="s">
        <v>137</v>
      </c>
      <c r="Z143" s="26" t="s">
        <v>146</v>
      </c>
      <c r="AA143" s="98"/>
      <c r="AB143" s="108" t="s">
        <v>137</v>
      </c>
      <c r="AC143" s="26" t="s">
        <v>146</v>
      </c>
      <c r="AD143" s="98"/>
      <c r="AE143" s="108" t="s">
        <v>137</v>
      </c>
      <c r="AF143" s="26" t="s">
        <v>146</v>
      </c>
      <c r="AG143" s="98"/>
      <c r="AH143" s="108" t="s">
        <v>137</v>
      </c>
      <c r="AI143" s="26" t="s">
        <v>146</v>
      </c>
      <c r="AJ143" s="98"/>
      <c r="AK143" s="108" t="s">
        <v>137</v>
      </c>
      <c r="AL143" s="26" t="s">
        <v>146</v>
      </c>
      <c r="AM143" s="98"/>
      <c r="AN143" s="108" t="s">
        <v>137</v>
      </c>
      <c r="AO143" s="26" t="s">
        <v>146</v>
      </c>
      <c r="AP143" s="98"/>
      <c r="AQ143" s="108" t="s">
        <v>137</v>
      </c>
      <c r="AR143" s="26" t="s">
        <v>146</v>
      </c>
      <c r="AS143" s="98"/>
      <c r="AT143" s="108" t="s">
        <v>137</v>
      </c>
      <c r="AU143" s="26" t="s">
        <v>146</v>
      </c>
    </row>
    <row r="144" spans="15:47" ht="13.8" x14ac:dyDescent="0.25">
      <c r="O144" s="20" t="s">
        <v>136</v>
      </c>
      <c r="P144" s="1"/>
      <c r="Q144" s="1"/>
      <c r="R144" s="96">
        <f>R130*1.02</f>
        <v>373.32582856875189</v>
      </c>
      <c r="S144" s="109" t="s">
        <v>144</v>
      </c>
      <c r="T144" s="23" t="s">
        <v>147</v>
      </c>
      <c r="U144" s="96">
        <f ca="1">U130*1.01</f>
        <v>12679.114228207831</v>
      </c>
      <c r="V144" s="109" t="s">
        <v>144</v>
      </c>
      <c r="W144" s="23" t="s">
        <v>147</v>
      </c>
      <c r="X144" s="96">
        <f ca="1">X130*1.01</f>
        <v>31046.49338479017</v>
      </c>
      <c r="Y144" s="109" t="s">
        <v>144</v>
      </c>
      <c r="Z144" s="23" t="s">
        <v>147</v>
      </c>
      <c r="AA144" s="96">
        <f ca="1">AA130*1.01</f>
        <v>60470.64463853433</v>
      </c>
      <c r="AB144" s="109" t="s">
        <v>144</v>
      </c>
      <c r="AC144" s="23" t="s">
        <v>147</v>
      </c>
      <c r="AD144" s="96">
        <f ca="1">AD130*1.01</f>
        <v>101450.93058379165</v>
      </c>
      <c r="AE144" s="109" t="s">
        <v>144</v>
      </c>
      <c r="AF144" s="23" t="s">
        <v>147</v>
      </c>
      <c r="AG144" s="96">
        <f ca="1">AG130*1.01</f>
        <v>148070.3963189722</v>
      </c>
      <c r="AH144" s="109" t="s">
        <v>144</v>
      </c>
      <c r="AI144" s="23" t="s">
        <v>147</v>
      </c>
      <c r="AJ144" s="96">
        <f ca="1">AJ130*1.01</f>
        <v>197600.51789251508</v>
      </c>
      <c r="AK144" s="109" t="s">
        <v>144</v>
      </c>
      <c r="AL144" s="23" t="s">
        <v>147</v>
      </c>
      <c r="AM144" s="96">
        <f ca="1">AM130*1.01</f>
        <v>241110.18382100691</v>
      </c>
      <c r="AN144" s="109" t="s">
        <v>144</v>
      </c>
      <c r="AO144" s="23" t="s">
        <v>147</v>
      </c>
      <c r="AP144" s="96">
        <f ca="1">AP130*1.01</f>
        <v>279921.43823974277</v>
      </c>
      <c r="AQ144" s="109" t="s">
        <v>144</v>
      </c>
      <c r="AR144" s="23" t="s">
        <v>147</v>
      </c>
      <c r="AS144" s="96">
        <f ca="1">AS130*1.01</f>
        <v>328229.90073625033</v>
      </c>
      <c r="AT144" s="109" t="s">
        <v>144</v>
      </c>
      <c r="AU144" s="23" t="s">
        <v>147</v>
      </c>
    </row>
    <row r="145" spans="15:47" x14ac:dyDescent="0.25">
      <c r="O145" s="1"/>
      <c r="P145" s="1"/>
      <c r="Q145" s="1"/>
      <c r="R145" s="98"/>
      <c r="S145" s="107"/>
      <c r="T145" s="1"/>
      <c r="U145" s="47"/>
      <c r="V145" s="107"/>
      <c r="W145" s="1"/>
      <c r="X145" s="47"/>
      <c r="Y145" s="107"/>
      <c r="Z145" s="1"/>
      <c r="AA145" s="47"/>
      <c r="AB145" s="107"/>
      <c r="AC145" s="1"/>
      <c r="AD145" s="47"/>
      <c r="AE145" s="107"/>
      <c r="AF145" s="1"/>
      <c r="AG145" s="47"/>
      <c r="AH145" s="107"/>
      <c r="AI145" s="1"/>
      <c r="AJ145" s="47"/>
      <c r="AK145" s="107"/>
      <c r="AL145" s="1"/>
      <c r="AM145" s="47"/>
      <c r="AN145" s="107"/>
      <c r="AO145" s="1"/>
      <c r="AP145" s="47"/>
      <c r="AQ145" s="107"/>
      <c r="AR145" s="1"/>
      <c r="AS145" s="47"/>
      <c r="AT145" s="107"/>
      <c r="AU145" s="1"/>
    </row>
    <row r="146" spans="15:47" x14ac:dyDescent="0.25">
      <c r="O146" s="8" t="s">
        <v>132</v>
      </c>
      <c r="P146" s="8"/>
      <c r="Q146" s="8"/>
      <c r="R146" s="96">
        <f>P_1_minQ-(R144^2*R_up)+dpup_minQ</f>
        <v>90.185015128156067</v>
      </c>
      <c r="S146" s="106"/>
      <c r="T146" s="22"/>
      <c r="U146" s="96">
        <f ca="1">P_1_minQ-(U144^2*R_up)+dpup_minQ</f>
        <v>90.155740277541767</v>
      </c>
      <c r="V146" s="107"/>
      <c r="W146" s="1"/>
      <c r="X146" s="96">
        <f ca="1">P_1_minQ-(X144^2*R_up)+dpup_minQ</f>
        <v>90.009362017155809</v>
      </c>
      <c r="Y146" s="107"/>
      <c r="Z146" s="1"/>
      <c r="AA146" s="96">
        <f ca="1">P_1_minQ-(AA144^2*R_up)+dpup_minQ</f>
        <v>89.518567263497204</v>
      </c>
      <c r="AB146" s="107"/>
      <c r="AC146" s="1"/>
      <c r="AD146" s="96">
        <f ca="1">P_1_minQ-(AD144^2*R_up)+dpup_minQ</f>
        <v>88.309158136596494</v>
      </c>
      <c r="AE146" s="107"/>
      <c r="AF146" s="1"/>
      <c r="AG146" s="96">
        <f ca="1">P_1_minQ-(AG144^2*R_up)+dpup_minQ</f>
        <v>86.188998800903732</v>
      </c>
      <c r="AH146" s="107"/>
      <c r="AI146" s="1"/>
      <c r="AJ146" s="96">
        <f ca="1">P_1_minQ-(AJ144^2*R_up)+dpup_minQ</f>
        <v>83.068487430522396</v>
      </c>
      <c r="AK146" s="107"/>
      <c r="AL146" s="1"/>
      <c r="AM146" s="96">
        <f ca="1">P_1_minQ-(AM144^2*R_up)+dpup_minQ</f>
        <v>79.589462711908027</v>
      </c>
      <c r="AN146" s="107"/>
      <c r="AO146" s="1"/>
      <c r="AP146" s="96">
        <f ca="1">P_1_minQ-(AP144^2*R_up)+dpup_minQ</f>
        <v>75.903802460470445</v>
      </c>
      <c r="AQ146" s="107"/>
      <c r="AR146" s="1"/>
      <c r="AS146" s="96">
        <f ca="1">P_1_minQ-(AS144^2*R_up)+dpup_minQ</f>
        <v>70.549185368321076</v>
      </c>
      <c r="AT146" s="107"/>
      <c r="AU146" s="1"/>
    </row>
    <row r="147" spans="15:47" x14ac:dyDescent="0.25">
      <c r="O147" s="8" t="s">
        <v>134</v>
      </c>
      <c r="P147" s="1"/>
      <c r="Q147" s="8"/>
      <c r="R147" s="97">
        <f>P_2_minQ+(R144^2*R_dn)-dpdn_minQ</f>
        <v>60</v>
      </c>
      <c r="S147" s="106"/>
      <c r="T147" s="22"/>
      <c r="U147" s="97">
        <f ca="1">P_2_minQ+(U144^2*R_dn)-dpdn_minQ</f>
        <v>60</v>
      </c>
      <c r="V147" s="107"/>
      <c r="W147" s="1"/>
      <c r="X147" s="97">
        <f ca="1">P_2_minQ+(X144^2*R_dn)-dpdn_minQ</f>
        <v>60</v>
      </c>
      <c r="Y147" s="107"/>
      <c r="Z147" s="1"/>
      <c r="AA147" s="97">
        <f ca="1">P_2_minQ+(AA144^2*R_dn)-dpdn_minQ</f>
        <v>60</v>
      </c>
      <c r="AB147" s="107"/>
      <c r="AC147" s="1"/>
      <c r="AD147" s="97">
        <f ca="1">P_2_minQ+(AD144^2*R_dn)-dpdn_minQ</f>
        <v>60</v>
      </c>
      <c r="AE147" s="107"/>
      <c r="AF147" s="1"/>
      <c r="AG147" s="97">
        <f ca="1">P_2_minQ+(AG144^2*R_dn)-dpdn_minQ</f>
        <v>60</v>
      </c>
      <c r="AH147" s="107"/>
      <c r="AI147" s="1"/>
      <c r="AJ147" s="97">
        <f ca="1">P_2_minQ+(AJ144^2*R_dn)-dpdn_minQ</f>
        <v>60</v>
      </c>
      <c r="AK147" s="107"/>
      <c r="AL147" s="1"/>
      <c r="AM147" s="97">
        <f ca="1">P_2_minQ+(AM144^2*R_dn)-dpdn_minQ</f>
        <v>60</v>
      </c>
      <c r="AN147" s="107"/>
      <c r="AO147" s="1"/>
      <c r="AP147" s="97">
        <f ca="1">P_2_minQ+(AP144^2*R_dn)-dpdn_minQ</f>
        <v>60</v>
      </c>
      <c r="AQ147" s="107"/>
      <c r="AR147" s="1"/>
      <c r="AS147" s="97">
        <f ca="1">P_2_minQ+(AS144^2*R_dn)-dpdn_minQ</f>
        <v>60</v>
      </c>
      <c r="AT147" s="107"/>
      <c r="AU147" s="1"/>
    </row>
    <row r="148" spans="15:47" x14ac:dyDescent="0.25">
      <c r="O148" s="8" t="s">
        <v>138</v>
      </c>
      <c r="P148" s="1"/>
      <c r="Q148" s="8"/>
      <c r="R148" s="97">
        <f>R146-R147</f>
        <v>30.185015128156067</v>
      </c>
      <c r="S148" s="106"/>
      <c r="T148" s="22"/>
      <c r="U148" s="97">
        <f ca="1">U146-U147</f>
        <v>30.155740277541767</v>
      </c>
      <c r="V148" s="110"/>
      <c r="W148" s="25"/>
      <c r="X148" s="97">
        <f ca="1">X146-X147</f>
        <v>30.009362017155809</v>
      </c>
      <c r="Y148" s="110"/>
      <c r="Z148" s="25"/>
      <c r="AA148" s="97">
        <f ca="1">AA146-AA147</f>
        <v>29.518567263497204</v>
      </c>
      <c r="AB148" s="110"/>
      <c r="AC148" s="25"/>
      <c r="AD148" s="97">
        <f ca="1">AD146-AD147</f>
        <v>28.309158136596494</v>
      </c>
      <c r="AE148" s="110"/>
      <c r="AF148" s="25"/>
      <c r="AG148" s="97">
        <f ca="1">AG146-AG147</f>
        <v>26.188998800903732</v>
      </c>
      <c r="AH148" s="110"/>
      <c r="AI148" s="25"/>
      <c r="AJ148" s="97">
        <f ca="1">AJ146-AJ147</f>
        <v>23.068487430522396</v>
      </c>
      <c r="AK148" s="110"/>
      <c r="AL148" s="25"/>
      <c r="AM148" s="97">
        <f ca="1">AM146-AM147</f>
        <v>19.589462711908027</v>
      </c>
      <c r="AN148" s="110"/>
      <c r="AO148" s="25"/>
      <c r="AP148" s="97">
        <f ca="1">AP146-AP147</f>
        <v>15.903802460470445</v>
      </c>
      <c r="AQ148" s="110"/>
      <c r="AR148" s="25"/>
      <c r="AS148" s="97">
        <f ca="1">AS146-AS147</f>
        <v>10.549185368321076</v>
      </c>
      <c r="AT148" s="110"/>
      <c r="AU148" s="25"/>
    </row>
    <row r="149" spans="15:47" ht="14.4" x14ac:dyDescent="0.3">
      <c r="O149" s="2" t="s">
        <v>140</v>
      </c>
      <c r="P149" s="11"/>
      <c r="Q149" s="2"/>
      <c r="R149" s="96">
        <f>R148/R146</f>
        <v>0.3347010042107561</v>
      </c>
      <c r="S149" s="106"/>
      <c r="T149" s="22"/>
      <c r="U149" s="96">
        <f ca="1">U148/U146</f>
        <v>0.33448497216825257</v>
      </c>
      <c r="V149" s="111"/>
      <c r="W149" s="28"/>
      <c r="X149" s="96">
        <f ca="1">X148/X146</f>
        <v>0.33340267439553695</v>
      </c>
      <c r="Y149" s="111"/>
      <c r="Z149" s="28"/>
      <c r="AA149" s="96">
        <f ca="1">AA148/AA146</f>
        <v>0.32974798598607519</v>
      </c>
      <c r="AB149" s="111"/>
      <c r="AC149" s="28"/>
      <c r="AD149" s="96">
        <f ca="1">AD148/AD146</f>
        <v>0.32056876924144068</v>
      </c>
      <c r="AE149" s="111"/>
      <c r="AF149" s="28"/>
      <c r="AG149" s="96">
        <f ca="1">AG148/AG146</f>
        <v>0.30385547071268598</v>
      </c>
      <c r="AH149" s="111"/>
      <c r="AI149" s="28"/>
      <c r="AJ149" s="96">
        <f ca="1">AJ148/AJ146</f>
        <v>0.27770443575027937</v>
      </c>
      <c r="AK149" s="111"/>
      <c r="AL149" s="28"/>
      <c r="AM149" s="96">
        <f ca="1">AM148/AM146</f>
        <v>0.24613136016279563</v>
      </c>
      <c r="AN149" s="111"/>
      <c r="AO149" s="28"/>
      <c r="AP149" s="96">
        <f ca="1">AP148/AP146</f>
        <v>0.20952576741794859</v>
      </c>
      <c r="AQ149" s="111"/>
      <c r="AR149" s="28"/>
      <c r="AS149" s="96">
        <f ca="1">AS148/AS146</f>
        <v>0.14952951353366031</v>
      </c>
      <c r="AT149" s="111"/>
      <c r="AU149" s="28"/>
    </row>
    <row r="150" spans="15:47" x14ac:dyDescent="0.25">
      <c r="O150" s="2" t="s">
        <v>21</v>
      </c>
      <c r="P150" s="8">
        <v>12</v>
      </c>
      <c r="Q150" s="2"/>
      <c r="R150" s="96">
        <f ca="1">1-R149/(3*F_GAMMA*R$29)</f>
        <v>0.82568464895147775</v>
      </c>
      <c r="S150" s="106"/>
      <c r="T150" s="22"/>
      <c r="U150" s="96">
        <f ca="1">1-U149/(3*F_GAMMA*U$29)</f>
        <v>0.82583763035877622</v>
      </c>
      <c r="V150" s="111"/>
      <c r="W150" s="28"/>
      <c r="X150" s="96">
        <f ca="1">1-X149/(3*F_GAMMA*X$29)</f>
        <v>0.82474777478407368</v>
      </c>
      <c r="Y150" s="111"/>
      <c r="Z150" s="28"/>
      <c r="AA150" s="96">
        <f ca="1">1-AA149/(3*F_GAMMA*AA$29)</f>
        <v>0.82422556198941299</v>
      </c>
      <c r="AB150" s="111"/>
      <c r="AC150" s="28"/>
      <c r="AD150" s="96">
        <f ca="1">1-AD149/(3*F_GAMMA*AD$29)</f>
        <v>0.82381886032132323</v>
      </c>
      <c r="AE150" s="111"/>
      <c r="AF150" s="28"/>
      <c r="AG150" s="96">
        <f ca="1">1-AG149/(3*F_GAMMA*AG$29)</f>
        <v>0.8229835358376586</v>
      </c>
      <c r="AH150" s="111"/>
      <c r="AI150" s="28"/>
      <c r="AJ150" s="96">
        <f ca="1">1-AJ149/(3*F_GAMMA*AJ$29)</f>
        <v>0.82594503058820845</v>
      </c>
      <c r="AK150" s="111"/>
      <c r="AL150" s="28"/>
      <c r="AM150" s="96">
        <f ca="1">1-AM149/(3*F_GAMMA*AM$29)</f>
        <v>0.82751775902091917</v>
      </c>
      <c r="AN150" s="111"/>
      <c r="AO150" s="28"/>
      <c r="AP150" s="96">
        <f ca="1">1-AP149/(3*F_GAMMA*AP$29)</f>
        <v>0.88173242236647076</v>
      </c>
      <c r="AQ150" s="111"/>
      <c r="AR150" s="28"/>
      <c r="AS150" s="96">
        <f ca="1">1-AS149/(3*F_GAMMA*AS$29)</f>
        <v>0.86768117795018773</v>
      </c>
      <c r="AT150" s="111"/>
      <c r="AU150" s="28"/>
    </row>
    <row r="151" spans="15:47" x14ac:dyDescent="0.25">
      <c r="O151" s="2" t="s">
        <v>57</v>
      </c>
      <c r="P151" s="143">
        <v>7</v>
      </c>
      <c r="Q151" s="2"/>
      <c r="R151" s="96">
        <f ca="1">(R144/(N_9*R$27*R146*R150))*SQRT(M*'Valve Sizing'!$W$6*'Valve Sizing'!$G$8/R149)</f>
        <v>0.15076376393630961</v>
      </c>
      <c r="S151" s="107"/>
      <c r="T151" s="22"/>
      <c r="U151" s="96">
        <f ca="1">(U144/(N_9*U$27*U146*U150))*SQRT(M*'Valve Sizing'!$W$6*'Valve Sizing'!$G$8/U149)</f>
        <v>5.126057287542702</v>
      </c>
      <c r="V151" s="111"/>
      <c r="W151" s="28"/>
      <c r="X151" s="96">
        <f ca="1">(X144/(N_9*X$27*X146*X150))*SQRT(M*'Valve Sizing'!$W$6*'Valve Sizing'!$G$8/X149)</f>
        <v>12.638300508437496</v>
      </c>
      <c r="Y151" s="111"/>
      <c r="Z151" s="28"/>
      <c r="AA151" s="96">
        <f ca="1">(AA144/(N_9*AA$27*AA146*AA150))*SQRT(M*'Valve Sizing'!$W$6*'Valve Sizing'!$G$8/AA149)</f>
        <v>25.051482842876467</v>
      </c>
      <c r="AB151" s="111"/>
      <c r="AC151" s="28"/>
      <c r="AD151" s="96">
        <f ca="1">(AD144/(N_9*AD$27*AD146*AD150))*SQRT(M*'Valve Sizing'!$W$6*'Valve Sizing'!$G$8/AD149)</f>
        <v>43.766718052417971</v>
      </c>
      <c r="AE151" s="111"/>
      <c r="AF151" s="28"/>
      <c r="AG151" s="96">
        <f ca="1">(AG144/(N_9*AG$27*AG146*AG150))*SQRT(M*'Valve Sizing'!$W$6*'Valve Sizing'!$G$8/AG149)</f>
        <v>68.808654497539436</v>
      </c>
      <c r="AH151" s="111"/>
      <c r="AI151" s="28"/>
      <c r="AJ151" s="96">
        <f ca="1">(AJ144/(N_9*AJ$27*AJ146*AJ150))*SQRT(M*'Valve Sizing'!$W$6*'Valve Sizing'!$G$8/AJ149)</f>
        <v>102.89247211249041</v>
      </c>
      <c r="AK151" s="111"/>
      <c r="AL151" s="28"/>
      <c r="AM151" s="96">
        <f ca="1">(AM144/(N_9*AM$27*AM146*AM150))*SQRT(M*'Valve Sizing'!$W$6*'Valve Sizing'!$G$8/AM149)</f>
        <v>147.39822506428635</v>
      </c>
      <c r="AN151" s="111"/>
      <c r="AO151" s="28"/>
      <c r="AP151" s="96">
        <f ca="1">(AP144/(N_9*AP$27*AP146*AP150))*SQRT(M*'Valve Sizing'!$W$6*'Valve Sizing'!$G$8/AP149)</f>
        <v>207.7431127384971</v>
      </c>
      <c r="AQ151" s="111"/>
      <c r="AR151" s="28"/>
      <c r="AS151" s="96">
        <f ca="1">(AS144/(N_9*AS$27*AS146*AS150))*SQRT(M*'Valve Sizing'!$W$6*'Valve Sizing'!$G$8/AS149)</f>
        <v>422.25913923725096</v>
      </c>
      <c r="AT151" s="111"/>
      <c r="AU151" s="28"/>
    </row>
    <row r="152" spans="15:47" x14ac:dyDescent="0.25">
      <c r="O152" s="2" t="s">
        <v>59</v>
      </c>
      <c r="P152" s="143">
        <v>7</v>
      </c>
      <c r="Q152" s="2"/>
      <c r="R152" s="96">
        <f ca="1">(R144/(N_9*R$27*R146*0.667))*SQRT(M*'Valve Sizing'!$W$6*'Valve Sizing'!$G$8/R153)</f>
        <v>0.13496271076502378</v>
      </c>
      <c r="S152" s="107"/>
      <c r="T152" s="22"/>
      <c r="U152" s="96">
        <f ca="1">(U144/(N_9*U$27*U146*0.667))*SQRT(M*'Valve Sizing'!$W$6*'Valve Sizing'!$G$8/U153)</f>
        <v>4.5876479105407588</v>
      </c>
      <c r="V152" s="111"/>
      <c r="W152" s="28"/>
      <c r="X152" s="96">
        <f ca="1">(X144/(N_9*X$27*X146*0.667))*SQRT(M*'Valve Sizing'!$W$6*'Valve Sizing'!$G$8/X153)</f>
        <v>11.331212757667718</v>
      </c>
      <c r="Y152" s="111"/>
      <c r="Z152" s="28"/>
      <c r="AA152" s="96">
        <f ca="1">(AA144/(N_9*AA$27*AA146*0.667))*SQRT(M*'Valve Sizing'!$W$6*'Valve Sizing'!$G$8/AA153)</f>
        <v>22.479785837849995</v>
      </c>
      <c r="AB152" s="111"/>
      <c r="AC152" s="28"/>
      <c r="AD152" s="96">
        <f ca="1">(AD144/(N_9*AD$27*AD146*0.667))*SQRT(M*'Valve Sizing'!$W$6*'Valve Sizing'!$G$8/AD153)</f>
        <v>39.299788450967895</v>
      </c>
      <c r="AE152" s="111"/>
      <c r="AF152" s="28"/>
      <c r="AG152" s="96">
        <f ca="1">(AG144/(N_9*AG$27*AG146*0.667))*SQRT(M*'Valve Sizing'!$W$6*'Valve Sizing'!$G$8/AG153)</f>
        <v>61.869390398176293</v>
      </c>
      <c r="AH152" s="111"/>
      <c r="AI152" s="28"/>
      <c r="AJ152" s="96">
        <f ca="1">(AJ144/(N_9*AJ$27*AJ146*0.667))*SQRT(M*'Valve Sizing'!$W$6*'Valve Sizing'!$G$8/AJ153)</f>
        <v>92.068857381737459</v>
      </c>
      <c r="AK152" s="111"/>
      <c r="AL152" s="28"/>
      <c r="AM152" s="96">
        <f ca="1">(AM144/(N_9*AM$27*AM146*0.667))*SQRT(M*'Valve Sizing'!$W$6*'Valve Sizing'!$G$8/AM153)</f>
        <v>131.54567177808221</v>
      </c>
      <c r="AN152" s="111"/>
      <c r="AO152" s="28"/>
      <c r="AP152" s="96">
        <f ca="1">(AP144/(N_9*AP$27*AP146*0.667))*SQRT(M*'Valve Sizing'!$W$6*'Valve Sizing'!$G$8/AP153)</f>
        <v>163.58033358874582</v>
      </c>
      <c r="AQ152" s="111"/>
      <c r="AR152" s="28"/>
      <c r="AS152" s="96">
        <f ca="1">(AS144/(N_9*AS$27*AS146*0.667))*SQRT(M*'Valve Sizing'!$W$6*'Valve Sizing'!$G$8/AS153)</f>
        <v>346.08664530785654</v>
      </c>
      <c r="AT152" s="111"/>
      <c r="AU152" s="28"/>
    </row>
    <row r="153" spans="15:47" ht="15.6" x14ac:dyDescent="0.35">
      <c r="O153" s="2" t="s">
        <v>68</v>
      </c>
      <c r="P153" s="143">
        <v>10</v>
      </c>
      <c r="Q153" s="2"/>
      <c r="R153" s="96">
        <f ca="1">F_GAMMA*R$29</f>
        <v>0.64002969751372984</v>
      </c>
      <c r="S153" s="107"/>
      <c r="T153" s="1"/>
      <c r="U153" s="96">
        <f ca="1">F_GAMMA*U$29</f>
        <v>0.64017842058782071</v>
      </c>
      <c r="V153" s="111"/>
      <c r="W153" s="28"/>
      <c r="X153" s="96">
        <f ca="1">F_GAMMA*X$29</f>
        <v>0.63413873724904268</v>
      </c>
      <c r="Y153" s="111"/>
      <c r="Z153" s="28"/>
      <c r="AA153" s="96">
        <f ca="1">F_GAMMA*AA$29</f>
        <v>0.62532411750377137</v>
      </c>
      <c r="AB153" s="111"/>
      <c r="AC153" s="28"/>
      <c r="AD153" s="96">
        <f ca="1">F_GAMMA*AD$29</f>
        <v>0.60651359509139569</v>
      </c>
      <c r="AE153" s="111"/>
      <c r="AF153" s="28"/>
      <c r="AG153" s="96">
        <f ca="1">F_GAMMA*AG$29</f>
        <v>0.57217930198481592</v>
      </c>
      <c r="AH153" s="111"/>
      <c r="AI153" s="28"/>
      <c r="AJ153" s="96">
        <f ca="1">F_GAMMA*AJ$29</f>
        <v>0.53183282018848232</v>
      </c>
      <c r="AK153" s="111"/>
      <c r="AL153" s="28"/>
      <c r="AM153" s="96">
        <f ca="1">F_GAMMA*AM$29</f>
        <v>0.47566512503094399</v>
      </c>
      <c r="AN153" s="111"/>
      <c r="AO153" s="28"/>
      <c r="AP153" s="96">
        <f ca="1">F_GAMMA*AP$29</f>
        <v>0.59054158265645496</v>
      </c>
      <c r="AQ153" s="111"/>
      <c r="AR153" s="28"/>
      <c r="AS153" s="96">
        <f ca="1">F_GAMMA*AS$29</f>
        <v>0.3766899554102966</v>
      </c>
      <c r="AT153" s="111"/>
      <c r="AU153" s="28"/>
    </row>
    <row r="154" spans="15:47" x14ac:dyDescent="0.25">
      <c r="O154" s="2" t="s">
        <v>145</v>
      </c>
      <c r="P154" s="12"/>
      <c r="Q154" s="2"/>
      <c r="R154" s="96">
        <f ca="1">IF(R149&lt;R153,R151,R152)</f>
        <v>0.15076376393630961</v>
      </c>
      <c r="S154" s="116"/>
      <c r="T154" s="1"/>
      <c r="U154" s="96">
        <f ca="1">IF(U149&lt;U153,U151,U152)</f>
        <v>5.126057287542702</v>
      </c>
      <c r="V154" s="111"/>
      <c r="W154" s="28"/>
      <c r="X154" s="96">
        <f ca="1">IF(X149&lt;X153,X151,X152)</f>
        <v>12.638300508437496</v>
      </c>
      <c r="Y154" s="111"/>
      <c r="Z154" s="28"/>
      <c r="AA154" s="96">
        <f ca="1">IF(AA149&lt;AA153,AA151,AA152)</f>
        <v>25.051482842876467</v>
      </c>
      <c r="AB154" s="111"/>
      <c r="AC154" s="28"/>
      <c r="AD154" s="96">
        <f ca="1">IF(AD149&lt;AD153,AD151,AD152)</f>
        <v>43.766718052417971</v>
      </c>
      <c r="AE154" s="111"/>
      <c r="AF154" s="28"/>
      <c r="AG154" s="96">
        <f ca="1">IF(AG149&lt;AG153,AG151,AG152)</f>
        <v>68.808654497539436</v>
      </c>
      <c r="AH154" s="111"/>
      <c r="AI154" s="28"/>
      <c r="AJ154" s="96">
        <f ca="1">IF(AJ149&lt;AJ153,AJ151,AJ152)</f>
        <v>102.89247211249041</v>
      </c>
      <c r="AK154" s="111"/>
      <c r="AL154" s="28"/>
      <c r="AM154" s="96">
        <f ca="1">IF(AM149&lt;AM153,AM151,AM152)</f>
        <v>147.39822506428635</v>
      </c>
      <c r="AN154" s="111"/>
      <c r="AO154" s="28"/>
      <c r="AP154" s="96">
        <f ca="1">IF(AP149&lt;AP153,AP151,AP152)</f>
        <v>207.7431127384971</v>
      </c>
      <c r="AQ154" s="111"/>
      <c r="AR154" s="28"/>
      <c r="AS154" s="96">
        <f ca="1">IF(AS149&lt;AS153,AS151,AS152)</f>
        <v>422.25913923725096</v>
      </c>
      <c r="AT154" s="111"/>
      <c r="AU154" s="28"/>
    </row>
    <row r="155" spans="15:47" x14ac:dyDescent="0.25">
      <c r="O155" s="13" t="s">
        <v>143</v>
      </c>
      <c r="P155" s="1"/>
      <c r="Q155" s="1"/>
      <c r="R155" s="113"/>
      <c r="S155" s="106">
        <f ca="1">IF(R148&lt;=0,Q_max,ABS(R$23-R154))</f>
        <v>4.5792362360636911</v>
      </c>
      <c r="T155" s="7">
        <f>R144</f>
        <v>373.32582856875189</v>
      </c>
      <c r="U155" s="98"/>
      <c r="V155" s="106">
        <f ca="1">IF(U148&lt;=0,Q_max,ABS(U$23-U154))</f>
        <v>6.4739427124572977</v>
      </c>
      <c r="W155" s="9">
        <f ca="1">U144</f>
        <v>12679.114228207831</v>
      </c>
      <c r="X155" s="98"/>
      <c r="Y155" s="106">
        <f ca="1">IF(X148&lt;=0,Q_max,ABS(X$23-X154))</f>
        <v>10.361699491562504</v>
      </c>
      <c r="Z155" s="9">
        <f ca="1">X144</f>
        <v>31046.49338479017</v>
      </c>
      <c r="AA155" s="98"/>
      <c r="AB155" s="106">
        <f ca="1">IF(AA148&lt;=0,Q_max,ABS(AA$23-AA154))</f>
        <v>14.348517157123531</v>
      </c>
      <c r="AC155" s="9">
        <f ca="1">AA144</f>
        <v>60470.64463853433</v>
      </c>
      <c r="AD155" s="98"/>
      <c r="AE155" s="106">
        <f ca="1">IF(AD148&lt;=0,Q_max,ABS(AD$23-AD154))</f>
        <v>17.233281947582029</v>
      </c>
      <c r="AF155" s="9">
        <f ca="1">AD144</f>
        <v>101450.93058379165</v>
      </c>
      <c r="AG155" s="98"/>
      <c r="AH155" s="106">
        <f ca="1">IF(AG148&lt;=0,Q_max,ABS(AG$23-AG154))</f>
        <v>19.391345502460567</v>
      </c>
      <c r="AI155" s="9">
        <f ca="1">AG144</f>
        <v>148070.3963189722</v>
      </c>
      <c r="AJ155" s="98"/>
      <c r="AK155" s="106">
        <f ca="1">IF(AJ148&lt;=0,Q_max,ABS(AJ$23-AJ154))</f>
        <v>18.10752788750959</v>
      </c>
      <c r="AL155" s="9">
        <f ca="1">AJ144</f>
        <v>197600.51789251508</v>
      </c>
      <c r="AM155" s="98"/>
      <c r="AN155" s="106">
        <f ca="1">IF(AM148&lt;=0,Q_max,ABS(AM$23-AM154))</f>
        <v>17.601774935713649</v>
      </c>
      <c r="AO155" s="9">
        <f ca="1">AM144</f>
        <v>241110.18382100691</v>
      </c>
      <c r="AP155" s="98"/>
      <c r="AQ155" s="106">
        <f ca="1">IF(AP148&lt;=0,Q_max,ABS(AP$23-AP154))</f>
        <v>38.256887261502897</v>
      </c>
      <c r="AR155" s="9">
        <f ca="1">AP144</f>
        <v>279921.43823974277</v>
      </c>
      <c r="AS155" s="98"/>
      <c r="AT155" s="106">
        <f ca="1">IF(AS148&lt;=0,Q_max,ABS(AS$23-AS154))</f>
        <v>2.2591392372509631</v>
      </c>
      <c r="AU155" s="9">
        <f ca="1">AS144</f>
        <v>328229.90073625033</v>
      </c>
    </row>
    <row r="156" spans="15:47" x14ac:dyDescent="0.25">
      <c r="O156" s="21"/>
      <c r="P156" s="14"/>
      <c r="Q156" s="21"/>
      <c r="R156" s="97"/>
      <c r="S156" s="106"/>
      <c r="T156" s="28"/>
      <c r="U156" s="97"/>
      <c r="V156" s="111"/>
      <c r="W156" s="28"/>
      <c r="X156" s="97"/>
      <c r="Y156" s="111"/>
      <c r="Z156" s="28"/>
      <c r="AA156" s="97"/>
      <c r="AB156" s="111"/>
      <c r="AC156" s="28"/>
      <c r="AD156" s="97"/>
      <c r="AE156" s="111"/>
      <c r="AF156" s="28"/>
      <c r="AG156" s="97"/>
      <c r="AH156" s="111"/>
      <c r="AI156" s="28"/>
      <c r="AJ156" s="97"/>
      <c r="AK156" s="111"/>
      <c r="AL156" s="28"/>
      <c r="AM156" s="97"/>
      <c r="AN156" s="111"/>
      <c r="AO156" s="28"/>
      <c r="AP156" s="97"/>
      <c r="AQ156" s="111"/>
      <c r="AR156" s="28"/>
      <c r="AS156" s="97"/>
      <c r="AT156" s="111"/>
      <c r="AU156" s="28"/>
    </row>
    <row r="157" spans="15:47" x14ac:dyDescent="0.25">
      <c r="O157" s="1"/>
      <c r="P157" s="1"/>
      <c r="Q157" s="1"/>
      <c r="R157" s="98"/>
      <c r="S157" s="108" t="s">
        <v>137</v>
      </c>
      <c r="T157" s="26" t="s">
        <v>146</v>
      </c>
      <c r="U157" s="98"/>
      <c r="V157" s="108" t="s">
        <v>137</v>
      </c>
      <c r="W157" s="26" t="s">
        <v>146</v>
      </c>
      <c r="X157" s="98"/>
      <c r="Y157" s="108" t="s">
        <v>137</v>
      </c>
      <c r="Z157" s="26" t="s">
        <v>146</v>
      </c>
      <c r="AA157" s="98"/>
      <c r="AB157" s="108" t="s">
        <v>137</v>
      </c>
      <c r="AC157" s="26" t="s">
        <v>146</v>
      </c>
      <c r="AD157" s="98"/>
      <c r="AE157" s="108" t="s">
        <v>137</v>
      </c>
      <c r="AF157" s="26" t="s">
        <v>146</v>
      </c>
      <c r="AG157" s="98"/>
      <c r="AH157" s="108" t="s">
        <v>137</v>
      </c>
      <c r="AI157" s="26" t="s">
        <v>146</v>
      </c>
      <c r="AJ157" s="98"/>
      <c r="AK157" s="108" t="s">
        <v>137</v>
      </c>
      <c r="AL157" s="26" t="s">
        <v>146</v>
      </c>
      <c r="AM157" s="98"/>
      <c r="AN157" s="108" t="s">
        <v>137</v>
      </c>
      <c r="AO157" s="26" t="s">
        <v>146</v>
      </c>
      <c r="AP157" s="98"/>
      <c r="AQ157" s="108" t="s">
        <v>137</v>
      </c>
      <c r="AR157" s="26" t="s">
        <v>146</v>
      </c>
      <c r="AS157" s="98"/>
      <c r="AT157" s="108" t="s">
        <v>137</v>
      </c>
      <c r="AU157" s="26" t="s">
        <v>146</v>
      </c>
    </row>
    <row r="158" spans="15:47" ht="13.8" x14ac:dyDescent="0.25">
      <c r="O158" s="20" t="s">
        <v>136</v>
      </c>
      <c r="P158" s="1"/>
      <c r="Q158" s="1"/>
      <c r="R158" s="96">
        <f>R144*1.02</f>
        <v>380.79234514012694</v>
      </c>
      <c r="S158" s="109" t="s">
        <v>144</v>
      </c>
      <c r="T158" s="23" t="s">
        <v>147</v>
      </c>
      <c r="U158" s="96">
        <f ca="1">U144*1.01</f>
        <v>12805.905370489909</v>
      </c>
      <c r="V158" s="109" t="s">
        <v>144</v>
      </c>
      <c r="W158" s="23" t="s">
        <v>147</v>
      </c>
      <c r="X158" s="96">
        <f ca="1">X144*1.01</f>
        <v>31356.958318638073</v>
      </c>
      <c r="Y158" s="109" t="s">
        <v>144</v>
      </c>
      <c r="Z158" s="23" t="s">
        <v>147</v>
      </c>
      <c r="AA158" s="96">
        <f ca="1">AA144*1.01</f>
        <v>61075.351084919675</v>
      </c>
      <c r="AB158" s="109" t="s">
        <v>144</v>
      </c>
      <c r="AC158" s="23" t="s">
        <v>147</v>
      </c>
      <c r="AD158" s="96">
        <f ca="1">AD144*1.01</f>
        <v>102465.43988962956</v>
      </c>
      <c r="AE158" s="109" t="s">
        <v>144</v>
      </c>
      <c r="AF158" s="23" t="s">
        <v>147</v>
      </c>
      <c r="AG158" s="96">
        <f ca="1">AG144*1.01</f>
        <v>149551.10028216193</v>
      </c>
      <c r="AH158" s="109" t="s">
        <v>144</v>
      </c>
      <c r="AI158" s="23" t="s">
        <v>147</v>
      </c>
      <c r="AJ158" s="96">
        <f ca="1">AJ144*1.01</f>
        <v>199576.52307144023</v>
      </c>
      <c r="AK158" s="109" t="s">
        <v>144</v>
      </c>
      <c r="AL158" s="23" t="s">
        <v>147</v>
      </c>
      <c r="AM158" s="96">
        <f ca="1">AM144*1.01</f>
        <v>243521.28565921698</v>
      </c>
      <c r="AN158" s="109" t="s">
        <v>144</v>
      </c>
      <c r="AO158" s="23" t="s">
        <v>147</v>
      </c>
      <c r="AP158" s="96">
        <f ca="1">AP144*1.01</f>
        <v>282720.65262214019</v>
      </c>
      <c r="AQ158" s="109" t="s">
        <v>144</v>
      </c>
      <c r="AR158" s="23" t="s">
        <v>147</v>
      </c>
      <c r="AS158" s="96">
        <f ca="1">AS144*1.01</f>
        <v>331512.19974361284</v>
      </c>
      <c r="AT158" s="109" t="s">
        <v>144</v>
      </c>
      <c r="AU158" s="23" t="s">
        <v>147</v>
      </c>
    </row>
    <row r="159" spans="15:47" x14ac:dyDescent="0.25">
      <c r="O159" s="1"/>
      <c r="P159" s="1"/>
      <c r="Q159" s="1"/>
      <c r="R159" s="98"/>
      <c r="S159" s="107"/>
      <c r="T159" s="1"/>
      <c r="U159" s="47"/>
      <c r="V159" s="107"/>
      <c r="W159" s="1"/>
      <c r="X159" s="47"/>
      <c r="Y159" s="107"/>
      <c r="Z159" s="1"/>
      <c r="AA159" s="47"/>
      <c r="AB159" s="107"/>
      <c r="AC159" s="1"/>
      <c r="AD159" s="47"/>
      <c r="AE159" s="107"/>
      <c r="AF159" s="1"/>
      <c r="AG159" s="47"/>
      <c r="AH159" s="107"/>
      <c r="AI159" s="1"/>
      <c r="AJ159" s="47"/>
      <c r="AK159" s="107"/>
      <c r="AL159" s="1"/>
      <c r="AM159" s="47"/>
      <c r="AN159" s="107"/>
      <c r="AO159" s="1"/>
      <c r="AP159" s="47"/>
      <c r="AQ159" s="107"/>
      <c r="AR159" s="1"/>
      <c r="AS159" s="47"/>
      <c r="AT159" s="107"/>
      <c r="AU159" s="1"/>
    </row>
    <row r="160" spans="15:47" x14ac:dyDescent="0.25">
      <c r="O160" s="8" t="s">
        <v>132</v>
      </c>
      <c r="P160" s="8"/>
      <c r="Q160" s="8"/>
      <c r="R160" s="96">
        <f>P_1_minQ-(R158^2*R_up)+dpup_minQ</f>
        <v>90.18501410191125</v>
      </c>
      <c r="S160" s="106"/>
      <c r="T160" s="22"/>
      <c r="U160" s="96">
        <f ca="1">P_1_minQ-(U158^2*R_up)+dpup_minQ</f>
        <v>90.155151342462219</v>
      </c>
      <c r="V160" s="107"/>
      <c r="W160" s="1"/>
      <c r="X160" s="96">
        <f ca="1">P_1_minQ-(X158^2*R_up)+dpup_minQ</f>
        <v>90.005830879042506</v>
      </c>
      <c r="Y160" s="107"/>
      <c r="Z160" s="1"/>
      <c r="AA160" s="96">
        <f ca="1">P_1_minQ-(AA158^2*R_up)+dpup_minQ</f>
        <v>89.505171150835352</v>
      </c>
      <c r="AB160" s="107"/>
      <c r="AC160" s="1"/>
      <c r="AD160" s="96">
        <f ca="1">P_1_minQ-(AD158^2*R_up)+dpup_minQ</f>
        <v>88.271452900483936</v>
      </c>
      <c r="AE160" s="107"/>
      <c r="AF160" s="1"/>
      <c r="AG160" s="96">
        <f ca="1">P_1_minQ-(AG158^2*R_up)+dpup_minQ</f>
        <v>86.108678362143763</v>
      </c>
      <c r="AH160" s="107"/>
      <c r="AI160" s="1"/>
      <c r="AJ160" s="96">
        <f ca="1">P_1_minQ-(AJ158^2*R_up)+dpup_minQ</f>
        <v>82.925444713217772</v>
      </c>
      <c r="AK160" s="107"/>
      <c r="AL160" s="1"/>
      <c r="AM160" s="96">
        <f ca="1">P_1_minQ-(AM158^2*R_up)+dpup_minQ</f>
        <v>79.376491597759241</v>
      </c>
      <c r="AN160" s="107"/>
      <c r="AO160" s="1"/>
      <c r="AP160" s="96">
        <f ca="1">P_1_minQ-(AP158^2*R_up)+dpup_minQ</f>
        <v>75.616749575267761</v>
      </c>
      <c r="AQ160" s="107"/>
      <c r="AR160" s="1"/>
      <c r="AS160" s="96">
        <f ca="1">P_1_minQ-(AS158^2*R_up)+dpup_minQ</f>
        <v>70.154504679566202</v>
      </c>
      <c r="AT160" s="107"/>
      <c r="AU160" s="1"/>
    </row>
    <row r="161" spans="15:47" x14ac:dyDescent="0.25">
      <c r="O161" s="8" t="s">
        <v>134</v>
      </c>
      <c r="P161" s="1"/>
      <c r="Q161" s="8"/>
      <c r="R161" s="97">
        <f>P_2_minQ+(R158^2*R_dn)-dpdn_minQ</f>
        <v>60</v>
      </c>
      <c r="S161" s="106"/>
      <c r="T161" s="22"/>
      <c r="U161" s="97">
        <f ca="1">P_2_minQ+(U158^2*R_dn)-dpdn_minQ</f>
        <v>60</v>
      </c>
      <c r="V161" s="107"/>
      <c r="W161" s="1"/>
      <c r="X161" s="97">
        <f ca="1">P_2_minQ+(X158^2*R_dn)-dpdn_minQ</f>
        <v>60</v>
      </c>
      <c r="Y161" s="107"/>
      <c r="Z161" s="1"/>
      <c r="AA161" s="97">
        <f ca="1">P_2_minQ+(AA158^2*R_dn)-dpdn_minQ</f>
        <v>60</v>
      </c>
      <c r="AB161" s="107"/>
      <c r="AC161" s="1"/>
      <c r="AD161" s="97">
        <f ca="1">P_2_minQ+(AD158^2*R_dn)-dpdn_minQ</f>
        <v>60</v>
      </c>
      <c r="AE161" s="107"/>
      <c r="AF161" s="1"/>
      <c r="AG161" s="97">
        <f ca="1">P_2_minQ+(AG158^2*R_dn)-dpdn_minQ</f>
        <v>60</v>
      </c>
      <c r="AH161" s="107"/>
      <c r="AI161" s="1"/>
      <c r="AJ161" s="97">
        <f ca="1">P_2_minQ+(AJ158^2*R_dn)-dpdn_minQ</f>
        <v>60</v>
      </c>
      <c r="AK161" s="107"/>
      <c r="AL161" s="1"/>
      <c r="AM161" s="97">
        <f ca="1">P_2_minQ+(AM158^2*R_dn)-dpdn_minQ</f>
        <v>60</v>
      </c>
      <c r="AN161" s="107"/>
      <c r="AO161" s="1"/>
      <c r="AP161" s="97">
        <f ca="1">P_2_minQ+(AP158^2*R_dn)-dpdn_minQ</f>
        <v>60</v>
      </c>
      <c r="AQ161" s="107"/>
      <c r="AR161" s="1"/>
      <c r="AS161" s="97">
        <f ca="1">P_2_minQ+(AS158^2*R_dn)-dpdn_minQ</f>
        <v>60</v>
      </c>
      <c r="AT161" s="107"/>
      <c r="AU161" s="1"/>
    </row>
    <row r="162" spans="15:47" x14ac:dyDescent="0.25">
      <c r="O162" s="8" t="s">
        <v>138</v>
      </c>
      <c r="P162" s="1"/>
      <c r="Q162" s="8"/>
      <c r="R162" s="97">
        <f>R160-R161</f>
        <v>30.18501410191125</v>
      </c>
      <c r="S162" s="106"/>
      <c r="T162" s="22"/>
      <c r="U162" s="97">
        <f ca="1">U160-U161</f>
        <v>30.155151342462219</v>
      </c>
      <c r="V162" s="110"/>
      <c r="W162" s="25"/>
      <c r="X162" s="97">
        <f ca="1">X160-X161</f>
        <v>30.005830879042506</v>
      </c>
      <c r="Y162" s="110"/>
      <c r="Z162" s="25"/>
      <c r="AA162" s="97">
        <f ca="1">AA160-AA161</f>
        <v>29.505171150835352</v>
      </c>
      <c r="AB162" s="110"/>
      <c r="AC162" s="25"/>
      <c r="AD162" s="97">
        <f ca="1">AD160-AD161</f>
        <v>28.271452900483936</v>
      </c>
      <c r="AE162" s="110"/>
      <c r="AF162" s="25"/>
      <c r="AG162" s="97">
        <f ca="1">AG160-AG161</f>
        <v>26.108678362143763</v>
      </c>
      <c r="AH162" s="110"/>
      <c r="AI162" s="25"/>
      <c r="AJ162" s="97">
        <f ca="1">AJ160-AJ161</f>
        <v>22.925444713217772</v>
      </c>
      <c r="AK162" s="110"/>
      <c r="AL162" s="25"/>
      <c r="AM162" s="97">
        <f ca="1">AM160-AM161</f>
        <v>19.376491597759241</v>
      </c>
      <c r="AN162" s="110"/>
      <c r="AO162" s="25"/>
      <c r="AP162" s="97">
        <f ca="1">AP160-AP161</f>
        <v>15.616749575267761</v>
      </c>
      <c r="AQ162" s="110"/>
      <c r="AR162" s="25"/>
      <c r="AS162" s="97">
        <f ca="1">AS160-AS161</f>
        <v>10.154504679566202</v>
      </c>
      <c r="AT162" s="110"/>
      <c r="AU162" s="25"/>
    </row>
    <row r="163" spans="15:47" ht="14.4" x14ac:dyDescent="0.3">
      <c r="O163" s="2" t="s">
        <v>140</v>
      </c>
      <c r="P163" s="11"/>
      <c r="Q163" s="2"/>
      <c r="R163" s="96">
        <f>R162/R160</f>
        <v>0.33470099664010089</v>
      </c>
      <c r="S163" s="106"/>
      <c r="T163" s="22"/>
      <c r="U163" s="96">
        <f ca="1">U162/U160</f>
        <v>0.33448062471677564</v>
      </c>
      <c r="V163" s="111"/>
      <c r="W163" s="28"/>
      <c r="X163" s="96">
        <f ca="1">X162/X160</f>
        <v>0.33337652223184178</v>
      </c>
      <c r="Y163" s="111"/>
      <c r="Z163" s="28"/>
      <c r="AA163" s="96">
        <f ca="1">AA162/AA160</f>
        <v>0.32964767031295689</v>
      </c>
      <c r="AB163" s="111"/>
      <c r="AC163" s="28"/>
      <c r="AD163" s="96">
        <f ca="1">AD162/AD160</f>
        <v>0.32027854953692442</v>
      </c>
      <c r="AE163" s="111"/>
      <c r="AF163" s="28"/>
      <c r="AG163" s="96">
        <f ca="1">AG162/AG160</f>
        <v>0.30320612113380208</v>
      </c>
      <c r="AH163" s="111"/>
      <c r="AI163" s="28"/>
      <c r="AJ163" s="96">
        <f ca="1">AJ162/AJ160</f>
        <v>0.27645850791034232</v>
      </c>
      <c r="AK163" s="111"/>
      <c r="AL163" s="28"/>
      <c r="AM163" s="96">
        <f ca="1">AM162/AM160</f>
        <v>0.24410869273423808</v>
      </c>
      <c r="AN163" s="111"/>
      <c r="AO163" s="28"/>
      <c r="AP163" s="96">
        <f ca="1">AP162/AP160</f>
        <v>0.20652500488298675</v>
      </c>
      <c r="AQ163" s="111"/>
      <c r="AR163" s="28"/>
      <c r="AS163" s="96">
        <f ca="1">AS162/AS160</f>
        <v>0.14474487028234823</v>
      </c>
      <c r="AT163" s="111"/>
      <c r="AU163" s="28"/>
    </row>
    <row r="164" spans="15:47" x14ac:dyDescent="0.25">
      <c r="O164" s="2" t="s">
        <v>21</v>
      </c>
      <c r="P164" s="8">
        <v>12</v>
      </c>
      <c r="Q164" s="2"/>
      <c r="R164" s="96">
        <f ca="1">1-R163/(3*F_GAMMA*R$29)</f>
        <v>0.82568465289434434</v>
      </c>
      <c r="S164" s="106"/>
      <c r="T164" s="22"/>
      <c r="U164" s="96">
        <f ca="1">1-U163/(3*F_GAMMA*U$29)</f>
        <v>0.82583989402535063</v>
      </c>
      <c r="V164" s="111"/>
      <c r="W164" s="28"/>
      <c r="X164" s="96">
        <f ca="1">1-X163/(3*F_GAMMA*X$29)</f>
        <v>0.82476152159906291</v>
      </c>
      <c r="Y164" s="111"/>
      <c r="Z164" s="28"/>
      <c r="AA164" s="96">
        <f ca="1">1-AA163/(3*F_GAMMA*AA$29)</f>
        <v>0.82427903595078766</v>
      </c>
      <c r="AB164" s="111"/>
      <c r="AC164" s="28"/>
      <c r="AD164" s="96">
        <f ca="1">1-AD163/(3*F_GAMMA*AD$29)</f>
        <v>0.82397836194220753</v>
      </c>
      <c r="AE164" s="111"/>
      <c r="AF164" s="28"/>
      <c r="AG164" s="96">
        <f ca="1">1-AG163/(3*F_GAMMA*AG$29)</f>
        <v>0.82336182610240105</v>
      </c>
      <c r="AH164" s="111"/>
      <c r="AI164" s="28"/>
      <c r="AJ164" s="96">
        <f ca="1">1-AJ163/(3*F_GAMMA*AJ$29)</f>
        <v>0.82672593252621185</v>
      </c>
      <c r="AK164" s="111"/>
      <c r="AL164" s="28"/>
      <c r="AM164" s="96">
        <f ca="1">1-AM163/(3*F_GAMMA*AM$29)</f>
        <v>0.82893518998380933</v>
      </c>
      <c r="AN164" s="111"/>
      <c r="AO164" s="28"/>
      <c r="AP164" s="96">
        <f ca="1">1-AP163/(3*F_GAMMA*AP$29)</f>
        <v>0.88342621363824048</v>
      </c>
      <c r="AQ164" s="111"/>
      <c r="AR164" s="28"/>
      <c r="AS164" s="96">
        <f ca="1">1-AS163/(3*F_GAMMA*AS$29)</f>
        <v>0.87191511373972452</v>
      </c>
      <c r="AT164" s="111"/>
      <c r="AU164" s="28"/>
    </row>
    <row r="165" spans="15:47" x14ac:dyDescent="0.25">
      <c r="O165" s="2" t="s">
        <v>57</v>
      </c>
      <c r="P165" s="143">
        <v>7</v>
      </c>
      <c r="Q165" s="2"/>
      <c r="R165" s="96">
        <f ca="1">(R158/(N_9*R$27*R160*R164))*SQRT(M*'Valve Sizing'!$W$6*'Valve Sizing'!$G$8/R163)</f>
        <v>0.15377904196977785</v>
      </c>
      <c r="S165" s="107"/>
      <c r="T165" s="22"/>
      <c r="U165" s="96">
        <f ca="1">(U158/(N_9*U$27*U160*U164))*SQRT(M*'Valve Sizing'!$W$6*'Valve Sizing'!$G$8/U163)</f>
        <v>5.1773711360998327</v>
      </c>
      <c r="V165" s="111"/>
      <c r="W165" s="28"/>
      <c r="X165" s="96">
        <f ca="1">(X158/(N_9*X$27*X160*X164))*SQRT(M*'Valve Sizing'!$W$6*'Valve Sizing'!$G$8/X163)</f>
        <v>12.765472209202875</v>
      </c>
      <c r="Y165" s="111"/>
      <c r="Z165" s="28"/>
      <c r="AA165" s="96">
        <f ca="1">(AA158/(N_9*AA$27*AA160*AA164))*SQRT(M*'Valve Sizing'!$W$6*'Valve Sizing'!$G$8/AA163)</f>
        <v>25.307992789510447</v>
      </c>
      <c r="AB165" s="111"/>
      <c r="AC165" s="28"/>
      <c r="AD165" s="96">
        <f ca="1">(AD158/(N_9*AD$27*AD160*AD164))*SQRT(M*'Valve Sizing'!$W$6*'Valve Sizing'!$G$8/AD163)</f>
        <v>44.234734652842519</v>
      </c>
      <c r="AE165" s="111"/>
      <c r="AF165" s="28"/>
      <c r="AG165" s="96">
        <f ca="1">(AG158/(N_9*AG$27*AG160*AG164))*SQRT(M*'Valve Sizing'!$W$6*'Valve Sizing'!$G$8/AG163)</f>
        <v>69.604019287651894</v>
      </c>
      <c r="AH165" s="111"/>
      <c r="AI165" s="28"/>
      <c r="AJ165" s="96">
        <f ca="1">(AJ158/(N_9*AJ$27*AJ160*AJ164))*SQRT(M*'Valve Sizing'!$W$6*'Valve Sizing'!$G$8/AJ163)</f>
        <v>104.23641860088222</v>
      </c>
      <c r="AK165" s="111"/>
      <c r="AL165" s="28"/>
      <c r="AM165" s="96">
        <f ca="1">(AM158/(N_9*AM$27*AM160*AM164))*SQRT(M*'Valve Sizing'!$W$6*'Valve Sizing'!$G$8/AM163)</f>
        <v>149.63248917205979</v>
      </c>
      <c r="AN165" s="111"/>
      <c r="AO165" s="28"/>
      <c r="AP165" s="96">
        <f ca="1">(AP158/(N_9*AP$27*AP160*AP164))*SQRT(M*'Valve Sizing'!$W$6*'Valve Sizing'!$G$8/AP163)</f>
        <v>211.73490791721866</v>
      </c>
      <c r="AQ165" s="111"/>
      <c r="AR165" s="28"/>
      <c r="AS165" s="96">
        <f ca="1">(AS158/(N_9*AS$27*AS160*AS164))*SQRT(M*'Valve Sizing'!$W$6*'Valve Sizing'!$G$8/AS163)</f>
        <v>433.79517077658824</v>
      </c>
      <c r="AT165" s="111"/>
      <c r="AU165" s="28"/>
    </row>
    <row r="166" spans="15:47" x14ac:dyDescent="0.25">
      <c r="O166" s="2" t="s">
        <v>59</v>
      </c>
      <c r="P166" s="143">
        <v>7</v>
      </c>
      <c r="Q166" s="2"/>
      <c r="R166" s="96">
        <f ca="1">(R158/(N_9*R$27*R160*0.667))*SQRT(M*'Valve Sizing'!$W$6*'Valve Sizing'!$G$8/R167)</f>
        <v>0.13766196654682486</v>
      </c>
      <c r="S166" s="107"/>
      <c r="T166" s="22"/>
      <c r="U166" s="96">
        <f ca="1">(U158/(N_9*U$27*U160*0.667))*SQRT(M*'Valve Sizing'!$W$6*'Valve Sizing'!$G$8/U167)</f>
        <v>4.6335546579671032</v>
      </c>
      <c r="V166" s="111"/>
      <c r="W166" s="28"/>
      <c r="X166" s="96">
        <f ca="1">(X158/(N_9*X$27*X160*0.667))*SQRT(M*'Valve Sizing'!$W$6*'Valve Sizing'!$G$8/X167)</f>
        <v>11.444973880577434</v>
      </c>
      <c r="Y166" s="111"/>
      <c r="Z166" s="28"/>
      <c r="AA166" s="96">
        <f ca="1">(AA158/(N_9*AA$27*AA160*0.667))*SQRT(M*'Valve Sizing'!$W$6*'Valve Sizing'!$G$8/AA167)</f>
        <v>22.707981859230976</v>
      </c>
      <c r="AB166" s="111"/>
      <c r="AC166" s="28"/>
      <c r="AD166" s="96">
        <f ca="1">(AD158/(N_9*AD$27*AD160*0.667))*SQRT(M*'Valve Sizing'!$W$6*'Valve Sizing'!$G$8/AD167)</f>
        <v>39.709741147385245</v>
      </c>
      <c r="AE166" s="111"/>
      <c r="AF166" s="28"/>
      <c r="AG166" s="96">
        <f ca="1">(AG158/(N_9*AG$27*AG160*0.667))*SQRT(M*'Valve Sizing'!$W$6*'Valve Sizing'!$G$8/AG167)</f>
        <v>62.546371927097681</v>
      </c>
      <c r="AH166" s="111"/>
      <c r="AI166" s="28"/>
      <c r="AJ166" s="96">
        <f ca="1">(AJ158/(N_9*AJ$27*AJ160*0.667))*SQRT(M*'Valve Sizing'!$W$6*'Valve Sizing'!$G$8/AJ167)</f>
        <v>93.149948801513702</v>
      </c>
      <c r="AK166" s="111"/>
      <c r="AL166" s="28"/>
      <c r="AM166" s="96">
        <f ca="1">(AM158/(N_9*AM$27*AM160*0.667))*SQRT(M*'Valve Sizing'!$W$6*'Valve Sizing'!$G$8/AM167)</f>
        <v>133.21760157741738</v>
      </c>
      <c r="AN166" s="111"/>
      <c r="AO166" s="28"/>
      <c r="AP166" s="96">
        <f ca="1">(AP158/(N_9*AP$27*AP160*0.667))*SQRT(M*'Valve Sizing'!$W$6*'Valve Sizing'!$G$8/AP167)</f>
        <v>165.84332295223487</v>
      </c>
      <c r="AQ166" s="111"/>
      <c r="AR166" s="28"/>
      <c r="AS166" s="96">
        <f ca="1">(AS158/(N_9*AS$27*AS160*0.667))*SQRT(M*'Valve Sizing'!$W$6*'Valve Sizing'!$G$8/AS167)</f>
        <v>351.51402343861707</v>
      </c>
      <c r="AT166" s="111"/>
      <c r="AU166" s="28"/>
    </row>
    <row r="167" spans="15:47" ht="15.6" x14ac:dyDescent="0.35">
      <c r="O167" s="2" t="s">
        <v>68</v>
      </c>
      <c r="P167" s="143">
        <v>10</v>
      </c>
      <c r="Q167" s="2"/>
      <c r="R167" s="96">
        <f ca="1">F_GAMMA*R$29</f>
        <v>0.64002969751372984</v>
      </c>
      <c r="S167" s="107"/>
      <c r="T167" s="1"/>
      <c r="U167" s="96">
        <f ca="1">F_GAMMA*U$29</f>
        <v>0.64017842058782071</v>
      </c>
      <c r="V167" s="111"/>
      <c r="W167" s="28"/>
      <c r="X167" s="96">
        <f ca="1">F_GAMMA*X$29</f>
        <v>0.63413873724904268</v>
      </c>
      <c r="Y167" s="111"/>
      <c r="Z167" s="28"/>
      <c r="AA167" s="96">
        <f ca="1">F_GAMMA*AA$29</f>
        <v>0.62532411750377137</v>
      </c>
      <c r="AB167" s="111"/>
      <c r="AC167" s="28"/>
      <c r="AD167" s="96">
        <f ca="1">F_GAMMA*AD$29</f>
        <v>0.60651359509139569</v>
      </c>
      <c r="AE167" s="111"/>
      <c r="AF167" s="28"/>
      <c r="AG167" s="96">
        <f ca="1">F_GAMMA*AG$29</f>
        <v>0.57217930198481592</v>
      </c>
      <c r="AH167" s="111"/>
      <c r="AI167" s="28"/>
      <c r="AJ167" s="96">
        <f ca="1">F_GAMMA*AJ$29</f>
        <v>0.53183282018848232</v>
      </c>
      <c r="AK167" s="111"/>
      <c r="AL167" s="28"/>
      <c r="AM167" s="96">
        <f ca="1">F_GAMMA*AM$29</f>
        <v>0.47566512503094399</v>
      </c>
      <c r="AN167" s="111"/>
      <c r="AO167" s="28"/>
      <c r="AP167" s="96">
        <f ca="1">F_GAMMA*AP$29</f>
        <v>0.59054158265645496</v>
      </c>
      <c r="AQ167" s="111"/>
      <c r="AR167" s="28"/>
      <c r="AS167" s="96">
        <f ca="1">F_GAMMA*AS$29</f>
        <v>0.3766899554102966</v>
      </c>
      <c r="AT167" s="111"/>
      <c r="AU167" s="28"/>
    </row>
    <row r="168" spans="15:47" x14ac:dyDescent="0.25">
      <c r="O168" s="2" t="s">
        <v>145</v>
      </c>
      <c r="P168" s="12"/>
      <c r="Q168" s="2"/>
      <c r="R168" s="96">
        <f ca="1">IF(R163&lt;R167,R165,R166)</f>
        <v>0.15377904196977785</v>
      </c>
      <c r="S168" s="116"/>
      <c r="T168" s="1"/>
      <c r="U168" s="96">
        <f ca="1">IF(U163&lt;U167,U165,U166)</f>
        <v>5.1773711360998327</v>
      </c>
      <c r="V168" s="111"/>
      <c r="W168" s="28"/>
      <c r="X168" s="96">
        <f ca="1">IF(X163&lt;X167,X165,X166)</f>
        <v>12.765472209202875</v>
      </c>
      <c r="Y168" s="111"/>
      <c r="Z168" s="28"/>
      <c r="AA168" s="96">
        <f ca="1">IF(AA163&lt;AA167,AA165,AA166)</f>
        <v>25.307992789510447</v>
      </c>
      <c r="AB168" s="111"/>
      <c r="AC168" s="28"/>
      <c r="AD168" s="96">
        <f ca="1">IF(AD163&lt;AD167,AD165,AD166)</f>
        <v>44.234734652842519</v>
      </c>
      <c r="AE168" s="111"/>
      <c r="AF168" s="28"/>
      <c r="AG168" s="96">
        <f ca="1">IF(AG163&lt;AG167,AG165,AG166)</f>
        <v>69.604019287651894</v>
      </c>
      <c r="AH168" s="111"/>
      <c r="AI168" s="28"/>
      <c r="AJ168" s="96">
        <f ca="1">IF(AJ163&lt;AJ167,AJ165,AJ166)</f>
        <v>104.23641860088222</v>
      </c>
      <c r="AK168" s="111"/>
      <c r="AL168" s="28"/>
      <c r="AM168" s="96">
        <f ca="1">IF(AM163&lt;AM167,AM165,AM166)</f>
        <v>149.63248917205979</v>
      </c>
      <c r="AN168" s="111"/>
      <c r="AO168" s="28"/>
      <c r="AP168" s="96">
        <f ca="1">IF(AP163&lt;AP167,AP165,AP166)</f>
        <v>211.73490791721866</v>
      </c>
      <c r="AQ168" s="111"/>
      <c r="AR168" s="28"/>
      <c r="AS168" s="96">
        <f ca="1">IF(AS163&lt;AS167,AS165,AS166)</f>
        <v>433.79517077658824</v>
      </c>
      <c r="AT168" s="111"/>
      <c r="AU168" s="28"/>
    </row>
    <row r="169" spans="15:47" x14ac:dyDescent="0.25">
      <c r="O169" s="13" t="s">
        <v>143</v>
      </c>
      <c r="P169" s="1"/>
      <c r="Q169" s="1"/>
      <c r="R169" s="113"/>
      <c r="S169" s="106">
        <f ca="1">IF(R162&lt;=0,Q_max,ABS(R$23-R168))</f>
        <v>4.5762209580302224</v>
      </c>
      <c r="T169" s="7">
        <f>R158</f>
        <v>380.79234514012694</v>
      </c>
      <c r="U169" s="98"/>
      <c r="V169" s="106">
        <f ca="1">IF(U162&lt;=0,Q_max,ABS(U$23-U168))</f>
        <v>6.422628863900167</v>
      </c>
      <c r="W169" s="9">
        <f ca="1">U158</f>
        <v>12805.905370489909</v>
      </c>
      <c r="X169" s="98"/>
      <c r="Y169" s="106">
        <f ca="1">IF(X162&lt;=0,Q_max,ABS(X$23-X168))</f>
        <v>10.234527790797125</v>
      </c>
      <c r="Z169" s="9">
        <f ca="1">X158</f>
        <v>31356.958318638073</v>
      </c>
      <c r="AA169" s="98"/>
      <c r="AB169" s="106">
        <f ca="1">IF(AA162&lt;=0,Q_max,ABS(AA$23-AA168))</f>
        <v>14.092007210489552</v>
      </c>
      <c r="AC169" s="9">
        <f ca="1">AA158</f>
        <v>61075.351084919675</v>
      </c>
      <c r="AD169" s="98"/>
      <c r="AE169" s="106">
        <f ca="1">IF(AD162&lt;=0,Q_max,ABS(AD$23-AD168))</f>
        <v>16.765265347157481</v>
      </c>
      <c r="AF169" s="9">
        <f ca="1">AD158</f>
        <v>102465.43988962956</v>
      </c>
      <c r="AG169" s="98"/>
      <c r="AH169" s="106">
        <f ca="1">IF(AG162&lt;=0,Q_max,ABS(AG$23-AG168))</f>
        <v>18.595980712348108</v>
      </c>
      <c r="AI169" s="9">
        <f ca="1">AG158</f>
        <v>149551.10028216193</v>
      </c>
      <c r="AJ169" s="98"/>
      <c r="AK169" s="106">
        <f ca="1">IF(AJ162&lt;=0,Q_max,ABS(AJ$23-AJ168))</f>
        <v>16.763581399117783</v>
      </c>
      <c r="AL169" s="9">
        <f ca="1">AJ158</f>
        <v>199576.52307144023</v>
      </c>
      <c r="AM169" s="98"/>
      <c r="AN169" s="106">
        <f ca="1">IF(AM162&lt;=0,Q_max,ABS(AM$23-AM168))</f>
        <v>15.367510827940208</v>
      </c>
      <c r="AO169" s="9">
        <f ca="1">AM158</f>
        <v>243521.28565921698</v>
      </c>
      <c r="AP169" s="98"/>
      <c r="AQ169" s="106">
        <f ca="1">IF(AP162&lt;=0,Q_max,ABS(AP$23-AP168))</f>
        <v>34.265092082781337</v>
      </c>
      <c r="AR169" s="9">
        <f ca="1">AP158</f>
        <v>282720.65262214019</v>
      </c>
      <c r="AS169" s="98"/>
      <c r="AT169" s="106">
        <f ca="1">IF(AS162&lt;=0,Q_max,ABS(AS$23-AS168))</f>
        <v>13.795170776588236</v>
      </c>
      <c r="AU169" s="9">
        <f ca="1">AS158</f>
        <v>331512.19974361284</v>
      </c>
    </row>
    <row r="170" spans="15:47" x14ac:dyDescent="0.25">
      <c r="O170" s="21"/>
      <c r="P170" s="14"/>
      <c r="Q170" s="21"/>
      <c r="R170" s="97"/>
      <c r="S170" s="106"/>
      <c r="T170" s="28"/>
      <c r="U170" s="97"/>
      <c r="V170" s="111"/>
      <c r="W170" s="28"/>
      <c r="X170" s="97"/>
      <c r="Y170" s="111"/>
      <c r="Z170" s="28"/>
      <c r="AA170" s="97"/>
      <c r="AB170" s="111"/>
      <c r="AC170" s="28"/>
      <c r="AD170" s="97"/>
      <c r="AE170" s="111"/>
      <c r="AF170" s="28"/>
      <c r="AG170" s="97"/>
      <c r="AH170" s="111"/>
      <c r="AI170" s="28"/>
      <c r="AJ170" s="97"/>
      <c r="AK170" s="111"/>
      <c r="AL170" s="28"/>
      <c r="AM170" s="97"/>
      <c r="AN170" s="111"/>
      <c r="AO170" s="28"/>
      <c r="AP170" s="97"/>
      <c r="AQ170" s="111"/>
      <c r="AR170" s="28"/>
      <c r="AS170" s="97"/>
      <c r="AT170" s="111"/>
      <c r="AU170" s="28"/>
    </row>
    <row r="171" spans="15:47" x14ac:dyDescent="0.25">
      <c r="O171" s="1"/>
      <c r="P171" s="1"/>
      <c r="Q171" s="1"/>
      <c r="R171" s="98"/>
      <c r="S171" s="108" t="s">
        <v>137</v>
      </c>
      <c r="T171" s="26" t="s">
        <v>146</v>
      </c>
      <c r="U171" s="98"/>
      <c r="V171" s="108" t="s">
        <v>137</v>
      </c>
      <c r="W171" s="26" t="s">
        <v>146</v>
      </c>
      <c r="X171" s="98"/>
      <c r="Y171" s="108" t="s">
        <v>137</v>
      </c>
      <c r="Z171" s="26" t="s">
        <v>146</v>
      </c>
      <c r="AA171" s="98"/>
      <c r="AB171" s="108" t="s">
        <v>137</v>
      </c>
      <c r="AC171" s="26" t="s">
        <v>146</v>
      </c>
      <c r="AD171" s="98"/>
      <c r="AE171" s="108" t="s">
        <v>137</v>
      </c>
      <c r="AF171" s="26" t="s">
        <v>146</v>
      </c>
      <c r="AG171" s="98"/>
      <c r="AH171" s="108" t="s">
        <v>137</v>
      </c>
      <c r="AI171" s="26" t="s">
        <v>146</v>
      </c>
      <c r="AJ171" s="98"/>
      <c r="AK171" s="108" t="s">
        <v>137</v>
      </c>
      <c r="AL171" s="26" t="s">
        <v>146</v>
      </c>
      <c r="AM171" s="98"/>
      <c r="AN171" s="108" t="s">
        <v>137</v>
      </c>
      <c r="AO171" s="26" t="s">
        <v>146</v>
      </c>
      <c r="AP171" s="98"/>
      <c r="AQ171" s="108" t="s">
        <v>137</v>
      </c>
      <c r="AR171" s="26" t="s">
        <v>146</v>
      </c>
      <c r="AS171" s="98"/>
      <c r="AT171" s="108" t="s">
        <v>137</v>
      </c>
      <c r="AU171" s="26" t="s">
        <v>146</v>
      </c>
    </row>
    <row r="172" spans="15:47" ht="13.8" x14ac:dyDescent="0.25">
      <c r="O172" s="20" t="s">
        <v>136</v>
      </c>
      <c r="P172" s="1"/>
      <c r="Q172" s="1"/>
      <c r="R172" s="96">
        <f>R158*1.02</f>
        <v>388.4081920429295</v>
      </c>
      <c r="S172" s="109" t="s">
        <v>144</v>
      </c>
      <c r="T172" s="23" t="s">
        <v>147</v>
      </c>
      <c r="U172" s="96">
        <f ca="1">U158*1.01</f>
        <v>12933.964424194808</v>
      </c>
      <c r="V172" s="109" t="s">
        <v>144</v>
      </c>
      <c r="W172" s="23" t="s">
        <v>147</v>
      </c>
      <c r="X172" s="96">
        <f ca="1">X158*1.01</f>
        <v>31670.527901824455</v>
      </c>
      <c r="Y172" s="109" t="s">
        <v>144</v>
      </c>
      <c r="Z172" s="23" t="s">
        <v>147</v>
      </c>
      <c r="AA172" s="96">
        <f ca="1">AA158*1.01</f>
        <v>61686.104595768869</v>
      </c>
      <c r="AB172" s="109" t="s">
        <v>144</v>
      </c>
      <c r="AC172" s="23" t="s">
        <v>147</v>
      </c>
      <c r="AD172" s="96">
        <f ca="1">AD158*1.01</f>
        <v>103490.09428852586</v>
      </c>
      <c r="AE172" s="109" t="s">
        <v>144</v>
      </c>
      <c r="AF172" s="23" t="s">
        <v>147</v>
      </c>
      <c r="AG172" s="96">
        <f ca="1">AG158*1.01</f>
        <v>151046.61128498355</v>
      </c>
      <c r="AH172" s="109" t="s">
        <v>144</v>
      </c>
      <c r="AI172" s="23" t="s">
        <v>147</v>
      </c>
      <c r="AJ172" s="96">
        <f ca="1">AJ158*1.01</f>
        <v>201572.28830215463</v>
      </c>
      <c r="AK172" s="109" t="s">
        <v>144</v>
      </c>
      <c r="AL172" s="23" t="s">
        <v>147</v>
      </c>
      <c r="AM172" s="96">
        <f ca="1">AM158*1.01</f>
        <v>245956.49851580916</v>
      </c>
      <c r="AN172" s="109" t="s">
        <v>144</v>
      </c>
      <c r="AO172" s="23" t="s">
        <v>147</v>
      </c>
      <c r="AP172" s="96">
        <f ca="1">AP158*1.01</f>
        <v>285547.8591483616</v>
      </c>
      <c r="AQ172" s="109" t="s">
        <v>144</v>
      </c>
      <c r="AR172" s="23" t="s">
        <v>147</v>
      </c>
      <c r="AS172" s="96">
        <f ca="1">AS158*1.01</f>
        <v>334827.321741049</v>
      </c>
      <c r="AT172" s="109" t="s">
        <v>144</v>
      </c>
      <c r="AU172" s="23" t="s">
        <v>147</v>
      </c>
    </row>
    <row r="173" spans="15:47" x14ac:dyDescent="0.25">
      <c r="O173" s="1"/>
      <c r="P173" s="1"/>
      <c r="Q173" s="1"/>
      <c r="R173" s="98"/>
      <c r="S173" s="107"/>
      <c r="T173" s="1"/>
      <c r="U173" s="47"/>
      <c r="V173" s="107"/>
      <c r="W173" s="1"/>
      <c r="X173" s="47"/>
      <c r="Y173" s="107"/>
      <c r="Z173" s="1"/>
      <c r="AA173" s="47"/>
      <c r="AB173" s="107"/>
      <c r="AC173" s="1"/>
      <c r="AD173" s="47"/>
      <c r="AE173" s="107"/>
      <c r="AF173" s="1"/>
      <c r="AG173" s="47"/>
      <c r="AH173" s="107"/>
      <c r="AI173" s="1"/>
      <c r="AJ173" s="47"/>
      <c r="AK173" s="107"/>
      <c r="AL173" s="1"/>
      <c r="AM173" s="47"/>
      <c r="AN173" s="107"/>
      <c r="AO173" s="1"/>
      <c r="AP173" s="47"/>
      <c r="AQ173" s="107"/>
      <c r="AR173" s="1"/>
      <c r="AS173" s="47"/>
      <c r="AT173" s="107"/>
      <c r="AU173" s="1"/>
    </row>
    <row r="174" spans="15:47" x14ac:dyDescent="0.25">
      <c r="O174" s="8" t="s">
        <v>132</v>
      </c>
      <c r="P174" s="8"/>
      <c r="Q174" s="8"/>
      <c r="R174" s="96">
        <f>P_1_minQ-(R172^2*R_up)+dpup_minQ</f>
        <v>90.185013034206136</v>
      </c>
      <c r="S174" s="106"/>
      <c r="T174" s="22"/>
      <c r="U174" s="96">
        <f ca="1">P_1_minQ-(U172^2*R_up)+dpup_minQ</f>
        <v>90.154550569787574</v>
      </c>
      <c r="V174" s="107"/>
      <c r="W174" s="1"/>
      <c r="X174" s="96">
        <f ca="1">P_1_minQ-(X172^2*R_up)+dpup_minQ</f>
        <v>90.002228765053133</v>
      </c>
      <c r="Y174" s="107"/>
      <c r="Z174" s="1"/>
      <c r="AA174" s="96">
        <f ca="1">P_1_minQ-(AA172^2*R_up)+dpup_minQ</f>
        <v>89.491505776309012</v>
      </c>
      <c r="AB174" s="107"/>
      <c r="AC174" s="1"/>
      <c r="AD174" s="96">
        <f ca="1">P_1_minQ-(AD172^2*R_up)+dpup_minQ</f>
        <v>88.232989789125526</v>
      </c>
      <c r="AE174" s="107"/>
      <c r="AF174" s="1"/>
      <c r="AG174" s="96">
        <f ca="1">P_1_minQ-(AG172^2*R_up)+dpup_minQ</f>
        <v>86.026743482564711</v>
      </c>
      <c r="AH174" s="107"/>
      <c r="AI174" s="1"/>
      <c r="AJ174" s="96">
        <f ca="1">P_1_minQ-(AJ172^2*R_up)+dpup_minQ</f>
        <v>82.779526837295307</v>
      </c>
      <c r="AK174" s="107"/>
      <c r="AL174" s="1"/>
      <c r="AM174" s="96">
        <f ca="1">P_1_minQ-(AM172^2*R_up)+dpup_minQ</f>
        <v>79.159239764216068</v>
      </c>
      <c r="AN174" s="107"/>
      <c r="AO174" s="1"/>
      <c r="AP174" s="96">
        <f ca="1">P_1_minQ-(AP172^2*R_up)+dpup_minQ</f>
        <v>75.323926927072506</v>
      </c>
      <c r="AQ174" s="107"/>
      <c r="AR174" s="1"/>
      <c r="AS174" s="96">
        <f ca="1">P_1_minQ-(AS172^2*R_up)+dpup_minQ</f>
        <v>69.75189090896734</v>
      </c>
      <c r="AT174" s="107"/>
      <c r="AU174" s="1"/>
    </row>
    <row r="175" spans="15:47" x14ac:dyDescent="0.25">
      <c r="O175" s="8" t="s">
        <v>134</v>
      </c>
      <c r="P175" s="1"/>
      <c r="Q175" s="8"/>
      <c r="R175" s="97">
        <f>P_2_minQ+(R172^2*R_dn)-dpdn_minQ</f>
        <v>60</v>
      </c>
      <c r="S175" s="106"/>
      <c r="T175" s="22"/>
      <c r="U175" s="97">
        <f ca="1">P_2_minQ+(U172^2*R_dn)-dpdn_minQ</f>
        <v>60</v>
      </c>
      <c r="V175" s="107"/>
      <c r="W175" s="1"/>
      <c r="X175" s="97">
        <f ca="1">P_2_minQ+(X172^2*R_dn)-dpdn_minQ</f>
        <v>60</v>
      </c>
      <c r="Y175" s="107"/>
      <c r="Z175" s="1"/>
      <c r="AA175" s="97">
        <f ca="1">P_2_minQ+(AA172^2*R_dn)-dpdn_minQ</f>
        <v>60</v>
      </c>
      <c r="AB175" s="107"/>
      <c r="AC175" s="1"/>
      <c r="AD175" s="97">
        <f ca="1">P_2_minQ+(AD172^2*R_dn)-dpdn_minQ</f>
        <v>60</v>
      </c>
      <c r="AE175" s="107"/>
      <c r="AF175" s="1"/>
      <c r="AG175" s="97">
        <f ca="1">P_2_minQ+(AG172^2*R_dn)-dpdn_minQ</f>
        <v>60</v>
      </c>
      <c r="AH175" s="107"/>
      <c r="AI175" s="1"/>
      <c r="AJ175" s="97">
        <f ca="1">P_2_minQ+(AJ172^2*R_dn)-dpdn_minQ</f>
        <v>60</v>
      </c>
      <c r="AK175" s="107"/>
      <c r="AL175" s="1"/>
      <c r="AM175" s="97">
        <f ca="1">P_2_minQ+(AM172^2*R_dn)-dpdn_minQ</f>
        <v>60</v>
      </c>
      <c r="AN175" s="107"/>
      <c r="AO175" s="1"/>
      <c r="AP175" s="97">
        <f ca="1">P_2_minQ+(AP172^2*R_dn)-dpdn_minQ</f>
        <v>60</v>
      </c>
      <c r="AQ175" s="107"/>
      <c r="AR175" s="1"/>
      <c r="AS175" s="97">
        <f ca="1">P_2_minQ+(AS172^2*R_dn)-dpdn_minQ</f>
        <v>60</v>
      </c>
      <c r="AT175" s="107"/>
      <c r="AU175" s="1"/>
    </row>
    <row r="176" spans="15:47" x14ac:dyDescent="0.25">
      <c r="O176" s="8" t="s">
        <v>138</v>
      </c>
      <c r="P176" s="1"/>
      <c r="Q176" s="8"/>
      <c r="R176" s="97">
        <f>R174-R175</f>
        <v>30.185013034206136</v>
      </c>
      <c r="S176" s="106"/>
      <c r="T176" s="22"/>
      <c r="U176" s="97">
        <f ca="1">U174-U175</f>
        <v>30.154550569787574</v>
      </c>
      <c r="V176" s="110"/>
      <c r="W176" s="25"/>
      <c r="X176" s="97">
        <f ca="1">X174-X175</f>
        <v>30.002228765053133</v>
      </c>
      <c r="Y176" s="110"/>
      <c r="Z176" s="25"/>
      <c r="AA176" s="97">
        <f ca="1">AA174-AA175</f>
        <v>29.491505776309012</v>
      </c>
      <c r="AB176" s="110"/>
      <c r="AC176" s="25"/>
      <c r="AD176" s="97">
        <f ca="1">AD174-AD175</f>
        <v>28.232989789125526</v>
      </c>
      <c r="AE176" s="110"/>
      <c r="AF176" s="25"/>
      <c r="AG176" s="97">
        <f ca="1">AG174-AG175</f>
        <v>26.026743482564711</v>
      </c>
      <c r="AH176" s="110"/>
      <c r="AI176" s="25"/>
      <c r="AJ176" s="97">
        <f ca="1">AJ174-AJ175</f>
        <v>22.779526837295307</v>
      </c>
      <c r="AK176" s="110"/>
      <c r="AL176" s="25"/>
      <c r="AM176" s="97">
        <f ca="1">AM174-AM175</f>
        <v>19.159239764216068</v>
      </c>
      <c r="AN176" s="110"/>
      <c r="AO176" s="25"/>
      <c r="AP176" s="97">
        <f ca="1">AP174-AP175</f>
        <v>15.323926927072506</v>
      </c>
      <c r="AQ176" s="110"/>
      <c r="AR176" s="25"/>
      <c r="AS176" s="97">
        <f ca="1">AS174-AS175</f>
        <v>9.75189090896734</v>
      </c>
      <c r="AT176" s="110"/>
      <c r="AU176" s="25"/>
    </row>
    <row r="177" spans="15:47" ht="14.4" x14ac:dyDescent="0.3">
      <c r="O177" s="2" t="s">
        <v>140</v>
      </c>
      <c r="P177" s="11"/>
      <c r="Q177" s="2"/>
      <c r="R177" s="96">
        <f>R176/R174</f>
        <v>0.334700988763591</v>
      </c>
      <c r="S177" s="106"/>
      <c r="T177" s="22"/>
      <c r="U177" s="96">
        <f ca="1">U176/U174</f>
        <v>0.33447618982300059</v>
      </c>
      <c r="V177" s="111"/>
      <c r="W177" s="28"/>
      <c r="X177" s="96">
        <f ca="1">X176/X174</f>
        <v>0.33334984229526843</v>
      </c>
      <c r="Y177" s="111"/>
      <c r="Z177" s="28"/>
      <c r="AA177" s="96">
        <f ca="1">AA176/AA174</f>
        <v>0.32954530735045767</v>
      </c>
      <c r="AB177" s="111"/>
      <c r="AC177" s="28"/>
      <c r="AD177" s="96">
        <f ca="1">AD176/AD174</f>
        <v>0.31998224084440086</v>
      </c>
      <c r="AE177" s="111"/>
      <c r="AF177" s="28"/>
      <c r="AG177" s="96">
        <f ca="1">AG176/AG174</f>
        <v>0.30254247027076675</v>
      </c>
      <c r="AH177" s="111"/>
      <c r="AI177" s="28"/>
      <c r="AJ177" s="96">
        <f ca="1">AJ176/AJ174</f>
        <v>0.27518310031016352</v>
      </c>
      <c r="AK177" s="111"/>
      <c r="AL177" s="28"/>
      <c r="AM177" s="96">
        <f ca="1">AM176/AM174</f>
        <v>0.2420341557256466</v>
      </c>
      <c r="AN177" s="111"/>
      <c r="AO177" s="28"/>
      <c r="AP177" s="96">
        <f ca="1">AP176/AP174</f>
        <v>0.20344036154552725</v>
      </c>
      <c r="AQ177" s="111"/>
      <c r="AR177" s="28"/>
      <c r="AS177" s="96">
        <f ca="1">AS176/AS174</f>
        <v>0.13980826586757997</v>
      </c>
      <c r="AT177" s="111"/>
      <c r="AU177" s="28"/>
    </row>
    <row r="178" spans="15:47" x14ac:dyDescent="0.25">
      <c r="O178" s="2" t="s">
        <v>21</v>
      </c>
      <c r="P178" s="8">
        <v>12</v>
      </c>
      <c r="Q178" s="2"/>
      <c r="R178" s="96">
        <f ca="1">1-R177/(3*F_GAMMA*R$29)</f>
        <v>0.82568465699650284</v>
      </c>
      <c r="S178" s="106"/>
      <c r="T178" s="22"/>
      <c r="U178" s="96">
        <f ca="1">1-U177/(3*F_GAMMA*U$29)</f>
        <v>0.82584220322209556</v>
      </c>
      <c r="V178" s="111"/>
      <c r="W178" s="28"/>
      <c r="X178" s="96">
        <f ca="1">1-X177/(3*F_GAMMA*X$29)</f>
        <v>0.82477554583645563</v>
      </c>
      <c r="Y178" s="111"/>
      <c r="Z178" s="28"/>
      <c r="AA178" s="96">
        <f ca="1">1-AA177/(3*F_GAMMA*AA$29)</f>
        <v>0.82433360123388588</v>
      </c>
      <c r="AB178" s="111"/>
      <c r="AC178" s="28"/>
      <c r="AD178" s="96">
        <f ca="1">1-AD177/(3*F_GAMMA*AD$29)</f>
        <v>0.8241412100052582</v>
      </c>
      <c r="AE178" s="111"/>
      <c r="AF178" s="28"/>
      <c r="AG178" s="96">
        <f ca="1">1-AG177/(3*F_GAMMA*AG$29)</f>
        <v>0.82374844783719248</v>
      </c>
      <c r="AH178" s="111"/>
      <c r="AI178" s="28"/>
      <c r="AJ178" s="96">
        <f ca="1">1-AJ177/(3*F_GAMMA*AJ$29)</f>
        <v>0.82752531129823947</v>
      </c>
      <c r="AK178" s="111"/>
      <c r="AL178" s="28"/>
      <c r="AM178" s="96">
        <f ca="1">1-AM177/(3*F_GAMMA*AM$29)</f>
        <v>0.83038896975408816</v>
      </c>
      <c r="AN178" s="111"/>
      <c r="AO178" s="28"/>
      <c r="AP178" s="96">
        <f ca="1">1-AP177/(3*F_GAMMA*AP$29)</f>
        <v>0.88516735173252092</v>
      </c>
      <c r="AQ178" s="111"/>
      <c r="AR178" s="28"/>
      <c r="AS178" s="96">
        <f ca="1">1-AS177/(3*F_GAMMA*AS$29)</f>
        <v>0.87628352012085675</v>
      </c>
      <c r="AT178" s="111"/>
      <c r="AU178" s="28"/>
    </row>
    <row r="179" spans="15:47" x14ac:dyDescent="0.25">
      <c r="O179" s="2" t="s">
        <v>57</v>
      </c>
      <c r="P179" s="143">
        <v>7</v>
      </c>
      <c r="Q179" s="2"/>
      <c r="R179" s="96">
        <f ca="1">(R172/(N_9*R$27*R174*R178))*SQRT(M*'Valve Sizing'!$W$6*'Valve Sizing'!$G$8/R177)</f>
        <v>0.15685462573252787</v>
      </c>
      <c r="S179" s="107"/>
      <c r="T179" s="22"/>
      <c r="U179" s="96">
        <f ca="1">(U172/(N_9*U$27*U174*U178))*SQRT(M*'Valve Sizing'!$W$6*'Valve Sizing'!$G$8/U177)</f>
        <v>5.2291997390095135</v>
      </c>
      <c r="V179" s="111"/>
      <c r="W179" s="28"/>
      <c r="X179" s="96">
        <f ca="1">(X172/(N_9*X$27*X174*X178))*SQRT(M*'Valve Sizing'!$W$6*'Valve Sizing'!$G$8/X177)</f>
        <v>12.893939664490292</v>
      </c>
      <c r="Y179" s="111"/>
      <c r="Z179" s="28"/>
      <c r="AA179" s="96">
        <f ca="1">(AA172/(N_9*AA$27*AA174*AA178))*SQRT(M*'Valve Sizing'!$W$6*'Valve Sizing'!$G$8/AA177)</f>
        <v>25.567253581466346</v>
      </c>
      <c r="AB179" s="111"/>
      <c r="AC179" s="28"/>
      <c r="AD179" s="96">
        <f ca="1">(AD172/(N_9*AD$27*AD174*AD178))*SQRT(M*'Valve Sizing'!$W$6*'Valve Sizing'!$G$8/AD177)</f>
        <v>44.708411999652796</v>
      </c>
      <c r="AE179" s="111"/>
      <c r="AF179" s="28"/>
      <c r="AG179" s="96">
        <f ca="1">(AG172/(N_9*AG$27*AG174*AG178))*SQRT(M*'Valve Sizing'!$W$6*'Valve Sizing'!$G$8/AG177)</f>
        <v>70.411088679756872</v>
      </c>
      <c r="AH179" s="111"/>
      <c r="AI179" s="28"/>
      <c r="AJ179" s="96">
        <f ca="1">(AJ172/(N_9*AJ$27*AJ174*AJ178))*SQRT(M*'Valve Sizing'!$W$6*'Valve Sizing'!$G$8/AJ177)</f>
        <v>105.6063661925898</v>
      </c>
      <c r="AK179" s="111"/>
      <c r="AL179" s="28"/>
      <c r="AM179" s="96">
        <f ca="1">(AM172/(N_9*AM$27*AM174*AM178))*SQRT(M*'Valve Sizing'!$W$6*'Valve Sizing'!$G$8/AM177)</f>
        <v>151.92521434593974</v>
      </c>
      <c r="AN179" s="111"/>
      <c r="AO179" s="28"/>
      <c r="AP179" s="96">
        <f ca="1">(AP172/(N_9*AP$27*AP174*AP178))*SQRT(M*'Valve Sizing'!$W$6*'Valve Sizing'!$G$8/AP177)</f>
        <v>215.87957059738025</v>
      </c>
      <c r="AQ179" s="111"/>
      <c r="AR179" s="28"/>
      <c r="AS179" s="96">
        <f ca="1">(AS172/(N_9*AS$27*AS174*AS178))*SQRT(M*'Valve Sizing'!$W$6*'Valve Sizing'!$G$8/AS177)</f>
        <v>446.13920780797577</v>
      </c>
      <c r="AT179" s="111"/>
      <c r="AU179" s="28"/>
    </row>
    <row r="180" spans="15:47" x14ac:dyDescent="0.25">
      <c r="O180" s="2" t="s">
        <v>59</v>
      </c>
      <c r="P180" s="143">
        <v>7</v>
      </c>
      <c r="Q180" s="2"/>
      <c r="R180" s="96">
        <f ca="1">(R172/(N_9*R$27*R174*0.667))*SQRT(M*'Valve Sizing'!$W$6*'Valve Sizing'!$G$8/R181)</f>
        <v>0.14041520754014436</v>
      </c>
      <c r="S180" s="107"/>
      <c r="T180" s="22"/>
      <c r="U180" s="96">
        <f ca="1">(U172/(N_9*U$27*U174*0.667))*SQRT(M*'Valve Sizing'!$W$6*'Valve Sizing'!$G$8/U181)</f>
        <v>4.6799213904396382</v>
      </c>
      <c r="V180" s="111"/>
      <c r="W180" s="28"/>
      <c r="X180" s="96">
        <f ca="1">(X172/(N_9*X$27*X174*0.667))*SQRT(M*'Valve Sizing'!$W$6*'Valve Sizing'!$G$8/X181)</f>
        <v>11.559886256387868</v>
      </c>
      <c r="Y180" s="111"/>
      <c r="Z180" s="28"/>
      <c r="AA180" s="96">
        <f ca="1">(AA172/(N_9*AA$27*AA174*0.667))*SQRT(M*'Valve Sizing'!$W$6*'Valve Sizing'!$G$8/AA181)</f>
        <v>22.938563867275718</v>
      </c>
      <c r="AB180" s="111"/>
      <c r="AC180" s="28"/>
      <c r="AD180" s="96">
        <f ca="1">(AD172/(N_9*AD$27*AD174*0.667))*SQRT(M*'Valve Sizing'!$W$6*'Valve Sizing'!$G$8/AD181)</f>
        <v>40.124322198497858</v>
      </c>
      <c r="AE180" s="111"/>
      <c r="AF180" s="28"/>
      <c r="AG180" s="96">
        <f ca="1">(AG172/(N_9*AG$27*AG174*0.667))*SQRT(M*'Valve Sizing'!$W$6*'Valve Sizing'!$G$8/AG181)</f>
        <v>63.232002712294175</v>
      </c>
      <c r="AH180" s="111"/>
      <c r="AI180" s="28"/>
      <c r="AJ180" s="96">
        <f ca="1">(AJ172/(N_9*AJ$27*AJ174*0.667))*SQRT(M*'Valve Sizing'!$W$6*'Valve Sizing'!$G$8/AJ181)</f>
        <v>94.24728839060964</v>
      </c>
      <c r="AK180" s="111"/>
      <c r="AL180" s="28"/>
      <c r="AM180" s="96">
        <f ca="1">(AM172/(N_9*AM$27*AM174*0.667))*SQRT(M*'Valve Sizing'!$W$6*'Valve Sizing'!$G$8/AM181)</f>
        <v>134.91904826799868</v>
      </c>
      <c r="AN180" s="111"/>
      <c r="AO180" s="28"/>
      <c r="AP180" s="96">
        <f ca="1">(AP172/(N_9*AP$27*AP174*0.667))*SQRT(M*'Valve Sizing'!$W$6*'Valve Sizing'!$G$8/AP181)</f>
        <v>168.1529212208554</v>
      </c>
      <c r="AQ180" s="111"/>
      <c r="AR180" s="28"/>
      <c r="AS180" s="96">
        <f ca="1">(AS172/(N_9*AS$27*AS174*0.667))*SQRT(M*'Valve Sizing'!$W$6*'Valve Sizing'!$G$8/AS181)</f>
        <v>357.07842181348144</v>
      </c>
      <c r="AT180" s="111"/>
      <c r="AU180" s="28"/>
    </row>
    <row r="181" spans="15:47" ht="15.6" x14ac:dyDescent="0.35">
      <c r="O181" s="2" t="s">
        <v>68</v>
      </c>
      <c r="P181" s="143">
        <v>10</v>
      </c>
      <c r="Q181" s="2"/>
      <c r="R181" s="96">
        <f ca="1">F_GAMMA*R$29</f>
        <v>0.64002969751372984</v>
      </c>
      <c r="S181" s="107"/>
      <c r="T181" s="1"/>
      <c r="U181" s="96">
        <f ca="1">F_GAMMA*U$29</f>
        <v>0.64017842058782071</v>
      </c>
      <c r="V181" s="111"/>
      <c r="W181" s="28"/>
      <c r="X181" s="96">
        <f ca="1">F_GAMMA*X$29</f>
        <v>0.63413873724904268</v>
      </c>
      <c r="Y181" s="111"/>
      <c r="Z181" s="28"/>
      <c r="AA181" s="96">
        <f ca="1">F_GAMMA*AA$29</f>
        <v>0.62532411750377137</v>
      </c>
      <c r="AB181" s="111"/>
      <c r="AC181" s="28"/>
      <c r="AD181" s="96">
        <f ca="1">F_GAMMA*AD$29</f>
        <v>0.60651359509139569</v>
      </c>
      <c r="AE181" s="111"/>
      <c r="AF181" s="28"/>
      <c r="AG181" s="96">
        <f ca="1">F_GAMMA*AG$29</f>
        <v>0.57217930198481592</v>
      </c>
      <c r="AH181" s="111"/>
      <c r="AI181" s="28"/>
      <c r="AJ181" s="96">
        <f ca="1">F_GAMMA*AJ$29</f>
        <v>0.53183282018848232</v>
      </c>
      <c r="AK181" s="111"/>
      <c r="AL181" s="28"/>
      <c r="AM181" s="96">
        <f ca="1">F_GAMMA*AM$29</f>
        <v>0.47566512503094399</v>
      </c>
      <c r="AN181" s="111"/>
      <c r="AO181" s="28"/>
      <c r="AP181" s="96">
        <f ca="1">F_GAMMA*AP$29</f>
        <v>0.59054158265645496</v>
      </c>
      <c r="AQ181" s="111"/>
      <c r="AR181" s="28"/>
      <c r="AS181" s="96">
        <f ca="1">F_GAMMA*AS$29</f>
        <v>0.3766899554102966</v>
      </c>
      <c r="AT181" s="111"/>
      <c r="AU181" s="28"/>
    </row>
    <row r="182" spans="15:47" x14ac:dyDescent="0.25">
      <c r="O182" s="2" t="s">
        <v>145</v>
      </c>
      <c r="P182" s="12"/>
      <c r="Q182" s="2"/>
      <c r="R182" s="96">
        <f ca="1">IF(R177&lt;R181,R179,R180)</f>
        <v>0.15685462573252787</v>
      </c>
      <c r="S182" s="116"/>
      <c r="T182" s="1"/>
      <c r="U182" s="96">
        <f ca="1">IF(U177&lt;U181,U179,U180)</f>
        <v>5.2291997390095135</v>
      </c>
      <c r="V182" s="111"/>
      <c r="W182" s="28"/>
      <c r="X182" s="96">
        <f ca="1">IF(X177&lt;X181,X179,X180)</f>
        <v>12.893939664490292</v>
      </c>
      <c r="Y182" s="111"/>
      <c r="Z182" s="28"/>
      <c r="AA182" s="96">
        <f ca="1">IF(AA177&lt;AA181,AA179,AA180)</f>
        <v>25.567253581466346</v>
      </c>
      <c r="AB182" s="111"/>
      <c r="AC182" s="28"/>
      <c r="AD182" s="96">
        <f ca="1">IF(AD177&lt;AD181,AD179,AD180)</f>
        <v>44.708411999652796</v>
      </c>
      <c r="AE182" s="111"/>
      <c r="AF182" s="28"/>
      <c r="AG182" s="96">
        <f ca="1">IF(AG177&lt;AG181,AG179,AG180)</f>
        <v>70.411088679756872</v>
      </c>
      <c r="AH182" s="111"/>
      <c r="AI182" s="28"/>
      <c r="AJ182" s="96">
        <f ca="1">IF(AJ177&lt;AJ181,AJ179,AJ180)</f>
        <v>105.6063661925898</v>
      </c>
      <c r="AK182" s="111"/>
      <c r="AL182" s="28"/>
      <c r="AM182" s="96">
        <f ca="1">IF(AM177&lt;AM181,AM179,AM180)</f>
        <v>151.92521434593974</v>
      </c>
      <c r="AN182" s="111"/>
      <c r="AO182" s="28"/>
      <c r="AP182" s="96">
        <f ca="1">IF(AP177&lt;AP181,AP179,AP180)</f>
        <v>215.87957059738025</v>
      </c>
      <c r="AQ182" s="111"/>
      <c r="AR182" s="28"/>
      <c r="AS182" s="96">
        <f ca="1">IF(AS177&lt;AS181,AS179,AS180)</f>
        <v>446.13920780797577</v>
      </c>
      <c r="AT182" s="111"/>
      <c r="AU182" s="28"/>
    </row>
    <row r="183" spans="15:47" x14ac:dyDescent="0.25">
      <c r="O183" s="13" t="s">
        <v>143</v>
      </c>
      <c r="P183" s="1"/>
      <c r="Q183" s="1"/>
      <c r="R183" s="113"/>
      <c r="S183" s="106">
        <f ca="1">IF(R176&lt;=0,Q_max,ABS(R$23-R182))</f>
        <v>4.5731453742674724</v>
      </c>
      <c r="T183" s="7">
        <f>R172</f>
        <v>388.4081920429295</v>
      </c>
      <c r="U183" s="98"/>
      <c r="V183" s="106">
        <f ca="1">IF(U176&lt;=0,Q_max,ABS(U$23-U182))</f>
        <v>6.3708002609904861</v>
      </c>
      <c r="W183" s="9">
        <f ca="1">U172</f>
        <v>12933.964424194808</v>
      </c>
      <c r="X183" s="98"/>
      <c r="Y183" s="106">
        <f ca="1">IF(X176&lt;=0,Q_max,ABS(X$23-X182))</f>
        <v>10.106060335509708</v>
      </c>
      <c r="Z183" s="9">
        <f ca="1">X172</f>
        <v>31670.527901824455</v>
      </c>
      <c r="AA183" s="98"/>
      <c r="AB183" s="106">
        <f ca="1">IF(AA176&lt;=0,Q_max,ABS(AA$23-AA182))</f>
        <v>13.832746418533652</v>
      </c>
      <c r="AC183" s="9">
        <f ca="1">AA172</f>
        <v>61686.104595768869</v>
      </c>
      <c r="AD183" s="98"/>
      <c r="AE183" s="106">
        <f ca="1">IF(AD176&lt;=0,Q_max,ABS(AD$23-AD182))</f>
        <v>16.291588000347204</v>
      </c>
      <c r="AF183" s="9">
        <f ca="1">AD172</f>
        <v>103490.09428852586</v>
      </c>
      <c r="AG183" s="98"/>
      <c r="AH183" s="106">
        <f ca="1">IF(AG176&lt;=0,Q_max,ABS(AG$23-AG182))</f>
        <v>17.78891132024313</v>
      </c>
      <c r="AI183" s="9">
        <f ca="1">AG172</f>
        <v>151046.61128498355</v>
      </c>
      <c r="AJ183" s="98"/>
      <c r="AK183" s="106">
        <f ca="1">IF(AJ176&lt;=0,Q_max,ABS(AJ$23-AJ182))</f>
        <v>15.393633807410197</v>
      </c>
      <c r="AL183" s="9">
        <f ca="1">AJ172</f>
        <v>201572.28830215463</v>
      </c>
      <c r="AM183" s="98"/>
      <c r="AN183" s="106">
        <f ca="1">IF(AM176&lt;=0,Q_max,ABS(AM$23-AM182))</f>
        <v>13.074785654060264</v>
      </c>
      <c r="AO183" s="9">
        <f ca="1">AM172</f>
        <v>245956.49851580916</v>
      </c>
      <c r="AP183" s="98"/>
      <c r="AQ183" s="106">
        <f ca="1">IF(AP176&lt;=0,Q_max,ABS(AP$23-AP182))</f>
        <v>30.120429402619749</v>
      </c>
      <c r="AR183" s="9">
        <f ca="1">AP172</f>
        <v>285547.8591483616</v>
      </c>
      <c r="AS183" s="98"/>
      <c r="AT183" s="106">
        <f ca="1">IF(AS176&lt;=0,Q_max,ABS(AS$23-AS182))</f>
        <v>26.139207807975765</v>
      </c>
      <c r="AU183" s="9">
        <f ca="1">AS172</f>
        <v>334827.321741049</v>
      </c>
    </row>
    <row r="184" spans="15:47" x14ac:dyDescent="0.25">
      <c r="O184" s="21"/>
      <c r="P184" s="14"/>
      <c r="Q184" s="21"/>
      <c r="R184" s="97"/>
      <c r="S184" s="106"/>
      <c r="T184" s="28"/>
      <c r="U184" s="97"/>
      <c r="V184" s="111"/>
      <c r="W184" s="28"/>
      <c r="X184" s="97"/>
      <c r="Y184" s="111"/>
      <c r="Z184" s="28"/>
      <c r="AA184" s="97"/>
      <c r="AB184" s="111"/>
      <c r="AC184" s="28"/>
      <c r="AD184" s="97"/>
      <c r="AE184" s="111"/>
      <c r="AF184" s="28"/>
      <c r="AG184" s="97"/>
      <c r="AH184" s="111"/>
      <c r="AI184" s="28"/>
      <c r="AJ184" s="97"/>
      <c r="AK184" s="111"/>
      <c r="AL184" s="28"/>
      <c r="AM184" s="97"/>
      <c r="AN184" s="111"/>
      <c r="AO184" s="28"/>
      <c r="AP184" s="97"/>
      <c r="AQ184" s="111"/>
      <c r="AR184" s="28"/>
      <c r="AS184" s="97"/>
      <c r="AT184" s="111"/>
      <c r="AU184" s="28"/>
    </row>
    <row r="185" spans="15:47" x14ac:dyDescent="0.25">
      <c r="O185" s="1"/>
      <c r="P185" s="1"/>
      <c r="Q185" s="1"/>
      <c r="R185" s="98"/>
      <c r="S185" s="108" t="s">
        <v>137</v>
      </c>
      <c r="T185" s="26" t="s">
        <v>146</v>
      </c>
      <c r="U185" s="98"/>
      <c r="V185" s="108" t="s">
        <v>137</v>
      </c>
      <c r="W185" s="26" t="s">
        <v>146</v>
      </c>
      <c r="X185" s="98"/>
      <c r="Y185" s="108" t="s">
        <v>137</v>
      </c>
      <c r="Z185" s="26" t="s">
        <v>146</v>
      </c>
      <c r="AA185" s="98"/>
      <c r="AB185" s="108" t="s">
        <v>137</v>
      </c>
      <c r="AC185" s="26" t="s">
        <v>146</v>
      </c>
      <c r="AD185" s="98"/>
      <c r="AE185" s="108" t="s">
        <v>137</v>
      </c>
      <c r="AF185" s="26" t="s">
        <v>146</v>
      </c>
      <c r="AG185" s="98"/>
      <c r="AH185" s="108" t="s">
        <v>137</v>
      </c>
      <c r="AI185" s="26" t="s">
        <v>146</v>
      </c>
      <c r="AJ185" s="98"/>
      <c r="AK185" s="108" t="s">
        <v>137</v>
      </c>
      <c r="AL185" s="26" t="s">
        <v>146</v>
      </c>
      <c r="AM185" s="98"/>
      <c r="AN185" s="108" t="s">
        <v>137</v>
      </c>
      <c r="AO185" s="26" t="s">
        <v>146</v>
      </c>
      <c r="AP185" s="98"/>
      <c r="AQ185" s="108" t="s">
        <v>137</v>
      </c>
      <c r="AR185" s="26" t="s">
        <v>146</v>
      </c>
      <c r="AS185" s="98"/>
      <c r="AT185" s="108" t="s">
        <v>137</v>
      </c>
      <c r="AU185" s="26" t="s">
        <v>146</v>
      </c>
    </row>
    <row r="186" spans="15:47" ht="13.8" x14ac:dyDescent="0.25">
      <c r="O186" s="20" t="s">
        <v>136</v>
      </c>
      <c r="P186" s="1"/>
      <c r="Q186" s="1"/>
      <c r="R186" s="96">
        <f>R172*1.02</f>
        <v>396.17635588378812</v>
      </c>
      <c r="S186" s="109" t="s">
        <v>144</v>
      </c>
      <c r="T186" s="23" t="s">
        <v>147</v>
      </c>
      <c r="U186" s="96">
        <f ca="1">U172*1.01</f>
        <v>13063.304068436757</v>
      </c>
      <c r="V186" s="109" t="s">
        <v>144</v>
      </c>
      <c r="W186" s="23" t="s">
        <v>147</v>
      </c>
      <c r="X186" s="96">
        <f ca="1">X172*1.01</f>
        <v>31987.233180842701</v>
      </c>
      <c r="Y186" s="109" t="s">
        <v>144</v>
      </c>
      <c r="Z186" s="23" t="s">
        <v>147</v>
      </c>
      <c r="AA186" s="96">
        <f ca="1">AA172*1.01</f>
        <v>62302.965641726558</v>
      </c>
      <c r="AB186" s="109" t="s">
        <v>144</v>
      </c>
      <c r="AC186" s="23" t="s">
        <v>147</v>
      </c>
      <c r="AD186" s="96">
        <f ca="1">AD172*1.01</f>
        <v>104524.99523141111</v>
      </c>
      <c r="AE186" s="109" t="s">
        <v>144</v>
      </c>
      <c r="AF186" s="23" t="s">
        <v>147</v>
      </c>
      <c r="AG186" s="96">
        <f ca="1">AG172*1.01</f>
        <v>152557.07739783337</v>
      </c>
      <c r="AH186" s="109" t="s">
        <v>144</v>
      </c>
      <c r="AI186" s="23" t="s">
        <v>147</v>
      </c>
      <c r="AJ186" s="96">
        <f ca="1">AJ172*1.01</f>
        <v>203588.01118517618</v>
      </c>
      <c r="AK186" s="109" t="s">
        <v>144</v>
      </c>
      <c r="AL186" s="23" t="s">
        <v>147</v>
      </c>
      <c r="AM186" s="96">
        <f ca="1">AM172*1.01</f>
        <v>248416.06350096726</v>
      </c>
      <c r="AN186" s="109" t="s">
        <v>144</v>
      </c>
      <c r="AO186" s="23" t="s">
        <v>147</v>
      </c>
      <c r="AP186" s="96">
        <f ca="1">AP172*1.01</f>
        <v>288403.33773984521</v>
      </c>
      <c r="AQ186" s="109" t="s">
        <v>144</v>
      </c>
      <c r="AR186" s="23" t="s">
        <v>147</v>
      </c>
      <c r="AS186" s="96">
        <f ca="1">AS172*1.01</f>
        <v>338175.59495845949</v>
      </c>
      <c r="AT186" s="109" t="s">
        <v>144</v>
      </c>
      <c r="AU186" s="23" t="s">
        <v>147</v>
      </c>
    </row>
    <row r="187" spans="15:47" x14ac:dyDescent="0.25">
      <c r="O187" s="1"/>
      <c r="P187" s="1"/>
      <c r="Q187" s="1"/>
      <c r="R187" s="98"/>
      <c r="S187" s="107"/>
      <c r="T187" s="1"/>
      <c r="U187" s="47"/>
      <c r="V187" s="107"/>
      <c r="W187" s="1"/>
      <c r="X187" s="47"/>
      <c r="Y187" s="107"/>
      <c r="Z187" s="1"/>
      <c r="AA187" s="47"/>
      <c r="AB187" s="107"/>
      <c r="AC187" s="1"/>
      <c r="AD187" s="47"/>
      <c r="AE187" s="107"/>
      <c r="AF187" s="1"/>
      <c r="AG187" s="47"/>
      <c r="AH187" s="107"/>
      <c r="AI187" s="1"/>
      <c r="AJ187" s="47"/>
      <c r="AK187" s="107"/>
      <c r="AL187" s="1"/>
      <c r="AM187" s="47"/>
      <c r="AN187" s="107"/>
      <c r="AO187" s="1"/>
      <c r="AP187" s="47"/>
      <c r="AQ187" s="107"/>
      <c r="AR187" s="1"/>
      <c r="AS187" s="47"/>
      <c r="AT187" s="107"/>
      <c r="AU187" s="1"/>
    </row>
    <row r="188" spans="15:47" x14ac:dyDescent="0.25">
      <c r="O188" s="8" t="s">
        <v>132</v>
      </c>
      <c r="P188" s="8"/>
      <c r="Q188" s="8"/>
      <c r="R188" s="96">
        <f>P_1_minQ-(R186^2*R_up)+dpup_minQ</f>
        <v>90.185011923365749</v>
      </c>
      <c r="S188" s="106"/>
      <c r="T188" s="22"/>
      <c r="U188" s="96">
        <f ca="1">P_1_minQ-(U186^2*R_up)+dpup_minQ</f>
        <v>90.153937721582167</v>
      </c>
      <c r="V188" s="107"/>
      <c r="W188" s="1"/>
      <c r="X188" s="96">
        <f ca="1">P_1_minQ-(X186^2*R_up)+dpup_minQ</f>
        <v>89.99855424857256</v>
      </c>
      <c r="Y188" s="107"/>
      <c r="Z188" s="1"/>
      <c r="AA188" s="96">
        <f ca="1">P_1_minQ-(AA186^2*R_up)+dpup_minQ</f>
        <v>89.47756572775468</v>
      </c>
      <c r="AB188" s="107"/>
      <c r="AC188" s="1"/>
      <c r="AD188" s="96">
        <f ca="1">P_1_minQ-(AD186^2*R_up)+dpup_minQ</f>
        <v>88.193753569228818</v>
      </c>
      <c r="AE188" s="107"/>
      <c r="AF188" s="1"/>
      <c r="AG188" s="96">
        <f ca="1">P_1_minQ-(AG186^2*R_up)+dpup_minQ</f>
        <v>85.943161711906129</v>
      </c>
      <c r="AH188" s="107"/>
      <c r="AI188" s="1"/>
      <c r="AJ188" s="96">
        <f ca="1">P_1_minQ-(AJ186^2*R_up)+dpup_minQ</f>
        <v>82.6306760120668</v>
      </c>
      <c r="AK188" s="107"/>
      <c r="AL188" s="1"/>
      <c r="AM188" s="96">
        <f ca="1">P_1_minQ-(AM186^2*R_up)+dpup_minQ</f>
        <v>78.93762116881868</v>
      </c>
      <c r="AN188" s="107"/>
      <c r="AO188" s="1"/>
      <c r="AP188" s="96">
        <f ca="1">P_1_minQ-(AP186^2*R_up)+dpup_minQ</f>
        <v>75.025218543648535</v>
      </c>
      <c r="AQ188" s="107"/>
      <c r="AR188" s="1"/>
      <c r="AS188" s="96">
        <f ca="1">P_1_minQ-(AS186^2*R_up)+dpup_minQ</f>
        <v>69.341184601579442</v>
      </c>
      <c r="AT188" s="107"/>
      <c r="AU188" s="1"/>
    </row>
    <row r="189" spans="15:47" x14ac:dyDescent="0.25">
      <c r="O189" s="8" t="s">
        <v>134</v>
      </c>
      <c r="P189" s="1"/>
      <c r="Q189" s="8"/>
      <c r="R189" s="97">
        <f>P_2_minQ+(R186^2*R_dn)-dpdn_minQ</f>
        <v>60</v>
      </c>
      <c r="S189" s="106"/>
      <c r="T189" s="22"/>
      <c r="U189" s="97">
        <f ca="1">P_2_minQ+(U186^2*R_dn)-dpdn_minQ</f>
        <v>60</v>
      </c>
      <c r="V189" s="107"/>
      <c r="W189" s="1"/>
      <c r="X189" s="97">
        <f ca="1">P_2_minQ+(X186^2*R_dn)-dpdn_minQ</f>
        <v>60</v>
      </c>
      <c r="Y189" s="107"/>
      <c r="Z189" s="1"/>
      <c r="AA189" s="97">
        <f ca="1">P_2_minQ+(AA186^2*R_dn)-dpdn_minQ</f>
        <v>60</v>
      </c>
      <c r="AB189" s="107"/>
      <c r="AC189" s="1"/>
      <c r="AD189" s="97">
        <f ca="1">P_2_minQ+(AD186^2*R_dn)-dpdn_minQ</f>
        <v>60</v>
      </c>
      <c r="AE189" s="107"/>
      <c r="AF189" s="1"/>
      <c r="AG189" s="97">
        <f ca="1">P_2_minQ+(AG186^2*R_dn)-dpdn_minQ</f>
        <v>60</v>
      </c>
      <c r="AH189" s="107"/>
      <c r="AI189" s="1"/>
      <c r="AJ189" s="97">
        <f ca="1">P_2_minQ+(AJ186^2*R_dn)-dpdn_minQ</f>
        <v>60</v>
      </c>
      <c r="AK189" s="107"/>
      <c r="AL189" s="1"/>
      <c r="AM189" s="97">
        <f ca="1">P_2_minQ+(AM186^2*R_dn)-dpdn_minQ</f>
        <v>60</v>
      </c>
      <c r="AN189" s="107"/>
      <c r="AO189" s="1"/>
      <c r="AP189" s="97">
        <f ca="1">P_2_minQ+(AP186^2*R_dn)-dpdn_minQ</f>
        <v>60</v>
      </c>
      <c r="AQ189" s="107"/>
      <c r="AR189" s="1"/>
      <c r="AS189" s="97">
        <f ca="1">P_2_minQ+(AS186^2*R_dn)-dpdn_minQ</f>
        <v>60</v>
      </c>
      <c r="AT189" s="107"/>
      <c r="AU189" s="1"/>
    </row>
    <row r="190" spans="15:47" x14ac:dyDescent="0.25">
      <c r="O190" s="8" t="s">
        <v>138</v>
      </c>
      <c r="P190" s="1"/>
      <c r="Q190" s="8"/>
      <c r="R190" s="97">
        <f>R188-R189</f>
        <v>30.185011923365749</v>
      </c>
      <c r="S190" s="106"/>
      <c r="T190" s="22"/>
      <c r="U190" s="97">
        <f ca="1">U188-U189</f>
        <v>30.153937721582167</v>
      </c>
      <c r="V190" s="110"/>
      <c r="W190" s="25"/>
      <c r="X190" s="97">
        <f ca="1">X188-X189</f>
        <v>29.99855424857256</v>
      </c>
      <c r="Y190" s="110"/>
      <c r="Z190" s="25"/>
      <c r="AA190" s="97">
        <f ca="1">AA188-AA189</f>
        <v>29.47756572775468</v>
      </c>
      <c r="AB190" s="110"/>
      <c r="AC190" s="25"/>
      <c r="AD190" s="97">
        <f ca="1">AD188-AD189</f>
        <v>28.193753569228818</v>
      </c>
      <c r="AE190" s="110"/>
      <c r="AF190" s="25"/>
      <c r="AG190" s="97">
        <f ca="1">AG188-AG189</f>
        <v>25.943161711906129</v>
      </c>
      <c r="AH190" s="110"/>
      <c r="AI190" s="25"/>
      <c r="AJ190" s="97">
        <f ca="1">AJ188-AJ189</f>
        <v>22.6306760120668</v>
      </c>
      <c r="AK190" s="110"/>
      <c r="AL190" s="25"/>
      <c r="AM190" s="97">
        <f ca="1">AM188-AM189</f>
        <v>18.93762116881868</v>
      </c>
      <c r="AN190" s="110"/>
      <c r="AO190" s="25"/>
      <c r="AP190" s="97">
        <f ca="1">AP188-AP189</f>
        <v>15.025218543648535</v>
      </c>
      <c r="AQ190" s="110"/>
      <c r="AR190" s="25"/>
      <c r="AS190" s="97">
        <f ca="1">AS188-AS189</f>
        <v>9.3411846015794424</v>
      </c>
      <c r="AT190" s="110"/>
      <c r="AU190" s="25"/>
    </row>
    <row r="191" spans="15:47" ht="14.4" x14ac:dyDescent="0.3">
      <c r="O191" s="2" t="s">
        <v>140</v>
      </c>
      <c r="P191" s="11"/>
      <c r="Q191" s="2"/>
      <c r="R191" s="96">
        <f>R190/R188</f>
        <v>0.33470098056886999</v>
      </c>
      <c r="S191" s="106"/>
      <c r="T191" s="22"/>
      <c r="U191" s="96">
        <f ca="1">U190/U188</f>
        <v>0.33447166572695963</v>
      </c>
      <c r="V191" s="111"/>
      <c r="W191" s="28"/>
      <c r="X191" s="96">
        <f ca="1">X190/X188</f>
        <v>0.333322623891465</v>
      </c>
      <c r="Y191" s="111"/>
      <c r="Z191" s="28"/>
      <c r="AA191" s="96">
        <f ca="1">AA190/AA188</f>
        <v>0.32944085467684059</v>
      </c>
      <c r="AB191" s="111"/>
      <c r="AC191" s="28"/>
      <c r="AD191" s="96">
        <f ca="1">AD190/AD188</f>
        <v>0.31967971004996143</v>
      </c>
      <c r="AE191" s="111"/>
      <c r="AF191" s="28"/>
      <c r="AG191" s="96">
        <f ca="1">AG190/AG188</f>
        <v>0.30186417621999234</v>
      </c>
      <c r="AH191" s="111"/>
      <c r="AI191" s="28"/>
      <c r="AJ191" s="96">
        <f ca="1">AJ190/AJ188</f>
        <v>0.27387741580090641</v>
      </c>
      <c r="AK191" s="111"/>
      <c r="AL191" s="28"/>
      <c r="AM191" s="96">
        <f ca="1">AM190/AM188</f>
        <v>0.23990615486521996</v>
      </c>
      <c r="AN191" s="111"/>
      <c r="AO191" s="28"/>
      <c r="AP191" s="96">
        <f ca="1">AP190/AP188</f>
        <v>0.20026890737955119</v>
      </c>
      <c r="AQ191" s="111"/>
      <c r="AR191" s="28"/>
      <c r="AS191" s="96">
        <f ca="1">AS190/AS188</f>
        <v>0.13471336919396487</v>
      </c>
      <c r="AT191" s="111"/>
      <c r="AU191" s="28"/>
    </row>
    <row r="192" spans="15:47" x14ac:dyDescent="0.25">
      <c r="O192" s="2" t="s">
        <v>21</v>
      </c>
      <c r="P192" s="8">
        <v>12</v>
      </c>
      <c r="Q192" s="2"/>
      <c r="R192" s="96">
        <f ca="1">1-R191/(3*F_GAMMA*R$29)</f>
        <v>0.82568466126438866</v>
      </c>
      <c r="S192" s="106"/>
      <c r="T192" s="22"/>
      <c r="U192" s="96">
        <f ca="1">1-U191/(3*F_GAMMA*U$29)</f>
        <v>0.82584455886540553</v>
      </c>
      <c r="V192" s="111"/>
      <c r="W192" s="28"/>
      <c r="X192" s="96">
        <f ca="1">1-X191/(3*F_GAMMA*X$29)</f>
        <v>0.82478985311770947</v>
      </c>
      <c r="Y192" s="111"/>
      <c r="Z192" s="28"/>
      <c r="AA192" s="96">
        <f ca="1">1-AA191/(3*F_GAMMA*AA$29)</f>
        <v>0.82438928045190707</v>
      </c>
      <c r="AB192" s="111"/>
      <c r="AC192" s="28"/>
      <c r="AD192" s="96">
        <f ca="1">1-AD191/(3*F_GAMMA*AD$29)</f>
        <v>0.82430747766844437</v>
      </c>
      <c r="AE192" s="111"/>
      <c r="AF192" s="28"/>
      <c r="AG192" s="96">
        <f ca="1">1-AG191/(3*F_GAMMA*AG$29)</f>
        <v>0.82414360022411115</v>
      </c>
      <c r="AH192" s="111"/>
      <c r="AI192" s="28"/>
      <c r="AJ192" s="96">
        <f ca="1">1-AJ191/(3*F_GAMMA*AJ$29)</f>
        <v>0.82834366652798663</v>
      </c>
      <c r="AK192" s="111"/>
      <c r="AL192" s="28"/>
      <c r="AM192" s="96">
        <f ca="1">1-AM191/(3*F_GAMMA*AM$29)</f>
        <v>0.83188021555457881</v>
      </c>
      <c r="AN192" s="111"/>
      <c r="AO192" s="28"/>
      <c r="AP192" s="96">
        <f ca="1">1-AP191/(3*F_GAMMA*AP$29)</f>
        <v>0.88695749051310147</v>
      </c>
      <c r="AQ192" s="111"/>
      <c r="AR192" s="28"/>
      <c r="AS192" s="96">
        <f ca="1">1-AS191/(3*F_GAMMA*AS$29)</f>
        <v>0.88079199948648046</v>
      </c>
      <c r="AT192" s="111"/>
      <c r="AU192" s="28"/>
    </row>
    <row r="193" spans="15:47" x14ac:dyDescent="0.25">
      <c r="O193" s="2" t="s">
        <v>57</v>
      </c>
      <c r="P193" s="143">
        <v>7</v>
      </c>
      <c r="Q193" s="2"/>
      <c r="R193" s="96">
        <f ca="1">(R186/(N_9*R$27*R188*R192))*SQRT(M*'Valve Sizing'!$W$6*'Valve Sizing'!$G$8/R191)</f>
        <v>0.15999172134946568</v>
      </c>
      <c r="S193" s="107"/>
      <c r="T193" s="22"/>
      <c r="U193" s="96">
        <f ca="1">(U186/(N_9*U$27*U188*U192))*SQRT(M*'Valve Sizing'!$W$6*'Valve Sizing'!$G$8/U191)</f>
        <v>5.2815482928573374</v>
      </c>
      <c r="V193" s="111"/>
      <c r="W193" s="28"/>
      <c r="X193" s="96">
        <f ca="1">(X186/(N_9*X$27*X188*X192))*SQRT(M*'Valve Sizing'!$W$6*'Valve Sizing'!$G$8/X191)</f>
        <v>13.023716567352322</v>
      </c>
      <c r="Y193" s="111"/>
      <c r="Z193" s="28"/>
      <c r="AA193" s="96">
        <f ca="1">(AA186/(N_9*AA$27*AA188*AA192))*SQRT(M*'Valve Sizing'!$W$6*'Valve Sizing'!$G$8/AA191)</f>
        <v>25.829298568951753</v>
      </c>
      <c r="AB193" s="111"/>
      <c r="AC193" s="28"/>
      <c r="AD193" s="96">
        <f ca="1">(AD186/(N_9*AD$27*AD188*AD192))*SQRT(M*'Valve Sizing'!$W$6*'Valve Sizing'!$G$8/AD191)</f>
        <v>45.187839740318701</v>
      </c>
      <c r="AE193" s="111"/>
      <c r="AF193" s="28"/>
      <c r="AG193" s="96">
        <f ca="1">(AG186/(N_9*AG$27*AG188*AG192))*SQRT(M*'Valve Sizing'!$W$6*'Valve Sizing'!$G$8/AG191)</f>
        <v>71.230123050227249</v>
      </c>
      <c r="AH193" s="111"/>
      <c r="AI193" s="28"/>
      <c r="AJ193" s="96">
        <f ca="1">(AJ186/(N_9*AJ$27*AJ188*AJ192))*SQRT(M*'Valve Sizing'!$W$6*'Valve Sizing'!$G$8/AJ191)</f>
        <v>107.0031606807553</v>
      </c>
      <c r="AK193" s="111"/>
      <c r="AL193" s="28"/>
      <c r="AM193" s="96">
        <f ca="1">(AM186/(N_9*AM$27*AM188*AM192))*SQRT(M*'Valve Sizing'!$W$6*'Valve Sizing'!$G$8/AM191)</f>
        <v>154.27914432548556</v>
      </c>
      <c r="AN193" s="111"/>
      <c r="AO193" s="28"/>
      <c r="AP193" s="96">
        <f ca="1">(AP186/(N_9*AP$27*AP188*AP192))*SQRT(M*'Valve Sizing'!$W$6*'Valve Sizing'!$G$8/AP191)</f>
        <v>220.18766208042493</v>
      </c>
      <c r="AQ193" s="111"/>
      <c r="AR193" s="28"/>
      <c r="AS193" s="96">
        <f ca="1">(AS186/(N_9*AS$27*AS188*AS192))*SQRT(M*'Valve Sizing'!$W$6*'Valve Sizing'!$G$8/AS191)</f>
        <v>459.39773829740386</v>
      </c>
      <c r="AT193" s="111"/>
      <c r="AU193" s="28"/>
    </row>
    <row r="194" spans="15:47" x14ac:dyDescent="0.25">
      <c r="O194" s="2" t="s">
        <v>59</v>
      </c>
      <c r="P194" s="143">
        <v>7</v>
      </c>
      <c r="Q194" s="2"/>
      <c r="R194" s="96">
        <f ca="1">(R186/(N_9*R$27*R188*0.667))*SQRT(M*'Valve Sizing'!$W$6*'Valve Sizing'!$G$8/R195)</f>
        <v>0.14322351345508144</v>
      </c>
      <c r="S194" s="107"/>
      <c r="T194" s="22"/>
      <c r="U194" s="96">
        <f ca="1">(U186/(N_9*U$27*U188*0.667))*SQRT(M*'Valve Sizing'!$W$6*'Valve Sizing'!$G$8/U195)</f>
        <v>4.7267527356331724</v>
      </c>
      <c r="V194" s="111"/>
      <c r="W194" s="28"/>
      <c r="X194" s="96">
        <f ca="1">(X186/(N_9*X$27*X188*0.667))*SQRT(M*'Valve Sizing'!$W$6*'Valve Sizing'!$G$8/X195)</f>
        <v>11.675961812859182</v>
      </c>
      <c r="Y194" s="111"/>
      <c r="Z194" s="28"/>
      <c r="AA194" s="96">
        <f ca="1">(AA186/(N_9*AA$27*AA188*0.667))*SQRT(M*'Valve Sizing'!$W$6*'Valve Sizing'!$G$8/AA195)</f>
        <v>23.171558928471207</v>
      </c>
      <c r="AB194" s="111"/>
      <c r="AC194" s="28"/>
      <c r="AD194" s="96">
        <f ca="1">(AD186/(N_9*AD$27*AD188*0.667))*SQRT(M*'Valve Sizing'!$W$6*'Valve Sizing'!$G$8/AD195)</f>
        <v>40.543594701831296</v>
      </c>
      <c r="AE194" s="111"/>
      <c r="AF194" s="28"/>
      <c r="AG194" s="96">
        <f ca="1">(AG186/(N_9*AG$27*AG188*0.667))*SQRT(M*'Valve Sizing'!$W$6*'Valve Sizing'!$G$8/AG195)</f>
        <v>63.926432313583874</v>
      </c>
      <c r="AH194" s="111"/>
      <c r="AI194" s="28"/>
      <c r="AJ194" s="96">
        <f ca="1">(AJ186/(N_9*AJ$27*AJ188*0.667))*SQRT(M*'Valve Sizing'!$W$6*'Valve Sizing'!$G$8/AJ195)</f>
        <v>95.361236024606697</v>
      </c>
      <c r="AK194" s="111"/>
      <c r="AL194" s="28"/>
      <c r="AM194" s="96">
        <f ca="1">(AM186/(N_9*AM$27*AM188*0.667))*SQRT(M*'Valve Sizing'!$W$6*'Valve Sizing'!$G$8/AM195)</f>
        <v>136.65081394387602</v>
      </c>
      <c r="AN194" s="111"/>
      <c r="AO194" s="28"/>
      <c r="AP194" s="96">
        <f ca="1">(AP186/(N_9*AP$27*AP188*0.667))*SQRT(M*'Valve Sizing'!$W$6*'Valve Sizing'!$G$8/AP195)</f>
        <v>170.51063605602278</v>
      </c>
      <c r="AQ194" s="111"/>
      <c r="AR194" s="28"/>
      <c r="AS194" s="96">
        <f ca="1">(AS186/(N_9*AS$27*AS188*0.667))*SQRT(M*'Valve Sizing'!$W$6*'Valve Sizing'!$G$8/AS195)</f>
        <v>362.78532332644903</v>
      </c>
      <c r="AT194" s="111"/>
      <c r="AU194" s="28"/>
    </row>
    <row r="195" spans="15:47" ht="15.6" x14ac:dyDescent="0.35">
      <c r="O195" s="2" t="s">
        <v>68</v>
      </c>
      <c r="P195" s="143">
        <v>10</v>
      </c>
      <c r="Q195" s="2"/>
      <c r="R195" s="96">
        <f ca="1">F_GAMMA*R$29</f>
        <v>0.64002969751372984</v>
      </c>
      <c r="S195" s="107"/>
      <c r="T195" s="1"/>
      <c r="U195" s="96">
        <f ca="1">F_GAMMA*U$29</f>
        <v>0.64017842058782071</v>
      </c>
      <c r="V195" s="111"/>
      <c r="W195" s="28"/>
      <c r="X195" s="96">
        <f ca="1">F_GAMMA*X$29</f>
        <v>0.63413873724904268</v>
      </c>
      <c r="Y195" s="111"/>
      <c r="Z195" s="28"/>
      <c r="AA195" s="96">
        <f ca="1">F_GAMMA*AA$29</f>
        <v>0.62532411750377137</v>
      </c>
      <c r="AB195" s="111"/>
      <c r="AC195" s="28"/>
      <c r="AD195" s="96">
        <f ca="1">F_GAMMA*AD$29</f>
        <v>0.60651359509139569</v>
      </c>
      <c r="AE195" s="111"/>
      <c r="AF195" s="28"/>
      <c r="AG195" s="96">
        <f ca="1">F_GAMMA*AG$29</f>
        <v>0.57217930198481592</v>
      </c>
      <c r="AH195" s="111"/>
      <c r="AI195" s="28"/>
      <c r="AJ195" s="96">
        <f ca="1">F_GAMMA*AJ$29</f>
        <v>0.53183282018848232</v>
      </c>
      <c r="AK195" s="111"/>
      <c r="AL195" s="28"/>
      <c r="AM195" s="96">
        <f ca="1">F_GAMMA*AM$29</f>
        <v>0.47566512503094399</v>
      </c>
      <c r="AN195" s="111"/>
      <c r="AO195" s="28"/>
      <c r="AP195" s="96">
        <f ca="1">F_GAMMA*AP$29</f>
        <v>0.59054158265645496</v>
      </c>
      <c r="AQ195" s="111"/>
      <c r="AR195" s="28"/>
      <c r="AS195" s="96">
        <f ca="1">F_GAMMA*AS$29</f>
        <v>0.3766899554102966</v>
      </c>
      <c r="AT195" s="111"/>
      <c r="AU195" s="28"/>
    </row>
    <row r="196" spans="15:47" x14ac:dyDescent="0.25">
      <c r="O196" s="2" t="s">
        <v>145</v>
      </c>
      <c r="P196" s="12"/>
      <c r="Q196" s="2"/>
      <c r="R196" s="96">
        <f ca="1">IF(R191&lt;R195,R193,R194)</f>
        <v>0.15999172134946568</v>
      </c>
      <c r="S196" s="116"/>
      <c r="T196" s="1"/>
      <c r="U196" s="96">
        <f ca="1">IF(U191&lt;U195,U193,U194)</f>
        <v>5.2815482928573374</v>
      </c>
      <c r="V196" s="111"/>
      <c r="W196" s="28"/>
      <c r="X196" s="96">
        <f ca="1">IF(X191&lt;X195,X193,X194)</f>
        <v>13.023716567352322</v>
      </c>
      <c r="Y196" s="111"/>
      <c r="Z196" s="28"/>
      <c r="AA196" s="96">
        <f ca="1">IF(AA191&lt;AA195,AA193,AA194)</f>
        <v>25.829298568951753</v>
      </c>
      <c r="AB196" s="111"/>
      <c r="AC196" s="28"/>
      <c r="AD196" s="96">
        <f ca="1">IF(AD191&lt;AD195,AD193,AD194)</f>
        <v>45.187839740318701</v>
      </c>
      <c r="AE196" s="111"/>
      <c r="AF196" s="28"/>
      <c r="AG196" s="96">
        <f ca="1">IF(AG191&lt;AG195,AG193,AG194)</f>
        <v>71.230123050227249</v>
      </c>
      <c r="AH196" s="111"/>
      <c r="AI196" s="28"/>
      <c r="AJ196" s="96">
        <f ca="1">IF(AJ191&lt;AJ195,AJ193,AJ194)</f>
        <v>107.0031606807553</v>
      </c>
      <c r="AK196" s="111"/>
      <c r="AL196" s="28"/>
      <c r="AM196" s="96">
        <f ca="1">IF(AM191&lt;AM195,AM193,AM194)</f>
        <v>154.27914432548556</v>
      </c>
      <c r="AN196" s="111"/>
      <c r="AO196" s="28"/>
      <c r="AP196" s="96">
        <f ca="1">IF(AP191&lt;AP195,AP193,AP194)</f>
        <v>220.18766208042493</v>
      </c>
      <c r="AQ196" s="111"/>
      <c r="AR196" s="28"/>
      <c r="AS196" s="96">
        <f ca="1">IF(AS191&lt;AS195,AS193,AS194)</f>
        <v>459.39773829740386</v>
      </c>
      <c r="AT196" s="111"/>
      <c r="AU196" s="28"/>
    </row>
    <row r="197" spans="15:47" x14ac:dyDescent="0.25">
      <c r="O197" s="13" t="s">
        <v>143</v>
      </c>
      <c r="P197" s="1"/>
      <c r="Q197" s="1"/>
      <c r="R197" s="113"/>
      <c r="S197" s="106">
        <f ca="1">IF(R190&lt;=0,Q_max,ABS(R$23-R196))</f>
        <v>4.5700082786505352</v>
      </c>
      <c r="T197" s="7">
        <f>R186</f>
        <v>396.17635588378812</v>
      </c>
      <c r="U197" s="98"/>
      <c r="V197" s="106">
        <f ca="1">IF(U190&lt;=0,Q_max,ABS(U$23-U196))</f>
        <v>6.3184517071426622</v>
      </c>
      <c r="W197" s="9">
        <f ca="1">U186</f>
        <v>13063.304068436757</v>
      </c>
      <c r="X197" s="98"/>
      <c r="Y197" s="106">
        <f ca="1">IF(X190&lt;=0,Q_max,ABS(X$23-X196))</f>
        <v>9.9762834326476781</v>
      </c>
      <c r="Z197" s="9">
        <f ca="1">X186</f>
        <v>31987.233180842701</v>
      </c>
      <c r="AA197" s="98"/>
      <c r="AB197" s="106">
        <f ca="1">IF(AA190&lt;=0,Q_max,ABS(AA$23-AA196))</f>
        <v>13.570701431048246</v>
      </c>
      <c r="AC197" s="9">
        <f ca="1">AA186</f>
        <v>62302.965641726558</v>
      </c>
      <c r="AD197" s="98"/>
      <c r="AE197" s="106">
        <f ca="1">IF(AD190&lt;=0,Q_max,ABS(AD$23-AD196))</f>
        <v>15.812160259681299</v>
      </c>
      <c r="AF197" s="9">
        <f ca="1">AD186</f>
        <v>104524.99523141111</v>
      </c>
      <c r="AG197" s="98"/>
      <c r="AH197" s="106">
        <f ca="1">IF(AG190&lt;=0,Q_max,ABS(AG$23-AG196))</f>
        <v>16.969876949772754</v>
      </c>
      <c r="AI197" s="9">
        <f ca="1">AG186</f>
        <v>152557.07739783337</v>
      </c>
      <c r="AJ197" s="98"/>
      <c r="AK197" s="106">
        <f ca="1">IF(AJ190&lt;=0,Q_max,ABS(AJ$23-AJ196))</f>
        <v>13.9968393192447</v>
      </c>
      <c r="AL197" s="9">
        <f ca="1">AJ186</f>
        <v>203588.01118517618</v>
      </c>
      <c r="AM197" s="98"/>
      <c r="AN197" s="106">
        <f ca="1">IF(AM190&lt;=0,Q_max,ABS(AM$23-AM196))</f>
        <v>10.720855674514439</v>
      </c>
      <c r="AO197" s="9">
        <f ca="1">AM186</f>
        <v>248416.06350096726</v>
      </c>
      <c r="AP197" s="98"/>
      <c r="AQ197" s="106">
        <f ca="1">IF(AP190&lt;=0,Q_max,ABS(AP$23-AP196))</f>
        <v>25.812337919575072</v>
      </c>
      <c r="AR197" s="9">
        <f ca="1">AP186</f>
        <v>288403.33773984521</v>
      </c>
      <c r="AS197" s="98"/>
      <c r="AT197" s="106">
        <f ca="1">IF(AS190&lt;=0,Q_max,ABS(AS$23-AS196))</f>
        <v>39.397738297403862</v>
      </c>
      <c r="AU197" s="9">
        <f ca="1">AS186</f>
        <v>338175.59495845949</v>
      </c>
    </row>
    <row r="198" spans="15:47" ht="13.8" x14ac:dyDescent="0.25">
      <c r="O198" s="21"/>
      <c r="P198" s="21"/>
      <c r="Q198" s="21"/>
      <c r="R198" s="114"/>
      <c r="S198" s="117"/>
      <c r="T198" s="25"/>
      <c r="U198" s="99"/>
      <c r="V198" s="111"/>
      <c r="W198" s="28"/>
      <c r="X198" s="99"/>
      <c r="Y198" s="111"/>
      <c r="Z198" s="28"/>
      <c r="AA198" s="99"/>
      <c r="AB198" s="111"/>
      <c r="AC198" s="28"/>
      <c r="AD198" s="99"/>
      <c r="AE198" s="111"/>
      <c r="AF198" s="28"/>
      <c r="AG198" s="99"/>
      <c r="AH198" s="111"/>
      <c r="AI198" s="28"/>
      <c r="AJ198" s="99"/>
      <c r="AK198" s="111"/>
      <c r="AL198" s="28"/>
      <c r="AM198" s="99"/>
      <c r="AN198" s="111"/>
      <c r="AO198" s="28"/>
      <c r="AP198" s="99"/>
      <c r="AQ198" s="111"/>
      <c r="AR198" s="28"/>
      <c r="AS198" s="99"/>
      <c r="AT198" s="111"/>
      <c r="AU198" s="28"/>
    </row>
    <row r="199" spans="15:47" x14ac:dyDescent="0.25">
      <c r="O199" s="1"/>
      <c r="P199" s="1"/>
      <c r="Q199" s="1"/>
      <c r="R199" s="98"/>
      <c r="S199" s="108" t="s">
        <v>137</v>
      </c>
      <c r="T199" s="26" t="s">
        <v>146</v>
      </c>
      <c r="U199" s="98"/>
      <c r="V199" s="108" t="s">
        <v>137</v>
      </c>
      <c r="W199" s="26" t="s">
        <v>146</v>
      </c>
      <c r="X199" s="98"/>
      <c r="Y199" s="108" t="s">
        <v>137</v>
      </c>
      <c r="Z199" s="26" t="s">
        <v>146</v>
      </c>
      <c r="AA199" s="98"/>
      <c r="AB199" s="108" t="s">
        <v>137</v>
      </c>
      <c r="AC199" s="26" t="s">
        <v>146</v>
      </c>
      <c r="AD199" s="98"/>
      <c r="AE199" s="108" t="s">
        <v>137</v>
      </c>
      <c r="AF199" s="26" t="s">
        <v>146</v>
      </c>
      <c r="AG199" s="98"/>
      <c r="AH199" s="108" t="s">
        <v>137</v>
      </c>
      <c r="AI199" s="26" t="s">
        <v>146</v>
      </c>
      <c r="AJ199" s="98"/>
      <c r="AK199" s="108" t="s">
        <v>137</v>
      </c>
      <c r="AL199" s="26" t="s">
        <v>146</v>
      </c>
      <c r="AM199" s="98"/>
      <c r="AN199" s="108" t="s">
        <v>137</v>
      </c>
      <c r="AO199" s="26" t="s">
        <v>146</v>
      </c>
      <c r="AP199" s="98"/>
      <c r="AQ199" s="108" t="s">
        <v>137</v>
      </c>
      <c r="AR199" s="26" t="s">
        <v>146</v>
      </c>
      <c r="AS199" s="98"/>
      <c r="AT199" s="108" t="s">
        <v>137</v>
      </c>
      <c r="AU199" s="26" t="s">
        <v>146</v>
      </c>
    </row>
    <row r="200" spans="15:47" ht="13.8" x14ac:dyDescent="0.25">
      <c r="O200" s="20" t="s">
        <v>136</v>
      </c>
      <c r="P200" s="1"/>
      <c r="Q200" s="1"/>
      <c r="R200" s="96">
        <f>R186*1.02</f>
        <v>404.09988300146387</v>
      </c>
      <c r="S200" s="109" t="s">
        <v>144</v>
      </c>
      <c r="T200" s="23" t="s">
        <v>147</v>
      </c>
      <c r="U200" s="96">
        <f ca="1">U186*1.01</f>
        <v>13193.937109121125</v>
      </c>
      <c r="V200" s="109" t="s">
        <v>144</v>
      </c>
      <c r="W200" s="23" t="s">
        <v>147</v>
      </c>
      <c r="X200" s="96">
        <f ca="1">X186*1.01</f>
        <v>32307.105512651127</v>
      </c>
      <c r="Y200" s="109" t="s">
        <v>144</v>
      </c>
      <c r="Z200" s="23" t="s">
        <v>147</v>
      </c>
      <c r="AA200" s="96">
        <f ca="1">AA186*1.01</f>
        <v>62925.995298143825</v>
      </c>
      <c r="AB200" s="109" t="s">
        <v>144</v>
      </c>
      <c r="AC200" s="23" t="s">
        <v>147</v>
      </c>
      <c r="AD200" s="96">
        <f ca="1">AD186*1.01</f>
        <v>105570.24518372523</v>
      </c>
      <c r="AE200" s="109" t="s">
        <v>144</v>
      </c>
      <c r="AF200" s="23" t="s">
        <v>147</v>
      </c>
      <c r="AG200" s="96">
        <f ca="1">AG186*1.01</f>
        <v>154082.64817181171</v>
      </c>
      <c r="AH200" s="109" t="s">
        <v>144</v>
      </c>
      <c r="AI200" s="23" t="s">
        <v>147</v>
      </c>
      <c r="AJ200" s="96">
        <f ca="1">AJ186*1.01</f>
        <v>205623.89129702793</v>
      </c>
      <c r="AK200" s="109" t="s">
        <v>144</v>
      </c>
      <c r="AL200" s="23" t="s">
        <v>147</v>
      </c>
      <c r="AM200" s="96">
        <f ca="1">AM186*1.01</f>
        <v>250900.22413597693</v>
      </c>
      <c r="AN200" s="109" t="s">
        <v>144</v>
      </c>
      <c r="AO200" s="23" t="s">
        <v>147</v>
      </c>
      <c r="AP200" s="96">
        <f ca="1">AP186*1.01</f>
        <v>291287.37111724366</v>
      </c>
      <c r="AQ200" s="109" t="s">
        <v>144</v>
      </c>
      <c r="AR200" s="23" t="s">
        <v>147</v>
      </c>
      <c r="AS200" s="96">
        <f ca="1">AS186*1.01</f>
        <v>341557.35090804409</v>
      </c>
      <c r="AT200" s="109" t="s">
        <v>144</v>
      </c>
      <c r="AU200" s="23" t="s">
        <v>147</v>
      </c>
    </row>
    <row r="201" spans="15:47" x14ac:dyDescent="0.25">
      <c r="O201" s="1"/>
      <c r="P201" s="1"/>
      <c r="Q201" s="1"/>
      <c r="R201" s="98"/>
      <c r="S201" s="107"/>
      <c r="T201" s="1"/>
      <c r="U201" s="47"/>
      <c r="V201" s="107"/>
      <c r="W201" s="1"/>
      <c r="X201" s="47"/>
      <c r="Y201" s="107"/>
      <c r="Z201" s="1"/>
      <c r="AA201" s="47"/>
      <c r="AB201" s="107"/>
      <c r="AC201" s="1"/>
      <c r="AD201" s="47"/>
      <c r="AE201" s="107"/>
      <c r="AF201" s="1"/>
      <c r="AG201" s="47"/>
      <c r="AH201" s="107"/>
      <c r="AI201" s="1"/>
      <c r="AJ201" s="47"/>
      <c r="AK201" s="107"/>
      <c r="AL201" s="1"/>
      <c r="AM201" s="47"/>
      <c r="AN201" s="107"/>
      <c r="AO201" s="1"/>
      <c r="AP201" s="47"/>
      <c r="AQ201" s="107"/>
      <c r="AR201" s="1"/>
      <c r="AS201" s="47"/>
      <c r="AT201" s="107"/>
      <c r="AU201" s="1"/>
    </row>
    <row r="202" spans="15:47" x14ac:dyDescent="0.25">
      <c r="O202" s="8" t="s">
        <v>132</v>
      </c>
      <c r="P202" s="8"/>
      <c r="Q202" s="8"/>
      <c r="R202" s="96">
        <f>P_1_minQ-(R200^2*R_up)+dpup_minQ</f>
        <v>90.185010767647398</v>
      </c>
      <c r="S202" s="106"/>
      <c r="T202" s="22"/>
      <c r="U202" s="96">
        <f ca="1">P_1_minQ-(U200^2*R_up)+dpup_minQ</f>
        <v>90.153312555127826</v>
      </c>
      <c r="V202" s="107"/>
      <c r="W202" s="1"/>
      <c r="X202" s="96">
        <f ca="1">P_1_minQ-(X200^2*R_up)+dpup_minQ</f>
        <v>89.994805874310728</v>
      </c>
      <c r="Y202" s="107"/>
      <c r="Z202" s="1"/>
      <c r="AA202" s="96">
        <f ca="1">P_1_minQ-(AA200^2*R_up)+dpup_minQ</f>
        <v>89.463345484224419</v>
      </c>
      <c r="AB202" s="107"/>
      <c r="AC202" s="1"/>
      <c r="AD202" s="96">
        <f ca="1">P_1_minQ-(AD200^2*R_up)+dpup_minQ</f>
        <v>88.153728701312176</v>
      </c>
      <c r="AE202" s="107"/>
      <c r="AF202" s="1"/>
      <c r="AG202" s="96">
        <f ca="1">P_1_minQ-(AG200^2*R_up)+dpup_minQ</f>
        <v>85.857899947657302</v>
      </c>
      <c r="AH202" s="107"/>
      <c r="AI202" s="1"/>
      <c r="AJ202" s="96">
        <f ca="1">P_1_minQ-(AJ200^2*R_up)+dpup_minQ</f>
        <v>82.478833285251213</v>
      </c>
      <c r="AK202" s="107"/>
      <c r="AL202" s="1"/>
      <c r="AM202" s="96">
        <f ca="1">P_1_minQ-(AM200^2*R_up)+dpup_minQ</f>
        <v>78.711548039653792</v>
      </c>
      <c r="AN202" s="107"/>
      <c r="AO202" s="1"/>
      <c r="AP202" s="96">
        <f ca="1">P_1_minQ-(AP200^2*R_up)+dpup_minQ</f>
        <v>74.720506121717733</v>
      </c>
      <c r="AQ202" s="107"/>
      <c r="AR202" s="1"/>
      <c r="AS202" s="96">
        <f ca="1">P_1_minQ-(AS200^2*R_up)+dpup_minQ</f>
        <v>68.922223097413053</v>
      </c>
      <c r="AT202" s="107"/>
      <c r="AU202" s="1"/>
    </row>
    <row r="203" spans="15:47" x14ac:dyDescent="0.25">
      <c r="O203" s="8" t="s">
        <v>134</v>
      </c>
      <c r="P203" s="1"/>
      <c r="Q203" s="8"/>
      <c r="R203" s="97">
        <f>P_2_minQ+(R200^2*R_dn)-dpdn_minQ</f>
        <v>60</v>
      </c>
      <c r="S203" s="106"/>
      <c r="T203" s="22"/>
      <c r="U203" s="97">
        <f ca="1">P_2_minQ+(U200^2*R_dn)-dpdn_minQ</f>
        <v>60</v>
      </c>
      <c r="V203" s="107"/>
      <c r="W203" s="1"/>
      <c r="X203" s="97">
        <f ca="1">P_2_minQ+(X200^2*R_dn)-dpdn_minQ</f>
        <v>60</v>
      </c>
      <c r="Y203" s="107"/>
      <c r="Z203" s="1"/>
      <c r="AA203" s="97">
        <f ca="1">P_2_minQ+(AA200^2*R_dn)-dpdn_minQ</f>
        <v>60</v>
      </c>
      <c r="AB203" s="107"/>
      <c r="AC203" s="1"/>
      <c r="AD203" s="97">
        <f ca="1">P_2_minQ+(AD200^2*R_dn)-dpdn_minQ</f>
        <v>60</v>
      </c>
      <c r="AE203" s="107"/>
      <c r="AF203" s="1"/>
      <c r="AG203" s="97">
        <f ca="1">P_2_minQ+(AG200^2*R_dn)-dpdn_minQ</f>
        <v>60</v>
      </c>
      <c r="AH203" s="107"/>
      <c r="AI203" s="1"/>
      <c r="AJ203" s="97">
        <f ca="1">P_2_minQ+(AJ200^2*R_dn)-dpdn_minQ</f>
        <v>60</v>
      </c>
      <c r="AK203" s="107"/>
      <c r="AL203" s="1"/>
      <c r="AM203" s="97">
        <f ca="1">P_2_minQ+(AM200^2*R_dn)-dpdn_minQ</f>
        <v>60</v>
      </c>
      <c r="AN203" s="107"/>
      <c r="AO203" s="1"/>
      <c r="AP203" s="97">
        <f ca="1">P_2_minQ+(AP200^2*R_dn)-dpdn_minQ</f>
        <v>60</v>
      </c>
      <c r="AQ203" s="107"/>
      <c r="AR203" s="1"/>
      <c r="AS203" s="97">
        <f ca="1">P_2_minQ+(AS200^2*R_dn)-dpdn_minQ</f>
        <v>60</v>
      </c>
      <c r="AT203" s="107"/>
      <c r="AU203" s="1"/>
    </row>
    <row r="204" spans="15:47" x14ac:dyDescent="0.25">
      <c r="O204" s="8" t="s">
        <v>138</v>
      </c>
      <c r="P204" s="1"/>
      <c r="Q204" s="8"/>
      <c r="R204" s="97">
        <f>R202-R203</f>
        <v>30.185010767647398</v>
      </c>
      <c r="S204" s="106"/>
      <c r="T204" s="22"/>
      <c r="U204" s="97">
        <f ca="1">U202-U203</f>
        <v>30.153312555127826</v>
      </c>
      <c r="V204" s="110"/>
      <c r="W204" s="25"/>
      <c r="X204" s="97">
        <f ca="1">X202-X203</f>
        <v>29.994805874310728</v>
      </c>
      <c r="Y204" s="110"/>
      <c r="Z204" s="25"/>
      <c r="AA204" s="97">
        <f ca="1">AA202-AA203</f>
        <v>29.463345484224419</v>
      </c>
      <c r="AB204" s="110"/>
      <c r="AC204" s="25"/>
      <c r="AD204" s="97">
        <f ca="1">AD202-AD203</f>
        <v>28.153728701312176</v>
      </c>
      <c r="AE204" s="110"/>
      <c r="AF204" s="25"/>
      <c r="AG204" s="97">
        <f ca="1">AG202-AG203</f>
        <v>25.857899947657302</v>
      </c>
      <c r="AH204" s="110"/>
      <c r="AI204" s="25"/>
      <c r="AJ204" s="97">
        <f ca="1">AJ202-AJ203</f>
        <v>22.478833285251213</v>
      </c>
      <c r="AK204" s="110"/>
      <c r="AL204" s="25"/>
      <c r="AM204" s="97">
        <f ca="1">AM202-AM203</f>
        <v>18.711548039653792</v>
      </c>
      <c r="AN204" s="110"/>
      <c r="AO204" s="25"/>
      <c r="AP204" s="97">
        <f ca="1">AP202-AP203</f>
        <v>14.720506121717733</v>
      </c>
      <c r="AQ204" s="110"/>
      <c r="AR204" s="25"/>
      <c r="AS204" s="97">
        <f ca="1">AS202-AS203</f>
        <v>8.9222230974130525</v>
      </c>
      <c r="AT204" s="110"/>
      <c r="AU204" s="25"/>
    </row>
    <row r="205" spans="15:47" ht="14.4" x14ac:dyDescent="0.3">
      <c r="O205" s="2" t="s">
        <v>140</v>
      </c>
      <c r="P205" s="11"/>
      <c r="Q205" s="2"/>
      <c r="R205" s="96">
        <f>R204/R202</f>
        <v>0.33470097204308197</v>
      </c>
      <c r="S205" s="106"/>
      <c r="T205" s="22"/>
      <c r="U205" s="96">
        <f ca="1">U204/U202</f>
        <v>0.33446705063321314</v>
      </c>
      <c r="V205" s="111"/>
      <c r="W205" s="28"/>
      <c r="X205" s="96">
        <f ca="1">X204/X202</f>
        <v>0.33329485610761045</v>
      </c>
      <c r="Y205" s="111"/>
      <c r="Z205" s="28"/>
      <c r="AA205" s="96">
        <f ca="1">AA204/AA202</f>
        <v>0.32933426896515799</v>
      </c>
      <c r="AB205" s="111"/>
      <c r="AC205" s="28"/>
      <c r="AD205" s="96">
        <f ca="1">AD204/AD202</f>
        <v>0.31937082090655916</v>
      </c>
      <c r="AE205" s="111"/>
      <c r="AF205" s="28"/>
      <c r="AG205" s="96">
        <f ca="1">AG204/AG202</f>
        <v>0.30117088775082312</v>
      </c>
      <c r="AH205" s="111"/>
      <c r="AI205" s="28"/>
      <c r="AJ205" s="96">
        <f ca="1">AJ204/AJ202</f>
        <v>0.27254063121272176</v>
      </c>
      <c r="AK205" s="111"/>
      <c r="AL205" s="28"/>
      <c r="AM205" s="96">
        <f ca="1">AM204/AM202</f>
        <v>0.23772303436628095</v>
      </c>
      <c r="AN205" s="111"/>
      <c r="AO205" s="28"/>
      <c r="AP205" s="96">
        <f ca="1">AP204/AP202</f>
        <v>0.19700758045908331</v>
      </c>
      <c r="AQ205" s="111"/>
      <c r="AR205" s="28"/>
      <c r="AS205" s="96">
        <f ca="1">AS204/AS202</f>
        <v>0.12945350130106209</v>
      </c>
      <c r="AT205" s="111"/>
      <c r="AU205" s="28"/>
    </row>
    <row r="206" spans="15:47" x14ac:dyDescent="0.25">
      <c r="O206" s="2" t="s">
        <v>21</v>
      </c>
      <c r="P206" s="8">
        <v>12</v>
      </c>
      <c r="Q206" s="2"/>
      <c r="R206" s="96">
        <f ca="1">1-R205/(3*F_GAMMA*R$29)</f>
        <v>0.82568466570469723</v>
      </c>
      <c r="S206" s="106"/>
      <c r="T206" s="22"/>
      <c r="U206" s="96">
        <f ca="1">1-U205/(3*F_GAMMA*U$29)</f>
        <v>0.82584696189014473</v>
      </c>
      <c r="V206" s="111"/>
      <c r="W206" s="28"/>
      <c r="X206" s="96">
        <f ca="1">1-X205/(3*F_GAMMA*X$29)</f>
        <v>0.82480444917911977</v>
      </c>
      <c r="Y206" s="111"/>
      <c r="Z206" s="28"/>
      <c r="AA206" s="96">
        <f ca="1">1-AA205/(3*F_GAMMA*AA$29)</f>
        <v>0.82444609670057933</v>
      </c>
      <c r="AB206" s="111"/>
      <c r="AC206" s="28"/>
      <c r="AD206" s="96">
        <f ca="1">1-AD205/(3*F_GAMMA*AD$29)</f>
        <v>0.8244772398116742</v>
      </c>
      <c r="AE206" s="111"/>
      <c r="AF206" s="28"/>
      <c r="AG206" s="96">
        <f ca="1">1-AG205/(3*F_GAMMA*AG$29)</f>
        <v>0.82454748787888676</v>
      </c>
      <c r="AH206" s="111"/>
      <c r="AI206" s="28"/>
      <c r="AJ206" s="96">
        <f ca="1">1-AJ205/(3*F_GAMMA*AJ$29)</f>
        <v>0.82918151414816599</v>
      </c>
      <c r="AK206" s="111"/>
      <c r="AL206" s="28"/>
      <c r="AM206" s="96">
        <f ca="1">1-AM205/(3*F_GAMMA*AM$29)</f>
        <v>0.83341008771607539</v>
      </c>
      <c r="AN206" s="111"/>
      <c r="AO206" s="28"/>
      <c r="AP206" s="96">
        <f ca="1">1-AP205/(3*F_GAMMA*AP$29)</f>
        <v>0.88879835829517884</v>
      </c>
      <c r="AQ206" s="111"/>
      <c r="AR206" s="28"/>
      <c r="AS206" s="96">
        <f ca="1">1-AS205/(3*F_GAMMA*AS$29)</f>
        <v>0.88544646205563649</v>
      </c>
      <c r="AT206" s="111"/>
      <c r="AU206" s="28"/>
    </row>
    <row r="207" spans="15:47" x14ac:dyDescent="0.25">
      <c r="O207" s="2" t="s">
        <v>57</v>
      </c>
      <c r="P207" s="143">
        <v>7</v>
      </c>
      <c r="Q207" s="2"/>
      <c r="R207" s="96">
        <f ca="1">(R200/(N_9*R$27*R202*R206))*SQRT(M*'Valve Sizing'!$W$6*'Valve Sizing'!$G$8/R205)</f>
        <v>0.1631915590686272</v>
      </c>
      <c r="S207" s="107"/>
      <c r="T207" s="22"/>
      <c r="U207" s="96">
        <f ca="1">(U200/(N_9*U$27*U202*U206))*SQRT(M*'Valve Sizing'!$W$6*'Valve Sizing'!$G$8/U205)</f>
        <v>5.3344220476848516</v>
      </c>
      <c r="V207" s="111"/>
      <c r="W207" s="28"/>
      <c r="X207" s="96">
        <f ca="1">(X200/(N_9*X$27*X202*X206))*SQRT(M*'Valve Sizing'!$W$6*'Valve Sizing'!$G$8/X205)</f>
        <v>13.154816770426372</v>
      </c>
      <c r="Y207" s="111"/>
      <c r="Z207" s="28"/>
      <c r="AA207" s="96">
        <f ca="1">(AA200/(N_9*AA$27*AA202*AA206))*SQRT(M*'Valve Sizing'!$W$6*'Valve Sizing'!$G$8/AA205)</f>
        <v>26.094161623942302</v>
      </c>
      <c r="AB207" s="111"/>
      <c r="AC207" s="28"/>
      <c r="AD207" s="96">
        <f ca="1">(AD200/(N_9*AD$27*AD202*AD206))*SQRT(M*'Valve Sizing'!$W$6*'Valve Sizing'!$G$8/AD205)</f>
        <v>45.673109606499722</v>
      </c>
      <c r="AE207" s="111"/>
      <c r="AF207" s="28"/>
      <c r="AG207" s="96">
        <f ca="1">(AG200/(N_9*AG$27*AG202*AG206))*SQRT(M*'Valve Sizing'!$W$6*'Valve Sizing'!$G$8/AG205)</f>
        <v>72.061391585367474</v>
      </c>
      <c r="AH207" s="111"/>
      <c r="AI207" s="28"/>
      <c r="AJ207" s="96">
        <f ca="1">(AJ200/(N_9*AJ$27*AJ202*AJ206))*SQRT(M*'Valve Sizing'!$W$6*'Valve Sizing'!$G$8/AJ205)</f>
        <v>108.42768949825265</v>
      </c>
      <c r="AK207" s="111"/>
      <c r="AL207" s="28"/>
      <c r="AM207" s="96">
        <f ca="1">(AM200/(N_9*AM$27*AM202*AM206))*SQRT(M*'Valve Sizing'!$W$6*'Valve Sizing'!$G$8/AM205)</f>
        <v>156.69721624063695</v>
      </c>
      <c r="AN207" s="111"/>
      <c r="AO207" s="28"/>
      <c r="AP207" s="96">
        <f ca="1">(AP200/(N_9*AP$27*AP202*AP206))*SQRT(M*'Valve Sizing'!$W$6*'Valve Sizing'!$G$8/AP205)</f>
        <v>224.67082280702414</v>
      </c>
      <c r="AQ207" s="111"/>
      <c r="AR207" s="28"/>
      <c r="AS207" s="96">
        <f ca="1">(AS200/(N_9*AS$27*AS202*AS206))*SQRT(M*'Valve Sizing'!$W$6*'Valve Sizing'!$G$8/AS205)</f>
        <v>473.69817177816878</v>
      </c>
      <c r="AT207" s="111"/>
      <c r="AU207" s="28"/>
    </row>
    <row r="208" spans="15:47" x14ac:dyDescent="0.25">
      <c r="O208" s="2" t="s">
        <v>59</v>
      </c>
      <c r="P208" s="143">
        <v>7</v>
      </c>
      <c r="Q208" s="2"/>
      <c r="R208" s="96">
        <f ca="1">(R200/(N_9*R$27*R202*0.667))*SQRT(M*'Valve Sizing'!$W$6*'Valve Sizing'!$G$8/R209)</f>
        <v>0.14608798559629643</v>
      </c>
      <c r="S208" s="107"/>
      <c r="T208" s="22"/>
      <c r="U208" s="96">
        <f ca="1">(U200/(N_9*U$27*U202*0.667))*SQRT(M*'Valve Sizing'!$W$6*'Valve Sizing'!$G$8/U209)</f>
        <v>4.7740533683434423</v>
      </c>
      <c r="V208" s="111"/>
      <c r="W208" s="28"/>
      <c r="X208" s="96">
        <f ca="1">(X200/(N_9*X$27*X202*0.667))*SQRT(M*'Valve Sizing'!$W$6*'Valve Sizing'!$G$8/X209)</f>
        <v>11.793212609707028</v>
      </c>
      <c r="Y208" s="111"/>
      <c r="Z208" s="28"/>
      <c r="AA208" s="96">
        <f ca="1">(AA200/(N_9*AA$27*AA202*0.667))*SQRT(M*'Valve Sizing'!$W$6*'Valve Sizing'!$G$8/AA209)</f>
        <v>23.406994479951017</v>
      </c>
      <c r="AB208" s="111"/>
      <c r="AC208" s="28"/>
      <c r="AD208" s="96">
        <f ca="1">(AD200/(N_9*AD$27*AD202*0.667))*SQRT(M*'Valve Sizing'!$W$6*'Valve Sizing'!$G$8/AD209)</f>
        <v>40.967622937198385</v>
      </c>
      <c r="AE208" s="111"/>
      <c r="AF208" s="28"/>
      <c r="AG208" s="96">
        <f ca="1">(AG200/(N_9*AG$27*AG202*0.667))*SQRT(M*'Valve Sizing'!$W$6*'Valve Sizing'!$G$8/AG209)</f>
        <v>64.629814035451304</v>
      </c>
      <c r="AH208" s="111"/>
      <c r="AI208" s="28"/>
      <c r="AJ208" s="96">
        <f ca="1">(AJ200/(N_9*AJ$27*AJ202*0.667))*SQRT(M*'Valve Sizing'!$W$6*'Valve Sizing'!$G$8/AJ209)</f>
        <v>96.492163080382056</v>
      </c>
      <c r="AK208" s="111"/>
      <c r="AL208" s="28"/>
      <c r="AM208" s="96">
        <f ca="1">(AM200/(N_9*AM$27*AM202*0.667))*SQRT(M*'Valve Sizing'!$W$6*'Valve Sizing'!$G$8/AM209)</f>
        <v>138.41373161481852</v>
      </c>
      <c r="AN208" s="111"/>
      <c r="AO208" s="28"/>
      <c r="AP208" s="96">
        <f ca="1">(AP200/(N_9*AP$27*AP202*0.667))*SQRT(M*'Valve Sizing'!$W$6*'Valve Sizing'!$G$8/AP209)</f>
        <v>172.91804328002854</v>
      </c>
      <c r="AQ208" s="111"/>
      <c r="AR208" s="28"/>
      <c r="AS208" s="96">
        <f ca="1">(AS200/(N_9*AS$27*AS202*0.667))*SQRT(M*'Valve Sizing'!$W$6*'Valve Sizing'!$G$8/AS209)</f>
        <v>368.64051353027037</v>
      </c>
      <c r="AT208" s="111"/>
      <c r="AU208" s="28"/>
    </row>
    <row r="209" spans="15:47" ht="15.6" x14ac:dyDescent="0.35">
      <c r="O209" s="2" t="s">
        <v>68</v>
      </c>
      <c r="P209" s="143">
        <v>10</v>
      </c>
      <c r="Q209" s="2"/>
      <c r="R209" s="96">
        <f ca="1">F_GAMMA*R$29</f>
        <v>0.64002969751372984</v>
      </c>
      <c r="S209" s="107"/>
      <c r="T209" s="1"/>
      <c r="U209" s="96">
        <f ca="1">F_GAMMA*U$29</f>
        <v>0.64017842058782071</v>
      </c>
      <c r="V209" s="111"/>
      <c r="W209" s="28"/>
      <c r="X209" s="96">
        <f ca="1">F_GAMMA*X$29</f>
        <v>0.63413873724904268</v>
      </c>
      <c r="Y209" s="111"/>
      <c r="Z209" s="28"/>
      <c r="AA209" s="96">
        <f ca="1">F_GAMMA*AA$29</f>
        <v>0.62532411750377137</v>
      </c>
      <c r="AB209" s="111"/>
      <c r="AC209" s="28"/>
      <c r="AD209" s="96">
        <f ca="1">F_GAMMA*AD$29</f>
        <v>0.60651359509139569</v>
      </c>
      <c r="AE209" s="111"/>
      <c r="AF209" s="28"/>
      <c r="AG209" s="96">
        <f ca="1">F_GAMMA*AG$29</f>
        <v>0.57217930198481592</v>
      </c>
      <c r="AH209" s="111"/>
      <c r="AI209" s="28"/>
      <c r="AJ209" s="96">
        <f ca="1">F_GAMMA*AJ$29</f>
        <v>0.53183282018848232</v>
      </c>
      <c r="AK209" s="111"/>
      <c r="AL209" s="28"/>
      <c r="AM209" s="96">
        <f ca="1">F_GAMMA*AM$29</f>
        <v>0.47566512503094399</v>
      </c>
      <c r="AN209" s="111"/>
      <c r="AO209" s="28"/>
      <c r="AP209" s="96">
        <f ca="1">F_GAMMA*AP$29</f>
        <v>0.59054158265645496</v>
      </c>
      <c r="AQ209" s="111"/>
      <c r="AR209" s="28"/>
      <c r="AS209" s="96">
        <f ca="1">F_GAMMA*AS$29</f>
        <v>0.3766899554102966</v>
      </c>
      <c r="AT209" s="111"/>
      <c r="AU209" s="28"/>
    </row>
    <row r="210" spans="15:47" x14ac:dyDescent="0.25">
      <c r="O210" s="2" t="s">
        <v>145</v>
      </c>
      <c r="P210" s="12"/>
      <c r="Q210" s="2"/>
      <c r="R210" s="96">
        <f ca="1">IF(R205&lt;R209,R207,R208)</f>
        <v>0.1631915590686272</v>
      </c>
      <c r="S210" s="116"/>
      <c r="T210" s="1"/>
      <c r="U210" s="96">
        <f ca="1">IF(U205&lt;U209,U207,U208)</f>
        <v>5.3344220476848516</v>
      </c>
      <c r="V210" s="111"/>
      <c r="W210" s="28"/>
      <c r="X210" s="96">
        <f ca="1">IF(X205&lt;X209,X207,X208)</f>
        <v>13.154816770426372</v>
      </c>
      <c r="Y210" s="111"/>
      <c r="Z210" s="28"/>
      <c r="AA210" s="96">
        <f ca="1">IF(AA205&lt;AA209,AA207,AA208)</f>
        <v>26.094161623942302</v>
      </c>
      <c r="AB210" s="111"/>
      <c r="AC210" s="28"/>
      <c r="AD210" s="96">
        <f ca="1">IF(AD205&lt;AD209,AD207,AD208)</f>
        <v>45.673109606499722</v>
      </c>
      <c r="AE210" s="111"/>
      <c r="AF210" s="28"/>
      <c r="AG210" s="96">
        <f ca="1">IF(AG205&lt;AG209,AG207,AG208)</f>
        <v>72.061391585367474</v>
      </c>
      <c r="AH210" s="111"/>
      <c r="AI210" s="28"/>
      <c r="AJ210" s="96">
        <f ca="1">IF(AJ205&lt;AJ209,AJ207,AJ208)</f>
        <v>108.42768949825265</v>
      </c>
      <c r="AK210" s="111"/>
      <c r="AL210" s="28"/>
      <c r="AM210" s="96">
        <f ca="1">IF(AM205&lt;AM209,AM207,AM208)</f>
        <v>156.69721624063695</v>
      </c>
      <c r="AN210" s="111"/>
      <c r="AO210" s="28"/>
      <c r="AP210" s="96">
        <f ca="1">IF(AP205&lt;AP209,AP207,AP208)</f>
        <v>224.67082280702414</v>
      </c>
      <c r="AQ210" s="111"/>
      <c r="AR210" s="28"/>
      <c r="AS210" s="96">
        <f ca="1">IF(AS205&lt;AS209,AS207,AS208)</f>
        <v>473.69817177816878</v>
      </c>
      <c r="AT210" s="111"/>
      <c r="AU210" s="28"/>
    </row>
    <row r="211" spans="15:47" x14ac:dyDescent="0.25">
      <c r="O211" s="13" t="s">
        <v>143</v>
      </c>
      <c r="P211" s="1"/>
      <c r="Q211" s="1"/>
      <c r="R211" s="113"/>
      <c r="S211" s="106">
        <f ca="1">IF(R204&lt;=0,Q_max,ABS(R$23-R210))</f>
        <v>4.5668084409313732</v>
      </c>
      <c r="T211" s="7">
        <f>R200</f>
        <v>404.09988300146387</v>
      </c>
      <c r="U211" s="98"/>
      <c r="V211" s="106">
        <f ca="1">IF(U204&lt;=0,Q_max,ABS(U$23-U210))</f>
        <v>6.265577952315148</v>
      </c>
      <c r="W211" s="9">
        <f ca="1">U200</f>
        <v>13193.937109121125</v>
      </c>
      <c r="X211" s="98"/>
      <c r="Y211" s="106">
        <f ca="1">IF(X204&lt;=0,Q_max,ABS(X$23-X210))</f>
        <v>9.8451832295736281</v>
      </c>
      <c r="Z211" s="9">
        <f ca="1">X200</f>
        <v>32307.105512651127</v>
      </c>
      <c r="AA211" s="98"/>
      <c r="AB211" s="106">
        <f ca="1">IF(AA204&lt;=0,Q_max,ABS(AA$23-AA210))</f>
        <v>13.305838376057697</v>
      </c>
      <c r="AC211" s="9">
        <f ca="1">AA200</f>
        <v>62925.995298143825</v>
      </c>
      <c r="AD211" s="98"/>
      <c r="AE211" s="106">
        <f ca="1">IF(AD204&lt;=0,Q_max,ABS(AD$23-AD210))</f>
        <v>15.326890393500278</v>
      </c>
      <c r="AF211" s="9">
        <f ca="1">AD200</f>
        <v>105570.24518372523</v>
      </c>
      <c r="AG211" s="98"/>
      <c r="AH211" s="106">
        <f ca="1">IF(AG204&lt;=0,Q_max,ABS(AG$23-AG210))</f>
        <v>16.138608414632529</v>
      </c>
      <c r="AI211" s="9">
        <f ca="1">AG200</f>
        <v>154082.64817181171</v>
      </c>
      <c r="AJ211" s="98"/>
      <c r="AK211" s="106">
        <f ca="1">IF(AJ204&lt;=0,Q_max,ABS(AJ$23-AJ210))</f>
        <v>12.572310501747353</v>
      </c>
      <c r="AL211" s="9">
        <f ca="1">AJ200</f>
        <v>205623.89129702793</v>
      </c>
      <c r="AM211" s="98"/>
      <c r="AN211" s="106">
        <f ca="1">IF(AM204&lt;=0,Q_max,ABS(AM$23-AM210))</f>
        <v>8.3027837593630522</v>
      </c>
      <c r="AO211" s="9">
        <f ca="1">AM200</f>
        <v>250900.22413597693</v>
      </c>
      <c r="AP211" s="98"/>
      <c r="AQ211" s="106">
        <f ca="1">IF(AP204&lt;=0,Q_max,ABS(AP$23-AP210))</f>
        <v>21.329177192975862</v>
      </c>
      <c r="AR211" s="9">
        <f ca="1">AP200</f>
        <v>291287.37111724366</v>
      </c>
      <c r="AS211" s="98"/>
      <c r="AT211" s="106">
        <f ca="1">IF(AS204&lt;=0,Q_max,ABS(AS$23-AS210))</f>
        <v>53.698171778168785</v>
      </c>
      <c r="AU211" s="9">
        <f ca="1">AS200</f>
        <v>341557.35090804409</v>
      </c>
    </row>
    <row r="212" spans="15:47" x14ac:dyDescent="0.25">
      <c r="O212" s="21"/>
      <c r="P212" s="14"/>
      <c r="Q212" s="21"/>
      <c r="R212" s="97"/>
      <c r="S212" s="106"/>
      <c r="T212" s="28"/>
      <c r="U212" s="97"/>
      <c r="V212" s="111"/>
      <c r="W212" s="28"/>
      <c r="X212" s="97"/>
      <c r="Y212" s="111"/>
      <c r="Z212" s="28"/>
      <c r="AA212" s="97"/>
      <c r="AB212" s="111"/>
      <c r="AC212" s="28"/>
      <c r="AD212" s="97"/>
      <c r="AE212" s="111"/>
      <c r="AF212" s="28"/>
      <c r="AG212" s="97"/>
      <c r="AH212" s="111"/>
      <c r="AI212" s="28"/>
      <c r="AJ212" s="97"/>
      <c r="AK212" s="111"/>
      <c r="AL212" s="28"/>
      <c r="AM212" s="97"/>
      <c r="AN212" s="111"/>
      <c r="AO212" s="28"/>
      <c r="AP212" s="97"/>
      <c r="AQ212" s="111"/>
      <c r="AR212" s="28"/>
      <c r="AS212" s="97"/>
      <c r="AT212" s="111"/>
      <c r="AU212" s="28"/>
    </row>
    <row r="213" spans="15:47" x14ac:dyDescent="0.25">
      <c r="O213" s="1"/>
      <c r="P213" s="1"/>
      <c r="Q213" s="1"/>
      <c r="R213" s="98"/>
      <c r="S213" s="108" t="s">
        <v>137</v>
      </c>
      <c r="T213" s="26" t="s">
        <v>146</v>
      </c>
      <c r="U213" s="98"/>
      <c r="V213" s="108" t="s">
        <v>137</v>
      </c>
      <c r="W213" s="26" t="s">
        <v>146</v>
      </c>
      <c r="X213" s="98"/>
      <c r="Y213" s="108" t="s">
        <v>137</v>
      </c>
      <c r="Z213" s="26" t="s">
        <v>146</v>
      </c>
      <c r="AA213" s="98"/>
      <c r="AB213" s="108" t="s">
        <v>137</v>
      </c>
      <c r="AC213" s="26" t="s">
        <v>146</v>
      </c>
      <c r="AD213" s="98"/>
      <c r="AE213" s="108" t="s">
        <v>137</v>
      </c>
      <c r="AF213" s="26" t="s">
        <v>146</v>
      </c>
      <c r="AG213" s="98"/>
      <c r="AH213" s="108" t="s">
        <v>137</v>
      </c>
      <c r="AI213" s="26" t="s">
        <v>146</v>
      </c>
      <c r="AJ213" s="98"/>
      <c r="AK213" s="108" t="s">
        <v>137</v>
      </c>
      <c r="AL213" s="26" t="s">
        <v>146</v>
      </c>
      <c r="AM213" s="98"/>
      <c r="AN213" s="108" t="s">
        <v>137</v>
      </c>
      <c r="AO213" s="26" t="s">
        <v>146</v>
      </c>
      <c r="AP213" s="98"/>
      <c r="AQ213" s="108" t="s">
        <v>137</v>
      </c>
      <c r="AR213" s="26" t="s">
        <v>146</v>
      </c>
      <c r="AS213" s="98"/>
      <c r="AT213" s="108" t="s">
        <v>137</v>
      </c>
      <c r="AU213" s="26" t="s">
        <v>146</v>
      </c>
    </row>
    <row r="214" spans="15:47" ht="13.8" x14ac:dyDescent="0.25">
      <c r="O214" s="20" t="s">
        <v>136</v>
      </c>
      <c r="P214" s="1"/>
      <c r="Q214" s="1"/>
      <c r="R214" s="96">
        <f>R200*1.02</f>
        <v>412.18188066149315</v>
      </c>
      <c r="S214" s="109" t="s">
        <v>144</v>
      </c>
      <c r="T214" s="23" t="s">
        <v>147</v>
      </c>
      <c r="U214" s="96">
        <f ca="1">U200*1.01</f>
        <v>13325.876480212337</v>
      </c>
      <c r="V214" s="109" t="s">
        <v>144</v>
      </c>
      <c r="W214" s="23" t="s">
        <v>147</v>
      </c>
      <c r="X214" s="96">
        <f ca="1">X200*1.01</f>
        <v>32630.176567777638</v>
      </c>
      <c r="Y214" s="109" t="s">
        <v>144</v>
      </c>
      <c r="Z214" s="23" t="s">
        <v>147</v>
      </c>
      <c r="AA214" s="96">
        <f ca="1">AA200*1.01</f>
        <v>63555.255251125265</v>
      </c>
      <c r="AB214" s="109" t="s">
        <v>144</v>
      </c>
      <c r="AC214" s="23" t="s">
        <v>147</v>
      </c>
      <c r="AD214" s="96">
        <f ca="1">AD200*1.01</f>
        <v>106625.94763556248</v>
      </c>
      <c r="AE214" s="109" t="s">
        <v>144</v>
      </c>
      <c r="AF214" s="23" t="s">
        <v>147</v>
      </c>
      <c r="AG214" s="96">
        <f ca="1">AG200*1.01</f>
        <v>155623.47465352982</v>
      </c>
      <c r="AH214" s="109" t="s">
        <v>144</v>
      </c>
      <c r="AI214" s="23" t="s">
        <v>147</v>
      </c>
      <c r="AJ214" s="96">
        <f ca="1">AJ200*1.01</f>
        <v>207680.13020999823</v>
      </c>
      <c r="AK214" s="109" t="s">
        <v>144</v>
      </c>
      <c r="AL214" s="23" t="s">
        <v>147</v>
      </c>
      <c r="AM214" s="96">
        <f ca="1">AM200*1.01</f>
        <v>253409.22637733669</v>
      </c>
      <c r="AN214" s="109" t="s">
        <v>144</v>
      </c>
      <c r="AO214" s="23" t="s">
        <v>147</v>
      </c>
      <c r="AP214" s="96">
        <f ca="1">AP200*1.01</f>
        <v>294200.24482841609</v>
      </c>
      <c r="AQ214" s="109" t="s">
        <v>144</v>
      </c>
      <c r="AR214" s="23" t="s">
        <v>147</v>
      </c>
      <c r="AS214" s="96">
        <f ca="1">AS200*1.01</f>
        <v>344972.92441712454</v>
      </c>
      <c r="AT214" s="109" t="s">
        <v>144</v>
      </c>
      <c r="AU214" s="23" t="s">
        <v>147</v>
      </c>
    </row>
    <row r="215" spans="15:47" x14ac:dyDescent="0.25">
      <c r="O215" s="1"/>
      <c r="P215" s="1"/>
      <c r="Q215" s="1"/>
      <c r="R215" s="98"/>
      <c r="S215" s="107"/>
      <c r="T215" s="1"/>
      <c r="U215" s="47"/>
      <c r="V215" s="107"/>
      <c r="W215" s="1"/>
      <c r="X215" s="47"/>
      <c r="Y215" s="107"/>
      <c r="Z215" s="1"/>
      <c r="AA215" s="47"/>
      <c r="AB215" s="107"/>
      <c r="AC215" s="1"/>
      <c r="AD215" s="47"/>
      <c r="AE215" s="107"/>
      <c r="AF215" s="1"/>
      <c r="AG215" s="47"/>
      <c r="AH215" s="107"/>
      <c r="AI215" s="1"/>
      <c r="AJ215" s="47"/>
      <c r="AK215" s="107"/>
      <c r="AL215" s="1"/>
      <c r="AM215" s="47"/>
      <c r="AN215" s="107"/>
      <c r="AO215" s="1"/>
      <c r="AP215" s="47"/>
      <c r="AQ215" s="107"/>
      <c r="AR215" s="1"/>
      <c r="AS215" s="47"/>
      <c r="AT215" s="107"/>
      <c r="AU215" s="1"/>
    </row>
    <row r="216" spans="15:47" x14ac:dyDescent="0.25">
      <c r="O216" s="8" t="s">
        <v>132</v>
      </c>
      <c r="P216" s="8"/>
      <c r="Q216" s="8"/>
      <c r="R216" s="96">
        <f>P_1_minQ-(R214^2*R_up)+dpup_minQ</f>
        <v>90.185009565238033</v>
      </c>
      <c r="S216" s="106"/>
      <c r="T216" s="22"/>
      <c r="U216" s="96">
        <f ca="1">P_1_minQ-(U214^2*R_up)+dpup_minQ</f>
        <v>90.152674822827763</v>
      </c>
      <c r="V216" s="107"/>
      <c r="W216" s="1"/>
      <c r="X216" s="96">
        <f ca="1">P_1_minQ-(X214^2*R_up)+dpup_minQ</f>
        <v>89.990982157726236</v>
      </c>
      <c r="Y216" s="107"/>
      <c r="Z216" s="1"/>
      <c r="AA216" s="96">
        <f ca="1">P_1_minQ-(AA214^2*R_up)+dpup_minQ</f>
        <v>89.448839413799192</v>
      </c>
      <c r="AB216" s="107"/>
      <c r="AC216" s="1"/>
      <c r="AD216" s="96">
        <f ca="1">P_1_minQ-(AD214^2*R_up)+dpup_minQ</f>
        <v>88.112899333550416</v>
      </c>
      <c r="AE216" s="107"/>
      <c r="AF216" s="1"/>
      <c r="AG216" s="96">
        <f ca="1">P_1_minQ-(AG214^2*R_up)+dpup_minQ</f>
        <v>85.770924421947086</v>
      </c>
      <c r="AH216" s="107"/>
      <c r="AI216" s="1"/>
      <c r="AJ216" s="96">
        <f ca="1">P_1_minQ-(AJ214^2*R_up)+dpup_minQ</f>
        <v>82.323938519626623</v>
      </c>
      <c r="AK216" s="107"/>
      <c r="AL216" s="1"/>
      <c r="AM216" s="96">
        <f ca="1">P_1_minQ-(AM214^2*R_up)+dpup_minQ</f>
        <v>78.480930840592691</v>
      </c>
      <c r="AN216" s="107"/>
      <c r="AO216" s="1"/>
      <c r="AP216" s="96">
        <f ca="1">P_1_minQ-(AP214^2*R_up)+dpup_minQ</f>
        <v>74.409668980106119</v>
      </c>
      <c r="AQ216" s="107"/>
      <c r="AR216" s="1"/>
      <c r="AS216" s="96">
        <f ca="1">P_1_minQ-(AS214^2*R_up)+dpup_minQ</f>
        <v>68.494840467012921</v>
      </c>
      <c r="AT216" s="107"/>
      <c r="AU216" s="1"/>
    </row>
    <row r="217" spans="15:47" x14ac:dyDescent="0.25">
      <c r="O217" s="8" t="s">
        <v>134</v>
      </c>
      <c r="P217" s="1"/>
      <c r="Q217" s="8"/>
      <c r="R217" s="97">
        <f>P_2_minQ+(R214^2*R_dn)-dpdn_minQ</f>
        <v>60</v>
      </c>
      <c r="S217" s="106"/>
      <c r="T217" s="22"/>
      <c r="U217" s="97">
        <f ca="1">P_2_minQ+(U214^2*R_dn)-dpdn_minQ</f>
        <v>60</v>
      </c>
      <c r="V217" s="107"/>
      <c r="W217" s="1"/>
      <c r="X217" s="97">
        <f ca="1">P_2_minQ+(X214^2*R_dn)-dpdn_minQ</f>
        <v>60</v>
      </c>
      <c r="Y217" s="107"/>
      <c r="Z217" s="1"/>
      <c r="AA217" s="97">
        <f ca="1">P_2_minQ+(AA214^2*R_dn)-dpdn_minQ</f>
        <v>60</v>
      </c>
      <c r="AB217" s="107"/>
      <c r="AC217" s="1"/>
      <c r="AD217" s="97">
        <f ca="1">P_2_minQ+(AD214^2*R_dn)-dpdn_minQ</f>
        <v>60</v>
      </c>
      <c r="AE217" s="107"/>
      <c r="AF217" s="1"/>
      <c r="AG217" s="97">
        <f ca="1">P_2_minQ+(AG214^2*R_dn)-dpdn_minQ</f>
        <v>60</v>
      </c>
      <c r="AH217" s="107"/>
      <c r="AI217" s="1"/>
      <c r="AJ217" s="97">
        <f ca="1">P_2_minQ+(AJ214^2*R_dn)-dpdn_minQ</f>
        <v>60</v>
      </c>
      <c r="AK217" s="107"/>
      <c r="AL217" s="1"/>
      <c r="AM217" s="97">
        <f ca="1">P_2_minQ+(AM214^2*R_dn)-dpdn_minQ</f>
        <v>60</v>
      </c>
      <c r="AN217" s="107"/>
      <c r="AO217" s="1"/>
      <c r="AP217" s="97">
        <f ca="1">P_2_minQ+(AP214^2*R_dn)-dpdn_minQ</f>
        <v>60</v>
      </c>
      <c r="AQ217" s="107"/>
      <c r="AR217" s="1"/>
      <c r="AS217" s="97">
        <f ca="1">P_2_minQ+(AS214^2*R_dn)-dpdn_minQ</f>
        <v>60</v>
      </c>
      <c r="AT217" s="107"/>
      <c r="AU217" s="1"/>
    </row>
    <row r="218" spans="15:47" x14ac:dyDescent="0.25">
      <c r="O218" s="8" t="s">
        <v>138</v>
      </c>
      <c r="P218" s="1"/>
      <c r="Q218" s="8"/>
      <c r="R218" s="97">
        <f>R216-R217</f>
        <v>30.185009565238033</v>
      </c>
      <c r="S218" s="106"/>
      <c r="T218" s="22"/>
      <c r="U218" s="97">
        <f ca="1">U216-U217</f>
        <v>30.152674822827763</v>
      </c>
      <c r="V218" s="110"/>
      <c r="W218" s="25"/>
      <c r="X218" s="97">
        <f ca="1">X216-X217</f>
        <v>29.990982157726236</v>
      </c>
      <c r="Y218" s="110"/>
      <c r="Z218" s="25"/>
      <c r="AA218" s="97">
        <f ca="1">AA216-AA217</f>
        <v>29.448839413799192</v>
      </c>
      <c r="AB218" s="110"/>
      <c r="AC218" s="25"/>
      <c r="AD218" s="97">
        <f ca="1">AD216-AD217</f>
        <v>28.112899333550416</v>
      </c>
      <c r="AE218" s="110"/>
      <c r="AF218" s="25"/>
      <c r="AG218" s="97">
        <f ca="1">AG216-AG217</f>
        <v>25.770924421947086</v>
      </c>
      <c r="AH218" s="110"/>
      <c r="AI218" s="25"/>
      <c r="AJ218" s="97">
        <f ca="1">AJ216-AJ217</f>
        <v>22.323938519626623</v>
      </c>
      <c r="AK218" s="110"/>
      <c r="AL218" s="25"/>
      <c r="AM218" s="97">
        <f ca="1">AM216-AM217</f>
        <v>18.480930840592691</v>
      </c>
      <c r="AN218" s="110"/>
      <c r="AO218" s="25"/>
      <c r="AP218" s="97">
        <f ca="1">AP216-AP217</f>
        <v>14.409668980106119</v>
      </c>
      <c r="AQ218" s="110"/>
      <c r="AR218" s="25"/>
      <c r="AS218" s="97">
        <f ca="1">AS216-AS217</f>
        <v>8.4948404670129207</v>
      </c>
      <c r="AT218" s="110"/>
      <c r="AU218" s="25"/>
    </row>
    <row r="219" spans="15:47" ht="14.4" x14ac:dyDescent="0.3">
      <c r="O219" s="2" t="s">
        <v>140</v>
      </c>
      <c r="P219" s="11"/>
      <c r="Q219" s="2"/>
      <c r="R219" s="96">
        <f>R218/R216</f>
        <v>0.33470096317285192</v>
      </c>
      <c r="S219" s="106"/>
      <c r="T219" s="22"/>
      <c r="U219" s="96">
        <f ca="1">U218/U216</f>
        <v>0.33446234271013259</v>
      </c>
      <c r="V219" s="111"/>
      <c r="W219" s="28"/>
      <c r="X219" s="96">
        <f ca="1">X218/X216</f>
        <v>0.33326652780787924</v>
      </c>
      <c r="Y219" s="111"/>
      <c r="Z219" s="28"/>
      <c r="AA219" s="96">
        <f ca="1">AA218/AA216</f>
        <v>0.32922550596286604</v>
      </c>
      <c r="AB219" s="111"/>
      <c r="AC219" s="28"/>
      <c r="AD219" s="96">
        <f ca="1">AD218/AD216</f>
        <v>0.31905543395104208</v>
      </c>
      <c r="AE219" s="111"/>
      <c r="AF219" s="28"/>
      <c r="AG219" s="96">
        <f ca="1">AG218/AG216</f>
        <v>0.30046224400203403</v>
      </c>
      <c r="AH219" s="111"/>
      <c r="AI219" s="28"/>
      <c r="AJ219" s="96">
        <f ca="1">AJ218/AJ216</f>
        <v>0.27117189630455346</v>
      </c>
      <c r="AK219" s="111"/>
      <c r="AL219" s="28"/>
      <c r="AM219" s="96">
        <f ca="1">AM218/AM216</f>
        <v>0.2354830739473569</v>
      </c>
      <c r="AN219" s="111"/>
      <c r="AO219" s="28"/>
      <c r="AP219" s="96">
        <f ca="1">AP218/AP216</f>
        <v>0.19365317945385072</v>
      </c>
      <c r="AQ219" s="111"/>
      <c r="AR219" s="28"/>
      <c r="AS219" s="96">
        <f ca="1">AS218/AS216</f>
        <v>0.12402161110374484</v>
      </c>
      <c r="AT219" s="111"/>
      <c r="AU219" s="28"/>
    </row>
    <row r="220" spans="15:47" x14ac:dyDescent="0.25">
      <c r="O220" s="2" t="s">
        <v>21</v>
      </c>
      <c r="P220" s="8">
        <v>12</v>
      </c>
      <c r="Q220" s="2"/>
      <c r="R220" s="96">
        <f ca="1">1-R219/(3*F_GAMMA*R$29)</f>
        <v>0.8256846703243943</v>
      </c>
      <c r="S220" s="106"/>
      <c r="T220" s="22"/>
      <c r="U220" s="96">
        <f ca="1">1-U219/(3*F_GAMMA*U$29)</f>
        <v>0.82584941325002037</v>
      </c>
      <c r="V220" s="111"/>
      <c r="W220" s="28"/>
      <c r="X220" s="96">
        <f ca="1">1-X219/(3*F_GAMMA*X$29)</f>
        <v>0.82481933987420331</v>
      </c>
      <c r="Y220" s="111"/>
      <c r="Z220" s="28"/>
      <c r="AA220" s="96">
        <f ca="1">1-AA219/(3*F_GAMMA*AA$29)</f>
        <v>0.82450407356902644</v>
      </c>
      <c r="AB220" s="111"/>
      <c r="AC220" s="28"/>
      <c r="AD220" s="96">
        <f ca="1">1-AD219/(3*F_GAMMA*AD$29)</f>
        <v>0.82465057308239254</v>
      </c>
      <c r="AE220" s="111"/>
      <c r="AF220" s="28"/>
      <c r="AG220" s="96">
        <f ca="1">1-AG219/(3*F_GAMMA*AG$29)</f>
        <v>0.82496032102770966</v>
      </c>
      <c r="AH220" s="111"/>
      <c r="AI220" s="28"/>
      <c r="AJ220" s="96">
        <f ca="1">1-AJ219/(3*F_GAMMA*AJ$29)</f>
        <v>0.8300393870587317</v>
      </c>
      <c r="AK220" s="111"/>
      <c r="AL220" s="28"/>
      <c r="AM220" s="96">
        <f ca="1">1-AM219/(3*F_GAMMA*AM$29)</f>
        <v>0.83497979176559156</v>
      </c>
      <c r="AN220" s="111"/>
      <c r="AO220" s="28"/>
      <c r="AP220" s="96">
        <f ca="1">1-AP219/(3*F_GAMMA*AP$29)</f>
        <v>0.89069176208121059</v>
      </c>
      <c r="AQ220" s="111"/>
      <c r="AR220" s="28"/>
      <c r="AS220" s="96">
        <f ca="1">1-AS219/(3*F_GAMMA*AS$29)</f>
        <v>0.89025314734088712</v>
      </c>
      <c r="AT220" s="111"/>
      <c r="AU220" s="28"/>
    </row>
    <row r="221" spans="15:47" x14ac:dyDescent="0.25">
      <c r="O221" s="2" t="s">
        <v>57</v>
      </c>
      <c r="P221" s="143">
        <v>7</v>
      </c>
      <c r="Q221" s="2"/>
      <c r="R221" s="96">
        <f ca="1">(R214/(N_9*R$27*R216*R220))*SQRT(M*'Valve Sizing'!$W$6*'Valve Sizing'!$G$8/R219)</f>
        <v>0.16645539374367949</v>
      </c>
      <c r="S221" s="107"/>
      <c r="T221" s="22"/>
      <c r="U221" s="96">
        <f ca="1">(U214/(N_9*U$27*U216*U220))*SQRT(M*'Valve Sizing'!$W$6*'Valve Sizing'!$G$8/U219)</f>
        <v>5.3878263075694708</v>
      </c>
      <c r="V221" s="111"/>
      <c r="W221" s="28"/>
      <c r="X221" s="96">
        <f ca="1">(X214/(N_9*X$27*X216*X220))*SQRT(M*'Valve Sizing'!$W$6*'Valve Sizing'!$G$8/X219)</f>
        <v>13.287254288235999</v>
      </c>
      <c r="Y221" s="111"/>
      <c r="Z221" s="28"/>
      <c r="AA221" s="96">
        <f ca="1">(AA214/(N_9*AA$27*AA216*AA220))*SQRT(M*'Valve Sizing'!$W$6*'Valve Sizing'!$G$8/AA219)</f>
        <v>26.36187715170534</v>
      </c>
      <c r="AB221" s="111"/>
      <c r="AC221" s="28"/>
      <c r="AD221" s="96">
        <f ca="1">(AD214/(N_9*AD$27*AD216*AD220))*SQRT(M*'Valve Sizing'!$W$6*'Valve Sizing'!$G$8/AD219)</f>
        <v>46.164315481720919</v>
      </c>
      <c r="AE221" s="111"/>
      <c r="AF221" s="28"/>
      <c r="AG221" s="96">
        <f ca="1">(AG214/(N_9*AG$27*AG216*AG220))*SQRT(M*'Valve Sizing'!$W$6*'Valve Sizing'!$G$8/AG219)</f>
        <v>72.905172683303533</v>
      </c>
      <c r="AH221" s="111"/>
      <c r="AI221" s="28"/>
      <c r="AJ221" s="96">
        <f ca="1">(AJ214/(N_9*AJ$27*AJ216*AJ220))*SQRT(M*'Valve Sizing'!$W$6*'Valve Sizing'!$G$8/AJ219)</f>
        <v>109.88088444535525</v>
      </c>
      <c r="AK221" s="111"/>
      <c r="AL221" s="28"/>
      <c r="AM221" s="96">
        <f ca="1">(AM214/(N_9*AM$27*AM216*AM220))*SQRT(M*'Valve Sizing'!$W$6*'Valve Sizing'!$G$8/AM219)</f>
        <v>159.1825787165931</v>
      </c>
      <c r="AN221" s="111"/>
      <c r="AO221" s="28"/>
      <c r="AP221" s="96">
        <f ca="1">(AP214/(N_9*AP$27*AP216*AP220))*SQRT(M*'Valve Sizing'!$W$6*'Valve Sizing'!$G$8/AP219)</f>
        <v>229.34191942742015</v>
      </c>
      <c r="AQ221" s="111"/>
      <c r="AR221" s="28"/>
      <c r="AS221" s="96">
        <f ca="1">(AS214/(N_9*AS$27*AS216*AS220))*SQRT(M*'Valve Sizing'!$W$6*'Valve Sizing'!$G$8/AS219)</f>
        <v>489.19443351911843</v>
      </c>
      <c r="AT221" s="111"/>
      <c r="AU221" s="28"/>
    </row>
    <row r="222" spans="15:47" x14ac:dyDescent="0.25">
      <c r="O222" s="2" t="s">
        <v>59</v>
      </c>
      <c r="P222" s="143">
        <v>7</v>
      </c>
      <c r="Q222" s="2"/>
      <c r="R222" s="96">
        <f ca="1">(R214/(N_9*R$27*R216*0.667))*SQRT(M*'Valve Sizing'!$W$6*'Valve Sizing'!$G$8/R223)</f>
        <v>0.14900974729492408</v>
      </c>
      <c r="S222" s="107"/>
      <c r="T222" s="22"/>
      <c r="U222" s="96">
        <f ca="1">(U214/(N_9*U$27*U216*0.667))*SQRT(M*'Valve Sizing'!$W$6*'Valve Sizing'!$G$8/U223)</f>
        <v>4.8218280109839489</v>
      </c>
      <c r="V222" s="111"/>
      <c r="W222" s="28"/>
      <c r="X222" s="96">
        <f ca="1">(X214/(N_9*X$27*X216*0.667))*SQRT(M*'Valve Sizing'!$W$6*'Valve Sizing'!$G$8/X223)</f>
        <v>11.911650840311177</v>
      </c>
      <c r="Y222" s="111"/>
      <c r="Z222" s="28"/>
      <c r="AA222" s="96">
        <f ca="1">(AA214/(N_9*AA$27*AA216*0.667))*SQRT(M*'Valve Sizing'!$W$6*'Valve Sizing'!$G$8/AA223)</f>
        <v>23.644898336377778</v>
      </c>
      <c r="AB222" s="111"/>
      <c r="AC222" s="28"/>
      <c r="AD222" s="96">
        <f ca="1">(AD214/(N_9*AD$27*AD216*0.667))*SQRT(M*'Valve Sizing'!$W$6*'Valve Sizing'!$G$8/AD223)</f>
        <v>41.396472397475705</v>
      </c>
      <c r="AE222" s="111"/>
      <c r="AF222" s="28"/>
      <c r="AG222" s="96">
        <f ca="1">(AG214/(N_9*AG$27*AG216*0.667))*SQRT(M*'Valve Sizing'!$W$6*'Valve Sizing'!$G$8/AG223)</f>
        <v>65.342305051900738</v>
      </c>
      <c r="AH222" s="111"/>
      <c r="AI222" s="28"/>
      <c r="AJ222" s="96">
        <f ca="1">(AJ214/(N_9*AJ$27*AJ216*0.667))*SQRT(M*'Valve Sizing'!$W$6*'Valve Sizing'!$G$8/AJ223)</f>
        <v>97.640452909625481</v>
      </c>
      <c r="AK222" s="111"/>
      <c r="AL222" s="28"/>
      <c r="AM222" s="96">
        <f ca="1">(AM214/(N_9*AM$27*AM216*0.667))*SQRT(M*'Valve Sizing'!$W$6*'Valve Sizing'!$G$8/AM223)</f>
        <v>140.20866672123572</v>
      </c>
      <c r="AN222" s="111"/>
      <c r="AO222" s="28"/>
      <c r="AP222" s="96">
        <f ca="1">(AP214/(N_9*AP$27*AP216*0.667))*SQRT(M*'Valve Sizing'!$W$6*'Valve Sizing'!$G$8/AP223)</f>
        <v>175.3767907778807</v>
      </c>
      <c r="AQ222" s="111"/>
      <c r="AR222" s="28"/>
      <c r="AS222" s="96">
        <f ca="1">(AS214/(N_9*AS$27*AS216*0.667))*SQRT(M*'Valve Sizing'!$W$6*'Valve Sizing'!$G$8/AS223)</f>
        <v>374.65010179561784</v>
      </c>
      <c r="AT222" s="111"/>
      <c r="AU222" s="28"/>
    </row>
    <row r="223" spans="15:47" ht="15.6" x14ac:dyDescent="0.35">
      <c r="O223" s="2" t="s">
        <v>68</v>
      </c>
      <c r="P223" s="143">
        <v>10</v>
      </c>
      <c r="Q223" s="2"/>
      <c r="R223" s="96">
        <f ca="1">F_GAMMA*R$29</f>
        <v>0.64002969751372984</v>
      </c>
      <c r="S223" s="107"/>
      <c r="T223" s="1"/>
      <c r="U223" s="96">
        <f ca="1">F_GAMMA*U$29</f>
        <v>0.64017842058782071</v>
      </c>
      <c r="V223" s="111"/>
      <c r="W223" s="28"/>
      <c r="X223" s="96">
        <f ca="1">F_GAMMA*X$29</f>
        <v>0.63413873724904268</v>
      </c>
      <c r="Y223" s="111"/>
      <c r="Z223" s="28"/>
      <c r="AA223" s="96">
        <f ca="1">F_GAMMA*AA$29</f>
        <v>0.62532411750377137</v>
      </c>
      <c r="AB223" s="111"/>
      <c r="AC223" s="28"/>
      <c r="AD223" s="96">
        <f ca="1">F_GAMMA*AD$29</f>
        <v>0.60651359509139569</v>
      </c>
      <c r="AE223" s="111"/>
      <c r="AF223" s="28"/>
      <c r="AG223" s="96">
        <f ca="1">F_GAMMA*AG$29</f>
        <v>0.57217930198481592</v>
      </c>
      <c r="AH223" s="111"/>
      <c r="AI223" s="28"/>
      <c r="AJ223" s="96">
        <f ca="1">F_GAMMA*AJ$29</f>
        <v>0.53183282018848232</v>
      </c>
      <c r="AK223" s="111"/>
      <c r="AL223" s="28"/>
      <c r="AM223" s="96">
        <f ca="1">F_GAMMA*AM$29</f>
        <v>0.47566512503094399</v>
      </c>
      <c r="AN223" s="111"/>
      <c r="AO223" s="28"/>
      <c r="AP223" s="96">
        <f ca="1">F_GAMMA*AP$29</f>
        <v>0.59054158265645496</v>
      </c>
      <c r="AQ223" s="111"/>
      <c r="AR223" s="28"/>
      <c r="AS223" s="96">
        <f ca="1">F_GAMMA*AS$29</f>
        <v>0.3766899554102966</v>
      </c>
      <c r="AT223" s="111"/>
      <c r="AU223" s="28"/>
    </row>
    <row r="224" spans="15:47" x14ac:dyDescent="0.25">
      <c r="O224" s="2" t="s">
        <v>145</v>
      </c>
      <c r="P224" s="12"/>
      <c r="Q224" s="2"/>
      <c r="R224" s="96">
        <f ca="1">IF(R219&lt;R223,R221,R222)</f>
        <v>0.16645539374367949</v>
      </c>
      <c r="S224" s="116"/>
      <c r="T224" s="1"/>
      <c r="U224" s="96">
        <f ca="1">IF(U219&lt;U223,U221,U222)</f>
        <v>5.3878263075694708</v>
      </c>
      <c r="V224" s="111"/>
      <c r="W224" s="28"/>
      <c r="X224" s="96">
        <f ca="1">IF(X219&lt;X223,X221,X222)</f>
        <v>13.287254288235999</v>
      </c>
      <c r="Y224" s="111"/>
      <c r="Z224" s="28"/>
      <c r="AA224" s="96">
        <f ca="1">IF(AA219&lt;AA223,AA221,AA222)</f>
        <v>26.36187715170534</v>
      </c>
      <c r="AB224" s="111"/>
      <c r="AC224" s="28"/>
      <c r="AD224" s="96">
        <f ca="1">IF(AD219&lt;AD223,AD221,AD222)</f>
        <v>46.164315481720919</v>
      </c>
      <c r="AE224" s="111"/>
      <c r="AF224" s="28"/>
      <c r="AG224" s="96">
        <f ca="1">IF(AG219&lt;AG223,AG221,AG222)</f>
        <v>72.905172683303533</v>
      </c>
      <c r="AH224" s="111"/>
      <c r="AI224" s="28"/>
      <c r="AJ224" s="96">
        <f ca="1">IF(AJ219&lt;AJ223,AJ221,AJ222)</f>
        <v>109.88088444535525</v>
      </c>
      <c r="AK224" s="111"/>
      <c r="AL224" s="28"/>
      <c r="AM224" s="96">
        <f ca="1">IF(AM219&lt;AM223,AM221,AM222)</f>
        <v>159.1825787165931</v>
      </c>
      <c r="AN224" s="111"/>
      <c r="AO224" s="28"/>
      <c r="AP224" s="96">
        <f ca="1">IF(AP219&lt;AP223,AP221,AP222)</f>
        <v>229.34191942742015</v>
      </c>
      <c r="AQ224" s="111"/>
      <c r="AR224" s="28"/>
      <c r="AS224" s="96">
        <f ca="1">IF(AS219&lt;AS223,AS221,AS222)</f>
        <v>489.19443351911843</v>
      </c>
      <c r="AT224" s="111"/>
      <c r="AU224" s="28"/>
    </row>
    <row r="225" spans="15:47" x14ac:dyDescent="0.25">
      <c r="O225" s="13" t="s">
        <v>143</v>
      </c>
      <c r="P225" s="1"/>
      <c r="Q225" s="1"/>
      <c r="R225" s="113"/>
      <c r="S225" s="106">
        <f ca="1">IF(R218&lt;=0,Q_max,ABS(R$23-R224))</f>
        <v>4.563544606256321</v>
      </c>
      <c r="T225" s="7">
        <f>R214</f>
        <v>412.18188066149315</v>
      </c>
      <c r="U225" s="98"/>
      <c r="V225" s="106">
        <f ca="1">IF(U218&lt;=0,Q_max,ABS(U$23-U224))</f>
        <v>6.2121736924305289</v>
      </c>
      <c r="W225" s="9">
        <f ca="1">U214</f>
        <v>13325.876480212337</v>
      </c>
      <c r="X225" s="98"/>
      <c r="Y225" s="106">
        <f ca="1">IF(X218&lt;=0,Q_max,ABS(X$23-X224))</f>
        <v>9.7127457117640006</v>
      </c>
      <c r="Z225" s="9">
        <f ca="1">X214</f>
        <v>32630.176567777638</v>
      </c>
      <c r="AA225" s="98"/>
      <c r="AB225" s="106">
        <f ca="1">IF(AA218&lt;=0,Q_max,ABS(AA$23-AA224))</f>
        <v>13.038122848294659</v>
      </c>
      <c r="AC225" s="9">
        <f ca="1">AA214</f>
        <v>63555.255251125265</v>
      </c>
      <c r="AD225" s="98"/>
      <c r="AE225" s="106">
        <f ca="1">IF(AD218&lt;=0,Q_max,ABS(AD$23-AD224))</f>
        <v>14.835684518279081</v>
      </c>
      <c r="AF225" s="9">
        <f ca="1">AD214</f>
        <v>106625.94763556248</v>
      </c>
      <c r="AG225" s="98"/>
      <c r="AH225" s="106">
        <f ca="1">IF(AG218&lt;=0,Q_max,ABS(AG$23-AG224))</f>
        <v>15.29482731669647</v>
      </c>
      <c r="AI225" s="9">
        <f ca="1">AG214</f>
        <v>155623.47465352982</v>
      </c>
      <c r="AJ225" s="98"/>
      <c r="AK225" s="106">
        <f ca="1">IF(AJ218&lt;=0,Q_max,ABS(AJ$23-AJ224))</f>
        <v>11.11911555464475</v>
      </c>
      <c r="AL225" s="9">
        <f ca="1">AJ214</f>
        <v>207680.13020999823</v>
      </c>
      <c r="AM225" s="98"/>
      <c r="AN225" s="106">
        <f ca="1">IF(AM218&lt;=0,Q_max,ABS(AM$23-AM224))</f>
        <v>5.817421283406901</v>
      </c>
      <c r="AO225" s="9">
        <f ca="1">AM214</f>
        <v>253409.22637733669</v>
      </c>
      <c r="AP225" s="98"/>
      <c r="AQ225" s="106">
        <f ca="1">IF(AP218&lt;=0,Q_max,ABS(AP$23-AP224))</f>
        <v>16.658080572579848</v>
      </c>
      <c r="AR225" s="9">
        <f ca="1">AP214</f>
        <v>294200.24482841609</v>
      </c>
      <c r="AS225" s="98"/>
      <c r="AT225" s="106">
        <f ca="1">IF(AS218&lt;=0,Q_max,ABS(AS$23-AS224))</f>
        <v>69.194433519118434</v>
      </c>
      <c r="AU225" s="9">
        <f ca="1">AS214</f>
        <v>344972.92441712454</v>
      </c>
    </row>
    <row r="226" spans="15:47" x14ac:dyDescent="0.25">
      <c r="O226" s="21"/>
      <c r="P226" s="14"/>
      <c r="Q226" s="21"/>
      <c r="R226" s="97"/>
      <c r="S226" s="106"/>
      <c r="T226" s="28"/>
      <c r="U226" s="97"/>
      <c r="V226" s="111"/>
      <c r="W226" s="28"/>
      <c r="X226" s="97"/>
      <c r="Y226" s="111"/>
      <c r="Z226" s="28"/>
      <c r="AA226" s="97"/>
      <c r="AB226" s="111"/>
      <c r="AC226" s="28"/>
      <c r="AD226" s="97"/>
      <c r="AE226" s="111"/>
      <c r="AF226" s="28"/>
      <c r="AG226" s="97"/>
      <c r="AH226" s="111"/>
      <c r="AI226" s="28"/>
      <c r="AJ226" s="97"/>
      <c r="AK226" s="111"/>
      <c r="AL226" s="28"/>
      <c r="AM226" s="97"/>
      <c r="AN226" s="111"/>
      <c r="AO226" s="28"/>
      <c r="AP226" s="97"/>
      <c r="AQ226" s="111"/>
      <c r="AR226" s="28"/>
      <c r="AS226" s="97"/>
      <c r="AT226" s="111"/>
      <c r="AU226" s="28"/>
    </row>
    <row r="227" spans="15:47" x14ac:dyDescent="0.25">
      <c r="O227" s="1"/>
      <c r="P227" s="1"/>
      <c r="Q227" s="1"/>
      <c r="R227" s="98"/>
      <c r="S227" s="108" t="s">
        <v>137</v>
      </c>
      <c r="T227" s="26" t="s">
        <v>146</v>
      </c>
      <c r="U227" s="98"/>
      <c r="V227" s="108" t="s">
        <v>137</v>
      </c>
      <c r="W227" s="26" t="s">
        <v>146</v>
      </c>
      <c r="X227" s="98"/>
      <c r="Y227" s="108" t="s">
        <v>137</v>
      </c>
      <c r="Z227" s="26" t="s">
        <v>146</v>
      </c>
      <c r="AA227" s="98"/>
      <c r="AB227" s="108" t="s">
        <v>137</v>
      </c>
      <c r="AC227" s="26" t="s">
        <v>146</v>
      </c>
      <c r="AD227" s="98"/>
      <c r="AE227" s="108" t="s">
        <v>137</v>
      </c>
      <c r="AF227" s="26" t="s">
        <v>146</v>
      </c>
      <c r="AG227" s="98"/>
      <c r="AH227" s="108" t="s">
        <v>137</v>
      </c>
      <c r="AI227" s="26" t="s">
        <v>146</v>
      </c>
      <c r="AJ227" s="98"/>
      <c r="AK227" s="108" t="s">
        <v>137</v>
      </c>
      <c r="AL227" s="26" t="s">
        <v>146</v>
      </c>
      <c r="AM227" s="98"/>
      <c r="AN227" s="108" t="s">
        <v>137</v>
      </c>
      <c r="AO227" s="26" t="s">
        <v>146</v>
      </c>
      <c r="AP227" s="98"/>
      <c r="AQ227" s="108" t="s">
        <v>137</v>
      </c>
      <c r="AR227" s="26" t="s">
        <v>146</v>
      </c>
      <c r="AS227" s="98"/>
      <c r="AT227" s="108" t="s">
        <v>137</v>
      </c>
      <c r="AU227" s="26" t="s">
        <v>146</v>
      </c>
    </row>
    <row r="228" spans="15:47" ht="13.8" x14ac:dyDescent="0.25">
      <c r="O228" s="20" t="s">
        <v>136</v>
      </c>
      <c r="P228" s="1"/>
      <c r="Q228" s="1"/>
      <c r="R228" s="96">
        <f>R214*1.02</f>
        <v>420.425518274723</v>
      </c>
      <c r="S228" s="109" t="s">
        <v>144</v>
      </c>
      <c r="T228" s="23" t="s">
        <v>147</v>
      </c>
      <c r="U228" s="96">
        <f ca="1">U214*1.01</f>
        <v>13459.13524501446</v>
      </c>
      <c r="V228" s="109" t="s">
        <v>144</v>
      </c>
      <c r="W228" s="23" t="s">
        <v>147</v>
      </c>
      <c r="X228" s="96">
        <f ca="1">X214*1.01</f>
        <v>32956.478333455416</v>
      </c>
      <c r="Y228" s="109" t="s">
        <v>144</v>
      </c>
      <c r="Z228" s="23" t="s">
        <v>147</v>
      </c>
      <c r="AA228" s="96">
        <f ca="1">AA214*1.01</f>
        <v>64190.807803636519</v>
      </c>
      <c r="AB228" s="109" t="s">
        <v>144</v>
      </c>
      <c r="AC228" s="23" t="s">
        <v>147</v>
      </c>
      <c r="AD228" s="96">
        <f ca="1">AD214*1.01</f>
        <v>107692.20711191811</v>
      </c>
      <c r="AE228" s="109" t="s">
        <v>144</v>
      </c>
      <c r="AF228" s="23" t="s">
        <v>147</v>
      </c>
      <c r="AG228" s="96">
        <f ca="1">AG214*1.01</f>
        <v>157179.70940006513</v>
      </c>
      <c r="AH228" s="109" t="s">
        <v>144</v>
      </c>
      <c r="AI228" s="23" t="s">
        <v>147</v>
      </c>
      <c r="AJ228" s="96">
        <f ca="1">AJ214*1.01</f>
        <v>209756.93151209821</v>
      </c>
      <c r="AK228" s="109" t="s">
        <v>144</v>
      </c>
      <c r="AL228" s="23" t="s">
        <v>147</v>
      </c>
      <c r="AM228" s="96">
        <f ca="1">AM214*1.01</f>
        <v>255943.31864111006</v>
      </c>
      <c r="AN228" s="109" t="s">
        <v>144</v>
      </c>
      <c r="AO228" s="23" t="s">
        <v>147</v>
      </c>
      <c r="AP228" s="96">
        <f ca="1">AP214*1.01</f>
        <v>297142.24727670028</v>
      </c>
      <c r="AQ228" s="109" t="s">
        <v>144</v>
      </c>
      <c r="AR228" s="23" t="s">
        <v>147</v>
      </c>
      <c r="AS228" s="96">
        <f ca="1">AS214*1.01</f>
        <v>348422.65366129577</v>
      </c>
      <c r="AT228" s="109" t="s">
        <v>144</v>
      </c>
      <c r="AU228" s="23" t="s">
        <v>147</v>
      </c>
    </row>
    <row r="229" spans="15:47" x14ac:dyDescent="0.25">
      <c r="O229" s="1"/>
      <c r="P229" s="1"/>
      <c r="Q229" s="1"/>
      <c r="R229" s="98"/>
      <c r="S229" s="107"/>
      <c r="T229" s="1"/>
      <c r="U229" s="47"/>
      <c r="V229" s="107"/>
      <c r="W229" s="1"/>
      <c r="X229" s="47"/>
      <c r="Y229" s="107"/>
      <c r="Z229" s="1"/>
      <c r="AA229" s="47"/>
      <c r="AB229" s="107"/>
      <c r="AC229" s="1"/>
      <c r="AD229" s="47"/>
      <c r="AE229" s="107"/>
      <c r="AF229" s="1"/>
      <c r="AG229" s="47"/>
      <c r="AH229" s="107"/>
      <c r="AI229" s="1"/>
      <c r="AJ229" s="47"/>
      <c r="AK229" s="107"/>
      <c r="AL229" s="1"/>
      <c r="AM229" s="47"/>
      <c r="AN229" s="107"/>
      <c r="AO229" s="1"/>
      <c r="AP229" s="47"/>
      <c r="AQ229" s="107"/>
      <c r="AR229" s="1"/>
      <c r="AS229" s="47"/>
      <c r="AT229" s="107"/>
      <c r="AU229" s="1"/>
    </row>
    <row r="230" spans="15:47" x14ac:dyDescent="0.25">
      <c r="O230" s="8" t="s">
        <v>132</v>
      </c>
      <c r="P230" s="8"/>
      <c r="Q230" s="8"/>
      <c r="R230" s="96">
        <f>P_1_minQ-(R228^2*R_up)+dpup_minQ</f>
        <v>90.18500831425132</v>
      </c>
      <c r="S230" s="106"/>
      <c r="T230" s="22"/>
      <c r="U230" s="96">
        <f ca="1">P_1_minQ-(U228^2*R_up)+dpup_minQ</f>
        <v>90.152024272108463</v>
      </c>
      <c r="V230" s="107"/>
      <c r="W230" s="1"/>
      <c r="X230" s="96">
        <f ca="1">P_1_minQ-(X228^2*R_up)+dpup_minQ</f>
        <v>89.9870815844384</v>
      </c>
      <c r="Y230" s="107"/>
      <c r="Z230" s="1"/>
      <c r="AA230" s="96">
        <f ca="1">P_1_minQ-(AA228^2*R_up)+dpup_minQ</f>
        <v>89.434041771358423</v>
      </c>
      <c r="AB230" s="107"/>
      <c r="AC230" s="1"/>
      <c r="AD230" s="96">
        <f ca="1">P_1_minQ-(AD228^2*R_up)+dpup_minQ</f>
        <v>88.071249295496642</v>
      </c>
      <c r="AE230" s="107"/>
      <c r="AF230" s="1"/>
      <c r="AG230" s="96">
        <f ca="1">P_1_minQ-(AG228^2*R_up)+dpup_minQ</f>
        <v>85.682200688170084</v>
      </c>
      <c r="AH230" s="107"/>
      <c r="AI230" s="1"/>
      <c r="AJ230" s="96">
        <f ca="1">P_1_minQ-(AJ228^2*R_up)+dpup_minQ</f>
        <v>82.165930369212987</v>
      </c>
      <c r="AK230" s="107"/>
      <c r="AL230" s="1"/>
      <c r="AM230" s="96">
        <f ca="1">P_1_minQ-(AM228^2*R_up)+dpup_minQ</f>
        <v>78.245678235830468</v>
      </c>
      <c r="AN230" s="107"/>
      <c r="AO230" s="1"/>
      <c r="AP230" s="96">
        <f ca="1">P_1_minQ-(AP228^2*R_up)+dpup_minQ</f>
        <v>74.092584011948119</v>
      </c>
      <c r="AQ230" s="107"/>
      <c r="AR230" s="1"/>
      <c r="AS230" s="96">
        <f ca="1">P_1_minQ-(AS228^2*R_up)+dpup_minQ</f>
        <v>68.058867445741754</v>
      </c>
      <c r="AT230" s="107"/>
      <c r="AU230" s="1"/>
    </row>
    <row r="231" spans="15:47" x14ac:dyDescent="0.25">
      <c r="O231" s="8" t="s">
        <v>134</v>
      </c>
      <c r="P231" s="1"/>
      <c r="Q231" s="8"/>
      <c r="R231" s="97">
        <f>P_2_minQ+(R228^2*R_dn)-dpdn_minQ</f>
        <v>60</v>
      </c>
      <c r="S231" s="106"/>
      <c r="T231" s="22"/>
      <c r="U231" s="97">
        <f ca="1">P_2_minQ+(U228^2*R_dn)-dpdn_minQ</f>
        <v>60</v>
      </c>
      <c r="V231" s="107"/>
      <c r="W231" s="1"/>
      <c r="X231" s="97">
        <f ca="1">P_2_minQ+(X228^2*R_dn)-dpdn_minQ</f>
        <v>60</v>
      </c>
      <c r="Y231" s="107"/>
      <c r="Z231" s="1"/>
      <c r="AA231" s="97">
        <f ca="1">P_2_minQ+(AA228^2*R_dn)-dpdn_minQ</f>
        <v>60</v>
      </c>
      <c r="AB231" s="107"/>
      <c r="AC231" s="1"/>
      <c r="AD231" s="97">
        <f ca="1">P_2_minQ+(AD228^2*R_dn)-dpdn_minQ</f>
        <v>60</v>
      </c>
      <c r="AE231" s="107"/>
      <c r="AF231" s="1"/>
      <c r="AG231" s="97">
        <f ca="1">P_2_minQ+(AG228^2*R_dn)-dpdn_minQ</f>
        <v>60</v>
      </c>
      <c r="AH231" s="107"/>
      <c r="AI231" s="1"/>
      <c r="AJ231" s="97">
        <f ca="1">P_2_minQ+(AJ228^2*R_dn)-dpdn_minQ</f>
        <v>60</v>
      </c>
      <c r="AK231" s="107"/>
      <c r="AL231" s="1"/>
      <c r="AM231" s="97">
        <f ca="1">P_2_minQ+(AM228^2*R_dn)-dpdn_minQ</f>
        <v>60</v>
      </c>
      <c r="AN231" s="107"/>
      <c r="AO231" s="1"/>
      <c r="AP231" s="97">
        <f ca="1">P_2_minQ+(AP228^2*R_dn)-dpdn_minQ</f>
        <v>60</v>
      </c>
      <c r="AQ231" s="107"/>
      <c r="AR231" s="1"/>
      <c r="AS231" s="97">
        <f ca="1">P_2_minQ+(AS228^2*R_dn)-dpdn_minQ</f>
        <v>60</v>
      </c>
      <c r="AT231" s="107"/>
      <c r="AU231" s="1"/>
    </row>
    <row r="232" spans="15:47" x14ac:dyDescent="0.25">
      <c r="O232" s="8" t="s">
        <v>138</v>
      </c>
      <c r="P232" s="1"/>
      <c r="Q232" s="8"/>
      <c r="R232" s="97">
        <f>R230-R231</f>
        <v>30.18500831425132</v>
      </c>
      <c r="S232" s="106"/>
      <c r="T232" s="22"/>
      <c r="U232" s="97">
        <f ca="1">U230-U231</f>
        <v>30.152024272108463</v>
      </c>
      <c r="V232" s="110"/>
      <c r="W232" s="25"/>
      <c r="X232" s="97">
        <f ca="1">X230-X231</f>
        <v>29.9870815844384</v>
      </c>
      <c r="Y232" s="110"/>
      <c r="Z232" s="25"/>
      <c r="AA232" s="97">
        <f ca="1">AA230-AA231</f>
        <v>29.434041771358423</v>
      </c>
      <c r="AB232" s="110"/>
      <c r="AC232" s="25"/>
      <c r="AD232" s="97">
        <f ca="1">AD230-AD231</f>
        <v>28.071249295496642</v>
      </c>
      <c r="AE232" s="110"/>
      <c r="AF232" s="25"/>
      <c r="AG232" s="97">
        <f ca="1">AG230-AG231</f>
        <v>25.682200688170084</v>
      </c>
      <c r="AH232" s="110"/>
      <c r="AI232" s="25"/>
      <c r="AJ232" s="97">
        <f ca="1">AJ230-AJ231</f>
        <v>22.165930369212987</v>
      </c>
      <c r="AK232" s="110"/>
      <c r="AL232" s="25"/>
      <c r="AM232" s="97">
        <f ca="1">AM230-AM231</f>
        <v>18.245678235830468</v>
      </c>
      <c r="AN232" s="110"/>
      <c r="AO232" s="25"/>
      <c r="AP232" s="97">
        <f ca="1">AP230-AP231</f>
        <v>14.092584011948119</v>
      </c>
      <c r="AQ232" s="110"/>
      <c r="AR232" s="25"/>
      <c r="AS232" s="97">
        <f ca="1">AS230-AS231</f>
        <v>8.058867445741754</v>
      </c>
      <c r="AT232" s="110"/>
      <c r="AU232" s="25"/>
    </row>
    <row r="233" spans="15:47" ht="14.4" x14ac:dyDescent="0.3">
      <c r="O233" s="2" t="s">
        <v>140</v>
      </c>
      <c r="P233" s="11"/>
      <c r="Q233" s="2"/>
      <c r="R233" s="96">
        <f>R232/R230</f>
        <v>0.33470095394426425</v>
      </c>
      <c r="S233" s="106"/>
      <c r="T233" s="22"/>
      <c r="U233" s="96">
        <f ca="1">U232/U230</f>
        <v>0.33445754008916911</v>
      </c>
      <c r="V233" s="111"/>
      <c r="W233" s="28"/>
      <c r="X233" s="96">
        <f ca="1">X232/X230</f>
        <v>0.33323762762880965</v>
      </c>
      <c r="Y233" s="111"/>
      <c r="Z233" s="28"/>
      <c r="AA233" s="96">
        <f ca="1">AA232/AA230</f>
        <v>0.32911452047093753</v>
      </c>
      <c r="AB233" s="111"/>
      <c r="AC233" s="28"/>
      <c r="AD233" s="96">
        <f ca="1">AD232/AD230</f>
        <v>0.31873340641861442</v>
      </c>
      <c r="AE233" s="111"/>
      <c r="AF233" s="28"/>
      <c r="AG233" s="96">
        <f ca="1">AG232/AG230</f>
        <v>0.29973787416638981</v>
      </c>
      <c r="AH233" s="111"/>
      <c r="AI233" s="28"/>
      <c r="AJ233" s="96">
        <f ca="1">AJ232/AJ230</f>
        <v>0.26977033266233674</v>
      </c>
      <c r="AK233" s="111"/>
      <c r="AL233" s="28"/>
      <c r="AM233" s="96">
        <f ca="1">AM232/AM230</f>
        <v>0.23318448567649272</v>
      </c>
      <c r="AN233" s="111"/>
      <c r="AO233" s="28"/>
      <c r="AP233" s="96">
        <f ca="1">AP232/AP230</f>
        <v>0.190202355605192</v>
      </c>
      <c r="AQ233" s="111"/>
      <c r="AR233" s="28"/>
      <c r="AS233" s="96">
        <f ca="1">AS232/AS230</f>
        <v>0.11841024907101909</v>
      </c>
      <c r="AT233" s="111"/>
      <c r="AU233" s="28"/>
    </row>
    <row r="234" spans="15:47" x14ac:dyDescent="0.25">
      <c r="O234" s="2" t="s">
        <v>21</v>
      </c>
      <c r="P234" s="8">
        <v>12</v>
      </c>
      <c r="Q234" s="2"/>
      <c r="R234" s="96">
        <f ca="1">1-R233/(3*F_GAMMA*R$29)</f>
        <v>0.82568467513072741</v>
      </c>
      <c r="S234" s="106"/>
      <c r="T234" s="22"/>
      <c r="U234" s="96">
        <f ca="1">1-U233/(3*F_GAMMA*U$29)</f>
        <v>0.82585191391796386</v>
      </c>
      <c r="V234" s="111"/>
      <c r="W234" s="28"/>
      <c r="X234" s="96">
        <f ca="1">1-X233/(3*F_GAMMA*X$29)</f>
        <v>0.82483453117613359</v>
      </c>
      <c r="Y234" s="111"/>
      <c r="Z234" s="28"/>
      <c r="AA234" s="96">
        <f ca="1">1-AA233/(3*F_GAMMA*AA$29)</f>
        <v>0.82456323515090146</v>
      </c>
      <c r="AB234" s="111"/>
      <c r="AC234" s="28"/>
      <c r="AD234" s="96">
        <f ca="1">1-AD233/(3*F_GAMMA*AD$29)</f>
        <v>0.82482755594259216</v>
      </c>
      <c r="AE234" s="111"/>
      <c r="AF234" s="28"/>
      <c r="AG234" s="96">
        <f ca="1">1-AG233/(3*F_GAMMA*AG$29)</f>
        <v>0.82538231569099763</v>
      </c>
      <c r="AH234" s="111"/>
      <c r="AI234" s="28"/>
      <c r="AJ234" s="96">
        <f ca="1">1-AJ233/(3*F_GAMMA*AJ$29)</f>
        <v>0.83091783581744749</v>
      </c>
      <c r="AK234" s="111"/>
      <c r="AL234" s="28"/>
      <c r="AM234" s="96">
        <f ca="1">1-AM233/(3*F_GAMMA*AM$29)</f>
        <v>0.83659058063778025</v>
      </c>
      <c r="AN234" s="111"/>
      <c r="AO234" s="28"/>
      <c r="AP234" s="96">
        <f ca="1">1-AP233/(3*F_GAMMA*AP$29)</f>
        <v>0.8926395920901411</v>
      </c>
      <c r="AQ234" s="111"/>
      <c r="AR234" s="28"/>
      <c r="AS234" s="96">
        <f ca="1">1-AS233/(3*F_GAMMA*AS$29)</f>
        <v>0.89521864743995738</v>
      </c>
      <c r="AT234" s="111"/>
      <c r="AU234" s="28"/>
    </row>
    <row r="235" spans="15:47" x14ac:dyDescent="0.25">
      <c r="O235" s="2" t="s">
        <v>57</v>
      </c>
      <c r="P235" s="143">
        <v>7</v>
      </c>
      <c r="Q235" s="2"/>
      <c r="R235" s="96">
        <f ca="1">(R228/(N_9*R$27*R230*R234))*SQRT(M*'Valve Sizing'!$W$6*'Valve Sizing'!$G$8/R233)</f>
        <v>0.16978450532607417</v>
      </c>
      <c r="S235" s="107"/>
      <c r="T235" s="22"/>
      <c r="U235" s="96">
        <f ca="1">(U228/(N_9*U$27*U230*U234))*SQRT(M*'Valve Sizing'!$W$6*'Valve Sizing'!$G$8/U233)</f>
        <v>5.4417664312115797</v>
      </c>
      <c r="V235" s="111"/>
      <c r="W235" s="28"/>
      <c r="X235" s="96">
        <f ca="1">(X228/(N_9*X$27*X230*X234))*SQRT(M*'Valve Sizing'!$W$6*'Valve Sizing'!$G$8/X233)</f>
        <v>13.421043299537555</v>
      </c>
      <c r="Y235" s="111"/>
      <c r="Z235" s="28"/>
      <c r="AA235" s="96">
        <f ca="1">(AA228/(N_9*AA$27*AA230*AA234))*SQRT(M*'Valve Sizing'!$W$6*'Valve Sizing'!$G$8/AA233)</f>
        <v>26.632480102662626</v>
      </c>
      <c r="AB235" s="111"/>
      <c r="AC235" s="28"/>
      <c r="AD235" s="96">
        <f ca="1">(AD228/(N_9*AD$27*AD230*AD234))*SQRT(M*'Valve Sizing'!$W$6*'Valve Sizing'!$G$8/AD233)</f>
        <v>46.661553471805441</v>
      </c>
      <c r="AE235" s="111"/>
      <c r="AF235" s="28"/>
      <c r="AG235" s="96">
        <f ca="1">(AG228/(N_9*AG$27*AG230*AG234))*SQRT(M*'Valve Sizing'!$W$6*'Valve Sizing'!$G$8/AG233)</f>
        <v>73.761754378651773</v>
      </c>
      <c r="AH235" s="111"/>
      <c r="AI235" s="28"/>
      <c r="AJ235" s="96">
        <f ca="1">(AJ228/(N_9*AJ$27*AJ230*AJ234))*SQRT(M*'Valve Sizing'!$W$6*'Valve Sizing'!$G$8/AJ233)</f>
        <v>111.36372464030862</v>
      </c>
      <c r="AK235" s="111"/>
      <c r="AL235" s="28"/>
      <c r="AM235" s="96">
        <f ca="1">(AM228/(N_9*AM$27*AM230*AM234))*SQRT(M*'Valve Sizing'!$W$6*'Valve Sizing'!$G$8/AM233)</f>
        <v>161.73861210091164</v>
      </c>
      <c r="AN235" s="111"/>
      <c r="AO235" s="28"/>
      <c r="AP235" s="96">
        <f ca="1">(AP228/(N_9*AP$27*AP230*AP234))*SQRT(M*'Valve Sizing'!$W$6*'Valve Sizing'!$G$8/AP233)</f>
        <v>234.21521720040593</v>
      </c>
      <c r="AQ235" s="111"/>
      <c r="AR235" s="28"/>
      <c r="AS235" s="96">
        <f ca="1">(AS228/(N_9*AS$27*AS230*AS234))*SQRT(M*'Valve Sizing'!$W$6*'Valve Sizing'!$G$8/AS233)</f>
        <v>506.07450135614249</v>
      </c>
      <c r="AT235" s="111"/>
      <c r="AU235" s="28"/>
    </row>
    <row r="236" spans="15:47" x14ac:dyDescent="0.25">
      <c r="O236" s="2" t="s">
        <v>59</v>
      </c>
      <c r="P236" s="143">
        <v>7</v>
      </c>
      <c r="Q236" s="2"/>
      <c r="R236" s="96">
        <f ca="1">(R228/(N_9*R$27*R230*0.667))*SQRT(M*'Valve Sizing'!$W$6*'Valve Sizing'!$G$8/R237)</f>
        <v>0.15198994434912638</v>
      </c>
      <c r="S236" s="107"/>
      <c r="T236" s="22"/>
      <c r="U236" s="96">
        <f ca="1">(U228/(N_9*U$27*U230*0.667))*SQRT(M*'Valve Sizing'!$W$6*'Valve Sizing'!$G$8/U237)</f>
        <v>4.8700814340885614</v>
      </c>
      <c r="V236" s="111"/>
      <c r="W236" s="28"/>
      <c r="X236" s="96">
        <f ca="1">(X228/(N_9*X$27*X230*0.667))*SQRT(M*'Valve Sizing'!$W$6*'Valve Sizing'!$G$8/X237)</f>
        <v>12.031288833453283</v>
      </c>
      <c r="Y236" s="111"/>
      <c r="Z236" s="28"/>
      <c r="AA236" s="96">
        <f ca="1">(AA228/(N_9*AA$27*AA230*0.667))*SQRT(M*'Valve Sizing'!$W$6*'Valve Sizing'!$G$8/AA237)</f>
        <v>23.885298696998387</v>
      </c>
      <c r="AB236" s="111"/>
      <c r="AC236" s="28"/>
      <c r="AD236" s="96">
        <f ca="1">(AD228/(N_9*AD$27*AD230*0.667))*SQRT(M*'Valve Sizing'!$W$6*'Valve Sizing'!$G$8/AD237)</f>
        <v>41.830209820385505</v>
      </c>
      <c r="AE236" s="111"/>
      <c r="AF236" s="28"/>
      <c r="AG236" s="96">
        <f ca="1">(AG228/(N_9*AG$27*AG230*0.667))*SQRT(M*'Valve Sizing'!$W$6*'Valve Sizing'!$G$8/AG237)</f>
        <v>66.064066536348278</v>
      </c>
      <c r="AH236" s="111"/>
      <c r="AI236" s="28"/>
      <c r="AJ236" s="96">
        <f ca="1">(AJ228/(N_9*AJ$27*AJ230*0.667))*SQRT(M*'Valve Sizing'!$W$6*'Valve Sizing'!$G$8/AJ237)</f>
        <v>98.806501335814815</v>
      </c>
      <c r="AK236" s="111"/>
      <c r="AL236" s="28"/>
      <c r="AM236" s="96">
        <f ca="1">(AM228/(N_9*AM$27*AM230*0.667))*SQRT(M*'Valve Sizing'!$W$6*'Valve Sizing'!$G$8/AM237)</f>
        <v>142.03651873866414</v>
      </c>
      <c r="AN236" s="111"/>
      <c r="AO236" s="28"/>
      <c r="AP236" s="96">
        <f ca="1">(AP228/(N_9*AP$27*AP230*0.667))*SQRT(M*'Valve Sizing'!$W$6*'Valve Sizing'!$G$8/AP237)</f>
        <v>177.88860266954319</v>
      </c>
      <c r="AQ236" s="111"/>
      <c r="AR236" s="28"/>
      <c r="AS236" s="96">
        <f ca="1">(AS228/(N_9*AS$27*AS230*0.667))*SQRT(M*'Valve Sizing'!$W$6*'Valve Sizing'!$G$8/AS237)</f>
        <v>380.82054426835805</v>
      </c>
      <c r="AT236" s="111"/>
      <c r="AU236" s="28"/>
    </row>
    <row r="237" spans="15:47" ht="15.6" x14ac:dyDescent="0.35">
      <c r="O237" s="2" t="s">
        <v>68</v>
      </c>
      <c r="P237" s="143">
        <v>10</v>
      </c>
      <c r="Q237" s="2"/>
      <c r="R237" s="96">
        <f ca="1">F_GAMMA*R$29</f>
        <v>0.64002969751372984</v>
      </c>
      <c r="S237" s="107"/>
      <c r="T237" s="1"/>
      <c r="U237" s="96">
        <f ca="1">F_GAMMA*U$29</f>
        <v>0.64017842058782071</v>
      </c>
      <c r="V237" s="111"/>
      <c r="W237" s="28"/>
      <c r="X237" s="96">
        <f ca="1">F_GAMMA*X$29</f>
        <v>0.63413873724904268</v>
      </c>
      <c r="Y237" s="111"/>
      <c r="Z237" s="28"/>
      <c r="AA237" s="96">
        <f ca="1">F_GAMMA*AA$29</f>
        <v>0.62532411750377137</v>
      </c>
      <c r="AB237" s="111"/>
      <c r="AC237" s="28"/>
      <c r="AD237" s="96">
        <f ca="1">F_GAMMA*AD$29</f>
        <v>0.60651359509139569</v>
      </c>
      <c r="AE237" s="111"/>
      <c r="AF237" s="28"/>
      <c r="AG237" s="96">
        <f ca="1">F_GAMMA*AG$29</f>
        <v>0.57217930198481592</v>
      </c>
      <c r="AH237" s="111"/>
      <c r="AI237" s="28"/>
      <c r="AJ237" s="96">
        <f ca="1">F_GAMMA*AJ$29</f>
        <v>0.53183282018848232</v>
      </c>
      <c r="AK237" s="111"/>
      <c r="AL237" s="28"/>
      <c r="AM237" s="96">
        <f ca="1">F_GAMMA*AM$29</f>
        <v>0.47566512503094399</v>
      </c>
      <c r="AN237" s="111"/>
      <c r="AO237" s="28"/>
      <c r="AP237" s="96">
        <f ca="1">F_GAMMA*AP$29</f>
        <v>0.59054158265645496</v>
      </c>
      <c r="AQ237" s="111"/>
      <c r="AR237" s="28"/>
      <c r="AS237" s="96">
        <f ca="1">F_GAMMA*AS$29</f>
        <v>0.3766899554102966</v>
      </c>
      <c r="AT237" s="111"/>
      <c r="AU237" s="28"/>
    </row>
    <row r="238" spans="15:47" x14ac:dyDescent="0.25">
      <c r="O238" s="2" t="s">
        <v>145</v>
      </c>
      <c r="P238" s="12"/>
      <c r="Q238" s="2"/>
      <c r="R238" s="96">
        <f ca="1">IF(R233&lt;R237,R235,R236)</f>
        <v>0.16978450532607417</v>
      </c>
      <c r="S238" s="116"/>
      <c r="T238" s="1"/>
      <c r="U238" s="96">
        <f ca="1">IF(U233&lt;U237,U235,U236)</f>
        <v>5.4417664312115797</v>
      </c>
      <c r="V238" s="111"/>
      <c r="W238" s="28"/>
      <c r="X238" s="96">
        <f ca="1">IF(X233&lt;X237,X235,X236)</f>
        <v>13.421043299537555</v>
      </c>
      <c r="Y238" s="111"/>
      <c r="Z238" s="28"/>
      <c r="AA238" s="96">
        <f ca="1">IF(AA233&lt;AA237,AA235,AA236)</f>
        <v>26.632480102662626</v>
      </c>
      <c r="AB238" s="111"/>
      <c r="AC238" s="28"/>
      <c r="AD238" s="96">
        <f ca="1">IF(AD233&lt;AD237,AD235,AD236)</f>
        <v>46.661553471805441</v>
      </c>
      <c r="AE238" s="111"/>
      <c r="AF238" s="28"/>
      <c r="AG238" s="96">
        <f ca="1">IF(AG233&lt;AG237,AG235,AG236)</f>
        <v>73.761754378651773</v>
      </c>
      <c r="AH238" s="111"/>
      <c r="AI238" s="28"/>
      <c r="AJ238" s="96">
        <f ca="1">IF(AJ233&lt;AJ237,AJ235,AJ236)</f>
        <v>111.36372464030862</v>
      </c>
      <c r="AK238" s="111"/>
      <c r="AL238" s="28"/>
      <c r="AM238" s="96">
        <f ca="1">IF(AM233&lt;AM237,AM235,AM236)</f>
        <v>161.73861210091164</v>
      </c>
      <c r="AN238" s="111"/>
      <c r="AO238" s="28"/>
      <c r="AP238" s="96">
        <f ca="1">IF(AP233&lt;AP237,AP235,AP236)</f>
        <v>234.21521720040593</v>
      </c>
      <c r="AQ238" s="111"/>
      <c r="AR238" s="28"/>
      <c r="AS238" s="96">
        <f ca="1">IF(AS233&lt;AS237,AS235,AS236)</f>
        <v>506.07450135614249</v>
      </c>
      <c r="AT238" s="111"/>
      <c r="AU238" s="28"/>
    </row>
    <row r="239" spans="15:47" x14ac:dyDescent="0.25">
      <c r="O239" s="13" t="s">
        <v>143</v>
      </c>
      <c r="P239" s="1"/>
      <c r="Q239" s="1"/>
      <c r="R239" s="113"/>
      <c r="S239" s="106">
        <f ca="1">IF(R232&lt;=0,Q_max,ABS(R$23-R238))</f>
        <v>4.5602154946739262</v>
      </c>
      <c r="T239" s="7">
        <f>R228</f>
        <v>420.425518274723</v>
      </c>
      <c r="U239" s="98"/>
      <c r="V239" s="106">
        <f ca="1">IF(U232&lt;=0,Q_max,ABS(U$23-U238))</f>
        <v>6.15823356878842</v>
      </c>
      <c r="W239" s="9">
        <f ca="1">U228</f>
        <v>13459.13524501446</v>
      </c>
      <c r="X239" s="98"/>
      <c r="Y239" s="106">
        <f ca="1">IF(X232&lt;=0,Q_max,ABS(X$23-X238))</f>
        <v>9.5789567004624452</v>
      </c>
      <c r="Z239" s="9">
        <f ca="1">X228</f>
        <v>32956.478333455416</v>
      </c>
      <c r="AA239" s="98"/>
      <c r="AB239" s="106">
        <f ca="1">IF(AA232&lt;=0,Q_max,ABS(AA$23-AA238))</f>
        <v>12.767519897337372</v>
      </c>
      <c r="AC239" s="9">
        <f ca="1">AA228</f>
        <v>64190.807803636519</v>
      </c>
      <c r="AD239" s="98"/>
      <c r="AE239" s="106">
        <f ca="1">IF(AD232&lt;=0,Q_max,ABS(AD$23-AD238))</f>
        <v>14.338446528194559</v>
      </c>
      <c r="AF239" s="9">
        <f ca="1">AD228</f>
        <v>107692.20711191811</v>
      </c>
      <c r="AG239" s="98"/>
      <c r="AH239" s="106">
        <f ca="1">IF(AG232&lt;=0,Q_max,ABS(AG$23-AG238))</f>
        <v>14.43824562134823</v>
      </c>
      <c r="AI239" s="9">
        <f ca="1">AG228</f>
        <v>157179.70940006513</v>
      </c>
      <c r="AJ239" s="98"/>
      <c r="AK239" s="106">
        <f ca="1">IF(AJ232&lt;=0,Q_max,ABS(AJ$23-AJ238))</f>
        <v>9.6362753596913819</v>
      </c>
      <c r="AL239" s="9">
        <f ca="1">AJ228</f>
        <v>209756.93151209821</v>
      </c>
      <c r="AM239" s="98"/>
      <c r="AN239" s="106">
        <f ca="1">IF(AM232&lt;=0,Q_max,ABS(AM$23-AM238))</f>
        <v>3.261387899088362</v>
      </c>
      <c r="AO239" s="9">
        <f ca="1">AM228</f>
        <v>255943.31864111006</v>
      </c>
      <c r="AP239" s="98"/>
      <c r="AQ239" s="106">
        <f ca="1">IF(AP232&lt;=0,Q_max,ABS(AP$23-AP238))</f>
        <v>11.784782799594069</v>
      </c>
      <c r="AR239" s="9">
        <f ca="1">AP228</f>
        <v>297142.24727670028</v>
      </c>
      <c r="AS239" s="98"/>
      <c r="AT239" s="106">
        <f ca="1">IF(AS232&lt;=0,Q_max,ABS(AS$23-AS238))</f>
        <v>86.074501356142491</v>
      </c>
      <c r="AU239" s="9">
        <f ca="1">AS228</f>
        <v>348422.65366129577</v>
      </c>
    </row>
    <row r="240" spans="15:47" x14ac:dyDescent="0.25">
      <c r="O240" s="21"/>
      <c r="P240" s="14"/>
      <c r="Q240" s="21"/>
      <c r="R240" s="97"/>
      <c r="S240" s="106"/>
      <c r="T240" s="28"/>
      <c r="U240" s="97"/>
      <c r="V240" s="111"/>
      <c r="W240" s="28"/>
      <c r="X240" s="97"/>
      <c r="Y240" s="111"/>
      <c r="Z240" s="28"/>
      <c r="AA240" s="97"/>
      <c r="AB240" s="111"/>
      <c r="AC240" s="28"/>
      <c r="AD240" s="97"/>
      <c r="AE240" s="111"/>
      <c r="AF240" s="28"/>
      <c r="AG240" s="97"/>
      <c r="AH240" s="111"/>
      <c r="AI240" s="28"/>
      <c r="AJ240" s="97"/>
      <c r="AK240" s="111"/>
      <c r="AL240" s="28"/>
      <c r="AM240" s="97"/>
      <c r="AN240" s="111"/>
      <c r="AO240" s="28"/>
      <c r="AP240" s="97"/>
      <c r="AQ240" s="111"/>
      <c r="AR240" s="28"/>
      <c r="AS240" s="97"/>
      <c r="AT240" s="111"/>
      <c r="AU240" s="28"/>
    </row>
    <row r="241" spans="15:47" x14ac:dyDescent="0.25">
      <c r="O241" s="1"/>
      <c r="P241" s="1"/>
      <c r="Q241" s="1"/>
      <c r="R241" s="98"/>
      <c r="S241" s="108" t="s">
        <v>137</v>
      </c>
      <c r="T241" s="26" t="s">
        <v>146</v>
      </c>
      <c r="U241" s="98"/>
      <c r="V241" s="108" t="s">
        <v>137</v>
      </c>
      <c r="W241" s="26" t="s">
        <v>146</v>
      </c>
      <c r="X241" s="98"/>
      <c r="Y241" s="108" t="s">
        <v>137</v>
      </c>
      <c r="Z241" s="26" t="s">
        <v>146</v>
      </c>
      <c r="AA241" s="98"/>
      <c r="AB241" s="108" t="s">
        <v>137</v>
      </c>
      <c r="AC241" s="26" t="s">
        <v>146</v>
      </c>
      <c r="AD241" s="98"/>
      <c r="AE241" s="108" t="s">
        <v>137</v>
      </c>
      <c r="AF241" s="26" t="s">
        <v>146</v>
      </c>
      <c r="AG241" s="98"/>
      <c r="AH241" s="108" t="s">
        <v>137</v>
      </c>
      <c r="AI241" s="26" t="s">
        <v>146</v>
      </c>
      <c r="AJ241" s="98"/>
      <c r="AK241" s="108" t="s">
        <v>137</v>
      </c>
      <c r="AL241" s="26" t="s">
        <v>146</v>
      </c>
      <c r="AM241" s="98"/>
      <c r="AN241" s="108" t="s">
        <v>137</v>
      </c>
      <c r="AO241" s="26" t="s">
        <v>146</v>
      </c>
      <c r="AP241" s="98"/>
      <c r="AQ241" s="108" t="s">
        <v>137</v>
      </c>
      <c r="AR241" s="26" t="s">
        <v>146</v>
      </c>
      <c r="AS241" s="98"/>
      <c r="AT241" s="108" t="s">
        <v>137</v>
      </c>
      <c r="AU241" s="26" t="s">
        <v>146</v>
      </c>
    </row>
    <row r="242" spans="15:47" ht="13.8" x14ac:dyDescent="0.25">
      <c r="O242" s="20" t="s">
        <v>136</v>
      </c>
      <c r="P242" s="1"/>
      <c r="Q242" s="1"/>
      <c r="R242" s="96">
        <f>R228*1.02</f>
        <v>428.83402864021747</v>
      </c>
      <c r="S242" s="109" t="s">
        <v>144</v>
      </c>
      <c r="T242" s="23" t="s">
        <v>147</v>
      </c>
      <c r="U242" s="96">
        <f ca="1">U228*1.01</f>
        <v>13593.726597464605</v>
      </c>
      <c r="V242" s="109" t="s">
        <v>144</v>
      </c>
      <c r="W242" s="23" t="s">
        <v>147</v>
      </c>
      <c r="X242" s="96">
        <f ca="1">X228*1.01</f>
        <v>33286.043116789973</v>
      </c>
      <c r="Y242" s="109" t="s">
        <v>144</v>
      </c>
      <c r="Z242" s="23" t="s">
        <v>147</v>
      </c>
      <c r="AA242" s="96">
        <f ca="1">AA228*1.01</f>
        <v>64832.715881672884</v>
      </c>
      <c r="AB242" s="109" t="s">
        <v>144</v>
      </c>
      <c r="AC242" s="23" t="s">
        <v>147</v>
      </c>
      <c r="AD242" s="96">
        <f ca="1">AD228*1.01</f>
        <v>108769.12918303729</v>
      </c>
      <c r="AE242" s="109" t="s">
        <v>144</v>
      </c>
      <c r="AF242" s="23" t="s">
        <v>147</v>
      </c>
      <c r="AG242" s="96">
        <f ca="1">AG228*1.01</f>
        <v>158751.50649406578</v>
      </c>
      <c r="AH242" s="109" t="s">
        <v>144</v>
      </c>
      <c r="AI242" s="23" t="s">
        <v>147</v>
      </c>
      <c r="AJ242" s="96">
        <f ca="1">AJ228*1.01</f>
        <v>211854.50082721919</v>
      </c>
      <c r="AK242" s="109" t="s">
        <v>144</v>
      </c>
      <c r="AL242" s="23" t="s">
        <v>147</v>
      </c>
      <c r="AM242" s="96">
        <f ca="1">AM228*1.01</f>
        <v>258502.75182752116</v>
      </c>
      <c r="AN242" s="109" t="s">
        <v>144</v>
      </c>
      <c r="AO242" s="23" t="s">
        <v>147</v>
      </c>
      <c r="AP242" s="96">
        <f ca="1">AP228*1.01</f>
        <v>300113.66974946728</v>
      </c>
      <c r="AQ242" s="109" t="s">
        <v>144</v>
      </c>
      <c r="AR242" s="23" t="s">
        <v>147</v>
      </c>
      <c r="AS242" s="96">
        <f ca="1">AS228*1.01</f>
        <v>351906.88019790873</v>
      </c>
      <c r="AT242" s="109" t="s">
        <v>144</v>
      </c>
      <c r="AU242" s="23" t="s">
        <v>147</v>
      </c>
    </row>
    <row r="243" spans="15:47" x14ac:dyDescent="0.25">
      <c r="O243" s="1"/>
      <c r="P243" s="1"/>
      <c r="Q243" s="1"/>
      <c r="R243" s="98"/>
      <c r="S243" s="107"/>
      <c r="T243" s="1"/>
      <c r="U243" s="47"/>
      <c r="V243" s="107"/>
      <c r="W243" s="1"/>
      <c r="X243" s="47"/>
      <c r="Y243" s="107"/>
      <c r="Z243" s="1"/>
      <c r="AA243" s="47"/>
      <c r="AB243" s="107"/>
      <c r="AC243" s="1"/>
      <c r="AD243" s="47"/>
      <c r="AE243" s="107"/>
      <c r="AF243" s="1"/>
      <c r="AG243" s="47"/>
      <c r="AH243" s="107"/>
      <c r="AI243" s="1"/>
      <c r="AJ243" s="47"/>
      <c r="AK243" s="107"/>
      <c r="AL243" s="1"/>
      <c r="AM243" s="47"/>
      <c r="AN243" s="107"/>
      <c r="AO243" s="1"/>
      <c r="AP243" s="47"/>
      <c r="AQ243" s="107"/>
      <c r="AR243" s="1"/>
      <c r="AS243" s="47"/>
      <c r="AT243" s="107"/>
      <c r="AU243" s="1"/>
    </row>
    <row r="244" spans="15:47" x14ac:dyDescent="0.25">
      <c r="O244" s="8" t="s">
        <v>132</v>
      </c>
      <c r="P244" s="8"/>
      <c r="Q244" s="8"/>
      <c r="R244" s="96">
        <f>P_1_minQ-(R242^2*R_up)+dpup_minQ</f>
        <v>90.185007012724753</v>
      </c>
      <c r="S244" s="106"/>
      <c r="T244" s="22"/>
      <c r="U244" s="96">
        <f ca="1">P_1_minQ-(U242^2*R_up)+dpup_minQ</f>
        <v>90.151360645319713</v>
      </c>
      <c r="V244" s="107"/>
      <c r="W244" s="1"/>
      <c r="X244" s="96">
        <f ca="1">P_1_minQ-(X242^2*R_up)+dpup_minQ</f>
        <v>89.98310260962748</v>
      </c>
      <c r="Y244" s="107"/>
      <c r="Z244" s="1"/>
      <c r="AA244" s="96">
        <f ca="1">P_1_minQ-(AA242^2*R_up)+dpup_minQ</f>
        <v>89.418946696304587</v>
      </c>
      <c r="AB244" s="107"/>
      <c r="AC244" s="1"/>
      <c r="AD244" s="96">
        <f ca="1">P_1_minQ-(AD242^2*R_up)+dpup_minQ</f>
        <v>88.02876209167799</v>
      </c>
      <c r="AE244" s="107"/>
      <c r="AF244" s="1"/>
      <c r="AG244" s="96">
        <f ca="1">P_1_minQ-(AG242^2*R_up)+dpup_minQ</f>
        <v>85.591693607344169</v>
      </c>
      <c r="AH244" s="107"/>
      <c r="AI244" s="1"/>
      <c r="AJ244" s="96">
        <f ca="1">P_1_minQ-(AJ242^2*R_up)+dpup_minQ</f>
        <v>82.004746254976027</v>
      </c>
      <c r="AK244" s="107"/>
      <c r="AL244" s="1"/>
      <c r="AM244" s="96">
        <f ca="1">P_1_minQ-(AM242^2*R_up)+dpup_minQ</f>
        <v>78.005697053712538</v>
      </c>
      <c r="AN244" s="107"/>
      <c r="AO244" s="1"/>
      <c r="AP244" s="96">
        <f ca="1">P_1_minQ-(AP242^2*R_up)+dpup_minQ</f>
        <v>73.769125635930138</v>
      </c>
      <c r="AQ244" s="107"/>
      <c r="AR244" s="1"/>
      <c r="AS244" s="96">
        <f ca="1">P_1_minQ-(AS242^2*R_up)+dpup_minQ</f>
        <v>67.614131366743024</v>
      </c>
      <c r="AT244" s="107"/>
      <c r="AU244" s="1"/>
    </row>
    <row r="245" spans="15:47" x14ac:dyDescent="0.25">
      <c r="O245" s="8" t="s">
        <v>134</v>
      </c>
      <c r="P245" s="1"/>
      <c r="Q245" s="8"/>
      <c r="R245" s="97">
        <f>P_2_minQ+(R242^2*R_dn)-dpdn_minQ</f>
        <v>60</v>
      </c>
      <c r="S245" s="106"/>
      <c r="T245" s="22"/>
      <c r="U245" s="97">
        <f ca="1">P_2_minQ+(U242^2*R_dn)-dpdn_minQ</f>
        <v>60</v>
      </c>
      <c r="V245" s="107"/>
      <c r="W245" s="1"/>
      <c r="X245" s="97">
        <f ca="1">P_2_minQ+(X242^2*R_dn)-dpdn_minQ</f>
        <v>60</v>
      </c>
      <c r="Y245" s="107"/>
      <c r="Z245" s="1"/>
      <c r="AA245" s="97">
        <f ca="1">P_2_minQ+(AA242^2*R_dn)-dpdn_minQ</f>
        <v>60</v>
      </c>
      <c r="AB245" s="107"/>
      <c r="AC245" s="1"/>
      <c r="AD245" s="97">
        <f ca="1">P_2_minQ+(AD242^2*R_dn)-dpdn_minQ</f>
        <v>60</v>
      </c>
      <c r="AE245" s="107"/>
      <c r="AF245" s="1"/>
      <c r="AG245" s="97">
        <f ca="1">P_2_minQ+(AG242^2*R_dn)-dpdn_minQ</f>
        <v>60</v>
      </c>
      <c r="AH245" s="107"/>
      <c r="AI245" s="1"/>
      <c r="AJ245" s="97">
        <f ca="1">P_2_minQ+(AJ242^2*R_dn)-dpdn_minQ</f>
        <v>60</v>
      </c>
      <c r="AK245" s="107"/>
      <c r="AL245" s="1"/>
      <c r="AM245" s="97">
        <f ca="1">P_2_minQ+(AM242^2*R_dn)-dpdn_minQ</f>
        <v>60</v>
      </c>
      <c r="AN245" s="107"/>
      <c r="AO245" s="1"/>
      <c r="AP245" s="97">
        <f ca="1">P_2_minQ+(AP242^2*R_dn)-dpdn_minQ</f>
        <v>60</v>
      </c>
      <c r="AQ245" s="107"/>
      <c r="AR245" s="1"/>
      <c r="AS245" s="97">
        <f ca="1">P_2_minQ+(AS242^2*R_dn)-dpdn_minQ</f>
        <v>60</v>
      </c>
      <c r="AT245" s="107"/>
      <c r="AU245" s="1"/>
    </row>
    <row r="246" spans="15:47" x14ac:dyDescent="0.25">
      <c r="O246" s="8" t="s">
        <v>138</v>
      </c>
      <c r="P246" s="1"/>
      <c r="Q246" s="8"/>
      <c r="R246" s="97">
        <f>R244-R245</f>
        <v>30.185007012724753</v>
      </c>
      <c r="S246" s="106"/>
      <c r="T246" s="22"/>
      <c r="U246" s="97">
        <f ca="1">U244-U245</f>
        <v>30.151360645319713</v>
      </c>
      <c r="V246" s="110"/>
      <c r="W246" s="25"/>
      <c r="X246" s="97">
        <f ca="1">X244-X245</f>
        <v>29.98310260962748</v>
      </c>
      <c r="Y246" s="110"/>
      <c r="Z246" s="25"/>
      <c r="AA246" s="97">
        <f ca="1">AA244-AA245</f>
        <v>29.418946696304587</v>
      </c>
      <c r="AB246" s="110"/>
      <c r="AC246" s="25"/>
      <c r="AD246" s="97">
        <f ca="1">AD244-AD245</f>
        <v>28.02876209167799</v>
      </c>
      <c r="AE246" s="110"/>
      <c r="AF246" s="25"/>
      <c r="AG246" s="97">
        <f ca="1">AG244-AG245</f>
        <v>25.591693607344169</v>
      </c>
      <c r="AH246" s="110"/>
      <c r="AI246" s="25"/>
      <c r="AJ246" s="97">
        <f ca="1">AJ244-AJ245</f>
        <v>22.004746254976027</v>
      </c>
      <c r="AK246" s="110"/>
      <c r="AL246" s="25"/>
      <c r="AM246" s="97">
        <f ca="1">AM244-AM245</f>
        <v>18.005697053712538</v>
      </c>
      <c r="AN246" s="110"/>
      <c r="AO246" s="25"/>
      <c r="AP246" s="97">
        <f ca="1">AP244-AP245</f>
        <v>13.769125635930138</v>
      </c>
      <c r="AQ246" s="110"/>
      <c r="AR246" s="25"/>
      <c r="AS246" s="97">
        <f ca="1">AS244-AS245</f>
        <v>7.6141313667430239</v>
      </c>
      <c r="AT246" s="110"/>
      <c r="AU246" s="25"/>
    </row>
    <row r="247" spans="15:47" ht="14.4" x14ac:dyDescent="0.3">
      <c r="O247" s="2" t="s">
        <v>140</v>
      </c>
      <c r="P247" s="11"/>
      <c r="Q247" s="2"/>
      <c r="R247" s="96">
        <f>R246/R244</f>
        <v>0.33470094434284142</v>
      </c>
      <c r="S247" s="106"/>
      <c r="T247" s="22"/>
      <c r="U247" s="96">
        <f ca="1">U246/U244</f>
        <v>0.33445264086410709</v>
      </c>
      <c r="V247" s="111"/>
      <c r="W247" s="28"/>
      <c r="X247" s="96">
        <f ca="1">X246/X244</f>
        <v>0.33320814397457243</v>
      </c>
      <c r="Y247" s="111"/>
      <c r="Z247" s="28"/>
      <c r="AA247" s="96">
        <f ca="1">AA246/AA244</f>
        <v>0.32900126632245807</v>
      </c>
      <c r="AB247" s="111"/>
      <c r="AC247" s="28"/>
      <c r="AD247" s="96">
        <f ca="1">AD246/AD244</f>
        <v>0.31840459215463346</v>
      </c>
      <c r="AE247" s="111"/>
      <c r="AF247" s="28"/>
      <c r="AG247" s="96">
        <f ca="1">AG246/AG244</f>
        <v>0.29899739716271112</v>
      </c>
      <c r="AH247" s="111"/>
      <c r="AI247" s="28"/>
      <c r="AJ247" s="96">
        <f ca="1">AJ246/AJ244</f>
        <v>0.26833503254259244</v>
      </c>
      <c r="AK247" s="111"/>
      <c r="AL247" s="28"/>
      <c r="AM247" s="96">
        <f ca="1">AM246/AM244</f>
        <v>0.23082541062756376</v>
      </c>
      <c r="AN247" s="111"/>
      <c r="AO247" s="28"/>
      <c r="AP247" s="96">
        <f ca="1">AP246/AP244</f>
        <v>0.18665160413970963</v>
      </c>
      <c r="AQ247" s="111"/>
      <c r="AR247" s="28"/>
      <c r="AS247" s="96">
        <f ca="1">AS246/AS244</f>
        <v>0.11261153863596247</v>
      </c>
      <c r="AT247" s="111"/>
      <c r="AU247" s="28"/>
    </row>
    <row r="248" spans="15:47" x14ac:dyDescent="0.25">
      <c r="O248" s="2" t="s">
        <v>21</v>
      </c>
      <c r="P248" s="8">
        <v>12</v>
      </c>
      <c r="Q248" s="2"/>
      <c r="R248" s="96">
        <f ca="1">1-R247/(3*F_GAMMA*R$29)</f>
        <v>0.82568468013123641</v>
      </c>
      <c r="S248" s="106"/>
      <c r="T248" s="22"/>
      <c r="U248" s="96">
        <f ca="1">1-U247/(3*F_GAMMA*U$29)</f>
        <v>0.82585446488651915</v>
      </c>
      <c r="V248" s="111"/>
      <c r="W248" s="28"/>
      <c r="X248" s="96">
        <f ca="1">1-X247/(3*F_GAMMA*X$29)</f>
        <v>0.8248500291802271</v>
      </c>
      <c r="Y248" s="111"/>
      <c r="Z248" s="28"/>
      <c r="AA248" s="96">
        <f ca="1">1-AA247/(3*F_GAMMA*AA$29)</f>
        <v>0.82462360605579665</v>
      </c>
      <c r="AB248" s="111"/>
      <c r="AC248" s="28"/>
      <c r="AD248" s="96">
        <f ca="1">1-AD247/(3*F_GAMMA*AD$29)</f>
        <v>0.82500826871728905</v>
      </c>
      <c r="AE248" s="111"/>
      <c r="AF248" s="28"/>
      <c r="AG248" s="96">
        <f ca="1">1-AG247/(3*F_GAMMA*AG$29)</f>
        <v>0.82581369387443881</v>
      </c>
      <c r="AH248" s="111"/>
      <c r="AI248" s="28"/>
      <c r="AJ248" s="96">
        <f ca="1">1-AJ247/(3*F_GAMMA*AJ$29)</f>
        <v>0.83181742936468006</v>
      </c>
      <c r="AK248" s="111"/>
      <c r="AL248" s="28"/>
      <c r="AM248" s="96">
        <f ca="1">1-AM247/(3*F_GAMMA*AM$29)</f>
        <v>0.83824375701809994</v>
      </c>
      <c r="AN248" s="111"/>
      <c r="AO248" s="28"/>
      <c r="AP248" s="96">
        <f ca="1">1-AP247/(3*F_GAMMA*AP$29)</f>
        <v>0.89464382660399755</v>
      </c>
      <c r="AQ248" s="111"/>
      <c r="AR248" s="28"/>
      <c r="AS248" s="96">
        <f ca="1">1-AS247/(3*F_GAMMA*AS$29)</f>
        <v>0.90034993233510896</v>
      </c>
      <c r="AT248" s="111"/>
      <c r="AU248" s="28"/>
    </row>
    <row r="249" spans="15:47" x14ac:dyDescent="0.25">
      <c r="O249" s="2" t="s">
        <v>57</v>
      </c>
      <c r="P249" s="143">
        <v>7</v>
      </c>
      <c r="Q249" s="2"/>
      <c r="R249" s="96">
        <f ca="1">(R242/(N_9*R$27*R244*R248))*SQRT(M*'Valve Sizing'!$W$6*'Valve Sizing'!$G$8/R247)</f>
        <v>0.1731801993670469</v>
      </c>
      <c r="S249" s="107"/>
      <c r="T249" s="22"/>
      <c r="U249" s="96">
        <f ca="1">(U242/(N_9*U$27*U244*U248))*SQRT(M*'Valve Sizing'!$W$6*'Valve Sizing'!$G$8/U247)</f>
        <v>5.4962478325289421</v>
      </c>
      <c r="V249" s="111"/>
      <c r="W249" s="28"/>
      <c r="X249" s="96">
        <f ca="1">(X242/(N_9*X$27*X244*X248))*SQRT(M*'Valve Sizing'!$W$6*'Valve Sizing'!$G$8/X247)</f>
        <v>13.556198149713401</v>
      </c>
      <c r="Y249" s="111"/>
      <c r="Z249" s="28"/>
      <c r="AA249" s="96">
        <f ca="1">(AA242/(N_9*AA$27*AA244*AA248))*SQRT(M*'Valve Sizing'!$W$6*'Valve Sizing'!$G$8/AA247)</f>
        <v>26.9060059846041</v>
      </c>
      <c r="AB249" s="111"/>
      <c r="AC249" s="28"/>
      <c r="AD249" s="96">
        <f ca="1">(AD242/(N_9*AD$27*AD244*AD248))*SQRT(M*'Valve Sizing'!$W$6*'Valve Sizing'!$G$8/AD247)</f>
        <v>47.164921978196823</v>
      </c>
      <c r="AE249" s="111"/>
      <c r="AF249" s="28"/>
      <c r="AG249" s="96">
        <f ca="1">(AG242/(N_9*AG$27*AG244*AG248))*SQRT(M*'Valve Sizing'!$W$6*'Valve Sizing'!$G$8/AG247)</f>
        <v>74.631434791511907</v>
      </c>
      <c r="AH249" s="111"/>
      <c r="AI249" s="28"/>
      <c r="AJ249" s="96">
        <f ca="1">(AJ242/(N_9*AJ$27*AJ244*AJ248))*SQRT(M*'Valve Sizing'!$W$6*'Valve Sizing'!$G$8/AJ247)</f>
        <v>112.8772397147326</v>
      </c>
      <c r="AK249" s="111"/>
      <c r="AL249" s="28"/>
      <c r="AM249" s="96">
        <f ca="1">(AM242/(N_9*AM$27*AM244*AM248))*SQRT(M*'Valve Sizing'!$W$6*'Valve Sizing'!$G$8/AM247)</f>
        <v>164.368951113512</v>
      </c>
      <c r="AN249" s="111"/>
      <c r="AO249" s="28"/>
      <c r="AP249" s="96">
        <f ca="1">(AP242/(N_9*AP$27*AP244*AP248))*SQRT(M*'Valve Sizing'!$W$6*'Valve Sizing'!$G$8/AP247)</f>
        <v>239.30658304865861</v>
      </c>
      <c r="AQ249" s="111"/>
      <c r="AR249" s="28"/>
      <c r="AS249" s="96">
        <f ca="1">(AS242/(N_9*AS$27*AS244*AS248))*SQRT(M*'Valve Sizing'!$W$6*'Valve Sizing'!$G$8/AS247)</f>
        <v>524.57073613869977</v>
      </c>
      <c r="AT249" s="111"/>
      <c r="AU249" s="28"/>
    </row>
    <row r="250" spans="15:47" x14ac:dyDescent="0.25">
      <c r="O250" s="2" t="s">
        <v>59</v>
      </c>
      <c r="P250" s="143">
        <v>7</v>
      </c>
      <c r="Q250" s="2"/>
      <c r="R250" s="96">
        <f ca="1">(R242/(N_9*R$27*R244*0.667))*SQRT(M*'Valve Sizing'!$W$6*'Valve Sizing'!$G$8/R251)</f>
        <v>0.15502974547345785</v>
      </c>
      <c r="S250" s="107"/>
      <c r="T250" s="22"/>
      <c r="U250" s="96">
        <f ca="1">(U242/(N_9*U$27*U244*0.667))*SQRT(M*'Valve Sizing'!$W$6*'Valve Sizing'!$G$8/U251)</f>
        <v>4.9188184568199222</v>
      </c>
      <c r="V250" s="111"/>
      <c r="W250" s="28"/>
      <c r="X250" s="96">
        <f ca="1">(X242/(N_9*X$27*X244*0.667))*SQRT(M*'Valve Sizing'!$W$6*'Valve Sizing'!$G$8/X251)</f>
        <v>12.152139055084412</v>
      </c>
      <c r="Y250" s="111"/>
      <c r="Z250" s="28"/>
      <c r="AA250" s="96">
        <f ca="1">(AA242/(N_9*AA$27*AA244*0.667))*SQRT(M*'Valve Sizing'!$W$6*'Valve Sizing'!$G$8/AA251)</f>
        <v>24.128224152877181</v>
      </c>
      <c r="AB250" s="111"/>
      <c r="AC250" s="28"/>
      <c r="AD250" s="96">
        <f ca="1">(AD242/(N_9*AD$27*AD244*0.667))*SQRT(M*'Valve Sizing'!$W$6*'Valve Sizing'!$G$8/AD251)</f>
        <v>42.268903221321196</v>
      </c>
      <c r="AE250" s="111"/>
      <c r="AF250" s="28"/>
      <c r="AG250" s="96">
        <f ca="1">(AG242/(N_9*AG$27*AG244*0.667))*SQRT(M*'Valve Sizing'!$W$6*'Valve Sizing'!$G$8/AG251)</f>
        <v>66.795263796788547</v>
      </c>
      <c r="AH250" s="111"/>
      <c r="AI250" s="28"/>
      <c r="AJ250" s="96">
        <f ca="1">(AJ242/(N_9*AJ$27*AJ244*0.667))*SQRT(M*'Valve Sizing'!$W$6*'Valve Sizing'!$G$8/AJ251)</f>
        <v>99.990717176012183</v>
      </c>
      <c r="AK250" s="111"/>
      <c r="AL250" s="28"/>
      <c r="AM250" s="96">
        <f ca="1">(AM242/(N_9*AM$27*AM244*0.667))*SQRT(M*'Valve Sizing'!$W$6*'Valve Sizing'!$G$8/AM251)</f>
        <v>143.89822287804841</v>
      </c>
      <c r="AN250" s="111"/>
      <c r="AO250" s="28"/>
      <c r="AP250" s="96">
        <f ca="1">(AP242/(N_9*AP$27*AP244*0.667))*SQRT(M*'Valve Sizing'!$W$6*'Valve Sizing'!$G$8/AP251)</f>
        <v>180.45528377468008</v>
      </c>
      <c r="AQ250" s="111"/>
      <c r="AR250" s="28"/>
      <c r="AS250" s="96">
        <f ca="1">(AS242/(N_9*AS$27*AS244*0.667))*SQRT(M*'Valve Sizing'!$W$6*'Valve Sizing'!$G$8/AS251)</f>
        <v>387.15866880574742</v>
      </c>
      <c r="AT250" s="111"/>
      <c r="AU250" s="28"/>
    </row>
    <row r="251" spans="15:47" ht="15.6" x14ac:dyDescent="0.35">
      <c r="O251" s="2" t="s">
        <v>68</v>
      </c>
      <c r="P251" s="143">
        <v>10</v>
      </c>
      <c r="Q251" s="2"/>
      <c r="R251" s="96">
        <f ca="1">F_GAMMA*R$29</f>
        <v>0.64002969751372984</v>
      </c>
      <c r="S251" s="107"/>
      <c r="T251" s="1"/>
      <c r="U251" s="96">
        <f ca="1">F_GAMMA*U$29</f>
        <v>0.64017842058782071</v>
      </c>
      <c r="V251" s="111"/>
      <c r="W251" s="28"/>
      <c r="X251" s="96">
        <f ca="1">F_GAMMA*X$29</f>
        <v>0.63413873724904268</v>
      </c>
      <c r="Y251" s="111"/>
      <c r="Z251" s="28"/>
      <c r="AA251" s="96">
        <f ca="1">F_GAMMA*AA$29</f>
        <v>0.62532411750377137</v>
      </c>
      <c r="AB251" s="111"/>
      <c r="AC251" s="28"/>
      <c r="AD251" s="96">
        <f ca="1">F_GAMMA*AD$29</f>
        <v>0.60651359509139569</v>
      </c>
      <c r="AE251" s="111"/>
      <c r="AF251" s="28"/>
      <c r="AG251" s="96">
        <f ca="1">F_GAMMA*AG$29</f>
        <v>0.57217930198481592</v>
      </c>
      <c r="AH251" s="111"/>
      <c r="AI251" s="28"/>
      <c r="AJ251" s="96">
        <f ca="1">F_GAMMA*AJ$29</f>
        <v>0.53183282018848232</v>
      </c>
      <c r="AK251" s="111"/>
      <c r="AL251" s="28"/>
      <c r="AM251" s="96">
        <f ca="1">F_GAMMA*AM$29</f>
        <v>0.47566512503094399</v>
      </c>
      <c r="AN251" s="111"/>
      <c r="AO251" s="28"/>
      <c r="AP251" s="96">
        <f ca="1">F_GAMMA*AP$29</f>
        <v>0.59054158265645496</v>
      </c>
      <c r="AQ251" s="111"/>
      <c r="AR251" s="28"/>
      <c r="AS251" s="96">
        <f ca="1">F_GAMMA*AS$29</f>
        <v>0.3766899554102966</v>
      </c>
      <c r="AT251" s="111"/>
      <c r="AU251" s="28"/>
    </row>
    <row r="252" spans="15:47" x14ac:dyDescent="0.25">
      <c r="O252" s="2" t="s">
        <v>145</v>
      </c>
      <c r="P252" s="12"/>
      <c r="Q252" s="2"/>
      <c r="R252" s="96">
        <f ca="1">IF(R247&lt;R251,R249,R250)</f>
        <v>0.1731801993670469</v>
      </c>
      <c r="S252" s="116"/>
      <c r="T252" s="1"/>
      <c r="U252" s="96">
        <f ca="1">IF(U247&lt;U251,U249,U250)</f>
        <v>5.4962478325289421</v>
      </c>
      <c r="V252" s="111"/>
      <c r="W252" s="28"/>
      <c r="X252" s="96">
        <f ca="1">IF(X247&lt;X251,X249,X250)</f>
        <v>13.556198149713401</v>
      </c>
      <c r="Y252" s="111"/>
      <c r="Z252" s="28"/>
      <c r="AA252" s="96">
        <f ca="1">IF(AA247&lt;AA251,AA249,AA250)</f>
        <v>26.9060059846041</v>
      </c>
      <c r="AB252" s="111"/>
      <c r="AC252" s="28"/>
      <c r="AD252" s="96">
        <f ca="1">IF(AD247&lt;AD251,AD249,AD250)</f>
        <v>47.164921978196823</v>
      </c>
      <c r="AE252" s="111"/>
      <c r="AF252" s="28"/>
      <c r="AG252" s="96">
        <f ca="1">IF(AG247&lt;AG251,AG249,AG250)</f>
        <v>74.631434791511907</v>
      </c>
      <c r="AH252" s="111"/>
      <c r="AI252" s="28"/>
      <c r="AJ252" s="96">
        <f ca="1">IF(AJ247&lt;AJ251,AJ249,AJ250)</f>
        <v>112.8772397147326</v>
      </c>
      <c r="AK252" s="111"/>
      <c r="AL252" s="28"/>
      <c r="AM252" s="96">
        <f ca="1">IF(AM247&lt;AM251,AM249,AM250)</f>
        <v>164.368951113512</v>
      </c>
      <c r="AN252" s="111"/>
      <c r="AO252" s="28"/>
      <c r="AP252" s="96">
        <f ca="1">IF(AP247&lt;AP251,AP249,AP250)</f>
        <v>239.30658304865861</v>
      </c>
      <c r="AQ252" s="111"/>
      <c r="AR252" s="28"/>
      <c r="AS252" s="96">
        <f ca="1">IF(AS247&lt;AS251,AS249,AS250)</f>
        <v>524.57073613869977</v>
      </c>
      <c r="AT252" s="111"/>
      <c r="AU252" s="28"/>
    </row>
    <row r="253" spans="15:47" x14ac:dyDescent="0.25">
      <c r="O253" s="13" t="s">
        <v>143</v>
      </c>
      <c r="P253" s="1"/>
      <c r="Q253" s="1"/>
      <c r="R253" s="113"/>
      <c r="S253" s="106">
        <f ca="1">IF(R246&lt;=0,Q_max,ABS(R$23-R252))</f>
        <v>4.5568198006329537</v>
      </c>
      <c r="T253" s="7">
        <f>R242</f>
        <v>428.83402864021747</v>
      </c>
      <c r="U253" s="98"/>
      <c r="V253" s="106">
        <f ca="1">IF(U246&lt;=0,Q_max,ABS(U$23-U252))</f>
        <v>6.1037521674710575</v>
      </c>
      <c r="W253" s="9">
        <f ca="1">U242</f>
        <v>13593.726597464605</v>
      </c>
      <c r="X253" s="98"/>
      <c r="Y253" s="106">
        <f ca="1">IF(X246&lt;=0,Q_max,ABS(X$23-X252))</f>
        <v>9.443801850286599</v>
      </c>
      <c r="Z253" s="9">
        <f ca="1">X242</f>
        <v>33286.043116789973</v>
      </c>
      <c r="AA253" s="98"/>
      <c r="AB253" s="106">
        <f ca="1">IF(AA246&lt;=0,Q_max,ABS(AA$23-AA252))</f>
        <v>12.493994015395899</v>
      </c>
      <c r="AC253" s="9">
        <f ca="1">AA242</f>
        <v>64832.715881672884</v>
      </c>
      <c r="AD253" s="98"/>
      <c r="AE253" s="106">
        <f ca="1">IF(AD246&lt;=0,Q_max,ABS(AD$23-AD252))</f>
        <v>13.835078021803177</v>
      </c>
      <c r="AF253" s="9">
        <f ca="1">AD242</f>
        <v>108769.12918303729</v>
      </c>
      <c r="AG253" s="98"/>
      <c r="AH253" s="106">
        <f ca="1">IF(AG246&lt;=0,Q_max,ABS(AG$23-AG252))</f>
        <v>13.568565208488096</v>
      </c>
      <c r="AI253" s="9">
        <f ca="1">AG242</f>
        <v>158751.50649406578</v>
      </c>
      <c r="AJ253" s="98"/>
      <c r="AK253" s="106">
        <f ca="1">IF(AJ246&lt;=0,Q_max,ABS(AJ$23-AJ252))</f>
        <v>8.1227602852674039</v>
      </c>
      <c r="AL253" s="9">
        <f ca="1">AJ242</f>
        <v>211854.50082721919</v>
      </c>
      <c r="AM253" s="98"/>
      <c r="AN253" s="106">
        <f ca="1">IF(AM246&lt;=0,Q_max,ABS(AM$23-AM252))</f>
        <v>0.63104888648800284</v>
      </c>
      <c r="AO253" s="9">
        <f ca="1">AM242</f>
        <v>258502.75182752116</v>
      </c>
      <c r="AP253" s="98"/>
      <c r="AQ253" s="106">
        <f ca="1">IF(AP246&lt;=0,Q_max,ABS(AP$23-AP252))</f>
        <v>6.6934169513413906</v>
      </c>
      <c r="AR253" s="9">
        <f ca="1">AP242</f>
        <v>300113.66974946728</v>
      </c>
      <c r="AS253" s="98"/>
      <c r="AT253" s="106">
        <f ca="1">IF(AS246&lt;=0,Q_max,ABS(AS$23-AS252))</f>
        <v>104.57073613869977</v>
      </c>
      <c r="AU253" s="9">
        <f ca="1">AS242</f>
        <v>351906.88019790873</v>
      </c>
    </row>
    <row r="254" spans="15:47" x14ac:dyDescent="0.25">
      <c r="O254" s="21"/>
      <c r="P254" s="14"/>
      <c r="Q254" s="21"/>
      <c r="R254" s="97"/>
      <c r="S254" s="106"/>
      <c r="T254" s="28"/>
      <c r="U254" s="97"/>
      <c r="V254" s="111"/>
      <c r="W254" s="28"/>
      <c r="X254" s="97"/>
      <c r="Y254" s="111"/>
      <c r="Z254" s="28"/>
      <c r="AA254" s="97"/>
      <c r="AB254" s="111"/>
      <c r="AC254" s="28"/>
      <c r="AD254" s="97"/>
      <c r="AE254" s="111"/>
      <c r="AF254" s="28"/>
      <c r="AG254" s="97"/>
      <c r="AH254" s="111"/>
      <c r="AI254" s="28"/>
      <c r="AJ254" s="97"/>
      <c r="AK254" s="111"/>
      <c r="AL254" s="28"/>
      <c r="AM254" s="97"/>
      <c r="AN254" s="111"/>
      <c r="AO254" s="28"/>
      <c r="AP254" s="97"/>
      <c r="AQ254" s="111"/>
      <c r="AR254" s="28"/>
      <c r="AS254" s="97"/>
      <c r="AT254" s="111"/>
      <c r="AU254" s="28"/>
    </row>
    <row r="255" spans="15:47" x14ac:dyDescent="0.25">
      <c r="O255" s="1"/>
      <c r="P255" s="1"/>
      <c r="Q255" s="1"/>
      <c r="R255" s="98"/>
      <c r="S255" s="108" t="s">
        <v>137</v>
      </c>
      <c r="T255" s="26" t="s">
        <v>146</v>
      </c>
      <c r="U255" s="98"/>
      <c r="V255" s="108" t="s">
        <v>137</v>
      </c>
      <c r="W255" s="26" t="s">
        <v>146</v>
      </c>
      <c r="X255" s="98"/>
      <c r="Y255" s="108" t="s">
        <v>137</v>
      </c>
      <c r="Z255" s="26" t="s">
        <v>146</v>
      </c>
      <c r="AA255" s="98"/>
      <c r="AB255" s="108" t="s">
        <v>137</v>
      </c>
      <c r="AC255" s="26" t="s">
        <v>146</v>
      </c>
      <c r="AD255" s="98"/>
      <c r="AE255" s="108" t="s">
        <v>137</v>
      </c>
      <c r="AF255" s="26" t="s">
        <v>146</v>
      </c>
      <c r="AG255" s="98"/>
      <c r="AH255" s="108" t="s">
        <v>137</v>
      </c>
      <c r="AI255" s="26" t="s">
        <v>146</v>
      </c>
      <c r="AJ255" s="98"/>
      <c r="AK255" s="108" t="s">
        <v>137</v>
      </c>
      <c r="AL255" s="26" t="s">
        <v>146</v>
      </c>
      <c r="AM255" s="98"/>
      <c r="AN255" s="108" t="s">
        <v>137</v>
      </c>
      <c r="AO255" s="26" t="s">
        <v>146</v>
      </c>
      <c r="AP255" s="98"/>
      <c r="AQ255" s="108" t="s">
        <v>137</v>
      </c>
      <c r="AR255" s="26" t="s">
        <v>146</v>
      </c>
      <c r="AS255" s="98"/>
      <c r="AT255" s="108" t="s">
        <v>137</v>
      </c>
      <c r="AU255" s="26" t="s">
        <v>146</v>
      </c>
    </row>
    <row r="256" spans="15:47" ht="13.8" x14ac:dyDescent="0.25">
      <c r="O256" s="20" t="s">
        <v>136</v>
      </c>
      <c r="P256" s="1"/>
      <c r="Q256" s="1"/>
      <c r="R256" s="96">
        <f>R242*1.02</f>
        <v>437.41070921302185</v>
      </c>
      <c r="S256" s="109" t="s">
        <v>144</v>
      </c>
      <c r="T256" s="23" t="s">
        <v>147</v>
      </c>
      <c r="U256" s="96">
        <f ca="1">U242*1.01</f>
        <v>13729.663863439251</v>
      </c>
      <c r="V256" s="109" t="s">
        <v>144</v>
      </c>
      <c r="W256" s="23" t="s">
        <v>147</v>
      </c>
      <c r="X256" s="96">
        <f ca="1">X242*1.01</f>
        <v>33618.903547957874</v>
      </c>
      <c r="Y256" s="109" t="s">
        <v>144</v>
      </c>
      <c r="Z256" s="23" t="s">
        <v>147</v>
      </c>
      <c r="AA256" s="96">
        <f ca="1">AA242*1.01</f>
        <v>65481.043040489611</v>
      </c>
      <c r="AB256" s="109" t="s">
        <v>144</v>
      </c>
      <c r="AC256" s="23" t="s">
        <v>147</v>
      </c>
      <c r="AD256" s="96">
        <f ca="1">AD242*1.01</f>
        <v>109856.82047486767</v>
      </c>
      <c r="AE256" s="109" t="s">
        <v>144</v>
      </c>
      <c r="AF256" s="23" t="s">
        <v>147</v>
      </c>
      <c r="AG256" s="96">
        <f ca="1">AG242*1.01</f>
        <v>160339.02155900645</v>
      </c>
      <c r="AH256" s="109" t="s">
        <v>144</v>
      </c>
      <c r="AI256" s="23" t="s">
        <v>147</v>
      </c>
      <c r="AJ256" s="96">
        <f ca="1">AJ242*1.01</f>
        <v>213973.04583549139</v>
      </c>
      <c r="AK256" s="109" t="s">
        <v>144</v>
      </c>
      <c r="AL256" s="23" t="s">
        <v>147</v>
      </c>
      <c r="AM256" s="96">
        <f ca="1">AM242*1.01</f>
        <v>261087.77934579639</v>
      </c>
      <c r="AN256" s="109" t="s">
        <v>144</v>
      </c>
      <c r="AO256" s="23" t="s">
        <v>147</v>
      </c>
      <c r="AP256" s="96">
        <f ca="1">AP242*1.01</f>
        <v>303114.80644696194</v>
      </c>
      <c r="AQ256" s="109" t="s">
        <v>144</v>
      </c>
      <c r="AR256" s="23" t="s">
        <v>147</v>
      </c>
      <c r="AS256" s="96">
        <f ca="1">AS242*1.01</f>
        <v>355425.9489998878</v>
      </c>
      <c r="AT256" s="109" t="s">
        <v>144</v>
      </c>
      <c r="AU256" s="23" t="s">
        <v>147</v>
      </c>
    </row>
    <row r="257" spans="15:47" x14ac:dyDescent="0.25">
      <c r="O257" s="1"/>
      <c r="P257" s="1"/>
      <c r="Q257" s="1"/>
      <c r="R257" s="98"/>
      <c r="S257" s="107"/>
      <c r="T257" s="1"/>
      <c r="U257" s="47"/>
      <c r="V257" s="107"/>
      <c r="W257" s="1"/>
      <c r="X257" s="47"/>
      <c r="Y257" s="107"/>
      <c r="Z257" s="1"/>
      <c r="AA257" s="47"/>
      <c r="AB257" s="107"/>
      <c r="AC257" s="1"/>
      <c r="AD257" s="47"/>
      <c r="AE257" s="107"/>
      <c r="AF257" s="1"/>
      <c r="AG257" s="47"/>
      <c r="AH257" s="107"/>
      <c r="AI257" s="1"/>
      <c r="AJ257" s="47"/>
      <c r="AK257" s="107"/>
      <c r="AL257" s="1"/>
      <c r="AM257" s="47"/>
      <c r="AN257" s="107"/>
      <c r="AO257" s="1"/>
      <c r="AP257" s="47"/>
      <c r="AQ257" s="107"/>
      <c r="AR257" s="1"/>
      <c r="AS257" s="47"/>
      <c r="AT257" s="107"/>
      <c r="AU257" s="1"/>
    </row>
    <row r="258" spans="15:47" x14ac:dyDescent="0.25">
      <c r="O258" s="8" t="s">
        <v>132</v>
      </c>
      <c r="P258" s="8"/>
      <c r="Q258" s="8"/>
      <c r="R258" s="96">
        <f>P_1_minQ-(R256^2*R_up)+dpup_minQ</f>
        <v>90.185005658616504</v>
      </c>
      <c r="S258" s="106"/>
      <c r="T258" s="22"/>
      <c r="U258" s="96">
        <f ca="1">P_1_minQ-(U256^2*R_up)+dpup_minQ</f>
        <v>90.150683679632493</v>
      </c>
      <c r="V258" s="107"/>
      <c r="W258" s="1"/>
      <c r="X258" s="96">
        <f ca="1">P_1_minQ-(X256^2*R_up)+dpup_minQ</f>
        <v>89.979043657422849</v>
      </c>
      <c r="Y258" s="107"/>
      <c r="Z258" s="1"/>
      <c r="AA258" s="96">
        <f ca="1">P_1_minQ-(AA256^2*R_up)+dpup_minQ</f>
        <v>89.403548210242164</v>
      </c>
      <c r="AB258" s="107"/>
      <c r="AC258" s="1"/>
      <c r="AD258" s="96">
        <f ca="1">P_1_minQ-(AD256^2*R_up)+dpup_minQ</f>
        <v>87.985420895062589</v>
      </c>
      <c r="AE258" s="107"/>
      <c r="AF258" s="1"/>
      <c r="AG258" s="96">
        <f ca="1">P_1_minQ-(AG256^2*R_up)+dpup_minQ</f>
        <v>85.49936733419365</v>
      </c>
      <c r="AH258" s="107"/>
      <c r="AI258" s="1"/>
      <c r="AJ258" s="96">
        <f ca="1">P_1_minQ-(AJ256^2*R_up)+dpup_minQ</f>
        <v>81.840322340042917</v>
      </c>
      <c r="AK258" s="107"/>
      <c r="AL258" s="1"/>
      <c r="AM258" s="96">
        <f ca="1">P_1_minQ-(AM256^2*R_up)+dpup_minQ</f>
        <v>77.760892249834015</v>
      </c>
      <c r="AN258" s="107"/>
      <c r="AO258" s="1"/>
      <c r="AP258" s="96">
        <f ca="1">P_1_minQ-(AP256^2*R_up)+dpup_minQ</f>
        <v>73.439165746554195</v>
      </c>
      <c r="AQ258" s="107"/>
      <c r="AR258" s="1"/>
      <c r="AS258" s="96">
        <f ca="1">P_1_minQ-(AS256^2*R_up)+dpup_minQ</f>
        <v>67.160456092556416</v>
      </c>
      <c r="AT258" s="107"/>
      <c r="AU258" s="1"/>
    </row>
    <row r="259" spans="15:47" x14ac:dyDescent="0.25">
      <c r="O259" s="8" t="s">
        <v>134</v>
      </c>
      <c r="P259" s="1"/>
      <c r="Q259" s="8"/>
      <c r="R259" s="97">
        <f>P_2_minQ+(R256^2*R_dn)-dpdn_minQ</f>
        <v>60</v>
      </c>
      <c r="S259" s="106"/>
      <c r="T259" s="22"/>
      <c r="U259" s="97">
        <f ca="1">P_2_minQ+(U256^2*R_dn)-dpdn_minQ</f>
        <v>60</v>
      </c>
      <c r="V259" s="107"/>
      <c r="W259" s="1"/>
      <c r="X259" s="97">
        <f ca="1">P_2_minQ+(X256^2*R_dn)-dpdn_minQ</f>
        <v>60</v>
      </c>
      <c r="Y259" s="107"/>
      <c r="Z259" s="1"/>
      <c r="AA259" s="97">
        <f ca="1">P_2_minQ+(AA256^2*R_dn)-dpdn_minQ</f>
        <v>60</v>
      </c>
      <c r="AB259" s="107"/>
      <c r="AC259" s="1"/>
      <c r="AD259" s="97">
        <f ca="1">P_2_minQ+(AD256^2*R_dn)-dpdn_minQ</f>
        <v>60</v>
      </c>
      <c r="AE259" s="107"/>
      <c r="AF259" s="1"/>
      <c r="AG259" s="97">
        <f ca="1">P_2_minQ+(AG256^2*R_dn)-dpdn_minQ</f>
        <v>60</v>
      </c>
      <c r="AH259" s="107"/>
      <c r="AI259" s="1"/>
      <c r="AJ259" s="97">
        <f ca="1">P_2_minQ+(AJ256^2*R_dn)-dpdn_minQ</f>
        <v>60</v>
      </c>
      <c r="AK259" s="107"/>
      <c r="AL259" s="1"/>
      <c r="AM259" s="97">
        <f ca="1">P_2_minQ+(AM256^2*R_dn)-dpdn_minQ</f>
        <v>60</v>
      </c>
      <c r="AN259" s="107"/>
      <c r="AO259" s="1"/>
      <c r="AP259" s="97">
        <f ca="1">P_2_minQ+(AP256^2*R_dn)-dpdn_minQ</f>
        <v>60</v>
      </c>
      <c r="AQ259" s="107"/>
      <c r="AR259" s="1"/>
      <c r="AS259" s="97">
        <f ca="1">P_2_minQ+(AS256^2*R_dn)-dpdn_minQ</f>
        <v>60</v>
      </c>
      <c r="AT259" s="107"/>
      <c r="AU259" s="1"/>
    </row>
    <row r="260" spans="15:47" x14ac:dyDescent="0.25">
      <c r="O260" s="8" t="s">
        <v>138</v>
      </c>
      <c r="P260" s="1"/>
      <c r="Q260" s="8"/>
      <c r="R260" s="97">
        <f>R258-R259</f>
        <v>30.185005658616504</v>
      </c>
      <c r="S260" s="106"/>
      <c r="T260" s="22"/>
      <c r="U260" s="97">
        <f ca="1">U258-U259</f>
        <v>30.150683679632493</v>
      </c>
      <c r="V260" s="110"/>
      <c r="W260" s="25"/>
      <c r="X260" s="97">
        <f ca="1">X258-X259</f>
        <v>29.979043657422849</v>
      </c>
      <c r="Y260" s="110"/>
      <c r="Z260" s="25"/>
      <c r="AA260" s="97">
        <f ca="1">AA258-AA259</f>
        <v>29.403548210242164</v>
      </c>
      <c r="AB260" s="110"/>
      <c r="AC260" s="25"/>
      <c r="AD260" s="97">
        <f ca="1">AD258-AD259</f>
        <v>27.985420895062589</v>
      </c>
      <c r="AE260" s="110"/>
      <c r="AF260" s="25"/>
      <c r="AG260" s="97">
        <f ca="1">AG258-AG259</f>
        <v>25.49936733419365</v>
      </c>
      <c r="AH260" s="110"/>
      <c r="AI260" s="25"/>
      <c r="AJ260" s="97">
        <f ca="1">AJ258-AJ259</f>
        <v>21.840322340042917</v>
      </c>
      <c r="AK260" s="110"/>
      <c r="AL260" s="25"/>
      <c r="AM260" s="97">
        <f ca="1">AM258-AM259</f>
        <v>17.760892249834015</v>
      </c>
      <c r="AN260" s="110"/>
      <c r="AO260" s="25"/>
      <c r="AP260" s="97">
        <f ca="1">AP258-AP259</f>
        <v>13.439165746554195</v>
      </c>
      <c r="AQ260" s="110"/>
      <c r="AR260" s="25"/>
      <c r="AS260" s="97">
        <f ca="1">AS258-AS259</f>
        <v>7.1604560925564158</v>
      </c>
      <c r="AT260" s="110"/>
      <c r="AU260" s="25"/>
    </row>
    <row r="261" spans="15:47" ht="14.4" x14ac:dyDescent="0.3">
      <c r="O261" s="2" t="s">
        <v>140</v>
      </c>
      <c r="P261" s="11"/>
      <c r="Q261" s="2"/>
      <c r="R261" s="96">
        <f>R260/R258</f>
        <v>0.33470093435352077</v>
      </c>
      <c r="S261" s="106"/>
      <c r="T261" s="22"/>
      <c r="U261" s="96">
        <f ca="1">U260/U258</f>
        <v>0.33444764309030256</v>
      </c>
      <c r="V261" s="111"/>
      <c r="W261" s="28"/>
      <c r="X261" s="96">
        <f ca="1">X260/X258</f>
        <v>0.3331780650121382</v>
      </c>
      <c r="Y261" s="111"/>
      <c r="Z261" s="28"/>
      <c r="AA261" s="96">
        <f ca="1">AA260/AA258</f>
        <v>0.32888569636069165</v>
      </c>
      <c r="AB261" s="111"/>
      <c r="AC261" s="28"/>
      <c r="AD261" s="96">
        <f ca="1">AD260/AD258</f>
        <v>0.31806884152364184</v>
      </c>
      <c r="AE261" s="111"/>
      <c r="AF261" s="28"/>
      <c r="AG261" s="96">
        <f ca="1">AG260/AG258</f>
        <v>0.29824042129485701</v>
      </c>
      <c r="AH261" s="111"/>
      <c r="AI261" s="28"/>
      <c r="AJ261" s="96">
        <f ca="1">AJ260/AJ258</f>
        <v>0.26686505765822066</v>
      </c>
      <c r="AK261" s="111"/>
      <c r="AL261" s="28"/>
      <c r="AM261" s="96">
        <f ca="1">AM260/AM258</f>
        <v>0.22840391533537124</v>
      </c>
      <c r="AN261" s="111"/>
      <c r="AO261" s="28"/>
      <c r="AP261" s="96">
        <f ca="1">AP260/AP258</f>
        <v>0.18299725507413961</v>
      </c>
      <c r="AQ261" s="111"/>
      <c r="AR261" s="28"/>
      <c r="AS261" s="96">
        <f ca="1">AS260/AS258</f>
        <v>0.10661714510527319</v>
      </c>
      <c r="AT261" s="111"/>
      <c r="AU261" s="28"/>
    </row>
    <row r="262" spans="15:47" x14ac:dyDescent="0.25">
      <c r="O262" s="2" t="s">
        <v>21</v>
      </c>
      <c r="P262" s="8">
        <v>12</v>
      </c>
      <c r="Q262" s="2"/>
      <c r="R262" s="96">
        <f ca="1">1-R261/(3*F_GAMMA*R$29)</f>
        <v>0.82568468533376616</v>
      </c>
      <c r="S262" s="106"/>
      <c r="T262" s="22"/>
      <c r="U262" s="96">
        <f ca="1">1-U261/(3*F_GAMMA*U$29)</f>
        <v>0.82585706716823926</v>
      </c>
      <c r="V262" s="111"/>
      <c r="W262" s="28"/>
      <c r="X262" s="96">
        <f ca="1">1-X261/(3*F_GAMMA*X$29)</f>
        <v>0.82486584010648412</v>
      </c>
      <c r="Y262" s="111"/>
      <c r="Z262" s="28"/>
      <c r="AA262" s="96">
        <f ca="1">1-AA261/(3*F_GAMMA*AA$29)</f>
        <v>0.82468521142093532</v>
      </c>
      <c r="AB262" s="111"/>
      <c r="AC262" s="28"/>
      <c r="AD262" s="96">
        <f ca="1">1-AD261/(3*F_GAMMA*AD$29)</f>
        <v>0.82519279364451736</v>
      </c>
      <c r="AE262" s="111"/>
      <c r="AF262" s="28"/>
      <c r="AG262" s="96">
        <f ca="1">1-AG261/(3*F_GAMMA*AG$29)</f>
        <v>0.82625468376765832</v>
      </c>
      <c r="AH262" s="111"/>
      <c r="AI262" s="28"/>
      <c r="AJ262" s="96">
        <f ca="1">1-AJ261/(3*F_GAMMA*AJ$29)</f>
        <v>0.83273875578441903</v>
      </c>
      <c r="AK262" s="111"/>
      <c r="AL262" s="28"/>
      <c r="AM262" s="96">
        <f ca="1">1-AM261/(3*F_GAMMA*AM$29)</f>
        <v>0.83994067582698884</v>
      </c>
      <c r="AN262" s="111"/>
      <c r="AO262" s="28"/>
      <c r="AP262" s="96">
        <f ca="1">1-AP261/(3*F_GAMMA*AP$29)</f>
        <v>0.89670653715811377</v>
      </c>
      <c r="AQ262" s="111"/>
      <c r="AR262" s="28"/>
      <c r="AS262" s="96">
        <f ca="1">1-AS261/(3*F_GAMMA*AS$29)</f>
        <v>0.90565437740511368</v>
      </c>
      <c r="AT262" s="111"/>
      <c r="AU262" s="28"/>
    </row>
    <row r="263" spans="15:47" x14ac:dyDescent="0.25">
      <c r="O263" s="2" t="s">
        <v>57</v>
      </c>
      <c r="P263" s="143">
        <v>7</v>
      </c>
      <c r="Q263" s="2"/>
      <c r="R263" s="96">
        <f ca="1">(R256/(N_9*R$27*R258*R262))*SQRT(M*'Valve Sizing'!$W$6*'Valve Sizing'!$G$8/R261)</f>
        <v>0.1766438075296593</v>
      </c>
      <c r="S263" s="107"/>
      <c r="T263" s="22"/>
      <c r="U263" s="96">
        <f ca="1">(U256/(N_9*U$27*U258*U262))*SQRT(M*'Valve Sizing'!$W$6*'Valve Sizing'!$G$8/U261)</f>
        <v>5.5512759812585104</v>
      </c>
      <c r="V263" s="111"/>
      <c r="W263" s="28"/>
      <c r="X263" s="96">
        <f ca="1">(X256/(N_9*X$27*X258*X262))*SQRT(M*'Valve Sizing'!$W$6*'Valve Sizing'!$G$8/X261)</f>
        <v>13.692733353212899</v>
      </c>
      <c r="Y263" s="111"/>
      <c r="Z263" s="28"/>
      <c r="AA263" s="96">
        <f ca="1">(AA256/(N_9*AA$27*AA258*AA262))*SQRT(M*'Valve Sizing'!$W$6*'Valve Sizing'!$G$8/AA261)</f>
        <v>27.182490875265128</v>
      </c>
      <c r="AB263" s="111"/>
      <c r="AC263" s="28"/>
      <c r="AD263" s="96">
        <f ca="1">(AD256/(N_9*AD$27*AD258*AD262))*SQRT(M*'Valve Sizing'!$W$6*'Valve Sizing'!$G$8/AD261)</f>
        <v>47.674521774311707</v>
      </c>
      <c r="AE263" s="111"/>
      <c r="AF263" s="28"/>
      <c r="AG263" s="96">
        <f ca="1">(AG256/(N_9*AG$27*AG258*AG262))*SQRT(M*'Valve Sizing'!$W$6*'Valve Sizing'!$G$8/AG261)</f>
        <v>75.514522602454832</v>
      </c>
      <c r="AH263" s="111"/>
      <c r="AI263" s="28"/>
      <c r="AJ263" s="96">
        <f ca="1">(AJ256/(N_9*AJ$27*AJ258*AJ262))*SQRT(M*'Valve Sizing'!$W$6*'Valve Sizing'!$G$8/AJ261)</f>
        <v>114.42251327830836</v>
      </c>
      <c r="AK263" s="111"/>
      <c r="AL263" s="28"/>
      <c r="AM263" s="96">
        <f ca="1">(AM256/(N_9*AM$27*AM258*AM262))*SQRT(M*'Valve Sizing'!$W$6*'Valve Sizing'!$G$8/AM261)</f>
        <v>167.07751027053399</v>
      </c>
      <c r="AN263" s="111"/>
      <c r="AO263" s="28"/>
      <c r="AP263" s="96">
        <f ca="1">(AP256/(N_9*AP$27*AP258*AP262))*SQRT(M*'Valve Sizing'!$W$6*'Valve Sizing'!$G$8/AP261)</f>
        <v>244.63372593518463</v>
      </c>
      <c r="AQ263" s="111"/>
      <c r="AR263" s="28"/>
      <c r="AS263" s="96">
        <f ca="1">(AS256/(N_9*AS$27*AS258*AS262))*SQRT(M*'Valve Sizing'!$W$6*'Valve Sizing'!$G$8/AS261)</f>
        <v>544.97431797510637</v>
      </c>
      <c r="AT263" s="111"/>
      <c r="AU263" s="28"/>
    </row>
    <row r="264" spans="15:47" x14ac:dyDescent="0.25">
      <c r="O264" s="2" t="s">
        <v>59</v>
      </c>
      <c r="P264" s="143">
        <v>7</v>
      </c>
      <c r="Q264" s="2"/>
      <c r="R264" s="96">
        <f ca="1">(R256/(N_9*R$27*R258*0.667))*SQRT(M*'Valve Sizing'!$W$6*'Valve Sizing'!$G$8/R265)</f>
        <v>0.15813034275721971</v>
      </c>
      <c r="S264" s="107"/>
      <c r="T264" s="22"/>
      <c r="U264" s="96">
        <f ca="1">(U256/(N_9*U$27*U258*0.667))*SQRT(M*'Valve Sizing'!$W$6*'Valve Sizing'!$G$8/U265)</f>
        <v>4.9680439474837916</v>
      </c>
      <c r="V264" s="111"/>
      <c r="W264" s="28"/>
      <c r="X264" s="96">
        <f ca="1">(X256/(N_9*X$27*X258*0.667))*SQRT(M*'Valve Sizing'!$W$6*'Valve Sizing'!$G$8/X265)</f>
        <v>12.274214110123117</v>
      </c>
      <c r="Y264" s="111"/>
      <c r="Z264" s="28"/>
      <c r="AA264" s="96">
        <f ca="1">(AA256/(N_9*AA$27*AA258*0.667))*SQRT(M*'Valve Sizing'!$W$6*'Valve Sizing'!$G$8/AA265)</f>
        <v>24.373703694312663</v>
      </c>
      <c r="AB264" s="111"/>
      <c r="AC264" s="28"/>
      <c r="AD264" s="96">
        <f ca="1">(AD256/(N_9*AD$27*AD258*0.667))*SQRT(M*'Valve Sizing'!$W$6*'Valve Sizing'!$G$8/AD265)</f>
        <v>42.712621927256052</v>
      </c>
      <c r="AE264" s="111"/>
      <c r="AF264" s="28"/>
      <c r="AG264" s="96">
        <f ca="1">(AG256/(N_9*AG$27*AG258*0.667))*SQRT(M*'Valve Sizing'!$W$6*'Valve Sizing'!$G$8/AG265)</f>
        <v>67.536066416485824</v>
      </c>
      <c r="AH264" s="111"/>
      <c r="AI264" s="28"/>
      <c r="AJ264" s="96">
        <f ca="1">(AJ256/(N_9*AJ$27*AJ258*0.667))*SQRT(M*'Valve Sizing'!$W$6*'Valve Sizing'!$G$8/AJ265)</f>
        <v>101.19352278893197</v>
      </c>
      <c r="AK264" s="111"/>
      <c r="AL264" s="28"/>
      <c r="AM264" s="96">
        <f ca="1">(AM256/(N_9*AM$27*AM258*0.667))*SQRT(M*'Valve Sizing'!$W$6*'Valve Sizing'!$G$8/AM265)</f>
        <v>145.79475188854687</v>
      </c>
      <c r="AN264" s="111"/>
      <c r="AO264" s="28"/>
      <c r="AP264" s="96">
        <f ca="1">(AP256/(N_9*AP$27*AP258*0.667))*SQRT(M*'Valve Sizing'!$W$6*'Valve Sizing'!$G$8/AP265)</f>
        <v>183.07872439410264</v>
      </c>
      <c r="AQ264" s="111"/>
      <c r="AR264" s="28"/>
      <c r="AS264" s="96">
        <f ca="1">(AS256/(N_9*AS$27*AS258*0.667))*SQRT(M*'Valve Sizing'!$W$6*'Valve Sizing'!$G$8/AS265)</f>
        <v>393.67170209345164</v>
      </c>
      <c r="AT264" s="111"/>
      <c r="AU264" s="28"/>
    </row>
    <row r="265" spans="15:47" ht="15.6" x14ac:dyDescent="0.35">
      <c r="O265" s="2" t="s">
        <v>68</v>
      </c>
      <c r="P265" s="143">
        <v>10</v>
      </c>
      <c r="Q265" s="2"/>
      <c r="R265" s="96">
        <f ca="1">F_GAMMA*R$29</f>
        <v>0.64002969751372984</v>
      </c>
      <c r="S265" s="107"/>
      <c r="T265" s="1"/>
      <c r="U265" s="96">
        <f ca="1">F_GAMMA*U$29</f>
        <v>0.64017842058782071</v>
      </c>
      <c r="V265" s="111"/>
      <c r="W265" s="28"/>
      <c r="X265" s="96">
        <f ca="1">F_GAMMA*X$29</f>
        <v>0.63413873724904268</v>
      </c>
      <c r="Y265" s="111"/>
      <c r="Z265" s="28"/>
      <c r="AA265" s="96">
        <f ca="1">F_GAMMA*AA$29</f>
        <v>0.62532411750377137</v>
      </c>
      <c r="AB265" s="111"/>
      <c r="AC265" s="28"/>
      <c r="AD265" s="96">
        <f ca="1">F_GAMMA*AD$29</f>
        <v>0.60651359509139569</v>
      </c>
      <c r="AE265" s="111"/>
      <c r="AF265" s="28"/>
      <c r="AG265" s="96">
        <f ca="1">F_GAMMA*AG$29</f>
        <v>0.57217930198481592</v>
      </c>
      <c r="AH265" s="111"/>
      <c r="AI265" s="28"/>
      <c r="AJ265" s="96">
        <f ca="1">F_GAMMA*AJ$29</f>
        <v>0.53183282018848232</v>
      </c>
      <c r="AK265" s="111"/>
      <c r="AL265" s="28"/>
      <c r="AM265" s="96">
        <f ca="1">F_GAMMA*AM$29</f>
        <v>0.47566512503094399</v>
      </c>
      <c r="AN265" s="111"/>
      <c r="AO265" s="28"/>
      <c r="AP265" s="96">
        <f ca="1">F_GAMMA*AP$29</f>
        <v>0.59054158265645496</v>
      </c>
      <c r="AQ265" s="111"/>
      <c r="AR265" s="28"/>
      <c r="AS265" s="96">
        <f ca="1">F_GAMMA*AS$29</f>
        <v>0.3766899554102966</v>
      </c>
      <c r="AT265" s="111"/>
      <c r="AU265" s="28"/>
    </row>
    <row r="266" spans="15:47" x14ac:dyDescent="0.25">
      <c r="O266" s="2" t="s">
        <v>145</v>
      </c>
      <c r="P266" s="12"/>
      <c r="Q266" s="2"/>
      <c r="R266" s="96">
        <f ca="1">IF(R261&lt;R265,R263,R264)</f>
        <v>0.1766438075296593</v>
      </c>
      <c r="S266" s="116"/>
      <c r="T266" s="1"/>
      <c r="U266" s="96">
        <f ca="1">IF(U261&lt;U265,U263,U264)</f>
        <v>5.5512759812585104</v>
      </c>
      <c r="V266" s="111"/>
      <c r="W266" s="28"/>
      <c r="X266" s="96">
        <f ca="1">IF(X261&lt;X265,X263,X264)</f>
        <v>13.692733353212899</v>
      </c>
      <c r="Y266" s="111"/>
      <c r="Z266" s="28"/>
      <c r="AA266" s="96">
        <f ca="1">IF(AA261&lt;AA265,AA263,AA264)</f>
        <v>27.182490875265128</v>
      </c>
      <c r="AB266" s="111"/>
      <c r="AC266" s="28"/>
      <c r="AD266" s="96">
        <f ca="1">IF(AD261&lt;AD265,AD263,AD264)</f>
        <v>47.674521774311707</v>
      </c>
      <c r="AE266" s="111"/>
      <c r="AF266" s="28"/>
      <c r="AG266" s="96">
        <f ca="1">IF(AG261&lt;AG265,AG263,AG264)</f>
        <v>75.514522602454832</v>
      </c>
      <c r="AH266" s="111"/>
      <c r="AI266" s="28"/>
      <c r="AJ266" s="96">
        <f ca="1">IF(AJ261&lt;AJ265,AJ263,AJ264)</f>
        <v>114.42251327830836</v>
      </c>
      <c r="AK266" s="111"/>
      <c r="AL266" s="28"/>
      <c r="AM266" s="96">
        <f ca="1">IF(AM261&lt;AM265,AM263,AM264)</f>
        <v>167.07751027053399</v>
      </c>
      <c r="AN266" s="111"/>
      <c r="AO266" s="28"/>
      <c r="AP266" s="96">
        <f ca="1">IF(AP261&lt;AP265,AP263,AP264)</f>
        <v>244.63372593518463</v>
      </c>
      <c r="AQ266" s="111"/>
      <c r="AR266" s="28"/>
      <c r="AS266" s="96">
        <f ca="1">IF(AS261&lt;AS265,AS263,AS264)</f>
        <v>544.97431797510637</v>
      </c>
      <c r="AT266" s="111"/>
      <c r="AU266" s="28"/>
    </row>
    <row r="267" spans="15:47" x14ac:dyDescent="0.25">
      <c r="O267" s="13" t="s">
        <v>143</v>
      </c>
      <c r="P267" s="1"/>
      <c r="Q267" s="1"/>
      <c r="R267" s="113"/>
      <c r="S267" s="106">
        <f ca="1">IF(R260&lt;=0,Q_max,ABS(R$23-R266))</f>
        <v>4.553356192470341</v>
      </c>
      <c r="T267" s="7">
        <f>R256</f>
        <v>437.41070921302185</v>
      </c>
      <c r="U267" s="98"/>
      <c r="V267" s="106">
        <f ca="1">IF(U260&lt;=0,Q_max,ABS(U$23-U266))</f>
        <v>6.0487240187414892</v>
      </c>
      <c r="W267" s="9">
        <f ca="1">U256</f>
        <v>13729.663863439251</v>
      </c>
      <c r="X267" s="98"/>
      <c r="Y267" s="106">
        <f ca="1">IF(X260&lt;=0,Q_max,ABS(X$23-X266))</f>
        <v>9.3072666467871006</v>
      </c>
      <c r="Z267" s="9">
        <f ca="1">X256</f>
        <v>33618.903547957874</v>
      </c>
      <c r="AA267" s="98"/>
      <c r="AB267" s="106">
        <f ca="1">IF(AA260&lt;=0,Q_max,ABS(AA$23-AA266))</f>
        <v>12.217509124734871</v>
      </c>
      <c r="AC267" s="9">
        <f ca="1">AA256</f>
        <v>65481.043040489611</v>
      </c>
      <c r="AD267" s="98"/>
      <c r="AE267" s="106">
        <f ca="1">IF(AD260&lt;=0,Q_max,ABS(AD$23-AD266))</f>
        <v>13.325478225688293</v>
      </c>
      <c r="AF267" s="9">
        <f ca="1">AD256</f>
        <v>109856.82047486767</v>
      </c>
      <c r="AG267" s="98"/>
      <c r="AH267" s="106">
        <f ca="1">IF(AG260&lt;=0,Q_max,ABS(AG$23-AG266))</f>
        <v>12.685477397545171</v>
      </c>
      <c r="AI267" s="9">
        <f ca="1">AG256</f>
        <v>160339.02155900645</v>
      </c>
      <c r="AJ267" s="98"/>
      <c r="AK267" s="106">
        <f ca="1">IF(AJ260&lt;=0,Q_max,ABS(AJ$23-AJ266))</f>
        <v>6.5774867216916419</v>
      </c>
      <c r="AL267" s="9">
        <f ca="1">AJ256</f>
        <v>213973.04583549139</v>
      </c>
      <c r="AM267" s="98"/>
      <c r="AN267" s="106">
        <f ca="1">IF(AM260&lt;=0,Q_max,ABS(AM$23-AM266))</f>
        <v>2.0775102705339918</v>
      </c>
      <c r="AO267" s="9">
        <f ca="1">AM256</f>
        <v>261087.77934579639</v>
      </c>
      <c r="AP267" s="98"/>
      <c r="AQ267" s="106">
        <f ca="1">IF(AP260&lt;=0,Q_max,ABS(AP$23-AP266))</f>
        <v>1.3662740648153715</v>
      </c>
      <c r="AR267" s="9">
        <f ca="1">AP256</f>
        <v>303114.80644696194</v>
      </c>
      <c r="AS267" s="98"/>
      <c r="AT267" s="106">
        <f ca="1">IF(AS260&lt;=0,Q_max,ABS(AS$23-AS266))</f>
        <v>124.97431797510637</v>
      </c>
      <c r="AU267" s="9">
        <f ca="1">AS256</f>
        <v>355425.9489998878</v>
      </c>
    </row>
    <row r="268" spans="15:47" x14ac:dyDescent="0.25">
      <c r="O268" s="21"/>
      <c r="P268" s="14"/>
      <c r="Q268" s="21"/>
      <c r="R268" s="97"/>
      <c r="S268" s="106"/>
      <c r="T268" s="28"/>
      <c r="U268" s="99"/>
      <c r="V268" s="110"/>
      <c r="W268" s="25"/>
      <c r="X268" s="99"/>
      <c r="Y268" s="110"/>
      <c r="Z268" s="25"/>
      <c r="AA268" s="99"/>
      <c r="AB268" s="110"/>
      <c r="AC268" s="25"/>
      <c r="AD268" s="99"/>
      <c r="AE268" s="110"/>
      <c r="AF268" s="25"/>
      <c r="AG268" s="99"/>
      <c r="AH268" s="110"/>
      <c r="AI268" s="25"/>
      <c r="AJ268" s="99"/>
      <c r="AK268" s="110"/>
      <c r="AL268" s="25"/>
      <c r="AM268" s="99"/>
      <c r="AN268" s="110"/>
      <c r="AO268" s="25"/>
      <c r="AP268" s="99"/>
      <c r="AQ268" s="110"/>
      <c r="AR268" s="25"/>
      <c r="AS268" s="99"/>
      <c r="AT268" s="110"/>
      <c r="AU268" s="25"/>
    </row>
    <row r="269" spans="15:47" x14ac:dyDescent="0.25">
      <c r="O269" s="1"/>
      <c r="P269" s="1"/>
      <c r="Q269" s="1"/>
      <c r="R269" s="98"/>
      <c r="S269" s="108" t="s">
        <v>137</v>
      </c>
      <c r="T269" s="26" t="s">
        <v>146</v>
      </c>
      <c r="U269" s="98"/>
      <c r="V269" s="108" t="s">
        <v>137</v>
      </c>
      <c r="W269" s="26" t="s">
        <v>146</v>
      </c>
      <c r="X269" s="98"/>
      <c r="Y269" s="108" t="s">
        <v>137</v>
      </c>
      <c r="Z269" s="26" t="s">
        <v>146</v>
      </c>
      <c r="AA269" s="98"/>
      <c r="AB269" s="108" t="s">
        <v>137</v>
      </c>
      <c r="AC269" s="26" t="s">
        <v>146</v>
      </c>
      <c r="AD269" s="98"/>
      <c r="AE269" s="108" t="s">
        <v>137</v>
      </c>
      <c r="AF269" s="26" t="s">
        <v>146</v>
      </c>
      <c r="AG269" s="98"/>
      <c r="AH269" s="108" t="s">
        <v>137</v>
      </c>
      <c r="AI269" s="26" t="s">
        <v>146</v>
      </c>
      <c r="AJ269" s="98"/>
      <c r="AK269" s="108" t="s">
        <v>137</v>
      </c>
      <c r="AL269" s="26" t="s">
        <v>146</v>
      </c>
      <c r="AM269" s="98"/>
      <c r="AN269" s="108" t="s">
        <v>137</v>
      </c>
      <c r="AO269" s="26" t="s">
        <v>146</v>
      </c>
      <c r="AP269" s="98"/>
      <c r="AQ269" s="108" t="s">
        <v>137</v>
      </c>
      <c r="AR269" s="26" t="s">
        <v>146</v>
      </c>
      <c r="AS269" s="98"/>
      <c r="AT269" s="108" t="s">
        <v>137</v>
      </c>
      <c r="AU269" s="26" t="s">
        <v>146</v>
      </c>
    </row>
    <row r="270" spans="15:47" ht="13.8" x14ac:dyDescent="0.25">
      <c r="O270" s="20" t="s">
        <v>136</v>
      </c>
      <c r="P270" s="1"/>
      <c r="Q270" s="1"/>
      <c r="R270" s="96">
        <f>R256*1.02</f>
        <v>446.15892339728231</v>
      </c>
      <c r="S270" s="109" t="s">
        <v>144</v>
      </c>
      <c r="T270" s="23" t="s">
        <v>147</v>
      </c>
      <c r="U270" s="96">
        <f ca="1">U256*1.01</f>
        <v>13866.960502073644</v>
      </c>
      <c r="V270" s="109" t="s">
        <v>144</v>
      </c>
      <c r="W270" s="23" t="s">
        <v>147</v>
      </c>
      <c r="X270" s="96">
        <f ca="1">X256*1.01</f>
        <v>33955.09258343745</v>
      </c>
      <c r="Y270" s="109" t="s">
        <v>144</v>
      </c>
      <c r="Z270" s="23" t="s">
        <v>147</v>
      </c>
      <c r="AA270" s="96">
        <f ca="1">AA256*1.01</f>
        <v>66135.853470894508</v>
      </c>
      <c r="AB270" s="109" t="s">
        <v>144</v>
      </c>
      <c r="AC270" s="23" t="s">
        <v>147</v>
      </c>
      <c r="AD270" s="96">
        <f ca="1">AD256*1.01</f>
        <v>110955.38867961634</v>
      </c>
      <c r="AE270" s="109" t="s">
        <v>144</v>
      </c>
      <c r="AF270" s="23" t="s">
        <v>147</v>
      </c>
      <c r="AG270" s="96">
        <f ca="1">AG256*1.01</f>
        <v>161942.41177459652</v>
      </c>
      <c r="AH270" s="109" t="s">
        <v>144</v>
      </c>
      <c r="AI270" s="23" t="s">
        <v>147</v>
      </c>
      <c r="AJ270" s="96">
        <f ca="1">AJ256*1.01</f>
        <v>216112.77629384631</v>
      </c>
      <c r="AK270" s="109" t="s">
        <v>144</v>
      </c>
      <c r="AL270" s="23" t="s">
        <v>147</v>
      </c>
      <c r="AM270" s="96">
        <f ca="1">AM256*1.01</f>
        <v>263698.65713925433</v>
      </c>
      <c r="AN270" s="109" t="s">
        <v>144</v>
      </c>
      <c r="AO270" s="23" t="s">
        <v>147</v>
      </c>
      <c r="AP270" s="96">
        <f ca="1">AP256*1.01</f>
        <v>306145.95451143157</v>
      </c>
      <c r="AQ270" s="109" t="s">
        <v>144</v>
      </c>
      <c r="AR270" s="23" t="s">
        <v>147</v>
      </c>
      <c r="AS270" s="96">
        <f ca="1">AS256*1.01</f>
        <v>358980.20848988666</v>
      </c>
      <c r="AT270" s="109" t="s">
        <v>144</v>
      </c>
      <c r="AU270" s="23" t="s">
        <v>147</v>
      </c>
    </row>
    <row r="271" spans="15:47" x14ac:dyDescent="0.25">
      <c r="O271" s="1"/>
      <c r="P271" s="1"/>
      <c r="Q271" s="1"/>
      <c r="R271" s="98"/>
      <c r="S271" s="107"/>
      <c r="T271" s="1"/>
      <c r="U271" s="47"/>
      <c r="V271" s="107"/>
      <c r="W271" s="1"/>
      <c r="X271" s="47"/>
      <c r="Y271" s="107"/>
      <c r="Z271" s="1"/>
      <c r="AA271" s="47"/>
      <c r="AB271" s="107"/>
      <c r="AC271" s="1"/>
      <c r="AD271" s="47"/>
      <c r="AE271" s="107"/>
      <c r="AF271" s="1"/>
      <c r="AG271" s="47"/>
      <c r="AH271" s="107"/>
      <c r="AI271" s="1"/>
      <c r="AJ271" s="47"/>
      <c r="AK271" s="107"/>
      <c r="AL271" s="1"/>
      <c r="AM271" s="47"/>
      <c r="AN271" s="107"/>
      <c r="AO271" s="1"/>
      <c r="AP271" s="47"/>
      <c r="AQ271" s="107"/>
      <c r="AR271" s="1"/>
      <c r="AS271" s="47"/>
      <c r="AT271" s="107"/>
      <c r="AU271" s="1"/>
    </row>
    <row r="272" spans="15:47" x14ac:dyDescent="0.25">
      <c r="O272" s="8" t="s">
        <v>132</v>
      </c>
      <c r="P272" s="8"/>
      <c r="Q272" s="8"/>
      <c r="R272" s="96">
        <f>P_1_minQ-(R270^2*R_up)+dpup_minQ</f>
        <v>90.18500424980229</v>
      </c>
      <c r="S272" s="106"/>
      <c r="T272" s="22"/>
      <c r="U272" s="96">
        <f ca="1">P_1_minQ-(U270^2*R_up)+dpup_minQ</f>
        <v>90.149993106934971</v>
      </c>
      <c r="V272" s="107"/>
      <c r="W272" s="1"/>
      <c r="X272" s="96">
        <f ca="1">P_1_minQ-(X270^2*R_up)+dpup_minQ</f>
        <v>89.97490312027891</v>
      </c>
      <c r="Y272" s="107"/>
      <c r="Z272" s="1"/>
      <c r="AA272" s="96">
        <f ca="1">P_1_minQ-(AA270^2*R_up)+dpup_minQ</f>
        <v>89.387840214609895</v>
      </c>
      <c r="AB272" s="107"/>
      <c r="AC272" s="1"/>
      <c r="AD272" s="96">
        <f ca="1">P_1_minQ-(AD270^2*R_up)+dpup_minQ</f>
        <v>87.941208540395209</v>
      </c>
      <c r="AE272" s="107"/>
      <c r="AF272" s="1"/>
      <c r="AG272" s="96">
        <f ca="1">P_1_minQ-(AG270^2*R_up)+dpup_minQ</f>
        <v>85.405185302952802</v>
      </c>
      <c r="AH272" s="107"/>
      <c r="AI272" s="1"/>
      <c r="AJ272" s="96">
        <f ca="1">P_1_minQ-(AJ270^2*R_up)+dpup_minQ</f>
        <v>81.672593504419638</v>
      </c>
      <c r="AK272" s="107"/>
      <c r="AL272" s="1"/>
      <c r="AM272" s="96">
        <f ca="1">P_1_minQ-(AM270^2*R_up)+dpup_minQ</f>
        <v>77.511166869397542</v>
      </c>
      <c r="AN272" s="107"/>
      <c r="AO272" s="1"/>
      <c r="AP272" s="96">
        <f ca="1">P_1_minQ-(AP270^2*R_up)+dpup_minQ</f>
        <v>73.102573663401799</v>
      </c>
      <c r="AQ272" s="107"/>
      <c r="AR272" s="1"/>
      <c r="AS272" s="96">
        <f ca="1">P_1_minQ-(AS270^2*R_up)+dpup_minQ</f>
        <v>66.697661945358675</v>
      </c>
      <c r="AT272" s="107"/>
      <c r="AU272" s="1"/>
    </row>
    <row r="273" spans="15:47" x14ac:dyDescent="0.25">
      <c r="O273" s="8" t="s">
        <v>134</v>
      </c>
      <c r="P273" s="1"/>
      <c r="Q273" s="8"/>
      <c r="R273" s="97">
        <f>P_2_minQ+(R270^2*R_dn)-dpdn_minQ</f>
        <v>60</v>
      </c>
      <c r="S273" s="106"/>
      <c r="T273" s="22"/>
      <c r="U273" s="97">
        <f ca="1">P_2_minQ+(U270^2*R_dn)-dpdn_minQ</f>
        <v>60</v>
      </c>
      <c r="V273" s="107"/>
      <c r="W273" s="1"/>
      <c r="X273" s="97">
        <f ca="1">P_2_minQ+(X270^2*R_dn)-dpdn_minQ</f>
        <v>60</v>
      </c>
      <c r="Y273" s="107"/>
      <c r="Z273" s="1"/>
      <c r="AA273" s="97">
        <f ca="1">P_2_minQ+(AA270^2*R_dn)-dpdn_minQ</f>
        <v>60</v>
      </c>
      <c r="AB273" s="107"/>
      <c r="AC273" s="1"/>
      <c r="AD273" s="97">
        <f ca="1">P_2_minQ+(AD270^2*R_dn)-dpdn_minQ</f>
        <v>60</v>
      </c>
      <c r="AE273" s="107"/>
      <c r="AF273" s="1"/>
      <c r="AG273" s="97">
        <f ca="1">P_2_minQ+(AG270^2*R_dn)-dpdn_minQ</f>
        <v>60</v>
      </c>
      <c r="AH273" s="107"/>
      <c r="AI273" s="1"/>
      <c r="AJ273" s="97">
        <f ca="1">P_2_minQ+(AJ270^2*R_dn)-dpdn_minQ</f>
        <v>60</v>
      </c>
      <c r="AK273" s="107"/>
      <c r="AL273" s="1"/>
      <c r="AM273" s="97">
        <f ca="1">P_2_minQ+(AM270^2*R_dn)-dpdn_minQ</f>
        <v>60</v>
      </c>
      <c r="AN273" s="107"/>
      <c r="AO273" s="1"/>
      <c r="AP273" s="97">
        <f ca="1">P_2_minQ+(AP270^2*R_dn)-dpdn_minQ</f>
        <v>60</v>
      </c>
      <c r="AQ273" s="107"/>
      <c r="AR273" s="1"/>
      <c r="AS273" s="97">
        <f ca="1">P_2_minQ+(AS270^2*R_dn)-dpdn_minQ</f>
        <v>60</v>
      </c>
      <c r="AT273" s="107"/>
      <c r="AU273" s="1"/>
    </row>
    <row r="274" spans="15:47" x14ac:dyDescent="0.25">
      <c r="O274" s="8" t="s">
        <v>138</v>
      </c>
      <c r="P274" s="1"/>
      <c r="Q274" s="8"/>
      <c r="R274" s="97">
        <f>R272-R273</f>
        <v>30.18500424980229</v>
      </c>
      <c r="S274" s="106"/>
      <c r="T274" s="22"/>
      <c r="U274" s="97">
        <f ca="1">U272-U273</f>
        <v>30.149993106934971</v>
      </c>
      <c r="V274" s="110"/>
      <c r="W274" s="25"/>
      <c r="X274" s="97">
        <f ca="1">X272-X273</f>
        <v>29.97490312027891</v>
      </c>
      <c r="Y274" s="110"/>
      <c r="Z274" s="25"/>
      <c r="AA274" s="97">
        <f ca="1">AA272-AA273</f>
        <v>29.387840214609895</v>
      </c>
      <c r="AB274" s="110"/>
      <c r="AC274" s="25"/>
      <c r="AD274" s="97">
        <f ca="1">AD272-AD273</f>
        <v>27.941208540395209</v>
      </c>
      <c r="AE274" s="110"/>
      <c r="AF274" s="25"/>
      <c r="AG274" s="97">
        <f ca="1">AG272-AG273</f>
        <v>25.405185302952802</v>
      </c>
      <c r="AH274" s="110"/>
      <c r="AI274" s="25"/>
      <c r="AJ274" s="97">
        <f ca="1">AJ272-AJ273</f>
        <v>21.672593504419638</v>
      </c>
      <c r="AK274" s="110"/>
      <c r="AL274" s="25"/>
      <c r="AM274" s="97">
        <f ca="1">AM272-AM273</f>
        <v>17.511166869397542</v>
      </c>
      <c r="AN274" s="110"/>
      <c r="AO274" s="25"/>
      <c r="AP274" s="97">
        <f ca="1">AP272-AP273</f>
        <v>13.102573663401799</v>
      </c>
      <c r="AQ274" s="110"/>
      <c r="AR274" s="25"/>
      <c r="AS274" s="97">
        <f ca="1">AS272-AS273</f>
        <v>6.697661945358675</v>
      </c>
      <c r="AT274" s="110"/>
      <c r="AU274" s="25"/>
    </row>
    <row r="275" spans="15:47" ht="14.4" x14ac:dyDescent="0.3">
      <c r="O275" s="2" t="s">
        <v>140</v>
      </c>
      <c r="P275" s="11"/>
      <c r="Q275" s="2"/>
      <c r="R275" s="96">
        <f>R274/R272</f>
        <v>0.33470092396063134</v>
      </c>
      <c r="S275" s="106"/>
      <c r="T275" s="22"/>
      <c r="U275" s="96">
        <f ca="1">U274/U272</f>
        <v>0.33444254478390661</v>
      </c>
      <c r="V275" s="111"/>
      <c r="W275" s="28"/>
      <c r="X275" s="96">
        <f ca="1">X274/X272</f>
        <v>0.33314737866634109</v>
      </c>
      <c r="Y275" s="111"/>
      <c r="Z275" s="28"/>
      <c r="AA275" s="96">
        <f ca="1">AA274/AA272</f>
        <v>0.32876776241660027</v>
      </c>
      <c r="AB275" s="111"/>
      <c r="AC275" s="28"/>
      <c r="AD275" s="96">
        <f ca="1">AD274/AD272</f>
        <v>0.31772600131553347</v>
      </c>
      <c r="AE275" s="111"/>
      <c r="AF275" s="28"/>
      <c r="AG275" s="96">
        <f ca="1">AG274/AG272</f>
        <v>0.29746654389700672</v>
      </c>
      <c r="AH275" s="111"/>
      <c r="AI275" s="28"/>
      <c r="AJ275" s="96">
        <f ca="1">AJ274/AJ272</f>
        <v>0.2653594379030812</v>
      </c>
      <c r="AK275" s="111"/>
      <c r="AL275" s="28"/>
      <c r="AM275" s="96">
        <f ca="1">AM274/AM272</f>
        <v>0.2259179880352335</v>
      </c>
      <c r="AN275" s="111"/>
      <c r="AO275" s="28"/>
      <c r="AP275" s="96">
        <f ca="1">AP274/AP272</f>
        <v>0.17923546336045751</v>
      </c>
      <c r="AQ275" s="111"/>
      <c r="AR275" s="28"/>
      <c r="AS275" s="96">
        <f ca="1">AS274/AS272</f>
        <v>0.10041824180952041</v>
      </c>
      <c r="AT275" s="111"/>
      <c r="AU275" s="28"/>
    </row>
    <row r="276" spans="15:47" x14ac:dyDescent="0.25">
      <c r="O276" s="2" t="s">
        <v>21</v>
      </c>
      <c r="P276" s="8">
        <v>12</v>
      </c>
      <c r="Q276" s="2"/>
      <c r="R276" s="96">
        <f ca="1">1-R275/(3*F_GAMMA*R$29)</f>
        <v>0.82568469074647832</v>
      </c>
      <c r="S276" s="106"/>
      <c r="T276" s="22"/>
      <c r="U276" s="96">
        <f ca="1">1-U275/(3*F_GAMMA*U$29)</f>
        <v>0.82585972179609091</v>
      </c>
      <c r="V276" s="111"/>
      <c r="W276" s="28"/>
      <c r="X276" s="96">
        <f ca="1">1-X275/(3*F_GAMMA*X$29)</f>
        <v>0.82488197030218346</v>
      </c>
      <c r="Y276" s="111"/>
      <c r="Z276" s="28"/>
      <c r="AA276" s="96">
        <f ca="1">1-AA275/(3*F_GAMMA*AA$29)</f>
        <v>0.82474807692315522</v>
      </c>
      <c r="AB276" s="111"/>
      <c r="AC276" s="28"/>
      <c r="AD276" s="96">
        <f ca="1">1-AD275/(3*F_GAMMA*AD$29)</f>
        <v>0.82538121492689964</v>
      </c>
      <c r="AE276" s="111"/>
      <c r="AF276" s="28"/>
      <c r="AG276" s="96">
        <f ca="1">1-AG275/(3*F_GAMMA*AG$29)</f>
        <v>0.82670551995086516</v>
      </c>
      <c r="AH276" s="111"/>
      <c r="AI276" s="28"/>
      <c r="AJ276" s="96">
        <f ca="1">1-AJ275/(3*F_GAMMA*AJ$29)</f>
        <v>0.83368242310366292</v>
      </c>
      <c r="AK276" s="111"/>
      <c r="AL276" s="28"/>
      <c r="AM276" s="96">
        <f ca="1">1-AM275/(3*F_GAMMA*AM$29)</f>
        <v>0.84168274685505784</v>
      </c>
      <c r="AN276" s="111"/>
      <c r="AO276" s="28"/>
      <c r="AP276" s="96">
        <f ca="1">1-AP275/(3*F_GAMMA*AP$29)</f>
        <v>0.89882989410376146</v>
      </c>
      <c r="AQ276" s="111"/>
      <c r="AR276" s="28"/>
      <c r="AS276" s="96">
        <f ca="1">1-AS275/(3*F_GAMMA*AS$29)</f>
        <v>0.91113979337893125</v>
      </c>
      <c r="AT276" s="111"/>
      <c r="AU276" s="28"/>
    </row>
    <row r="277" spans="15:47" x14ac:dyDescent="0.25">
      <c r="O277" s="2" t="s">
        <v>57</v>
      </c>
      <c r="P277" s="143">
        <v>7</v>
      </c>
      <c r="Q277" s="2"/>
      <c r="R277" s="96">
        <f ca="1">(R270/(N_9*R$27*R272*R276))*SQRT(M*'Valve Sizing'!$W$6*'Valve Sizing'!$G$8/R275)</f>
        <v>0.1801766881110842</v>
      </c>
      <c r="S277" s="107"/>
      <c r="T277" s="22"/>
      <c r="U277" s="96">
        <f ca="1">(U270/(N_9*U$27*U272*U276))*SQRT(M*'Valve Sizing'!$W$6*'Valve Sizing'!$G$8/U275)</f>
        <v>5.6068564035657822</v>
      </c>
      <c r="V277" s="111"/>
      <c r="W277" s="28"/>
      <c r="X277" s="96">
        <f ca="1">(X270/(N_9*X$27*X272*X276))*SQRT(M*'Valve Sizing'!$W$6*'Valve Sizing'!$G$8/X275)</f>
        <v>13.83066359604244</v>
      </c>
      <c r="Y277" s="111"/>
      <c r="Z277" s="28"/>
      <c r="AA277" s="96">
        <f ca="1">(AA270/(N_9*AA$27*AA272*AA276))*SQRT(M*'Valve Sizing'!$W$6*'Valve Sizing'!$G$8/AA275)</f>
        <v>27.461971435280233</v>
      </c>
      <c r="AB277" s="111"/>
      <c r="AC277" s="28"/>
      <c r="AD277" s="96">
        <f ca="1">(AD270/(N_9*AD$27*AD272*AD276))*SQRT(M*'Valve Sizing'!$W$6*'Valve Sizing'!$G$8/AD275)</f>
        <v>48.190456085071908</v>
      </c>
      <c r="AE277" s="111"/>
      <c r="AF277" s="28"/>
      <c r="AG277" s="96">
        <f ca="1">(AG270/(N_9*AG$27*AG272*AG276))*SQRT(M*'Valve Sizing'!$W$6*'Valve Sizing'!$G$8/AG275)</f>
        <v>76.411337555307128</v>
      </c>
      <c r="AH277" s="111"/>
      <c r="AI277" s="28"/>
      <c r="AJ277" s="96">
        <f ca="1">(AJ270/(N_9*AJ$27*AJ272*AJ276))*SQRT(M*'Valve Sizing'!$W$6*'Valve Sizing'!$G$8/AJ275)</f>
        <v>116.00068668007444</v>
      </c>
      <c r="AK277" s="111"/>
      <c r="AL277" s="28"/>
      <c r="AM277" s="96">
        <f ca="1">(AM270/(N_9*AM$27*AM272*AM276))*SQRT(M*'Valve Sizing'!$W$6*'Valve Sizing'!$G$8/AM275)</f>
        <v>169.86851249300125</v>
      </c>
      <c r="AN277" s="111"/>
      <c r="AO277" s="28"/>
      <c r="AP277" s="96">
        <f ca="1">(AP270/(N_9*AP$27*AP272*AP276))*SQRT(M*'Valve Sizing'!$W$6*'Valve Sizing'!$G$8/AP275)</f>
        <v>250.21648295624485</v>
      </c>
      <c r="AQ277" s="111"/>
      <c r="AR277" s="28"/>
      <c r="AS277" s="96">
        <f ca="1">(AS270/(N_9*AS$27*AS272*AS276))*SQRT(M*'Valve Sizing'!$W$6*'Valve Sizing'!$G$8/AS275)</f>
        <v>567.65586716362384</v>
      </c>
      <c r="AT277" s="111"/>
      <c r="AU277" s="28"/>
    </row>
    <row r="278" spans="15:47" x14ac:dyDescent="0.25">
      <c r="O278" s="2" t="s">
        <v>59</v>
      </c>
      <c r="P278" s="143">
        <v>7</v>
      </c>
      <c r="Q278" s="2"/>
      <c r="R278" s="96">
        <f ca="1">(R270/(N_9*R$27*R272*0.667))*SQRT(M*'Valve Sizing'!$W$6*'Valve Sizing'!$G$8/R279)</f>
        <v>0.16129295213198253</v>
      </c>
      <c r="S278" s="107"/>
      <c r="T278" s="22"/>
      <c r="U278" s="96">
        <f ca="1">(U270/(N_9*U$27*U272*0.667))*SQRT(M*'Valve Sizing'!$W$6*'Valve Sizing'!$G$8/U279)</f>
        <v>5.0177628240493695</v>
      </c>
      <c r="V278" s="111"/>
      <c r="W278" s="28"/>
      <c r="X278" s="96">
        <f ca="1">(X270/(N_9*X$27*X272*0.667))*SQRT(M*'Valve Sizing'!$W$6*'Valve Sizing'!$G$8/X279)</f>
        <v>12.397526744284631</v>
      </c>
      <c r="Y278" s="111"/>
      <c r="Z278" s="28"/>
      <c r="AA278" s="96">
        <f ca="1">(AA270/(N_9*AA$27*AA272*0.667))*SQRT(M*'Valve Sizing'!$W$6*'Valve Sizing'!$G$8/AA279)</f>
        <v>24.621766718443268</v>
      </c>
      <c r="AB278" s="111"/>
      <c r="AC278" s="28"/>
      <c r="AD278" s="96">
        <f ca="1">(AD270/(N_9*AD$27*AD272*0.667))*SQRT(M*'Valve Sizing'!$W$6*'Valve Sizing'!$G$8/AD279)</f>
        <v>43.161436611776843</v>
      </c>
      <c r="AE278" s="111"/>
      <c r="AF278" s="28"/>
      <c r="AG278" s="96">
        <f ca="1">(AG270/(N_9*AG$27*AG272*0.667))*SQRT(M*'Valve Sizing'!$W$6*'Valve Sizing'!$G$8/AG279)</f>
        <v>68.286648400451156</v>
      </c>
      <c r="AH278" s="111"/>
      <c r="AI278" s="28"/>
      <c r="AJ278" s="96">
        <f ca="1">(AJ270/(N_9*AJ$27*AJ272*0.667))*SQRT(M*'Valve Sizing'!$W$6*'Valve Sizing'!$G$8/AJ279)</f>
        <v>102.41535465083204</v>
      </c>
      <c r="AK278" s="111"/>
      <c r="AL278" s="28"/>
      <c r="AM278" s="96">
        <f ca="1">(AM270/(N_9*AM$27*AM272*0.667))*SQRT(M*'Valve Sizing'!$W$6*'Valve Sizing'!$G$8/AM279)</f>
        <v>147.72711797013801</v>
      </c>
      <c r="AN278" s="111"/>
      <c r="AO278" s="28"/>
      <c r="AP278" s="96">
        <f ca="1">(AP270/(N_9*AP$27*AP272*0.667))*SQRT(M*'Valve Sizing'!$W$6*'Valve Sizing'!$G$8/AP279)</f>
        <v>185.76090543443067</v>
      </c>
      <c r="AQ278" s="111"/>
      <c r="AR278" s="28"/>
      <c r="AS278" s="96">
        <f ca="1">(AS270/(N_9*AS$27*AS272*0.667))*SQRT(M*'Valve Sizing'!$W$6*'Valve Sizing'!$G$8/AS279)</f>
        <v>400.36729916918375</v>
      </c>
      <c r="AT278" s="111"/>
      <c r="AU278" s="28"/>
    </row>
    <row r="279" spans="15:47" ht="15.6" x14ac:dyDescent="0.35">
      <c r="O279" s="2" t="s">
        <v>68</v>
      </c>
      <c r="P279" s="143">
        <v>10</v>
      </c>
      <c r="Q279" s="2"/>
      <c r="R279" s="96">
        <f ca="1">F_GAMMA*R$29</f>
        <v>0.64002969751372984</v>
      </c>
      <c r="S279" s="107"/>
      <c r="T279" s="1"/>
      <c r="U279" s="96">
        <f ca="1">F_GAMMA*U$29</f>
        <v>0.64017842058782071</v>
      </c>
      <c r="V279" s="111"/>
      <c r="W279" s="28"/>
      <c r="X279" s="96">
        <f ca="1">F_GAMMA*X$29</f>
        <v>0.63413873724904268</v>
      </c>
      <c r="Y279" s="111"/>
      <c r="Z279" s="28"/>
      <c r="AA279" s="96">
        <f ca="1">F_GAMMA*AA$29</f>
        <v>0.62532411750377137</v>
      </c>
      <c r="AB279" s="111"/>
      <c r="AC279" s="28"/>
      <c r="AD279" s="96">
        <f ca="1">F_GAMMA*AD$29</f>
        <v>0.60651359509139569</v>
      </c>
      <c r="AE279" s="111"/>
      <c r="AF279" s="28"/>
      <c r="AG279" s="96">
        <f ca="1">F_GAMMA*AG$29</f>
        <v>0.57217930198481592</v>
      </c>
      <c r="AH279" s="111"/>
      <c r="AI279" s="28"/>
      <c r="AJ279" s="96">
        <f ca="1">F_GAMMA*AJ$29</f>
        <v>0.53183282018848232</v>
      </c>
      <c r="AK279" s="111"/>
      <c r="AL279" s="28"/>
      <c r="AM279" s="96">
        <f ca="1">F_GAMMA*AM$29</f>
        <v>0.47566512503094399</v>
      </c>
      <c r="AN279" s="111"/>
      <c r="AO279" s="28"/>
      <c r="AP279" s="96">
        <f ca="1">F_GAMMA*AP$29</f>
        <v>0.59054158265645496</v>
      </c>
      <c r="AQ279" s="111"/>
      <c r="AR279" s="28"/>
      <c r="AS279" s="96">
        <f ca="1">F_GAMMA*AS$29</f>
        <v>0.3766899554102966</v>
      </c>
      <c r="AT279" s="111"/>
      <c r="AU279" s="28"/>
    </row>
    <row r="280" spans="15:47" x14ac:dyDescent="0.25">
      <c r="O280" s="2" t="s">
        <v>145</v>
      </c>
      <c r="P280" s="12"/>
      <c r="Q280" s="2"/>
      <c r="R280" s="96">
        <f ca="1">IF(R275&lt;R279,R277,R278)</f>
        <v>0.1801766881110842</v>
      </c>
      <c r="S280" s="116"/>
      <c r="T280" s="1"/>
      <c r="U280" s="96">
        <f ca="1">IF(U275&lt;U279,U277,U278)</f>
        <v>5.6068564035657822</v>
      </c>
      <c r="V280" s="111"/>
      <c r="W280" s="28"/>
      <c r="X280" s="96">
        <f ca="1">IF(X275&lt;X279,X277,X278)</f>
        <v>13.83066359604244</v>
      </c>
      <c r="Y280" s="111"/>
      <c r="Z280" s="28"/>
      <c r="AA280" s="96">
        <f ca="1">IF(AA275&lt;AA279,AA277,AA278)</f>
        <v>27.461971435280233</v>
      </c>
      <c r="AB280" s="111"/>
      <c r="AC280" s="28"/>
      <c r="AD280" s="96">
        <f ca="1">IF(AD275&lt;AD279,AD277,AD278)</f>
        <v>48.190456085071908</v>
      </c>
      <c r="AE280" s="111"/>
      <c r="AF280" s="28"/>
      <c r="AG280" s="96">
        <f ca="1">IF(AG275&lt;AG279,AG277,AG278)</f>
        <v>76.411337555307128</v>
      </c>
      <c r="AH280" s="111"/>
      <c r="AI280" s="28"/>
      <c r="AJ280" s="96">
        <f ca="1">IF(AJ275&lt;AJ279,AJ277,AJ278)</f>
        <v>116.00068668007444</v>
      </c>
      <c r="AK280" s="111"/>
      <c r="AL280" s="28"/>
      <c r="AM280" s="96">
        <f ca="1">IF(AM275&lt;AM279,AM277,AM278)</f>
        <v>169.86851249300125</v>
      </c>
      <c r="AN280" s="111"/>
      <c r="AO280" s="28"/>
      <c r="AP280" s="96">
        <f ca="1">IF(AP275&lt;AP279,AP277,AP278)</f>
        <v>250.21648295624485</v>
      </c>
      <c r="AQ280" s="111"/>
      <c r="AR280" s="28"/>
      <c r="AS280" s="96">
        <f ca="1">IF(AS275&lt;AS279,AS277,AS278)</f>
        <v>567.65586716362384</v>
      </c>
      <c r="AT280" s="111"/>
      <c r="AU280" s="28"/>
    </row>
    <row r="281" spans="15:47" x14ac:dyDescent="0.25">
      <c r="O281" s="13" t="s">
        <v>143</v>
      </c>
      <c r="P281" s="1"/>
      <c r="Q281" s="1"/>
      <c r="R281" s="113"/>
      <c r="S281" s="106">
        <f ca="1">IF(R274&lt;=0,Q_max,ABS(R$23-R280))</f>
        <v>4.5498233118889164</v>
      </c>
      <c r="T281" s="7">
        <f>R270</f>
        <v>446.15892339728231</v>
      </c>
      <c r="U281" s="98"/>
      <c r="V281" s="106">
        <f ca="1">IF(U274&lt;=0,Q_max,ABS(U$23-U280))</f>
        <v>5.9931435964342175</v>
      </c>
      <c r="W281" s="9">
        <f ca="1">U270</f>
        <v>13866.960502073644</v>
      </c>
      <c r="X281" s="98"/>
      <c r="Y281" s="106">
        <f ca="1">IF(X274&lt;=0,Q_max,ABS(X$23-X280))</f>
        <v>9.1693364039575602</v>
      </c>
      <c r="Z281" s="9">
        <f ca="1">X270</f>
        <v>33955.09258343745</v>
      </c>
      <c r="AA281" s="98"/>
      <c r="AB281" s="106">
        <f ca="1">IF(AA274&lt;=0,Q_max,ABS(AA$23-AA280))</f>
        <v>11.938028564719765</v>
      </c>
      <c r="AC281" s="9">
        <f ca="1">AA270</f>
        <v>66135.853470894508</v>
      </c>
      <c r="AD281" s="98"/>
      <c r="AE281" s="106">
        <f ca="1">IF(AD274&lt;=0,Q_max,ABS(AD$23-AD280))</f>
        <v>12.809543914928092</v>
      </c>
      <c r="AF281" s="9">
        <f ca="1">AD270</f>
        <v>110955.38867961634</v>
      </c>
      <c r="AG281" s="98"/>
      <c r="AH281" s="106">
        <f ca="1">IF(AG274&lt;=0,Q_max,ABS(AG$23-AG280))</f>
        <v>11.788662444692875</v>
      </c>
      <c r="AI281" s="9">
        <f ca="1">AG270</f>
        <v>161942.41177459652</v>
      </c>
      <c r="AJ281" s="98"/>
      <c r="AK281" s="106">
        <f ca="1">IF(AJ274&lt;=0,Q_max,ABS(AJ$23-AJ280))</f>
        <v>4.9993133199255624</v>
      </c>
      <c r="AL281" s="9">
        <f ca="1">AJ270</f>
        <v>216112.77629384631</v>
      </c>
      <c r="AM281" s="98"/>
      <c r="AN281" s="106">
        <f ca="1">IF(AM274&lt;=0,Q_max,ABS(AM$23-AM280))</f>
        <v>4.8685124930012478</v>
      </c>
      <c r="AO281" s="9">
        <f ca="1">AM270</f>
        <v>263698.65713925433</v>
      </c>
      <c r="AP281" s="98"/>
      <c r="AQ281" s="106">
        <f ca="1">IF(AP274&lt;=0,Q_max,ABS(AP$23-AP280))</f>
        <v>4.216482956244846</v>
      </c>
      <c r="AR281" s="9">
        <f ca="1">AP270</f>
        <v>306145.95451143157</v>
      </c>
      <c r="AS281" s="98"/>
      <c r="AT281" s="106">
        <f ca="1">IF(AS274&lt;=0,Q_max,ABS(AS$23-AS280))</f>
        <v>147.65586716362384</v>
      </c>
      <c r="AU281" s="9">
        <f ca="1">AS270</f>
        <v>358980.20848988666</v>
      </c>
    </row>
    <row r="282" spans="15:47" x14ac:dyDescent="0.25">
      <c r="O282" s="21"/>
      <c r="P282" s="14"/>
      <c r="Q282" s="21"/>
      <c r="R282" s="97"/>
      <c r="S282" s="106"/>
      <c r="T282" s="28"/>
      <c r="U282" s="97"/>
      <c r="V282" s="111"/>
      <c r="W282" s="28"/>
      <c r="X282" s="97"/>
      <c r="Y282" s="111"/>
      <c r="Z282" s="28"/>
      <c r="AA282" s="97"/>
      <c r="AB282" s="111"/>
      <c r="AC282" s="28"/>
      <c r="AD282" s="97"/>
      <c r="AE282" s="111"/>
      <c r="AF282" s="28"/>
      <c r="AG282" s="97"/>
      <c r="AH282" s="111"/>
      <c r="AI282" s="28"/>
      <c r="AJ282" s="97"/>
      <c r="AK282" s="111"/>
      <c r="AL282" s="28"/>
      <c r="AM282" s="97"/>
      <c r="AN282" s="111"/>
      <c r="AO282" s="28"/>
      <c r="AP282" s="97"/>
      <c r="AQ282" s="111"/>
      <c r="AR282" s="28"/>
      <c r="AS282" s="97"/>
      <c r="AT282" s="111"/>
      <c r="AU282" s="28"/>
    </row>
    <row r="283" spans="15:47" x14ac:dyDescent="0.25">
      <c r="O283" s="1"/>
      <c r="P283" s="1"/>
      <c r="Q283" s="1"/>
      <c r="R283" s="98"/>
      <c r="S283" s="108" t="s">
        <v>137</v>
      </c>
      <c r="T283" s="26" t="s">
        <v>146</v>
      </c>
      <c r="U283" s="98"/>
      <c r="V283" s="108" t="s">
        <v>137</v>
      </c>
      <c r="W283" s="26" t="s">
        <v>146</v>
      </c>
      <c r="X283" s="98"/>
      <c r="Y283" s="108" t="s">
        <v>137</v>
      </c>
      <c r="Z283" s="26" t="s">
        <v>146</v>
      </c>
      <c r="AA283" s="98"/>
      <c r="AB283" s="108" t="s">
        <v>137</v>
      </c>
      <c r="AC283" s="26" t="s">
        <v>146</v>
      </c>
      <c r="AD283" s="98"/>
      <c r="AE283" s="108" t="s">
        <v>137</v>
      </c>
      <c r="AF283" s="26" t="s">
        <v>146</v>
      </c>
      <c r="AG283" s="98"/>
      <c r="AH283" s="108" t="s">
        <v>137</v>
      </c>
      <c r="AI283" s="26" t="s">
        <v>146</v>
      </c>
      <c r="AJ283" s="98"/>
      <c r="AK283" s="108" t="s">
        <v>137</v>
      </c>
      <c r="AL283" s="26" t="s">
        <v>146</v>
      </c>
      <c r="AM283" s="98"/>
      <c r="AN283" s="108" t="s">
        <v>137</v>
      </c>
      <c r="AO283" s="26" t="s">
        <v>146</v>
      </c>
      <c r="AP283" s="98"/>
      <c r="AQ283" s="108" t="s">
        <v>137</v>
      </c>
      <c r="AR283" s="26" t="s">
        <v>146</v>
      </c>
      <c r="AS283" s="98"/>
      <c r="AT283" s="108" t="s">
        <v>137</v>
      </c>
      <c r="AU283" s="26" t="s">
        <v>146</v>
      </c>
    </row>
    <row r="284" spans="15:47" ht="13.8" x14ac:dyDescent="0.25">
      <c r="O284" s="20" t="s">
        <v>136</v>
      </c>
      <c r="P284" s="1"/>
      <c r="Q284" s="1"/>
      <c r="R284" s="96">
        <f>R270*1.02</f>
        <v>455.08210186522797</v>
      </c>
      <c r="S284" s="109" t="s">
        <v>144</v>
      </c>
      <c r="T284" s="23" t="s">
        <v>147</v>
      </c>
      <c r="U284" s="96">
        <f ca="1">U270*1.01</f>
        <v>14005.630107094381</v>
      </c>
      <c r="V284" s="109" t="s">
        <v>144</v>
      </c>
      <c r="W284" s="23" t="s">
        <v>147</v>
      </c>
      <c r="X284" s="96">
        <f ca="1">X270*1.01</f>
        <v>34294.643509271824</v>
      </c>
      <c r="Y284" s="109" t="s">
        <v>144</v>
      </c>
      <c r="Z284" s="23" t="s">
        <v>147</v>
      </c>
      <c r="AA284" s="96">
        <f ca="1">AA270*1.01</f>
        <v>66797.212005603447</v>
      </c>
      <c r="AB284" s="109" t="s">
        <v>144</v>
      </c>
      <c r="AC284" s="23" t="s">
        <v>147</v>
      </c>
      <c r="AD284" s="96">
        <f ca="1">AD270*1.01</f>
        <v>112064.9425664125</v>
      </c>
      <c r="AE284" s="109" t="s">
        <v>144</v>
      </c>
      <c r="AF284" s="23" t="s">
        <v>147</v>
      </c>
      <c r="AG284" s="96">
        <f ca="1">AG270*1.01</f>
        <v>163561.8358923425</v>
      </c>
      <c r="AH284" s="109" t="s">
        <v>144</v>
      </c>
      <c r="AI284" s="23" t="s">
        <v>147</v>
      </c>
      <c r="AJ284" s="96">
        <f ca="1">AJ270*1.01</f>
        <v>218273.90405678478</v>
      </c>
      <c r="AK284" s="109" t="s">
        <v>144</v>
      </c>
      <c r="AL284" s="23" t="s">
        <v>147</v>
      </c>
      <c r="AM284" s="96">
        <f ca="1">AM270*1.01</f>
        <v>266335.64371064689</v>
      </c>
      <c r="AN284" s="109" t="s">
        <v>144</v>
      </c>
      <c r="AO284" s="23" t="s">
        <v>147</v>
      </c>
      <c r="AP284" s="96">
        <f ca="1">AP270*1.01</f>
        <v>309207.41405654588</v>
      </c>
      <c r="AQ284" s="109" t="s">
        <v>144</v>
      </c>
      <c r="AR284" s="23" t="s">
        <v>147</v>
      </c>
      <c r="AS284" s="96">
        <f ca="1">AS270*1.01</f>
        <v>362570.01057478553</v>
      </c>
      <c r="AT284" s="109" t="s">
        <v>144</v>
      </c>
      <c r="AU284" s="23" t="s">
        <v>147</v>
      </c>
    </row>
    <row r="285" spans="15:47" x14ac:dyDescent="0.25">
      <c r="O285" s="1"/>
      <c r="P285" s="1"/>
      <c r="Q285" s="1"/>
      <c r="R285" s="98"/>
      <c r="S285" s="107"/>
      <c r="T285" s="1"/>
      <c r="U285" s="47"/>
      <c r="V285" s="107"/>
      <c r="W285" s="1"/>
      <c r="X285" s="47"/>
      <c r="Y285" s="107"/>
      <c r="Z285" s="1"/>
      <c r="AA285" s="47"/>
      <c r="AB285" s="107"/>
      <c r="AC285" s="1"/>
      <c r="AD285" s="47"/>
      <c r="AE285" s="107"/>
      <c r="AF285" s="1"/>
      <c r="AG285" s="47"/>
      <c r="AH285" s="107"/>
      <c r="AI285" s="1"/>
      <c r="AJ285" s="47"/>
      <c r="AK285" s="107"/>
      <c r="AL285" s="1"/>
      <c r="AM285" s="47"/>
      <c r="AN285" s="107"/>
      <c r="AO285" s="1"/>
      <c r="AP285" s="47"/>
      <c r="AQ285" s="107"/>
      <c r="AR285" s="1"/>
      <c r="AS285" s="47"/>
      <c r="AT285" s="107"/>
      <c r="AU285" s="1"/>
    </row>
    <row r="286" spans="15:47" x14ac:dyDescent="0.25">
      <c r="O286" s="8" t="s">
        <v>132</v>
      </c>
      <c r="P286" s="8"/>
      <c r="Q286" s="8"/>
      <c r="R286" s="96">
        <f>P_1_minQ-(R284^2*R_up)+dpup_minQ</f>
        <v>90.185002784071969</v>
      </c>
      <c r="S286" s="106"/>
      <c r="T286" s="22"/>
      <c r="U286" s="96">
        <f ca="1">P_1_minQ-(U284^2*R_up)+dpup_minQ</f>
        <v>90.149288653726231</v>
      </c>
      <c r="V286" s="107"/>
      <c r="W286" s="1"/>
      <c r="X286" s="96">
        <f ca="1">P_1_minQ-(X284^2*R_up)+dpup_minQ</f>
        <v>89.970679358338387</v>
      </c>
      <c r="Y286" s="107"/>
      <c r="Z286" s="1"/>
      <c r="AA286" s="96">
        <f ca="1">P_1_minQ-(AA284^2*R_up)+dpup_minQ</f>
        <v>89.371816488265424</v>
      </c>
      <c r="AB286" s="107"/>
      <c r="AC286" s="1"/>
      <c r="AD286" s="96">
        <f ca="1">P_1_minQ-(AD284^2*R_up)+dpup_minQ</f>
        <v>87.896107517399017</v>
      </c>
      <c r="AE286" s="107"/>
      <c r="AF286" s="1"/>
      <c r="AG286" s="96">
        <f ca="1">P_1_minQ-(AG284^2*R_up)+dpup_minQ</f>
        <v>85.309110212884022</v>
      </c>
      <c r="AH286" s="107"/>
      <c r="AI286" s="1"/>
      <c r="AJ286" s="96">
        <f ca="1">P_1_minQ-(AJ284^2*R_up)+dpup_minQ</f>
        <v>81.501493319200335</v>
      </c>
      <c r="AK286" s="107"/>
      <c r="AL286" s="1"/>
      <c r="AM286" s="96">
        <f ca="1">P_1_minQ-(AM284^2*R_up)+dpup_minQ</f>
        <v>77.256422008814297</v>
      </c>
      <c r="AN286" s="107"/>
      <c r="AO286" s="1"/>
      <c r="AP286" s="96">
        <f ca="1">P_1_minQ-(AP284^2*R_up)+dpup_minQ</f>
        <v>72.759216079378035</v>
      </c>
      <c r="AQ286" s="107"/>
      <c r="AR286" s="1"/>
      <c r="AS286" s="96">
        <f ca="1">P_1_minQ-(AS284^2*R_up)+dpup_minQ</f>
        <v>66.225565635802241</v>
      </c>
      <c r="AT286" s="107"/>
      <c r="AU286" s="1"/>
    </row>
    <row r="287" spans="15:47" x14ac:dyDescent="0.25">
      <c r="O287" s="8" t="s">
        <v>134</v>
      </c>
      <c r="P287" s="1"/>
      <c r="Q287" s="8"/>
      <c r="R287" s="97">
        <f>P_2_minQ+(R284^2*R_dn)-dpdn_minQ</f>
        <v>60</v>
      </c>
      <c r="S287" s="106"/>
      <c r="T287" s="22"/>
      <c r="U287" s="97">
        <f ca="1">P_2_minQ+(U284^2*R_dn)-dpdn_minQ</f>
        <v>60</v>
      </c>
      <c r="V287" s="107"/>
      <c r="W287" s="1"/>
      <c r="X287" s="97">
        <f ca="1">P_2_minQ+(X284^2*R_dn)-dpdn_minQ</f>
        <v>60</v>
      </c>
      <c r="Y287" s="107"/>
      <c r="Z287" s="1"/>
      <c r="AA287" s="97">
        <f ca="1">P_2_minQ+(AA284^2*R_dn)-dpdn_minQ</f>
        <v>60</v>
      </c>
      <c r="AB287" s="107"/>
      <c r="AC287" s="1"/>
      <c r="AD287" s="97">
        <f ca="1">P_2_minQ+(AD284^2*R_dn)-dpdn_minQ</f>
        <v>60</v>
      </c>
      <c r="AE287" s="107"/>
      <c r="AF287" s="1"/>
      <c r="AG287" s="97">
        <f ca="1">P_2_minQ+(AG284^2*R_dn)-dpdn_minQ</f>
        <v>60</v>
      </c>
      <c r="AH287" s="107"/>
      <c r="AI287" s="1"/>
      <c r="AJ287" s="97">
        <f ca="1">P_2_minQ+(AJ284^2*R_dn)-dpdn_minQ</f>
        <v>60</v>
      </c>
      <c r="AK287" s="107"/>
      <c r="AL287" s="1"/>
      <c r="AM287" s="97">
        <f ca="1">P_2_minQ+(AM284^2*R_dn)-dpdn_minQ</f>
        <v>60</v>
      </c>
      <c r="AN287" s="107"/>
      <c r="AO287" s="1"/>
      <c r="AP287" s="97">
        <f ca="1">P_2_minQ+(AP284^2*R_dn)-dpdn_minQ</f>
        <v>60</v>
      </c>
      <c r="AQ287" s="107"/>
      <c r="AR287" s="1"/>
      <c r="AS287" s="97">
        <f ca="1">P_2_minQ+(AS284^2*R_dn)-dpdn_minQ</f>
        <v>60</v>
      </c>
      <c r="AT287" s="107"/>
      <c r="AU287" s="1"/>
    </row>
    <row r="288" spans="15:47" x14ac:dyDescent="0.25">
      <c r="O288" s="8" t="s">
        <v>138</v>
      </c>
      <c r="P288" s="1"/>
      <c r="Q288" s="8"/>
      <c r="R288" s="97">
        <f>R286-R287</f>
        <v>30.185002784071969</v>
      </c>
      <c r="S288" s="106"/>
      <c r="T288" s="22"/>
      <c r="U288" s="97">
        <f ca="1">U286-U287</f>
        <v>30.149288653726231</v>
      </c>
      <c r="V288" s="110"/>
      <c r="W288" s="25"/>
      <c r="X288" s="97">
        <f ca="1">X286-X287</f>
        <v>29.970679358338387</v>
      </c>
      <c r="Y288" s="110"/>
      <c r="Z288" s="25"/>
      <c r="AA288" s="97">
        <f ca="1">AA286-AA287</f>
        <v>29.371816488265424</v>
      </c>
      <c r="AB288" s="110"/>
      <c r="AC288" s="25"/>
      <c r="AD288" s="97">
        <f ca="1">AD286-AD287</f>
        <v>27.896107517399017</v>
      </c>
      <c r="AE288" s="110"/>
      <c r="AF288" s="25"/>
      <c r="AG288" s="97">
        <f ca="1">AG286-AG287</f>
        <v>25.309110212884022</v>
      </c>
      <c r="AH288" s="110"/>
      <c r="AI288" s="25"/>
      <c r="AJ288" s="97">
        <f ca="1">AJ286-AJ287</f>
        <v>21.501493319200335</v>
      </c>
      <c r="AK288" s="110"/>
      <c r="AL288" s="25"/>
      <c r="AM288" s="97">
        <f ca="1">AM286-AM287</f>
        <v>17.256422008814297</v>
      </c>
      <c r="AN288" s="110"/>
      <c r="AO288" s="25"/>
      <c r="AP288" s="97">
        <f ca="1">AP286-AP287</f>
        <v>12.759216079378035</v>
      </c>
      <c r="AQ288" s="110"/>
      <c r="AR288" s="25"/>
      <c r="AS288" s="97">
        <f ca="1">AS286-AS287</f>
        <v>6.2255656358022406</v>
      </c>
      <c r="AT288" s="110"/>
      <c r="AU288" s="25"/>
    </row>
    <row r="289" spans="15:47" ht="14.4" x14ac:dyDescent="0.3">
      <c r="O289" s="2" t="s">
        <v>140</v>
      </c>
      <c r="P289" s="11"/>
      <c r="Q289" s="2"/>
      <c r="R289" s="96">
        <f>R288/R286</f>
        <v>0.33470091314786871</v>
      </c>
      <c r="S289" s="106"/>
      <c r="T289" s="22"/>
      <c r="U289" s="96">
        <f ca="1">U288/U286</f>
        <v>0.33443734392107199</v>
      </c>
      <c r="V289" s="111"/>
      <c r="W289" s="28"/>
      <c r="X289" s="96">
        <f ca="1">X288/X286</f>
        <v>0.33311607261483611</v>
      </c>
      <c r="Y289" s="111"/>
      <c r="Z289" s="28"/>
      <c r="AA289" s="96">
        <f ca="1">AA288/AA286</f>
        <v>0.32864741528580166</v>
      </c>
      <c r="AB289" s="111"/>
      <c r="AC289" s="28"/>
      <c r="AD289" s="96">
        <f ca="1">AD288/AD286</f>
        <v>0.31737591464874582</v>
      </c>
      <c r="AE289" s="111"/>
      <c r="AF289" s="28"/>
      <c r="AG289" s="96">
        <f ca="1">AG288/AG286</f>
        <v>0.29667535096458725</v>
      </c>
      <c r="AH289" s="111"/>
      <c r="AI289" s="28"/>
      <c r="AJ289" s="96">
        <f ca="1">AJ288/AJ286</f>
        <v>0.26381717001171751</v>
      </c>
      <c r="AK289" s="111"/>
      <c r="AL289" s="28"/>
      <c r="AM289" s="96">
        <f ca="1">AM288/AM286</f>
        <v>0.22336553467160941</v>
      </c>
      <c r="AN289" s="111"/>
      <c r="AO289" s="28"/>
      <c r="AP289" s="96">
        <f ca="1">AP288/AP286</f>
        <v>0.17536219831530522</v>
      </c>
      <c r="AQ289" s="111"/>
      <c r="AR289" s="28"/>
      <c r="AS289" s="96">
        <f ca="1">AS288/AS286</f>
        <v>9.4005473204091958E-2</v>
      </c>
      <c r="AT289" s="111"/>
      <c r="AU289" s="28"/>
    </row>
    <row r="290" spans="15:47" x14ac:dyDescent="0.25">
      <c r="O290" s="2" t="s">
        <v>21</v>
      </c>
      <c r="P290" s="8">
        <v>12</v>
      </c>
      <c r="Q290" s="2"/>
      <c r="R290" s="96">
        <f ca="1">1-R289/(3*F_GAMMA*R$29)</f>
        <v>0.82568469637786412</v>
      </c>
      <c r="S290" s="106"/>
      <c r="T290" s="22"/>
      <c r="U290" s="96">
        <f ca="1">1-U289/(3*F_GAMMA*U$29)</f>
        <v>0.82586242982386748</v>
      </c>
      <c r="V290" s="111"/>
      <c r="W290" s="28"/>
      <c r="X290" s="96">
        <f ca="1">1-X289/(3*F_GAMMA*X$29)</f>
        <v>0.82489842624453291</v>
      </c>
      <c r="Y290" s="111"/>
      <c r="Z290" s="28"/>
      <c r="AA290" s="96">
        <f ca="1">1-AA289/(3*F_GAMMA*AA$29)</f>
        <v>0.82481222879119187</v>
      </c>
      <c r="AB290" s="111"/>
      <c r="AC290" s="28"/>
      <c r="AD290" s="96">
        <f ca="1">1-AD289/(3*F_GAMMA*AD$29)</f>
        <v>0.82557361878485158</v>
      </c>
      <c r="AE290" s="111"/>
      <c r="AF290" s="28"/>
      <c r="AG290" s="96">
        <f ca="1">1-AG289/(3*F_GAMMA*AG$29)</f>
        <v>0.82716644360986213</v>
      </c>
      <c r="AH290" s="111"/>
      <c r="AI290" s="28"/>
      <c r="AJ290" s="96">
        <f ca="1">1-AJ289/(3*F_GAMMA*AJ$29)</f>
        <v>0.83464906013245521</v>
      </c>
      <c r="AK290" s="111"/>
      <c r="AL290" s="28"/>
      <c r="AM290" s="96">
        <f ca="1">1-AM289/(3*F_GAMMA*AM$29)</f>
        <v>0.8434714375601402</v>
      </c>
      <c r="AN290" s="111"/>
      <c r="AO290" s="28"/>
      <c r="AP290" s="96">
        <f ca="1">1-AP289/(3*F_GAMMA*AP$29)</f>
        <v>0.90101617257474798</v>
      </c>
      <c r="AQ290" s="111"/>
      <c r="AR290" s="28"/>
      <c r="AS290" s="96">
        <f ca="1">1-AS289/(3*F_GAMMA*AS$29)</f>
        <v>0.91681445898771952</v>
      </c>
      <c r="AT290" s="111"/>
      <c r="AU290" s="28"/>
    </row>
    <row r="291" spans="15:47" x14ac:dyDescent="0.25">
      <c r="O291" s="2" t="s">
        <v>57</v>
      </c>
      <c r="P291" s="143">
        <v>7</v>
      </c>
      <c r="Q291" s="2"/>
      <c r="R291" s="96">
        <f ca="1">(R284/(N_9*R$27*R286*R290))*SQRT(M*'Valve Sizing'!$W$6*'Valve Sizing'!$G$8/R289)</f>
        <v>0.18378022657534032</v>
      </c>
      <c r="S291" s="107"/>
      <c r="T291" s="22"/>
      <c r="U291" s="96">
        <f ca="1">(U284/(N_9*U$27*U286*U290))*SQRT(M*'Valve Sizing'!$W$6*'Valve Sizing'!$G$8/U289)</f>
        <v>5.6629946826618029</v>
      </c>
      <c r="V291" s="111"/>
      <c r="W291" s="28"/>
      <c r="X291" s="96">
        <f ca="1">(X284/(N_9*X$27*X286*X290))*SQRT(M*'Valve Sizing'!$W$6*'Valve Sizing'!$G$8/X289)</f>
        <v>13.970003738305779</v>
      </c>
      <c r="Y291" s="111"/>
      <c r="Z291" s="28"/>
      <c r="AA291" s="96">
        <f ca="1">(AA284/(N_9*AA$27*AA286*AA290))*SQRT(M*'Valve Sizing'!$W$6*'Valve Sizing'!$G$8/AA289)</f>
        <v>27.744484921526894</v>
      </c>
      <c r="AB291" s="111"/>
      <c r="AC291" s="28"/>
      <c r="AD291" s="96">
        <f ca="1">(AD284/(N_9*AD$27*AD286*AD290))*SQRT(M*'Valve Sizing'!$W$6*'Valve Sizing'!$G$8/AD289)</f>
        <v>48.712830669772643</v>
      </c>
      <c r="AE291" s="111"/>
      <c r="AF291" s="28"/>
      <c r="AG291" s="96">
        <f ca="1">(AG284/(N_9*AG$27*AG286*AG290))*SQRT(M*'Valve Sizing'!$W$6*'Valve Sizing'!$G$8/AG289)</f>
        <v>77.322210989683214</v>
      </c>
      <c r="AH291" s="111"/>
      <c r="AI291" s="28"/>
      <c r="AJ291" s="96">
        <f ca="1">(AJ284/(N_9*AJ$27*AJ286*AJ290))*SQRT(M*'Valve Sizing'!$W$6*'Valve Sizing'!$G$8/AJ289)</f>
        <v>117.61296309690846</v>
      </c>
      <c r="AK291" s="111"/>
      <c r="AL291" s="28"/>
      <c r="AM291" s="96">
        <f ca="1">(AM284/(N_9*AM$27*AM286*AM290))*SQRT(M*'Valve Sizing'!$W$6*'Valve Sizing'!$G$8/AM289)</f>
        <v>172.74652138314491</v>
      </c>
      <c r="AN291" s="111"/>
      <c r="AO291" s="28"/>
      <c r="AP291" s="96">
        <f ca="1">(AP284/(N_9*AP$27*AP286*AP290))*SQRT(M*'Valve Sizing'!$W$6*'Valve Sizing'!$G$8/AP289)</f>
        <v>256.07716180450177</v>
      </c>
      <c r="AQ291" s="111"/>
      <c r="AR291" s="28"/>
      <c r="AS291" s="96">
        <f ca="1">(AS284/(N_9*AS$27*AS286*AS290))*SQRT(M*'Valve Sizing'!$W$6*'Valve Sizing'!$G$8/AS289)</f>
        <v>593.09564616401065</v>
      </c>
      <c r="AT291" s="111"/>
      <c r="AU291" s="28"/>
    </row>
    <row r="292" spans="15:47" x14ac:dyDescent="0.25">
      <c r="O292" s="2" t="s">
        <v>59</v>
      </c>
      <c r="P292" s="143">
        <v>7</v>
      </c>
      <c r="Q292" s="2"/>
      <c r="R292" s="96">
        <f ca="1">(R284/(N_9*R$27*R286*0.667))*SQRT(M*'Valve Sizing'!$W$6*'Valve Sizing'!$G$8/R293)</f>
        <v>0.16451881384846154</v>
      </c>
      <c r="S292" s="107"/>
      <c r="T292" s="22"/>
      <c r="U292" s="96">
        <f ca="1">(U284/(N_9*U$27*U286*0.667))*SQRT(M*'Valve Sizing'!$W$6*'Valve Sizing'!$G$8/U293)</f>
        <v>5.0679800546757132</v>
      </c>
      <c r="V292" s="111"/>
      <c r="W292" s="28"/>
      <c r="X292" s="96">
        <f ca="1">(X284/(N_9*X$27*X286*0.667))*SQRT(M*'Valve Sizing'!$W$6*'Valve Sizing'!$G$8/X293)</f>
        <v>12.522089845942052</v>
      </c>
      <c r="Y292" s="111"/>
      <c r="Z292" s="28"/>
      <c r="AA292" s="96">
        <f ca="1">(AA284/(N_9*AA$27*AA286*0.667))*SQRT(M*'Valve Sizing'!$W$6*'Valve Sizing'!$G$8/AA293)</f>
        <v>24.87244303704815</v>
      </c>
      <c r="AB292" s="111"/>
      <c r="AC292" s="28"/>
      <c r="AD292" s="96">
        <f ca="1">(AD284/(N_9*AD$27*AD286*0.667))*SQRT(M*'Valve Sizing'!$W$6*'Valve Sizing'!$G$8/AD293)</f>
        <v>43.615419331285452</v>
      </c>
      <c r="AE292" s="111"/>
      <c r="AF292" s="28"/>
      <c r="AG292" s="96">
        <f ca="1">(AG284/(N_9*AG$27*AG286*0.667))*SQRT(M*'Valve Sizing'!$W$6*'Valve Sizing'!$G$8/AG293)</f>
        <v>69.04718832798342</v>
      </c>
      <c r="AH292" s="111"/>
      <c r="AI292" s="28"/>
      <c r="AJ292" s="96">
        <f ca="1">(AJ284/(N_9*AJ$27*AJ286*0.667))*SQRT(M*'Valve Sizing'!$W$6*'Valve Sizing'!$G$8/AJ293)</f>
        <v>103.65666396088255</v>
      </c>
      <c r="AK292" s="111"/>
      <c r="AL292" s="28"/>
      <c r="AM292" s="96">
        <f ca="1">(AM284/(N_9*AM$27*AM286*0.667))*SQRT(M*'Valve Sizing'!$W$6*'Valve Sizing'!$G$8/AM293)</f>
        <v>149.69637480389991</v>
      </c>
      <c r="AN292" s="111"/>
      <c r="AO292" s="28"/>
      <c r="AP292" s="96">
        <f ca="1">(AP284/(N_9*AP$27*AP286*0.667))*SQRT(M*'Valve Sizing'!$W$6*'Valve Sizing'!$G$8/AP293)</f>
        <v>188.50390390504785</v>
      </c>
      <c r="AQ292" s="111"/>
      <c r="AR292" s="28"/>
      <c r="AS292" s="96">
        <f ca="1">(AS284/(N_9*AS$27*AS286*0.667))*SQRT(M*'Valve Sizing'!$W$6*'Valve Sizing'!$G$8/AS293)</f>
        <v>407.25357560587656</v>
      </c>
      <c r="AT292" s="111"/>
      <c r="AU292" s="28"/>
    </row>
    <row r="293" spans="15:47" ht="15.6" x14ac:dyDescent="0.35">
      <c r="O293" s="2" t="s">
        <v>68</v>
      </c>
      <c r="P293" s="143">
        <v>10</v>
      </c>
      <c r="Q293" s="2"/>
      <c r="R293" s="96">
        <f ca="1">F_GAMMA*R$29</f>
        <v>0.64002969751372984</v>
      </c>
      <c r="S293" s="107"/>
      <c r="T293" s="1"/>
      <c r="U293" s="96">
        <f ca="1">F_GAMMA*U$29</f>
        <v>0.64017842058782071</v>
      </c>
      <c r="V293" s="111"/>
      <c r="W293" s="28"/>
      <c r="X293" s="96">
        <f ca="1">F_GAMMA*X$29</f>
        <v>0.63413873724904268</v>
      </c>
      <c r="Y293" s="111"/>
      <c r="Z293" s="28"/>
      <c r="AA293" s="96">
        <f ca="1">F_GAMMA*AA$29</f>
        <v>0.62532411750377137</v>
      </c>
      <c r="AB293" s="111"/>
      <c r="AC293" s="28"/>
      <c r="AD293" s="96">
        <f ca="1">F_GAMMA*AD$29</f>
        <v>0.60651359509139569</v>
      </c>
      <c r="AE293" s="111"/>
      <c r="AF293" s="28"/>
      <c r="AG293" s="96">
        <f ca="1">F_GAMMA*AG$29</f>
        <v>0.57217930198481592</v>
      </c>
      <c r="AH293" s="111"/>
      <c r="AI293" s="28"/>
      <c r="AJ293" s="96">
        <f ca="1">F_GAMMA*AJ$29</f>
        <v>0.53183282018848232</v>
      </c>
      <c r="AK293" s="111"/>
      <c r="AL293" s="28"/>
      <c r="AM293" s="96">
        <f ca="1">F_GAMMA*AM$29</f>
        <v>0.47566512503094399</v>
      </c>
      <c r="AN293" s="111"/>
      <c r="AO293" s="28"/>
      <c r="AP293" s="96">
        <f ca="1">F_GAMMA*AP$29</f>
        <v>0.59054158265645496</v>
      </c>
      <c r="AQ293" s="111"/>
      <c r="AR293" s="28"/>
      <c r="AS293" s="96">
        <f ca="1">F_GAMMA*AS$29</f>
        <v>0.3766899554102966</v>
      </c>
      <c r="AT293" s="111"/>
      <c r="AU293" s="28"/>
    </row>
    <row r="294" spans="15:47" x14ac:dyDescent="0.25">
      <c r="O294" s="2" t="s">
        <v>145</v>
      </c>
      <c r="P294" s="12"/>
      <c r="Q294" s="2"/>
      <c r="R294" s="96">
        <f ca="1">IF(R289&lt;R293,R291,R292)</f>
        <v>0.18378022657534032</v>
      </c>
      <c r="S294" s="116"/>
      <c r="T294" s="1"/>
      <c r="U294" s="96">
        <f ca="1">IF(U289&lt;U293,U291,U292)</f>
        <v>5.6629946826618029</v>
      </c>
      <c r="V294" s="111"/>
      <c r="W294" s="28"/>
      <c r="X294" s="96">
        <f ca="1">IF(X289&lt;X293,X291,X292)</f>
        <v>13.970003738305779</v>
      </c>
      <c r="Y294" s="111"/>
      <c r="Z294" s="28"/>
      <c r="AA294" s="96">
        <f ca="1">IF(AA289&lt;AA293,AA291,AA292)</f>
        <v>27.744484921526894</v>
      </c>
      <c r="AB294" s="111"/>
      <c r="AC294" s="28"/>
      <c r="AD294" s="96">
        <f ca="1">IF(AD289&lt;AD293,AD291,AD292)</f>
        <v>48.712830669772643</v>
      </c>
      <c r="AE294" s="111"/>
      <c r="AF294" s="28"/>
      <c r="AG294" s="96">
        <f ca="1">IF(AG289&lt;AG293,AG291,AG292)</f>
        <v>77.322210989683214</v>
      </c>
      <c r="AH294" s="111"/>
      <c r="AI294" s="28"/>
      <c r="AJ294" s="96">
        <f ca="1">IF(AJ289&lt;AJ293,AJ291,AJ292)</f>
        <v>117.61296309690846</v>
      </c>
      <c r="AK294" s="111"/>
      <c r="AL294" s="28"/>
      <c r="AM294" s="96">
        <f ca="1">IF(AM289&lt;AM293,AM291,AM292)</f>
        <v>172.74652138314491</v>
      </c>
      <c r="AN294" s="111"/>
      <c r="AO294" s="28"/>
      <c r="AP294" s="96">
        <f ca="1">IF(AP289&lt;AP293,AP291,AP292)</f>
        <v>256.07716180450177</v>
      </c>
      <c r="AQ294" s="111"/>
      <c r="AR294" s="28"/>
      <c r="AS294" s="96">
        <f ca="1">IF(AS289&lt;AS293,AS291,AS292)</f>
        <v>593.09564616401065</v>
      </c>
      <c r="AT294" s="111"/>
      <c r="AU294" s="28"/>
    </row>
    <row r="295" spans="15:47" x14ac:dyDescent="0.25">
      <c r="O295" s="13" t="s">
        <v>143</v>
      </c>
      <c r="P295" s="1"/>
      <c r="Q295" s="1"/>
      <c r="R295" s="113"/>
      <c r="S295" s="106">
        <f ca="1">IF(R288&lt;=0,Q_max,ABS(R$23-R294))</f>
        <v>4.5462197734246601</v>
      </c>
      <c r="T295" s="7">
        <f>R284</f>
        <v>455.08210186522797</v>
      </c>
      <c r="U295" s="98"/>
      <c r="V295" s="106">
        <f ca="1">IF(U288&lt;=0,Q_max,ABS(U$23-U294))</f>
        <v>5.9370053173381967</v>
      </c>
      <c r="W295" s="9">
        <f ca="1">U284</f>
        <v>14005.630107094381</v>
      </c>
      <c r="X295" s="98"/>
      <c r="Y295" s="106">
        <f ca="1">IF(X288&lt;=0,Q_max,ABS(X$23-X294))</f>
        <v>9.0299962616942206</v>
      </c>
      <c r="Z295" s="9">
        <f ca="1">X284</f>
        <v>34294.643509271824</v>
      </c>
      <c r="AA295" s="98"/>
      <c r="AB295" s="106">
        <f ca="1">IF(AA288&lt;=0,Q_max,ABS(AA$23-AA294))</f>
        <v>11.655515078473105</v>
      </c>
      <c r="AC295" s="9">
        <f ca="1">AA284</f>
        <v>66797.212005603447</v>
      </c>
      <c r="AD295" s="98"/>
      <c r="AE295" s="106">
        <f ca="1">IF(AD288&lt;=0,Q_max,ABS(AD$23-AD294))</f>
        <v>12.287169330227357</v>
      </c>
      <c r="AF295" s="9">
        <f ca="1">AD284</f>
        <v>112064.9425664125</v>
      </c>
      <c r="AG295" s="98"/>
      <c r="AH295" s="106">
        <f ca="1">IF(AG288&lt;=0,Q_max,ABS(AG$23-AG294))</f>
        <v>10.877789010316789</v>
      </c>
      <c r="AI295" s="9">
        <f ca="1">AG284</f>
        <v>163561.8358923425</v>
      </c>
      <c r="AJ295" s="98"/>
      <c r="AK295" s="106">
        <f ca="1">IF(AJ288&lt;=0,Q_max,ABS(AJ$23-AJ294))</f>
        <v>3.3870369030915413</v>
      </c>
      <c r="AL295" s="9">
        <f ca="1">AJ284</f>
        <v>218273.90405678478</v>
      </c>
      <c r="AM295" s="98"/>
      <c r="AN295" s="106">
        <f ca="1">IF(AM288&lt;=0,Q_max,ABS(AM$23-AM294))</f>
        <v>7.7465213831449091</v>
      </c>
      <c r="AO295" s="9">
        <f ca="1">AM284</f>
        <v>266335.64371064689</v>
      </c>
      <c r="AP295" s="98"/>
      <c r="AQ295" s="106">
        <f ca="1">IF(AP288&lt;=0,Q_max,ABS(AP$23-AP294))</f>
        <v>10.07716180450177</v>
      </c>
      <c r="AR295" s="9">
        <f ca="1">AP284</f>
        <v>309207.41405654588</v>
      </c>
      <c r="AS295" s="98"/>
      <c r="AT295" s="106">
        <f ca="1">IF(AS288&lt;=0,Q_max,ABS(AS$23-AS294))</f>
        <v>173.09564616401065</v>
      </c>
      <c r="AU295" s="9">
        <f ca="1">AS284</f>
        <v>362570.01057478553</v>
      </c>
    </row>
    <row r="296" spans="15:47" x14ac:dyDescent="0.25">
      <c r="O296" s="21"/>
      <c r="P296" s="14"/>
      <c r="Q296" s="21"/>
      <c r="R296" s="97"/>
      <c r="S296" s="106"/>
      <c r="T296" s="28"/>
      <c r="U296" s="97"/>
      <c r="V296" s="111"/>
      <c r="W296" s="28"/>
      <c r="X296" s="97"/>
      <c r="Y296" s="111"/>
      <c r="Z296" s="28"/>
      <c r="AA296" s="97"/>
      <c r="AB296" s="111"/>
      <c r="AC296" s="28"/>
      <c r="AD296" s="97"/>
      <c r="AE296" s="111"/>
      <c r="AF296" s="28"/>
      <c r="AG296" s="97"/>
      <c r="AH296" s="111"/>
      <c r="AI296" s="28"/>
      <c r="AJ296" s="97"/>
      <c r="AK296" s="111"/>
      <c r="AL296" s="28"/>
      <c r="AM296" s="97"/>
      <c r="AN296" s="111"/>
      <c r="AO296" s="28"/>
      <c r="AP296" s="97"/>
      <c r="AQ296" s="111"/>
      <c r="AR296" s="28"/>
      <c r="AS296" s="97"/>
      <c r="AT296" s="111"/>
      <c r="AU296" s="28"/>
    </row>
    <row r="297" spans="15:47" x14ac:dyDescent="0.25">
      <c r="O297" s="1"/>
      <c r="P297" s="1"/>
      <c r="Q297" s="1"/>
      <c r="R297" s="98"/>
      <c r="S297" s="108" t="s">
        <v>137</v>
      </c>
      <c r="T297" s="26" t="s">
        <v>146</v>
      </c>
      <c r="U297" s="98"/>
      <c r="V297" s="108" t="s">
        <v>137</v>
      </c>
      <c r="W297" s="26" t="s">
        <v>146</v>
      </c>
      <c r="X297" s="98"/>
      <c r="Y297" s="108" t="s">
        <v>137</v>
      </c>
      <c r="Z297" s="26" t="s">
        <v>146</v>
      </c>
      <c r="AA297" s="98"/>
      <c r="AB297" s="108" t="s">
        <v>137</v>
      </c>
      <c r="AC297" s="26" t="s">
        <v>146</v>
      </c>
      <c r="AD297" s="98"/>
      <c r="AE297" s="108" t="s">
        <v>137</v>
      </c>
      <c r="AF297" s="26" t="s">
        <v>146</v>
      </c>
      <c r="AG297" s="98"/>
      <c r="AH297" s="108" t="s">
        <v>137</v>
      </c>
      <c r="AI297" s="26" t="s">
        <v>146</v>
      </c>
      <c r="AJ297" s="98"/>
      <c r="AK297" s="108" t="s">
        <v>137</v>
      </c>
      <c r="AL297" s="26" t="s">
        <v>146</v>
      </c>
      <c r="AM297" s="98"/>
      <c r="AN297" s="108" t="s">
        <v>137</v>
      </c>
      <c r="AO297" s="26" t="s">
        <v>146</v>
      </c>
      <c r="AP297" s="98"/>
      <c r="AQ297" s="108" t="s">
        <v>137</v>
      </c>
      <c r="AR297" s="26" t="s">
        <v>146</v>
      </c>
      <c r="AS297" s="98"/>
      <c r="AT297" s="108" t="s">
        <v>137</v>
      </c>
      <c r="AU297" s="26" t="s">
        <v>146</v>
      </c>
    </row>
    <row r="298" spans="15:47" ht="13.8" x14ac:dyDescent="0.25">
      <c r="O298" s="20" t="s">
        <v>136</v>
      </c>
      <c r="P298" s="1"/>
      <c r="Q298" s="1"/>
      <c r="R298" s="96">
        <f>R284*1.02</f>
        <v>464.18374390253251</v>
      </c>
      <c r="S298" s="109" t="s">
        <v>144</v>
      </c>
      <c r="T298" s="23" t="s">
        <v>147</v>
      </c>
      <c r="U298" s="96">
        <f ca="1">U284*1.01</f>
        <v>14145.686408165326</v>
      </c>
      <c r="V298" s="109" t="s">
        <v>144</v>
      </c>
      <c r="W298" s="23" t="s">
        <v>147</v>
      </c>
      <c r="X298" s="96">
        <f ca="1">X284*1.01</f>
        <v>34637.589944364539</v>
      </c>
      <c r="Y298" s="109" t="s">
        <v>144</v>
      </c>
      <c r="Z298" s="23" t="s">
        <v>147</v>
      </c>
      <c r="AA298" s="96">
        <f ca="1">AA284*1.01</f>
        <v>67465.184125659478</v>
      </c>
      <c r="AB298" s="109" t="s">
        <v>144</v>
      </c>
      <c r="AC298" s="23" t="s">
        <v>147</v>
      </c>
      <c r="AD298" s="96">
        <f ca="1">AD284*1.01</f>
        <v>113185.59199207663</v>
      </c>
      <c r="AE298" s="109" t="s">
        <v>144</v>
      </c>
      <c r="AF298" s="23" t="s">
        <v>147</v>
      </c>
      <c r="AG298" s="96">
        <f ca="1">AG284*1.01</f>
        <v>165197.45425126591</v>
      </c>
      <c r="AH298" s="109" t="s">
        <v>144</v>
      </c>
      <c r="AI298" s="23" t="s">
        <v>147</v>
      </c>
      <c r="AJ298" s="96">
        <f ca="1">AJ284*1.01</f>
        <v>220456.64309735264</v>
      </c>
      <c r="AK298" s="109" t="s">
        <v>144</v>
      </c>
      <c r="AL298" s="23" t="s">
        <v>147</v>
      </c>
      <c r="AM298" s="96">
        <f ca="1">AM284*1.01</f>
        <v>268999.0001477534</v>
      </c>
      <c r="AN298" s="109" t="s">
        <v>144</v>
      </c>
      <c r="AO298" s="23" t="s">
        <v>147</v>
      </c>
      <c r="AP298" s="96">
        <f ca="1">AP284*1.01</f>
        <v>312299.48819711135</v>
      </c>
      <c r="AQ298" s="109" t="s">
        <v>144</v>
      </c>
      <c r="AR298" s="23" t="s">
        <v>147</v>
      </c>
      <c r="AS298" s="96">
        <f ca="1">AS284*1.01</f>
        <v>366195.71068053338</v>
      </c>
      <c r="AT298" s="109" t="s">
        <v>144</v>
      </c>
      <c r="AU298" s="23" t="s">
        <v>147</v>
      </c>
    </row>
    <row r="299" spans="15:47" x14ac:dyDescent="0.25">
      <c r="O299" s="1"/>
      <c r="P299" s="1"/>
      <c r="Q299" s="1"/>
      <c r="R299" s="98"/>
      <c r="S299" s="107"/>
      <c r="T299" s="1"/>
      <c r="U299" s="47"/>
      <c r="V299" s="107"/>
      <c r="W299" s="1"/>
      <c r="X299" s="47"/>
      <c r="Y299" s="107"/>
      <c r="Z299" s="1"/>
      <c r="AA299" s="47"/>
      <c r="AB299" s="107"/>
      <c r="AC299" s="1"/>
      <c r="AD299" s="47"/>
      <c r="AE299" s="107"/>
      <c r="AF299" s="1"/>
      <c r="AG299" s="47"/>
      <c r="AH299" s="107"/>
      <c r="AI299" s="1"/>
      <c r="AJ299" s="47"/>
      <c r="AK299" s="107"/>
      <c r="AL299" s="1"/>
      <c r="AM299" s="47"/>
      <c r="AN299" s="107"/>
      <c r="AO299" s="1"/>
      <c r="AP299" s="47"/>
      <c r="AQ299" s="107"/>
      <c r="AR299" s="1"/>
      <c r="AS299" s="47"/>
      <c r="AT299" s="107"/>
      <c r="AU299" s="1"/>
    </row>
    <row r="300" spans="15:47" x14ac:dyDescent="0.25">
      <c r="O300" s="8" t="s">
        <v>132</v>
      </c>
      <c r="P300" s="8"/>
      <c r="Q300" s="8"/>
      <c r="R300" s="96">
        <f>P_1_minQ-(R298^2*R_up)+dpup_minQ</f>
        <v>90.185001259126153</v>
      </c>
      <c r="S300" s="106"/>
      <c r="T300" s="22"/>
      <c r="U300" s="96">
        <f ca="1">P_1_minQ-(U298^2*R_up)+dpup_minQ</f>
        <v>90.148570041008</v>
      </c>
      <c r="V300" s="107"/>
      <c r="W300" s="1"/>
      <c r="X300" s="96">
        <f ca="1">P_1_minQ-(X298^2*R_up)+dpup_minQ</f>
        <v>89.966370698782853</v>
      </c>
      <c r="Y300" s="107"/>
      <c r="Z300" s="1"/>
      <c r="AA300" s="96">
        <f ca="1">P_1_minQ-(AA298^2*R_up)+dpup_minQ</f>
        <v>89.355470685021416</v>
      </c>
      <c r="AB300" s="107"/>
      <c r="AC300" s="1"/>
      <c r="AD300" s="96">
        <f ca="1">P_1_minQ-(AD298^2*R_up)+dpup_minQ</f>
        <v>87.850099963840591</v>
      </c>
      <c r="AE300" s="107"/>
      <c r="AF300" s="1"/>
      <c r="AG300" s="96">
        <f ca="1">P_1_minQ-(AG298^2*R_up)+dpup_minQ</f>
        <v>85.211104013504851</v>
      </c>
      <c r="AH300" s="107"/>
      <c r="AI300" s="1"/>
      <c r="AJ300" s="96">
        <f ca="1">P_1_minQ-(AJ298^2*R_up)+dpup_minQ</f>
        <v>81.326954020258114</v>
      </c>
      <c r="AK300" s="107"/>
      <c r="AL300" s="1"/>
      <c r="AM300" s="96">
        <f ca="1">P_1_minQ-(AM298^2*R_up)+dpup_minQ</f>
        <v>76.996556776533325</v>
      </c>
      <c r="AN300" s="107"/>
      <c r="AO300" s="1"/>
      <c r="AP300" s="96">
        <f ca="1">P_1_minQ-(AP298^2*R_up)+dpup_minQ</f>
        <v>72.408957007915404</v>
      </c>
      <c r="AQ300" s="107"/>
      <c r="AR300" s="1"/>
      <c r="AS300" s="96">
        <f ca="1">P_1_minQ-(AS298^2*R_up)+dpup_minQ</f>
        <v>65.743980190423727</v>
      </c>
      <c r="AT300" s="107"/>
      <c r="AU300" s="1"/>
    </row>
    <row r="301" spans="15:47" x14ac:dyDescent="0.25">
      <c r="O301" s="8" t="s">
        <v>134</v>
      </c>
      <c r="P301" s="1"/>
      <c r="Q301" s="8"/>
      <c r="R301" s="97">
        <f>P_2_minQ+(R298^2*R_dn)-dpdn_minQ</f>
        <v>60</v>
      </c>
      <c r="S301" s="106"/>
      <c r="T301" s="22"/>
      <c r="U301" s="97">
        <f ca="1">P_2_minQ+(U298^2*R_dn)-dpdn_minQ</f>
        <v>60</v>
      </c>
      <c r="V301" s="107"/>
      <c r="W301" s="1"/>
      <c r="X301" s="97">
        <f ca="1">P_2_minQ+(X298^2*R_dn)-dpdn_minQ</f>
        <v>60</v>
      </c>
      <c r="Y301" s="107"/>
      <c r="Z301" s="1"/>
      <c r="AA301" s="97">
        <f ca="1">P_2_minQ+(AA298^2*R_dn)-dpdn_minQ</f>
        <v>60</v>
      </c>
      <c r="AB301" s="107"/>
      <c r="AC301" s="1"/>
      <c r="AD301" s="97">
        <f ca="1">P_2_minQ+(AD298^2*R_dn)-dpdn_minQ</f>
        <v>60</v>
      </c>
      <c r="AE301" s="107"/>
      <c r="AF301" s="1"/>
      <c r="AG301" s="97">
        <f ca="1">P_2_minQ+(AG298^2*R_dn)-dpdn_minQ</f>
        <v>60</v>
      </c>
      <c r="AH301" s="107"/>
      <c r="AI301" s="1"/>
      <c r="AJ301" s="97">
        <f ca="1">P_2_minQ+(AJ298^2*R_dn)-dpdn_minQ</f>
        <v>60</v>
      </c>
      <c r="AK301" s="107"/>
      <c r="AL301" s="1"/>
      <c r="AM301" s="97">
        <f ca="1">P_2_minQ+(AM298^2*R_dn)-dpdn_minQ</f>
        <v>60</v>
      </c>
      <c r="AN301" s="107"/>
      <c r="AO301" s="1"/>
      <c r="AP301" s="97">
        <f ca="1">P_2_minQ+(AP298^2*R_dn)-dpdn_minQ</f>
        <v>60</v>
      </c>
      <c r="AQ301" s="107"/>
      <c r="AR301" s="1"/>
      <c r="AS301" s="97">
        <f ca="1">P_2_minQ+(AS298^2*R_dn)-dpdn_minQ</f>
        <v>60</v>
      </c>
      <c r="AT301" s="107"/>
      <c r="AU301" s="1"/>
    </row>
    <row r="302" spans="15:47" x14ac:dyDescent="0.25">
      <c r="O302" s="8" t="s">
        <v>138</v>
      </c>
      <c r="P302" s="1"/>
      <c r="Q302" s="8"/>
      <c r="R302" s="97">
        <f>R300-R301</f>
        <v>30.185001259126153</v>
      </c>
      <c r="S302" s="106"/>
      <c r="T302" s="22"/>
      <c r="U302" s="97">
        <f ca="1">U300-U301</f>
        <v>30.148570041008</v>
      </c>
      <c r="V302" s="110"/>
      <c r="W302" s="25"/>
      <c r="X302" s="97">
        <f ca="1">X300-X301</f>
        <v>29.966370698782853</v>
      </c>
      <c r="Y302" s="110"/>
      <c r="Z302" s="25"/>
      <c r="AA302" s="97">
        <f ca="1">AA300-AA301</f>
        <v>29.355470685021416</v>
      </c>
      <c r="AB302" s="110"/>
      <c r="AC302" s="25"/>
      <c r="AD302" s="97">
        <f ca="1">AD300-AD301</f>
        <v>27.850099963840591</v>
      </c>
      <c r="AE302" s="110"/>
      <c r="AF302" s="25"/>
      <c r="AG302" s="97">
        <f ca="1">AG300-AG301</f>
        <v>25.211104013504851</v>
      </c>
      <c r="AH302" s="110"/>
      <c r="AI302" s="25"/>
      <c r="AJ302" s="97">
        <f ca="1">AJ300-AJ301</f>
        <v>21.326954020258114</v>
      </c>
      <c r="AK302" s="110"/>
      <c r="AL302" s="25"/>
      <c r="AM302" s="97">
        <f ca="1">AM300-AM301</f>
        <v>16.996556776533325</v>
      </c>
      <c r="AN302" s="110"/>
      <c r="AO302" s="25"/>
      <c r="AP302" s="97">
        <f ca="1">AP300-AP301</f>
        <v>12.408957007915404</v>
      </c>
      <c r="AQ302" s="110"/>
      <c r="AR302" s="25"/>
      <c r="AS302" s="97">
        <f ca="1">AS300-AS301</f>
        <v>5.7439801904237271</v>
      </c>
      <c r="AT302" s="110"/>
      <c r="AU302" s="25"/>
    </row>
    <row r="303" spans="15:47" ht="14.4" x14ac:dyDescent="0.3">
      <c r="O303" s="2" t="s">
        <v>140</v>
      </c>
      <c r="P303" s="11"/>
      <c r="Q303" s="2"/>
      <c r="R303" s="96">
        <f>R302/R300</f>
        <v>0.33470090189827018</v>
      </c>
      <c r="S303" s="106"/>
      <c r="T303" s="22"/>
      <c r="U303" s="96">
        <f ca="1">U302/U300</f>
        <v>0.33443203843714447</v>
      </c>
      <c r="V303" s="111"/>
      <c r="W303" s="28"/>
      <c r="X303" s="96">
        <f ca="1">X302/X300</f>
        <v>0.33308413428294786</v>
      </c>
      <c r="Y303" s="111"/>
      <c r="Z303" s="28"/>
      <c r="AA303" s="96">
        <f ca="1">AA302/AA300</f>
        <v>0.3285246047049501</v>
      </c>
      <c r="AB303" s="111"/>
      <c r="AC303" s="28"/>
      <c r="AD303" s="96">
        <f ca="1">AD302/AD300</f>
        <v>0.31701842087036658</v>
      </c>
      <c r="AE303" s="111"/>
      <c r="AF303" s="28"/>
      <c r="AG303" s="96">
        <f ca="1">AG302/AG300</f>
        <v>0.29586641677015729</v>
      </c>
      <c r="AH303" s="111"/>
      <c r="AI303" s="28"/>
      <c r="AJ303" s="96">
        <f ca="1">AJ302/AJ300</f>
        <v>0.26223721615032675</v>
      </c>
      <c r="AK303" s="111"/>
      <c r="AL303" s="28"/>
      <c r="AM303" s="96">
        <f ca="1">AM302/AM300</f>
        <v>0.22074437465901672</v>
      </c>
      <c r="AN303" s="111"/>
      <c r="AO303" s="28"/>
      <c r="AP303" s="96">
        <f ca="1">AP302/AP300</f>
        <v>0.1713732322723405</v>
      </c>
      <c r="AQ303" s="111"/>
      <c r="AR303" s="28"/>
      <c r="AS303" s="96">
        <f ca="1">AS302/AS300</f>
        <v>8.7368914595474939E-2</v>
      </c>
      <c r="AT303" s="111"/>
      <c r="AU303" s="28"/>
    </row>
    <row r="304" spans="15:47" x14ac:dyDescent="0.25">
      <c r="O304" s="2" t="s">
        <v>21</v>
      </c>
      <c r="P304" s="8">
        <v>12</v>
      </c>
      <c r="Q304" s="2"/>
      <c r="R304" s="96">
        <f ca="1">1-R303/(3*F_GAMMA*R$29)</f>
        <v>0.82568470223675816</v>
      </c>
      <c r="S304" s="106"/>
      <c r="T304" s="22"/>
      <c r="U304" s="96">
        <f ca="1">1-U303/(3*F_GAMMA*U$29)</f>
        <v>0.82586519232660982</v>
      </c>
      <c r="V304" s="111"/>
      <c r="W304" s="28"/>
      <c r="X304" s="96">
        <f ca="1">1-X303/(3*F_GAMMA*X$29)</f>
        <v>0.82491521454337668</v>
      </c>
      <c r="Y304" s="111"/>
      <c r="Z304" s="28"/>
      <c r="AA304" s="96">
        <f ca="1">1-AA303/(3*F_GAMMA*AA$29)</f>
        <v>0.82487769381826814</v>
      </c>
      <c r="AB304" s="111"/>
      <c r="AC304" s="28"/>
      <c r="AD304" s="96">
        <f ca="1">1-AD303/(3*F_GAMMA*AD$29)</f>
        <v>0.82577009351148178</v>
      </c>
      <c r="AE304" s="111"/>
      <c r="AF304" s="28"/>
      <c r="AG304" s="96">
        <f ca="1">1-AG303/(3*F_GAMMA*AG$29)</f>
        <v>0.82763770275981963</v>
      </c>
      <c r="AH304" s="111"/>
      <c r="AI304" s="28"/>
      <c r="AJ304" s="96">
        <f ca="1">1-AJ303/(3*F_GAMMA*AJ$29)</f>
        <v>0.83563931734701302</v>
      </c>
      <c r="AK304" s="111"/>
      <c r="AL304" s="28"/>
      <c r="AM304" s="96">
        <f ca="1">1-AM303/(3*F_GAMMA*AM$29)</f>
        <v>0.84530827603792591</v>
      </c>
      <c r="AN304" s="111"/>
      <c r="AO304" s="28"/>
      <c r="AP304" s="96">
        <f ca="1">1-AP303/(3*F_GAMMA*AP$29)</f>
        <v>0.90326775889263888</v>
      </c>
      <c r="AQ304" s="111"/>
      <c r="AR304" s="28"/>
      <c r="AS304" s="96">
        <f ca="1">1-AS303/(3*F_GAMMA*AS$29)</f>
        <v>0.92268715660309075</v>
      </c>
      <c r="AT304" s="111"/>
      <c r="AU304" s="28"/>
    </row>
    <row r="305" spans="15:47" x14ac:dyDescent="0.25">
      <c r="O305" s="2" t="s">
        <v>57</v>
      </c>
      <c r="P305" s="143">
        <v>7</v>
      </c>
      <c r="Q305" s="2"/>
      <c r="R305" s="96">
        <f ca="1">(R298/(N_9*R$27*R300*R304))*SQRT(M*'Valve Sizing'!$W$6*'Valve Sizing'!$G$8/R303)</f>
        <v>0.18745583609668398</v>
      </c>
      <c r="S305" s="107"/>
      <c r="T305" s="22"/>
      <c r="U305" s="96">
        <f ca="1">(U298/(N_9*U$27*U300*U304))*SQRT(M*'Valve Sizing'!$W$6*'Valve Sizing'!$G$8/U303)</f>
        <v>5.7196964594279693</v>
      </c>
      <c r="V305" s="111"/>
      <c r="W305" s="28"/>
      <c r="X305" s="96">
        <f ca="1">(X298/(N_9*X$27*X300*X304))*SQRT(M*'Valve Sizing'!$W$6*'Valve Sizing'!$G$8/X303)</f>
        <v>14.110768816796096</v>
      </c>
      <c r="Y305" s="111"/>
      <c r="Z305" s="28"/>
      <c r="AA305" s="96">
        <f ca="1">(AA298/(N_9*AA$27*AA300*AA304))*SQRT(M*'Valve Sizing'!$W$6*'Valve Sizing'!$G$8/AA303)</f>
        <v>28.030069200873452</v>
      </c>
      <c r="AB305" s="111"/>
      <c r="AC305" s="28"/>
      <c r="AD305" s="96">
        <f ca="1">(AD298/(N_9*AD$27*AD300*AD304))*SQRT(M*'Valve Sizing'!$W$6*'Valve Sizing'!$G$8/AD303)</f>
        <v>49.241753908453511</v>
      </c>
      <c r="AE305" s="111"/>
      <c r="AF305" s="28"/>
      <c r="AG305" s="96">
        <f ca="1">(AG298/(N_9*AG$27*AG300*AG304))*SQRT(M*'Valve Sizing'!$W$6*'Valve Sizing'!$G$8/AG303)</f>
        <v>78.247486405373834</v>
      </c>
      <c r="AH305" s="111"/>
      <c r="AI305" s="28"/>
      <c r="AJ305" s="96">
        <f ca="1">(AJ298/(N_9*AJ$27*AJ300*AJ304))*SQRT(M*'Valve Sizing'!$W$6*'Valve Sizing'!$G$8/AJ303)</f>
        <v>119.26061198347631</v>
      </c>
      <c r="AK305" s="111"/>
      <c r="AL305" s="28"/>
      <c r="AM305" s="96">
        <f ca="1">(AM298/(N_9*AM$27*AM300*AM304))*SQRT(M*'Valve Sizing'!$W$6*'Valve Sizing'!$G$8/AM303)</f>
        <v>175.71647773773583</v>
      </c>
      <c r="AN305" s="111"/>
      <c r="AO305" s="28"/>
      <c r="AP305" s="96">
        <f ca="1">(AP298/(N_9*AP$27*AP300*AP304))*SQRT(M*'Valve Sizing'!$W$6*'Valve Sizing'!$G$8/AP303)</f>
        <v>262.24095322886944</v>
      </c>
      <c r="AQ305" s="111"/>
      <c r="AR305" s="28"/>
      <c r="AS305" s="96">
        <f ca="1">(AS298/(N_9*AS$27*AS300*AS304))*SQRT(M*'Valve Sizing'!$W$6*'Valve Sizing'!$G$8/AS303)</f>
        <v>621.92909037819493</v>
      </c>
      <c r="AT305" s="111"/>
      <c r="AU305" s="28"/>
    </row>
    <row r="306" spans="15:47" x14ac:dyDescent="0.25">
      <c r="O306" s="2" t="s">
        <v>59</v>
      </c>
      <c r="P306" s="143">
        <v>7</v>
      </c>
      <c r="Q306" s="2"/>
      <c r="R306" s="96">
        <f ca="1">(R298/(N_9*R$27*R300*0.667))*SQRT(M*'Valve Sizing'!$W$6*'Valve Sizing'!$G$8/R307)</f>
        <v>0.16780919296293056</v>
      </c>
      <c r="S306" s="107"/>
      <c r="T306" s="22"/>
      <c r="U306" s="96">
        <f ca="1">(U298/(N_9*U$27*U300*0.667))*SQRT(M*'Valve Sizing'!$W$6*'Valve Sizing'!$G$8/U307)</f>
        <v>5.118700658244312</v>
      </c>
      <c r="V306" s="111"/>
      <c r="W306" s="28"/>
      <c r="X306" s="96">
        <f ca="1">(X298/(N_9*X$27*X300*0.667))*SQRT(M*'Valve Sizing'!$W$6*'Valve Sizing'!$G$8/X307)</f>
        <v>12.647916448020142</v>
      </c>
      <c r="Y306" s="111"/>
      <c r="Z306" s="28"/>
      <c r="AA306" s="96">
        <f ca="1">(AA298/(N_9*AA$27*AA300*0.667))*SQRT(M*'Valve Sizing'!$W$6*'Valve Sizing'!$G$8/AA307)</f>
        <v>25.125762884549037</v>
      </c>
      <c r="AB306" s="111"/>
      <c r="AC306" s="28"/>
      <c r="AD306" s="96">
        <f ca="1">(AD298/(N_9*AD$27*AD300*0.667))*SQRT(M*'Valve Sizing'!$W$6*'Valve Sizing'!$G$8/AD307)</f>
        <v>44.074643562413861</v>
      </c>
      <c r="AE306" s="111"/>
      <c r="AF306" s="28"/>
      <c r="AG306" s="96">
        <f ca="1">(AG298/(N_9*AG$27*AG300*0.667))*SQRT(M*'Valve Sizing'!$W$6*'Valve Sizing'!$G$8/AG307)</f>
        <v>69.817869511565476</v>
      </c>
      <c r="AH306" s="111"/>
      <c r="AI306" s="28"/>
      <c r="AJ306" s="96">
        <f ca="1">(AJ298/(N_9*AJ$27*AJ300*0.667))*SQRT(M*'Valve Sizing'!$W$6*'Valve Sizing'!$G$8/AJ307)</f>
        <v>104.91791727778234</v>
      </c>
      <c r="AK306" s="111"/>
      <c r="AL306" s="28"/>
      <c r="AM306" s="96">
        <f ca="1">(AM298/(N_9*AM$27*AM300*0.667))*SQRT(M*'Valve Sizing'!$W$6*'Valve Sizing'!$G$8/AM307)</f>
        <v>151.70361970848683</v>
      </c>
      <c r="AN306" s="111"/>
      <c r="AO306" s="28"/>
      <c r="AP306" s="96">
        <f ca="1">(AP298/(N_9*AP$27*AP300*0.667))*SQRT(M*'Valve Sizing'!$W$6*'Valve Sizing'!$G$8/AP307)</f>
        <v>191.30989881928181</v>
      </c>
      <c r="AQ306" s="111"/>
      <c r="AR306" s="28"/>
      <c r="AS306" s="96">
        <f ca="1">(AS298/(N_9*AS$27*AS300*0.667))*SQRT(M*'Valve Sizing'!$W$6*'Valve Sizing'!$G$8/AS307)</f>
        <v>414.33914263814177</v>
      </c>
      <c r="AT306" s="111"/>
      <c r="AU306" s="28"/>
    </row>
    <row r="307" spans="15:47" ht="15.6" x14ac:dyDescent="0.35">
      <c r="O307" s="2" t="s">
        <v>68</v>
      </c>
      <c r="P307" s="143">
        <v>10</v>
      </c>
      <c r="Q307" s="2"/>
      <c r="R307" s="96">
        <f ca="1">F_GAMMA*R$29</f>
        <v>0.64002969751372984</v>
      </c>
      <c r="S307" s="107"/>
      <c r="T307" s="1"/>
      <c r="U307" s="96">
        <f ca="1">F_GAMMA*U$29</f>
        <v>0.64017842058782071</v>
      </c>
      <c r="V307" s="111"/>
      <c r="W307" s="28"/>
      <c r="X307" s="96">
        <f ca="1">F_GAMMA*X$29</f>
        <v>0.63413873724904268</v>
      </c>
      <c r="Y307" s="111"/>
      <c r="Z307" s="28"/>
      <c r="AA307" s="96">
        <f ca="1">F_GAMMA*AA$29</f>
        <v>0.62532411750377137</v>
      </c>
      <c r="AB307" s="111"/>
      <c r="AC307" s="28"/>
      <c r="AD307" s="96">
        <f ca="1">F_GAMMA*AD$29</f>
        <v>0.60651359509139569</v>
      </c>
      <c r="AE307" s="111"/>
      <c r="AF307" s="28"/>
      <c r="AG307" s="96">
        <f ca="1">F_GAMMA*AG$29</f>
        <v>0.57217930198481592</v>
      </c>
      <c r="AH307" s="111"/>
      <c r="AI307" s="28"/>
      <c r="AJ307" s="96">
        <f ca="1">F_GAMMA*AJ$29</f>
        <v>0.53183282018848232</v>
      </c>
      <c r="AK307" s="111"/>
      <c r="AL307" s="28"/>
      <c r="AM307" s="96">
        <f ca="1">F_GAMMA*AM$29</f>
        <v>0.47566512503094399</v>
      </c>
      <c r="AN307" s="111"/>
      <c r="AO307" s="28"/>
      <c r="AP307" s="96">
        <f ca="1">F_GAMMA*AP$29</f>
        <v>0.59054158265645496</v>
      </c>
      <c r="AQ307" s="111"/>
      <c r="AR307" s="28"/>
      <c r="AS307" s="96">
        <f ca="1">F_GAMMA*AS$29</f>
        <v>0.3766899554102966</v>
      </c>
      <c r="AT307" s="111"/>
      <c r="AU307" s="28"/>
    </row>
    <row r="308" spans="15:47" x14ac:dyDescent="0.25">
      <c r="O308" s="2" t="s">
        <v>145</v>
      </c>
      <c r="P308" s="12"/>
      <c r="Q308" s="2"/>
      <c r="R308" s="96">
        <f ca="1">IF(R303&lt;R307,R305,R306)</f>
        <v>0.18745583609668398</v>
      </c>
      <c r="S308" s="116"/>
      <c r="T308" s="1"/>
      <c r="U308" s="96">
        <f ca="1">IF(U303&lt;U307,U305,U306)</f>
        <v>5.7196964594279693</v>
      </c>
      <c r="V308" s="111"/>
      <c r="W308" s="28"/>
      <c r="X308" s="96">
        <f ca="1">IF(X303&lt;X307,X305,X306)</f>
        <v>14.110768816796096</v>
      </c>
      <c r="Y308" s="111"/>
      <c r="Z308" s="28"/>
      <c r="AA308" s="96">
        <f ca="1">IF(AA303&lt;AA307,AA305,AA306)</f>
        <v>28.030069200873452</v>
      </c>
      <c r="AB308" s="111"/>
      <c r="AC308" s="28"/>
      <c r="AD308" s="96">
        <f ca="1">IF(AD303&lt;AD307,AD305,AD306)</f>
        <v>49.241753908453511</v>
      </c>
      <c r="AE308" s="111"/>
      <c r="AF308" s="28"/>
      <c r="AG308" s="96">
        <f ca="1">IF(AG303&lt;AG307,AG305,AG306)</f>
        <v>78.247486405373834</v>
      </c>
      <c r="AH308" s="111"/>
      <c r="AI308" s="28"/>
      <c r="AJ308" s="96">
        <f ca="1">IF(AJ303&lt;AJ307,AJ305,AJ306)</f>
        <v>119.26061198347631</v>
      </c>
      <c r="AK308" s="111"/>
      <c r="AL308" s="28"/>
      <c r="AM308" s="96">
        <f ca="1">IF(AM303&lt;AM307,AM305,AM306)</f>
        <v>175.71647773773583</v>
      </c>
      <c r="AN308" s="111"/>
      <c r="AO308" s="28"/>
      <c r="AP308" s="96">
        <f ca="1">IF(AP303&lt;AP307,AP305,AP306)</f>
        <v>262.24095322886944</v>
      </c>
      <c r="AQ308" s="111"/>
      <c r="AR308" s="28"/>
      <c r="AS308" s="96">
        <f ca="1">IF(AS303&lt;AS307,AS305,AS306)</f>
        <v>621.92909037819493</v>
      </c>
      <c r="AT308" s="111"/>
      <c r="AU308" s="28"/>
    </row>
    <row r="309" spans="15:47" x14ac:dyDescent="0.25">
      <c r="O309" s="13" t="s">
        <v>143</v>
      </c>
      <c r="P309" s="1"/>
      <c r="Q309" s="1"/>
      <c r="R309" s="113"/>
      <c r="S309" s="106">
        <f ca="1">IF(R302&lt;=0,Q_max,ABS(R$23-R308))</f>
        <v>4.5425441639033162</v>
      </c>
      <c r="T309" s="7">
        <f>R298</f>
        <v>464.18374390253251</v>
      </c>
      <c r="U309" s="98"/>
      <c r="V309" s="106">
        <f ca="1">IF(U302&lt;=0,Q_max,ABS(U$23-U308))</f>
        <v>5.8803035405720303</v>
      </c>
      <c r="W309" s="9">
        <f ca="1">U298</f>
        <v>14145.686408165326</v>
      </c>
      <c r="X309" s="98"/>
      <c r="Y309" s="106">
        <f ca="1">IF(X302&lt;=0,Q_max,ABS(X$23-X308))</f>
        <v>8.8892311832039042</v>
      </c>
      <c r="Z309" s="9">
        <f ca="1">X298</f>
        <v>34637.589944364539</v>
      </c>
      <c r="AA309" s="98"/>
      <c r="AB309" s="106">
        <f ca="1">IF(AA302&lt;=0,Q_max,ABS(AA$23-AA308))</f>
        <v>11.369930799126546</v>
      </c>
      <c r="AC309" s="9">
        <f ca="1">AA298</f>
        <v>67465.184125659478</v>
      </c>
      <c r="AD309" s="98"/>
      <c r="AE309" s="106">
        <f ca="1">IF(AD302&lt;=0,Q_max,ABS(AD$23-AD308))</f>
        <v>11.758246091546489</v>
      </c>
      <c r="AF309" s="9">
        <f ca="1">AD298</f>
        <v>113185.59199207663</v>
      </c>
      <c r="AG309" s="98"/>
      <c r="AH309" s="106">
        <f ca="1">IF(AG302&lt;=0,Q_max,ABS(AG$23-AG308))</f>
        <v>9.9525135946261685</v>
      </c>
      <c r="AI309" s="9">
        <f ca="1">AG298</f>
        <v>165197.45425126591</v>
      </c>
      <c r="AJ309" s="98"/>
      <c r="AK309" s="106">
        <f ca="1">IF(AJ302&lt;=0,Q_max,ABS(AJ$23-AJ308))</f>
        <v>1.7393880165236908</v>
      </c>
      <c r="AL309" s="9">
        <f ca="1">AJ298</f>
        <v>220456.64309735264</v>
      </c>
      <c r="AM309" s="98"/>
      <c r="AN309" s="106">
        <f ca="1">IF(AM302&lt;=0,Q_max,ABS(AM$23-AM308))</f>
        <v>10.716477737735829</v>
      </c>
      <c r="AO309" s="9">
        <f ca="1">AM298</f>
        <v>268999.0001477534</v>
      </c>
      <c r="AP309" s="98"/>
      <c r="AQ309" s="106">
        <f ca="1">IF(AP302&lt;=0,Q_max,ABS(AP$23-AP308))</f>
        <v>16.240953228869444</v>
      </c>
      <c r="AR309" s="9">
        <f ca="1">AP298</f>
        <v>312299.48819711135</v>
      </c>
      <c r="AS309" s="98"/>
      <c r="AT309" s="106">
        <f ca="1">IF(AS302&lt;=0,Q_max,ABS(AS$23-AS308))</f>
        <v>201.92909037819493</v>
      </c>
      <c r="AU309" s="9">
        <f ca="1">AS298</f>
        <v>366195.71068053338</v>
      </c>
    </row>
    <row r="310" spans="15:47" x14ac:dyDescent="0.25">
      <c r="O310" s="21"/>
      <c r="P310" s="14"/>
      <c r="Q310" s="21"/>
      <c r="R310" s="97"/>
      <c r="S310" s="106"/>
      <c r="T310" s="28"/>
      <c r="U310" s="97"/>
      <c r="V310" s="111"/>
      <c r="W310" s="28"/>
      <c r="X310" s="97"/>
      <c r="Y310" s="111"/>
      <c r="Z310" s="28"/>
      <c r="AA310" s="97"/>
      <c r="AB310" s="111"/>
      <c r="AC310" s="28"/>
      <c r="AD310" s="97"/>
      <c r="AE310" s="111"/>
      <c r="AF310" s="28"/>
      <c r="AG310" s="97"/>
      <c r="AH310" s="111"/>
      <c r="AI310" s="28"/>
      <c r="AJ310" s="97"/>
      <c r="AK310" s="111"/>
      <c r="AL310" s="28"/>
      <c r="AM310" s="97"/>
      <c r="AN310" s="111"/>
      <c r="AO310" s="28"/>
      <c r="AP310" s="97"/>
      <c r="AQ310" s="111"/>
      <c r="AR310" s="28"/>
      <c r="AS310" s="97"/>
      <c r="AT310" s="111"/>
      <c r="AU310" s="28"/>
    </row>
    <row r="311" spans="15:47" x14ac:dyDescent="0.25">
      <c r="O311" s="1"/>
      <c r="P311" s="1"/>
      <c r="Q311" s="1"/>
      <c r="R311" s="98"/>
      <c r="S311" s="108" t="s">
        <v>137</v>
      </c>
      <c r="T311" s="26" t="s">
        <v>146</v>
      </c>
      <c r="U311" s="98"/>
      <c r="V311" s="108" t="s">
        <v>137</v>
      </c>
      <c r="W311" s="26" t="s">
        <v>146</v>
      </c>
      <c r="X311" s="98"/>
      <c r="Y311" s="108" t="s">
        <v>137</v>
      </c>
      <c r="Z311" s="26" t="s">
        <v>146</v>
      </c>
      <c r="AA311" s="98"/>
      <c r="AB311" s="108" t="s">
        <v>137</v>
      </c>
      <c r="AC311" s="26" t="s">
        <v>146</v>
      </c>
      <c r="AD311" s="98"/>
      <c r="AE311" s="108" t="s">
        <v>137</v>
      </c>
      <c r="AF311" s="26" t="s">
        <v>146</v>
      </c>
      <c r="AG311" s="98"/>
      <c r="AH311" s="108" t="s">
        <v>137</v>
      </c>
      <c r="AI311" s="26" t="s">
        <v>146</v>
      </c>
      <c r="AJ311" s="98"/>
      <c r="AK311" s="108" t="s">
        <v>137</v>
      </c>
      <c r="AL311" s="26" t="s">
        <v>146</v>
      </c>
      <c r="AM311" s="98"/>
      <c r="AN311" s="108" t="s">
        <v>137</v>
      </c>
      <c r="AO311" s="26" t="s">
        <v>146</v>
      </c>
      <c r="AP311" s="98"/>
      <c r="AQ311" s="108" t="s">
        <v>137</v>
      </c>
      <c r="AR311" s="26" t="s">
        <v>146</v>
      </c>
      <c r="AS311" s="98"/>
      <c r="AT311" s="108" t="s">
        <v>137</v>
      </c>
      <c r="AU311" s="26" t="s">
        <v>146</v>
      </c>
    </row>
    <row r="312" spans="15:47" ht="13.8" x14ac:dyDescent="0.25">
      <c r="O312" s="20" t="s">
        <v>136</v>
      </c>
      <c r="P312" s="1"/>
      <c r="Q312" s="1"/>
      <c r="R312" s="96">
        <f>R298*1.02</f>
        <v>473.46741878058316</v>
      </c>
      <c r="S312" s="109" t="s">
        <v>144</v>
      </c>
      <c r="T312" s="23" t="s">
        <v>147</v>
      </c>
      <c r="U312" s="96">
        <f ca="1">U298*1.01</f>
        <v>14287.14327224698</v>
      </c>
      <c r="V312" s="109" t="s">
        <v>144</v>
      </c>
      <c r="W312" s="23" t="s">
        <v>147</v>
      </c>
      <c r="X312" s="96">
        <f ca="1">X298*1.01</f>
        <v>34983.965843808182</v>
      </c>
      <c r="Y312" s="109" t="s">
        <v>144</v>
      </c>
      <c r="Z312" s="23" t="s">
        <v>147</v>
      </c>
      <c r="AA312" s="96">
        <f ca="1">AA298*1.01</f>
        <v>68139.835966916071</v>
      </c>
      <c r="AB312" s="109" t="s">
        <v>144</v>
      </c>
      <c r="AC312" s="23" t="s">
        <v>147</v>
      </c>
      <c r="AD312" s="96">
        <f ca="1">AD298*1.01</f>
        <v>114317.4479119974</v>
      </c>
      <c r="AE312" s="109" t="s">
        <v>144</v>
      </c>
      <c r="AF312" s="23" t="s">
        <v>147</v>
      </c>
      <c r="AG312" s="96">
        <f ca="1">AG298*1.01</f>
        <v>166849.42879377858</v>
      </c>
      <c r="AH312" s="109" t="s">
        <v>144</v>
      </c>
      <c r="AI312" s="23" t="s">
        <v>147</v>
      </c>
      <c r="AJ312" s="96">
        <f ca="1">AJ298*1.01</f>
        <v>222661.20952832617</v>
      </c>
      <c r="AK312" s="109" t="s">
        <v>144</v>
      </c>
      <c r="AL312" s="23" t="s">
        <v>147</v>
      </c>
      <c r="AM312" s="96">
        <f ca="1">AM298*1.01</f>
        <v>271688.99014923093</v>
      </c>
      <c r="AN312" s="109" t="s">
        <v>144</v>
      </c>
      <c r="AO312" s="23" t="s">
        <v>147</v>
      </c>
      <c r="AP312" s="96">
        <f ca="1">AP298*1.01</f>
        <v>315422.48307908245</v>
      </c>
      <c r="AQ312" s="109" t="s">
        <v>144</v>
      </c>
      <c r="AR312" s="23" t="s">
        <v>147</v>
      </c>
      <c r="AS312" s="96">
        <f ca="1">AS298*1.01</f>
        <v>369857.66778733872</v>
      </c>
      <c r="AT312" s="109" t="s">
        <v>144</v>
      </c>
      <c r="AU312" s="23" t="s">
        <v>147</v>
      </c>
    </row>
    <row r="313" spans="15:47" x14ac:dyDescent="0.25">
      <c r="O313" s="1"/>
      <c r="P313" s="1"/>
      <c r="Q313" s="1"/>
      <c r="R313" s="98"/>
      <c r="S313" s="107"/>
      <c r="T313" s="1"/>
      <c r="U313" s="47"/>
      <c r="V313" s="107"/>
      <c r="W313" s="1"/>
      <c r="X313" s="47"/>
      <c r="Y313" s="107"/>
      <c r="Z313" s="1"/>
      <c r="AA313" s="47"/>
      <c r="AB313" s="107"/>
      <c r="AC313" s="1"/>
      <c r="AD313" s="47"/>
      <c r="AE313" s="107"/>
      <c r="AF313" s="1"/>
      <c r="AG313" s="47"/>
      <c r="AH313" s="107"/>
      <c r="AI313" s="1"/>
      <c r="AJ313" s="47"/>
      <c r="AK313" s="107"/>
      <c r="AL313" s="1"/>
      <c r="AM313" s="47"/>
      <c r="AN313" s="107"/>
      <c r="AO313" s="1"/>
      <c r="AP313" s="47"/>
      <c r="AQ313" s="107"/>
      <c r="AR313" s="1"/>
      <c r="AS313" s="47"/>
      <c r="AT313" s="107"/>
      <c r="AU313" s="1"/>
    </row>
    <row r="314" spans="15:47" x14ac:dyDescent="0.25">
      <c r="O314" s="8" t="s">
        <v>132</v>
      </c>
      <c r="P314" s="8"/>
      <c r="Q314" s="8"/>
      <c r="R314" s="96">
        <f>P_1_minQ-(R312^2*R_up)+dpup_minQ</f>
        <v>90.18499967257253</v>
      </c>
      <c r="S314" s="106"/>
      <c r="T314" s="22"/>
      <c r="U314" s="96">
        <f ca="1">P_1_minQ-(U312^2*R_up)+dpup_minQ</f>
        <v>90.14783698417412</v>
      </c>
      <c r="V314" s="107"/>
      <c r="W314" s="1"/>
      <c r="X314" s="96">
        <f ca="1">P_1_minQ-(X312^2*R_up)+dpup_minQ</f>
        <v>89.961975435170245</v>
      </c>
      <c r="Y314" s="107"/>
      <c r="Z314" s="1"/>
      <c r="AA314" s="96">
        <f ca="1">P_1_minQ-(AA312^2*R_up)+dpup_minQ</f>
        <v>89.338796331132215</v>
      </c>
      <c r="AB314" s="107"/>
      <c r="AC314" s="1"/>
      <c r="AD314" s="96">
        <f ca="1">P_1_minQ-(AD312^2*R_up)+dpup_minQ</f>
        <v>87.803167658455649</v>
      </c>
      <c r="AE314" s="107"/>
      <c r="AF314" s="1"/>
      <c r="AG314" s="96">
        <f ca="1">P_1_minQ-(AG312^2*R_up)+dpup_minQ</f>
        <v>85.111127889518158</v>
      </c>
      <c r="AH314" s="107"/>
      <c r="AI314" s="1"/>
      <c r="AJ314" s="96">
        <f ca="1">P_1_minQ-(AJ312^2*R_up)+dpup_minQ</f>
        <v>81.148906481407167</v>
      </c>
      <c r="AK314" s="107"/>
      <c r="AL314" s="1"/>
      <c r="AM314" s="96">
        <f ca="1">P_1_minQ-(AM312^2*R_up)+dpup_minQ</f>
        <v>76.731468253083506</v>
      </c>
      <c r="AN314" s="107"/>
      <c r="AO314" s="1"/>
      <c r="AP314" s="96">
        <f ca="1">P_1_minQ-(AP312^2*R_up)+dpup_minQ</f>
        <v>72.051657729116357</v>
      </c>
      <c r="AQ314" s="107"/>
      <c r="AR314" s="1"/>
      <c r="AS314" s="96">
        <f ca="1">P_1_minQ-(AS312^2*R_up)+dpup_minQ</f>
        <v>65.252714877593107</v>
      </c>
      <c r="AT314" s="107"/>
      <c r="AU314" s="1"/>
    </row>
    <row r="315" spans="15:47" x14ac:dyDescent="0.25">
      <c r="O315" s="8" t="s">
        <v>134</v>
      </c>
      <c r="P315" s="1"/>
      <c r="Q315" s="8"/>
      <c r="R315" s="97">
        <f>P_2_minQ+(R312^2*R_dn)-dpdn_minQ</f>
        <v>60</v>
      </c>
      <c r="S315" s="106"/>
      <c r="T315" s="22"/>
      <c r="U315" s="97">
        <f ca="1">P_2_minQ+(U312^2*R_dn)-dpdn_minQ</f>
        <v>60</v>
      </c>
      <c r="V315" s="107"/>
      <c r="W315" s="1"/>
      <c r="X315" s="97">
        <f ca="1">P_2_minQ+(X312^2*R_dn)-dpdn_minQ</f>
        <v>60</v>
      </c>
      <c r="Y315" s="107"/>
      <c r="Z315" s="1"/>
      <c r="AA315" s="97">
        <f ca="1">P_2_minQ+(AA312^2*R_dn)-dpdn_minQ</f>
        <v>60</v>
      </c>
      <c r="AB315" s="107"/>
      <c r="AC315" s="1"/>
      <c r="AD315" s="97">
        <f ca="1">P_2_minQ+(AD312^2*R_dn)-dpdn_minQ</f>
        <v>60</v>
      </c>
      <c r="AE315" s="107"/>
      <c r="AF315" s="1"/>
      <c r="AG315" s="97">
        <f ca="1">P_2_minQ+(AG312^2*R_dn)-dpdn_minQ</f>
        <v>60</v>
      </c>
      <c r="AH315" s="107"/>
      <c r="AI315" s="1"/>
      <c r="AJ315" s="97">
        <f ca="1">P_2_minQ+(AJ312^2*R_dn)-dpdn_minQ</f>
        <v>60</v>
      </c>
      <c r="AK315" s="107"/>
      <c r="AL315" s="1"/>
      <c r="AM315" s="97">
        <f ca="1">P_2_minQ+(AM312^2*R_dn)-dpdn_minQ</f>
        <v>60</v>
      </c>
      <c r="AN315" s="107"/>
      <c r="AO315" s="1"/>
      <c r="AP315" s="97">
        <f ca="1">P_2_minQ+(AP312^2*R_dn)-dpdn_minQ</f>
        <v>60</v>
      </c>
      <c r="AQ315" s="107"/>
      <c r="AR315" s="1"/>
      <c r="AS315" s="97">
        <f ca="1">P_2_minQ+(AS312^2*R_dn)-dpdn_minQ</f>
        <v>60</v>
      </c>
      <c r="AT315" s="107"/>
      <c r="AU315" s="1"/>
    </row>
    <row r="316" spans="15:47" x14ac:dyDescent="0.25">
      <c r="O316" s="8" t="s">
        <v>138</v>
      </c>
      <c r="P316" s="1"/>
      <c r="Q316" s="8"/>
      <c r="R316" s="97">
        <f>R314-R315</f>
        <v>30.18499967257253</v>
      </c>
      <c r="S316" s="106"/>
      <c r="T316" s="22"/>
      <c r="U316" s="97">
        <f ca="1">U314-U315</f>
        <v>30.14783698417412</v>
      </c>
      <c r="V316" s="110"/>
      <c r="W316" s="25"/>
      <c r="X316" s="97">
        <f ca="1">X314-X315</f>
        <v>29.961975435170245</v>
      </c>
      <c r="Y316" s="110"/>
      <c r="Z316" s="25"/>
      <c r="AA316" s="97">
        <f ca="1">AA314-AA315</f>
        <v>29.338796331132215</v>
      </c>
      <c r="AB316" s="110"/>
      <c r="AC316" s="25"/>
      <c r="AD316" s="97">
        <f ca="1">AD314-AD315</f>
        <v>27.803167658455649</v>
      </c>
      <c r="AE316" s="110"/>
      <c r="AF316" s="25"/>
      <c r="AG316" s="97">
        <f ca="1">AG314-AG315</f>
        <v>25.111127889518158</v>
      </c>
      <c r="AH316" s="110"/>
      <c r="AI316" s="25"/>
      <c r="AJ316" s="97">
        <f ca="1">AJ314-AJ315</f>
        <v>21.148906481407167</v>
      </c>
      <c r="AK316" s="110"/>
      <c r="AL316" s="25"/>
      <c r="AM316" s="97">
        <f ca="1">AM314-AM315</f>
        <v>16.731468253083506</v>
      </c>
      <c r="AN316" s="110"/>
      <c r="AO316" s="25"/>
      <c r="AP316" s="97">
        <f ca="1">AP314-AP315</f>
        <v>12.051657729116357</v>
      </c>
      <c r="AQ316" s="110"/>
      <c r="AR316" s="25"/>
      <c r="AS316" s="97">
        <f ca="1">AS314-AS315</f>
        <v>5.2527148775931067</v>
      </c>
      <c r="AT316" s="110"/>
      <c r="AU316" s="25"/>
    </row>
    <row r="317" spans="15:47" ht="14.4" x14ac:dyDescent="0.3">
      <c r="O317" s="2" t="s">
        <v>140</v>
      </c>
      <c r="P317" s="11"/>
      <c r="Q317" s="2"/>
      <c r="R317" s="96">
        <f>R316/R314</f>
        <v>0.33470089019418747</v>
      </c>
      <c r="S317" s="106"/>
      <c r="T317" s="22"/>
      <c r="U317" s="96">
        <f ca="1">U316/U314</f>
        <v>0.33442662622583741</v>
      </c>
      <c r="V317" s="111"/>
      <c r="W317" s="28"/>
      <c r="X317" s="96">
        <f ca="1">X316/X314</f>
        <v>0.33305155083840832</v>
      </c>
      <c r="Y317" s="111"/>
      <c r="Z317" s="28"/>
      <c r="AA317" s="96">
        <f ca="1">AA316/AA314</f>
        <v>0.32839927932752344</v>
      </c>
      <c r="AB317" s="111"/>
      <c r="AC317" s="28"/>
      <c r="AD317" s="96">
        <f ca="1">AD316/AD314</f>
        <v>0.31665335545303802</v>
      </c>
      <c r="AE317" s="111"/>
      <c r="AF317" s="28"/>
      <c r="AG317" s="96">
        <f ca="1">AG316/AG314</f>
        <v>0.29503930346352175</v>
      </c>
      <c r="AH317" s="111"/>
      <c r="AI317" s="28"/>
      <c r="AJ317" s="96">
        <f ca="1">AJ316/AJ314</f>
        <v>0.26061850243481471</v>
      </c>
      <c r="AK317" s="111"/>
      <c r="AL317" s="28"/>
      <c r="AM317" s="96">
        <f ca="1">AM316/AM314</f>
        <v>0.21805223637710255</v>
      </c>
      <c r="AN317" s="111"/>
      <c r="AO317" s="28"/>
      <c r="AP317" s="96">
        <f ca="1">AP316/AP314</f>
        <v>0.16726412839001531</v>
      </c>
      <c r="AQ317" s="111"/>
      <c r="AR317" s="28"/>
      <c r="AS317" s="96">
        <f ca="1">AS316/AS314</f>
        <v>8.0498028127206966E-2</v>
      </c>
      <c r="AT317" s="111"/>
      <c r="AU317" s="28"/>
    </row>
    <row r="318" spans="15:47" x14ac:dyDescent="0.25">
      <c r="O318" s="2" t="s">
        <v>21</v>
      </c>
      <c r="P318" s="8">
        <v>12</v>
      </c>
      <c r="Q318" s="2"/>
      <c r="R318" s="96">
        <f ca="1">1-R317/(3*F_GAMMA*R$29)</f>
        <v>0.82568470833235175</v>
      </c>
      <c r="S318" s="106"/>
      <c r="T318" s="22"/>
      <c r="U318" s="96">
        <f ca="1">1-U317/(3*F_GAMMA*U$29)</f>
        <v>0.82586801040103675</v>
      </c>
      <c r="V318" s="111"/>
      <c r="W318" s="28"/>
      <c r="X318" s="96">
        <f ca="1">1-X317/(3*F_GAMMA*X$29)</f>
        <v>0.82493234194396259</v>
      </c>
      <c r="Y318" s="111"/>
      <c r="Z318" s="28"/>
      <c r="AA318" s="96">
        <f ca="1">1-AA317/(3*F_GAMMA*AA$29)</f>
        <v>0.82494449937500192</v>
      </c>
      <c r="AB318" s="111"/>
      <c r="AC318" s="28"/>
      <c r="AD318" s="96">
        <f ca="1">1-AD317/(3*F_GAMMA*AD$29)</f>
        <v>0.82597072952925243</v>
      </c>
      <c r="AE318" s="111"/>
      <c r="AF318" s="28"/>
      <c r="AG318" s="96">
        <f ca="1">1-AG317/(3*F_GAMMA*AG$29)</f>
        <v>0.82811955247823621</v>
      </c>
      <c r="AH318" s="111"/>
      <c r="AI318" s="28"/>
      <c r="AJ318" s="96">
        <f ca="1">1-AJ317/(3*F_GAMMA*AJ$29)</f>
        <v>0.83665386781855555</v>
      </c>
      <c r="AK318" s="111"/>
      <c r="AL318" s="28"/>
      <c r="AM318" s="96">
        <f ca="1">1-AM317/(3*F_GAMMA*AM$29)</f>
        <v>0.84719485417889506</v>
      </c>
      <c r="AN318" s="111"/>
      <c r="AO318" s="28"/>
      <c r="AP318" s="96">
        <f ca="1">1-AP317/(3*F_GAMMA*AP$29)</f>
        <v>0.90558715744870166</v>
      </c>
      <c r="AQ318" s="111"/>
      <c r="AR318" s="28"/>
      <c r="AS318" s="96">
        <f ca="1">1-AS317/(3*F_GAMMA*AS$29)</f>
        <v>0.92876721118518879</v>
      </c>
      <c r="AT318" s="111"/>
      <c r="AU318" s="28"/>
    </row>
    <row r="319" spans="15:47" x14ac:dyDescent="0.25">
      <c r="O319" s="2" t="s">
        <v>57</v>
      </c>
      <c r="P319" s="143">
        <v>7</v>
      </c>
      <c r="Q319" s="2"/>
      <c r="R319" s="96">
        <f ca="1">(R312/(N_9*R$27*R314*R318))*SQRT(M*'Valve Sizing'!$W$6*'Valve Sizing'!$G$8/R317)</f>
        <v>0.19120495811387289</v>
      </c>
      <c r="S319" s="107"/>
      <c r="T319" s="22"/>
      <c r="U319" s="96">
        <f ca="1">(U312/(N_9*U$27*U314*U318))*SQRT(M*'Valve Sizing'!$W$6*'Valve Sizing'!$G$8/U317)</f>
        <v>5.776967433048708</v>
      </c>
      <c r="V319" s="111"/>
      <c r="W319" s="28"/>
      <c r="X319" s="96">
        <f ca="1">(X312/(N_9*X$27*X314*X318))*SQRT(M*'Valve Sizing'!$W$6*'Valve Sizing'!$G$8/X317)</f>
        <v>14.25297404764102</v>
      </c>
      <c r="Y319" s="111"/>
      <c r="Z319" s="28"/>
      <c r="AA319" s="96">
        <f ca="1">(AA312/(N_9*AA$27*AA314*AA318))*SQRT(M*'Valve Sizing'!$W$6*'Valve Sizing'!$G$8/AA317)</f>
        <v>28.31876276434572</v>
      </c>
      <c r="AB319" s="111"/>
      <c r="AC319" s="28"/>
      <c r="AD319" s="96">
        <f ca="1">(AD312/(N_9*AD$27*AD314*AD318))*SQRT(M*'Valve Sizing'!$W$6*'Valve Sizing'!$G$8/AD317)</f>
        <v>49.777336891947911</v>
      </c>
      <c r="AE319" s="111"/>
      <c r="AF319" s="28"/>
      <c r="AG319" s="96">
        <f ca="1">(AG312/(N_9*AG$27*AG314*AG318))*SQRT(M*'Valve Sizing'!$W$6*'Valve Sizing'!$G$8/AG317)</f>
        <v>79.187520060876693</v>
      </c>
      <c r="AH319" s="111"/>
      <c r="AI319" s="28"/>
      <c r="AJ319" s="96">
        <f ca="1">(AJ312/(N_9*AJ$27*AJ314*AJ318))*SQRT(M*'Valve Sizing'!$W$6*'Valve Sizing'!$G$8/AJ317)</f>
        <v>120.94497392214519</v>
      </c>
      <c r="AK319" s="111"/>
      <c r="AL319" s="28"/>
      <c r="AM319" s="96">
        <f ca="1">(AM312/(N_9*AM$27*AM314*AM318))*SQRT(M*'Valve Sizing'!$W$6*'Valve Sizing'!$G$8/AM317)</f>
        <v>178.78374097226845</v>
      </c>
      <c r="AN319" s="111"/>
      <c r="AO319" s="28"/>
      <c r="AP319" s="96">
        <f ca="1">(AP312/(N_9*AP$27*AP314*AP318))*SQRT(M*'Valve Sizing'!$W$6*'Valve Sizing'!$G$8/AP317)</f>
        <v>268.73643106705549</v>
      </c>
      <c r="AQ319" s="111"/>
      <c r="AR319" s="28"/>
      <c r="AS319" s="96">
        <f ca="1">(AS312/(N_9*AS$27*AS314*AS318))*SQRT(M*'Valve Sizing'!$W$6*'Valve Sizing'!$G$8/AS317)</f>
        <v>655.0178004546832</v>
      </c>
      <c r="AT319" s="111"/>
      <c r="AU319" s="28"/>
    </row>
    <row r="320" spans="15:47" x14ac:dyDescent="0.25">
      <c r="O320" s="2" t="s">
        <v>59</v>
      </c>
      <c r="P320" s="143">
        <v>7</v>
      </c>
      <c r="Q320" s="2"/>
      <c r="R320" s="96">
        <f ca="1">(R312/(N_9*R$27*R314*0.667))*SQRT(M*'Valve Sizing'!$W$6*'Valve Sizing'!$G$8/R321)</f>
        <v>0.17116537983336674</v>
      </c>
      <c r="S320" s="107"/>
      <c r="T320" s="22"/>
      <c r="U320" s="96">
        <f ca="1">(U312/(N_9*U$27*U314*0.667))*SQRT(M*'Valve Sizing'!$W$6*'Valve Sizing'!$G$8/U321)</f>
        <v>5.16992970489793</v>
      </c>
      <c r="V320" s="111"/>
      <c r="W320" s="28"/>
      <c r="X320" s="96">
        <f ca="1">(X312/(N_9*X$27*X314*0.667))*SQRT(M*'Valve Sizing'!$W$6*'Valve Sizing'!$G$8/X321)</f>
        <v>12.775019729922588</v>
      </c>
      <c r="Y320" s="111"/>
      <c r="Z320" s="28"/>
      <c r="AA320" s="96">
        <f ca="1">(AA312/(N_9*AA$27*AA314*0.667))*SQRT(M*'Valve Sizing'!$W$6*'Valve Sizing'!$G$8/AA321)</f>
        <v>25.381756926219317</v>
      </c>
      <c r="AB320" s="111"/>
      <c r="AC320" s="28"/>
      <c r="AD320" s="96">
        <f ca="1">(AD312/(N_9*AD$27*AD314*0.667))*SQRT(M*'Valve Sizing'!$W$6*'Valve Sizing'!$G$8/AD321)</f>
        <v>44.539184240699548</v>
      </c>
      <c r="AE320" s="111"/>
      <c r="AF320" s="28"/>
      <c r="AG320" s="96">
        <f ca="1">(AG312/(N_9*AG$27*AG314*0.667))*SQRT(M*'Valve Sizing'!$W$6*'Valve Sizing'!$G$8/AG321)</f>
        <v>70.59888016242391</v>
      </c>
      <c r="AH320" s="111"/>
      <c r="AI320" s="28"/>
      <c r="AJ320" s="96">
        <f ca="1">(AJ312/(N_9*AJ$27*AJ314*0.667))*SQRT(M*'Valve Sizing'!$W$6*'Valve Sizing'!$G$8/AJ321)</f>
        <v>106.19959718951377</v>
      </c>
      <c r="AK320" s="111"/>
      <c r="AL320" s="28"/>
      <c r="AM320" s="96">
        <f ca="1">(AM312/(N_9*AM$27*AM314*0.667))*SQRT(M*'Valve Sizing'!$W$6*'Valve Sizing'!$G$8/AM321)</f>
        <v>153.74999593203978</v>
      </c>
      <c r="AN320" s="111"/>
      <c r="AO320" s="28"/>
      <c r="AP320" s="96">
        <f ca="1">(AP312/(N_9*AP$27*AP314*0.667))*SQRT(M*'Valve Sizing'!$W$6*'Valve Sizing'!$G$8/AP321)</f>
        <v>194.18117753490793</v>
      </c>
      <c r="AQ320" s="111"/>
      <c r="AR320" s="28"/>
      <c r="AS320" s="96">
        <f ca="1">(AS312/(N_9*AS$27*AS314*0.667))*SQRT(M*'Valve Sizing'!$W$6*'Valve Sizing'!$G$8/AS321)</f>
        <v>421.63314555091148</v>
      </c>
      <c r="AT320" s="111"/>
      <c r="AU320" s="28"/>
    </row>
    <row r="321" spans="15:47" ht="15.6" x14ac:dyDescent="0.35">
      <c r="O321" s="2" t="s">
        <v>68</v>
      </c>
      <c r="P321" s="143">
        <v>10</v>
      </c>
      <c r="Q321" s="2"/>
      <c r="R321" s="96">
        <f ca="1">F_GAMMA*R$29</f>
        <v>0.64002969751372984</v>
      </c>
      <c r="S321" s="107"/>
      <c r="T321" s="1"/>
      <c r="U321" s="96">
        <f ca="1">F_GAMMA*U$29</f>
        <v>0.64017842058782071</v>
      </c>
      <c r="V321" s="111"/>
      <c r="W321" s="28"/>
      <c r="X321" s="96">
        <f ca="1">F_GAMMA*X$29</f>
        <v>0.63413873724904268</v>
      </c>
      <c r="Y321" s="111"/>
      <c r="Z321" s="28"/>
      <c r="AA321" s="96">
        <f ca="1">F_GAMMA*AA$29</f>
        <v>0.62532411750377137</v>
      </c>
      <c r="AB321" s="111"/>
      <c r="AC321" s="28"/>
      <c r="AD321" s="96">
        <f ca="1">F_GAMMA*AD$29</f>
        <v>0.60651359509139569</v>
      </c>
      <c r="AE321" s="111"/>
      <c r="AF321" s="28"/>
      <c r="AG321" s="96">
        <f ca="1">F_GAMMA*AG$29</f>
        <v>0.57217930198481592</v>
      </c>
      <c r="AH321" s="111"/>
      <c r="AI321" s="28"/>
      <c r="AJ321" s="96">
        <f ca="1">F_GAMMA*AJ$29</f>
        <v>0.53183282018848232</v>
      </c>
      <c r="AK321" s="111"/>
      <c r="AL321" s="28"/>
      <c r="AM321" s="96">
        <f ca="1">F_GAMMA*AM$29</f>
        <v>0.47566512503094399</v>
      </c>
      <c r="AN321" s="111"/>
      <c r="AO321" s="28"/>
      <c r="AP321" s="96">
        <f ca="1">F_GAMMA*AP$29</f>
        <v>0.59054158265645496</v>
      </c>
      <c r="AQ321" s="111"/>
      <c r="AR321" s="28"/>
      <c r="AS321" s="96">
        <f ca="1">F_GAMMA*AS$29</f>
        <v>0.3766899554102966</v>
      </c>
      <c r="AT321" s="111"/>
      <c r="AU321" s="28"/>
    </row>
    <row r="322" spans="15:47" x14ac:dyDescent="0.25">
      <c r="O322" s="2" t="s">
        <v>145</v>
      </c>
      <c r="P322" s="12"/>
      <c r="Q322" s="2"/>
      <c r="R322" s="96">
        <f ca="1">IF(R317&lt;R321,R319,R320)</f>
        <v>0.19120495811387289</v>
      </c>
      <c r="S322" s="116"/>
      <c r="T322" s="1"/>
      <c r="U322" s="96">
        <f ca="1">IF(U317&lt;U321,U319,U320)</f>
        <v>5.776967433048708</v>
      </c>
      <c r="V322" s="111"/>
      <c r="W322" s="28"/>
      <c r="X322" s="96">
        <f ca="1">IF(X317&lt;X321,X319,X320)</f>
        <v>14.25297404764102</v>
      </c>
      <c r="Y322" s="111"/>
      <c r="Z322" s="28"/>
      <c r="AA322" s="96">
        <f ca="1">IF(AA317&lt;AA321,AA319,AA320)</f>
        <v>28.31876276434572</v>
      </c>
      <c r="AB322" s="111"/>
      <c r="AC322" s="28"/>
      <c r="AD322" s="96">
        <f ca="1">IF(AD317&lt;AD321,AD319,AD320)</f>
        <v>49.777336891947911</v>
      </c>
      <c r="AE322" s="111"/>
      <c r="AF322" s="28"/>
      <c r="AG322" s="96">
        <f ca="1">IF(AG317&lt;AG321,AG319,AG320)</f>
        <v>79.187520060876693</v>
      </c>
      <c r="AH322" s="111"/>
      <c r="AI322" s="28"/>
      <c r="AJ322" s="96">
        <f ca="1">IF(AJ317&lt;AJ321,AJ319,AJ320)</f>
        <v>120.94497392214519</v>
      </c>
      <c r="AK322" s="111"/>
      <c r="AL322" s="28"/>
      <c r="AM322" s="96">
        <f ca="1">IF(AM317&lt;AM321,AM319,AM320)</f>
        <v>178.78374097226845</v>
      </c>
      <c r="AN322" s="111"/>
      <c r="AO322" s="28"/>
      <c r="AP322" s="96">
        <f ca="1">IF(AP317&lt;AP321,AP319,AP320)</f>
        <v>268.73643106705549</v>
      </c>
      <c r="AQ322" s="111"/>
      <c r="AR322" s="28"/>
      <c r="AS322" s="96">
        <f ca="1">IF(AS317&lt;AS321,AS319,AS320)</f>
        <v>655.0178004546832</v>
      </c>
      <c r="AT322" s="111"/>
      <c r="AU322" s="28"/>
    </row>
    <row r="323" spans="15:47" x14ac:dyDescent="0.25">
      <c r="O323" s="13" t="s">
        <v>143</v>
      </c>
      <c r="P323" s="1"/>
      <c r="Q323" s="1"/>
      <c r="R323" s="113"/>
      <c r="S323" s="106">
        <f ca="1">IF(R316&lt;=0,Q_max,ABS(R$23-R322))</f>
        <v>4.5387950418861278</v>
      </c>
      <c r="T323" s="7">
        <f>R312</f>
        <v>473.46741878058316</v>
      </c>
      <c r="U323" s="98"/>
      <c r="V323" s="106">
        <f ca="1">IF(U316&lt;=0,Q_max,ABS(U$23-U322))</f>
        <v>5.8230325669512917</v>
      </c>
      <c r="W323" s="9">
        <f ca="1">U312</f>
        <v>14287.14327224698</v>
      </c>
      <c r="X323" s="98"/>
      <c r="Y323" s="106">
        <f ca="1">IF(X316&lt;=0,Q_max,ABS(X$23-X322))</f>
        <v>8.7470259523589799</v>
      </c>
      <c r="Z323" s="9">
        <f ca="1">X312</f>
        <v>34983.965843808182</v>
      </c>
      <c r="AA323" s="98"/>
      <c r="AB323" s="106">
        <f ca="1">IF(AA316&lt;=0,Q_max,ABS(AA$23-AA322))</f>
        <v>11.081237235654278</v>
      </c>
      <c r="AC323" s="9">
        <f ca="1">AA312</f>
        <v>68139.835966916071</v>
      </c>
      <c r="AD323" s="98"/>
      <c r="AE323" s="106">
        <f ca="1">IF(AD316&lt;=0,Q_max,ABS(AD$23-AD322))</f>
        <v>11.222663108052089</v>
      </c>
      <c r="AF323" s="9">
        <f ca="1">AD312</f>
        <v>114317.4479119974</v>
      </c>
      <c r="AG323" s="98"/>
      <c r="AH323" s="106">
        <f ca="1">IF(AG316&lt;=0,Q_max,ABS(AG$23-AG322))</f>
        <v>9.0124799391233097</v>
      </c>
      <c r="AI323" s="9">
        <f ca="1">AG312</f>
        <v>166849.42879377858</v>
      </c>
      <c r="AJ323" s="98"/>
      <c r="AK323" s="106">
        <f ca="1">IF(AJ316&lt;=0,Q_max,ABS(AJ$23-AJ322))</f>
        <v>5.5026077854805067E-2</v>
      </c>
      <c r="AL323" s="9">
        <f ca="1">AJ312</f>
        <v>222661.20952832617</v>
      </c>
      <c r="AM323" s="98"/>
      <c r="AN323" s="106">
        <f ca="1">IF(AM316&lt;=0,Q_max,ABS(AM$23-AM322))</f>
        <v>13.783740972268447</v>
      </c>
      <c r="AO323" s="9">
        <f ca="1">AM312</f>
        <v>271688.99014923093</v>
      </c>
      <c r="AP323" s="98"/>
      <c r="AQ323" s="106">
        <f ca="1">IF(AP316&lt;=0,Q_max,ABS(AP$23-AP322))</f>
        <v>22.736431067055491</v>
      </c>
      <c r="AR323" s="9">
        <f ca="1">AP312</f>
        <v>315422.48307908245</v>
      </c>
      <c r="AS323" s="98"/>
      <c r="AT323" s="106">
        <f ca="1">IF(AS316&lt;=0,Q_max,ABS(AS$23-AS322))</f>
        <v>235.0178004546832</v>
      </c>
      <c r="AU323" s="9">
        <f ca="1">AS312</f>
        <v>369857.66778733872</v>
      </c>
    </row>
    <row r="324" spans="15:47" x14ac:dyDescent="0.25">
      <c r="O324" s="21"/>
      <c r="P324" s="14"/>
      <c r="Q324" s="21"/>
      <c r="R324" s="97"/>
      <c r="S324" s="106"/>
      <c r="T324" s="28"/>
      <c r="U324" s="97"/>
      <c r="V324" s="111"/>
      <c r="W324" s="28"/>
      <c r="X324" s="97"/>
      <c r="Y324" s="111"/>
      <c r="Z324" s="28"/>
      <c r="AA324" s="97"/>
      <c r="AB324" s="111"/>
      <c r="AC324" s="28"/>
      <c r="AD324" s="97"/>
      <c r="AE324" s="111"/>
      <c r="AF324" s="28"/>
      <c r="AG324" s="97"/>
      <c r="AH324" s="111"/>
      <c r="AI324" s="28"/>
      <c r="AJ324" s="97"/>
      <c r="AK324" s="111"/>
      <c r="AL324" s="28"/>
      <c r="AM324" s="97"/>
      <c r="AN324" s="111"/>
      <c r="AO324" s="28"/>
      <c r="AP324" s="97"/>
      <c r="AQ324" s="111"/>
      <c r="AR324" s="28"/>
      <c r="AS324" s="97"/>
      <c r="AT324" s="111"/>
      <c r="AU324" s="28"/>
    </row>
    <row r="325" spans="15:47" x14ac:dyDescent="0.25">
      <c r="O325" s="1"/>
      <c r="P325" s="1"/>
      <c r="Q325" s="1"/>
      <c r="R325" s="98"/>
      <c r="S325" s="108" t="s">
        <v>137</v>
      </c>
      <c r="T325" s="26" t="s">
        <v>146</v>
      </c>
      <c r="U325" s="98"/>
      <c r="V325" s="108" t="s">
        <v>137</v>
      </c>
      <c r="W325" s="26" t="s">
        <v>146</v>
      </c>
      <c r="X325" s="98"/>
      <c r="Y325" s="108" t="s">
        <v>137</v>
      </c>
      <c r="Z325" s="26" t="s">
        <v>146</v>
      </c>
      <c r="AA325" s="98"/>
      <c r="AB325" s="108" t="s">
        <v>137</v>
      </c>
      <c r="AC325" s="26" t="s">
        <v>146</v>
      </c>
      <c r="AD325" s="98"/>
      <c r="AE325" s="108" t="s">
        <v>137</v>
      </c>
      <c r="AF325" s="26" t="s">
        <v>146</v>
      </c>
      <c r="AG325" s="98"/>
      <c r="AH325" s="108" t="s">
        <v>137</v>
      </c>
      <c r="AI325" s="26" t="s">
        <v>146</v>
      </c>
      <c r="AJ325" s="98"/>
      <c r="AK325" s="108" t="s">
        <v>137</v>
      </c>
      <c r="AL325" s="26" t="s">
        <v>146</v>
      </c>
      <c r="AM325" s="98"/>
      <c r="AN325" s="108" t="s">
        <v>137</v>
      </c>
      <c r="AO325" s="26" t="s">
        <v>146</v>
      </c>
      <c r="AP325" s="98"/>
      <c r="AQ325" s="108" t="s">
        <v>137</v>
      </c>
      <c r="AR325" s="26" t="s">
        <v>146</v>
      </c>
      <c r="AS325" s="98"/>
      <c r="AT325" s="108" t="s">
        <v>137</v>
      </c>
      <c r="AU325" s="26" t="s">
        <v>146</v>
      </c>
    </row>
    <row r="326" spans="15:47" ht="13.8" x14ac:dyDescent="0.25">
      <c r="O326" s="20" t="s">
        <v>136</v>
      </c>
      <c r="P326" s="1"/>
      <c r="Q326" s="1"/>
      <c r="R326" s="96">
        <f>R312*1.02</f>
        <v>482.93676715619483</v>
      </c>
      <c r="S326" s="109" t="s">
        <v>144</v>
      </c>
      <c r="T326" s="23" t="s">
        <v>147</v>
      </c>
      <c r="U326" s="96">
        <f ca="1">U312*1.01</f>
        <v>14430.01470496945</v>
      </c>
      <c r="V326" s="109" t="s">
        <v>144</v>
      </c>
      <c r="W326" s="23" t="s">
        <v>147</v>
      </c>
      <c r="X326" s="96">
        <f ca="1">X312*1.01</f>
        <v>35333.805502246265</v>
      </c>
      <c r="Y326" s="109" t="s">
        <v>144</v>
      </c>
      <c r="Z326" s="23" t="s">
        <v>147</v>
      </c>
      <c r="AA326" s="96">
        <f ca="1">AA312*1.01</f>
        <v>68821.234326585225</v>
      </c>
      <c r="AB326" s="109" t="s">
        <v>144</v>
      </c>
      <c r="AC326" s="23" t="s">
        <v>147</v>
      </c>
      <c r="AD326" s="96">
        <f ca="1">AD312*1.01</f>
        <v>115460.62239111737</v>
      </c>
      <c r="AE326" s="109" t="s">
        <v>144</v>
      </c>
      <c r="AF326" s="23" t="s">
        <v>147</v>
      </c>
      <c r="AG326" s="96">
        <f ca="1">AG312*1.01</f>
        <v>168517.92308171638</v>
      </c>
      <c r="AH326" s="109" t="s">
        <v>144</v>
      </c>
      <c r="AI326" s="23" t="s">
        <v>147</v>
      </c>
      <c r="AJ326" s="96">
        <f ca="1">AJ312*1.01</f>
        <v>224887.82162360943</v>
      </c>
      <c r="AK326" s="109" t="s">
        <v>144</v>
      </c>
      <c r="AL326" s="23" t="s">
        <v>147</v>
      </c>
      <c r="AM326" s="96">
        <f ca="1">AM312*1.01</f>
        <v>274405.88005072327</v>
      </c>
      <c r="AN326" s="109" t="s">
        <v>144</v>
      </c>
      <c r="AO326" s="23" t="s">
        <v>147</v>
      </c>
      <c r="AP326" s="96">
        <f ca="1">AP312*1.01</f>
        <v>318576.70790987328</v>
      </c>
      <c r="AQ326" s="109" t="s">
        <v>144</v>
      </c>
      <c r="AR326" s="23" t="s">
        <v>147</v>
      </c>
      <c r="AS326" s="96">
        <f ca="1">AS312*1.01</f>
        <v>373556.2444652121</v>
      </c>
      <c r="AT326" s="109" t="s">
        <v>144</v>
      </c>
      <c r="AU326" s="23" t="s">
        <v>147</v>
      </c>
    </row>
    <row r="327" spans="15:47" x14ac:dyDescent="0.25">
      <c r="O327" s="1"/>
      <c r="P327" s="1"/>
      <c r="Q327" s="1"/>
      <c r="R327" s="98"/>
      <c r="S327" s="107"/>
      <c r="T327" s="1"/>
      <c r="U327" s="47"/>
      <c r="V327" s="107"/>
      <c r="W327" s="1"/>
      <c r="X327" s="47"/>
      <c r="Y327" s="107"/>
      <c r="Z327" s="1"/>
      <c r="AA327" s="47"/>
      <c r="AB327" s="107"/>
      <c r="AC327" s="1"/>
      <c r="AD327" s="47"/>
      <c r="AE327" s="107"/>
      <c r="AF327" s="1"/>
      <c r="AG327" s="47"/>
      <c r="AH327" s="107"/>
      <c r="AI327" s="1"/>
      <c r="AJ327" s="47"/>
      <c r="AK327" s="107"/>
      <c r="AL327" s="1"/>
      <c r="AM327" s="47"/>
      <c r="AN327" s="107"/>
      <c r="AO327" s="1"/>
      <c r="AP327" s="47"/>
      <c r="AQ327" s="107"/>
      <c r="AR327" s="1"/>
      <c r="AS327" s="47"/>
      <c r="AT327" s="107"/>
      <c r="AU327" s="1"/>
    </row>
    <row r="328" spans="15:47" x14ac:dyDescent="0.25">
      <c r="O328" s="8" t="s">
        <v>132</v>
      </c>
      <c r="P328" s="8"/>
      <c r="Q328" s="8"/>
      <c r="R328" s="96">
        <f>P_1_minQ-(R326^2*R_up)+dpup_minQ</f>
        <v>90.184998021922141</v>
      </c>
      <c r="S328" s="106"/>
      <c r="T328" s="22"/>
      <c r="U328" s="96">
        <f ca="1">P_1_minQ-(U326^2*R_up)+dpup_minQ</f>
        <v>90.14708919289788</v>
      </c>
      <c r="V328" s="107"/>
      <c r="W328" s="1"/>
      <c r="X328" s="96">
        <f ca="1">P_1_minQ-(X326^2*R_up)+dpup_minQ</f>
        <v>89.957491826759039</v>
      </c>
      <c r="Y328" s="107"/>
      <c r="Z328" s="1"/>
      <c r="AA328" s="96">
        <f ca="1">P_1_minQ-(AA326^2*R_up)+dpup_minQ</f>
        <v>89.321786822729834</v>
      </c>
      <c r="AB328" s="107"/>
      <c r="AC328" s="1"/>
      <c r="AD328" s="96">
        <f ca="1">P_1_minQ-(AD326^2*R_up)+dpup_minQ</f>
        <v>87.755292013732472</v>
      </c>
      <c r="AE328" s="107"/>
      <c r="AF328" s="1"/>
      <c r="AG328" s="96">
        <f ca="1">P_1_minQ-(AG326^2*R_up)+dpup_minQ</f>
        <v>85.009142245439335</v>
      </c>
      <c r="AH328" s="107"/>
      <c r="AI328" s="1"/>
      <c r="AJ328" s="96">
        <f ca="1">P_1_minQ-(AJ326^2*R_up)+dpup_minQ</f>
        <v>80.967280187025324</v>
      </c>
      <c r="AK328" s="107"/>
      <c r="AL328" s="1"/>
      <c r="AM328" s="96">
        <f ca="1">P_1_minQ-(AM326^2*R_up)+dpup_minQ</f>
        <v>76.46105145031234</v>
      </c>
      <c r="AN328" s="107"/>
      <c r="AO328" s="1"/>
      <c r="AP328" s="96">
        <f ca="1">P_1_minQ-(AP326^2*R_up)+dpup_minQ</f>
        <v>71.687176734813463</v>
      </c>
      <c r="AQ328" s="107"/>
      <c r="AR328" s="1"/>
      <c r="AS328" s="96">
        <f ca="1">P_1_minQ-(AS326^2*R_up)+dpup_minQ</f>
        <v>64.75157513197459</v>
      </c>
      <c r="AT328" s="107"/>
      <c r="AU328" s="1"/>
    </row>
    <row r="329" spans="15:47" x14ac:dyDescent="0.25">
      <c r="O329" s="8" t="s">
        <v>134</v>
      </c>
      <c r="P329" s="1"/>
      <c r="Q329" s="8"/>
      <c r="R329" s="97">
        <f>P_2_minQ+(R326^2*R_dn)-dpdn_minQ</f>
        <v>60</v>
      </c>
      <c r="S329" s="106"/>
      <c r="T329" s="22"/>
      <c r="U329" s="97">
        <f ca="1">P_2_minQ+(U326^2*R_dn)-dpdn_minQ</f>
        <v>60</v>
      </c>
      <c r="V329" s="107"/>
      <c r="W329" s="1"/>
      <c r="X329" s="97">
        <f ca="1">P_2_minQ+(X326^2*R_dn)-dpdn_minQ</f>
        <v>60</v>
      </c>
      <c r="Y329" s="107"/>
      <c r="Z329" s="1"/>
      <c r="AA329" s="97">
        <f ca="1">P_2_minQ+(AA326^2*R_dn)-dpdn_minQ</f>
        <v>60</v>
      </c>
      <c r="AB329" s="107"/>
      <c r="AC329" s="1"/>
      <c r="AD329" s="97">
        <f ca="1">P_2_minQ+(AD326^2*R_dn)-dpdn_minQ</f>
        <v>60</v>
      </c>
      <c r="AE329" s="107"/>
      <c r="AF329" s="1"/>
      <c r="AG329" s="97">
        <f ca="1">P_2_minQ+(AG326^2*R_dn)-dpdn_minQ</f>
        <v>60</v>
      </c>
      <c r="AH329" s="107"/>
      <c r="AI329" s="1"/>
      <c r="AJ329" s="97">
        <f ca="1">P_2_minQ+(AJ326^2*R_dn)-dpdn_minQ</f>
        <v>60</v>
      </c>
      <c r="AK329" s="107"/>
      <c r="AL329" s="1"/>
      <c r="AM329" s="97">
        <f ca="1">P_2_minQ+(AM326^2*R_dn)-dpdn_minQ</f>
        <v>60</v>
      </c>
      <c r="AN329" s="107"/>
      <c r="AO329" s="1"/>
      <c r="AP329" s="97">
        <f ca="1">P_2_minQ+(AP326^2*R_dn)-dpdn_minQ</f>
        <v>60</v>
      </c>
      <c r="AQ329" s="107"/>
      <c r="AR329" s="1"/>
      <c r="AS329" s="97">
        <f ca="1">P_2_minQ+(AS326^2*R_dn)-dpdn_minQ</f>
        <v>60</v>
      </c>
      <c r="AT329" s="107"/>
      <c r="AU329" s="1"/>
    </row>
    <row r="330" spans="15:47" x14ac:dyDescent="0.25">
      <c r="O330" s="8" t="s">
        <v>138</v>
      </c>
      <c r="P330" s="1"/>
      <c r="Q330" s="8"/>
      <c r="R330" s="97">
        <f>R328-R329</f>
        <v>30.184998021922141</v>
      </c>
      <c r="S330" s="106"/>
      <c r="T330" s="22"/>
      <c r="U330" s="97">
        <f ca="1">U328-U329</f>
        <v>30.14708919289788</v>
      </c>
      <c r="V330" s="110"/>
      <c r="W330" s="25"/>
      <c r="X330" s="97">
        <f ca="1">X328-X329</f>
        <v>29.957491826759039</v>
      </c>
      <c r="Y330" s="110"/>
      <c r="Z330" s="25"/>
      <c r="AA330" s="97">
        <f ca="1">AA328-AA329</f>
        <v>29.321786822729834</v>
      </c>
      <c r="AB330" s="110"/>
      <c r="AC330" s="25"/>
      <c r="AD330" s="97">
        <f ca="1">AD328-AD329</f>
        <v>27.755292013732472</v>
      </c>
      <c r="AE330" s="110"/>
      <c r="AF330" s="25"/>
      <c r="AG330" s="97">
        <f ca="1">AG328-AG329</f>
        <v>25.009142245439335</v>
      </c>
      <c r="AH330" s="110"/>
      <c r="AI330" s="25"/>
      <c r="AJ330" s="97">
        <f ca="1">AJ328-AJ329</f>
        <v>20.967280187025324</v>
      </c>
      <c r="AK330" s="110"/>
      <c r="AL330" s="25"/>
      <c r="AM330" s="97">
        <f ca="1">AM328-AM329</f>
        <v>16.46105145031234</v>
      </c>
      <c r="AN330" s="110"/>
      <c r="AO330" s="25"/>
      <c r="AP330" s="97">
        <f ca="1">AP328-AP329</f>
        <v>11.687176734813463</v>
      </c>
      <c r="AQ330" s="110"/>
      <c r="AR330" s="25"/>
      <c r="AS330" s="97">
        <f ca="1">AS328-AS329</f>
        <v>4.7515751319745902</v>
      </c>
      <c r="AT330" s="110"/>
      <c r="AU330" s="25"/>
    </row>
    <row r="331" spans="15:47" ht="14.4" x14ac:dyDescent="0.3">
      <c r="O331" s="2" t="s">
        <v>140</v>
      </c>
      <c r="P331" s="11"/>
      <c r="Q331" s="2"/>
      <c r="R331" s="96">
        <f>R330/R328</f>
        <v>0.3347008780172594</v>
      </c>
      <c r="S331" s="106"/>
      <c r="T331" s="22"/>
      <c r="U331" s="96">
        <f ca="1">U330/U328</f>
        <v>0.33442110513838952</v>
      </c>
      <c r="V331" s="111"/>
      <c r="W331" s="28"/>
      <c r="X331" s="96">
        <f ca="1">X330/X328</f>
        <v>0.33301830918598141</v>
      </c>
      <c r="Y331" s="111"/>
      <c r="Z331" s="28"/>
      <c r="AA331" s="96">
        <f ca="1">AA330/AA328</f>
        <v>0.3282713866989983</v>
      </c>
      <c r="AB331" s="111"/>
      <c r="AC331" s="28"/>
      <c r="AD331" s="96">
        <f ca="1">AD330/AD328</f>
        <v>0.31628054988853732</v>
      </c>
      <c r="AE331" s="111"/>
      <c r="AF331" s="28"/>
      <c r="AG331" s="96">
        <f ca="1">AG330/AG328</f>
        <v>0.29419356065530766</v>
      </c>
      <c r="AH331" s="111"/>
      <c r="AI331" s="28"/>
      <c r="AJ331" s="96">
        <f ca="1">AJ330/AJ328</f>
        <v>0.25895991737147722</v>
      </c>
      <c r="AK331" s="111"/>
      <c r="AL331" s="28"/>
      <c r="AM331" s="96">
        <f ca="1">AM330/AM328</f>
        <v>0.21528675238018974</v>
      </c>
      <c r="AN331" s="111"/>
      <c r="AO331" s="28"/>
      <c r="AP331" s="96">
        <f ca="1">AP330/AP328</f>
        <v>0.16303022754051097</v>
      </c>
      <c r="AQ331" s="111"/>
      <c r="AR331" s="28"/>
      <c r="AS331" s="96">
        <f ca="1">AS330/AS328</f>
        <v>7.3381614613854285E-2</v>
      </c>
      <c r="AT331" s="111"/>
      <c r="AU331" s="28"/>
    </row>
    <row r="332" spans="15:47" x14ac:dyDescent="0.25">
      <c r="O332" s="2" t="s">
        <v>21</v>
      </c>
      <c r="P332" s="8">
        <v>12</v>
      </c>
      <c r="Q332" s="2"/>
      <c r="R332" s="96">
        <f ca="1">1-R331/(3*F_GAMMA*R$29)</f>
        <v>0.82568471467420756</v>
      </c>
      <c r="S332" s="106"/>
      <c r="T332" s="22"/>
      <c r="U332" s="96">
        <f ca="1">1-U331/(3*F_GAMMA*U$29)</f>
        <v>0.82587088516598262</v>
      </c>
      <c r="V332" s="111"/>
      <c r="W332" s="28"/>
      <c r="X332" s="96">
        <f ca="1">1-X331/(3*F_GAMMA*X$29)</f>
        <v>0.82494981532976619</v>
      </c>
      <c r="Y332" s="111"/>
      <c r="Z332" s="28"/>
      <c r="AA332" s="96">
        <f ca="1">1-AA331/(3*F_GAMMA*AA$29)</f>
        <v>0.82501267342263862</v>
      </c>
      <c r="AB332" s="111"/>
      <c r="AC332" s="28"/>
      <c r="AD332" s="96">
        <f ca="1">1-AD331/(3*F_GAMMA*AD$29)</f>
        <v>0.82617561944846596</v>
      </c>
      <c r="AE332" s="111"/>
      <c r="AF332" s="28"/>
      <c r="AG332" s="96">
        <f ca="1">1-AG331/(3*F_GAMMA*AG$29)</f>
        <v>0.82861225514753367</v>
      </c>
      <c r="AH332" s="111"/>
      <c r="AI332" s="28"/>
      <c r="AJ332" s="96">
        <f ca="1">1-AJ331/(3*F_GAMMA*AJ$29)</f>
        <v>0.8376934081906281</v>
      </c>
      <c r="AK332" s="111"/>
      <c r="AL332" s="28"/>
      <c r="AM332" s="96">
        <f ca="1">1-AM331/(3*F_GAMMA*AM$29)</f>
        <v>0.84913283102533921</v>
      </c>
      <c r="AN332" s="111"/>
      <c r="AO332" s="28"/>
      <c r="AP332" s="96">
        <f ca="1">1-AP331/(3*F_GAMMA*AP$29)</f>
        <v>0.90797699810449362</v>
      </c>
      <c r="AQ332" s="111"/>
      <c r="AR332" s="28"/>
      <c r="AS332" s="96">
        <f ca="1">1-AS331/(3*F_GAMMA*AS$29)</f>
        <v>0.93506453290485192</v>
      </c>
      <c r="AT332" s="111"/>
      <c r="AU332" s="28"/>
    </row>
    <row r="333" spans="15:47" x14ac:dyDescent="0.25">
      <c r="O333" s="2" t="s">
        <v>57</v>
      </c>
      <c r="P333" s="143">
        <v>7</v>
      </c>
      <c r="Q333" s="2"/>
      <c r="R333" s="96">
        <f ca="1">(R326/(N_9*R$27*R328*R332))*SQRT(M*'Valve Sizing'!$W$6*'Valve Sizing'!$G$8/R331)</f>
        <v>0.19502906289551794</v>
      </c>
      <c r="S333" s="107"/>
      <c r="T333" s="22"/>
      <c r="U333" s="96">
        <f ca="1">(U326/(N_9*U$27*U328*U332))*SQRT(M*'Valve Sizing'!$W$6*'Valve Sizing'!$G$8/U331)</f>
        <v>5.8348133616522331</v>
      </c>
      <c r="V333" s="111"/>
      <c r="W333" s="28"/>
      <c r="X333" s="96">
        <f ca="1">(X326/(N_9*X$27*X328*X332))*SQRT(M*'Valve Sizing'!$W$6*'Valve Sizing'!$G$8/X331)</f>
        <v>14.396634829002187</v>
      </c>
      <c r="Y333" s="111"/>
      <c r="Z333" s="28"/>
      <c r="AA333" s="96">
        <f ca="1">(AA326/(N_9*AA$27*AA328*AA332))*SQRT(M*'Valve Sizing'!$W$6*'Valve Sizing'!$G$8/AA331)</f>
        <v>28.610604741727634</v>
      </c>
      <c r="AB333" s="111"/>
      <c r="AC333" s="28"/>
      <c r="AD333" s="96">
        <f ca="1">(AD326/(N_9*AD$27*AD328*AD332))*SQRT(M*'Valve Sizing'!$W$6*'Valve Sizing'!$G$8/AD331)</f>
        <v>50.319693515797027</v>
      </c>
      <c r="AE333" s="111"/>
      <c r="AF333" s="28"/>
      <c r="AG333" s="96">
        <f ca="1">(AG326/(N_9*AG$27*AG328*AG332))*SQRT(M*'Valve Sizing'!$W$6*'Valve Sizing'!$G$8/AG331)</f>
        <v>80.142681608545487</v>
      </c>
      <c r="AH333" s="111"/>
      <c r="AI333" s="28"/>
      <c r="AJ333" s="96">
        <f ca="1">(AJ326/(N_9*AJ$27*AJ328*AJ332))*SQRT(M*'Valve Sizing'!$W$6*'Valve Sizing'!$G$8/AJ331)</f>
        <v>122.66746591617688</v>
      </c>
      <c r="AK333" s="111"/>
      <c r="AL333" s="28"/>
      <c r="AM333" s="96">
        <f ca="1">(AM326/(N_9*AM$27*AM328*AM332))*SQRT(M*'Valve Sizing'!$W$6*'Valve Sizing'!$G$8/AM331)</f>
        <v>181.95413625660655</v>
      </c>
      <c r="AN333" s="111"/>
      <c r="AO333" s="28"/>
      <c r="AP333" s="96">
        <f ca="1">(AP326/(N_9*AP$27*AP328*AP332))*SQRT(M*'Valve Sizing'!$W$6*'Valve Sizing'!$G$8/AP331)</f>
        <v>275.59616272627778</v>
      </c>
      <c r="AQ333" s="111"/>
      <c r="AR333" s="28"/>
      <c r="AS333" s="96">
        <f ca="1">(AS326/(N_9*AS$27*AS328*AS332))*SQRT(M*'Valve Sizing'!$W$6*'Valve Sizing'!$G$8/AS331)</f>
        <v>693.56473662531005</v>
      </c>
      <c r="AT333" s="111"/>
      <c r="AU333" s="28"/>
    </row>
    <row r="334" spans="15:47" x14ac:dyDescent="0.25">
      <c r="O334" s="2" t="s">
        <v>59</v>
      </c>
      <c r="P334" s="143">
        <v>7</v>
      </c>
      <c r="Q334" s="2"/>
      <c r="R334" s="96">
        <f ca="1">(R326/(N_9*R$27*R328*0.667))*SQRT(M*'Valve Sizing'!$W$6*'Valve Sizing'!$G$8/R335)</f>
        <v>0.1745886906255199</v>
      </c>
      <c r="S334" s="107"/>
      <c r="T334" s="22"/>
      <c r="U334" s="96">
        <f ca="1">(U326/(N_9*U$27*U328*0.667))*SQRT(M*'Valve Sizing'!$W$6*'Valve Sizing'!$G$8/U335)</f>
        <v>5.221672316585801</v>
      </c>
      <c r="V334" s="111"/>
      <c r="W334" s="28"/>
      <c r="X334" s="96">
        <f ca="1">(X326/(N_9*X$27*X328*0.667))*SQRT(M*'Valve Sizing'!$W$6*'Valve Sizing'!$G$8/X335)</f>
        <v>12.903413019493492</v>
      </c>
      <c r="Y334" s="111"/>
      <c r="Z334" s="28"/>
      <c r="AA334" s="96">
        <f ca="1">(AA326/(N_9*AA$27*AA328*0.667))*SQRT(M*'Valve Sizing'!$W$6*'Valve Sizing'!$G$8/AA335)</f>
        <v>25.640456266606911</v>
      </c>
      <c r="AB334" s="111"/>
      <c r="AC334" s="28"/>
      <c r="AD334" s="96">
        <f ca="1">(AD326/(N_9*AD$27*AD328*0.667))*SQRT(M*'Valve Sizing'!$W$6*'Valve Sizing'!$G$8/AD335)</f>
        <v>45.009117800570607</v>
      </c>
      <c r="AE334" s="111"/>
      <c r="AF334" s="28"/>
      <c r="AG334" s="96">
        <f ca="1">(AG326/(N_9*AG$27*AG328*0.667))*SQRT(M*'Valve Sizing'!$W$6*'Valve Sizing'!$G$8/AG335)</f>
        <v>71.390413563077971</v>
      </c>
      <c r="AH334" s="111"/>
      <c r="AI334" s="28"/>
      <c r="AJ334" s="96">
        <f ca="1">(AJ326/(N_9*AJ$27*AJ328*0.667))*SQRT(M*'Valve Sizing'!$W$6*'Valve Sizing'!$G$8/AJ335)</f>
        <v>107.50220301825971</v>
      </c>
      <c r="AK334" s="111"/>
      <c r="AL334" s="28"/>
      <c r="AM334" s="96">
        <f ca="1">(AM326/(N_9*AM$27*AM328*0.667))*SQRT(M*'Valve Sizing'!$W$6*'Valve Sizing'!$G$8/AM335)</f>
        <v>155.83669508955026</v>
      </c>
      <c r="AN334" s="111"/>
      <c r="AO334" s="28"/>
      <c r="AP334" s="96">
        <f ca="1">(AP326/(N_9*AP$27*AP328*0.667))*SQRT(M*'Valve Sizing'!$W$6*'Valve Sizing'!$G$8/AP335)</f>
        <v>197.12014257260253</v>
      </c>
      <c r="AQ334" s="111"/>
      <c r="AR334" s="28"/>
      <c r="AS334" s="96">
        <f ca="1">(AS326/(N_9*AS$27*AS328*0.667))*SQRT(M*'Valve Sizing'!$W$6*'Valve Sizing'!$G$8/AS335)</f>
        <v>429.14530568925659</v>
      </c>
      <c r="AT334" s="111"/>
      <c r="AU334" s="28"/>
    </row>
    <row r="335" spans="15:47" ht="15.6" x14ac:dyDescent="0.35">
      <c r="O335" s="2" t="s">
        <v>68</v>
      </c>
      <c r="P335" s="143">
        <v>10</v>
      </c>
      <c r="Q335" s="2"/>
      <c r="R335" s="96">
        <f ca="1">F_GAMMA*R$29</f>
        <v>0.64002969751372984</v>
      </c>
      <c r="S335" s="107"/>
      <c r="T335" s="1"/>
      <c r="U335" s="96">
        <f ca="1">F_GAMMA*U$29</f>
        <v>0.64017842058782071</v>
      </c>
      <c r="V335" s="111"/>
      <c r="W335" s="28"/>
      <c r="X335" s="96">
        <f ca="1">F_GAMMA*X$29</f>
        <v>0.63413873724904268</v>
      </c>
      <c r="Y335" s="111"/>
      <c r="Z335" s="28"/>
      <c r="AA335" s="96">
        <f ca="1">F_GAMMA*AA$29</f>
        <v>0.62532411750377137</v>
      </c>
      <c r="AB335" s="111"/>
      <c r="AC335" s="28"/>
      <c r="AD335" s="96">
        <f ca="1">F_GAMMA*AD$29</f>
        <v>0.60651359509139569</v>
      </c>
      <c r="AE335" s="111"/>
      <c r="AF335" s="28"/>
      <c r="AG335" s="96">
        <f ca="1">F_GAMMA*AG$29</f>
        <v>0.57217930198481592</v>
      </c>
      <c r="AH335" s="111"/>
      <c r="AI335" s="28"/>
      <c r="AJ335" s="96">
        <f ca="1">F_GAMMA*AJ$29</f>
        <v>0.53183282018848232</v>
      </c>
      <c r="AK335" s="111"/>
      <c r="AL335" s="28"/>
      <c r="AM335" s="96">
        <f ca="1">F_GAMMA*AM$29</f>
        <v>0.47566512503094399</v>
      </c>
      <c r="AN335" s="111"/>
      <c r="AO335" s="28"/>
      <c r="AP335" s="96">
        <f ca="1">F_GAMMA*AP$29</f>
        <v>0.59054158265645496</v>
      </c>
      <c r="AQ335" s="111"/>
      <c r="AR335" s="28"/>
      <c r="AS335" s="96">
        <f ca="1">F_GAMMA*AS$29</f>
        <v>0.3766899554102966</v>
      </c>
      <c r="AT335" s="111"/>
      <c r="AU335" s="28"/>
    </row>
    <row r="336" spans="15:47" x14ac:dyDescent="0.25">
      <c r="O336" s="2" t="s">
        <v>145</v>
      </c>
      <c r="P336" s="12"/>
      <c r="Q336" s="2"/>
      <c r="R336" s="96">
        <f ca="1">IF(R331&lt;R335,R333,R334)</f>
        <v>0.19502906289551794</v>
      </c>
      <c r="S336" s="116"/>
      <c r="T336" s="1"/>
      <c r="U336" s="96">
        <f ca="1">IF(U331&lt;U335,U333,U334)</f>
        <v>5.8348133616522331</v>
      </c>
      <c r="V336" s="111"/>
      <c r="W336" s="28"/>
      <c r="X336" s="96">
        <f ca="1">IF(X331&lt;X335,X333,X334)</f>
        <v>14.396634829002187</v>
      </c>
      <c r="Y336" s="111"/>
      <c r="Z336" s="28"/>
      <c r="AA336" s="96">
        <f ca="1">IF(AA331&lt;AA335,AA333,AA334)</f>
        <v>28.610604741727634</v>
      </c>
      <c r="AB336" s="111"/>
      <c r="AC336" s="28"/>
      <c r="AD336" s="96">
        <f ca="1">IF(AD331&lt;AD335,AD333,AD334)</f>
        <v>50.319693515797027</v>
      </c>
      <c r="AE336" s="111"/>
      <c r="AF336" s="28"/>
      <c r="AG336" s="96">
        <f ca="1">IF(AG331&lt;AG335,AG333,AG334)</f>
        <v>80.142681608545487</v>
      </c>
      <c r="AH336" s="111"/>
      <c r="AI336" s="28"/>
      <c r="AJ336" s="96">
        <f ca="1">IF(AJ331&lt;AJ335,AJ333,AJ334)</f>
        <v>122.66746591617688</v>
      </c>
      <c r="AK336" s="111"/>
      <c r="AL336" s="28"/>
      <c r="AM336" s="96">
        <f ca="1">IF(AM331&lt;AM335,AM333,AM334)</f>
        <v>181.95413625660655</v>
      </c>
      <c r="AN336" s="111"/>
      <c r="AO336" s="28"/>
      <c r="AP336" s="96">
        <f ca="1">IF(AP331&lt;AP335,AP333,AP334)</f>
        <v>275.59616272627778</v>
      </c>
      <c r="AQ336" s="111"/>
      <c r="AR336" s="28"/>
      <c r="AS336" s="96">
        <f ca="1">IF(AS331&lt;AS335,AS333,AS334)</f>
        <v>693.56473662531005</v>
      </c>
      <c r="AT336" s="111"/>
      <c r="AU336" s="28"/>
    </row>
    <row r="337" spans="15:47" x14ac:dyDescent="0.25">
      <c r="O337" s="13" t="s">
        <v>143</v>
      </c>
      <c r="P337" s="1"/>
      <c r="Q337" s="1"/>
      <c r="R337" s="113"/>
      <c r="S337" s="106">
        <f ca="1">IF(R330&lt;=0,Q_max,ABS(R$23-R336))</f>
        <v>4.5349709371044824</v>
      </c>
      <c r="T337" s="7">
        <f>R326</f>
        <v>482.93676715619483</v>
      </c>
      <c r="U337" s="98"/>
      <c r="V337" s="106">
        <f ca="1">IF(U330&lt;=0,Q_max,ABS(U$23-U336))</f>
        <v>5.7651866383477666</v>
      </c>
      <c r="W337" s="9">
        <f ca="1">U326</f>
        <v>14430.01470496945</v>
      </c>
      <c r="X337" s="98"/>
      <c r="Y337" s="106">
        <f ca="1">IF(X330&lt;=0,Q_max,ABS(X$23-X336))</f>
        <v>8.6033651709978134</v>
      </c>
      <c r="Z337" s="9">
        <f ca="1">X326</f>
        <v>35333.805502246265</v>
      </c>
      <c r="AA337" s="98"/>
      <c r="AB337" s="106">
        <f ca="1">IF(AA330&lt;=0,Q_max,ABS(AA$23-AA336))</f>
        <v>10.789395258272364</v>
      </c>
      <c r="AC337" s="9">
        <f ca="1">AA326</f>
        <v>68821.234326585225</v>
      </c>
      <c r="AD337" s="98"/>
      <c r="AE337" s="106">
        <f ca="1">IF(AD330&lt;=0,Q_max,ABS(AD$23-AD336))</f>
        <v>10.680306484202973</v>
      </c>
      <c r="AF337" s="9">
        <f ca="1">AD326</f>
        <v>115460.62239111737</v>
      </c>
      <c r="AG337" s="98"/>
      <c r="AH337" s="106">
        <f ca="1">IF(AG330&lt;=0,Q_max,ABS(AG$23-AG336))</f>
        <v>8.0573183914545154</v>
      </c>
      <c r="AI337" s="9">
        <f ca="1">AG326</f>
        <v>168517.92308171638</v>
      </c>
      <c r="AJ337" s="98"/>
      <c r="AK337" s="106">
        <f ca="1">IF(AJ330&lt;=0,Q_max,ABS(AJ$23-AJ336))</f>
        <v>1.6674659161768801</v>
      </c>
      <c r="AL337" s="9">
        <f ca="1">AJ326</f>
        <v>224887.82162360943</v>
      </c>
      <c r="AM337" s="98"/>
      <c r="AN337" s="106">
        <f ca="1">IF(AM330&lt;=0,Q_max,ABS(AM$23-AM336))</f>
        <v>16.954136256606546</v>
      </c>
      <c r="AO337" s="9">
        <f ca="1">AM326</f>
        <v>274405.88005072327</v>
      </c>
      <c r="AP337" s="98"/>
      <c r="AQ337" s="106">
        <f ca="1">IF(AP330&lt;=0,Q_max,ABS(AP$23-AP336))</f>
        <v>29.596162726277782</v>
      </c>
      <c r="AR337" s="9">
        <f ca="1">AP326</f>
        <v>318576.70790987328</v>
      </c>
      <c r="AS337" s="98"/>
      <c r="AT337" s="106">
        <f ca="1">IF(AS330&lt;=0,Q_max,ABS(AS$23-AS336))</f>
        <v>273.56473662531005</v>
      </c>
      <c r="AU337" s="9">
        <f ca="1">AS326</f>
        <v>373556.2444652121</v>
      </c>
    </row>
    <row r="338" spans="15:47" x14ac:dyDescent="0.25">
      <c r="O338" s="21"/>
      <c r="P338" s="14"/>
      <c r="Q338" s="21"/>
      <c r="R338" s="97"/>
      <c r="S338" s="106"/>
      <c r="T338" s="28"/>
      <c r="U338" s="97"/>
      <c r="V338" s="111"/>
      <c r="W338" s="28"/>
      <c r="X338" s="97"/>
      <c r="Y338" s="111"/>
      <c r="Z338" s="28"/>
      <c r="AA338" s="97"/>
      <c r="AB338" s="111"/>
      <c r="AC338" s="28"/>
      <c r="AD338" s="97"/>
      <c r="AE338" s="111"/>
      <c r="AF338" s="28"/>
      <c r="AG338" s="97"/>
      <c r="AH338" s="111"/>
      <c r="AI338" s="28"/>
      <c r="AJ338" s="97"/>
      <c r="AK338" s="111"/>
      <c r="AL338" s="28"/>
      <c r="AM338" s="97"/>
      <c r="AN338" s="111"/>
      <c r="AO338" s="28"/>
      <c r="AP338" s="97"/>
      <c r="AQ338" s="111"/>
      <c r="AR338" s="28"/>
      <c r="AS338" s="97"/>
      <c r="AT338" s="111"/>
      <c r="AU338" s="28"/>
    </row>
    <row r="339" spans="15:47" x14ac:dyDescent="0.25">
      <c r="O339" s="1"/>
      <c r="P339" s="1"/>
      <c r="Q339" s="1"/>
      <c r="R339" s="98"/>
      <c r="S339" s="108" t="s">
        <v>137</v>
      </c>
      <c r="T339" s="26" t="s">
        <v>146</v>
      </c>
      <c r="U339" s="98"/>
      <c r="V339" s="108" t="s">
        <v>137</v>
      </c>
      <c r="W339" s="26" t="s">
        <v>146</v>
      </c>
      <c r="X339" s="98"/>
      <c r="Y339" s="108" t="s">
        <v>137</v>
      </c>
      <c r="Z339" s="26" t="s">
        <v>146</v>
      </c>
      <c r="AA339" s="98"/>
      <c r="AB339" s="108" t="s">
        <v>137</v>
      </c>
      <c r="AC339" s="26" t="s">
        <v>146</v>
      </c>
      <c r="AD339" s="98"/>
      <c r="AE339" s="108" t="s">
        <v>137</v>
      </c>
      <c r="AF339" s="26" t="s">
        <v>146</v>
      </c>
      <c r="AG339" s="98"/>
      <c r="AH339" s="108" t="s">
        <v>137</v>
      </c>
      <c r="AI339" s="26" t="s">
        <v>146</v>
      </c>
      <c r="AJ339" s="98"/>
      <c r="AK339" s="108" t="s">
        <v>137</v>
      </c>
      <c r="AL339" s="26" t="s">
        <v>146</v>
      </c>
      <c r="AM339" s="98"/>
      <c r="AN339" s="108" t="s">
        <v>137</v>
      </c>
      <c r="AO339" s="26" t="s">
        <v>146</v>
      </c>
      <c r="AP339" s="98"/>
      <c r="AQ339" s="108" t="s">
        <v>137</v>
      </c>
      <c r="AR339" s="26" t="s">
        <v>146</v>
      </c>
      <c r="AS339" s="98"/>
      <c r="AT339" s="108" t="s">
        <v>137</v>
      </c>
      <c r="AU339" s="26" t="s">
        <v>146</v>
      </c>
    </row>
    <row r="340" spans="15:47" ht="13.8" x14ac:dyDescent="0.25">
      <c r="O340" s="20" t="s">
        <v>136</v>
      </c>
      <c r="P340" s="1"/>
      <c r="Q340" s="1"/>
      <c r="R340" s="96">
        <f>R326*1.02</f>
        <v>492.59550249931874</v>
      </c>
      <c r="S340" s="109" t="s">
        <v>144</v>
      </c>
      <c r="T340" s="23" t="s">
        <v>147</v>
      </c>
      <c r="U340" s="96">
        <f ca="1">U326*1.01</f>
        <v>14574.314852019144</v>
      </c>
      <c r="V340" s="109" t="s">
        <v>144</v>
      </c>
      <c r="W340" s="23" t="s">
        <v>147</v>
      </c>
      <c r="X340" s="96">
        <f ca="1">X326*1.01</f>
        <v>35687.143557268726</v>
      </c>
      <c r="Y340" s="109" t="s">
        <v>144</v>
      </c>
      <c r="Z340" s="23" t="s">
        <v>147</v>
      </c>
      <c r="AA340" s="96">
        <f ca="1">AA326*1.01</f>
        <v>69509.446669851081</v>
      </c>
      <c r="AB340" s="109" t="s">
        <v>144</v>
      </c>
      <c r="AC340" s="23" t="s">
        <v>147</v>
      </c>
      <c r="AD340" s="96">
        <f ca="1">AD326*1.01</f>
        <v>116615.22861502855</v>
      </c>
      <c r="AE340" s="109" t="s">
        <v>144</v>
      </c>
      <c r="AF340" s="23" t="s">
        <v>147</v>
      </c>
      <c r="AG340" s="96">
        <f ca="1">AG326*1.01</f>
        <v>170203.10231253353</v>
      </c>
      <c r="AH340" s="109" t="s">
        <v>144</v>
      </c>
      <c r="AI340" s="23" t="s">
        <v>147</v>
      </c>
      <c r="AJ340" s="96">
        <f ca="1">AJ326*1.01</f>
        <v>227136.69983984553</v>
      </c>
      <c r="AK340" s="109" t="s">
        <v>144</v>
      </c>
      <c r="AL340" s="23" t="s">
        <v>147</v>
      </c>
      <c r="AM340" s="96">
        <f ca="1">AM326*1.01</f>
        <v>277149.93885123049</v>
      </c>
      <c r="AN340" s="109" t="s">
        <v>144</v>
      </c>
      <c r="AO340" s="23" t="s">
        <v>147</v>
      </c>
      <c r="AP340" s="96">
        <f ca="1">AP326*1.01</f>
        <v>321762.47498897201</v>
      </c>
      <c r="AQ340" s="109" t="s">
        <v>144</v>
      </c>
      <c r="AR340" s="23" t="s">
        <v>147</v>
      </c>
      <c r="AS340" s="96">
        <f ca="1">AS326*1.01</f>
        <v>377291.80690986424</v>
      </c>
      <c r="AT340" s="109" t="s">
        <v>144</v>
      </c>
      <c r="AU340" s="23" t="s">
        <v>147</v>
      </c>
    </row>
    <row r="341" spans="15:47" x14ac:dyDescent="0.25">
      <c r="O341" s="1"/>
      <c r="P341" s="1"/>
      <c r="Q341" s="1"/>
      <c r="R341" s="98"/>
      <c r="S341" s="107"/>
      <c r="T341" s="1"/>
      <c r="U341" s="47"/>
      <c r="V341" s="107"/>
      <c r="W341" s="1"/>
      <c r="X341" s="47"/>
      <c r="Y341" s="107"/>
      <c r="Z341" s="1"/>
      <c r="AA341" s="47"/>
      <c r="AB341" s="107"/>
      <c r="AC341" s="1"/>
      <c r="AD341" s="47"/>
      <c r="AE341" s="107"/>
      <c r="AF341" s="1"/>
      <c r="AG341" s="47"/>
      <c r="AH341" s="107"/>
      <c r="AI341" s="1"/>
      <c r="AJ341" s="47"/>
      <c r="AK341" s="107"/>
      <c r="AL341" s="1"/>
      <c r="AM341" s="47"/>
      <c r="AN341" s="107"/>
      <c r="AO341" s="1"/>
      <c r="AP341" s="47"/>
      <c r="AQ341" s="107"/>
      <c r="AR341" s="1"/>
      <c r="AS341" s="47"/>
      <c r="AT341" s="107"/>
      <c r="AU341" s="1"/>
    </row>
    <row r="342" spans="15:47" x14ac:dyDescent="0.25">
      <c r="O342" s="8" t="s">
        <v>132</v>
      </c>
      <c r="P342" s="8"/>
      <c r="Q342" s="8"/>
      <c r="R342" s="96">
        <f>P_1_minQ-(R340^2*R_up)+dpup_minQ</f>
        <v>90.184996304585468</v>
      </c>
      <c r="S342" s="106"/>
      <c r="T342" s="22"/>
      <c r="U342" s="96">
        <f ca="1">P_1_minQ-(U340^2*R_up)+dpup_minQ</f>
        <v>90.146326371016997</v>
      </c>
      <c r="V342" s="107"/>
      <c r="W342" s="1"/>
      <c r="X342" s="96">
        <f ca="1">P_1_minQ-(X340^2*R_up)+dpup_minQ</f>
        <v>89.952918097818753</v>
      </c>
      <c r="Y342" s="107"/>
      <c r="Z342" s="1"/>
      <c r="AA342" s="96">
        <f ca="1">P_1_minQ-(AA340^2*R_up)+dpup_minQ</f>
        <v>89.304435423208574</v>
      </c>
      <c r="AB342" s="107"/>
      <c r="AC342" s="1"/>
      <c r="AD342" s="96">
        <f ca="1">P_1_minQ-(AD340^2*R_up)+dpup_minQ</f>
        <v>87.706454068550357</v>
      </c>
      <c r="AE342" s="107"/>
      <c r="AF342" s="1"/>
      <c r="AG342" s="96">
        <f ca="1">P_1_minQ-(AG340^2*R_up)+dpup_minQ</f>
        <v>84.905106689914533</v>
      </c>
      <c r="AH342" s="107"/>
      <c r="AI342" s="1"/>
      <c r="AJ342" s="96">
        <f ca="1">P_1_minQ-(AJ340^2*R_up)+dpup_minQ</f>
        <v>80.782003204126397</v>
      </c>
      <c r="AK342" s="107"/>
      <c r="AL342" s="1"/>
      <c r="AM342" s="96">
        <f ca="1">P_1_minQ-(AM340^2*R_up)+dpup_minQ</f>
        <v>76.185199269805494</v>
      </c>
      <c r="AN342" s="107"/>
      <c r="AO342" s="1"/>
      <c r="AP342" s="96">
        <f ca="1">P_1_minQ-(AP340^2*R_up)+dpup_minQ</f>
        <v>71.31536967252508</v>
      </c>
      <c r="AQ342" s="107"/>
      <c r="AR342" s="1"/>
      <c r="AS342" s="96">
        <f ca="1">P_1_minQ-(AS340^2*R_up)+dpup_minQ</f>
        <v>64.240362477469148</v>
      </c>
      <c r="AT342" s="107"/>
      <c r="AU342" s="1"/>
    </row>
    <row r="343" spans="15:47" x14ac:dyDescent="0.25">
      <c r="O343" s="8" t="s">
        <v>134</v>
      </c>
      <c r="P343" s="1"/>
      <c r="Q343" s="8"/>
      <c r="R343" s="97">
        <f>P_2_minQ+(R340^2*R_dn)-dpdn_minQ</f>
        <v>60</v>
      </c>
      <c r="S343" s="106"/>
      <c r="T343" s="22"/>
      <c r="U343" s="97">
        <f ca="1">P_2_minQ+(U340^2*R_dn)-dpdn_minQ</f>
        <v>60</v>
      </c>
      <c r="V343" s="107"/>
      <c r="W343" s="1"/>
      <c r="X343" s="97">
        <f ca="1">P_2_minQ+(X340^2*R_dn)-dpdn_minQ</f>
        <v>60</v>
      </c>
      <c r="Y343" s="107"/>
      <c r="Z343" s="1"/>
      <c r="AA343" s="97">
        <f ca="1">P_2_minQ+(AA340^2*R_dn)-dpdn_minQ</f>
        <v>60</v>
      </c>
      <c r="AB343" s="107"/>
      <c r="AC343" s="1"/>
      <c r="AD343" s="97">
        <f ca="1">P_2_minQ+(AD340^2*R_dn)-dpdn_minQ</f>
        <v>60</v>
      </c>
      <c r="AE343" s="107"/>
      <c r="AF343" s="1"/>
      <c r="AG343" s="97">
        <f ca="1">P_2_minQ+(AG340^2*R_dn)-dpdn_minQ</f>
        <v>60</v>
      </c>
      <c r="AH343" s="107"/>
      <c r="AI343" s="1"/>
      <c r="AJ343" s="97">
        <f ca="1">P_2_minQ+(AJ340^2*R_dn)-dpdn_minQ</f>
        <v>60</v>
      </c>
      <c r="AK343" s="107"/>
      <c r="AL343" s="1"/>
      <c r="AM343" s="97">
        <f ca="1">P_2_minQ+(AM340^2*R_dn)-dpdn_minQ</f>
        <v>60</v>
      </c>
      <c r="AN343" s="107"/>
      <c r="AO343" s="1"/>
      <c r="AP343" s="97">
        <f ca="1">P_2_minQ+(AP340^2*R_dn)-dpdn_minQ</f>
        <v>60</v>
      </c>
      <c r="AQ343" s="107"/>
      <c r="AR343" s="1"/>
      <c r="AS343" s="97">
        <f ca="1">P_2_minQ+(AS340^2*R_dn)-dpdn_minQ</f>
        <v>60</v>
      </c>
      <c r="AT343" s="107"/>
      <c r="AU343" s="1"/>
    </row>
    <row r="344" spans="15:47" x14ac:dyDescent="0.25">
      <c r="O344" s="8" t="s">
        <v>138</v>
      </c>
      <c r="P344" s="1"/>
      <c r="Q344" s="8"/>
      <c r="R344" s="97">
        <f>R342-R343</f>
        <v>30.184996304585468</v>
      </c>
      <c r="S344" s="106"/>
      <c r="T344" s="22"/>
      <c r="U344" s="97">
        <f ca="1">U342-U343</f>
        <v>30.146326371016997</v>
      </c>
      <c r="V344" s="110"/>
      <c r="W344" s="25"/>
      <c r="X344" s="97">
        <f ca="1">X342-X343</f>
        <v>29.952918097818753</v>
      </c>
      <c r="Y344" s="110"/>
      <c r="Z344" s="25"/>
      <c r="AA344" s="97">
        <f ca="1">AA342-AA343</f>
        <v>29.304435423208574</v>
      </c>
      <c r="AB344" s="110"/>
      <c r="AC344" s="25"/>
      <c r="AD344" s="97">
        <f ca="1">AD342-AD343</f>
        <v>27.706454068550357</v>
      </c>
      <c r="AE344" s="110"/>
      <c r="AF344" s="25"/>
      <c r="AG344" s="97">
        <f ca="1">AG342-AG343</f>
        <v>24.905106689914533</v>
      </c>
      <c r="AH344" s="110"/>
      <c r="AI344" s="25"/>
      <c r="AJ344" s="97">
        <f ca="1">AJ342-AJ343</f>
        <v>20.782003204126397</v>
      </c>
      <c r="AK344" s="110"/>
      <c r="AL344" s="25"/>
      <c r="AM344" s="97">
        <f ca="1">AM342-AM343</f>
        <v>16.185199269805494</v>
      </c>
      <c r="AN344" s="110"/>
      <c r="AO344" s="25"/>
      <c r="AP344" s="97">
        <f ca="1">AP342-AP343</f>
        <v>11.31536967252508</v>
      </c>
      <c r="AQ344" s="110"/>
      <c r="AR344" s="25"/>
      <c r="AS344" s="97">
        <f ca="1">AS342-AS343</f>
        <v>4.240362477469148</v>
      </c>
      <c r="AT344" s="110"/>
      <c r="AU344" s="25"/>
    </row>
    <row r="345" spans="15:47" ht="14.4" x14ac:dyDescent="0.3">
      <c r="O345" s="2" t="s">
        <v>140</v>
      </c>
      <c r="P345" s="11"/>
      <c r="Q345" s="2"/>
      <c r="R345" s="96">
        <f>R344/R342</f>
        <v>0.33470086534838289</v>
      </c>
      <c r="S345" s="106"/>
      <c r="T345" s="22"/>
      <c r="U345" s="96">
        <f ca="1">U344/U342</f>
        <v>0.33441547298270563</v>
      </c>
      <c r="V345" s="111"/>
      <c r="W345" s="28"/>
      <c r="X345" s="96">
        <f ca="1">X344/X342</f>
        <v>0.33298439596197016</v>
      </c>
      <c r="Y345" s="111"/>
      <c r="Z345" s="28"/>
      <c r="AA345" s="96">
        <f ca="1">AA344/AA342</f>
        <v>0.32814087323139712</v>
      </c>
      <c r="AB345" s="111"/>
      <c r="AC345" s="28"/>
      <c r="AD345" s="96">
        <f ca="1">AD344/AD342</f>
        <v>0.31589983157790547</v>
      </c>
      <c r="AE345" s="111"/>
      <c r="AF345" s="28"/>
      <c r="AG345" s="96">
        <f ca="1">AG344/AG342</f>
        <v>0.29332872498319218</v>
      </c>
      <c r="AH345" s="111"/>
      <c r="AI345" s="28"/>
      <c r="AJ345" s="96">
        <f ca="1">AJ344/AJ342</f>
        <v>0.25726031021554119</v>
      </c>
      <c r="AK345" s="111"/>
      <c r="AL345" s="28"/>
      <c r="AM345" s="96">
        <f ca="1">AM344/AM342</f>
        <v>0.21244545429994274</v>
      </c>
      <c r="AN345" s="111"/>
      <c r="AO345" s="28"/>
      <c r="AP345" s="96">
        <f ca="1">AP344/AP342</f>
        <v>0.1586666341979916</v>
      </c>
      <c r="AQ345" s="111"/>
      <c r="AR345" s="28"/>
      <c r="AS345" s="96">
        <f ca="1">AS344/AS342</f>
        <v>6.6007760758765313E-2</v>
      </c>
      <c r="AT345" s="111"/>
      <c r="AU345" s="28"/>
    </row>
    <row r="346" spans="15:47" x14ac:dyDescent="0.25">
      <c r="O346" s="2" t="s">
        <v>21</v>
      </c>
      <c r="P346" s="8">
        <v>12</v>
      </c>
      <c r="Q346" s="2"/>
      <c r="R346" s="96">
        <f ca="1">1-R345/(3*F_GAMMA*R$29)</f>
        <v>0.82568472127227455</v>
      </c>
      <c r="S346" s="106"/>
      <c r="T346" s="22"/>
      <c r="U346" s="96">
        <f ca="1">1-U345/(3*F_GAMMA*U$29)</f>
        <v>0.82587381776284563</v>
      </c>
      <c r="V346" s="111"/>
      <c r="W346" s="28"/>
      <c r="X346" s="96">
        <f ca="1">1-X345/(3*F_GAMMA*X$29)</f>
        <v>0.82496764172537917</v>
      </c>
      <c r="Y346" s="111"/>
      <c r="Z346" s="28"/>
      <c r="AA346" s="96">
        <f ca="1">1-AA345/(3*F_GAMMA*AA$29)</f>
        <v>0.82508224452661916</v>
      </c>
      <c r="AB346" s="111"/>
      <c r="AC346" s="28"/>
      <c r="AD346" s="96">
        <f ca="1">1-AD345/(3*F_GAMMA*AD$29)</f>
        <v>0.82638485812764984</v>
      </c>
      <c r="AE346" s="111"/>
      <c r="AF346" s="28"/>
      <c r="AG346" s="96">
        <f ca="1">1-AG345/(3*F_GAMMA*AG$29)</f>
        <v>0.829116080707759</v>
      </c>
      <c r="AH346" s="111"/>
      <c r="AI346" s="28"/>
      <c r="AJ346" s="96">
        <f ca="1">1-AJ345/(3*F_GAMMA*AJ$29)</f>
        <v>0.83875865970790864</v>
      </c>
      <c r="AK346" s="111"/>
      <c r="AL346" s="28"/>
      <c r="AM346" s="96">
        <f ca="1">1-AM345/(3*F_GAMMA*AM$29)</f>
        <v>0.85112393634343608</v>
      </c>
      <c r="AN346" s="111"/>
      <c r="AO346" s="28"/>
      <c r="AP346" s="96">
        <f ca="1">1-AP345/(3*F_GAMMA*AP$29)</f>
        <v>0.9104400441572883</v>
      </c>
      <c r="AQ346" s="111"/>
      <c r="AR346" s="28"/>
      <c r="AS346" s="96">
        <f ca="1">1-AS345/(3*F_GAMMA*AS$29)</f>
        <v>0.94158966385067833</v>
      </c>
      <c r="AT346" s="111"/>
      <c r="AU346" s="28"/>
    </row>
    <row r="347" spans="15:47" x14ac:dyDescent="0.25">
      <c r="O347" s="2" t="s">
        <v>57</v>
      </c>
      <c r="P347" s="143">
        <v>7</v>
      </c>
      <c r="Q347" s="2"/>
      <c r="R347" s="96">
        <f ca="1">(R340/(N_9*R$27*R342*R346))*SQRT(M*'Valve Sizing'!$W$6*'Valve Sizing'!$G$8/R345)</f>
        <v>0.19892965011674668</v>
      </c>
      <c r="S347" s="107"/>
      <c r="T347" s="22"/>
      <c r="U347" s="96">
        <f ca="1">(U340/(N_9*U$27*U342*U346))*SQRT(M*'Valve Sizing'!$W$6*'Valve Sizing'!$G$8/U345)</f>
        <v>5.8932400629594373</v>
      </c>
      <c r="V347" s="111"/>
      <c r="W347" s="28"/>
      <c r="X347" s="96">
        <f ca="1">(X340/(N_9*X$27*X342*X346))*SQRT(M*'Valve Sizing'!$W$6*'Valve Sizing'!$G$8/X345)</f>
        <v>14.541766743830703</v>
      </c>
      <c r="Y347" s="111"/>
      <c r="Z347" s="28"/>
      <c r="AA347" s="96">
        <f ca="1">(AA340/(N_9*AA$27*AA342*AA346))*SQRT(M*'Valve Sizing'!$W$6*'Valve Sizing'!$G$8/AA345)</f>
        <v>28.905634916611902</v>
      </c>
      <c r="AB347" s="111"/>
      <c r="AC347" s="28"/>
      <c r="AD347" s="96">
        <f ca="1">(AD340/(N_9*AD$27*AD342*AD346))*SQRT(M*'Valve Sizing'!$W$6*'Valve Sizing'!$G$8/AD345)</f>
        <v>50.86894057822542</v>
      </c>
      <c r="AE347" s="111"/>
      <c r="AF347" s="28"/>
      <c r="AG347" s="96">
        <f ca="1">(AG340/(N_9*AG$27*AG342*AG346))*SQRT(M*'Valve Sizing'!$W$6*'Valve Sizing'!$G$8/AG345)</f>
        <v>81.113354769044889</v>
      </c>
      <c r="AH347" s="111"/>
      <c r="AI347" s="28"/>
      <c r="AJ347" s="96">
        <f ca="1">(AJ340/(N_9*AJ$27*AJ342*AJ346))*SQRT(M*'Valve Sizing'!$W$6*'Valve Sizing'!$G$8/AJ345)</f>
        <v>124.42958717502691</v>
      </c>
      <c r="AK347" s="111"/>
      <c r="AL347" s="28"/>
      <c r="AM347" s="96">
        <f ca="1">(AM340/(N_9*AM$27*AM342*AM346))*SQRT(M*'Valve Sizing'!$W$6*'Valve Sizing'!$G$8/AM345)</f>
        <v>185.23400831719502</v>
      </c>
      <c r="AN347" s="111"/>
      <c r="AO347" s="28"/>
      <c r="AP347" s="96">
        <f ca="1">(AP340/(N_9*AP$27*AP342*AP346))*SQRT(M*'Valve Sizing'!$W$6*'Valve Sizing'!$G$8/AP345)</f>
        <v>282.85746017462418</v>
      </c>
      <c r="AQ347" s="111"/>
      <c r="AR347" s="28"/>
      <c r="AS347" s="96">
        <f ca="1">(AS340/(N_9*AS$27*AS342*AS346))*SQRT(M*'Valve Sizing'!$W$6*'Valve Sizing'!$G$8/AS345)</f>
        <v>739.31031562290366</v>
      </c>
      <c r="AT347" s="111"/>
      <c r="AU347" s="28"/>
    </row>
    <row r="348" spans="15:47" x14ac:dyDescent="0.25">
      <c r="O348" s="2" t="s">
        <v>59</v>
      </c>
      <c r="P348" s="143">
        <v>7</v>
      </c>
      <c r="Q348" s="2"/>
      <c r="R348" s="96">
        <f ca="1">(R340/(N_9*R$27*R342*0.667))*SQRT(M*'Valve Sizing'!$W$6*'Valve Sizing'!$G$8/R349)</f>
        <v>0.17808046782910564</v>
      </c>
      <c r="S348" s="107"/>
      <c r="T348" s="22"/>
      <c r="U348" s="96">
        <f ca="1">(U340/(N_9*U$27*U342*0.667))*SQRT(M*'Valve Sizing'!$W$6*'Valve Sizing'!$G$8/U349)</f>
        <v>5.2739336676152533</v>
      </c>
      <c r="V348" s="111"/>
      <c r="W348" s="28"/>
      <c r="X348" s="96">
        <f ca="1">(X340/(N_9*X$27*X342*0.667))*SQRT(M*'Valve Sizing'!$W$6*'Valve Sizing'!$G$8/X349)</f>
        <v>13.03310979501391</v>
      </c>
      <c r="Y348" s="111"/>
      <c r="Z348" s="28"/>
      <c r="AA348" s="96">
        <f ca="1">(AA340/(N_9*AA$27*AA342*0.667))*SQRT(M*'Valve Sizing'!$W$6*'Valve Sizing'!$G$8/AA349)</f>
        <v>25.901892458177706</v>
      </c>
      <c r="AB348" s="111"/>
      <c r="AC348" s="28"/>
      <c r="AD348" s="96">
        <f ca="1">(AD340/(N_9*AD$27*AD342*0.667))*SQRT(M*'Valve Sizing'!$W$6*'Valve Sizing'!$G$8/AD349)</f>
        <v>45.484522216691971</v>
      </c>
      <c r="AE348" s="111"/>
      <c r="AF348" s="28"/>
      <c r="AG348" s="96">
        <f ca="1">(AG340/(N_9*AG$27*AG342*0.667))*SQRT(M*'Valve Sizing'!$W$6*'Valve Sizing'!$G$8/AG349)</f>
        <v>72.192668247220723</v>
      </c>
      <c r="AH348" s="111"/>
      <c r="AI348" s="28"/>
      <c r="AJ348" s="96">
        <f ca="1">(AJ340/(N_9*AJ$27*AJ342*0.667))*SQRT(M*'Valve Sizing'!$W$6*'Valve Sizing'!$G$8/AJ349)</f>
        <v>108.82625156264845</v>
      </c>
      <c r="AK348" s="111"/>
      <c r="AL348" s="28"/>
      <c r="AM348" s="96">
        <f ca="1">(AM340/(N_9*AM$27*AM342*0.667))*SQRT(M*'Valve Sizing'!$W$6*'Valve Sizing'!$G$8/AM349)</f>
        <v>157.96495975655077</v>
      </c>
      <c r="AN348" s="111"/>
      <c r="AO348" s="28"/>
      <c r="AP348" s="96">
        <f ca="1">(AP340/(N_9*AP$27*AP342*0.667))*SQRT(M*'Valve Sizing'!$W$6*'Valve Sizing'!$G$8/AP349)</f>
        <v>200.12931895490485</v>
      </c>
      <c r="AQ348" s="111"/>
      <c r="AR348" s="28"/>
      <c r="AS348" s="96">
        <f ca="1">(AS340/(N_9*AS$27*AS342*0.667))*SQRT(M*'Valve Sizing'!$W$6*'Valve Sizing'!$G$8/AS349)</f>
        <v>436.88596649426188</v>
      </c>
      <c r="AT348" s="111"/>
      <c r="AU348" s="28"/>
    </row>
    <row r="349" spans="15:47" ht="15.6" x14ac:dyDescent="0.35">
      <c r="O349" s="2" t="s">
        <v>68</v>
      </c>
      <c r="P349" s="143">
        <v>10</v>
      </c>
      <c r="Q349" s="2"/>
      <c r="R349" s="96">
        <f ca="1">F_GAMMA*R$29</f>
        <v>0.64002969751372984</v>
      </c>
      <c r="S349" s="107"/>
      <c r="T349" s="1"/>
      <c r="U349" s="96">
        <f ca="1">F_GAMMA*U$29</f>
        <v>0.64017842058782071</v>
      </c>
      <c r="V349" s="111"/>
      <c r="W349" s="28"/>
      <c r="X349" s="96">
        <f ca="1">F_GAMMA*X$29</f>
        <v>0.63413873724904268</v>
      </c>
      <c r="Y349" s="111"/>
      <c r="Z349" s="28"/>
      <c r="AA349" s="96">
        <f ca="1">F_GAMMA*AA$29</f>
        <v>0.62532411750377137</v>
      </c>
      <c r="AB349" s="111"/>
      <c r="AC349" s="28"/>
      <c r="AD349" s="96">
        <f ca="1">F_GAMMA*AD$29</f>
        <v>0.60651359509139569</v>
      </c>
      <c r="AE349" s="111"/>
      <c r="AF349" s="28"/>
      <c r="AG349" s="96">
        <f ca="1">F_GAMMA*AG$29</f>
        <v>0.57217930198481592</v>
      </c>
      <c r="AH349" s="111"/>
      <c r="AI349" s="28"/>
      <c r="AJ349" s="96">
        <f ca="1">F_GAMMA*AJ$29</f>
        <v>0.53183282018848232</v>
      </c>
      <c r="AK349" s="111"/>
      <c r="AL349" s="28"/>
      <c r="AM349" s="96">
        <f ca="1">F_GAMMA*AM$29</f>
        <v>0.47566512503094399</v>
      </c>
      <c r="AN349" s="111"/>
      <c r="AO349" s="28"/>
      <c r="AP349" s="96">
        <f ca="1">F_GAMMA*AP$29</f>
        <v>0.59054158265645496</v>
      </c>
      <c r="AQ349" s="111"/>
      <c r="AR349" s="28"/>
      <c r="AS349" s="96">
        <f ca="1">F_GAMMA*AS$29</f>
        <v>0.3766899554102966</v>
      </c>
      <c r="AT349" s="111"/>
      <c r="AU349" s="28"/>
    </row>
    <row r="350" spans="15:47" x14ac:dyDescent="0.25">
      <c r="O350" s="2" t="s">
        <v>145</v>
      </c>
      <c r="P350" s="12"/>
      <c r="Q350" s="2"/>
      <c r="R350" s="96">
        <f ca="1">IF(R345&lt;R349,R347,R348)</f>
        <v>0.19892965011674668</v>
      </c>
      <c r="S350" s="116"/>
      <c r="T350" s="1"/>
      <c r="U350" s="96">
        <f ca="1">IF(U345&lt;U349,U347,U348)</f>
        <v>5.8932400629594373</v>
      </c>
      <c r="V350" s="111"/>
      <c r="W350" s="28"/>
      <c r="X350" s="96">
        <f ca="1">IF(X345&lt;X349,X347,X348)</f>
        <v>14.541766743830703</v>
      </c>
      <c r="Y350" s="111"/>
      <c r="Z350" s="28"/>
      <c r="AA350" s="96">
        <f ca="1">IF(AA345&lt;AA349,AA347,AA348)</f>
        <v>28.905634916611902</v>
      </c>
      <c r="AB350" s="111"/>
      <c r="AC350" s="28"/>
      <c r="AD350" s="96">
        <f ca="1">IF(AD345&lt;AD349,AD347,AD348)</f>
        <v>50.86894057822542</v>
      </c>
      <c r="AE350" s="111"/>
      <c r="AF350" s="28"/>
      <c r="AG350" s="96">
        <f ca="1">IF(AG345&lt;AG349,AG347,AG348)</f>
        <v>81.113354769044889</v>
      </c>
      <c r="AH350" s="111"/>
      <c r="AI350" s="28"/>
      <c r="AJ350" s="96">
        <f ca="1">IF(AJ345&lt;AJ349,AJ347,AJ348)</f>
        <v>124.42958717502691</v>
      </c>
      <c r="AK350" s="111"/>
      <c r="AL350" s="28"/>
      <c r="AM350" s="96">
        <f ca="1">IF(AM345&lt;AM349,AM347,AM348)</f>
        <v>185.23400831719502</v>
      </c>
      <c r="AN350" s="111"/>
      <c r="AO350" s="28"/>
      <c r="AP350" s="96">
        <f ca="1">IF(AP345&lt;AP349,AP347,AP348)</f>
        <v>282.85746017462418</v>
      </c>
      <c r="AQ350" s="111"/>
      <c r="AR350" s="28"/>
      <c r="AS350" s="96">
        <f ca="1">IF(AS345&lt;AS349,AS347,AS348)</f>
        <v>739.31031562290366</v>
      </c>
      <c r="AT350" s="111"/>
      <c r="AU350" s="28"/>
    </row>
    <row r="351" spans="15:47" x14ac:dyDescent="0.25">
      <c r="O351" s="13" t="s">
        <v>143</v>
      </c>
      <c r="P351" s="1"/>
      <c r="Q351" s="1"/>
      <c r="R351" s="113"/>
      <c r="S351" s="106">
        <f ca="1">IF(R344&lt;=0,Q_max,ABS(R$23-R350))</f>
        <v>4.5310703498832536</v>
      </c>
      <c r="T351" s="7">
        <f>R340</f>
        <v>492.59550249931874</v>
      </c>
      <c r="U351" s="98"/>
      <c r="V351" s="106">
        <f ca="1">IF(U344&lt;=0,Q_max,ABS(U$23-U350))</f>
        <v>5.7067599370405624</v>
      </c>
      <c r="W351" s="9">
        <f ca="1">U340</f>
        <v>14574.314852019144</v>
      </c>
      <c r="X351" s="98"/>
      <c r="Y351" s="106">
        <f ca="1">IF(X344&lt;=0,Q_max,ABS(X$23-X350))</f>
        <v>8.4582332561692972</v>
      </c>
      <c r="Z351" s="9">
        <f ca="1">X340</f>
        <v>35687.143557268726</v>
      </c>
      <c r="AA351" s="98"/>
      <c r="AB351" s="106">
        <f ca="1">IF(AA344&lt;=0,Q_max,ABS(AA$23-AA350))</f>
        <v>10.494365083388097</v>
      </c>
      <c r="AC351" s="9">
        <f ca="1">AA340</f>
        <v>69509.446669851081</v>
      </c>
      <c r="AD351" s="98"/>
      <c r="AE351" s="106">
        <f ca="1">IF(AD344&lt;=0,Q_max,ABS(AD$23-AD350))</f>
        <v>10.13105942177458</v>
      </c>
      <c r="AF351" s="9">
        <f ca="1">AD340</f>
        <v>116615.22861502855</v>
      </c>
      <c r="AG351" s="98"/>
      <c r="AH351" s="106">
        <f ca="1">IF(AG344&lt;=0,Q_max,ABS(AG$23-AG350))</f>
        <v>7.0866452309551136</v>
      </c>
      <c r="AI351" s="9">
        <f ca="1">AG340</f>
        <v>170203.10231253353</v>
      </c>
      <c r="AJ351" s="98"/>
      <c r="AK351" s="106">
        <f ca="1">IF(AJ344&lt;=0,Q_max,ABS(AJ$23-AJ350))</f>
        <v>3.42958717502691</v>
      </c>
      <c r="AL351" s="9">
        <f ca="1">AJ340</f>
        <v>227136.69983984553</v>
      </c>
      <c r="AM351" s="98"/>
      <c r="AN351" s="106">
        <f ca="1">IF(AM344&lt;=0,Q_max,ABS(AM$23-AM350))</f>
        <v>20.23400831719502</v>
      </c>
      <c r="AO351" s="9">
        <f ca="1">AM340</f>
        <v>277149.93885123049</v>
      </c>
      <c r="AP351" s="98"/>
      <c r="AQ351" s="106">
        <f ca="1">IF(AP344&lt;=0,Q_max,ABS(AP$23-AP350))</f>
        <v>36.85746017462418</v>
      </c>
      <c r="AR351" s="9">
        <f ca="1">AP340</f>
        <v>321762.47498897201</v>
      </c>
      <c r="AS351" s="98"/>
      <c r="AT351" s="106">
        <f ca="1">IF(AS344&lt;=0,Q_max,ABS(AS$23-AS350))</f>
        <v>319.31031562290366</v>
      </c>
      <c r="AU351" s="9">
        <f ca="1">AS340</f>
        <v>377291.80690986424</v>
      </c>
    </row>
    <row r="352" spans="15:47" x14ac:dyDescent="0.25">
      <c r="O352" s="21"/>
      <c r="P352" s="14"/>
      <c r="Q352" s="21"/>
      <c r="R352" s="97"/>
      <c r="S352" s="106"/>
      <c r="T352" s="28"/>
      <c r="U352" s="97"/>
      <c r="V352" s="111"/>
      <c r="W352" s="28"/>
      <c r="X352" s="97"/>
      <c r="Y352" s="111"/>
      <c r="Z352" s="28"/>
      <c r="AA352" s="97"/>
      <c r="AB352" s="111"/>
      <c r="AC352" s="28"/>
      <c r="AD352" s="97"/>
      <c r="AE352" s="111"/>
      <c r="AF352" s="28"/>
      <c r="AG352" s="97"/>
      <c r="AH352" s="111"/>
      <c r="AI352" s="28"/>
      <c r="AJ352" s="97"/>
      <c r="AK352" s="111"/>
      <c r="AL352" s="28"/>
      <c r="AM352" s="97"/>
      <c r="AN352" s="111"/>
      <c r="AO352" s="28"/>
      <c r="AP352" s="97"/>
      <c r="AQ352" s="111"/>
      <c r="AR352" s="28"/>
      <c r="AS352" s="97"/>
      <c r="AT352" s="111"/>
      <c r="AU352" s="28"/>
    </row>
    <row r="353" spans="15:47" x14ac:dyDescent="0.25">
      <c r="O353" s="1"/>
      <c r="P353" s="1"/>
      <c r="Q353" s="1"/>
      <c r="R353" s="98"/>
      <c r="S353" s="108" t="s">
        <v>137</v>
      </c>
      <c r="T353" s="26" t="s">
        <v>146</v>
      </c>
      <c r="U353" s="98"/>
      <c r="V353" s="108" t="s">
        <v>137</v>
      </c>
      <c r="W353" s="26" t="s">
        <v>146</v>
      </c>
      <c r="X353" s="98"/>
      <c r="Y353" s="108" t="s">
        <v>137</v>
      </c>
      <c r="Z353" s="26" t="s">
        <v>146</v>
      </c>
      <c r="AA353" s="98"/>
      <c r="AB353" s="108" t="s">
        <v>137</v>
      </c>
      <c r="AC353" s="26" t="s">
        <v>146</v>
      </c>
      <c r="AD353" s="98"/>
      <c r="AE353" s="108" t="s">
        <v>137</v>
      </c>
      <c r="AF353" s="26" t="s">
        <v>146</v>
      </c>
      <c r="AG353" s="98"/>
      <c r="AH353" s="108" t="s">
        <v>137</v>
      </c>
      <c r="AI353" s="26" t="s">
        <v>146</v>
      </c>
      <c r="AJ353" s="98"/>
      <c r="AK353" s="108" t="s">
        <v>137</v>
      </c>
      <c r="AL353" s="26" t="s">
        <v>146</v>
      </c>
      <c r="AM353" s="98"/>
      <c r="AN353" s="108" t="s">
        <v>137</v>
      </c>
      <c r="AO353" s="26" t="s">
        <v>146</v>
      </c>
      <c r="AP353" s="98"/>
      <c r="AQ353" s="108" t="s">
        <v>137</v>
      </c>
      <c r="AR353" s="26" t="s">
        <v>146</v>
      </c>
      <c r="AS353" s="98"/>
      <c r="AT353" s="108" t="s">
        <v>137</v>
      </c>
      <c r="AU353" s="26" t="s">
        <v>146</v>
      </c>
    </row>
    <row r="354" spans="15:47" ht="13.8" x14ac:dyDescent="0.25">
      <c r="O354" s="20" t="s">
        <v>136</v>
      </c>
      <c r="P354" s="1"/>
      <c r="Q354" s="1"/>
      <c r="R354" s="96">
        <f>R340*1.02</f>
        <v>502.44741254930511</v>
      </c>
      <c r="S354" s="109" t="s">
        <v>144</v>
      </c>
      <c r="T354" s="23" t="s">
        <v>147</v>
      </c>
      <c r="U354" s="96">
        <f ca="1">U340*1.01</f>
        <v>14720.058000539337</v>
      </c>
      <c r="V354" s="109" t="s">
        <v>144</v>
      </c>
      <c r="W354" s="23" t="s">
        <v>147</v>
      </c>
      <c r="X354" s="96">
        <f ca="1">X340*1.01</f>
        <v>36044.01499284141</v>
      </c>
      <c r="Y354" s="109" t="s">
        <v>144</v>
      </c>
      <c r="Z354" s="23" t="s">
        <v>147</v>
      </c>
      <c r="AA354" s="96">
        <f ca="1">AA340*1.01</f>
        <v>70204.541136549597</v>
      </c>
      <c r="AB354" s="109" t="s">
        <v>144</v>
      </c>
      <c r="AC354" s="23" t="s">
        <v>147</v>
      </c>
      <c r="AD354" s="96">
        <f ca="1">AD340*1.01</f>
        <v>117781.38090117884</v>
      </c>
      <c r="AE354" s="109" t="s">
        <v>144</v>
      </c>
      <c r="AF354" s="23" t="s">
        <v>147</v>
      </c>
      <c r="AG354" s="96">
        <f ca="1">AG340*1.01</f>
        <v>171905.13333565887</v>
      </c>
      <c r="AH354" s="109" t="s">
        <v>144</v>
      </c>
      <c r="AI354" s="23" t="s">
        <v>147</v>
      </c>
      <c r="AJ354" s="96">
        <f ca="1">AJ340*1.01</f>
        <v>229408.06683824398</v>
      </c>
      <c r="AK354" s="109" t="s">
        <v>144</v>
      </c>
      <c r="AL354" s="23" t="s">
        <v>147</v>
      </c>
      <c r="AM354" s="96">
        <f ca="1">AM340*1.01</f>
        <v>279921.43823974277</v>
      </c>
      <c r="AN354" s="109" t="s">
        <v>144</v>
      </c>
      <c r="AO354" s="23" t="s">
        <v>147</v>
      </c>
      <c r="AP354" s="96">
        <f ca="1">AP340*1.01</f>
        <v>324980.09973886173</v>
      </c>
      <c r="AQ354" s="109" t="s">
        <v>144</v>
      </c>
      <c r="AR354" s="23" t="s">
        <v>147</v>
      </c>
      <c r="AS354" s="96">
        <f ca="1">AS340*1.01</f>
        <v>381064.72497896291</v>
      </c>
      <c r="AT354" s="109" t="s">
        <v>144</v>
      </c>
      <c r="AU354" s="23" t="s">
        <v>147</v>
      </c>
    </row>
    <row r="355" spans="15:47" x14ac:dyDescent="0.25">
      <c r="O355" s="1"/>
      <c r="P355" s="1"/>
      <c r="Q355" s="1"/>
      <c r="R355" s="98"/>
      <c r="S355" s="107"/>
      <c r="T355" s="1"/>
      <c r="U355" s="47"/>
      <c r="V355" s="107"/>
      <c r="W355" s="1"/>
      <c r="X355" s="47"/>
      <c r="Y355" s="107"/>
      <c r="Z355" s="1"/>
      <c r="AA355" s="47"/>
      <c r="AB355" s="107"/>
      <c r="AC355" s="1"/>
      <c r="AD355" s="47"/>
      <c r="AE355" s="107"/>
      <c r="AF355" s="1"/>
      <c r="AG355" s="47"/>
      <c r="AH355" s="107"/>
      <c r="AI355" s="1"/>
      <c r="AJ355" s="47"/>
      <c r="AK355" s="107"/>
      <c r="AL355" s="1"/>
      <c r="AM355" s="47"/>
      <c r="AN355" s="107"/>
      <c r="AO355" s="1"/>
      <c r="AP355" s="47"/>
      <c r="AQ355" s="107"/>
      <c r="AR355" s="1"/>
      <c r="AS355" s="47"/>
      <c r="AT355" s="107"/>
      <c r="AU355" s="1"/>
    </row>
    <row r="356" spans="15:47" x14ac:dyDescent="0.25">
      <c r="O356" s="8" t="s">
        <v>132</v>
      </c>
      <c r="P356" s="8"/>
      <c r="Q356" s="8"/>
      <c r="R356" s="96">
        <f>P_1_minQ-(R354^2*R_up)+dpup_minQ</f>
        <v>90.18499451786839</v>
      </c>
      <c r="S356" s="106"/>
      <c r="T356" s="22"/>
      <c r="U356" s="96">
        <f ca="1">P_1_minQ-(U354^2*R_up)+dpup_minQ</f>
        <v>90.145548216416302</v>
      </c>
      <c r="V356" s="107"/>
      <c r="W356" s="1"/>
      <c r="X356" s="96">
        <f ca="1">P_1_minQ-(X354^2*R_up)+dpup_minQ</f>
        <v>89.948252436926779</v>
      </c>
      <c r="Y356" s="107"/>
      <c r="Z356" s="1"/>
      <c r="AA356" s="96">
        <f ca="1">P_1_minQ-(AA354^2*R_up)+dpup_minQ</f>
        <v>89.286735260556924</v>
      </c>
      <c r="AB356" s="107"/>
      <c r="AC356" s="1"/>
      <c r="AD356" s="96">
        <f ca="1">P_1_minQ-(AD354^2*R_up)+dpup_minQ</f>
        <v>87.656634480670093</v>
      </c>
      <c r="AE356" s="107"/>
      <c r="AF356" s="1"/>
      <c r="AG356" s="96">
        <f ca="1">P_1_minQ-(AG354^2*R_up)+dpup_minQ</f>
        <v>84.798980019723672</v>
      </c>
      <c r="AH356" s="107"/>
      <c r="AI356" s="1"/>
      <c r="AJ356" s="96">
        <f ca="1">P_1_minQ-(AJ354^2*R_up)+dpup_minQ</f>
        <v>80.593002153871197</v>
      </c>
      <c r="AK356" s="107"/>
      <c r="AL356" s="1"/>
      <c r="AM356" s="96">
        <f ca="1">P_1_minQ-(AM354^2*R_up)+dpup_minQ</f>
        <v>75.903802460470445</v>
      </c>
      <c r="AN356" s="107"/>
      <c r="AO356" s="1"/>
      <c r="AP356" s="96">
        <f ca="1">P_1_minQ-(AP354^2*R_up)+dpup_minQ</f>
        <v>70.936089288284705</v>
      </c>
      <c r="AQ356" s="107"/>
      <c r="AR356" s="1"/>
      <c r="AS356" s="96">
        <f ca="1">P_1_minQ-(AS354^2*R_up)+dpup_minQ</f>
        <v>63.71887444860814</v>
      </c>
      <c r="AT356" s="107"/>
      <c r="AU356" s="1"/>
    </row>
    <row r="357" spans="15:47" x14ac:dyDescent="0.25">
      <c r="O357" s="8" t="s">
        <v>134</v>
      </c>
      <c r="P357" s="1"/>
      <c r="Q357" s="8"/>
      <c r="R357" s="97">
        <f>P_2_minQ+(R354^2*R_dn)-dpdn_minQ</f>
        <v>60</v>
      </c>
      <c r="S357" s="106"/>
      <c r="T357" s="22"/>
      <c r="U357" s="97">
        <f ca="1">P_2_minQ+(U354^2*R_dn)-dpdn_minQ</f>
        <v>60</v>
      </c>
      <c r="V357" s="107"/>
      <c r="W357" s="1"/>
      <c r="X357" s="97">
        <f ca="1">P_2_minQ+(X354^2*R_dn)-dpdn_minQ</f>
        <v>60</v>
      </c>
      <c r="Y357" s="107"/>
      <c r="Z357" s="1"/>
      <c r="AA357" s="97">
        <f ca="1">P_2_minQ+(AA354^2*R_dn)-dpdn_minQ</f>
        <v>60</v>
      </c>
      <c r="AB357" s="107"/>
      <c r="AC357" s="1"/>
      <c r="AD357" s="97">
        <f ca="1">P_2_minQ+(AD354^2*R_dn)-dpdn_minQ</f>
        <v>60</v>
      </c>
      <c r="AE357" s="107"/>
      <c r="AF357" s="1"/>
      <c r="AG357" s="97">
        <f ca="1">P_2_minQ+(AG354^2*R_dn)-dpdn_minQ</f>
        <v>60</v>
      </c>
      <c r="AH357" s="107"/>
      <c r="AI357" s="1"/>
      <c r="AJ357" s="97">
        <f ca="1">P_2_minQ+(AJ354^2*R_dn)-dpdn_minQ</f>
        <v>60</v>
      </c>
      <c r="AK357" s="107"/>
      <c r="AL357" s="1"/>
      <c r="AM357" s="97">
        <f ca="1">P_2_minQ+(AM354^2*R_dn)-dpdn_minQ</f>
        <v>60</v>
      </c>
      <c r="AN357" s="107"/>
      <c r="AO357" s="1"/>
      <c r="AP357" s="97">
        <f ca="1">P_2_minQ+(AP354^2*R_dn)-dpdn_minQ</f>
        <v>60</v>
      </c>
      <c r="AQ357" s="107"/>
      <c r="AR357" s="1"/>
      <c r="AS357" s="97">
        <f ca="1">P_2_minQ+(AS354^2*R_dn)-dpdn_minQ</f>
        <v>60</v>
      </c>
      <c r="AT357" s="107"/>
      <c r="AU357" s="1"/>
    </row>
    <row r="358" spans="15:47" x14ac:dyDescent="0.25">
      <c r="O358" s="8" t="s">
        <v>138</v>
      </c>
      <c r="P358" s="1"/>
      <c r="Q358" s="8"/>
      <c r="R358" s="97">
        <f>R356-R357</f>
        <v>30.18499451786839</v>
      </c>
      <c r="S358" s="106"/>
      <c r="T358" s="22"/>
      <c r="U358" s="97">
        <f ca="1">U356-U357</f>
        <v>30.145548216416302</v>
      </c>
      <c r="V358" s="110"/>
      <c r="W358" s="25"/>
      <c r="X358" s="97">
        <f ca="1">X356-X357</f>
        <v>29.948252436926779</v>
      </c>
      <c r="Y358" s="110"/>
      <c r="Z358" s="25"/>
      <c r="AA358" s="97">
        <f ca="1">AA356-AA357</f>
        <v>29.286735260556924</v>
      </c>
      <c r="AB358" s="110"/>
      <c r="AC358" s="25"/>
      <c r="AD358" s="97">
        <f ca="1">AD356-AD357</f>
        <v>27.656634480670093</v>
      </c>
      <c r="AE358" s="110"/>
      <c r="AF358" s="25"/>
      <c r="AG358" s="97">
        <f ca="1">AG356-AG357</f>
        <v>24.798980019723672</v>
      </c>
      <c r="AH358" s="110"/>
      <c r="AI358" s="25"/>
      <c r="AJ358" s="97">
        <f ca="1">AJ356-AJ357</f>
        <v>20.593002153871197</v>
      </c>
      <c r="AK358" s="110"/>
      <c r="AL358" s="25"/>
      <c r="AM358" s="97">
        <f ca="1">AM356-AM357</f>
        <v>15.903802460470445</v>
      </c>
      <c r="AN358" s="110"/>
      <c r="AO358" s="25"/>
      <c r="AP358" s="97">
        <f ca="1">AP356-AP357</f>
        <v>10.936089288284705</v>
      </c>
      <c r="AQ358" s="110"/>
      <c r="AR358" s="25"/>
      <c r="AS358" s="97">
        <f ca="1">AS356-AS357</f>
        <v>3.7188744486081404</v>
      </c>
      <c r="AT358" s="110"/>
      <c r="AU358" s="25"/>
    </row>
    <row r="359" spans="15:47" ht="14.4" x14ac:dyDescent="0.3">
      <c r="O359" s="2" t="s">
        <v>140</v>
      </c>
      <c r="P359" s="11"/>
      <c r="Q359" s="2"/>
      <c r="R359" s="96">
        <f>R358/R356</f>
        <v>0.33470085216768319</v>
      </c>
      <c r="S359" s="106"/>
      <c r="T359" s="22"/>
      <c r="U359" s="96">
        <f ca="1">U358/U356</f>
        <v>0.33440972752247938</v>
      </c>
      <c r="V359" s="111"/>
      <c r="W359" s="28"/>
      <c r="X359" s="96">
        <f ca="1">X358/X356</f>
        <v>0.33294979752860676</v>
      </c>
      <c r="Y359" s="111"/>
      <c r="Z359" s="28"/>
      <c r="AA359" s="96">
        <f ca="1">AA358/AA356</f>
        <v>0.32800768417718768</v>
      </c>
      <c r="AB359" s="111"/>
      <c r="AC359" s="28"/>
      <c r="AD359" s="96">
        <f ca="1">AD358/AD356</f>
        <v>0.31551102371799239</v>
      </c>
      <c r="AE359" s="111"/>
      <c r="AF359" s="28"/>
      <c r="AG359" s="96">
        <f ca="1">AG358/AG356</f>
        <v>0.29244431965992512</v>
      </c>
      <c r="AH359" s="111"/>
      <c r="AI359" s="28"/>
      <c r="AJ359" s="96">
        <f ca="1">AJ358/AJ356</f>
        <v>0.25551848924245635</v>
      </c>
      <c r="AK359" s="111"/>
      <c r="AL359" s="28"/>
      <c r="AM359" s="96">
        <f ca="1">AM358/AM356</f>
        <v>0.20952576741794859</v>
      </c>
      <c r="AN359" s="111"/>
      <c r="AO359" s="28"/>
      <c r="AP359" s="96">
        <f ca="1">AP358/AP356</f>
        <v>0.1541682012359093</v>
      </c>
      <c r="AQ359" s="111"/>
      <c r="AR359" s="28"/>
      <c r="AS359" s="96">
        <f ca="1">AS358/AS356</f>
        <v>5.8363781231063075E-2</v>
      </c>
      <c r="AT359" s="111"/>
      <c r="AU359" s="28"/>
    </row>
    <row r="360" spans="15:47" x14ac:dyDescent="0.25">
      <c r="O360" s="2" t="s">
        <v>21</v>
      </c>
      <c r="P360" s="8">
        <v>12</v>
      </c>
      <c r="Q360" s="2"/>
      <c r="R360" s="96">
        <f ca="1">1-R359/(3*F_GAMMA*R$29)</f>
        <v>0.82568472813690375</v>
      </c>
      <c r="S360" s="106"/>
      <c r="T360" s="22"/>
      <c r="U360" s="96">
        <f ca="1">1-U359/(3*F_GAMMA*U$29)</f>
        <v>0.82587680935604391</v>
      </c>
      <c r="V360" s="111"/>
      <c r="W360" s="28"/>
      <c r="X360" s="96">
        <f ca="1">1-X359/(3*F_GAMMA*X$29)</f>
        <v>0.82498582829945788</v>
      </c>
      <c r="Y360" s="111"/>
      <c r="Z360" s="28"/>
      <c r="AA360" s="96">
        <f ca="1">1-AA359/(3*F_GAMMA*AA$29)</f>
        <v>0.82515324187049321</v>
      </c>
      <c r="AB360" s="111"/>
      <c r="AC360" s="28"/>
      <c r="AD360" s="96">
        <f ca="1">1-AD359/(3*F_GAMMA*AD$29)</f>
        <v>0.82659854273590905</v>
      </c>
      <c r="AE360" s="111"/>
      <c r="AF360" s="28"/>
      <c r="AG360" s="96">
        <f ca="1">1-AG359/(3*F_GAMMA*AG$29)</f>
        <v>0.82963130691989173</v>
      </c>
      <c r="AH360" s="111"/>
      <c r="AI360" s="28"/>
      <c r="AJ360" s="96">
        <f ca="1">1-AJ359/(3*F_GAMMA*AJ$29)</f>
        <v>0.83985036929969825</v>
      </c>
      <c r="AK360" s="111"/>
      <c r="AL360" s="28"/>
      <c r="AM360" s="96">
        <f ca="1">1-AM359/(3*F_GAMMA*AM$29)</f>
        <v>0.85316997442663889</v>
      </c>
      <c r="AN360" s="111"/>
      <c r="AO360" s="28"/>
      <c r="AP360" s="96">
        <f ca="1">1-AP359/(3*F_GAMMA*AP$29)</f>
        <v>0.9129792009212917</v>
      </c>
      <c r="AQ360" s="111"/>
      <c r="AR360" s="28"/>
      <c r="AS360" s="96">
        <f ca="1">1-AS359/(3*F_GAMMA*AS$29)</f>
        <v>0.94835382928515455</v>
      </c>
      <c r="AT360" s="111"/>
      <c r="AU360" s="28"/>
    </row>
    <row r="361" spans="15:47" x14ac:dyDescent="0.25">
      <c r="O361" s="2" t="s">
        <v>57</v>
      </c>
      <c r="P361" s="143">
        <v>7</v>
      </c>
      <c r="Q361" s="2"/>
      <c r="R361" s="96">
        <f ca="1">(R354/(N_9*R$27*R356*R360))*SQRT(M*'Valve Sizing'!$W$6*'Valve Sizing'!$G$8/R359)</f>
        <v>0.20290824944740332</v>
      </c>
      <c r="S361" s="107"/>
      <c r="T361" s="22"/>
      <c r="U361" s="96">
        <f ca="1">(U354/(N_9*U$27*U356*U360))*SQRT(M*'Valve Sizing'!$W$6*'Valve Sizing'!$G$8/U359)</f>
        <v>5.9522534149411355</v>
      </c>
      <c r="V361" s="111"/>
      <c r="W361" s="28"/>
      <c r="X361" s="96">
        <f ca="1">(X354/(N_9*X$27*X356*X360))*SQRT(M*'Valve Sizing'!$W$6*'Valve Sizing'!$G$8/X359)</f>
        <v>14.68838556268007</v>
      </c>
      <c r="Y361" s="111"/>
      <c r="Z361" s="28"/>
      <c r="AA361" s="96">
        <f ca="1">(AA354/(N_9*AA$27*AA356*AA360))*SQRT(M*'Valve Sizing'!$W$6*'Valve Sizing'!$G$8/AA359)</f>
        <v>29.20389374191711</v>
      </c>
      <c r="AB361" s="111"/>
      <c r="AC361" s="28"/>
      <c r="AD361" s="96">
        <f ca="1">(AD354/(N_9*AD$27*AD356*AD360))*SQRT(M*'Valve Sizing'!$W$6*'Valve Sizing'!$G$8/AD359)</f>
        <v>51.425197882387316</v>
      </c>
      <c r="AE361" s="111"/>
      <c r="AF361" s="28"/>
      <c r="AG361" s="96">
        <f ca="1">(AG354/(N_9*AG$27*AG356*AG360))*SQRT(M*'Valve Sizing'!$W$6*'Valve Sizing'!$G$8/AG359)</f>
        <v>82.099938048029443</v>
      </c>
      <c r="AH361" s="111"/>
      <c r="AI361" s="28"/>
      <c r="AJ361" s="96">
        <f ca="1">(AJ354/(N_9*AJ$27*AJ356*AJ360))*SQRT(M*'Valve Sizing'!$W$6*'Valve Sizing'!$G$8/AJ359)</f>
        <v>126.23292544689795</v>
      </c>
      <c r="AK361" s="111"/>
      <c r="AL361" s="28"/>
      <c r="AM361" s="96">
        <f ca="1">(AM354/(N_9*AM$27*AM356*AM360))*SQRT(M*'Valve Sizing'!$W$6*'Valve Sizing'!$G$8/AM359)</f>
        <v>188.63028305011989</v>
      </c>
      <c r="AN361" s="111"/>
      <c r="AO361" s="28"/>
      <c r="AP361" s="96">
        <f ca="1">(AP354/(N_9*AP$27*AP356*AP360))*SQRT(M*'Valve Sizing'!$W$6*'Valve Sizing'!$G$8/AP359)</f>
        <v>290.56331136441395</v>
      </c>
      <c r="AQ361" s="111"/>
      <c r="AR361" s="28"/>
      <c r="AS361" s="96">
        <f ca="1">(AS354/(N_9*AS$27*AS356*AS360))*SQRT(M*'Valve Sizing'!$W$6*'Valve Sizing'!$G$8/AS359)</f>
        <v>794.88645529492385</v>
      </c>
      <c r="AT361" s="111"/>
      <c r="AU361" s="28"/>
    </row>
    <row r="362" spans="15:47" x14ac:dyDescent="0.25">
      <c r="O362" s="2" t="s">
        <v>59</v>
      </c>
      <c r="P362" s="143">
        <v>7</v>
      </c>
      <c r="Q362" s="2"/>
      <c r="R362" s="96">
        <f ca="1">(R354/(N_9*R$27*R356*0.667))*SQRT(M*'Valve Sizing'!$W$6*'Valve Sizing'!$G$8/R363)</f>
        <v>0.18164208078432409</v>
      </c>
      <c r="S362" s="107"/>
      <c r="T362" s="22"/>
      <c r="U362" s="96">
        <f ca="1">(U354/(N_9*U$27*U356*0.667))*SQRT(M*'Valve Sizing'!$W$6*'Valve Sizing'!$G$8/U363)</f>
        <v>5.3267189852098946</v>
      </c>
      <c r="V362" s="111"/>
      <c r="W362" s="28"/>
      <c r="X362" s="96">
        <f ca="1">(X354/(N_9*X$27*X356*0.667))*SQRT(M*'Valve Sizing'!$W$6*'Valve Sizing'!$G$8/X363)</f>
        <v>13.164123687234246</v>
      </c>
      <c r="Y362" s="111"/>
      <c r="Z362" s="28"/>
      <c r="AA362" s="96">
        <f ca="1">(AA354/(N_9*AA$27*AA356*0.667))*SQRT(M*'Valve Sizing'!$W$6*'Valve Sizing'!$G$8/AA363)</f>
        <v>26.166097510186354</v>
      </c>
      <c r="AB362" s="111"/>
      <c r="AC362" s="28"/>
      <c r="AD362" s="96">
        <f ca="1">(AD354/(N_9*AD$27*AD356*0.667))*SQRT(M*'Valve Sizing'!$W$6*'Valve Sizing'!$G$8/AD363)</f>
        <v>45.965477046726498</v>
      </c>
      <c r="AE362" s="111"/>
      <c r="AF362" s="28"/>
      <c r="AG362" s="96">
        <f ca="1">(AG354/(N_9*AG$27*AG356*0.667))*SQRT(M*'Valve Sizing'!$W$6*'Valve Sizing'!$G$8/AG363)</f>
        <v>73.00584818729584</v>
      </c>
      <c r="AH362" s="111"/>
      <c r="AI362" s="28"/>
      <c r="AJ362" s="96">
        <f ca="1">(AJ354/(N_9*AJ$27*AJ356*0.667))*SQRT(M*'Valve Sizing'!$W$6*'Valve Sizing'!$G$8/AJ363)</f>
        <v>110.17227787964592</v>
      </c>
      <c r="AK362" s="111"/>
      <c r="AL362" s="28"/>
      <c r="AM362" s="96">
        <f ca="1">(AM354/(N_9*AM$27*AM356*0.667))*SQRT(M*'Valve Sizing'!$W$6*'Valve Sizing'!$G$8/AM363)</f>
        <v>160.13608623094646</v>
      </c>
      <c r="AN362" s="111"/>
      <c r="AO362" s="28"/>
      <c r="AP362" s="96">
        <f ca="1">(AP354/(N_9*AP$27*AP356*0.667))*SQRT(M*'Valve Sizing'!$W$6*'Valve Sizing'!$G$8/AP363)</f>
        <v>203.21136211263058</v>
      </c>
      <c r="AQ362" s="111"/>
      <c r="AR362" s="28"/>
      <c r="AS362" s="96">
        <f ca="1">(AS354/(N_9*AS$27*AS356*0.667))*SQRT(M*'Valve Sizing'!$W$6*'Valve Sizing'!$G$8/AS363)</f>
        <v>444.86614402240315</v>
      </c>
      <c r="AT362" s="111"/>
      <c r="AU362" s="28"/>
    </row>
    <row r="363" spans="15:47" ht="15.6" x14ac:dyDescent="0.35">
      <c r="O363" s="2" t="s">
        <v>68</v>
      </c>
      <c r="P363" s="143">
        <v>10</v>
      </c>
      <c r="Q363" s="2"/>
      <c r="R363" s="96">
        <f ca="1">F_GAMMA*R$29</f>
        <v>0.64002969751372984</v>
      </c>
      <c r="S363" s="107"/>
      <c r="T363" s="1"/>
      <c r="U363" s="96">
        <f ca="1">F_GAMMA*U$29</f>
        <v>0.64017842058782071</v>
      </c>
      <c r="V363" s="111"/>
      <c r="W363" s="28"/>
      <c r="X363" s="96">
        <f ca="1">F_GAMMA*X$29</f>
        <v>0.63413873724904268</v>
      </c>
      <c r="Y363" s="111"/>
      <c r="Z363" s="28"/>
      <c r="AA363" s="96">
        <f ca="1">F_GAMMA*AA$29</f>
        <v>0.62532411750377137</v>
      </c>
      <c r="AB363" s="111"/>
      <c r="AC363" s="28"/>
      <c r="AD363" s="96">
        <f ca="1">F_GAMMA*AD$29</f>
        <v>0.60651359509139569</v>
      </c>
      <c r="AE363" s="111"/>
      <c r="AF363" s="28"/>
      <c r="AG363" s="96">
        <f ca="1">F_GAMMA*AG$29</f>
        <v>0.57217930198481592</v>
      </c>
      <c r="AH363" s="111"/>
      <c r="AI363" s="28"/>
      <c r="AJ363" s="96">
        <f ca="1">F_GAMMA*AJ$29</f>
        <v>0.53183282018848232</v>
      </c>
      <c r="AK363" s="111"/>
      <c r="AL363" s="28"/>
      <c r="AM363" s="96">
        <f ca="1">F_GAMMA*AM$29</f>
        <v>0.47566512503094399</v>
      </c>
      <c r="AN363" s="111"/>
      <c r="AO363" s="28"/>
      <c r="AP363" s="96">
        <f ca="1">F_GAMMA*AP$29</f>
        <v>0.59054158265645496</v>
      </c>
      <c r="AQ363" s="111"/>
      <c r="AR363" s="28"/>
      <c r="AS363" s="96">
        <f ca="1">F_GAMMA*AS$29</f>
        <v>0.3766899554102966</v>
      </c>
      <c r="AT363" s="111"/>
      <c r="AU363" s="28"/>
    </row>
    <row r="364" spans="15:47" x14ac:dyDescent="0.25">
      <c r="O364" s="2" t="s">
        <v>145</v>
      </c>
      <c r="P364" s="12"/>
      <c r="Q364" s="2"/>
      <c r="R364" s="96">
        <f ca="1">IF(R359&lt;R363,R361,R362)</f>
        <v>0.20290824944740332</v>
      </c>
      <c r="S364" s="116"/>
      <c r="T364" s="1"/>
      <c r="U364" s="96">
        <f ca="1">IF(U359&lt;U363,U361,U362)</f>
        <v>5.9522534149411355</v>
      </c>
      <c r="V364" s="111"/>
      <c r="W364" s="28"/>
      <c r="X364" s="96">
        <f ca="1">IF(X359&lt;X363,X361,X362)</f>
        <v>14.68838556268007</v>
      </c>
      <c r="Y364" s="111"/>
      <c r="Z364" s="28"/>
      <c r="AA364" s="96">
        <f ca="1">IF(AA359&lt;AA363,AA361,AA362)</f>
        <v>29.20389374191711</v>
      </c>
      <c r="AB364" s="111"/>
      <c r="AC364" s="28"/>
      <c r="AD364" s="96">
        <f ca="1">IF(AD359&lt;AD363,AD361,AD362)</f>
        <v>51.425197882387316</v>
      </c>
      <c r="AE364" s="111"/>
      <c r="AF364" s="28"/>
      <c r="AG364" s="96">
        <f ca="1">IF(AG359&lt;AG363,AG361,AG362)</f>
        <v>82.099938048029443</v>
      </c>
      <c r="AH364" s="111"/>
      <c r="AI364" s="28"/>
      <c r="AJ364" s="96">
        <f ca="1">IF(AJ359&lt;AJ363,AJ361,AJ362)</f>
        <v>126.23292544689795</v>
      </c>
      <c r="AK364" s="111"/>
      <c r="AL364" s="28"/>
      <c r="AM364" s="96">
        <f ca="1">IF(AM359&lt;AM363,AM361,AM362)</f>
        <v>188.63028305011989</v>
      </c>
      <c r="AN364" s="111"/>
      <c r="AO364" s="28"/>
      <c r="AP364" s="96">
        <f ca="1">IF(AP359&lt;AP363,AP361,AP362)</f>
        <v>290.56331136441395</v>
      </c>
      <c r="AQ364" s="111"/>
      <c r="AR364" s="28"/>
      <c r="AS364" s="96">
        <f ca="1">IF(AS359&lt;AS363,AS361,AS362)</f>
        <v>794.88645529492385</v>
      </c>
      <c r="AT364" s="111"/>
      <c r="AU364" s="28"/>
    </row>
    <row r="365" spans="15:47" x14ac:dyDescent="0.25">
      <c r="O365" s="13" t="s">
        <v>143</v>
      </c>
      <c r="P365" s="1"/>
      <c r="Q365" s="1"/>
      <c r="R365" s="113"/>
      <c r="S365" s="106">
        <f ca="1">IF(R358&lt;=0,Q_max,ABS(R$23-R364))</f>
        <v>4.5270917505525974</v>
      </c>
      <c r="T365" s="7">
        <f>R354</f>
        <v>502.44741254930511</v>
      </c>
      <c r="U365" s="98"/>
      <c r="V365" s="106">
        <f ca="1">IF(U358&lt;=0,Q_max,ABS(U$23-U364))</f>
        <v>5.6477465850588642</v>
      </c>
      <c r="W365" s="9">
        <f ca="1">U354</f>
        <v>14720.058000539337</v>
      </c>
      <c r="X365" s="98"/>
      <c r="Y365" s="106">
        <f ca="1">IF(X358&lt;=0,Q_max,ABS(X$23-X364))</f>
        <v>8.3116144373199301</v>
      </c>
      <c r="Z365" s="9">
        <f ca="1">X354</f>
        <v>36044.01499284141</v>
      </c>
      <c r="AA365" s="98"/>
      <c r="AB365" s="106">
        <f ca="1">IF(AA358&lt;=0,Q_max,ABS(AA$23-AA364))</f>
        <v>10.196106258082889</v>
      </c>
      <c r="AC365" s="9">
        <f ca="1">AA354</f>
        <v>70204.541136549597</v>
      </c>
      <c r="AD365" s="98"/>
      <c r="AE365" s="106">
        <f ca="1">IF(AD358&lt;=0,Q_max,ABS(AD$23-AD364))</f>
        <v>9.5748021176126841</v>
      </c>
      <c r="AF365" s="9">
        <f ca="1">AD354</f>
        <v>117781.38090117884</v>
      </c>
      <c r="AG365" s="98"/>
      <c r="AH365" s="106">
        <f ca="1">IF(AG358&lt;=0,Q_max,ABS(AG$23-AG364))</f>
        <v>6.1000619519705594</v>
      </c>
      <c r="AI365" s="9">
        <f ca="1">AG354</f>
        <v>171905.13333565887</v>
      </c>
      <c r="AJ365" s="98"/>
      <c r="AK365" s="106">
        <f ca="1">IF(AJ358&lt;=0,Q_max,ABS(AJ$23-AJ364))</f>
        <v>5.2329254468979514</v>
      </c>
      <c r="AL365" s="9">
        <f ca="1">AJ354</f>
        <v>229408.06683824398</v>
      </c>
      <c r="AM365" s="98"/>
      <c r="AN365" s="106">
        <f ca="1">IF(AM358&lt;=0,Q_max,ABS(AM$23-AM364))</f>
        <v>23.630283050119886</v>
      </c>
      <c r="AO365" s="9">
        <f ca="1">AM354</f>
        <v>279921.43823974277</v>
      </c>
      <c r="AP365" s="98"/>
      <c r="AQ365" s="106">
        <f ca="1">IF(AP358&lt;=0,Q_max,ABS(AP$23-AP364))</f>
        <v>44.563311364413948</v>
      </c>
      <c r="AR365" s="9">
        <f ca="1">AP354</f>
        <v>324980.09973886173</v>
      </c>
      <c r="AS365" s="98"/>
      <c r="AT365" s="106">
        <f ca="1">IF(AS358&lt;=0,Q_max,ABS(AS$23-AS364))</f>
        <v>374.88645529492385</v>
      </c>
      <c r="AU365" s="9">
        <f ca="1">AS354</f>
        <v>381064.72497896291</v>
      </c>
    </row>
    <row r="366" spans="15:47" x14ac:dyDescent="0.25">
      <c r="O366" s="21"/>
      <c r="P366" s="14"/>
      <c r="Q366" s="21"/>
      <c r="R366" s="97"/>
      <c r="S366" s="106"/>
      <c r="T366" s="28"/>
      <c r="U366" s="97"/>
      <c r="V366" s="111"/>
      <c r="W366" s="28"/>
      <c r="X366" s="97"/>
      <c r="Y366" s="111"/>
      <c r="Z366" s="28"/>
      <c r="AA366" s="97"/>
      <c r="AB366" s="111"/>
      <c r="AC366" s="28"/>
      <c r="AD366" s="97"/>
      <c r="AE366" s="111"/>
      <c r="AF366" s="28"/>
      <c r="AG366" s="97"/>
      <c r="AH366" s="111"/>
      <c r="AI366" s="28"/>
      <c r="AJ366" s="97"/>
      <c r="AK366" s="111"/>
      <c r="AL366" s="28"/>
      <c r="AM366" s="97"/>
      <c r="AN366" s="111"/>
      <c r="AO366" s="28"/>
      <c r="AP366" s="97"/>
      <c r="AQ366" s="111"/>
      <c r="AR366" s="28"/>
      <c r="AS366" s="97"/>
      <c r="AT366" s="111"/>
      <c r="AU366" s="28"/>
    </row>
    <row r="367" spans="15:47" x14ac:dyDescent="0.25">
      <c r="O367" s="1"/>
      <c r="P367" s="1"/>
      <c r="Q367" s="1"/>
      <c r="R367" s="98"/>
      <c r="S367" s="108" t="s">
        <v>137</v>
      </c>
      <c r="T367" s="26" t="s">
        <v>146</v>
      </c>
      <c r="U367" s="98"/>
      <c r="V367" s="108" t="s">
        <v>137</v>
      </c>
      <c r="W367" s="26" t="s">
        <v>146</v>
      </c>
      <c r="X367" s="98"/>
      <c r="Y367" s="108" t="s">
        <v>137</v>
      </c>
      <c r="Z367" s="26" t="s">
        <v>146</v>
      </c>
      <c r="AA367" s="98"/>
      <c r="AB367" s="108" t="s">
        <v>137</v>
      </c>
      <c r="AC367" s="26" t="s">
        <v>146</v>
      </c>
      <c r="AD367" s="98"/>
      <c r="AE367" s="108" t="s">
        <v>137</v>
      </c>
      <c r="AF367" s="26" t="s">
        <v>146</v>
      </c>
      <c r="AG367" s="98"/>
      <c r="AH367" s="108" t="s">
        <v>137</v>
      </c>
      <c r="AI367" s="26" t="s">
        <v>146</v>
      </c>
      <c r="AJ367" s="98"/>
      <c r="AK367" s="108" t="s">
        <v>137</v>
      </c>
      <c r="AL367" s="26" t="s">
        <v>146</v>
      </c>
      <c r="AM367" s="98"/>
      <c r="AN367" s="108" t="s">
        <v>137</v>
      </c>
      <c r="AO367" s="26" t="s">
        <v>146</v>
      </c>
      <c r="AP367" s="98"/>
      <c r="AQ367" s="108" t="s">
        <v>137</v>
      </c>
      <c r="AR367" s="26" t="s">
        <v>146</v>
      </c>
      <c r="AS367" s="98"/>
      <c r="AT367" s="108" t="s">
        <v>137</v>
      </c>
      <c r="AU367" s="26" t="s">
        <v>146</v>
      </c>
    </row>
    <row r="368" spans="15:47" ht="13.8" x14ac:dyDescent="0.25">
      <c r="O368" s="20" t="s">
        <v>136</v>
      </c>
      <c r="P368" s="1"/>
      <c r="Q368" s="1"/>
      <c r="R368" s="96">
        <f>R354*1.02</f>
        <v>512.4963608002912</v>
      </c>
      <c r="S368" s="109" t="s">
        <v>144</v>
      </c>
      <c r="T368" s="23" t="s">
        <v>147</v>
      </c>
      <c r="U368" s="96">
        <f ca="1">U354*1.01</f>
        <v>14867.258580544731</v>
      </c>
      <c r="V368" s="109" t="s">
        <v>144</v>
      </c>
      <c r="W368" s="23" t="s">
        <v>147</v>
      </c>
      <c r="X368" s="96">
        <f ca="1">X354*1.01</f>
        <v>36404.455142769824</v>
      </c>
      <c r="Y368" s="109" t="s">
        <v>144</v>
      </c>
      <c r="Z368" s="23" t="s">
        <v>147</v>
      </c>
      <c r="AA368" s="96">
        <f ca="1">AA354*1.01</f>
        <v>70906.586547915096</v>
      </c>
      <c r="AB368" s="109" t="s">
        <v>144</v>
      </c>
      <c r="AC368" s="23" t="s">
        <v>147</v>
      </c>
      <c r="AD368" s="96">
        <f ca="1">AD354*1.01</f>
        <v>118959.19471019063</v>
      </c>
      <c r="AE368" s="109" t="s">
        <v>144</v>
      </c>
      <c r="AF368" s="23" t="s">
        <v>147</v>
      </c>
      <c r="AG368" s="96">
        <f ca="1">AG354*1.01</f>
        <v>173624.18466901546</v>
      </c>
      <c r="AH368" s="109" t="s">
        <v>144</v>
      </c>
      <c r="AI368" s="23" t="s">
        <v>147</v>
      </c>
      <c r="AJ368" s="96">
        <f ca="1">AJ354*1.01</f>
        <v>231702.14750662641</v>
      </c>
      <c r="AK368" s="109" t="s">
        <v>144</v>
      </c>
      <c r="AL368" s="23" t="s">
        <v>147</v>
      </c>
      <c r="AM368" s="96">
        <f ca="1">AM354*1.01</f>
        <v>282720.65262214019</v>
      </c>
      <c r="AN368" s="109" t="s">
        <v>144</v>
      </c>
      <c r="AO368" s="23" t="s">
        <v>147</v>
      </c>
      <c r="AP368" s="96">
        <f ca="1">AP354*1.01</f>
        <v>328229.90073625033</v>
      </c>
      <c r="AQ368" s="109" t="s">
        <v>144</v>
      </c>
      <c r="AR368" s="23" t="s">
        <v>147</v>
      </c>
      <c r="AS368" s="96">
        <f ca="1">AS354*1.01</f>
        <v>384875.37222875253</v>
      </c>
      <c r="AT368" s="109" t="s">
        <v>144</v>
      </c>
      <c r="AU368" s="23" t="s">
        <v>147</v>
      </c>
    </row>
    <row r="369" spans="15:47" x14ac:dyDescent="0.25">
      <c r="O369" s="1"/>
      <c r="P369" s="1"/>
      <c r="Q369" s="1"/>
      <c r="R369" s="98"/>
      <c r="S369" s="107"/>
      <c r="T369" s="1"/>
      <c r="U369" s="47"/>
      <c r="V369" s="107"/>
      <c r="W369" s="1"/>
      <c r="X369" s="47"/>
      <c r="Y369" s="107"/>
      <c r="Z369" s="1"/>
      <c r="AA369" s="47"/>
      <c r="AB369" s="107"/>
      <c r="AC369" s="1"/>
      <c r="AD369" s="47"/>
      <c r="AE369" s="107"/>
      <c r="AF369" s="1"/>
      <c r="AG369" s="47"/>
      <c r="AH369" s="107"/>
      <c r="AI369" s="1"/>
      <c r="AJ369" s="47"/>
      <c r="AK369" s="107"/>
      <c r="AL369" s="1"/>
      <c r="AM369" s="47"/>
      <c r="AN369" s="107"/>
      <c r="AO369" s="1"/>
      <c r="AP369" s="47"/>
      <c r="AQ369" s="107"/>
      <c r="AR369" s="1"/>
      <c r="AS369" s="47"/>
      <c r="AT369" s="107"/>
      <c r="AU369" s="1"/>
    </row>
    <row r="370" spans="15:47" x14ac:dyDescent="0.25">
      <c r="O370" s="8" t="s">
        <v>132</v>
      </c>
      <c r="P370" s="8"/>
      <c r="Q370" s="8"/>
      <c r="R370" s="96">
        <f>P_1_minQ-(R368^2*R_up)+dpup_minQ</f>
        <v>90.184992658967957</v>
      </c>
      <c r="S370" s="106"/>
      <c r="T370" s="22"/>
      <c r="U370" s="96">
        <f ca="1">P_1_minQ-(U368^2*R_up)+dpup_minQ</f>
        <v>90.144754420908129</v>
      </c>
      <c r="V370" s="107"/>
      <c r="W370" s="1"/>
      <c r="X370" s="96">
        <f ca="1">P_1_minQ-(X368^2*R_up)+dpup_minQ</f>
        <v>89.943492996250868</v>
      </c>
      <c r="Y370" s="107"/>
      <c r="Z370" s="1"/>
      <c r="AA370" s="96">
        <f ca="1">P_1_minQ-(AA368^2*R_up)+dpup_minQ</f>
        <v>89.268679324635983</v>
      </c>
      <c r="AB370" s="107"/>
      <c r="AC370" s="1"/>
      <c r="AD370" s="96">
        <f ca="1">P_1_minQ-(AD368^2*R_up)+dpup_minQ</f>
        <v>87.605813519073422</v>
      </c>
      <c r="AE370" s="107"/>
      <c r="AF370" s="1"/>
      <c r="AG370" s="96">
        <f ca="1">P_1_minQ-(AG368^2*R_up)+dpup_minQ</f>
        <v>84.690720203461979</v>
      </c>
      <c r="AH370" s="107"/>
      <c r="AI370" s="1"/>
      <c r="AJ370" s="96">
        <f ca="1">P_1_minQ-(AJ368^2*R_up)+dpup_minQ</f>
        <v>80.400202182505865</v>
      </c>
      <c r="AK370" s="107"/>
      <c r="AL370" s="1"/>
      <c r="AM370" s="96">
        <f ca="1">P_1_minQ-(AM368^2*R_up)+dpup_minQ</f>
        <v>75.616749575267761</v>
      </c>
      <c r="AN370" s="107"/>
      <c r="AO370" s="1"/>
      <c r="AP370" s="96">
        <f ca="1">P_1_minQ-(AP368^2*R_up)+dpup_minQ</f>
        <v>70.549185368321076</v>
      </c>
      <c r="AQ370" s="107"/>
      <c r="AR370" s="1"/>
      <c r="AS370" s="96">
        <f ca="1">P_1_minQ-(AS368^2*R_up)+dpup_minQ</f>
        <v>63.186904510367029</v>
      </c>
      <c r="AT370" s="107"/>
      <c r="AU370" s="1"/>
    </row>
    <row r="371" spans="15:47" x14ac:dyDescent="0.25">
      <c r="O371" s="8" t="s">
        <v>134</v>
      </c>
      <c r="P371" s="1"/>
      <c r="Q371" s="8"/>
      <c r="R371" s="97">
        <f>P_2_minQ+(R368^2*R_dn)-dpdn_minQ</f>
        <v>60</v>
      </c>
      <c r="S371" s="106"/>
      <c r="T371" s="22"/>
      <c r="U371" s="97">
        <f ca="1">P_2_minQ+(U368^2*R_dn)-dpdn_minQ</f>
        <v>60</v>
      </c>
      <c r="V371" s="107"/>
      <c r="W371" s="1"/>
      <c r="X371" s="97">
        <f ca="1">P_2_minQ+(X368^2*R_dn)-dpdn_minQ</f>
        <v>60</v>
      </c>
      <c r="Y371" s="107"/>
      <c r="Z371" s="1"/>
      <c r="AA371" s="97">
        <f ca="1">P_2_minQ+(AA368^2*R_dn)-dpdn_minQ</f>
        <v>60</v>
      </c>
      <c r="AB371" s="107"/>
      <c r="AC371" s="1"/>
      <c r="AD371" s="97">
        <f ca="1">P_2_minQ+(AD368^2*R_dn)-dpdn_minQ</f>
        <v>60</v>
      </c>
      <c r="AE371" s="107"/>
      <c r="AF371" s="1"/>
      <c r="AG371" s="97">
        <f ca="1">P_2_minQ+(AG368^2*R_dn)-dpdn_minQ</f>
        <v>60</v>
      </c>
      <c r="AH371" s="107"/>
      <c r="AI371" s="1"/>
      <c r="AJ371" s="97">
        <f ca="1">P_2_minQ+(AJ368^2*R_dn)-dpdn_minQ</f>
        <v>60</v>
      </c>
      <c r="AK371" s="107"/>
      <c r="AL371" s="1"/>
      <c r="AM371" s="97">
        <f ca="1">P_2_minQ+(AM368^2*R_dn)-dpdn_minQ</f>
        <v>60</v>
      </c>
      <c r="AN371" s="107"/>
      <c r="AO371" s="1"/>
      <c r="AP371" s="97">
        <f ca="1">P_2_minQ+(AP368^2*R_dn)-dpdn_minQ</f>
        <v>60</v>
      </c>
      <c r="AQ371" s="107"/>
      <c r="AR371" s="1"/>
      <c r="AS371" s="97">
        <f ca="1">P_2_minQ+(AS368^2*R_dn)-dpdn_minQ</f>
        <v>60</v>
      </c>
      <c r="AT371" s="107"/>
      <c r="AU371" s="1"/>
    </row>
    <row r="372" spans="15:47" x14ac:dyDescent="0.25">
      <c r="O372" s="8" t="s">
        <v>138</v>
      </c>
      <c r="P372" s="1"/>
      <c r="Q372" s="8"/>
      <c r="R372" s="97">
        <f>R370-R371</f>
        <v>30.184992658967957</v>
      </c>
      <c r="S372" s="106"/>
      <c r="T372" s="22"/>
      <c r="U372" s="97">
        <f ca="1">U370-U371</f>
        <v>30.144754420908129</v>
      </c>
      <c r="V372" s="110"/>
      <c r="W372" s="25"/>
      <c r="X372" s="97">
        <f ca="1">X370-X371</f>
        <v>29.943492996250868</v>
      </c>
      <c r="Y372" s="110"/>
      <c r="Z372" s="25"/>
      <c r="AA372" s="97">
        <f ca="1">AA370-AA371</f>
        <v>29.268679324635983</v>
      </c>
      <c r="AB372" s="110"/>
      <c r="AC372" s="25"/>
      <c r="AD372" s="97">
        <f ca="1">AD370-AD371</f>
        <v>27.605813519073422</v>
      </c>
      <c r="AE372" s="110"/>
      <c r="AF372" s="25"/>
      <c r="AG372" s="97">
        <f ca="1">AG370-AG371</f>
        <v>24.690720203461979</v>
      </c>
      <c r="AH372" s="110"/>
      <c r="AI372" s="25"/>
      <c r="AJ372" s="97">
        <f ca="1">AJ370-AJ371</f>
        <v>20.400202182505865</v>
      </c>
      <c r="AK372" s="110"/>
      <c r="AL372" s="25"/>
      <c r="AM372" s="97">
        <f ca="1">AM370-AM371</f>
        <v>15.616749575267761</v>
      </c>
      <c r="AN372" s="110"/>
      <c r="AO372" s="25"/>
      <c r="AP372" s="97">
        <f ca="1">AP370-AP371</f>
        <v>10.549185368321076</v>
      </c>
      <c r="AQ372" s="110"/>
      <c r="AR372" s="25"/>
      <c r="AS372" s="97">
        <f ca="1">AS370-AS371</f>
        <v>3.1869045103670288</v>
      </c>
      <c r="AT372" s="110"/>
      <c r="AU372" s="25"/>
    </row>
    <row r="373" spans="15:47" ht="14.4" x14ac:dyDescent="0.3">
      <c r="O373" s="2" t="s">
        <v>140</v>
      </c>
      <c r="P373" s="11"/>
      <c r="Q373" s="2"/>
      <c r="R373" s="96">
        <f>R372/R370</f>
        <v>0.33470083845448284</v>
      </c>
      <c r="S373" s="106"/>
      <c r="T373" s="22"/>
      <c r="U373" s="96">
        <f ca="1">U372/U370</f>
        <v>0.33440386647629905</v>
      </c>
      <c r="V373" s="111"/>
      <c r="W373" s="28"/>
      <c r="X373" s="96">
        <f ca="1">X372/X370</f>
        <v>0.33291449996831907</v>
      </c>
      <c r="Y373" s="111"/>
      <c r="Z373" s="28"/>
      <c r="AA373" s="96">
        <f ca="1">AA372/AA370</f>
        <v>0.32787176360251741</v>
      </c>
      <c r="AB373" s="111"/>
      <c r="AC373" s="28"/>
      <c r="AD373" s="96">
        <f ca="1">AD372/AD370</f>
        <v>0.31511394518427843</v>
      </c>
      <c r="AE373" s="111"/>
      <c r="AF373" s="28"/>
      <c r="AG373" s="96">
        <f ca="1">AG372/AG370</f>
        <v>0.29153985400224136</v>
      </c>
      <c r="AH373" s="111"/>
      <c r="AI373" s="28"/>
      <c r="AJ373" s="96">
        <f ca="1">AJ372/AJ370</f>
        <v>0.25373321992646319</v>
      </c>
      <c r="AK373" s="111"/>
      <c r="AL373" s="28"/>
      <c r="AM373" s="96">
        <f ca="1">AM372/AM370</f>
        <v>0.20652500488298675</v>
      </c>
      <c r="AN373" s="111"/>
      <c r="AO373" s="28"/>
      <c r="AP373" s="96">
        <f ca="1">AP372/AP370</f>
        <v>0.14952951353366031</v>
      </c>
      <c r="AQ373" s="111"/>
      <c r="AR373" s="28"/>
      <c r="AS373" s="96">
        <f ca="1">AS372/AS370</f>
        <v>5.0436155008102286E-2</v>
      </c>
      <c r="AT373" s="111"/>
      <c r="AU373" s="28"/>
    </row>
    <row r="374" spans="15:47" x14ac:dyDescent="0.25">
      <c r="O374" s="2" t="s">
        <v>21</v>
      </c>
      <c r="P374" s="8">
        <v>12</v>
      </c>
      <c r="Q374" s="2"/>
      <c r="R374" s="96">
        <f ca="1">1-R373/(3*F_GAMMA*R$29)</f>
        <v>0.82568473527886421</v>
      </c>
      <c r="S374" s="106"/>
      <c r="T374" s="22"/>
      <c r="U374" s="96">
        <f ca="1">1-U373/(3*F_GAMMA*U$29)</f>
        <v>0.82587986113348166</v>
      </c>
      <c r="V374" s="111"/>
      <c r="W374" s="28"/>
      <c r="X374" s="96">
        <f ca="1">1-X373/(3*F_GAMMA*X$29)</f>
        <v>0.82500438236773677</v>
      </c>
      <c r="Y374" s="111"/>
      <c r="Z374" s="28"/>
      <c r="AA374" s="96">
        <f ca="1">1-AA373/(3*F_GAMMA*AA$29)</f>
        <v>0.82522569527018652</v>
      </c>
      <c r="AB374" s="111"/>
      <c r="AC374" s="28"/>
      <c r="AD374" s="96">
        <f ca="1">1-AD373/(3*F_GAMMA*AD$29)</f>
        <v>0.82681677281732724</v>
      </c>
      <c r="AE374" s="111"/>
      <c r="AF374" s="28"/>
      <c r="AG374" s="96">
        <f ca="1">1-AG373/(3*F_GAMMA*AG$29)</f>
        <v>0.83015821964028447</v>
      </c>
      <c r="AH374" s="111"/>
      <c r="AI374" s="28"/>
      <c r="AJ374" s="96">
        <f ca="1">1-AJ373/(3*F_GAMMA*AJ$29)</f>
        <v>0.84096931072152847</v>
      </c>
      <c r="AK374" s="111"/>
      <c r="AL374" s="28"/>
      <c r="AM374" s="96">
        <f ca="1">1-AM373/(3*F_GAMMA*AM$29)</f>
        <v>0.85527282814805794</v>
      </c>
      <c r="AN374" s="111"/>
      <c r="AO374" s="28"/>
      <c r="AP374" s="96">
        <f ca="1">1-AP373/(3*F_GAMMA*AP$29)</f>
        <v>0.9155975249809245</v>
      </c>
      <c r="AQ374" s="111"/>
      <c r="AR374" s="28"/>
      <c r="AS374" s="96">
        <f ca="1">1-AS373/(3*F_GAMMA*AS$29)</f>
        <v>0.95536899397528274</v>
      </c>
      <c r="AT374" s="111"/>
      <c r="AU374" s="28"/>
    </row>
    <row r="375" spans="15:47" x14ac:dyDescent="0.25">
      <c r="O375" s="2" t="s">
        <v>57</v>
      </c>
      <c r="P375" s="143">
        <v>7</v>
      </c>
      <c r="Q375" s="2"/>
      <c r="R375" s="96">
        <f ca="1">(R368/(N_9*R$27*R370*R374))*SQRT(M*'Valve Sizing'!$W$6*'Valve Sizing'!$G$8/R373)</f>
        <v>0.20696642115201749</v>
      </c>
      <c r="S375" s="107"/>
      <c r="T375" s="22"/>
      <c r="U375" s="96">
        <f ca="1">(U368/(N_9*U$27*U370*U374))*SQRT(M*'Valve Sizing'!$W$6*'Valve Sizing'!$G$8/U373)</f>
        <v>6.0118593564836909</v>
      </c>
      <c r="V375" s="111"/>
      <c r="W375" s="28"/>
      <c r="X375" s="96">
        <f ca="1">(X368/(N_9*X$27*X370*X374))*SQRT(M*'Valve Sizing'!$W$6*'Valve Sizing'!$G$8/X373)</f>
        <v>14.836507246578108</v>
      </c>
      <c r="Y375" s="111"/>
      <c r="Z375" s="28"/>
      <c r="AA375" s="96">
        <f ca="1">(AA368/(N_9*AA$27*AA370*AA374))*SQRT(M*'Valve Sizing'!$W$6*'Valve Sizing'!$G$8/AA373)</f>
        <v>29.505422355888555</v>
      </c>
      <c r="AB375" s="111"/>
      <c r="AC375" s="28"/>
      <c r="AD375" s="96">
        <f ca="1">(AD368/(N_9*AD$27*AD370*AD374))*SQRT(M*'Valve Sizing'!$W$6*'Valve Sizing'!$G$8/AD373)</f>
        <v>51.988588343104432</v>
      </c>
      <c r="AE375" s="111"/>
      <c r="AF375" s="28"/>
      <c r="AG375" s="96">
        <f ca="1">(AG368/(N_9*AG$27*AG370*AG374))*SQRT(M*'Valve Sizing'!$W$6*'Valve Sizing'!$G$8/AG373)</f>
        <v>83.102845498218159</v>
      </c>
      <c r="AH375" s="111"/>
      <c r="AI375" s="28"/>
      <c r="AJ375" s="96">
        <f ca="1">(AJ368/(N_9*AJ$27*AJ370*AJ374))*SQRT(M*'Valve Sizing'!$W$6*'Valve Sizing'!$G$8/AJ373)</f>
        <v>128.07916396095894</v>
      </c>
      <c r="AK375" s="111"/>
      <c r="AL375" s="28"/>
      <c r="AM375" s="96">
        <f ca="1">(AM368/(N_9*AM$27*AM370*AM374))*SQRT(M*'Valve Sizing'!$W$6*'Valve Sizing'!$G$8/AM373)</f>
        <v>192.15053832208864</v>
      </c>
      <c r="AN375" s="111"/>
      <c r="AO375" s="28"/>
      <c r="AP375" s="96">
        <f ca="1">(AP368/(N_9*AP$27*AP370*AP374))*SQRT(M*'Valve Sizing'!$W$6*'Valve Sizing'!$G$8/AP373)</f>
        <v>298.76354570107509</v>
      </c>
      <c r="AQ375" s="111"/>
      <c r="AR375" s="28"/>
      <c r="AS375" s="96">
        <f ca="1">(AS368/(N_9*AS$27*AS370*AS374))*SQRT(M*'Valve Sizing'!$W$6*'Valve Sizing'!$G$8/AS373)</f>
        <v>864.50492348833768</v>
      </c>
      <c r="AT375" s="111"/>
      <c r="AU375" s="28"/>
    </row>
    <row r="376" spans="15:47" x14ac:dyDescent="0.25">
      <c r="O376" s="2" t="s">
        <v>59</v>
      </c>
      <c r="P376" s="143">
        <v>7</v>
      </c>
      <c r="Q376" s="2"/>
      <c r="R376" s="96">
        <f ca="1">(R368/(N_9*R$27*R370*0.667))*SQRT(M*'Valve Sizing'!$W$6*'Valve Sizing'!$G$8/R377)</f>
        <v>0.18527492621891242</v>
      </c>
      <c r="S376" s="107"/>
      <c r="T376" s="22"/>
      <c r="U376" s="96">
        <f ca="1">(U368/(N_9*U$27*U370*0.667))*SQRT(M*'Valve Sizing'!$W$6*'Valve Sizing'!$G$8/U377)</f>
        <v>5.3800335500744083</v>
      </c>
      <c r="V376" s="111"/>
      <c r="W376" s="28"/>
      <c r="X376" s="96">
        <f ca="1">(X368/(N_9*X$27*X370*0.667))*SQRT(M*'Valve Sizing'!$W$6*'Valve Sizing'!$G$8/X377)</f>
        <v>13.296468481443414</v>
      </c>
      <c r="Y376" s="111"/>
      <c r="Z376" s="28"/>
      <c r="AA376" s="96">
        <f ca="1">(AA368/(N_9*AA$27*AA370*0.667))*SQRT(M*'Valve Sizing'!$W$6*'Valve Sizing'!$G$8/AA377)</f>
        <v>26.433103897781763</v>
      </c>
      <c r="AB376" s="111"/>
      <c r="AC376" s="28"/>
      <c r="AD376" s="96">
        <f ca="1">(AD368/(N_9*AD$27*AD370*0.667))*SQRT(M*'Valve Sizing'!$W$6*'Valve Sizing'!$G$8/AD377)</f>
        <v>46.452063475566966</v>
      </c>
      <c r="AE376" s="111"/>
      <c r="AF376" s="28"/>
      <c r="AG376" s="96">
        <f ca="1">(AG368/(N_9*AG$27*AG370*0.667))*SQRT(M*'Valve Sizing'!$W$6*'Valve Sizing'!$G$8/AG377)</f>
        <v>73.830162990153156</v>
      </c>
      <c r="AH376" s="111"/>
      <c r="AI376" s="28"/>
      <c r="AJ376" s="96">
        <f ca="1">(AJ368/(N_9*AJ$27*AJ370*0.667))*SQRT(M*'Valve Sizing'!$W$6*'Valve Sizing'!$G$8/AJ377)</f>
        <v>111.5408361085816</v>
      </c>
      <c r="AK376" s="111"/>
      <c r="AL376" s="28"/>
      <c r="AM376" s="96">
        <f ca="1">(AM368/(N_9*AM$27*AM370*0.667))*SQRT(M*'Valve Sizing'!$W$6*'Valve Sizing'!$G$8/AM377)</f>
        <v>162.35142747583271</v>
      </c>
      <c r="AN376" s="111"/>
      <c r="AO376" s="28"/>
      <c r="AP376" s="96">
        <f ca="1">(AP368/(N_9*AP$27*AP370*0.667))*SQRT(M*'Valve Sizing'!$W$6*'Valve Sizing'!$G$8/AP377)</f>
        <v>206.36906641058431</v>
      </c>
      <c r="AQ376" s="111"/>
      <c r="AR376" s="28"/>
      <c r="AS376" s="96">
        <f ca="1">(AS368/(N_9*AS$27*AS370*0.667))*SQRT(M*'Valve Sizing'!$W$6*'Valve Sizing'!$G$8/AS377)</f>
        <v>453.0975824662633</v>
      </c>
      <c r="AT376" s="111"/>
      <c r="AU376" s="28"/>
    </row>
    <row r="377" spans="15:47" ht="15.6" x14ac:dyDescent="0.35">
      <c r="O377" s="2" t="s">
        <v>68</v>
      </c>
      <c r="P377" s="143">
        <v>10</v>
      </c>
      <c r="Q377" s="2"/>
      <c r="R377" s="96">
        <f ca="1">F_GAMMA*R$29</f>
        <v>0.64002969751372984</v>
      </c>
      <c r="S377" s="107"/>
      <c r="T377" s="1"/>
      <c r="U377" s="96">
        <f ca="1">F_GAMMA*U$29</f>
        <v>0.64017842058782071</v>
      </c>
      <c r="V377" s="111"/>
      <c r="W377" s="28"/>
      <c r="X377" s="96">
        <f ca="1">F_GAMMA*X$29</f>
        <v>0.63413873724904268</v>
      </c>
      <c r="Y377" s="111"/>
      <c r="Z377" s="28"/>
      <c r="AA377" s="96">
        <f ca="1">F_GAMMA*AA$29</f>
        <v>0.62532411750377137</v>
      </c>
      <c r="AB377" s="111"/>
      <c r="AC377" s="28"/>
      <c r="AD377" s="96">
        <f ca="1">F_GAMMA*AD$29</f>
        <v>0.60651359509139569</v>
      </c>
      <c r="AE377" s="111"/>
      <c r="AF377" s="28"/>
      <c r="AG377" s="96">
        <f ca="1">F_GAMMA*AG$29</f>
        <v>0.57217930198481592</v>
      </c>
      <c r="AH377" s="111"/>
      <c r="AI377" s="28"/>
      <c r="AJ377" s="96">
        <f ca="1">F_GAMMA*AJ$29</f>
        <v>0.53183282018848232</v>
      </c>
      <c r="AK377" s="111"/>
      <c r="AL377" s="28"/>
      <c r="AM377" s="96">
        <f ca="1">F_GAMMA*AM$29</f>
        <v>0.47566512503094399</v>
      </c>
      <c r="AN377" s="111"/>
      <c r="AO377" s="28"/>
      <c r="AP377" s="96">
        <f ca="1">F_GAMMA*AP$29</f>
        <v>0.59054158265645496</v>
      </c>
      <c r="AQ377" s="111"/>
      <c r="AR377" s="28"/>
      <c r="AS377" s="96">
        <f ca="1">F_GAMMA*AS$29</f>
        <v>0.3766899554102966</v>
      </c>
      <c r="AT377" s="111"/>
      <c r="AU377" s="28"/>
    </row>
    <row r="378" spans="15:47" x14ac:dyDescent="0.25">
      <c r="O378" s="2" t="s">
        <v>145</v>
      </c>
      <c r="P378" s="12"/>
      <c r="Q378" s="2"/>
      <c r="R378" s="96">
        <f ca="1">IF(R373&lt;R377,R375,R376)</f>
        <v>0.20696642115201749</v>
      </c>
      <c r="S378" s="116"/>
      <c r="T378" s="1"/>
      <c r="U378" s="96">
        <f ca="1">IF(U373&lt;U377,U375,U376)</f>
        <v>6.0118593564836909</v>
      </c>
      <c r="V378" s="111"/>
      <c r="W378" s="28"/>
      <c r="X378" s="96">
        <f ca="1">IF(X373&lt;X377,X375,X376)</f>
        <v>14.836507246578108</v>
      </c>
      <c r="Y378" s="111"/>
      <c r="Z378" s="28"/>
      <c r="AA378" s="96">
        <f ca="1">IF(AA373&lt;AA377,AA375,AA376)</f>
        <v>29.505422355888555</v>
      </c>
      <c r="AB378" s="111"/>
      <c r="AC378" s="28"/>
      <c r="AD378" s="96">
        <f ca="1">IF(AD373&lt;AD377,AD375,AD376)</f>
        <v>51.988588343104432</v>
      </c>
      <c r="AE378" s="111"/>
      <c r="AF378" s="28"/>
      <c r="AG378" s="96">
        <f ca="1">IF(AG373&lt;AG377,AG375,AG376)</f>
        <v>83.102845498218159</v>
      </c>
      <c r="AH378" s="111"/>
      <c r="AI378" s="28"/>
      <c r="AJ378" s="96">
        <f ca="1">IF(AJ373&lt;AJ377,AJ375,AJ376)</f>
        <v>128.07916396095894</v>
      </c>
      <c r="AK378" s="111"/>
      <c r="AL378" s="28"/>
      <c r="AM378" s="96">
        <f ca="1">IF(AM373&lt;AM377,AM375,AM376)</f>
        <v>192.15053832208864</v>
      </c>
      <c r="AN378" s="111"/>
      <c r="AO378" s="28"/>
      <c r="AP378" s="96">
        <f ca="1">IF(AP373&lt;AP377,AP375,AP376)</f>
        <v>298.76354570107509</v>
      </c>
      <c r="AQ378" s="111"/>
      <c r="AR378" s="28"/>
      <c r="AS378" s="96">
        <f ca="1">IF(AS373&lt;AS377,AS375,AS376)</f>
        <v>864.50492348833768</v>
      </c>
      <c r="AT378" s="111"/>
      <c r="AU378" s="28"/>
    </row>
    <row r="379" spans="15:47" x14ac:dyDescent="0.25">
      <c r="O379" s="13" t="s">
        <v>143</v>
      </c>
      <c r="P379" s="1"/>
      <c r="Q379" s="1"/>
      <c r="R379" s="113"/>
      <c r="S379" s="106">
        <f ca="1">IF(R372&lt;=0,Q_max,ABS(R$23-R378))</f>
        <v>4.5230335788479827</v>
      </c>
      <c r="T379" s="7">
        <f>R368</f>
        <v>512.4963608002912</v>
      </c>
      <c r="U379" s="98"/>
      <c r="V379" s="106">
        <f ca="1">IF(U372&lt;=0,Q_max,ABS(U$23-U378))</f>
        <v>5.5881406435163088</v>
      </c>
      <c r="W379" s="9">
        <f ca="1">U368</f>
        <v>14867.258580544731</v>
      </c>
      <c r="X379" s="98"/>
      <c r="Y379" s="106">
        <f ca="1">IF(X372&lt;=0,Q_max,ABS(X$23-X378))</f>
        <v>8.1634927534218917</v>
      </c>
      <c r="Z379" s="9">
        <f ca="1">X368</f>
        <v>36404.455142769824</v>
      </c>
      <c r="AA379" s="98"/>
      <c r="AB379" s="106">
        <f ca="1">IF(AA372&lt;=0,Q_max,ABS(AA$23-AA378))</f>
        <v>9.8945776441114432</v>
      </c>
      <c r="AC379" s="9">
        <f ca="1">AA368</f>
        <v>70906.586547915096</v>
      </c>
      <c r="AD379" s="98"/>
      <c r="AE379" s="106">
        <f ca="1">IF(AD372&lt;=0,Q_max,ABS(AD$23-AD378))</f>
        <v>9.011411656895568</v>
      </c>
      <c r="AF379" s="9">
        <f ca="1">AD368</f>
        <v>118959.19471019063</v>
      </c>
      <c r="AG379" s="98"/>
      <c r="AH379" s="106">
        <f ca="1">IF(AG372&lt;=0,Q_max,ABS(AG$23-AG378))</f>
        <v>5.0971545017818443</v>
      </c>
      <c r="AI379" s="9">
        <f ca="1">AG368</f>
        <v>173624.18466901546</v>
      </c>
      <c r="AJ379" s="98"/>
      <c r="AK379" s="106">
        <f ca="1">IF(AJ372&lt;=0,Q_max,ABS(AJ$23-AJ378))</f>
        <v>7.0791639609589367</v>
      </c>
      <c r="AL379" s="9">
        <f ca="1">AJ368</f>
        <v>231702.14750662641</v>
      </c>
      <c r="AM379" s="98"/>
      <c r="AN379" s="106">
        <f ca="1">IF(AM372&lt;=0,Q_max,ABS(AM$23-AM378))</f>
        <v>27.150538322088636</v>
      </c>
      <c r="AO379" s="9">
        <f ca="1">AM368</f>
        <v>282720.65262214019</v>
      </c>
      <c r="AP379" s="98"/>
      <c r="AQ379" s="106">
        <f ca="1">IF(AP372&lt;=0,Q_max,ABS(AP$23-AP378))</f>
        <v>52.763545701075088</v>
      </c>
      <c r="AR379" s="9">
        <f ca="1">AP368</f>
        <v>328229.90073625033</v>
      </c>
      <c r="AS379" s="98"/>
      <c r="AT379" s="106">
        <f ca="1">IF(AS372&lt;=0,Q_max,ABS(AS$23-AS378))</f>
        <v>444.50492348833768</v>
      </c>
      <c r="AU379" s="9">
        <f ca="1">AS368</f>
        <v>384875.37222875253</v>
      </c>
    </row>
    <row r="380" spans="15:47" x14ac:dyDescent="0.25">
      <c r="O380" s="21"/>
      <c r="P380" s="14"/>
      <c r="Q380" s="21"/>
      <c r="R380" s="97"/>
      <c r="S380" s="106"/>
      <c r="T380" s="28"/>
      <c r="U380" s="97"/>
      <c r="V380" s="111"/>
      <c r="W380" s="28"/>
      <c r="X380" s="97"/>
      <c r="Y380" s="111"/>
      <c r="Z380" s="28"/>
      <c r="AA380" s="97"/>
      <c r="AB380" s="111"/>
      <c r="AC380" s="28"/>
      <c r="AD380" s="97"/>
      <c r="AE380" s="111"/>
      <c r="AF380" s="28"/>
      <c r="AG380" s="97"/>
      <c r="AH380" s="111"/>
      <c r="AI380" s="28"/>
      <c r="AJ380" s="97"/>
      <c r="AK380" s="111"/>
      <c r="AL380" s="28"/>
      <c r="AM380" s="97"/>
      <c r="AN380" s="111"/>
      <c r="AO380" s="28"/>
      <c r="AP380" s="97"/>
      <c r="AQ380" s="111"/>
      <c r="AR380" s="28"/>
      <c r="AS380" s="97"/>
      <c r="AT380" s="111"/>
      <c r="AU380" s="28"/>
    </row>
    <row r="381" spans="15:47" x14ac:dyDescent="0.25">
      <c r="O381" s="1"/>
      <c r="P381" s="1"/>
      <c r="Q381" s="1"/>
      <c r="R381" s="98"/>
      <c r="S381" s="108" t="s">
        <v>137</v>
      </c>
      <c r="T381" s="26" t="s">
        <v>146</v>
      </c>
      <c r="U381" s="98"/>
      <c r="V381" s="108" t="s">
        <v>137</v>
      </c>
      <c r="W381" s="26" t="s">
        <v>146</v>
      </c>
      <c r="X381" s="98"/>
      <c r="Y381" s="108" t="s">
        <v>137</v>
      </c>
      <c r="Z381" s="26" t="s">
        <v>146</v>
      </c>
      <c r="AA381" s="98"/>
      <c r="AB381" s="108" t="s">
        <v>137</v>
      </c>
      <c r="AC381" s="26" t="s">
        <v>146</v>
      </c>
      <c r="AD381" s="98"/>
      <c r="AE381" s="108" t="s">
        <v>137</v>
      </c>
      <c r="AF381" s="26" t="s">
        <v>146</v>
      </c>
      <c r="AG381" s="98"/>
      <c r="AH381" s="108" t="s">
        <v>137</v>
      </c>
      <c r="AI381" s="26" t="s">
        <v>146</v>
      </c>
      <c r="AJ381" s="98"/>
      <c r="AK381" s="108" t="s">
        <v>137</v>
      </c>
      <c r="AL381" s="26" t="s">
        <v>146</v>
      </c>
      <c r="AM381" s="98"/>
      <c r="AN381" s="108" t="s">
        <v>137</v>
      </c>
      <c r="AO381" s="26" t="s">
        <v>146</v>
      </c>
      <c r="AP381" s="98"/>
      <c r="AQ381" s="108" t="s">
        <v>137</v>
      </c>
      <c r="AR381" s="26" t="s">
        <v>146</v>
      </c>
      <c r="AS381" s="98"/>
      <c r="AT381" s="108" t="s">
        <v>137</v>
      </c>
      <c r="AU381" s="26" t="s">
        <v>146</v>
      </c>
    </row>
    <row r="382" spans="15:47" ht="13.8" x14ac:dyDescent="0.25">
      <c r="O382" s="20" t="s">
        <v>136</v>
      </c>
      <c r="P382" s="1"/>
      <c r="Q382" s="1"/>
      <c r="R382" s="96">
        <f>R368*1.02</f>
        <v>522.74628801629706</v>
      </c>
      <c r="S382" s="109" t="s">
        <v>144</v>
      </c>
      <c r="T382" s="23" t="s">
        <v>147</v>
      </c>
      <c r="U382" s="96">
        <f ca="1">U368*1.01</f>
        <v>15015.931166350178</v>
      </c>
      <c r="V382" s="109" t="s">
        <v>144</v>
      </c>
      <c r="W382" s="23" t="s">
        <v>147</v>
      </c>
      <c r="X382" s="96">
        <f ca="1">X368*1.01</f>
        <v>36768.499694197526</v>
      </c>
      <c r="Y382" s="109" t="s">
        <v>144</v>
      </c>
      <c r="Z382" s="23" t="s">
        <v>147</v>
      </c>
      <c r="AA382" s="96">
        <f ca="1">AA368*1.01</f>
        <v>71615.652413394244</v>
      </c>
      <c r="AB382" s="109" t="s">
        <v>144</v>
      </c>
      <c r="AC382" s="23" t="s">
        <v>147</v>
      </c>
      <c r="AD382" s="96">
        <f ca="1">AD368*1.01</f>
        <v>120148.78665729253</v>
      </c>
      <c r="AE382" s="109" t="s">
        <v>144</v>
      </c>
      <c r="AF382" s="23" t="s">
        <v>147</v>
      </c>
      <c r="AG382" s="96">
        <f ca="1">AG368*1.01</f>
        <v>175360.42651570562</v>
      </c>
      <c r="AH382" s="109" t="s">
        <v>144</v>
      </c>
      <c r="AI382" s="23" t="s">
        <v>147</v>
      </c>
      <c r="AJ382" s="96">
        <f ca="1">AJ368*1.01</f>
        <v>234019.16898169267</v>
      </c>
      <c r="AK382" s="109" t="s">
        <v>144</v>
      </c>
      <c r="AL382" s="23" t="s">
        <v>147</v>
      </c>
      <c r="AM382" s="96">
        <f ca="1">AM368*1.01</f>
        <v>285547.8591483616</v>
      </c>
      <c r="AN382" s="109" t="s">
        <v>144</v>
      </c>
      <c r="AO382" s="23" t="s">
        <v>147</v>
      </c>
      <c r="AP382" s="96">
        <f ca="1">AP368*1.01</f>
        <v>331512.19974361284</v>
      </c>
      <c r="AQ382" s="109" t="s">
        <v>144</v>
      </c>
      <c r="AR382" s="23" t="s">
        <v>147</v>
      </c>
      <c r="AS382" s="96">
        <f ca="1">AS368*1.01</f>
        <v>388724.12595104007</v>
      </c>
      <c r="AT382" s="109" t="s">
        <v>144</v>
      </c>
      <c r="AU382" s="23" t="s">
        <v>147</v>
      </c>
    </row>
    <row r="383" spans="15:47" x14ac:dyDescent="0.25">
      <c r="O383" s="1"/>
      <c r="P383" s="1"/>
      <c r="Q383" s="1"/>
      <c r="R383" s="98"/>
      <c r="S383" s="107"/>
      <c r="T383" s="1"/>
      <c r="U383" s="47"/>
      <c r="V383" s="107"/>
      <c r="W383" s="1"/>
      <c r="X383" s="47"/>
      <c r="Y383" s="107"/>
      <c r="Z383" s="1"/>
      <c r="AA383" s="47"/>
      <c r="AB383" s="107"/>
      <c r="AC383" s="1"/>
      <c r="AD383" s="47"/>
      <c r="AE383" s="107"/>
      <c r="AF383" s="1"/>
      <c r="AG383" s="47"/>
      <c r="AH383" s="107"/>
      <c r="AI383" s="1"/>
      <c r="AJ383" s="47"/>
      <c r="AK383" s="107"/>
      <c r="AL383" s="1"/>
      <c r="AM383" s="47"/>
      <c r="AN383" s="107"/>
      <c r="AO383" s="1"/>
      <c r="AP383" s="47"/>
      <c r="AQ383" s="107"/>
      <c r="AR383" s="1"/>
      <c r="AS383" s="47"/>
      <c r="AT383" s="107"/>
      <c r="AU383" s="1"/>
    </row>
    <row r="384" spans="15:47" x14ac:dyDescent="0.25">
      <c r="O384" s="8" t="s">
        <v>132</v>
      </c>
      <c r="P384" s="8"/>
      <c r="Q384" s="8"/>
      <c r="R384" s="96">
        <f>P_1_minQ-(R382^2*R_up)+dpup_minQ</f>
        <v>90.184990724967932</v>
      </c>
      <c r="S384" s="106"/>
      <c r="T384" s="22"/>
      <c r="U384" s="96">
        <f ca="1">P_1_minQ-(U382^2*R_up)+dpup_minQ</f>
        <v>90.143944670110244</v>
      </c>
      <c r="V384" s="107"/>
      <c r="W384" s="1"/>
      <c r="X384" s="96">
        <f ca="1">P_1_minQ-(X382^2*R_up)+dpup_minQ</f>
        <v>89.938637890817375</v>
      </c>
      <c r="Y384" s="107"/>
      <c r="Z384" s="1"/>
      <c r="AA384" s="96">
        <f ca="1">P_1_minQ-(AA382^2*R_up)+dpup_minQ</f>
        <v>89.250260464403027</v>
      </c>
      <c r="AB384" s="107"/>
      <c r="AC384" s="1"/>
      <c r="AD384" s="96">
        <f ca="1">P_1_minQ-(AD382^2*R_up)+dpup_minQ</f>
        <v>87.553971056148654</v>
      </c>
      <c r="AE384" s="107"/>
      <c r="AF384" s="1"/>
      <c r="AG384" s="96">
        <f ca="1">P_1_minQ-(AG382^2*R_up)+dpup_minQ</f>
        <v>84.58028436489343</v>
      </c>
      <c r="AH384" s="107"/>
      <c r="AI384" s="1"/>
      <c r="AJ384" s="96">
        <f ca="1">P_1_minQ-(AJ382^2*R_up)+dpup_minQ</f>
        <v>80.203526931716098</v>
      </c>
      <c r="AK384" s="107"/>
      <c r="AL384" s="1"/>
      <c r="AM384" s="96">
        <f ca="1">P_1_minQ-(AM382^2*R_up)+dpup_minQ</f>
        <v>75.323926927072506</v>
      </c>
      <c r="AN384" s="107"/>
      <c r="AO384" s="1"/>
      <c r="AP384" s="96">
        <f ca="1">P_1_minQ-(AP382^2*R_up)+dpup_minQ</f>
        <v>70.154504679566202</v>
      </c>
      <c r="AQ384" s="107"/>
      <c r="AR384" s="1"/>
      <c r="AS384" s="96">
        <f ca="1">P_1_minQ-(AS382^2*R_up)+dpup_minQ</f>
        <v>62.644241976367269</v>
      </c>
      <c r="AT384" s="107"/>
      <c r="AU384" s="1"/>
    </row>
    <row r="385" spans="15:47" x14ac:dyDescent="0.25">
      <c r="O385" s="8" t="s">
        <v>134</v>
      </c>
      <c r="P385" s="1"/>
      <c r="Q385" s="8"/>
      <c r="R385" s="97">
        <f>P_2_minQ+(R382^2*R_dn)-dpdn_minQ</f>
        <v>60</v>
      </c>
      <c r="S385" s="106"/>
      <c r="T385" s="22"/>
      <c r="U385" s="97">
        <f ca="1">P_2_minQ+(U382^2*R_dn)-dpdn_minQ</f>
        <v>60</v>
      </c>
      <c r="V385" s="107"/>
      <c r="W385" s="1"/>
      <c r="X385" s="97">
        <f ca="1">P_2_minQ+(X382^2*R_dn)-dpdn_minQ</f>
        <v>60</v>
      </c>
      <c r="Y385" s="107"/>
      <c r="Z385" s="1"/>
      <c r="AA385" s="97">
        <f ca="1">P_2_minQ+(AA382^2*R_dn)-dpdn_minQ</f>
        <v>60</v>
      </c>
      <c r="AB385" s="107"/>
      <c r="AC385" s="1"/>
      <c r="AD385" s="97">
        <f ca="1">P_2_minQ+(AD382^2*R_dn)-dpdn_minQ</f>
        <v>60</v>
      </c>
      <c r="AE385" s="107"/>
      <c r="AF385" s="1"/>
      <c r="AG385" s="97">
        <f ca="1">P_2_minQ+(AG382^2*R_dn)-dpdn_minQ</f>
        <v>60</v>
      </c>
      <c r="AH385" s="107"/>
      <c r="AI385" s="1"/>
      <c r="AJ385" s="97">
        <f ca="1">P_2_minQ+(AJ382^2*R_dn)-dpdn_minQ</f>
        <v>60</v>
      </c>
      <c r="AK385" s="107"/>
      <c r="AL385" s="1"/>
      <c r="AM385" s="97">
        <f ca="1">P_2_minQ+(AM382^2*R_dn)-dpdn_minQ</f>
        <v>60</v>
      </c>
      <c r="AN385" s="107"/>
      <c r="AO385" s="1"/>
      <c r="AP385" s="97">
        <f ca="1">P_2_minQ+(AP382^2*R_dn)-dpdn_minQ</f>
        <v>60</v>
      </c>
      <c r="AQ385" s="107"/>
      <c r="AR385" s="1"/>
      <c r="AS385" s="97">
        <f ca="1">P_2_minQ+(AS382^2*R_dn)-dpdn_minQ</f>
        <v>60</v>
      </c>
      <c r="AT385" s="107"/>
      <c r="AU385" s="1"/>
    </row>
    <row r="386" spans="15:47" x14ac:dyDescent="0.25">
      <c r="O386" s="8" t="s">
        <v>138</v>
      </c>
      <c r="P386" s="1"/>
      <c r="Q386" s="8"/>
      <c r="R386" s="97">
        <f>R384-R385</f>
        <v>30.184990724967932</v>
      </c>
      <c r="S386" s="106"/>
      <c r="T386" s="22"/>
      <c r="U386" s="97">
        <f ca="1">U384-U385</f>
        <v>30.143944670110244</v>
      </c>
      <c r="V386" s="110"/>
      <c r="W386" s="25"/>
      <c r="X386" s="97">
        <f ca="1">X384-X385</f>
        <v>29.938637890817375</v>
      </c>
      <c r="Y386" s="110"/>
      <c r="Z386" s="25"/>
      <c r="AA386" s="97">
        <f ca="1">AA384-AA385</f>
        <v>29.250260464403027</v>
      </c>
      <c r="AB386" s="110"/>
      <c r="AC386" s="25"/>
      <c r="AD386" s="97">
        <f ca="1">AD384-AD385</f>
        <v>27.553971056148654</v>
      </c>
      <c r="AE386" s="110"/>
      <c r="AF386" s="25"/>
      <c r="AG386" s="97">
        <f ca="1">AG384-AG385</f>
        <v>24.58028436489343</v>
      </c>
      <c r="AH386" s="110"/>
      <c r="AI386" s="25"/>
      <c r="AJ386" s="97">
        <f ca="1">AJ384-AJ385</f>
        <v>20.203526931716098</v>
      </c>
      <c r="AK386" s="110"/>
      <c r="AL386" s="25"/>
      <c r="AM386" s="97">
        <f ca="1">AM384-AM385</f>
        <v>15.323926927072506</v>
      </c>
      <c r="AN386" s="110"/>
      <c r="AO386" s="25"/>
      <c r="AP386" s="97">
        <f ca="1">AP384-AP385</f>
        <v>10.154504679566202</v>
      </c>
      <c r="AQ386" s="110"/>
      <c r="AR386" s="25"/>
      <c r="AS386" s="97">
        <f ca="1">AS384-AS385</f>
        <v>2.6442419763672689</v>
      </c>
      <c r="AT386" s="110"/>
      <c r="AU386" s="25"/>
    </row>
    <row r="387" spans="15:47" ht="14.4" x14ac:dyDescent="0.3">
      <c r="O387" s="2" t="s">
        <v>140</v>
      </c>
      <c r="P387" s="11"/>
      <c r="Q387" s="2"/>
      <c r="R387" s="96">
        <f>R386/R384</f>
        <v>0.33470082418726849</v>
      </c>
      <c r="S387" s="106"/>
      <c r="T387" s="22"/>
      <c r="U387" s="96">
        <f ca="1">U386/U384</f>
        <v>0.33439788751673427</v>
      </c>
      <c r="V387" s="111"/>
      <c r="W387" s="28"/>
      <c r="X387" s="96">
        <f ca="1">X386/X384</f>
        <v>0.33287848907787465</v>
      </c>
      <c r="Y387" s="111"/>
      <c r="Z387" s="28"/>
      <c r="AA387" s="96">
        <f ca="1">AA386/AA384</f>
        <v>0.32773305435976102</v>
      </c>
      <c r="AB387" s="111"/>
      <c r="AC387" s="28"/>
      <c r="AD387" s="96">
        <f ca="1">AD386/AD384</f>
        <v>0.31470841040982828</v>
      </c>
      <c r="AE387" s="111"/>
      <c r="AF387" s="28"/>
      <c r="AG387" s="96">
        <f ca="1">AG386/AG384</f>
        <v>0.29061482293970531</v>
      </c>
      <c r="AH387" s="111"/>
      <c r="AI387" s="28"/>
      <c r="AJ387" s="96">
        <f ca="1">AJ386/AJ384</f>
        <v>0.25190322302056656</v>
      </c>
      <c r="AK387" s="111"/>
      <c r="AL387" s="28"/>
      <c r="AM387" s="96">
        <f ca="1">AM386/AM384</f>
        <v>0.20344036154552725</v>
      </c>
      <c r="AN387" s="111"/>
      <c r="AO387" s="28"/>
      <c r="AP387" s="96">
        <f ca="1">AP386/AP384</f>
        <v>0.14474487028234823</v>
      </c>
      <c r="AQ387" s="111"/>
      <c r="AR387" s="28"/>
      <c r="AS387" s="96">
        <f ca="1">AS386/AS384</f>
        <v>4.2210455309920063E-2</v>
      </c>
      <c r="AT387" s="111"/>
      <c r="AU387" s="28"/>
    </row>
    <row r="388" spans="15:47" x14ac:dyDescent="0.25">
      <c r="O388" s="2" t="s">
        <v>21</v>
      </c>
      <c r="P388" s="8">
        <v>12</v>
      </c>
      <c r="Q388" s="2"/>
      <c r="R388" s="96">
        <f ca="1">1-R387/(3*F_GAMMA*R$29)</f>
        <v>0.82568474270936021</v>
      </c>
      <c r="S388" s="106"/>
      <c r="T388" s="22"/>
      <c r="U388" s="96">
        <f ca="1">1-U387/(3*F_GAMMA*U$29)</f>
        <v>0.8258829743070244</v>
      </c>
      <c r="V388" s="111"/>
      <c r="W388" s="28"/>
      <c r="X388" s="96">
        <f ca="1">1-X387/(3*F_GAMMA*X$29)</f>
        <v>0.82502331139610718</v>
      </c>
      <c r="Y388" s="111"/>
      <c r="Z388" s="28"/>
      <c r="AA388" s="96">
        <f ca="1">1-AA387/(3*F_GAMMA*AA$29)</f>
        <v>0.82529963518863503</v>
      </c>
      <c r="AB388" s="111"/>
      <c r="AC388" s="28"/>
      <c r="AD388" s="96">
        <f ca="1">1-AD387/(3*F_GAMMA*AD$29)</f>
        <v>0.82703965035749127</v>
      </c>
      <c r="AE388" s="111"/>
      <c r="AF388" s="28"/>
      <c r="AG388" s="96">
        <f ca="1">1-AG387/(3*F_GAMMA*AG$29)</f>
        <v>0.83069711310679473</v>
      </c>
      <c r="AH388" s="111"/>
      <c r="AI388" s="28"/>
      <c r="AJ388" s="96">
        <f ca="1">1-AJ387/(3*F_GAMMA*AJ$29)</f>
        <v>0.84211628575856368</v>
      </c>
      <c r="AK388" s="111"/>
      <c r="AL388" s="28"/>
      <c r="AM388" s="96">
        <f ca="1">1-AM387/(3*F_GAMMA*AM$29)</f>
        <v>0.8574344632810792</v>
      </c>
      <c r="AN388" s="111"/>
      <c r="AO388" s="28"/>
      <c r="AP388" s="96">
        <f ca="1">1-AP387/(3*F_GAMMA*AP$29)</f>
        <v>0.91829823417839773</v>
      </c>
      <c r="AQ388" s="111"/>
      <c r="AR388" s="28"/>
      <c r="AS388" s="96">
        <f ca="1">1-AS387/(3*F_GAMMA*AS$29)</f>
        <v>0.96264792419365708</v>
      </c>
      <c r="AT388" s="111"/>
      <c r="AU388" s="28"/>
    </row>
    <row r="389" spans="15:47" x14ac:dyDescent="0.25">
      <c r="O389" s="2" t="s">
        <v>57</v>
      </c>
      <c r="P389" s="143">
        <v>7</v>
      </c>
      <c r="Q389" s="2"/>
      <c r="R389" s="96">
        <f ca="1">(R382/(N_9*R$27*R384*R388))*SQRT(M*'Valve Sizing'!$W$6*'Valve Sizing'!$G$8/R387)</f>
        <v>0.2111057567017772</v>
      </c>
      <c r="S389" s="107"/>
      <c r="T389" s="22"/>
      <c r="U389" s="96">
        <f ca="1">(U382/(N_9*U$27*U384*U388))*SQRT(M*'Valve Sizing'!$W$6*'Valve Sizing'!$G$8/U387)</f>
        <v>6.0720638880633002</v>
      </c>
      <c r="V389" s="111"/>
      <c r="W389" s="28"/>
      <c r="X389" s="96">
        <f ca="1">(X382/(N_9*X$27*X384*X388))*SQRT(M*'Valve Sizing'!$W$6*'Valve Sizing'!$G$8/X387)</f>
        <v>14.986147949959534</v>
      </c>
      <c r="Y389" s="111"/>
      <c r="Z389" s="28"/>
      <c r="AA389" s="96">
        <f ca="1">(AA382/(N_9*AA$27*AA384*AA388))*SQRT(M*'Valve Sizing'!$W$6*'Valve Sizing'!$G$8/AA387)</f>
        <v>29.810262598601028</v>
      </c>
      <c r="AB389" s="111"/>
      <c r="AC389" s="28"/>
      <c r="AD389" s="96">
        <f ca="1">(AD382/(N_9*AD$27*AD384*AD388))*SQRT(M*'Valve Sizing'!$W$6*'Valve Sizing'!$G$8/AD387)</f>
        <v>52.559238098330482</v>
      </c>
      <c r="AE389" s="111"/>
      <c r="AF389" s="28"/>
      <c r="AG389" s="96">
        <f ca="1">(AG382/(N_9*AG$27*AG384*AG388))*SQRT(M*'Valve Sizing'!$W$6*'Valve Sizing'!$G$8/AG387)</f>
        <v>84.122507530315701</v>
      </c>
      <c r="AH389" s="111"/>
      <c r="AI389" s="28"/>
      <c r="AJ389" s="96">
        <f ca="1">(AJ382/(N_9*AJ$27*AJ384*AJ388))*SQRT(M*'Valve Sizing'!$W$6*'Valve Sizing'!$G$8/AJ387)</f>
        <v>129.97008905001314</v>
      </c>
      <c r="AK389" s="111"/>
      <c r="AL389" s="28"/>
      <c r="AM389" s="96">
        <f ca="1">(AM382/(N_9*AM$27*AM384*AM388))*SQRT(M*'Valve Sizing'!$W$6*'Valve Sizing'!$G$8/AM387)</f>
        <v>195.8030856243756</v>
      </c>
      <c r="AN389" s="111"/>
      <c r="AO389" s="28"/>
      <c r="AP389" s="96">
        <f ca="1">(AP382/(N_9*AP$27*AP384*AP388))*SQRT(M*'Valve Sizing'!$W$6*'Valve Sizing'!$G$8/AP387)</f>
        <v>307.51630644257591</v>
      </c>
      <c r="AQ389" s="111"/>
      <c r="AR389" s="28"/>
      <c r="AS389" s="96">
        <f ca="1">(AS382/(N_9*AS$27*AS384*AS388))*SQRT(M*'Valve Sizing'!$W$6*'Valve Sizing'!$G$8/AS387)</f>
        <v>955.43115124848771</v>
      </c>
      <c r="AT389" s="111"/>
      <c r="AU389" s="28"/>
    </row>
    <row r="390" spans="15:47" x14ac:dyDescent="0.25">
      <c r="O390" s="2" t="s">
        <v>59</v>
      </c>
      <c r="P390" s="143">
        <v>7</v>
      </c>
      <c r="Q390" s="2"/>
      <c r="R390" s="96">
        <f ca="1">(R382/(N_9*R$27*R384*0.667))*SQRT(M*'Valve Sizing'!$W$6*'Valve Sizing'!$G$8/R391)</f>
        <v>0.18898042879594004</v>
      </c>
      <c r="S390" s="107"/>
      <c r="T390" s="22"/>
      <c r="U390" s="96">
        <f ca="1">(U382/(N_9*U$27*U384*0.667))*SQRT(M*'Valve Sizing'!$W$6*'Valve Sizing'!$G$8/U391)</f>
        <v>5.4338826969660943</v>
      </c>
      <c r="V390" s="111"/>
      <c r="W390" s="28"/>
      <c r="X390" s="96">
        <f ca="1">(X382/(N_9*X$27*X384*0.667))*SQRT(M*'Valve Sizing'!$W$6*'Valve Sizing'!$G$8/X391)</f>
        <v>13.430158119575616</v>
      </c>
      <c r="Y390" s="111"/>
      <c r="Z390" s="28"/>
      <c r="AA390" s="96">
        <f ca="1">(AA382/(N_9*AA$27*AA384*0.667))*SQRT(M*'Valve Sizing'!$W$6*'Valve Sizing'!$G$8/AA391)</f>
        <v>26.702944571354706</v>
      </c>
      <c r="AB390" s="111"/>
      <c r="AC390" s="28"/>
      <c r="AD390" s="96">
        <f ca="1">(AD382/(N_9*AD$27*AD384*0.667))*SQRT(M*'Valve Sizing'!$W$6*'Valve Sizing'!$G$8/AD391)</f>
        <v>46.944364361097733</v>
      </c>
      <c r="AE390" s="111"/>
      <c r="AF390" s="28"/>
      <c r="AG390" s="96">
        <f ca="1">(AG382/(N_9*AG$27*AG384*0.667))*SQRT(M*'Valve Sizing'!$W$6*'Valve Sizing'!$G$8/AG391)</f>
        <v>74.665828101188879</v>
      </c>
      <c r="AH390" s="111"/>
      <c r="AI390" s="28"/>
      <c r="AJ390" s="96">
        <f ca="1">(AJ382/(N_9*AJ$27*AJ384*0.667))*SQRT(M*'Valve Sizing'!$W$6*'Valve Sizing'!$G$8/AJ391)</f>
        <v>112.9325003399731</v>
      </c>
      <c r="AK390" s="111"/>
      <c r="AL390" s="28"/>
      <c r="AM390" s="96">
        <f ca="1">(AM382/(N_9*AM$27*AM384*0.667))*SQRT(M*'Valve Sizing'!$W$6*'Valve Sizing'!$G$8/AM391)</f>
        <v>164.61239625727865</v>
      </c>
      <c r="AN390" s="111"/>
      <c r="AO390" s="28"/>
      <c r="AP390" s="96">
        <f ca="1">(AP382/(N_9*AP$27*AP384*0.667))*SQRT(M*'Valve Sizing'!$W$6*'Valve Sizing'!$G$8/AP391)</f>
        <v>209.60537434990377</v>
      </c>
      <c r="AQ390" s="111"/>
      <c r="AR390" s="28"/>
      <c r="AS390" s="96">
        <f ca="1">(AS382/(N_9*AS$27*AS384*0.667))*SQRT(M*'Valve Sizing'!$W$6*'Valve Sizing'!$G$8/AS391)</f>
        <v>461.59281526392118</v>
      </c>
      <c r="AT390" s="111"/>
      <c r="AU390" s="28"/>
    </row>
    <row r="391" spans="15:47" ht="15.6" x14ac:dyDescent="0.35">
      <c r="O391" s="2" t="s">
        <v>68</v>
      </c>
      <c r="P391" s="143">
        <v>10</v>
      </c>
      <c r="Q391" s="2"/>
      <c r="R391" s="96">
        <f ca="1">F_GAMMA*R$29</f>
        <v>0.64002969751372984</v>
      </c>
      <c r="S391" s="107"/>
      <c r="T391" s="1"/>
      <c r="U391" s="96">
        <f ca="1">F_GAMMA*U$29</f>
        <v>0.64017842058782071</v>
      </c>
      <c r="V391" s="111"/>
      <c r="W391" s="28"/>
      <c r="X391" s="96">
        <f ca="1">F_GAMMA*X$29</f>
        <v>0.63413873724904268</v>
      </c>
      <c r="Y391" s="111"/>
      <c r="Z391" s="28"/>
      <c r="AA391" s="96">
        <f ca="1">F_GAMMA*AA$29</f>
        <v>0.62532411750377137</v>
      </c>
      <c r="AB391" s="111"/>
      <c r="AC391" s="28"/>
      <c r="AD391" s="96">
        <f ca="1">F_GAMMA*AD$29</f>
        <v>0.60651359509139569</v>
      </c>
      <c r="AE391" s="111"/>
      <c r="AF391" s="28"/>
      <c r="AG391" s="96">
        <f ca="1">F_GAMMA*AG$29</f>
        <v>0.57217930198481592</v>
      </c>
      <c r="AH391" s="111"/>
      <c r="AI391" s="28"/>
      <c r="AJ391" s="96">
        <f ca="1">F_GAMMA*AJ$29</f>
        <v>0.53183282018848232</v>
      </c>
      <c r="AK391" s="111"/>
      <c r="AL391" s="28"/>
      <c r="AM391" s="96">
        <f ca="1">F_GAMMA*AM$29</f>
        <v>0.47566512503094399</v>
      </c>
      <c r="AN391" s="111"/>
      <c r="AO391" s="28"/>
      <c r="AP391" s="96">
        <f ca="1">F_GAMMA*AP$29</f>
        <v>0.59054158265645496</v>
      </c>
      <c r="AQ391" s="111"/>
      <c r="AR391" s="28"/>
      <c r="AS391" s="96">
        <f ca="1">F_GAMMA*AS$29</f>
        <v>0.3766899554102966</v>
      </c>
      <c r="AT391" s="111"/>
      <c r="AU391" s="28"/>
    </row>
    <row r="392" spans="15:47" x14ac:dyDescent="0.25">
      <c r="O392" s="2" t="s">
        <v>145</v>
      </c>
      <c r="P392" s="12"/>
      <c r="Q392" s="2"/>
      <c r="R392" s="96">
        <f ca="1">IF(R387&lt;R391,R389,R390)</f>
        <v>0.2111057567017772</v>
      </c>
      <c r="S392" s="116"/>
      <c r="T392" s="1"/>
      <c r="U392" s="96">
        <f ca="1">IF(U387&lt;U391,U389,U390)</f>
        <v>6.0720638880633002</v>
      </c>
      <c r="V392" s="111"/>
      <c r="W392" s="28"/>
      <c r="X392" s="96">
        <f ca="1">IF(X387&lt;X391,X389,X390)</f>
        <v>14.986147949959534</v>
      </c>
      <c r="Y392" s="111"/>
      <c r="Z392" s="28"/>
      <c r="AA392" s="96">
        <f ca="1">IF(AA387&lt;AA391,AA389,AA390)</f>
        <v>29.810262598601028</v>
      </c>
      <c r="AB392" s="111"/>
      <c r="AC392" s="28"/>
      <c r="AD392" s="96">
        <f ca="1">IF(AD387&lt;AD391,AD389,AD390)</f>
        <v>52.559238098330482</v>
      </c>
      <c r="AE392" s="111"/>
      <c r="AF392" s="28"/>
      <c r="AG392" s="96">
        <f ca="1">IF(AG387&lt;AG391,AG389,AG390)</f>
        <v>84.122507530315701</v>
      </c>
      <c r="AH392" s="111"/>
      <c r="AI392" s="28"/>
      <c r="AJ392" s="96">
        <f ca="1">IF(AJ387&lt;AJ391,AJ389,AJ390)</f>
        <v>129.97008905001314</v>
      </c>
      <c r="AK392" s="111"/>
      <c r="AL392" s="28"/>
      <c r="AM392" s="96">
        <f ca="1">IF(AM387&lt;AM391,AM389,AM390)</f>
        <v>195.8030856243756</v>
      </c>
      <c r="AN392" s="111"/>
      <c r="AO392" s="28"/>
      <c r="AP392" s="96">
        <f ca="1">IF(AP387&lt;AP391,AP389,AP390)</f>
        <v>307.51630644257591</v>
      </c>
      <c r="AQ392" s="111"/>
      <c r="AR392" s="28"/>
      <c r="AS392" s="96">
        <f ca="1">IF(AS387&lt;AS391,AS389,AS390)</f>
        <v>955.43115124848771</v>
      </c>
      <c r="AT392" s="111"/>
      <c r="AU392" s="28"/>
    </row>
    <row r="393" spans="15:47" x14ac:dyDescent="0.25">
      <c r="O393" s="13" t="s">
        <v>143</v>
      </c>
      <c r="P393" s="1"/>
      <c r="Q393" s="1"/>
      <c r="R393" s="113"/>
      <c r="S393" s="106">
        <f ca="1">IF(R386&lt;=0,Q_max,ABS(R$23-R392))</f>
        <v>4.5188942432982229</v>
      </c>
      <c r="T393" s="7">
        <f>R382</f>
        <v>522.74628801629706</v>
      </c>
      <c r="U393" s="98"/>
      <c r="V393" s="106">
        <f ca="1">IF(U386&lt;=0,Q_max,ABS(U$23-U392))</f>
        <v>5.5279361119366994</v>
      </c>
      <c r="W393" s="9">
        <f ca="1">U382</f>
        <v>15015.931166350178</v>
      </c>
      <c r="X393" s="98"/>
      <c r="Y393" s="106">
        <f ca="1">IF(X386&lt;=0,Q_max,ABS(X$23-X392))</f>
        <v>8.013852050040466</v>
      </c>
      <c r="Z393" s="9">
        <f ca="1">X382</f>
        <v>36768.499694197526</v>
      </c>
      <c r="AA393" s="98"/>
      <c r="AB393" s="106">
        <f ca="1">IF(AA386&lt;=0,Q_max,ABS(AA$23-AA392))</f>
        <v>9.5897374013989705</v>
      </c>
      <c r="AC393" s="9">
        <f ca="1">AA382</f>
        <v>71615.652413394244</v>
      </c>
      <c r="AD393" s="98"/>
      <c r="AE393" s="106">
        <f ca="1">IF(AD386&lt;=0,Q_max,ABS(AD$23-AD392))</f>
        <v>8.4407619016695179</v>
      </c>
      <c r="AF393" s="9">
        <f ca="1">AD382</f>
        <v>120148.78665729253</v>
      </c>
      <c r="AG393" s="98"/>
      <c r="AH393" s="106">
        <f ca="1">IF(AG386&lt;=0,Q_max,ABS(AG$23-AG392))</f>
        <v>4.0774924696843016</v>
      </c>
      <c r="AI393" s="9">
        <f ca="1">AG382</f>
        <v>175360.42651570562</v>
      </c>
      <c r="AJ393" s="98"/>
      <c r="AK393" s="106">
        <f ca="1">IF(AJ386&lt;=0,Q_max,ABS(AJ$23-AJ392))</f>
        <v>8.9700890500131436</v>
      </c>
      <c r="AL393" s="9">
        <f ca="1">AJ382</f>
        <v>234019.16898169267</v>
      </c>
      <c r="AM393" s="98"/>
      <c r="AN393" s="106">
        <f ca="1">IF(AM386&lt;=0,Q_max,ABS(AM$23-AM392))</f>
        <v>30.803085624375598</v>
      </c>
      <c r="AO393" s="9">
        <f ca="1">AM382</f>
        <v>285547.8591483616</v>
      </c>
      <c r="AP393" s="98"/>
      <c r="AQ393" s="106">
        <f ca="1">IF(AP386&lt;=0,Q_max,ABS(AP$23-AP392))</f>
        <v>61.51630644257591</v>
      </c>
      <c r="AR393" s="9">
        <f ca="1">AP382</f>
        <v>331512.19974361284</v>
      </c>
      <c r="AS393" s="98"/>
      <c r="AT393" s="106">
        <f ca="1">IF(AS386&lt;=0,Q_max,ABS(AS$23-AS392))</f>
        <v>535.43115124848771</v>
      </c>
      <c r="AU393" s="9">
        <f ca="1">AS382</f>
        <v>388724.12595104007</v>
      </c>
    </row>
    <row r="394" spans="15:47" x14ac:dyDescent="0.25">
      <c r="O394" s="21"/>
      <c r="P394" s="14"/>
      <c r="Q394" s="21"/>
      <c r="R394" s="97"/>
      <c r="S394" s="106"/>
      <c r="T394" s="28"/>
      <c r="U394" s="99"/>
      <c r="V394" s="110"/>
      <c r="W394" s="25"/>
      <c r="X394" s="99"/>
      <c r="Y394" s="110"/>
      <c r="Z394" s="25"/>
      <c r="AA394" s="99"/>
      <c r="AB394" s="110"/>
      <c r="AC394" s="25"/>
      <c r="AD394" s="99"/>
      <c r="AE394" s="110"/>
      <c r="AF394" s="25"/>
      <c r="AG394" s="99"/>
      <c r="AH394" s="110"/>
      <c r="AI394" s="25"/>
      <c r="AJ394" s="99"/>
      <c r="AK394" s="110"/>
      <c r="AL394" s="25"/>
      <c r="AM394" s="99"/>
      <c r="AN394" s="110"/>
      <c r="AO394" s="25"/>
      <c r="AP394" s="99"/>
      <c r="AQ394" s="110"/>
      <c r="AR394" s="25"/>
      <c r="AS394" s="99"/>
      <c r="AT394" s="110"/>
      <c r="AU394" s="25"/>
    </row>
    <row r="395" spans="15:47" x14ac:dyDescent="0.25">
      <c r="O395" s="1"/>
      <c r="P395" s="1"/>
      <c r="Q395" s="1"/>
      <c r="R395" s="98"/>
      <c r="S395" s="108" t="s">
        <v>137</v>
      </c>
      <c r="T395" s="26" t="s">
        <v>146</v>
      </c>
      <c r="U395" s="98"/>
      <c r="V395" s="108" t="s">
        <v>137</v>
      </c>
      <c r="W395" s="26" t="s">
        <v>146</v>
      </c>
      <c r="X395" s="98"/>
      <c r="Y395" s="108" t="s">
        <v>137</v>
      </c>
      <c r="Z395" s="26" t="s">
        <v>146</v>
      </c>
      <c r="AA395" s="98"/>
      <c r="AB395" s="108" t="s">
        <v>137</v>
      </c>
      <c r="AC395" s="26" t="s">
        <v>146</v>
      </c>
      <c r="AD395" s="98"/>
      <c r="AE395" s="108" t="s">
        <v>137</v>
      </c>
      <c r="AF395" s="26" t="s">
        <v>146</v>
      </c>
      <c r="AG395" s="98"/>
      <c r="AH395" s="108" t="s">
        <v>137</v>
      </c>
      <c r="AI395" s="26" t="s">
        <v>146</v>
      </c>
      <c r="AJ395" s="98"/>
      <c r="AK395" s="108" t="s">
        <v>137</v>
      </c>
      <c r="AL395" s="26" t="s">
        <v>146</v>
      </c>
      <c r="AM395" s="98"/>
      <c r="AN395" s="108" t="s">
        <v>137</v>
      </c>
      <c r="AO395" s="26" t="s">
        <v>146</v>
      </c>
      <c r="AP395" s="98"/>
      <c r="AQ395" s="108" t="s">
        <v>137</v>
      </c>
      <c r="AR395" s="26" t="s">
        <v>146</v>
      </c>
      <c r="AS395" s="98"/>
      <c r="AT395" s="108" t="s">
        <v>137</v>
      </c>
      <c r="AU395" s="26" t="s">
        <v>146</v>
      </c>
    </row>
    <row r="396" spans="15:47" ht="13.8" x14ac:dyDescent="0.25">
      <c r="O396" s="20" t="s">
        <v>136</v>
      </c>
      <c r="P396" s="1"/>
      <c r="Q396" s="1"/>
      <c r="R396" s="96">
        <f>R382*1.02</f>
        <v>533.20121377662304</v>
      </c>
      <c r="S396" s="109" t="s">
        <v>144</v>
      </c>
      <c r="T396" s="23" t="s">
        <v>147</v>
      </c>
      <c r="U396" s="96">
        <f ca="1">U382*1.01</f>
        <v>15166.090478013679</v>
      </c>
      <c r="V396" s="109" t="s">
        <v>144</v>
      </c>
      <c r="W396" s="23" t="s">
        <v>147</v>
      </c>
      <c r="X396" s="96">
        <f ca="1">X382*1.01</f>
        <v>37136.184691139504</v>
      </c>
      <c r="Y396" s="109" t="s">
        <v>144</v>
      </c>
      <c r="Z396" s="23" t="s">
        <v>147</v>
      </c>
      <c r="AA396" s="96">
        <f ca="1">AA382*1.01</f>
        <v>72331.808937528185</v>
      </c>
      <c r="AB396" s="109" t="s">
        <v>144</v>
      </c>
      <c r="AC396" s="23" t="s">
        <v>147</v>
      </c>
      <c r="AD396" s="96">
        <f ca="1">AD382*1.01</f>
        <v>121350.27452386545</v>
      </c>
      <c r="AE396" s="109" t="s">
        <v>144</v>
      </c>
      <c r="AF396" s="23" t="s">
        <v>147</v>
      </c>
      <c r="AG396" s="96">
        <f ca="1">AG382*1.01</f>
        <v>177114.03078086267</v>
      </c>
      <c r="AH396" s="109" t="s">
        <v>144</v>
      </c>
      <c r="AI396" s="23" t="s">
        <v>147</v>
      </c>
      <c r="AJ396" s="96">
        <f ca="1">AJ382*1.01</f>
        <v>236359.36067150958</v>
      </c>
      <c r="AK396" s="109" t="s">
        <v>144</v>
      </c>
      <c r="AL396" s="23" t="s">
        <v>147</v>
      </c>
      <c r="AM396" s="96">
        <f ca="1">AM382*1.01</f>
        <v>288403.33773984521</v>
      </c>
      <c r="AN396" s="109" t="s">
        <v>144</v>
      </c>
      <c r="AO396" s="23" t="s">
        <v>147</v>
      </c>
      <c r="AP396" s="96">
        <f ca="1">AP382*1.01</f>
        <v>334827.321741049</v>
      </c>
      <c r="AQ396" s="109" t="s">
        <v>144</v>
      </c>
      <c r="AR396" s="23" t="s">
        <v>147</v>
      </c>
      <c r="AS396" s="96">
        <f ca="1">AS382*1.01</f>
        <v>392611.36721055047</v>
      </c>
      <c r="AT396" s="109" t="s">
        <v>144</v>
      </c>
      <c r="AU396" s="23" t="s">
        <v>147</v>
      </c>
    </row>
    <row r="397" spans="15:47" x14ac:dyDescent="0.25">
      <c r="O397" s="1"/>
      <c r="P397" s="1"/>
      <c r="Q397" s="1"/>
      <c r="R397" s="98"/>
      <c r="S397" s="107"/>
      <c r="T397" s="1"/>
      <c r="U397" s="47"/>
      <c r="V397" s="107"/>
      <c r="W397" s="1"/>
      <c r="X397" s="47"/>
      <c r="Y397" s="107"/>
      <c r="Z397" s="1"/>
      <c r="AA397" s="47"/>
      <c r="AB397" s="107"/>
      <c r="AC397" s="1"/>
      <c r="AD397" s="47"/>
      <c r="AE397" s="107"/>
      <c r="AF397" s="1"/>
      <c r="AG397" s="47"/>
      <c r="AH397" s="107"/>
      <c r="AI397" s="1"/>
      <c r="AJ397" s="47"/>
      <c r="AK397" s="107"/>
      <c r="AL397" s="1"/>
      <c r="AM397" s="47"/>
      <c r="AN397" s="107"/>
      <c r="AO397" s="1"/>
      <c r="AP397" s="47"/>
      <c r="AQ397" s="107"/>
      <c r="AR397" s="1"/>
      <c r="AS397" s="47"/>
      <c r="AT397" s="107"/>
      <c r="AU397" s="1"/>
    </row>
    <row r="398" spans="15:47" x14ac:dyDescent="0.25">
      <c r="O398" s="8" t="s">
        <v>132</v>
      </c>
      <c r="P398" s="8"/>
      <c r="Q398" s="8"/>
      <c r="R398" s="96">
        <f>P_1_minQ-(R396^2*R_up)+dpup_minQ</f>
        <v>90.184988712834311</v>
      </c>
      <c r="S398" s="106"/>
      <c r="T398" s="22"/>
      <c r="U398" s="96">
        <f ca="1">P_1_minQ-(U396^2*R_up)+dpup_minQ</f>
        <v>90.14311864332133</v>
      </c>
      <c r="V398" s="107"/>
      <c r="W398" s="1"/>
      <c r="X398" s="96">
        <f ca="1">P_1_minQ-(X396^2*R_up)+dpup_minQ</f>
        <v>89.93368519776466</v>
      </c>
      <c r="Y398" s="107"/>
      <c r="Z398" s="1"/>
      <c r="AA398" s="96">
        <f ca="1">P_1_minQ-(AA396^2*R_up)+dpup_minQ</f>
        <v>89.231471385079388</v>
      </c>
      <c r="AB398" s="107"/>
      <c r="AC398" s="1"/>
      <c r="AD398" s="96">
        <f ca="1">P_1_minQ-(AD396^2*R_up)+dpup_minQ</f>
        <v>87.501086559719113</v>
      </c>
      <c r="AE398" s="107"/>
      <c r="AF398" s="1"/>
      <c r="AG398" s="96">
        <f ca="1">P_1_minQ-(AG396^2*R_up)+dpup_minQ</f>
        <v>84.467628765969664</v>
      </c>
      <c r="AH398" s="107"/>
      <c r="AI398" s="1"/>
      <c r="AJ398" s="96">
        <f ca="1">P_1_minQ-(AJ396^2*R_up)+dpup_minQ</f>
        <v>80.002898508385456</v>
      </c>
      <c r="AK398" s="107"/>
      <c r="AL398" s="1"/>
      <c r="AM398" s="96">
        <f ca="1">P_1_minQ-(AM396^2*R_up)+dpup_minQ</f>
        <v>75.025218543648535</v>
      </c>
      <c r="AN398" s="107"/>
      <c r="AO398" s="1"/>
      <c r="AP398" s="96">
        <f ca="1">P_1_minQ-(AP396^2*R_up)+dpup_minQ</f>
        <v>69.75189090896734</v>
      </c>
      <c r="AQ398" s="107"/>
      <c r="AR398" s="1"/>
      <c r="AS398" s="96">
        <f ca="1">P_1_minQ-(AS396^2*R_up)+dpup_minQ</f>
        <v>62.090671925434108</v>
      </c>
      <c r="AT398" s="107"/>
      <c r="AU398" s="1"/>
    </row>
    <row r="399" spans="15:47" x14ac:dyDescent="0.25">
      <c r="O399" s="8" t="s">
        <v>134</v>
      </c>
      <c r="P399" s="1"/>
      <c r="Q399" s="8"/>
      <c r="R399" s="97">
        <f>P_2_minQ+(R396^2*R_dn)-dpdn_minQ</f>
        <v>60</v>
      </c>
      <c r="S399" s="106"/>
      <c r="T399" s="22"/>
      <c r="U399" s="97">
        <f ca="1">P_2_minQ+(U396^2*R_dn)-dpdn_minQ</f>
        <v>60</v>
      </c>
      <c r="V399" s="107"/>
      <c r="W399" s="1"/>
      <c r="X399" s="97">
        <f ca="1">P_2_minQ+(X396^2*R_dn)-dpdn_minQ</f>
        <v>60</v>
      </c>
      <c r="Y399" s="107"/>
      <c r="Z399" s="1"/>
      <c r="AA399" s="97">
        <f ca="1">P_2_minQ+(AA396^2*R_dn)-dpdn_minQ</f>
        <v>60</v>
      </c>
      <c r="AB399" s="107"/>
      <c r="AC399" s="1"/>
      <c r="AD399" s="97">
        <f ca="1">P_2_minQ+(AD396^2*R_dn)-dpdn_minQ</f>
        <v>60</v>
      </c>
      <c r="AE399" s="107"/>
      <c r="AF399" s="1"/>
      <c r="AG399" s="97">
        <f ca="1">P_2_minQ+(AG396^2*R_dn)-dpdn_minQ</f>
        <v>60</v>
      </c>
      <c r="AH399" s="107"/>
      <c r="AI399" s="1"/>
      <c r="AJ399" s="97">
        <f ca="1">P_2_minQ+(AJ396^2*R_dn)-dpdn_minQ</f>
        <v>60</v>
      </c>
      <c r="AK399" s="107"/>
      <c r="AL399" s="1"/>
      <c r="AM399" s="97">
        <f ca="1">P_2_minQ+(AM396^2*R_dn)-dpdn_minQ</f>
        <v>60</v>
      </c>
      <c r="AN399" s="107"/>
      <c r="AO399" s="1"/>
      <c r="AP399" s="97">
        <f ca="1">P_2_minQ+(AP396^2*R_dn)-dpdn_minQ</f>
        <v>60</v>
      </c>
      <c r="AQ399" s="107"/>
      <c r="AR399" s="1"/>
      <c r="AS399" s="97">
        <f ca="1">P_2_minQ+(AS396^2*R_dn)-dpdn_minQ</f>
        <v>60</v>
      </c>
      <c r="AT399" s="107"/>
      <c r="AU399" s="1"/>
    </row>
    <row r="400" spans="15:47" x14ac:dyDescent="0.25">
      <c r="O400" s="8" t="s">
        <v>138</v>
      </c>
      <c r="P400" s="1"/>
      <c r="Q400" s="8"/>
      <c r="R400" s="97">
        <f>R398-R399</f>
        <v>30.184988712834311</v>
      </c>
      <c r="S400" s="106"/>
      <c r="T400" s="22"/>
      <c r="U400" s="97">
        <f ca="1">U398-U399</f>
        <v>30.14311864332133</v>
      </c>
      <c r="V400" s="110"/>
      <c r="W400" s="25"/>
      <c r="X400" s="97">
        <f ca="1">X398-X399</f>
        <v>29.93368519776466</v>
      </c>
      <c r="Y400" s="110"/>
      <c r="Z400" s="25"/>
      <c r="AA400" s="97">
        <f ca="1">AA398-AA399</f>
        <v>29.231471385079388</v>
      </c>
      <c r="AB400" s="110"/>
      <c r="AC400" s="25"/>
      <c r="AD400" s="97">
        <f ca="1">AD398-AD399</f>
        <v>27.501086559719113</v>
      </c>
      <c r="AE400" s="110"/>
      <c r="AF400" s="25"/>
      <c r="AG400" s="97">
        <f ca="1">AG398-AG399</f>
        <v>24.467628765969664</v>
      </c>
      <c r="AH400" s="110"/>
      <c r="AI400" s="25"/>
      <c r="AJ400" s="97">
        <f ca="1">AJ398-AJ399</f>
        <v>20.002898508385456</v>
      </c>
      <c r="AK400" s="110"/>
      <c r="AL400" s="25"/>
      <c r="AM400" s="97">
        <f ca="1">AM398-AM399</f>
        <v>15.025218543648535</v>
      </c>
      <c r="AN400" s="110"/>
      <c r="AO400" s="25"/>
      <c r="AP400" s="97">
        <f ca="1">AP398-AP399</f>
        <v>9.75189090896734</v>
      </c>
      <c r="AQ400" s="110"/>
      <c r="AR400" s="25"/>
      <c r="AS400" s="97">
        <f ca="1">AS398-AS399</f>
        <v>2.0906719254341084</v>
      </c>
      <c r="AT400" s="110"/>
      <c r="AU400" s="25"/>
    </row>
    <row r="401" spans="15:47" ht="14.4" x14ac:dyDescent="0.3">
      <c r="O401" s="2" t="s">
        <v>140</v>
      </c>
      <c r="P401" s="11"/>
      <c r="Q401" s="2"/>
      <c r="R401" s="96">
        <f>R400/R398</f>
        <v>0.33470080934365809</v>
      </c>
      <c r="S401" s="106"/>
      <c r="T401" s="22"/>
      <c r="U401" s="96">
        <f ca="1">U400/U398</f>
        <v>0.33439178826940463</v>
      </c>
      <c r="V401" s="111"/>
      <c r="W401" s="28"/>
      <c r="X401" s="96">
        <f ca="1">X400/X398</f>
        <v>0.33284175036239561</v>
      </c>
      <c r="Y401" s="111"/>
      <c r="Z401" s="28"/>
      <c r="AA401" s="96">
        <f ca="1">AA400/AA398</f>
        <v>0.32759149805936355</v>
      </c>
      <c r="AB401" s="111"/>
      <c r="AC401" s="28"/>
      <c r="AD401" s="96">
        <f ca="1">AD400/AD398</f>
        <v>0.31429422926022454</v>
      </c>
      <c r="AE401" s="111"/>
      <c r="AF401" s="28"/>
      <c r="AG401" s="96">
        <f ca="1">AG400/AG398</f>
        <v>0.28966870650247478</v>
      </c>
      <c r="AH401" s="111"/>
      <c r="AI401" s="28"/>
      <c r="AJ401" s="96">
        <f ca="1">AJ400/AJ398</f>
        <v>0.25002717253161599</v>
      </c>
      <c r="AK401" s="111"/>
      <c r="AL401" s="28"/>
      <c r="AM401" s="96">
        <f ca="1">AM400/AM398</f>
        <v>0.20026890737955119</v>
      </c>
      <c r="AN401" s="111"/>
      <c r="AO401" s="28"/>
      <c r="AP401" s="96">
        <f ca="1">AP400/AP398</f>
        <v>0.13980826586757997</v>
      </c>
      <c r="AQ401" s="111"/>
      <c r="AR401" s="28"/>
      <c r="AS401" s="96">
        <f ca="1">AS400/AS398</f>
        <v>3.3671272360280412E-2</v>
      </c>
      <c r="AT401" s="111"/>
      <c r="AU401" s="28"/>
    </row>
    <row r="402" spans="15:47" x14ac:dyDescent="0.25">
      <c r="O402" s="2" t="s">
        <v>21</v>
      </c>
      <c r="P402" s="8">
        <v>12</v>
      </c>
      <c r="Q402" s="2"/>
      <c r="R402" s="96">
        <f ca="1">1-R401/(3*F_GAMMA*R$29)</f>
        <v>0.82568475044004863</v>
      </c>
      <c r="S402" s="106"/>
      <c r="T402" s="22"/>
      <c r="U402" s="96">
        <f ca="1">1-U401/(3*F_GAMMA*U$29)</f>
        <v>0.82588615011298394</v>
      </c>
      <c r="V402" s="111"/>
      <c r="W402" s="28"/>
      <c r="X402" s="96">
        <f ca="1">1-X401/(3*F_GAMMA*X$29)</f>
        <v>0.82504262300376285</v>
      </c>
      <c r="Y402" s="111"/>
      <c r="Z402" s="28"/>
      <c r="AA402" s="96">
        <f ca="1">1-AA401/(3*F_GAMMA*AA$29)</f>
        <v>0.82537509275079368</v>
      </c>
      <c r="AB402" s="111"/>
      <c r="AC402" s="28"/>
      <c r="AD402" s="96">
        <f ca="1">1-AD401/(3*F_GAMMA*AD$29)</f>
        <v>0.82726727985222737</v>
      </c>
      <c r="AE402" s="111"/>
      <c r="AF402" s="28"/>
      <c r="AG402" s="96">
        <f ca="1">1-AG401/(3*F_GAMMA*AG$29)</f>
        <v>0.83124829023719693</v>
      </c>
      <c r="AH402" s="111"/>
      <c r="AI402" s="28"/>
      <c r="AJ402" s="96">
        <f ca="1">1-AJ401/(3*F_GAMMA*AJ$29)</f>
        <v>0.84329212549474608</v>
      </c>
      <c r="AK402" s="111"/>
      <c r="AL402" s="28"/>
      <c r="AM402" s="96">
        <f ca="1">1-AM401/(3*F_GAMMA*AM$29)</f>
        <v>0.85965693310917501</v>
      </c>
      <c r="AN402" s="111"/>
      <c r="AO402" s="28"/>
      <c r="AP402" s="96">
        <f ca="1">1-AP401/(3*F_GAMMA*AP$29)</f>
        <v>0.92108471840448825</v>
      </c>
      <c r="AQ402" s="111"/>
      <c r="AR402" s="28"/>
      <c r="AS402" s="96">
        <f ca="1">1-AS401/(3*F_GAMMA*AS$29)</f>
        <v>0.97020425606729621</v>
      </c>
      <c r="AT402" s="111"/>
      <c r="AU402" s="28"/>
    </row>
    <row r="403" spans="15:47" x14ac:dyDescent="0.25">
      <c r="O403" s="2" t="s">
        <v>57</v>
      </c>
      <c r="P403" s="143">
        <v>7</v>
      </c>
      <c r="Q403" s="2"/>
      <c r="R403" s="96">
        <f ca="1">(R396/(N_9*R$27*R398*R402))*SQRT(M*'Valve Sizing'!$W$6*'Valve Sizing'!$G$8/R401)</f>
        <v>0.21532787939874504</v>
      </c>
      <c r="S403" s="107"/>
      <c r="T403" s="22"/>
      <c r="U403" s="96">
        <f ca="1">(U396/(N_9*U$27*U398*U402))*SQRT(M*'Valve Sizing'!$W$6*'Valve Sizing'!$G$8/U401)</f>
        <v>6.1328730724289713</v>
      </c>
      <c r="V403" s="111"/>
      <c r="W403" s="28"/>
      <c r="X403" s="96">
        <f ca="1">(X396/(N_9*X$27*X398*X402))*SQRT(M*'Valve Sizing'!$W$6*'Valve Sizing'!$G$8/X401)</f>
        <v>15.137324023660787</v>
      </c>
      <c r="Y403" s="111"/>
      <c r="Z403" s="28"/>
      <c r="AA403" s="96">
        <f ca="1">(AA396/(N_9*AA$27*AA398*AA402))*SQRT(M*'Valve Sizing'!$W$6*'Valve Sizing'!$G$8/AA401)</f>
        <v>30.118457028981965</v>
      </c>
      <c r="AB403" s="111"/>
      <c r="AC403" s="28"/>
      <c r="AD403" s="96">
        <f ca="1">(AD396/(N_9*AD$27*AD398*AD402))*SQRT(M*'Valve Sizing'!$W$6*'Valve Sizing'!$G$8/AD401)</f>
        <v>53.137276625590978</v>
      </c>
      <c r="AE403" s="111"/>
      <c r="AF403" s="28"/>
      <c r="AG403" s="96">
        <f ca="1">(AG396/(N_9*AG$27*AG398*AG402))*SQRT(M*'Valve Sizing'!$W$6*'Valve Sizing'!$G$8/AG401)</f>
        <v>85.159371776538435</v>
      </c>
      <c r="AH403" s="111"/>
      <c r="AI403" s="28"/>
      <c r="AJ403" s="96">
        <f ca="1">(AJ396/(N_9*AJ$27*AJ398*AJ402))*SQRT(M*'Valve Sizing'!$W$6*'Valve Sizing'!$G$8/AJ401)</f>
        <v>131.90759853406124</v>
      </c>
      <c r="AK403" s="111"/>
      <c r="AL403" s="28"/>
      <c r="AM403" s="96">
        <f ca="1">(AM396/(N_9*AM$27*AM398*AM402))*SQRT(M*'Valve Sizing'!$W$6*'Valve Sizing'!$G$8/AM401)</f>
        <v>199.59706460294987</v>
      </c>
      <c r="AN403" s="111"/>
      <c r="AO403" s="28"/>
      <c r="AP403" s="96">
        <f ca="1">(AP396/(N_9*AP$27*AP398*AP402))*SQRT(M*'Valve Sizing'!$W$6*'Valve Sizing'!$G$8/AP401)</f>
        <v>316.889930435184</v>
      </c>
      <c r="AQ403" s="111"/>
      <c r="AR403" s="28"/>
      <c r="AS403" s="96">
        <f ca="1">(AS396/(N_9*AS$27*AS398*AS402))*SQRT(M*'Valve Sizing'!$W$6*'Valve Sizing'!$G$8/AS401)</f>
        <v>1081.5836845481379</v>
      </c>
      <c r="AT403" s="111"/>
      <c r="AU403" s="28"/>
    </row>
    <row r="404" spans="15:47" x14ac:dyDescent="0.25">
      <c r="O404" s="2" t="s">
        <v>59</v>
      </c>
      <c r="P404" s="143">
        <v>7</v>
      </c>
      <c r="Q404" s="2"/>
      <c r="R404" s="96">
        <f ca="1">(R396/(N_9*R$27*R398*0.667))*SQRT(M*'Valve Sizing'!$W$6*'Valve Sizing'!$G$8/R405)</f>
        <v>0.192760041672563</v>
      </c>
      <c r="S404" s="107"/>
      <c r="T404" s="22"/>
      <c r="U404" s="96">
        <f ca="1">(U396/(N_9*U$27*U398*0.667))*SQRT(M*'Valve Sizing'!$W$6*'Valve Sizing'!$G$8/U405)</f>
        <v>5.4882718152732481</v>
      </c>
      <c r="V404" s="111"/>
      <c r="W404" s="28"/>
      <c r="X404" s="96">
        <f ca="1">(X396/(N_9*X$27*X398*0.667))*SQRT(M*'Valve Sizing'!$W$6*'Valve Sizing'!$G$8/X405)</f>
        <v>13.565206702355663</v>
      </c>
      <c r="Y404" s="111"/>
      <c r="Z404" s="28"/>
      <c r="AA404" s="96">
        <f ca="1">(AA396/(N_9*AA$27*AA398*0.667))*SQRT(M*'Valve Sizing'!$W$6*'Valve Sizing'!$G$8/AA405)</f>
        <v>26.975652966135183</v>
      </c>
      <c r="AB404" s="111"/>
      <c r="AC404" s="28"/>
      <c r="AD404" s="96">
        <f ca="1">(AD396/(N_9*AD$27*AD398*0.667))*SQRT(M*'Valve Sizing'!$W$6*'Valve Sizing'!$G$8/AD405)</f>
        <v>47.442464281547345</v>
      </c>
      <c r="AE404" s="111"/>
      <c r="AF404" s="28"/>
      <c r="AG404" s="96">
        <f ca="1">(AG396/(N_9*AG$27*AG398*0.667))*SQRT(M*'Valve Sizing'!$W$6*'Valve Sizing'!$G$8/AG405)</f>
        <v>75.513065017399057</v>
      </c>
      <c r="AH404" s="111"/>
      <c r="AI404" s="28"/>
      <c r="AJ404" s="96">
        <f ca="1">(AJ396/(N_9*AJ$27*AJ398*0.667))*SQRT(M*'Valve Sizing'!$W$6*'Valve Sizing'!$G$8/AJ405)</f>
        <v>114.34786553200996</v>
      </c>
      <c r="AK404" s="111"/>
      <c r="AL404" s="28"/>
      <c r="AM404" s="96">
        <f ca="1">(AM396/(N_9*AM$27*AM398*0.667))*SQRT(M*'Valve Sizing'!$W$6*'Valve Sizing'!$G$8/AM405)</f>
        <v>166.92046849230385</v>
      </c>
      <c r="AN404" s="111"/>
      <c r="AO404" s="28"/>
      <c r="AP404" s="96">
        <f ca="1">(AP396/(N_9*AP$27*AP398*0.667))*SQRT(M*'Valve Sizing'!$W$6*'Valve Sizing'!$G$8/AP405)</f>
        <v>212.9233865105171</v>
      </c>
      <c r="AQ404" s="111"/>
      <c r="AR404" s="28"/>
      <c r="AS404" s="96">
        <f ca="1">(AS396/(N_9*AS$27*AS398*0.667))*SQRT(M*'Valve Sizing'!$W$6*'Valve Sizing'!$G$8/AS405)</f>
        <v>470.36523246452117</v>
      </c>
      <c r="AT404" s="111"/>
      <c r="AU404" s="28"/>
    </row>
    <row r="405" spans="15:47" ht="15.6" x14ac:dyDescent="0.35">
      <c r="O405" s="2" t="s">
        <v>68</v>
      </c>
      <c r="P405" s="143">
        <v>10</v>
      </c>
      <c r="Q405" s="2"/>
      <c r="R405" s="96">
        <f ca="1">F_GAMMA*R$29</f>
        <v>0.64002969751372984</v>
      </c>
      <c r="S405" s="107"/>
      <c r="T405" s="1"/>
      <c r="U405" s="96">
        <f ca="1">F_GAMMA*U$29</f>
        <v>0.64017842058782071</v>
      </c>
      <c r="V405" s="111"/>
      <c r="W405" s="28"/>
      <c r="X405" s="96">
        <f ca="1">F_GAMMA*X$29</f>
        <v>0.63413873724904268</v>
      </c>
      <c r="Y405" s="111"/>
      <c r="Z405" s="28"/>
      <c r="AA405" s="96">
        <f ca="1">F_GAMMA*AA$29</f>
        <v>0.62532411750377137</v>
      </c>
      <c r="AB405" s="111"/>
      <c r="AC405" s="28"/>
      <c r="AD405" s="96">
        <f ca="1">F_GAMMA*AD$29</f>
        <v>0.60651359509139569</v>
      </c>
      <c r="AE405" s="111"/>
      <c r="AF405" s="28"/>
      <c r="AG405" s="96">
        <f ca="1">F_GAMMA*AG$29</f>
        <v>0.57217930198481592</v>
      </c>
      <c r="AH405" s="111"/>
      <c r="AI405" s="28"/>
      <c r="AJ405" s="96">
        <f ca="1">F_GAMMA*AJ$29</f>
        <v>0.53183282018848232</v>
      </c>
      <c r="AK405" s="111"/>
      <c r="AL405" s="28"/>
      <c r="AM405" s="96">
        <f ca="1">F_GAMMA*AM$29</f>
        <v>0.47566512503094399</v>
      </c>
      <c r="AN405" s="111"/>
      <c r="AO405" s="28"/>
      <c r="AP405" s="96">
        <f ca="1">F_GAMMA*AP$29</f>
        <v>0.59054158265645496</v>
      </c>
      <c r="AQ405" s="111"/>
      <c r="AR405" s="28"/>
      <c r="AS405" s="96">
        <f ca="1">F_GAMMA*AS$29</f>
        <v>0.3766899554102966</v>
      </c>
      <c r="AT405" s="111"/>
      <c r="AU405" s="28"/>
    </row>
    <row r="406" spans="15:47" x14ac:dyDescent="0.25">
      <c r="O406" s="2" t="s">
        <v>145</v>
      </c>
      <c r="P406" s="12"/>
      <c r="Q406" s="2"/>
      <c r="R406" s="96">
        <f ca="1">IF(R401&lt;R405,R403,R404)</f>
        <v>0.21532787939874504</v>
      </c>
      <c r="S406" s="116"/>
      <c r="T406" s="1"/>
      <c r="U406" s="96">
        <f ca="1">IF(U401&lt;U405,U403,U404)</f>
        <v>6.1328730724289713</v>
      </c>
      <c r="V406" s="111"/>
      <c r="W406" s="28"/>
      <c r="X406" s="96">
        <f ca="1">IF(X401&lt;X405,X403,X404)</f>
        <v>15.137324023660787</v>
      </c>
      <c r="Y406" s="111"/>
      <c r="Z406" s="28"/>
      <c r="AA406" s="96">
        <f ca="1">IF(AA401&lt;AA405,AA403,AA404)</f>
        <v>30.118457028981965</v>
      </c>
      <c r="AB406" s="111"/>
      <c r="AC406" s="28"/>
      <c r="AD406" s="96">
        <f ca="1">IF(AD401&lt;AD405,AD403,AD404)</f>
        <v>53.137276625590978</v>
      </c>
      <c r="AE406" s="111"/>
      <c r="AF406" s="28"/>
      <c r="AG406" s="96">
        <f ca="1">IF(AG401&lt;AG405,AG403,AG404)</f>
        <v>85.159371776538435</v>
      </c>
      <c r="AH406" s="111"/>
      <c r="AI406" s="28"/>
      <c r="AJ406" s="96">
        <f ca="1">IF(AJ401&lt;AJ405,AJ403,AJ404)</f>
        <v>131.90759853406124</v>
      </c>
      <c r="AK406" s="111"/>
      <c r="AL406" s="28"/>
      <c r="AM406" s="96">
        <f ca="1">IF(AM401&lt;AM405,AM403,AM404)</f>
        <v>199.59706460294987</v>
      </c>
      <c r="AN406" s="111"/>
      <c r="AO406" s="28"/>
      <c r="AP406" s="96">
        <f ca="1">IF(AP401&lt;AP405,AP403,AP404)</f>
        <v>316.889930435184</v>
      </c>
      <c r="AQ406" s="111"/>
      <c r="AR406" s="28"/>
      <c r="AS406" s="96">
        <f ca="1">IF(AS401&lt;AS405,AS403,AS404)</f>
        <v>1081.5836845481379</v>
      </c>
      <c r="AT406" s="111"/>
      <c r="AU406" s="28"/>
    </row>
    <row r="407" spans="15:47" x14ac:dyDescent="0.25">
      <c r="O407" s="13" t="s">
        <v>143</v>
      </c>
      <c r="P407" s="1"/>
      <c r="Q407" s="1"/>
      <c r="R407" s="113"/>
      <c r="S407" s="106">
        <f ca="1">IF(R400&lt;=0,Q_max,ABS(R$23-R406))</f>
        <v>4.5146721206012552</v>
      </c>
      <c r="T407" s="7">
        <f>R396</f>
        <v>533.20121377662304</v>
      </c>
      <c r="U407" s="98"/>
      <c r="V407" s="106">
        <f ca="1">IF(U400&lt;=0,Q_max,ABS(U$23-U406))</f>
        <v>5.4671269275710284</v>
      </c>
      <c r="W407" s="9">
        <f ca="1">U396</f>
        <v>15166.090478013679</v>
      </c>
      <c r="X407" s="98"/>
      <c r="Y407" s="106">
        <f ca="1">IF(X400&lt;=0,Q_max,ABS(X$23-X406))</f>
        <v>7.8626759763392133</v>
      </c>
      <c r="Z407" s="9">
        <f ca="1">X396</f>
        <v>37136.184691139504</v>
      </c>
      <c r="AA407" s="98"/>
      <c r="AB407" s="106">
        <f ca="1">IF(AA400&lt;=0,Q_max,ABS(AA$23-AA406))</f>
        <v>9.2815429710180339</v>
      </c>
      <c r="AC407" s="9">
        <f ca="1">AA396</f>
        <v>72331.808937528185</v>
      </c>
      <c r="AD407" s="98"/>
      <c r="AE407" s="106">
        <f ca="1">IF(AD400&lt;=0,Q_max,ABS(AD$23-AD406))</f>
        <v>7.8627233744090219</v>
      </c>
      <c r="AF407" s="9">
        <f ca="1">AD396</f>
        <v>121350.27452386545</v>
      </c>
      <c r="AG407" s="98"/>
      <c r="AH407" s="106">
        <f ca="1">IF(AG400&lt;=0,Q_max,ABS(AG$23-AG406))</f>
        <v>3.0406282234615674</v>
      </c>
      <c r="AI407" s="9">
        <f ca="1">AG396</f>
        <v>177114.03078086267</v>
      </c>
      <c r="AJ407" s="98"/>
      <c r="AK407" s="106">
        <f ca="1">IF(AJ400&lt;=0,Q_max,ABS(AJ$23-AJ406))</f>
        <v>10.907598534061236</v>
      </c>
      <c r="AL407" s="9">
        <f ca="1">AJ396</f>
        <v>236359.36067150958</v>
      </c>
      <c r="AM407" s="98"/>
      <c r="AN407" s="106">
        <f ca="1">IF(AM400&lt;=0,Q_max,ABS(AM$23-AM406))</f>
        <v>34.597064602949871</v>
      </c>
      <c r="AO407" s="9">
        <f ca="1">AM396</f>
        <v>288403.33773984521</v>
      </c>
      <c r="AP407" s="98"/>
      <c r="AQ407" s="106">
        <f ca="1">IF(AP400&lt;=0,Q_max,ABS(AP$23-AP406))</f>
        <v>70.889930435183999</v>
      </c>
      <c r="AR407" s="9">
        <f ca="1">AP396</f>
        <v>334827.321741049</v>
      </c>
      <c r="AS407" s="98"/>
      <c r="AT407" s="106">
        <f ca="1">IF(AS400&lt;=0,Q_max,ABS(AS$23-AS406))</f>
        <v>661.58368454813785</v>
      </c>
      <c r="AU407" s="9">
        <f ca="1">AS396</f>
        <v>392611.36721055047</v>
      </c>
    </row>
    <row r="408" spans="15:47" x14ac:dyDescent="0.25">
      <c r="O408" s="21"/>
      <c r="P408" s="14"/>
      <c r="Q408" s="21"/>
      <c r="R408" s="97"/>
      <c r="S408" s="106"/>
      <c r="T408" s="28"/>
      <c r="U408" s="97"/>
      <c r="V408" s="111"/>
      <c r="W408" s="28"/>
      <c r="X408" s="97"/>
      <c r="Y408" s="111"/>
      <c r="Z408" s="28"/>
      <c r="AA408" s="97"/>
      <c r="AB408" s="111"/>
      <c r="AC408" s="28"/>
      <c r="AD408" s="97"/>
      <c r="AE408" s="111"/>
      <c r="AF408" s="28"/>
      <c r="AG408" s="97"/>
      <c r="AH408" s="111"/>
      <c r="AI408" s="28"/>
      <c r="AJ408" s="97"/>
      <c r="AK408" s="111"/>
      <c r="AL408" s="28"/>
      <c r="AM408" s="97"/>
      <c r="AN408" s="111"/>
      <c r="AO408" s="28"/>
      <c r="AP408" s="97"/>
      <c r="AQ408" s="111"/>
      <c r="AR408" s="28"/>
      <c r="AS408" s="97"/>
      <c r="AT408" s="111"/>
      <c r="AU408" s="28"/>
    </row>
    <row r="409" spans="15:47" x14ac:dyDescent="0.25">
      <c r="O409" s="1"/>
      <c r="P409" s="1"/>
      <c r="Q409" s="1"/>
      <c r="R409" s="98"/>
      <c r="S409" s="108" t="s">
        <v>137</v>
      </c>
      <c r="T409" s="26" t="s">
        <v>146</v>
      </c>
      <c r="U409" s="98"/>
      <c r="V409" s="108" t="s">
        <v>137</v>
      </c>
      <c r="W409" s="26" t="s">
        <v>146</v>
      </c>
      <c r="X409" s="98"/>
      <c r="Y409" s="108" t="s">
        <v>137</v>
      </c>
      <c r="Z409" s="26" t="s">
        <v>146</v>
      </c>
      <c r="AA409" s="98"/>
      <c r="AB409" s="108" t="s">
        <v>137</v>
      </c>
      <c r="AC409" s="26" t="s">
        <v>146</v>
      </c>
      <c r="AD409" s="98"/>
      <c r="AE409" s="108" t="s">
        <v>137</v>
      </c>
      <c r="AF409" s="26" t="s">
        <v>146</v>
      </c>
      <c r="AG409" s="98"/>
      <c r="AH409" s="108" t="s">
        <v>137</v>
      </c>
      <c r="AI409" s="26" t="s">
        <v>146</v>
      </c>
      <c r="AJ409" s="98"/>
      <c r="AK409" s="108" t="s">
        <v>137</v>
      </c>
      <c r="AL409" s="26" t="s">
        <v>146</v>
      </c>
      <c r="AM409" s="98"/>
      <c r="AN409" s="108" t="s">
        <v>137</v>
      </c>
      <c r="AO409" s="26" t="s">
        <v>146</v>
      </c>
      <c r="AP409" s="98"/>
      <c r="AQ409" s="108" t="s">
        <v>137</v>
      </c>
      <c r="AR409" s="26" t="s">
        <v>146</v>
      </c>
      <c r="AS409" s="98"/>
      <c r="AT409" s="108" t="s">
        <v>137</v>
      </c>
      <c r="AU409" s="26" t="s">
        <v>146</v>
      </c>
    </row>
    <row r="410" spans="15:47" ht="13.8" x14ac:dyDescent="0.25">
      <c r="O410" s="20" t="s">
        <v>136</v>
      </c>
      <c r="P410" s="1"/>
      <c r="Q410" s="1"/>
      <c r="R410" s="96">
        <f>R396*1.02</f>
        <v>543.86523805215552</v>
      </c>
      <c r="S410" s="109" t="s">
        <v>144</v>
      </c>
      <c r="T410" s="23" t="s">
        <v>147</v>
      </c>
      <c r="U410" s="96">
        <f ca="1">U396*1.01</f>
        <v>15317.751382793816</v>
      </c>
      <c r="V410" s="109" t="s">
        <v>144</v>
      </c>
      <c r="W410" s="23" t="s">
        <v>147</v>
      </c>
      <c r="X410" s="96">
        <f ca="1">X396*1.01</f>
        <v>37507.546538050898</v>
      </c>
      <c r="Y410" s="109" t="s">
        <v>144</v>
      </c>
      <c r="Z410" s="23" t="s">
        <v>147</v>
      </c>
      <c r="AA410" s="96">
        <f ca="1">AA396*1.01</f>
        <v>73055.127026903472</v>
      </c>
      <c r="AB410" s="109" t="s">
        <v>144</v>
      </c>
      <c r="AC410" s="23" t="s">
        <v>147</v>
      </c>
      <c r="AD410" s="96">
        <f ca="1">AD396*1.01</f>
        <v>122563.7772691041</v>
      </c>
      <c r="AE410" s="109" t="s">
        <v>144</v>
      </c>
      <c r="AF410" s="23" t="s">
        <v>147</v>
      </c>
      <c r="AG410" s="96">
        <f ca="1">AG396*1.01</f>
        <v>178885.17108867128</v>
      </c>
      <c r="AH410" s="109" t="s">
        <v>144</v>
      </c>
      <c r="AI410" s="23" t="s">
        <v>147</v>
      </c>
      <c r="AJ410" s="96">
        <f ca="1">AJ396*1.01</f>
        <v>238722.95427822467</v>
      </c>
      <c r="AK410" s="109" t="s">
        <v>144</v>
      </c>
      <c r="AL410" s="23" t="s">
        <v>147</v>
      </c>
      <c r="AM410" s="96">
        <f ca="1">AM396*1.01</f>
        <v>291287.37111724366</v>
      </c>
      <c r="AN410" s="109" t="s">
        <v>144</v>
      </c>
      <c r="AO410" s="23" t="s">
        <v>147</v>
      </c>
      <c r="AP410" s="96">
        <f ca="1">AP396*1.01</f>
        <v>338175.59495845949</v>
      </c>
      <c r="AQ410" s="109" t="s">
        <v>144</v>
      </c>
      <c r="AR410" s="23" t="s">
        <v>147</v>
      </c>
      <c r="AS410" s="96">
        <f ca="1">AS396*1.01</f>
        <v>396537.48088265595</v>
      </c>
      <c r="AT410" s="109" t="s">
        <v>144</v>
      </c>
      <c r="AU410" s="23" t="s">
        <v>147</v>
      </c>
    </row>
    <row r="411" spans="15:47" x14ac:dyDescent="0.25">
      <c r="O411" s="1"/>
      <c r="P411" s="1"/>
      <c r="Q411" s="1"/>
      <c r="R411" s="98"/>
      <c r="S411" s="107"/>
      <c r="T411" s="1"/>
      <c r="U411" s="47"/>
      <c r="V411" s="107"/>
      <c r="W411" s="1"/>
      <c r="X411" s="47"/>
      <c r="Y411" s="107"/>
      <c r="Z411" s="1"/>
      <c r="AA411" s="47"/>
      <c r="AB411" s="107"/>
      <c r="AC411" s="1"/>
      <c r="AD411" s="47"/>
      <c r="AE411" s="107"/>
      <c r="AF411" s="1"/>
      <c r="AG411" s="47"/>
      <c r="AH411" s="107"/>
      <c r="AI411" s="1"/>
      <c r="AJ411" s="47"/>
      <c r="AK411" s="107"/>
      <c r="AL411" s="1"/>
      <c r="AM411" s="47"/>
      <c r="AN411" s="107"/>
      <c r="AO411" s="1"/>
      <c r="AP411" s="47"/>
      <c r="AQ411" s="107"/>
      <c r="AR411" s="1"/>
      <c r="AS411" s="47"/>
      <c r="AT411" s="107"/>
      <c r="AU411" s="1"/>
    </row>
    <row r="412" spans="15:47" x14ac:dyDescent="0.25">
      <c r="O412" s="8" t="s">
        <v>132</v>
      </c>
      <c r="P412" s="8"/>
      <c r="Q412" s="8"/>
      <c r="R412" s="96">
        <f>P_1_minQ-(R410^2*R_up)+dpup_minQ</f>
        <v>90.184986619410495</v>
      </c>
      <c r="S412" s="106"/>
      <c r="T412" s="22"/>
      <c r="U412" s="96">
        <f ca="1">P_1_minQ-(U410^2*R_up)+dpup_minQ</f>
        <v>90.142276013393939</v>
      </c>
      <c r="V412" s="107"/>
      <c r="W412" s="1"/>
      <c r="X412" s="96">
        <f ca="1">P_1_minQ-(X410^2*R_up)+dpup_minQ</f>
        <v>89.928632955581591</v>
      </c>
      <c r="Y412" s="107"/>
      <c r="Z412" s="1"/>
      <c r="AA412" s="96">
        <f ca="1">P_1_minQ-(AA410^2*R_up)+dpup_minQ</f>
        <v>89.212304645261355</v>
      </c>
      <c r="AB412" s="107"/>
      <c r="AC412" s="1"/>
      <c r="AD412" s="96">
        <f ca="1">P_1_minQ-(AD410^2*R_up)+dpup_minQ</f>
        <v>87.447139084911328</v>
      </c>
      <c r="AE412" s="107"/>
      <c r="AF412" s="1"/>
      <c r="AG412" s="96">
        <f ca="1">P_1_minQ-(AG410^2*R_up)+dpup_minQ</f>
        <v>84.352708789507517</v>
      </c>
      <c r="AH412" s="107"/>
      <c r="AI412" s="1"/>
      <c r="AJ412" s="96">
        <f ca="1">P_1_minQ-(AJ410^2*R_up)+dpup_minQ</f>
        <v>79.79823745374587</v>
      </c>
      <c r="AK412" s="107"/>
      <c r="AL412" s="1"/>
      <c r="AM412" s="96">
        <f ca="1">P_1_minQ-(AM410^2*R_up)+dpup_minQ</f>
        <v>74.720506121717733</v>
      </c>
      <c r="AN412" s="107"/>
      <c r="AO412" s="1"/>
      <c r="AP412" s="96">
        <f ca="1">P_1_minQ-(AP410^2*R_up)+dpup_minQ</f>
        <v>69.341184601579442</v>
      </c>
      <c r="AQ412" s="107"/>
      <c r="AR412" s="1"/>
      <c r="AS412" s="96">
        <f ca="1">P_1_minQ-(AS410^2*R_up)+dpup_minQ</f>
        <v>61.525975116477206</v>
      </c>
      <c r="AT412" s="107"/>
      <c r="AU412" s="1"/>
    </row>
    <row r="413" spans="15:47" x14ac:dyDescent="0.25">
      <c r="O413" s="8" t="s">
        <v>134</v>
      </c>
      <c r="P413" s="1"/>
      <c r="Q413" s="8"/>
      <c r="R413" s="97">
        <f>P_2_minQ+(R410^2*R_dn)-dpdn_minQ</f>
        <v>60</v>
      </c>
      <c r="S413" s="106"/>
      <c r="T413" s="22"/>
      <c r="U413" s="97">
        <f ca="1">P_2_minQ+(U410^2*R_dn)-dpdn_minQ</f>
        <v>60</v>
      </c>
      <c r="V413" s="107"/>
      <c r="W413" s="1"/>
      <c r="X413" s="97">
        <f ca="1">P_2_minQ+(X410^2*R_dn)-dpdn_minQ</f>
        <v>60</v>
      </c>
      <c r="Y413" s="107"/>
      <c r="Z413" s="1"/>
      <c r="AA413" s="97">
        <f ca="1">P_2_minQ+(AA410^2*R_dn)-dpdn_minQ</f>
        <v>60</v>
      </c>
      <c r="AB413" s="107"/>
      <c r="AC413" s="1"/>
      <c r="AD413" s="97">
        <f ca="1">P_2_minQ+(AD410^2*R_dn)-dpdn_minQ</f>
        <v>60</v>
      </c>
      <c r="AE413" s="107"/>
      <c r="AF413" s="1"/>
      <c r="AG413" s="97">
        <f ca="1">P_2_minQ+(AG410^2*R_dn)-dpdn_minQ</f>
        <v>60</v>
      </c>
      <c r="AH413" s="107"/>
      <c r="AI413" s="1"/>
      <c r="AJ413" s="97">
        <f ca="1">P_2_minQ+(AJ410^2*R_dn)-dpdn_minQ</f>
        <v>60</v>
      </c>
      <c r="AK413" s="107"/>
      <c r="AL413" s="1"/>
      <c r="AM413" s="97">
        <f ca="1">P_2_minQ+(AM410^2*R_dn)-dpdn_minQ</f>
        <v>60</v>
      </c>
      <c r="AN413" s="107"/>
      <c r="AO413" s="1"/>
      <c r="AP413" s="97">
        <f ca="1">P_2_minQ+(AP410^2*R_dn)-dpdn_minQ</f>
        <v>60</v>
      </c>
      <c r="AQ413" s="107"/>
      <c r="AR413" s="1"/>
      <c r="AS413" s="97">
        <f ca="1">P_2_minQ+(AS410^2*R_dn)-dpdn_minQ</f>
        <v>60</v>
      </c>
      <c r="AT413" s="107"/>
      <c r="AU413" s="1"/>
    </row>
    <row r="414" spans="15:47" x14ac:dyDescent="0.25">
      <c r="O414" s="8" t="s">
        <v>138</v>
      </c>
      <c r="P414" s="1"/>
      <c r="Q414" s="8"/>
      <c r="R414" s="97">
        <f>R412-R413</f>
        <v>30.184986619410495</v>
      </c>
      <c r="S414" s="106"/>
      <c r="T414" s="22"/>
      <c r="U414" s="97">
        <f ca="1">U412-U413</f>
        <v>30.142276013393939</v>
      </c>
      <c r="V414" s="110"/>
      <c r="W414" s="25"/>
      <c r="X414" s="97">
        <f ca="1">X412-X413</f>
        <v>29.928632955581591</v>
      </c>
      <c r="Y414" s="110"/>
      <c r="Z414" s="25"/>
      <c r="AA414" s="97">
        <f ca="1">AA412-AA413</f>
        <v>29.212304645261355</v>
      </c>
      <c r="AB414" s="110"/>
      <c r="AC414" s="25"/>
      <c r="AD414" s="97">
        <f ca="1">AD412-AD413</f>
        <v>27.447139084911328</v>
      </c>
      <c r="AE414" s="110"/>
      <c r="AF414" s="25"/>
      <c r="AG414" s="97">
        <f ca="1">AG412-AG413</f>
        <v>24.352708789507517</v>
      </c>
      <c r="AH414" s="110"/>
      <c r="AI414" s="25"/>
      <c r="AJ414" s="97">
        <f ca="1">AJ412-AJ413</f>
        <v>19.79823745374587</v>
      </c>
      <c r="AK414" s="110"/>
      <c r="AL414" s="25"/>
      <c r="AM414" s="97">
        <f ca="1">AM412-AM413</f>
        <v>14.720506121717733</v>
      </c>
      <c r="AN414" s="110"/>
      <c r="AO414" s="25"/>
      <c r="AP414" s="97">
        <f ca="1">AP412-AP413</f>
        <v>9.3411846015794424</v>
      </c>
      <c r="AQ414" s="110"/>
      <c r="AR414" s="25"/>
      <c r="AS414" s="97">
        <f ca="1">AS412-AS413</f>
        <v>1.5259751164772055</v>
      </c>
      <c r="AT414" s="110"/>
      <c r="AU414" s="25"/>
    </row>
    <row r="415" spans="15:47" ht="14.4" x14ac:dyDescent="0.3">
      <c r="O415" s="2" t="s">
        <v>140</v>
      </c>
      <c r="P415" s="11"/>
      <c r="Q415" s="2"/>
      <c r="R415" s="96">
        <f>R414/R412</f>
        <v>0.33470079390036506</v>
      </c>
      <c r="S415" s="106"/>
      <c r="T415" s="22"/>
      <c r="U415" s="96">
        <f ca="1">U414/U412</f>
        <v>0.33438556631202876</v>
      </c>
      <c r="V415" s="111"/>
      <c r="W415" s="28"/>
      <c r="X415" s="96">
        <f ca="1">X414/X412</f>
        <v>0.33280426902924487</v>
      </c>
      <c r="Y415" s="111"/>
      <c r="Z415" s="28"/>
      <c r="AA415" s="96">
        <f ca="1">AA414/AA412</f>
        <v>0.32744703504095618</v>
      </c>
      <c r="AB415" s="111"/>
      <c r="AC415" s="28"/>
      <c r="AD415" s="96">
        <f ca="1">AD414/AD412</f>
        <v>0.31387120690432313</v>
      </c>
      <c r="AE415" s="111"/>
      <c r="AF415" s="28"/>
      <c r="AG415" s="96">
        <f ca="1">AG414/AG412</f>
        <v>0.28870096928691291</v>
      </c>
      <c r="AH415" s="111"/>
      <c r="AI415" s="28"/>
      <c r="AJ415" s="96">
        <f ca="1">AJ414/AJ412</f>
        <v>0.24810369358372972</v>
      </c>
      <c r="AK415" s="111"/>
      <c r="AL415" s="28"/>
      <c r="AM415" s="96">
        <f ca="1">AM414/AM412</f>
        <v>0.19700758045908331</v>
      </c>
      <c r="AN415" s="111"/>
      <c r="AO415" s="28"/>
      <c r="AP415" s="96">
        <f ca="1">AP414/AP412</f>
        <v>0.13471336919396487</v>
      </c>
      <c r="AQ415" s="111"/>
      <c r="AR415" s="28"/>
      <c r="AS415" s="96">
        <f ca="1">AS414/AS412</f>
        <v>2.4802128102615568E-2</v>
      </c>
      <c r="AT415" s="111"/>
      <c r="AU415" s="28"/>
    </row>
    <row r="416" spans="15:47" x14ac:dyDescent="0.25">
      <c r="O416" s="2" t="s">
        <v>21</v>
      </c>
      <c r="P416" s="8">
        <v>12</v>
      </c>
      <c r="Q416" s="2"/>
      <c r="R416" s="96">
        <f ca="1">1-R415/(3*F_GAMMA*R$29)</f>
        <v>0.82568475848305711</v>
      </c>
      <c r="S416" s="106"/>
      <c r="T416" s="22"/>
      <c r="U416" s="96">
        <f ca="1">1-U415/(3*F_GAMMA*U$29)</f>
        <v>0.82588938981261339</v>
      </c>
      <c r="V416" s="111"/>
      <c r="W416" s="28"/>
      <c r="X416" s="96">
        <f ca="1">1-X415/(3*F_GAMMA*X$29)</f>
        <v>0.82506232496641396</v>
      </c>
      <c r="Y416" s="111"/>
      <c r="Z416" s="28"/>
      <c r="AA416" s="96">
        <f ca="1">1-AA415/(3*F_GAMMA*AA$29)</f>
        <v>0.82545209975903344</v>
      </c>
      <c r="AB416" s="111"/>
      <c r="AC416" s="28"/>
      <c r="AD416" s="96">
        <f ca="1">1-AD415/(3*F_GAMMA*AD$29)</f>
        <v>0.82749976837863193</v>
      </c>
      <c r="AE416" s="111"/>
      <c r="AF416" s="28"/>
      <c r="AG416" s="96">
        <f ca="1">1-AG415/(3*F_GAMMA*AG$29)</f>
        <v>0.83181206294049981</v>
      </c>
      <c r="AH416" s="111"/>
      <c r="AI416" s="28"/>
      <c r="AJ416" s="96">
        <f ca="1">1-AJ415/(3*F_GAMMA*AJ$29)</f>
        <v>0.84449769165192334</v>
      </c>
      <c r="AK416" s="111"/>
      <c r="AL416" s="28"/>
      <c r="AM416" s="96">
        <f ca="1">1-AM415/(3*F_GAMMA*AM$29)</f>
        <v>0.86194238334776163</v>
      </c>
      <c r="AN416" s="111"/>
      <c r="AO416" s="28"/>
      <c r="AP416" s="96">
        <f ca="1">1-AP415/(3*F_GAMMA*AP$29)</f>
        <v>0.92396055126889975</v>
      </c>
      <c r="AQ416" s="111"/>
      <c r="AR416" s="28"/>
      <c r="AS416" s="96">
        <f ca="1">1-AS415/(3*F_GAMMA*AS$29)</f>
        <v>0.97805257104559573</v>
      </c>
      <c r="AT416" s="111"/>
      <c r="AU416" s="28"/>
    </row>
    <row r="417" spans="15:47" x14ac:dyDescent="0.25">
      <c r="O417" s="2" t="s">
        <v>57</v>
      </c>
      <c r="P417" s="143">
        <v>7</v>
      </c>
      <c r="Q417" s="2"/>
      <c r="R417" s="96">
        <f ca="1">(R410/(N_9*R$27*R412*R416))*SQRT(M*'Valve Sizing'!$W$6*'Valve Sizing'!$G$8/R415)</f>
        <v>0.21963444501256499</v>
      </c>
      <c r="S417" s="107"/>
      <c r="T417" s="22"/>
      <c r="U417" s="96">
        <f ca="1">(U410/(N_9*U$27*U412*U416))*SQRT(M*'Valve Sizing'!$W$6*'Valve Sizing'!$G$8/U415)</f>
        <v>6.1942930352943915</v>
      </c>
      <c r="V417" s="111"/>
      <c r="W417" s="28"/>
      <c r="X417" s="96">
        <f ca="1">(X410/(N_9*X$27*X412*X416))*SQRT(M*'Valve Sizing'!$W$6*'Valve Sizing'!$G$8/X415)</f>
        <v>15.290052017978869</v>
      </c>
      <c r="Y417" s="111"/>
      <c r="Z417" s="28"/>
      <c r="AA417" s="96">
        <f ca="1">(AA410/(N_9*AA$27*AA412*AA416))*SQRT(M*'Valve Sizing'!$W$6*'Valve Sizing'!$G$8/AA415)</f>
        <v>30.430048942374938</v>
      </c>
      <c r="AB417" s="111"/>
      <c r="AC417" s="28"/>
      <c r="AD417" s="96">
        <f ca="1">(AD410/(N_9*AD$27*AD412*AD416))*SQRT(M*'Valve Sizing'!$W$6*'Valve Sizing'!$G$8/AD415)</f>
        <v>53.722836863662678</v>
      </c>
      <c r="AE417" s="111"/>
      <c r="AF417" s="28"/>
      <c r="AG417" s="96">
        <f ca="1">(AG410/(N_9*AG$27*AG412*AG416))*SQRT(M*'Valve Sizing'!$W$6*'Valve Sizing'!$G$8/AG415)</f>
        <v>86.213904010842214</v>
      </c>
      <c r="AH417" s="111"/>
      <c r="AI417" s="28"/>
      <c r="AJ417" s="96">
        <f ca="1">(AJ410/(N_9*AJ$27*AJ412*AJ416))*SQRT(M*'Valve Sizing'!$W$6*'Valve Sizing'!$G$8/AJ415)</f>
        <v>133.89371095639709</v>
      </c>
      <c r="AK417" s="111"/>
      <c r="AL417" s="28"/>
      <c r="AM417" s="96">
        <f ca="1">(AM410/(N_9*AM$27*AM412*AM416))*SQRT(M*'Valve Sizing'!$W$6*'Valve Sizing'!$G$8/AM415)</f>
        <v>203.54255293608716</v>
      </c>
      <c r="AN417" s="111"/>
      <c r="AO417" s="28"/>
      <c r="AP417" s="96">
        <f ca="1">(AP410/(N_9*AP$27*AP412*AP416))*SQRT(M*'Valve Sizing'!$W$6*'Valve Sizing'!$G$8/AP415)</f>
        <v>326.9653755183316</v>
      </c>
      <c r="AQ417" s="111"/>
      <c r="AR417" s="28"/>
      <c r="AS417" s="96">
        <f ca="1">(AS410/(N_9*AS$27*AS412*AS416))*SQRT(M*'Valve Sizing'!$W$6*'Valve Sizing'!$G$8/AS415)</f>
        <v>1274.1941957610179</v>
      </c>
      <c r="AT417" s="111"/>
      <c r="AU417" s="28"/>
    </row>
    <row r="418" spans="15:47" x14ac:dyDescent="0.25">
      <c r="O418" s="2" t="s">
        <v>59</v>
      </c>
      <c r="P418" s="143">
        <v>7</v>
      </c>
      <c r="Q418" s="2"/>
      <c r="R418" s="96">
        <f ca="1">(R410/(N_9*R$27*R412*0.667))*SQRT(M*'Valve Sizing'!$W$6*'Valve Sizing'!$G$8/R419)</f>
        <v>0.19661524706995606</v>
      </c>
      <c r="S418" s="107"/>
      <c r="T418" s="22"/>
      <c r="U418" s="96">
        <f ca="1">(U410/(N_9*U$27*U412*0.667))*SQRT(M*'Valve Sizing'!$W$6*'Valve Sizing'!$G$8/U419)</f>
        <v>5.543206349600462</v>
      </c>
      <c r="V418" s="111"/>
      <c r="W418" s="28"/>
      <c r="X418" s="96">
        <f ca="1">(X410/(N_9*X$27*X412*0.667))*SQRT(M*'Valve Sizing'!$W$6*'Valve Sizing'!$G$8/X419)</f>
        <v>13.701628491483779</v>
      </c>
      <c r="Y418" s="111"/>
      <c r="Z418" s="28"/>
      <c r="AA418" s="96">
        <f ca="1">(AA410/(N_9*AA$27*AA412*0.667))*SQRT(M*'Valve Sizing'!$W$6*'Valve Sizing'!$G$8/AA419)</f>
        <v>27.251263012047669</v>
      </c>
      <c r="AB418" s="111"/>
      <c r="AC418" s="28"/>
      <c r="AD418" s="96">
        <f ca="1">(AD410/(N_9*AD$27*AD412*0.667))*SQRT(M*'Valve Sizing'!$W$6*'Valve Sizing'!$G$8/AD419)</f>
        <v>47.946449584496072</v>
      </c>
      <c r="AE418" s="111"/>
      <c r="AF418" s="28"/>
      <c r="AG418" s="96">
        <f ca="1">(AG410/(N_9*AG$27*AG412*0.667))*SQRT(M*'Valve Sizing'!$W$6*'Valve Sizing'!$G$8/AG419)</f>
        <v>76.372101509800316</v>
      </c>
      <c r="AH418" s="111"/>
      <c r="AI418" s="28"/>
      <c r="AJ418" s="96">
        <f ca="1">(AJ410/(N_9*AJ$27*AJ412*0.667))*SQRT(M*'Valve Sizing'!$W$6*'Valve Sizing'!$G$8/AJ419)</f>
        <v>115.78754847776722</v>
      </c>
      <c r="AK418" s="111"/>
      <c r="AL418" s="28"/>
      <c r="AM418" s="96">
        <f ca="1">(AM410/(N_9*AM$27*AM412*0.667))*SQRT(M*'Valve Sizing'!$W$6*'Valve Sizing'!$G$8/AM419)</f>
        <v>169.27718682365045</v>
      </c>
      <c r="AN418" s="111"/>
      <c r="AO418" s="28"/>
      <c r="AP418" s="96">
        <f ca="1">(AP410/(N_9*AP$27*AP412*0.667))*SQRT(M*'Valve Sizing'!$W$6*'Valve Sizing'!$G$8/AP419)</f>
        <v>216.32637230409094</v>
      </c>
      <c r="AQ418" s="111"/>
      <c r="AR418" s="28"/>
      <c r="AS418" s="96">
        <f ca="1">(AS410/(N_9*AS$27*AS412*0.667))*SQRT(M*'Valve Sizing'!$W$6*'Valve Sizing'!$G$8/AS419)</f>
        <v>479.42915511023455</v>
      </c>
      <c r="AT418" s="111"/>
      <c r="AU418" s="28"/>
    </row>
    <row r="419" spans="15:47" ht="15.6" x14ac:dyDescent="0.35">
      <c r="O419" s="2" t="s">
        <v>68</v>
      </c>
      <c r="P419" s="143">
        <v>10</v>
      </c>
      <c r="Q419" s="2"/>
      <c r="R419" s="96">
        <f ca="1">F_GAMMA*R$29</f>
        <v>0.64002969751372984</v>
      </c>
      <c r="S419" s="107"/>
      <c r="T419" s="1"/>
      <c r="U419" s="96">
        <f ca="1">F_GAMMA*U$29</f>
        <v>0.64017842058782071</v>
      </c>
      <c r="V419" s="111"/>
      <c r="W419" s="28"/>
      <c r="X419" s="96">
        <f ca="1">F_GAMMA*X$29</f>
        <v>0.63413873724904268</v>
      </c>
      <c r="Y419" s="111"/>
      <c r="Z419" s="28"/>
      <c r="AA419" s="96">
        <f ca="1">F_GAMMA*AA$29</f>
        <v>0.62532411750377137</v>
      </c>
      <c r="AB419" s="111"/>
      <c r="AC419" s="28"/>
      <c r="AD419" s="96">
        <f ca="1">F_GAMMA*AD$29</f>
        <v>0.60651359509139569</v>
      </c>
      <c r="AE419" s="111"/>
      <c r="AF419" s="28"/>
      <c r="AG419" s="96">
        <f ca="1">F_GAMMA*AG$29</f>
        <v>0.57217930198481592</v>
      </c>
      <c r="AH419" s="111"/>
      <c r="AI419" s="28"/>
      <c r="AJ419" s="96">
        <f ca="1">F_GAMMA*AJ$29</f>
        <v>0.53183282018848232</v>
      </c>
      <c r="AK419" s="111"/>
      <c r="AL419" s="28"/>
      <c r="AM419" s="96">
        <f ca="1">F_GAMMA*AM$29</f>
        <v>0.47566512503094399</v>
      </c>
      <c r="AN419" s="111"/>
      <c r="AO419" s="28"/>
      <c r="AP419" s="96">
        <f ca="1">F_GAMMA*AP$29</f>
        <v>0.59054158265645496</v>
      </c>
      <c r="AQ419" s="111"/>
      <c r="AR419" s="28"/>
      <c r="AS419" s="96">
        <f ca="1">F_GAMMA*AS$29</f>
        <v>0.3766899554102966</v>
      </c>
      <c r="AT419" s="111"/>
      <c r="AU419" s="28"/>
    </row>
    <row r="420" spans="15:47" x14ac:dyDescent="0.25">
      <c r="O420" s="2" t="s">
        <v>145</v>
      </c>
      <c r="P420" s="12"/>
      <c r="Q420" s="2"/>
      <c r="R420" s="96">
        <f ca="1">IF(R415&lt;R419,R417,R418)</f>
        <v>0.21963444501256499</v>
      </c>
      <c r="S420" s="116"/>
      <c r="T420" s="1"/>
      <c r="U420" s="96">
        <f ca="1">IF(U415&lt;U419,U417,U418)</f>
        <v>6.1942930352943915</v>
      </c>
      <c r="V420" s="111"/>
      <c r="W420" s="28"/>
      <c r="X420" s="96">
        <f ca="1">IF(X415&lt;X419,X417,X418)</f>
        <v>15.290052017978869</v>
      </c>
      <c r="Y420" s="111"/>
      <c r="Z420" s="28"/>
      <c r="AA420" s="96">
        <f ca="1">IF(AA415&lt;AA419,AA417,AA418)</f>
        <v>30.430048942374938</v>
      </c>
      <c r="AB420" s="111"/>
      <c r="AC420" s="28"/>
      <c r="AD420" s="96">
        <f ca="1">IF(AD415&lt;AD419,AD417,AD418)</f>
        <v>53.722836863662678</v>
      </c>
      <c r="AE420" s="111"/>
      <c r="AF420" s="28"/>
      <c r="AG420" s="96">
        <f ca="1">IF(AG415&lt;AG419,AG417,AG418)</f>
        <v>86.213904010842214</v>
      </c>
      <c r="AH420" s="111"/>
      <c r="AI420" s="28"/>
      <c r="AJ420" s="96">
        <f ca="1">IF(AJ415&lt;AJ419,AJ417,AJ418)</f>
        <v>133.89371095639709</v>
      </c>
      <c r="AK420" s="111"/>
      <c r="AL420" s="28"/>
      <c r="AM420" s="96">
        <f ca="1">IF(AM415&lt;AM419,AM417,AM418)</f>
        <v>203.54255293608716</v>
      </c>
      <c r="AN420" s="111"/>
      <c r="AO420" s="28"/>
      <c r="AP420" s="96">
        <f ca="1">IF(AP415&lt;AP419,AP417,AP418)</f>
        <v>326.9653755183316</v>
      </c>
      <c r="AQ420" s="111"/>
      <c r="AR420" s="28"/>
      <c r="AS420" s="96">
        <f ca="1">IF(AS415&lt;AS419,AS417,AS418)</f>
        <v>1274.1941957610179</v>
      </c>
      <c r="AT420" s="111"/>
      <c r="AU420" s="28"/>
    </row>
    <row r="421" spans="15:47" x14ac:dyDescent="0.25">
      <c r="O421" s="13" t="s">
        <v>143</v>
      </c>
      <c r="P421" s="1"/>
      <c r="Q421" s="1"/>
      <c r="R421" s="113"/>
      <c r="S421" s="106">
        <f ca="1">IF(R414&lt;=0,Q_max,ABS(R$23-R420))</f>
        <v>4.5103655549874357</v>
      </c>
      <c r="T421" s="7">
        <f>R410</f>
        <v>543.86523805215552</v>
      </c>
      <c r="U421" s="98"/>
      <c r="V421" s="106">
        <f ca="1">IF(U414&lt;=0,Q_max,ABS(U$23-U420))</f>
        <v>5.4057069647056082</v>
      </c>
      <c r="W421" s="9">
        <f ca="1">U410</f>
        <v>15317.751382793816</v>
      </c>
      <c r="X421" s="98"/>
      <c r="Y421" s="106">
        <f ca="1">IF(X414&lt;=0,Q_max,ABS(X$23-X420))</f>
        <v>7.7099479820211307</v>
      </c>
      <c r="Z421" s="9">
        <f ca="1">X410</f>
        <v>37507.546538050898</v>
      </c>
      <c r="AA421" s="98"/>
      <c r="AB421" s="106">
        <f ca="1">IF(AA414&lt;=0,Q_max,ABS(AA$23-AA420))</f>
        <v>8.9699510576250603</v>
      </c>
      <c r="AC421" s="9">
        <f ca="1">AA410</f>
        <v>73055.127026903472</v>
      </c>
      <c r="AD421" s="98"/>
      <c r="AE421" s="106">
        <f ca="1">IF(AD414&lt;=0,Q_max,ABS(AD$23-AD420))</f>
        <v>7.2771631363373217</v>
      </c>
      <c r="AF421" s="9">
        <f ca="1">AD410</f>
        <v>122563.7772691041</v>
      </c>
      <c r="AG421" s="98"/>
      <c r="AH421" s="106">
        <f ca="1">IF(AG414&lt;=0,Q_max,ABS(AG$23-AG420))</f>
        <v>1.9860959891577892</v>
      </c>
      <c r="AI421" s="9">
        <f ca="1">AG410</f>
        <v>178885.17108867128</v>
      </c>
      <c r="AJ421" s="98"/>
      <c r="AK421" s="106">
        <f ca="1">IF(AJ414&lt;=0,Q_max,ABS(AJ$23-AJ420))</f>
        <v>12.893710956397086</v>
      </c>
      <c r="AL421" s="9">
        <f ca="1">AJ410</f>
        <v>238722.95427822467</v>
      </c>
      <c r="AM421" s="98"/>
      <c r="AN421" s="106">
        <f ca="1">IF(AM414&lt;=0,Q_max,ABS(AM$23-AM420))</f>
        <v>38.542552936087162</v>
      </c>
      <c r="AO421" s="9">
        <f ca="1">AM410</f>
        <v>291287.37111724366</v>
      </c>
      <c r="AP421" s="98"/>
      <c r="AQ421" s="106">
        <f ca="1">IF(AP414&lt;=0,Q_max,ABS(AP$23-AP420))</f>
        <v>80.965375518331598</v>
      </c>
      <c r="AR421" s="9">
        <f ca="1">AP410</f>
        <v>338175.59495845949</v>
      </c>
      <c r="AS421" s="98"/>
      <c r="AT421" s="106">
        <f ca="1">IF(AS414&lt;=0,Q_max,ABS(AS$23-AS420))</f>
        <v>854.19419576101791</v>
      </c>
      <c r="AU421" s="9">
        <f ca="1">AS410</f>
        <v>396537.48088265595</v>
      </c>
    </row>
    <row r="422" spans="15:47" x14ac:dyDescent="0.25">
      <c r="O422" s="21"/>
      <c r="P422" s="14"/>
      <c r="Q422" s="21"/>
      <c r="R422" s="97"/>
      <c r="S422" s="106"/>
      <c r="T422" s="28"/>
      <c r="U422" s="97"/>
      <c r="V422" s="111"/>
      <c r="W422" s="28"/>
      <c r="X422" s="97"/>
      <c r="Y422" s="111"/>
      <c r="Z422" s="28"/>
      <c r="AA422" s="97"/>
      <c r="AB422" s="111"/>
      <c r="AC422" s="28"/>
      <c r="AD422" s="97"/>
      <c r="AE422" s="111"/>
      <c r="AF422" s="28"/>
      <c r="AG422" s="97"/>
      <c r="AH422" s="111"/>
      <c r="AI422" s="28"/>
      <c r="AJ422" s="97"/>
      <c r="AK422" s="111"/>
      <c r="AL422" s="28"/>
      <c r="AM422" s="97"/>
      <c r="AN422" s="111"/>
      <c r="AO422" s="28"/>
      <c r="AP422" s="97"/>
      <c r="AQ422" s="111"/>
      <c r="AR422" s="28"/>
      <c r="AS422" s="97"/>
      <c r="AT422" s="111"/>
      <c r="AU422" s="28"/>
    </row>
    <row r="423" spans="15:47" x14ac:dyDescent="0.25">
      <c r="O423" s="1"/>
      <c r="P423" s="1"/>
      <c r="Q423" s="1"/>
      <c r="R423" s="98"/>
      <c r="S423" s="108" t="s">
        <v>137</v>
      </c>
      <c r="T423" s="26" t="s">
        <v>146</v>
      </c>
      <c r="U423" s="98"/>
      <c r="V423" s="108" t="s">
        <v>137</v>
      </c>
      <c r="W423" s="26" t="s">
        <v>146</v>
      </c>
      <c r="X423" s="98"/>
      <c r="Y423" s="108" t="s">
        <v>137</v>
      </c>
      <c r="Z423" s="26" t="s">
        <v>146</v>
      </c>
      <c r="AA423" s="98"/>
      <c r="AB423" s="108" t="s">
        <v>137</v>
      </c>
      <c r="AC423" s="26" t="s">
        <v>146</v>
      </c>
      <c r="AD423" s="98"/>
      <c r="AE423" s="108" t="s">
        <v>137</v>
      </c>
      <c r="AF423" s="26" t="s">
        <v>146</v>
      </c>
      <c r="AG423" s="98"/>
      <c r="AH423" s="108" t="s">
        <v>137</v>
      </c>
      <c r="AI423" s="26" t="s">
        <v>146</v>
      </c>
      <c r="AJ423" s="98"/>
      <c r="AK423" s="108" t="s">
        <v>137</v>
      </c>
      <c r="AL423" s="26" t="s">
        <v>146</v>
      </c>
      <c r="AM423" s="98"/>
      <c r="AN423" s="108" t="s">
        <v>137</v>
      </c>
      <c r="AO423" s="26" t="s">
        <v>146</v>
      </c>
      <c r="AP423" s="98"/>
      <c r="AQ423" s="108" t="s">
        <v>137</v>
      </c>
      <c r="AR423" s="26" t="s">
        <v>146</v>
      </c>
      <c r="AS423" s="98"/>
      <c r="AT423" s="108" t="s">
        <v>137</v>
      </c>
      <c r="AU423" s="26" t="s">
        <v>146</v>
      </c>
    </row>
    <row r="424" spans="15:47" ht="13.8" x14ac:dyDescent="0.25">
      <c r="O424" s="20" t="s">
        <v>136</v>
      </c>
      <c r="P424" s="1"/>
      <c r="Q424" s="1"/>
      <c r="R424" s="96">
        <f>R410*1.02</f>
        <v>554.74254281319861</v>
      </c>
      <c r="S424" s="109" t="s">
        <v>144</v>
      </c>
      <c r="T424" s="23" t="s">
        <v>147</v>
      </c>
      <c r="U424" s="96">
        <f ca="1">U410*1.01</f>
        <v>15470.928896621755</v>
      </c>
      <c r="V424" s="109" t="s">
        <v>144</v>
      </c>
      <c r="W424" s="23" t="s">
        <v>147</v>
      </c>
      <c r="X424" s="96">
        <f ca="1">X410*1.01</f>
        <v>37882.62200343141</v>
      </c>
      <c r="Y424" s="109" t="s">
        <v>144</v>
      </c>
      <c r="Z424" s="23" t="s">
        <v>147</v>
      </c>
      <c r="AA424" s="96">
        <f ca="1">AA410*1.01</f>
        <v>73785.678297172504</v>
      </c>
      <c r="AB424" s="109" t="s">
        <v>144</v>
      </c>
      <c r="AC424" s="23" t="s">
        <v>147</v>
      </c>
      <c r="AD424" s="96">
        <f ca="1">AD410*1.01</f>
        <v>123789.41504179515</v>
      </c>
      <c r="AE424" s="109" t="s">
        <v>144</v>
      </c>
      <c r="AF424" s="23" t="s">
        <v>147</v>
      </c>
      <c r="AG424" s="96">
        <f ca="1">AG410*1.01</f>
        <v>180674.02279955801</v>
      </c>
      <c r="AH424" s="109" t="s">
        <v>144</v>
      </c>
      <c r="AI424" s="23" t="s">
        <v>147</v>
      </c>
      <c r="AJ424" s="96">
        <f ca="1">AJ410*1.01</f>
        <v>241110.18382100691</v>
      </c>
      <c r="AK424" s="109" t="s">
        <v>144</v>
      </c>
      <c r="AL424" s="23" t="s">
        <v>147</v>
      </c>
      <c r="AM424" s="96">
        <f ca="1">AM410*1.01</f>
        <v>294200.24482841609</v>
      </c>
      <c r="AN424" s="109" t="s">
        <v>144</v>
      </c>
      <c r="AO424" s="23" t="s">
        <v>147</v>
      </c>
      <c r="AP424" s="96">
        <f ca="1">AP410*1.01</f>
        <v>341557.35090804409</v>
      </c>
      <c r="AQ424" s="109" t="s">
        <v>144</v>
      </c>
      <c r="AR424" s="23" t="s">
        <v>147</v>
      </c>
      <c r="AS424" s="96">
        <f ca="1">AS410*1.01</f>
        <v>400502.85569148249</v>
      </c>
      <c r="AT424" s="109" t="s">
        <v>144</v>
      </c>
      <c r="AU424" s="23" t="s">
        <v>147</v>
      </c>
    </row>
    <row r="425" spans="15:47" x14ac:dyDescent="0.25">
      <c r="O425" s="1"/>
      <c r="P425" s="1"/>
      <c r="Q425" s="1"/>
      <c r="R425" s="98"/>
      <c r="S425" s="107"/>
      <c r="T425" s="1"/>
      <c r="U425" s="47"/>
      <c r="V425" s="107"/>
      <c r="W425" s="1"/>
      <c r="X425" s="47"/>
      <c r="Y425" s="107"/>
      <c r="Z425" s="1"/>
      <c r="AA425" s="47"/>
      <c r="AB425" s="107"/>
      <c r="AC425" s="1"/>
      <c r="AD425" s="47"/>
      <c r="AE425" s="107"/>
      <c r="AF425" s="1"/>
      <c r="AG425" s="47"/>
      <c r="AH425" s="107"/>
      <c r="AI425" s="1"/>
      <c r="AJ425" s="47"/>
      <c r="AK425" s="107"/>
      <c r="AL425" s="1"/>
      <c r="AM425" s="47"/>
      <c r="AN425" s="107"/>
      <c r="AO425" s="1"/>
      <c r="AP425" s="47"/>
      <c r="AQ425" s="107"/>
      <c r="AR425" s="1"/>
      <c r="AS425" s="47"/>
      <c r="AT425" s="107"/>
      <c r="AU425" s="1"/>
    </row>
    <row r="426" spans="15:47" x14ac:dyDescent="0.25">
      <c r="O426" s="8" t="s">
        <v>132</v>
      </c>
      <c r="P426" s="8"/>
      <c r="Q426" s="8"/>
      <c r="R426" s="96">
        <f>P_1_minQ-(R424^2*R_up)+dpup_minQ</f>
        <v>90.184984441412354</v>
      </c>
      <c r="S426" s="106"/>
      <c r="T426" s="22"/>
      <c r="U426" s="96">
        <f ca="1">P_1_minQ-(U424^2*R_up)+dpup_minQ</f>
        <v>90.141416446605021</v>
      </c>
      <c r="V426" s="107"/>
      <c r="W426" s="1"/>
      <c r="X426" s="96">
        <f ca="1">P_1_minQ-(X424^2*R_up)+dpup_minQ</f>
        <v>89.923479163330654</v>
      </c>
      <c r="Y426" s="107"/>
      <c r="Z426" s="1"/>
      <c r="AA426" s="96">
        <f ca="1">P_1_minQ-(AA424^2*R_up)+dpup_minQ</f>
        <v>89.192752653972974</v>
      </c>
      <c r="AB426" s="107"/>
      <c r="AC426" s="1"/>
      <c r="AD426" s="96">
        <f ca="1">P_1_minQ-(AD424^2*R_up)+dpup_minQ</f>
        <v>87.392107265859906</v>
      </c>
      <c r="AE426" s="107"/>
      <c r="AF426" s="1"/>
      <c r="AG426" s="96">
        <f ca="1">P_1_minQ-(AG424^2*R_up)+dpup_minQ</f>
        <v>84.235478921518478</v>
      </c>
      <c r="AH426" s="107"/>
      <c r="AI426" s="1"/>
      <c r="AJ426" s="96">
        <f ca="1">P_1_minQ-(AJ424^2*R_up)+dpup_minQ</f>
        <v>79.589462711908027</v>
      </c>
      <c r="AK426" s="107"/>
      <c r="AL426" s="1"/>
      <c r="AM426" s="96">
        <f ca="1">P_1_minQ-(AM424^2*R_up)+dpup_minQ</f>
        <v>74.409668980106119</v>
      </c>
      <c r="AN426" s="107"/>
      <c r="AO426" s="1"/>
      <c r="AP426" s="96">
        <f ca="1">P_1_minQ-(AP424^2*R_up)+dpup_minQ</f>
        <v>68.922223097413053</v>
      </c>
      <c r="AQ426" s="107"/>
      <c r="AR426" s="1"/>
      <c r="AS426" s="96">
        <f ca="1">P_1_minQ-(AS424^2*R_up)+dpup_minQ</f>
        <v>60.94992790166026</v>
      </c>
      <c r="AT426" s="107"/>
      <c r="AU426" s="1"/>
    </row>
    <row r="427" spans="15:47" x14ac:dyDescent="0.25">
      <c r="O427" s="8" t="s">
        <v>134</v>
      </c>
      <c r="P427" s="1"/>
      <c r="Q427" s="8"/>
      <c r="R427" s="97">
        <f>P_2_minQ+(R424^2*R_dn)-dpdn_minQ</f>
        <v>60</v>
      </c>
      <c r="S427" s="106"/>
      <c r="T427" s="22"/>
      <c r="U427" s="97">
        <f ca="1">P_2_minQ+(U424^2*R_dn)-dpdn_minQ</f>
        <v>60</v>
      </c>
      <c r="V427" s="107"/>
      <c r="W427" s="1"/>
      <c r="X427" s="97">
        <f ca="1">P_2_minQ+(X424^2*R_dn)-dpdn_minQ</f>
        <v>60</v>
      </c>
      <c r="Y427" s="107"/>
      <c r="Z427" s="1"/>
      <c r="AA427" s="97">
        <f ca="1">P_2_minQ+(AA424^2*R_dn)-dpdn_minQ</f>
        <v>60</v>
      </c>
      <c r="AB427" s="107"/>
      <c r="AC427" s="1"/>
      <c r="AD427" s="97">
        <f ca="1">P_2_minQ+(AD424^2*R_dn)-dpdn_minQ</f>
        <v>60</v>
      </c>
      <c r="AE427" s="107"/>
      <c r="AF427" s="1"/>
      <c r="AG427" s="97">
        <f ca="1">P_2_minQ+(AG424^2*R_dn)-dpdn_minQ</f>
        <v>60</v>
      </c>
      <c r="AH427" s="107"/>
      <c r="AI427" s="1"/>
      <c r="AJ427" s="97">
        <f ca="1">P_2_minQ+(AJ424^2*R_dn)-dpdn_minQ</f>
        <v>60</v>
      </c>
      <c r="AK427" s="107"/>
      <c r="AL427" s="1"/>
      <c r="AM427" s="97">
        <f ca="1">P_2_minQ+(AM424^2*R_dn)-dpdn_minQ</f>
        <v>60</v>
      </c>
      <c r="AN427" s="107"/>
      <c r="AO427" s="1"/>
      <c r="AP427" s="97">
        <f ca="1">P_2_minQ+(AP424^2*R_dn)-dpdn_minQ</f>
        <v>60</v>
      </c>
      <c r="AQ427" s="107"/>
      <c r="AR427" s="1"/>
      <c r="AS427" s="97">
        <f ca="1">P_2_minQ+(AS424^2*R_dn)-dpdn_minQ</f>
        <v>60</v>
      </c>
      <c r="AT427" s="107"/>
      <c r="AU427" s="1"/>
    </row>
    <row r="428" spans="15:47" x14ac:dyDescent="0.25">
      <c r="O428" s="8" t="s">
        <v>138</v>
      </c>
      <c r="P428" s="1"/>
      <c r="Q428" s="8"/>
      <c r="R428" s="97">
        <f>R426-R427</f>
        <v>30.184984441412354</v>
      </c>
      <c r="S428" s="106"/>
      <c r="T428" s="22"/>
      <c r="U428" s="97">
        <f ca="1">U426-U427</f>
        <v>30.141416446605021</v>
      </c>
      <c r="V428" s="110"/>
      <c r="W428" s="25"/>
      <c r="X428" s="97">
        <f ca="1">X426-X427</f>
        <v>29.923479163330654</v>
      </c>
      <c r="Y428" s="110"/>
      <c r="Z428" s="25"/>
      <c r="AA428" s="97">
        <f ca="1">AA426-AA427</f>
        <v>29.192752653972974</v>
      </c>
      <c r="AB428" s="110"/>
      <c r="AC428" s="25"/>
      <c r="AD428" s="97">
        <f ca="1">AD426-AD427</f>
        <v>27.392107265859906</v>
      </c>
      <c r="AE428" s="110"/>
      <c r="AF428" s="25"/>
      <c r="AG428" s="97">
        <f ca="1">AG426-AG427</f>
        <v>24.235478921518478</v>
      </c>
      <c r="AH428" s="110"/>
      <c r="AI428" s="25"/>
      <c r="AJ428" s="97">
        <f ca="1">AJ426-AJ427</f>
        <v>19.589462711908027</v>
      </c>
      <c r="AK428" s="110"/>
      <c r="AL428" s="25"/>
      <c r="AM428" s="97">
        <f ca="1">AM426-AM427</f>
        <v>14.409668980106119</v>
      </c>
      <c r="AN428" s="110"/>
      <c r="AO428" s="25"/>
      <c r="AP428" s="97">
        <f ca="1">AP426-AP427</f>
        <v>8.9222230974130525</v>
      </c>
      <c r="AQ428" s="110"/>
      <c r="AR428" s="25"/>
      <c r="AS428" s="97">
        <f ca="1">AS426-AS427</f>
        <v>0.94992790166025998</v>
      </c>
      <c r="AT428" s="110"/>
      <c r="AU428" s="25"/>
    </row>
    <row r="429" spans="15:47" ht="14.4" x14ac:dyDescent="0.3">
      <c r="O429" s="2" t="s">
        <v>140</v>
      </c>
      <c r="P429" s="11"/>
      <c r="Q429" s="2"/>
      <c r="R429" s="96">
        <f>R428/R426</f>
        <v>0.33470077783316227</v>
      </c>
      <c r="S429" s="106"/>
      <c r="T429" s="22"/>
      <c r="U429" s="96">
        <f ca="1">U428/U426</f>
        <v>0.33437921917345498</v>
      </c>
      <c r="V429" s="111"/>
      <c r="W429" s="28"/>
      <c r="X429" s="96">
        <f ca="1">X428/X426</f>
        <v>0.33276602998177773</v>
      </c>
      <c r="Y429" s="111"/>
      <c r="Z429" s="28"/>
      <c r="AA429" s="96">
        <f ca="1">AA428/AA426</f>
        <v>0.32729960434372379</v>
      </c>
      <c r="AB429" s="111"/>
      <c r="AC429" s="28"/>
      <c r="AD429" s="96">
        <f ca="1">AD428/AD426</f>
        <v>0.3134391436806645</v>
      </c>
      <c r="AE429" s="111"/>
      <c r="AF429" s="28"/>
      <c r="AG429" s="96">
        <f ca="1">AG428/AG426</f>
        <v>0.28771105989791401</v>
      </c>
      <c r="AH429" s="111"/>
      <c r="AI429" s="28"/>
      <c r="AJ429" s="96">
        <f ca="1">AJ428/AJ426</f>
        <v>0.24613136016279563</v>
      </c>
      <c r="AK429" s="111"/>
      <c r="AL429" s="28"/>
      <c r="AM429" s="96">
        <f ca="1">AM428/AM426</f>
        <v>0.19365317945385072</v>
      </c>
      <c r="AN429" s="111"/>
      <c r="AO429" s="28"/>
      <c r="AP429" s="96">
        <f ca="1">AP428/AP426</f>
        <v>0.12945350130106209</v>
      </c>
      <c r="AQ429" s="111"/>
      <c r="AR429" s="28"/>
      <c r="AS429" s="96">
        <f ca="1">AS428/AS426</f>
        <v>1.5585381875970753E-2</v>
      </c>
      <c r="AT429" s="111"/>
      <c r="AU429" s="28"/>
    </row>
    <row r="430" spans="15:47" x14ac:dyDescent="0.25">
      <c r="O430" s="2" t="s">
        <v>21</v>
      </c>
      <c r="P430" s="8">
        <v>12</v>
      </c>
      <c r="Q430" s="2"/>
      <c r="R430" s="96">
        <f ca="1">1-R429/(3*F_GAMMA*R$29)</f>
        <v>0.82568476685100367</v>
      </c>
      <c r="S430" s="106"/>
      <c r="T430" s="22"/>
      <c r="U430" s="96">
        <f ca="1">1-U429/(3*F_GAMMA*U$29)</f>
        <v>0.82589269469261217</v>
      </c>
      <c r="V430" s="111"/>
      <c r="W430" s="28"/>
      <c r="X430" s="96">
        <f ca="1">1-X429/(3*F_GAMMA*X$29)</f>
        <v>0.82508242521957154</v>
      </c>
      <c r="Y430" s="111"/>
      <c r="Z430" s="28"/>
      <c r="AA430" s="96">
        <f ca="1">1-AA429/(3*F_GAMMA*AA$29)</f>
        <v>0.8255306887089372</v>
      </c>
      <c r="AB430" s="111"/>
      <c r="AC430" s="28"/>
      <c r="AD430" s="96">
        <f ca="1">1-AD429/(3*F_GAMMA*AD$29)</f>
        <v>0.82773722566849073</v>
      </c>
      <c r="AE430" s="111"/>
      <c r="AF430" s="28"/>
      <c r="AG430" s="96">
        <f ca="1">1-AG429/(3*F_GAMMA*AG$29)</f>
        <v>0.83238875244182986</v>
      </c>
      <c r="AH430" s="111"/>
      <c r="AI430" s="28"/>
      <c r="AJ430" s="96">
        <f ca="1">1-AJ429/(3*F_GAMMA*AJ$29)</f>
        <v>0.84573387800351352</v>
      </c>
      <c r="AK430" s="111"/>
      <c r="AL430" s="28"/>
      <c r="AM430" s="96">
        <f ca="1">1-AM429/(3*F_GAMMA*AM$29)</f>
        <v>0.86429305740303974</v>
      </c>
      <c r="AN430" s="111"/>
      <c r="AO430" s="28"/>
      <c r="AP430" s="96">
        <f ca="1">1-AP429/(3*F_GAMMA*AP$29)</f>
        <v>0.92692950273502239</v>
      </c>
      <c r="AQ430" s="111"/>
      <c r="AR430" s="28"/>
      <c r="AS430" s="96">
        <f ca="1">1-AS429/(3*F_GAMMA*AS$29)</f>
        <v>0.98620847936778233</v>
      </c>
      <c r="AT430" s="111"/>
      <c r="AU430" s="28"/>
    </row>
    <row r="431" spans="15:47" x14ac:dyDescent="0.25">
      <c r="O431" s="2" t="s">
        <v>57</v>
      </c>
      <c r="P431" s="143">
        <v>7</v>
      </c>
      <c r="Q431" s="2"/>
      <c r="R431" s="96">
        <f ca="1">(R424/(N_9*R$27*R426*R430))*SQRT(M*'Valve Sizing'!$W$6*'Valve Sizing'!$G$8/R429)</f>
        <v>0.22402714242990801</v>
      </c>
      <c r="S431" s="107"/>
      <c r="T431" s="22"/>
      <c r="U431" s="96">
        <f ca="1">(U424/(N_9*U$27*U426*U430))*SQRT(M*'Valve Sizing'!$W$6*'Valve Sizing'!$G$8/U429)</f>
        <v>6.2563299660388312</v>
      </c>
      <c r="V431" s="111"/>
      <c r="W431" s="28"/>
      <c r="X431" s="96">
        <f ca="1">(X424/(N_9*X$27*X426*X430))*SQRT(M*'Valve Sizing'!$W$6*'Valve Sizing'!$G$8/X429)</f>
        <v>15.444348685796021</v>
      </c>
      <c r="Y431" s="111"/>
      <c r="Z431" s="28"/>
      <c r="AA431" s="96">
        <f ca="1">(AA424/(N_9*AA$27*AA426*AA430))*SQRT(M*'Valve Sizing'!$W$6*'Valve Sizing'!$G$8/AA429)</f>
        <v>30.745082388663555</v>
      </c>
      <c r="AB431" s="111"/>
      <c r="AC431" s="28"/>
      <c r="AD431" s="96">
        <f ca="1">(AD424/(N_9*AD$27*AD426*AD430))*SQRT(M*'Valve Sizing'!$W$6*'Valve Sizing'!$G$8/AD429)</f>
        <v>54.316055339773271</v>
      </c>
      <c r="AE431" s="111"/>
      <c r="AF431" s="28"/>
      <c r="AG431" s="96">
        <f ca="1">(AG424/(N_9*AG$27*AG426*AG430))*SQRT(M*'Valve Sizing'!$W$6*'Valve Sizing'!$G$8/AG429)</f>
        <v>87.286589130321858</v>
      </c>
      <c r="AH431" s="111"/>
      <c r="AI431" s="28"/>
      <c r="AJ431" s="96">
        <f ca="1">(AJ424/(N_9*AJ$27*AJ426*AJ430))*SQRT(M*'Valve Sizing'!$W$6*'Valve Sizing'!$G$8/AJ429)</f>
        <v>135.93057577685991</v>
      </c>
      <c r="AK431" s="111"/>
      <c r="AL431" s="28"/>
      <c r="AM431" s="96">
        <f ca="1">(AM424/(N_9*AM$27*AM426*AM430))*SQRT(M*'Valve Sizing'!$W$6*'Valve Sizing'!$G$8/AM429)</f>
        <v>207.65069459474444</v>
      </c>
      <c r="AN431" s="111"/>
      <c r="AO431" s="28"/>
      <c r="AP431" s="96">
        <f ca="1">(AP424/(N_9*AP$27*AP426*AP430))*SQRT(M*'Valve Sizing'!$W$6*'Valve Sizing'!$G$8/AP429)</f>
        <v>337.83939486771123</v>
      </c>
      <c r="AQ431" s="111"/>
      <c r="AR431" s="28"/>
      <c r="AS431" s="96">
        <f ca="1">(AS424/(N_9*AS$27*AS426*AS430))*SQRT(M*'Valve Sizing'!$W$6*'Valve Sizing'!$G$8/AS429)</f>
        <v>1625.2550400861553</v>
      </c>
      <c r="AT431" s="111"/>
      <c r="AU431" s="28"/>
    </row>
    <row r="432" spans="15:47" x14ac:dyDescent="0.25">
      <c r="O432" s="2" t="s">
        <v>59</v>
      </c>
      <c r="P432" s="143">
        <v>7</v>
      </c>
      <c r="Q432" s="2"/>
      <c r="R432" s="96">
        <f ca="1">(R424/(N_9*R$27*R426*0.667))*SQRT(M*'Valve Sizing'!$W$6*'Valve Sizing'!$G$8/R433)</f>
        <v>0.20054755685464698</v>
      </c>
      <c r="S432" s="107"/>
      <c r="T432" s="22"/>
      <c r="U432" s="96">
        <f ca="1">(U424/(N_9*U$27*U426*0.667))*SQRT(M*'Valve Sizing'!$W$6*'Valve Sizing'!$G$8/U433)</f>
        <v>5.5986918003609754</v>
      </c>
      <c r="V432" s="111"/>
      <c r="W432" s="28"/>
      <c r="X432" s="96">
        <f ca="1">(X424/(N_9*X$27*X426*0.667))*SQRT(M*'Valve Sizing'!$W$6*'Valve Sizing'!$G$8/X433)</f>
        <v>13.839437911860857</v>
      </c>
      <c r="Y432" s="111"/>
      <c r="Z432" s="28"/>
      <c r="AA432" s="96">
        <f ca="1">(AA424/(N_9*AA$27*AA426*0.667))*SQRT(M*'Valve Sizing'!$W$6*'Valve Sizing'!$G$8/AA433)</f>
        <v>27.529809143832416</v>
      </c>
      <c r="AB432" s="111"/>
      <c r="AC432" s="28"/>
      <c r="AD432" s="96">
        <f ca="1">(AD424/(N_9*AD$27*AD426*0.667))*SQRT(M*'Valve Sizing'!$W$6*'Valve Sizing'!$G$8/AD433)</f>
        <v>48.456408437605603</v>
      </c>
      <c r="AE432" s="111"/>
      <c r="AF432" s="28"/>
      <c r="AG432" s="96">
        <f ca="1">(AG424/(N_9*AG$27*AG426*0.667))*SQRT(M*'Valve Sizing'!$W$6*'Valve Sizing'!$G$8/AG433)</f>
        <v>77.243171855698066</v>
      </c>
      <c r="AH432" s="111"/>
      <c r="AI432" s="28"/>
      <c r="AJ432" s="96">
        <f ca="1">(AJ424/(N_9*AJ$27*AJ426*0.667))*SQRT(M*'Valve Sizing'!$W$6*'Valve Sizing'!$G$8/AJ433)</f>
        <v>117.25218882644744</v>
      </c>
      <c r="AK432" s="111"/>
      <c r="AL432" s="28"/>
      <c r="AM432" s="96">
        <f ca="1">(AM424/(N_9*AM$27*AM426*0.667))*SQRT(M*'Valve Sizing'!$W$6*'Valve Sizing'!$G$8/AM433)</f>
        <v>171.68416443946862</v>
      </c>
      <c r="AN432" s="111"/>
      <c r="AO432" s="28"/>
      <c r="AP432" s="96">
        <f ca="1">(AP424/(N_9*AP$27*AP426*0.667))*SQRT(M*'Valve Sizing'!$W$6*'Valve Sizing'!$G$8/AP433)</f>
        <v>219.81778161560649</v>
      </c>
      <c r="AQ432" s="111"/>
      <c r="AR432" s="28"/>
      <c r="AS432" s="96">
        <f ca="1">(AS424/(N_9*AS$27*AS426*0.667))*SQRT(M*'Valve Sizing'!$W$6*'Valve Sizing'!$G$8/AS433)</f>
        <v>488.79991750226014</v>
      </c>
      <c r="AT432" s="111"/>
      <c r="AU432" s="28"/>
    </row>
    <row r="433" spans="15:47" ht="15.6" x14ac:dyDescent="0.35">
      <c r="O433" s="2" t="s">
        <v>68</v>
      </c>
      <c r="P433" s="143">
        <v>10</v>
      </c>
      <c r="Q433" s="2"/>
      <c r="R433" s="96">
        <f ca="1">F_GAMMA*R$29</f>
        <v>0.64002969751372984</v>
      </c>
      <c r="S433" s="107"/>
      <c r="T433" s="1"/>
      <c r="U433" s="96">
        <f ca="1">F_GAMMA*U$29</f>
        <v>0.64017842058782071</v>
      </c>
      <c r="V433" s="111"/>
      <c r="W433" s="28"/>
      <c r="X433" s="96">
        <f ca="1">F_GAMMA*X$29</f>
        <v>0.63413873724904268</v>
      </c>
      <c r="Y433" s="111"/>
      <c r="Z433" s="28"/>
      <c r="AA433" s="96">
        <f ca="1">F_GAMMA*AA$29</f>
        <v>0.62532411750377137</v>
      </c>
      <c r="AB433" s="111"/>
      <c r="AC433" s="28"/>
      <c r="AD433" s="96">
        <f ca="1">F_GAMMA*AD$29</f>
        <v>0.60651359509139569</v>
      </c>
      <c r="AE433" s="111"/>
      <c r="AF433" s="28"/>
      <c r="AG433" s="96">
        <f ca="1">F_GAMMA*AG$29</f>
        <v>0.57217930198481592</v>
      </c>
      <c r="AH433" s="111"/>
      <c r="AI433" s="28"/>
      <c r="AJ433" s="96">
        <f ca="1">F_GAMMA*AJ$29</f>
        <v>0.53183282018848232</v>
      </c>
      <c r="AK433" s="111"/>
      <c r="AL433" s="28"/>
      <c r="AM433" s="96">
        <f ca="1">F_GAMMA*AM$29</f>
        <v>0.47566512503094399</v>
      </c>
      <c r="AN433" s="111"/>
      <c r="AO433" s="28"/>
      <c r="AP433" s="96">
        <f ca="1">F_GAMMA*AP$29</f>
        <v>0.59054158265645496</v>
      </c>
      <c r="AQ433" s="111"/>
      <c r="AR433" s="28"/>
      <c r="AS433" s="96">
        <f ca="1">F_GAMMA*AS$29</f>
        <v>0.3766899554102966</v>
      </c>
      <c r="AT433" s="111"/>
      <c r="AU433" s="28"/>
    </row>
    <row r="434" spans="15:47" x14ac:dyDescent="0.25">
      <c r="O434" s="2" t="s">
        <v>145</v>
      </c>
      <c r="P434" s="12"/>
      <c r="Q434" s="2"/>
      <c r="R434" s="96">
        <f ca="1">IF(R429&lt;R433,R431,R432)</f>
        <v>0.22402714242990801</v>
      </c>
      <c r="S434" s="116"/>
      <c r="T434" s="1"/>
      <c r="U434" s="96">
        <f ca="1">IF(U429&lt;U433,U431,U432)</f>
        <v>6.2563299660388312</v>
      </c>
      <c r="V434" s="111"/>
      <c r="W434" s="28"/>
      <c r="X434" s="96">
        <f ca="1">IF(X429&lt;X433,X431,X432)</f>
        <v>15.444348685796021</v>
      </c>
      <c r="Y434" s="111"/>
      <c r="Z434" s="28"/>
      <c r="AA434" s="96">
        <f ca="1">IF(AA429&lt;AA433,AA431,AA432)</f>
        <v>30.745082388663555</v>
      </c>
      <c r="AB434" s="111"/>
      <c r="AC434" s="28"/>
      <c r="AD434" s="96">
        <f ca="1">IF(AD429&lt;AD433,AD431,AD432)</f>
        <v>54.316055339773271</v>
      </c>
      <c r="AE434" s="111"/>
      <c r="AF434" s="28"/>
      <c r="AG434" s="96">
        <f ca="1">IF(AG429&lt;AG433,AG431,AG432)</f>
        <v>87.286589130321858</v>
      </c>
      <c r="AH434" s="111"/>
      <c r="AI434" s="28"/>
      <c r="AJ434" s="96">
        <f ca="1">IF(AJ429&lt;AJ433,AJ431,AJ432)</f>
        <v>135.93057577685991</v>
      </c>
      <c r="AK434" s="111"/>
      <c r="AL434" s="28"/>
      <c r="AM434" s="96">
        <f ca="1">IF(AM429&lt;AM433,AM431,AM432)</f>
        <v>207.65069459474444</v>
      </c>
      <c r="AN434" s="111"/>
      <c r="AO434" s="28"/>
      <c r="AP434" s="96">
        <f ca="1">IF(AP429&lt;AP433,AP431,AP432)</f>
        <v>337.83939486771123</v>
      </c>
      <c r="AQ434" s="111"/>
      <c r="AR434" s="28"/>
      <c r="AS434" s="96">
        <f ca="1">IF(AS429&lt;AS433,AS431,AS432)</f>
        <v>1625.2550400861553</v>
      </c>
      <c r="AT434" s="111"/>
      <c r="AU434" s="28"/>
    </row>
    <row r="435" spans="15:47" x14ac:dyDescent="0.25">
      <c r="O435" s="13" t="s">
        <v>143</v>
      </c>
      <c r="P435" s="1"/>
      <c r="Q435" s="1"/>
      <c r="R435" s="113"/>
      <c r="S435" s="106">
        <f ca="1">IF(R428&lt;=0,Q_max,ABS(R$23-R434))</f>
        <v>4.5059728575700921</v>
      </c>
      <c r="T435" s="7">
        <f>R424</f>
        <v>554.74254281319861</v>
      </c>
      <c r="U435" s="98"/>
      <c r="V435" s="106">
        <f ca="1">IF(U428&lt;=0,Q_max,ABS(U$23-U434))</f>
        <v>5.3436700339611685</v>
      </c>
      <c r="W435" s="9">
        <f ca="1">U424</f>
        <v>15470.928896621755</v>
      </c>
      <c r="X435" s="98"/>
      <c r="Y435" s="106">
        <f ca="1">IF(X428&lt;=0,Q_max,ABS(X$23-X434))</f>
        <v>7.5556513142039794</v>
      </c>
      <c r="Z435" s="9">
        <f ca="1">X424</f>
        <v>37882.62200343141</v>
      </c>
      <c r="AA435" s="98"/>
      <c r="AB435" s="106">
        <f ca="1">IF(AA428&lt;=0,Q_max,ABS(AA$23-AA434))</f>
        <v>8.6549176113364439</v>
      </c>
      <c r="AC435" s="9">
        <f ca="1">AA424</f>
        <v>73785.678297172504</v>
      </c>
      <c r="AD435" s="98"/>
      <c r="AE435" s="106">
        <f ca="1">IF(AD428&lt;=0,Q_max,ABS(AD$23-AD434))</f>
        <v>6.6839446602267287</v>
      </c>
      <c r="AF435" s="9">
        <f ca="1">AD424</f>
        <v>123789.41504179515</v>
      </c>
      <c r="AG435" s="98"/>
      <c r="AH435" s="106">
        <f ca="1">IF(AG428&lt;=0,Q_max,ABS(AG$23-AG434))</f>
        <v>0.91341086967814533</v>
      </c>
      <c r="AI435" s="9">
        <f ca="1">AG424</f>
        <v>180674.02279955801</v>
      </c>
      <c r="AJ435" s="98"/>
      <c r="AK435" s="106">
        <f ca="1">IF(AJ428&lt;=0,Q_max,ABS(AJ$23-AJ434))</f>
        <v>14.930575776859911</v>
      </c>
      <c r="AL435" s="9">
        <f ca="1">AJ424</f>
        <v>241110.18382100691</v>
      </c>
      <c r="AM435" s="98"/>
      <c r="AN435" s="106">
        <f ca="1">IF(AM428&lt;=0,Q_max,ABS(AM$23-AM434))</f>
        <v>42.650694594744436</v>
      </c>
      <c r="AO435" s="9">
        <f ca="1">AM424</f>
        <v>294200.24482841609</v>
      </c>
      <c r="AP435" s="98"/>
      <c r="AQ435" s="106">
        <f ca="1">IF(AP428&lt;=0,Q_max,ABS(AP$23-AP434))</f>
        <v>91.839394867711235</v>
      </c>
      <c r="AR435" s="9">
        <f ca="1">AP424</f>
        <v>341557.35090804409</v>
      </c>
      <c r="AS435" s="98"/>
      <c r="AT435" s="106">
        <f ca="1">IF(AS428&lt;=0,Q_max,ABS(AS$23-AS434))</f>
        <v>1205.2550400861553</v>
      </c>
      <c r="AU435" s="9">
        <f ca="1">AS424</f>
        <v>400502.85569148249</v>
      </c>
    </row>
    <row r="436" spans="15:47" x14ac:dyDescent="0.25">
      <c r="O436" s="21"/>
      <c r="P436" s="14"/>
      <c r="Q436" s="21"/>
      <c r="R436" s="97"/>
      <c r="S436" s="106"/>
      <c r="T436" s="28"/>
      <c r="U436" s="97"/>
      <c r="V436" s="111"/>
      <c r="W436" s="28"/>
      <c r="X436" s="97"/>
      <c r="Y436" s="111"/>
      <c r="Z436" s="28"/>
      <c r="AA436" s="97"/>
      <c r="AB436" s="111"/>
      <c r="AC436" s="28"/>
      <c r="AD436" s="97"/>
      <c r="AE436" s="111"/>
      <c r="AF436" s="28"/>
      <c r="AG436" s="97"/>
      <c r="AH436" s="111"/>
      <c r="AI436" s="28"/>
      <c r="AJ436" s="97"/>
      <c r="AK436" s="111"/>
      <c r="AL436" s="28"/>
      <c r="AM436" s="97"/>
      <c r="AN436" s="111"/>
      <c r="AO436" s="28"/>
      <c r="AP436" s="97"/>
      <c r="AQ436" s="111"/>
      <c r="AR436" s="28"/>
      <c r="AS436" s="97"/>
      <c r="AT436" s="111"/>
      <c r="AU436" s="28"/>
    </row>
    <row r="437" spans="15:47" x14ac:dyDescent="0.25">
      <c r="O437" s="1"/>
      <c r="P437" s="1"/>
      <c r="Q437" s="1"/>
      <c r="R437" s="98"/>
      <c r="S437" s="108" t="s">
        <v>137</v>
      </c>
      <c r="T437" s="26" t="s">
        <v>146</v>
      </c>
      <c r="U437" s="98"/>
      <c r="V437" s="108" t="s">
        <v>137</v>
      </c>
      <c r="W437" s="26" t="s">
        <v>146</v>
      </c>
      <c r="X437" s="98"/>
      <c r="Y437" s="108" t="s">
        <v>137</v>
      </c>
      <c r="Z437" s="26" t="s">
        <v>146</v>
      </c>
      <c r="AA437" s="98"/>
      <c r="AB437" s="108" t="s">
        <v>137</v>
      </c>
      <c r="AC437" s="26" t="s">
        <v>146</v>
      </c>
      <c r="AD437" s="98"/>
      <c r="AE437" s="108" t="s">
        <v>137</v>
      </c>
      <c r="AF437" s="26" t="s">
        <v>146</v>
      </c>
      <c r="AG437" s="98"/>
      <c r="AH437" s="108" t="s">
        <v>137</v>
      </c>
      <c r="AI437" s="26" t="s">
        <v>146</v>
      </c>
      <c r="AJ437" s="98"/>
      <c r="AK437" s="108" t="s">
        <v>137</v>
      </c>
      <c r="AL437" s="26" t="s">
        <v>146</v>
      </c>
      <c r="AM437" s="98"/>
      <c r="AN437" s="108" t="s">
        <v>137</v>
      </c>
      <c r="AO437" s="26" t="s">
        <v>146</v>
      </c>
      <c r="AP437" s="98"/>
      <c r="AQ437" s="108" t="s">
        <v>137</v>
      </c>
      <c r="AR437" s="26" t="s">
        <v>146</v>
      </c>
      <c r="AS437" s="98"/>
      <c r="AT437" s="108" t="s">
        <v>137</v>
      </c>
      <c r="AU437" s="26" t="s">
        <v>146</v>
      </c>
    </row>
    <row r="438" spans="15:47" ht="13.8" x14ac:dyDescent="0.25">
      <c r="O438" s="20" t="s">
        <v>136</v>
      </c>
      <c r="P438" s="1"/>
      <c r="Q438" s="1"/>
      <c r="R438" s="96">
        <f>R424*1.02</f>
        <v>565.83739366946259</v>
      </c>
      <c r="S438" s="109" t="s">
        <v>144</v>
      </c>
      <c r="T438" s="23" t="s">
        <v>147</v>
      </c>
      <c r="U438" s="96">
        <f ca="1">U424*1.01</f>
        <v>15625.638185587974</v>
      </c>
      <c r="V438" s="109" t="s">
        <v>144</v>
      </c>
      <c r="W438" s="23" t="s">
        <v>147</v>
      </c>
      <c r="X438" s="96">
        <f ca="1">X424*1.01</f>
        <v>38261.448223465726</v>
      </c>
      <c r="Y438" s="109" t="s">
        <v>144</v>
      </c>
      <c r="Z438" s="23" t="s">
        <v>147</v>
      </c>
      <c r="AA438" s="96">
        <f ca="1">AA424*1.01</f>
        <v>74523.535080144226</v>
      </c>
      <c r="AB438" s="109" t="s">
        <v>144</v>
      </c>
      <c r="AC438" s="23" t="s">
        <v>147</v>
      </c>
      <c r="AD438" s="96">
        <f ca="1">AD424*1.01</f>
        <v>125027.3091922131</v>
      </c>
      <c r="AE438" s="109" t="s">
        <v>144</v>
      </c>
      <c r="AF438" s="23" t="s">
        <v>147</v>
      </c>
      <c r="AG438" s="96">
        <f ca="1">AG424*1.01</f>
        <v>182480.76302755359</v>
      </c>
      <c r="AH438" s="109" t="s">
        <v>144</v>
      </c>
      <c r="AI438" s="23" t="s">
        <v>147</v>
      </c>
      <c r="AJ438" s="96">
        <f ca="1">AJ424*1.01</f>
        <v>243521.28565921698</v>
      </c>
      <c r="AK438" s="109" t="s">
        <v>144</v>
      </c>
      <c r="AL438" s="23" t="s">
        <v>147</v>
      </c>
      <c r="AM438" s="96">
        <f ca="1">AM424*1.01</f>
        <v>297142.24727670028</v>
      </c>
      <c r="AN438" s="109" t="s">
        <v>144</v>
      </c>
      <c r="AO438" s="23" t="s">
        <v>147</v>
      </c>
      <c r="AP438" s="96">
        <f ca="1">AP424*1.01</f>
        <v>344972.92441712454</v>
      </c>
      <c r="AQ438" s="109" t="s">
        <v>144</v>
      </c>
      <c r="AR438" s="23" t="s">
        <v>147</v>
      </c>
      <c r="AS438" s="96">
        <f ca="1">AS424*1.01</f>
        <v>404507.88424839731</v>
      </c>
      <c r="AT438" s="109" t="s">
        <v>144</v>
      </c>
      <c r="AU438" s="23" t="s">
        <v>147</v>
      </c>
    </row>
    <row r="439" spans="15:47" x14ac:dyDescent="0.25">
      <c r="O439" s="1"/>
      <c r="P439" s="1"/>
      <c r="Q439" s="1"/>
      <c r="R439" s="98"/>
      <c r="S439" s="107"/>
      <c r="T439" s="1"/>
      <c r="U439" s="47"/>
      <c r="V439" s="107"/>
      <c r="W439" s="1"/>
      <c r="X439" s="47"/>
      <c r="Y439" s="107"/>
      <c r="Z439" s="1"/>
      <c r="AA439" s="47"/>
      <c r="AB439" s="107"/>
      <c r="AC439" s="1"/>
      <c r="AD439" s="47"/>
      <c r="AE439" s="107"/>
      <c r="AF439" s="1"/>
      <c r="AG439" s="47"/>
      <c r="AH439" s="107"/>
      <c r="AI439" s="1"/>
      <c r="AJ439" s="47"/>
      <c r="AK439" s="107"/>
      <c r="AL439" s="1"/>
      <c r="AM439" s="47"/>
      <c r="AN439" s="107"/>
      <c r="AO439" s="1"/>
      <c r="AP439" s="47"/>
      <c r="AQ439" s="107"/>
      <c r="AR439" s="1"/>
      <c r="AS439" s="47"/>
      <c r="AT439" s="107"/>
      <c r="AU439" s="1"/>
    </row>
    <row r="440" spans="15:47" x14ac:dyDescent="0.25">
      <c r="O440" s="8" t="s">
        <v>132</v>
      </c>
      <c r="P440" s="8"/>
      <c r="Q440" s="8"/>
      <c r="R440" s="96">
        <f>P_1_minQ-(R438^2*R_up)+dpup_minQ</f>
        <v>90.184982175423087</v>
      </c>
      <c r="S440" s="106"/>
      <c r="T440" s="22"/>
      <c r="U440" s="96">
        <f ca="1">P_1_minQ-(U438^2*R_up)+dpup_minQ</f>
        <v>90.140539602523646</v>
      </c>
      <c r="V440" s="107"/>
      <c r="W440" s="1"/>
      <c r="X440" s="96">
        <f ca="1">P_1_minQ-(X438^2*R_up)+dpup_minQ</f>
        <v>89.918221779855457</v>
      </c>
      <c r="Y440" s="107"/>
      <c r="Z440" s="1"/>
      <c r="AA440" s="96">
        <f ca="1">P_1_minQ-(AA438^2*R_up)+dpup_minQ</f>
        <v>89.172807667659697</v>
      </c>
      <c r="AB440" s="107"/>
      <c r="AC440" s="1"/>
      <c r="AD440" s="96">
        <f ca="1">P_1_minQ-(AD438^2*R_up)+dpup_minQ</f>
        <v>87.335969307245563</v>
      </c>
      <c r="AE440" s="107"/>
      <c r="AF440" s="1"/>
      <c r="AG440" s="96">
        <f ca="1">P_1_minQ-(AG438^2*R_up)+dpup_minQ</f>
        <v>84.115892733182861</v>
      </c>
      <c r="AH440" s="107"/>
      <c r="AI440" s="1"/>
      <c r="AJ440" s="96">
        <f ca="1">P_1_minQ-(AJ438^2*R_up)+dpup_minQ</f>
        <v>79.376491597759241</v>
      </c>
      <c r="AK440" s="107"/>
      <c r="AL440" s="1"/>
      <c r="AM440" s="96">
        <f ca="1">P_1_minQ-(AM438^2*R_up)+dpup_minQ</f>
        <v>74.092584011948119</v>
      </c>
      <c r="AN440" s="107"/>
      <c r="AO440" s="1"/>
      <c r="AP440" s="96">
        <f ca="1">P_1_minQ-(AP438^2*R_up)+dpup_minQ</f>
        <v>68.494840467012921</v>
      </c>
      <c r="AQ440" s="107"/>
      <c r="AR440" s="1"/>
      <c r="AS440" s="96">
        <f ca="1">P_1_minQ-(AS438^2*R_up)+dpup_minQ</f>
        <v>60.362302137825495</v>
      </c>
      <c r="AT440" s="107"/>
      <c r="AU440" s="1"/>
    </row>
    <row r="441" spans="15:47" x14ac:dyDescent="0.25">
      <c r="O441" s="8" t="s">
        <v>134</v>
      </c>
      <c r="P441" s="1"/>
      <c r="Q441" s="8"/>
      <c r="R441" s="97">
        <f>P_2_minQ+(R438^2*R_dn)-dpdn_minQ</f>
        <v>60</v>
      </c>
      <c r="S441" s="106"/>
      <c r="T441" s="22"/>
      <c r="U441" s="97">
        <f ca="1">P_2_minQ+(U438^2*R_dn)-dpdn_minQ</f>
        <v>60</v>
      </c>
      <c r="V441" s="107"/>
      <c r="W441" s="1"/>
      <c r="X441" s="97">
        <f ca="1">P_2_minQ+(X438^2*R_dn)-dpdn_minQ</f>
        <v>60</v>
      </c>
      <c r="Y441" s="107"/>
      <c r="Z441" s="1"/>
      <c r="AA441" s="97">
        <f ca="1">P_2_minQ+(AA438^2*R_dn)-dpdn_minQ</f>
        <v>60</v>
      </c>
      <c r="AB441" s="107"/>
      <c r="AC441" s="1"/>
      <c r="AD441" s="97">
        <f ca="1">P_2_minQ+(AD438^2*R_dn)-dpdn_minQ</f>
        <v>60</v>
      </c>
      <c r="AE441" s="107"/>
      <c r="AF441" s="1"/>
      <c r="AG441" s="97">
        <f ca="1">P_2_minQ+(AG438^2*R_dn)-dpdn_minQ</f>
        <v>60</v>
      </c>
      <c r="AH441" s="107"/>
      <c r="AI441" s="1"/>
      <c r="AJ441" s="97">
        <f ca="1">P_2_minQ+(AJ438^2*R_dn)-dpdn_minQ</f>
        <v>60</v>
      </c>
      <c r="AK441" s="107"/>
      <c r="AL441" s="1"/>
      <c r="AM441" s="97">
        <f ca="1">P_2_minQ+(AM438^2*R_dn)-dpdn_minQ</f>
        <v>60</v>
      </c>
      <c r="AN441" s="107"/>
      <c r="AO441" s="1"/>
      <c r="AP441" s="97">
        <f ca="1">P_2_minQ+(AP438^2*R_dn)-dpdn_minQ</f>
        <v>60</v>
      </c>
      <c r="AQ441" s="107"/>
      <c r="AR441" s="1"/>
      <c r="AS441" s="97">
        <f ca="1">P_2_minQ+(AS438^2*R_dn)-dpdn_minQ</f>
        <v>60</v>
      </c>
      <c r="AT441" s="107"/>
      <c r="AU441" s="1"/>
    </row>
    <row r="442" spans="15:47" x14ac:dyDescent="0.25">
      <c r="O442" s="8" t="s">
        <v>138</v>
      </c>
      <c r="P442" s="1"/>
      <c r="Q442" s="8"/>
      <c r="R442" s="97">
        <f>R440-R441</f>
        <v>30.184982175423087</v>
      </c>
      <c r="S442" s="106"/>
      <c r="T442" s="22"/>
      <c r="U442" s="97">
        <f ca="1">U440-U441</f>
        <v>30.140539602523646</v>
      </c>
      <c r="V442" s="110"/>
      <c r="W442" s="25"/>
      <c r="X442" s="97">
        <f ca="1">X440-X441</f>
        <v>29.918221779855457</v>
      </c>
      <c r="Y442" s="110"/>
      <c r="Z442" s="25"/>
      <c r="AA442" s="97">
        <f ca="1">AA440-AA441</f>
        <v>29.172807667659697</v>
      </c>
      <c r="AB442" s="110"/>
      <c r="AC442" s="25"/>
      <c r="AD442" s="97">
        <f ca="1">AD440-AD441</f>
        <v>27.335969307245563</v>
      </c>
      <c r="AE442" s="110"/>
      <c r="AF442" s="25"/>
      <c r="AG442" s="97">
        <f ca="1">AG440-AG441</f>
        <v>24.115892733182861</v>
      </c>
      <c r="AH442" s="110"/>
      <c r="AI442" s="25"/>
      <c r="AJ442" s="97">
        <f ca="1">AJ440-AJ441</f>
        <v>19.376491597759241</v>
      </c>
      <c r="AK442" s="110"/>
      <c r="AL442" s="25"/>
      <c r="AM442" s="97">
        <f ca="1">AM440-AM441</f>
        <v>14.092584011948119</v>
      </c>
      <c r="AN442" s="110"/>
      <c r="AO442" s="25"/>
      <c r="AP442" s="97">
        <f ca="1">AP440-AP441</f>
        <v>8.4948404670129207</v>
      </c>
      <c r="AQ442" s="110"/>
      <c r="AR442" s="25"/>
      <c r="AS442" s="97">
        <f ca="1">AS440-AS441</f>
        <v>0.3623021378254947</v>
      </c>
      <c r="AT442" s="110"/>
      <c r="AU442" s="25"/>
    </row>
    <row r="443" spans="15:47" ht="14.4" x14ac:dyDescent="0.3">
      <c r="O443" s="2" t="s">
        <v>140</v>
      </c>
      <c r="P443" s="11"/>
      <c r="Q443" s="2"/>
      <c r="R443" s="96">
        <f>R442/R440</f>
        <v>0.33470076111684366</v>
      </c>
      <c r="S443" s="106"/>
      <c r="T443" s="22"/>
      <c r="U443" s="96">
        <f ca="1">U442/U440</f>
        <v>0.334372744332671</v>
      </c>
      <c r="V443" s="111"/>
      <c r="W443" s="28"/>
      <c r="X443" s="96">
        <f ca="1">X442/X440</f>
        <v>0.33272701781295783</v>
      </c>
      <c r="Y443" s="111"/>
      <c r="Z443" s="28"/>
      <c r="AA443" s="96">
        <f ca="1">AA442/AA440</f>
        <v>0.32714914367600201</v>
      </c>
      <c r="AB443" s="111"/>
      <c r="AC443" s="28"/>
      <c r="AD443" s="96">
        <f ca="1">AD442/AD440</f>
        <v>0.31299783495936673</v>
      </c>
      <c r="AE443" s="111"/>
      <c r="AF443" s="28"/>
      <c r="AG443" s="96">
        <f ca="1">AG442/AG440</f>
        <v>0.28669841036674137</v>
      </c>
      <c r="AH443" s="111"/>
      <c r="AI443" s="28"/>
      <c r="AJ443" s="96">
        <f ca="1">AJ442/AJ440</f>
        <v>0.24410869273423808</v>
      </c>
      <c r="AK443" s="111"/>
      <c r="AL443" s="28"/>
      <c r="AM443" s="96">
        <f ca="1">AM442/AM440</f>
        <v>0.190202355605192</v>
      </c>
      <c r="AN443" s="111"/>
      <c r="AO443" s="28"/>
      <c r="AP443" s="96">
        <f ca="1">AP442/AP440</f>
        <v>0.12402161110374484</v>
      </c>
      <c r="AQ443" s="111"/>
      <c r="AR443" s="28"/>
      <c r="AS443" s="96">
        <f ca="1">AS442/AS440</f>
        <v>6.0021259129290454E-3</v>
      </c>
      <c r="AT443" s="111"/>
      <c r="AU443" s="28"/>
    </row>
    <row r="444" spans="15:47" x14ac:dyDescent="0.25">
      <c r="O444" s="2" t="s">
        <v>21</v>
      </c>
      <c r="P444" s="8">
        <v>12</v>
      </c>
      <c r="Q444" s="2"/>
      <c r="R444" s="96">
        <f ca="1">1-R443/(3*F_GAMMA*R$29)</f>
        <v>0.82568477555701558</v>
      </c>
      <c r="S444" s="106"/>
      <c r="T444" s="22"/>
      <c r="U444" s="96">
        <f ca="1">1-U443/(3*F_GAMMA*U$29)</f>
        <v>0.82589606606564181</v>
      </c>
      <c r="V444" s="111"/>
      <c r="W444" s="28"/>
      <c r="X444" s="96">
        <f ca="1">1-X443/(3*F_GAMMA*X$29)</f>
        <v>0.82510293186190298</v>
      </c>
      <c r="Y444" s="111"/>
      <c r="Z444" s="28"/>
      <c r="AA444" s="96">
        <f ca="1">1-AA443/(3*F_GAMMA*AA$29)</f>
        <v>0.82561089280550637</v>
      </c>
      <c r="AB444" s="111"/>
      <c r="AC444" s="28"/>
      <c r="AD444" s="96">
        <f ca="1">1-AD443/(3*F_GAMMA*AD$29)</f>
        <v>0.82797976418418062</v>
      </c>
      <c r="AE444" s="111"/>
      <c r="AF444" s="28"/>
      <c r="AG444" s="96">
        <f ca="1">1-AG443/(3*F_GAMMA*AG$29)</f>
        <v>0.83297868962157973</v>
      </c>
      <c r="AH444" s="111"/>
      <c r="AI444" s="28"/>
      <c r="AJ444" s="96">
        <f ca="1">1-AJ443/(3*F_GAMMA*AJ$29)</f>
        <v>0.84700161186760059</v>
      </c>
      <c r="AK444" s="111"/>
      <c r="AL444" s="28"/>
      <c r="AM444" s="96">
        <f ca="1">1-AM443/(3*F_GAMMA*AM$29)</f>
        <v>0.86671130199506186</v>
      </c>
      <c r="AN444" s="111"/>
      <c r="AO444" s="28"/>
      <c r="AP444" s="96">
        <f ca="1">1-AP443/(3*F_GAMMA*AP$29)</f>
        <v>0.92999555281337187</v>
      </c>
      <c r="AQ444" s="111"/>
      <c r="AR444" s="28"/>
      <c r="AS444" s="96">
        <f ca="1">1-AS443/(3*F_GAMMA*AS$29)</f>
        <v>0.99468871253690905</v>
      </c>
      <c r="AT444" s="111"/>
      <c r="AU444" s="28"/>
    </row>
    <row r="445" spans="15:47" x14ac:dyDescent="0.25">
      <c r="O445" s="2" t="s">
        <v>57</v>
      </c>
      <c r="P445" s="143">
        <v>7</v>
      </c>
      <c r="Q445" s="2"/>
      <c r="R445" s="96">
        <f ca="1">(R438/(N_9*R$27*R440*R444))*SQRT(M*'Valve Sizing'!$W$6*'Valve Sizing'!$G$8/R443)</f>
        <v>0.22850769431691315</v>
      </c>
      <c r="S445" s="107"/>
      <c r="T445" s="22"/>
      <c r="U445" s="96">
        <f ca="1">(U438/(N_9*U$27*U440*U444))*SQRT(M*'Valve Sizing'!$W$6*'Valve Sizing'!$G$8/U443)</f>
        <v>6.3189901184172426</v>
      </c>
      <c r="V445" s="111"/>
      <c r="W445" s="28"/>
      <c r="X445" s="96">
        <f ca="1">(X438/(N_9*X$27*X440*X444))*SQRT(M*'Valve Sizing'!$W$6*'Valve Sizing'!$G$8/X443)</f>
        <v>15.600230985771912</v>
      </c>
      <c r="Y445" s="111"/>
      <c r="Z445" s="28"/>
      <c r="AA445" s="96">
        <f ca="1">(AA438/(N_9*AA$27*AA440*AA444))*SQRT(M*'Valve Sizing'!$W$6*'Valve Sizing'!$G$8/AA443)</f>
        <v>31.063602190977338</v>
      </c>
      <c r="AB445" s="111"/>
      <c r="AC445" s="28"/>
      <c r="AD445" s="96">
        <f ca="1">(AD438/(N_9*AD$27*AD440*AD444))*SQRT(M*'Valve Sizing'!$W$6*'Valve Sizing'!$G$8/AD443)</f>
        <v>54.917072302619523</v>
      </c>
      <c r="AE445" s="111"/>
      <c r="AF445" s="28"/>
      <c r="AG445" s="96">
        <f ca="1">(AG438/(N_9*AG$27*AG440*AG444))*SQRT(M*'Valve Sizing'!$W$6*'Valve Sizing'!$G$8/AG443)</f>
        <v>88.377932202667154</v>
      </c>
      <c r="AH445" s="111"/>
      <c r="AI445" s="28"/>
      <c r="AJ445" s="96">
        <f ca="1">(AJ438/(N_9*AJ$27*AJ440*AJ444))*SQRT(M*'Valve Sizing'!$W$6*'Valve Sizing'!$G$8/AJ443)</f>
        <v>138.02048464198231</v>
      </c>
      <c r="AK445" s="111"/>
      <c r="AL445" s="28"/>
      <c r="AM445" s="96">
        <f ca="1">(AM438/(N_9*AM$27*AM440*AM444))*SQRT(M*'Valve Sizing'!$W$6*'Valve Sizing'!$G$8/AM443)</f>
        <v>211.93385023541524</v>
      </c>
      <c r="AN445" s="111"/>
      <c r="AO445" s="28"/>
      <c r="AP445" s="96">
        <f ca="1">(AP438/(N_9*AP$27*AP440*AP444))*SQRT(M*'Valve Sizing'!$W$6*'Valve Sizing'!$G$8/AP443)</f>
        <v>349.62874621037997</v>
      </c>
      <c r="AQ445" s="111"/>
      <c r="AR445" s="28"/>
      <c r="AS445" s="96">
        <f ca="1">(AS438/(N_9*AS$27*AS440*AS444))*SQRT(M*'Valve Sizing'!$W$6*'Valve Sizing'!$G$8/AS443)</f>
        <v>2648.1221397101795</v>
      </c>
      <c r="AT445" s="111"/>
      <c r="AU445" s="28"/>
    </row>
    <row r="446" spans="15:47" x14ac:dyDescent="0.25">
      <c r="O446" s="2" t="s">
        <v>59</v>
      </c>
      <c r="P446" s="143">
        <v>7</v>
      </c>
      <c r="Q446" s="2"/>
      <c r="R446" s="96">
        <f ca="1">(R438/(N_9*R$27*R440*0.667))*SQRT(M*'Valve Sizing'!$W$6*'Valve Sizing'!$G$8/R447)</f>
        <v>0.20455851313148021</v>
      </c>
      <c r="S446" s="107"/>
      <c r="T446" s="22"/>
      <c r="U446" s="96">
        <f ca="1">(U438/(N_9*U$27*U440*0.667))*SQRT(M*'Valve Sizing'!$W$6*'Valve Sizing'!$G$8/U447)</f>
        <v>5.6547337243761771</v>
      </c>
      <c r="V446" s="111"/>
      <c r="W446" s="28"/>
      <c r="X446" s="96">
        <f ca="1">(X438/(N_9*X$27*X440*0.667))*SQRT(M*'Valve Sizing'!$W$6*'Valve Sizing'!$G$8/X447)</f>
        <v>13.978649553855121</v>
      </c>
      <c r="Y446" s="111"/>
      <c r="Z446" s="28"/>
      <c r="AA446" s="96">
        <f ca="1">(AA438/(N_9*AA$27*AA440*0.667))*SQRT(M*'Valve Sizing'!$W$6*'Valve Sizing'!$G$8/AA447)</f>
        <v>27.811326311441512</v>
      </c>
      <c r="AB446" s="111"/>
      <c r="AC446" s="28"/>
      <c r="AD446" s="96">
        <f ca="1">(AD438/(N_9*AD$27*AD440*0.667))*SQRT(M*'Valve Sizing'!$W$6*'Valve Sizing'!$G$8/AD447)</f>
        <v>48.972430881140866</v>
      </c>
      <c r="AE446" s="111"/>
      <c r="AF446" s="28"/>
      <c r="AG446" s="96">
        <f ca="1">(AG438/(N_9*AG$27*AG440*0.667))*SQRT(M*'Valve Sizing'!$W$6*'Valve Sizing'!$G$8/AG447)</f>
        <v>78.126517081310624</v>
      </c>
      <c r="AH446" s="111"/>
      <c r="AI446" s="28"/>
      <c r="AJ446" s="96">
        <f ca="1">(AJ438/(N_9*AJ$27*AJ440*0.667))*SQRT(M*'Valve Sizing'!$W$6*'Valve Sizing'!$G$8/AJ447)</f>
        <v>118.74245016219804</v>
      </c>
      <c r="AK446" s="111"/>
      <c r="AL446" s="28"/>
      <c r="AM446" s="96">
        <f ca="1">(AM438/(N_9*AM$27*AM440*0.667))*SQRT(M*'Valve Sizing'!$W$6*'Valve Sizing'!$G$8/AM447)</f>
        <v>174.14308915770781</v>
      </c>
      <c r="AN446" s="111"/>
      <c r="AO446" s="28"/>
      <c r="AP446" s="96">
        <f ca="1">(AP438/(N_9*AP$27*AP440*0.667))*SQRT(M*'Valve Sizing'!$W$6*'Valve Sizing'!$G$8/AP447)</f>
        <v>223.40125742042568</v>
      </c>
      <c r="AQ446" s="111"/>
      <c r="AR446" s="28"/>
      <c r="AS446" s="96">
        <f ca="1">(AS438/(N_9*AS$27*AS440*0.667))*SQRT(M*'Valve Sizing'!$W$6*'Valve Sizing'!$G$8/AS447)</f>
        <v>498.49395834333927</v>
      </c>
      <c r="AT446" s="111"/>
      <c r="AU446" s="28"/>
    </row>
    <row r="447" spans="15:47" ht="15.6" x14ac:dyDescent="0.35">
      <c r="O447" s="2" t="s">
        <v>68</v>
      </c>
      <c r="P447" s="143">
        <v>10</v>
      </c>
      <c r="Q447" s="2"/>
      <c r="R447" s="96">
        <f ca="1">F_GAMMA*R$29</f>
        <v>0.64002969751372984</v>
      </c>
      <c r="S447" s="107"/>
      <c r="T447" s="1"/>
      <c r="U447" s="96">
        <f ca="1">F_GAMMA*U$29</f>
        <v>0.64017842058782071</v>
      </c>
      <c r="V447" s="111"/>
      <c r="W447" s="28"/>
      <c r="X447" s="96">
        <f ca="1">F_GAMMA*X$29</f>
        <v>0.63413873724904268</v>
      </c>
      <c r="Y447" s="111"/>
      <c r="Z447" s="28"/>
      <c r="AA447" s="96">
        <f ca="1">F_GAMMA*AA$29</f>
        <v>0.62532411750377137</v>
      </c>
      <c r="AB447" s="111"/>
      <c r="AC447" s="28"/>
      <c r="AD447" s="96">
        <f ca="1">F_GAMMA*AD$29</f>
        <v>0.60651359509139569</v>
      </c>
      <c r="AE447" s="111"/>
      <c r="AF447" s="28"/>
      <c r="AG447" s="96">
        <f ca="1">F_GAMMA*AG$29</f>
        <v>0.57217930198481592</v>
      </c>
      <c r="AH447" s="111"/>
      <c r="AI447" s="28"/>
      <c r="AJ447" s="96">
        <f ca="1">F_GAMMA*AJ$29</f>
        <v>0.53183282018848232</v>
      </c>
      <c r="AK447" s="111"/>
      <c r="AL447" s="28"/>
      <c r="AM447" s="96">
        <f ca="1">F_GAMMA*AM$29</f>
        <v>0.47566512503094399</v>
      </c>
      <c r="AN447" s="111"/>
      <c r="AO447" s="28"/>
      <c r="AP447" s="96">
        <f ca="1">F_GAMMA*AP$29</f>
        <v>0.59054158265645496</v>
      </c>
      <c r="AQ447" s="111"/>
      <c r="AR447" s="28"/>
      <c r="AS447" s="96">
        <f ca="1">F_GAMMA*AS$29</f>
        <v>0.3766899554102966</v>
      </c>
      <c r="AT447" s="111"/>
      <c r="AU447" s="28"/>
    </row>
    <row r="448" spans="15:47" x14ac:dyDescent="0.25">
      <c r="O448" s="2" t="s">
        <v>145</v>
      </c>
      <c r="P448" s="12"/>
      <c r="Q448" s="2"/>
      <c r="R448" s="96">
        <f ca="1">IF(R443&lt;R447,R445,R446)</f>
        <v>0.22850769431691315</v>
      </c>
      <c r="S448" s="116"/>
      <c r="T448" s="1"/>
      <c r="U448" s="96">
        <f ca="1">IF(U443&lt;U447,U445,U446)</f>
        <v>6.3189901184172426</v>
      </c>
      <c r="V448" s="111"/>
      <c r="W448" s="28"/>
      <c r="X448" s="96">
        <f ca="1">IF(X443&lt;X447,X445,X446)</f>
        <v>15.600230985771912</v>
      </c>
      <c r="Y448" s="111"/>
      <c r="Z448" s="28"/>
      <c r="AA448" s="96">
        <f ca="1">IF(AA443&lt;AA447,AA445,AA446)</f>
        <v>31.063602190977338</v>
      </c>
      <c r="AB448" s="111"/>
      <c r="AC448" s="28"/>
      <c r="AD448" s="96">
        <f ca="1">IF(AD443&lt;AD447,AD445,AD446)</f>
        <v>54.917072302619523</v>
      </c>
      <c r="AE448" s="111"/>
      <c r="AF448" s="28"/>
      <c r="AG448" s="96">
        <f ca="1">IF(AG443&lt;AG447,AG445,AG446)</f>
        <v>88.377932202667154</v>
      </c>
      <c r="AH448" s="111"/>
      <c r="AI448" s="28"/>
      <c r="AJ448" s="96">
        <f ca="1">IF(AJ443&lt;AJ447,AJ445,AJ446)</f>
        <v>138.02048464198231</v>
      </c>
      <c r="AK448" s="111"/>
      <c r="AL448" s="28"/>
      <c r="AM448" s="96">
        <f ca="1">IF(AM443&lt;AM447,AM445,AM446)</f>
        <v>211.93385023541524</v>
      </c>
      <c r="AN448" s="111"/>
      <c r="AO448" s="28"/>
      <c r="AP448" s="96">
        <f ca="1">IF(AP443&lt;AP447,AP445,AP446)</f>
        <v>349.62874621037997</v>
      </c>
      <c r="AQ448" s="111"/>
      <c r="AR448" s="28"/>
      <c r="AS448" s="96">
        <f ca="1">IF(AS443&lt;AS447,AS445,AS446)</f>
        <v>2648.1221397101795</v>
      </c>
      <c r="AT448" s="111"/>
      <c r="AU448" s="28"/>
    </row>
    <row r="449" spans="15:47" x14ac:dyDescent="0.25">
      <c r="O449" s="13" t="s">
        <v>143</v>
      </c>
      <c r="P449" s="1"/>
      <c r="Q449" s="1"/>
      <c r="R449" s="113"/>
      <c r="S449" s="106">
        <f ca="1">IF(R442&lt;=0,Q_max,ABS(R$23-R448))</f>
        <v>4.5014923056830876</v>
      </c>
      <c r="T449" s="7">
        <f>R438</f>
        <v>565.83739366946259</v>
      </c>
      <c r="U449" s="98"/>
      <c r="V449" s="106">
        <f ca="1">IF(U442&lt;=0,Q_max,ABS(U$23-U448))</f>
        <v>5.2810098815827571</v>
      </c>
      <c r="W449" s="9">
        <f ca="1">U438</f>
        <v>15625.638185587974</v>
      </c>
      <c r="X449" s="98"/>
      <c r="Y449" s="106">
        <f ca="1">IF(X442&lt;=0,Q_max,ABS(X$23-X448))</f>
        <v>7.3997690142280881</v>
      </c>
      <c r="Z449" s="9">
        <f ca="1">X438</f>
        <v>38261.448223465726</v>
      </c>
      <c r="AA449" s="98"/>
      <c r="AB449" s="106">
        <f ca="1">IF(AA442&lt;=0,Q_max,ABS(AA$23-AA448))</f>
        <v>8.3363978090226603</v>
      </c>
      <c r="AC449" s="9">
        <f ca="1">AA438</f>
        <v>74523.535080144226</v>
      </c>
      <c r="AD449" s="98"/>
      <c r="AE449" s="106">
        <f ca="1">IF(AD442&lt;=0,Q_max,ABS(AD$23-AD448))</f>
        <v>6.0829276973804767</v>
      </c>
      <c r="AF449" s="9">
        <f ca="1">AD438</f>
        <v>125027.3091922131</v>
      </c>
      <c r="AG449" s="98"/>
      <c r="AH449" s="106">
        <f ca="1">IF(AG442&lt;=0,Q_max,ABS(AG$23-AG448))</f>
        <v>0.17793220266715082</v>
      </c>
      <c r="AI449" s="9">
        <f ca="1">AG438</f>
        <v>182480.76302755359</v>
      </c>
      <c r="AJ449" s="98"/>
      <c r="AK449" s="106">
        <f ca="1">IF(AJ442&lt;=0,Q_max,ABS(AJ$23-AJ448))</f>
        <v>17.020484641982307</v>
      </c>
      <c r="AL449" s="9">
        <f ca="1">AJ438</f>
        <v>243521.28565921698</v>
      </c>
      <c r="AM449" s="98"/>
      <c r="AN449" s="106">
        <f ca="1">IF(AM442&lt;=0,Q_max,ABS(AM$23-AM448))</f>
        <v>46.933850235415235</v>
      </c>
      <c r="AO449" s="9">
        <f ca="1">AM438</f>
        <v>297142.24727670028</v>
      </c>
      <c r="AP449" s="98"/>
      <c r="AQ449" s="106">
        <f ca="1">IF(AP442&lt;=0,Q_max,ABS(AP$23-AP448))</f>
        <v>103.62874621037997</v>
      </c>
      <c r="AR449" s="9">
        <f ca="1">AP438</f>
        <v>344972.92441712454</v>
      </c>
      <c r="AS449" s="98"/>
      <c r="AT449" s="106">
        <f ca="1">IF(AS442&lt;=0,Q_max,ABS(AS$23-AS448))</f>
        <v>2228.1221397101795</v>
      </c>
      <c r="AU449" s="9">
        <f ca="1">AS438</f>
        <v>404507.88424839731</v>
      </c>
    </row>
    <row r="450" spans="15:47" x14ac:dyDescent="0.25">
      <c r="O450" s="21"/>
      <c r="P450" s="14"/>
      <c r="Q450" s="21"/>
      <c r="R450" s="97"/>
      <c r="S450" s="106"/>
      <c r="T450" s="28"/>
      <c r="U450" s="97"/>
      <c r="V450" s="111"/>
      <c r="W450" s="28"/>
      <c r="X450" s="97"/>
      <c r="Y450" s="111"/>
      <c r="Z450" s="28"/>
      <c r="AA450" s="97"/>
      <c r="AB450" s="111"/>
      <c r="AC450" s="28"/>
      <c r="AD450" s="97"/>
      <c r="AE450" s="111"/>
      <c r="AF450" s="28"/>
      <c r="AG450" s="97"/>
      <c r="AH450" s="111"/>
      <c r="AI450" s="28"/>
      <c r="AJ450" s="97"/>
      <c r="AK450" s="111"/>
      <c r="AL450" s="28"/>
      <c r="AM450" s="97"/>
      <c r="AN450" s="111"/>
      <c r="AO450" s="28"/>
      <c r="AP450" s="97"/>
      <c r="AQ450" s="111"/>
      <c r="AR450" s="28"/>
      <c r="AS450" s="97"/>
      <c r="AT450" s="111"/>
      <c r="AU450" s="28"/>
    </row>
    <row r="451" spans="15:47" x14ac:dyDescent="0.25">
      <c r="O451" s="1"/>
      <c r="P451" s="1"/>
      <c r="Q451" s="1"/>
      <c r="R451" s="98"/>
      <c r="S451" s="108" t="s">
        <v>137</v>
      </c>
      <c r="T451" s="26" t="s">
        <v>146</v>
      </c>
      <c r="U451" s="98"/>
      <c r="V451" s="108" t="s">
        <v>137</v>
      </c>
      <c r="W451" s="26" t="s">
        <v>146</v>
      </c>
      <c r="X451" s="98"/>
      <c r="Y451" s="108" t="s">
        <v>137</v>
      </c>
      <c r="Z451" s="26" t="s">
        <v>146</v>
      </c>
      <c r="AA451" s="98"/>
      <c r="AB451" s="108" t="s">
        <v>137</v>
      </c>
      <c r="AC451" s="26" t="s">
        <v>146</v>
      </c>
      <c r="AD451" s="98"/>
      <c r="AE451" s="108" t="s">
        <v>137</v>
      </c>
      <c r="AF451" s="26" t="s">
        <v>146</v>
      </c>
      <c r="AG451" s="98"/>
      <c r="AH451" s="108" t="s">
        <v>137</v>
      </c>
      <c r="AI451" s="26" t="s">
        <v>146</v>
      </c>
      <c r="AJ451" s="98"/>
      <c r="AK451" s="108" t="s">
        <v>137</v>
      </c>
      <c r="AL451" s="26" t="s">
        <v>146</v>
      </c>
      <c r="AM451" s="98"/>
      <c r="AN451" s="108" t="s">
        <v>137</v>
      </c>
      <c r="AO451" s="26" t="s">
        <v>146</v>
      </c>
      <c r="AP451" s="98"/>
      <c r="AQ451" s="108" t="s">
        <v>137</v>
      </c>
      <c r="AR451" s="26" t="s">
        <v>146</v>
      </c>
      <c r="AS451" s="98"/>
      <c r="AT451" s="108" t="s">
        <v>137</v>
      </c>
      <c r="AU451" s="26" t="s">
        <v>146</v>
      </c>
    </row>
    <row r="452" spans="15:47" ht="13.8" x14ac:dyDescent="0.25">
      <c r="O452" s="20" t="s">
        <v>136</v>
      </c>
      <c r="P452" s="1"/>
      <c r="Q452" s="1"/>
      <c r="R452" s="96">
        <f>R438*1.02</f>
        <v>577.1541415428519</v>
      </c>
      <c r="S452" s="109" t="s">
        <v>144</v>
      </c>
      <c r="T452" s="23" t="s">
        <v>147</v>
      </c>
      <c r="U452" s="96">
        <f ca="1">U438*1.01</f>
        <v>15781.894567443853</v>
      </c>
      <c r="V452" s="109" t="s">
        <v>144</v>
      </c>
      <c r="W452" s="23" t="s">
        <v>147</v>
      </c>
      <c r="X452" s="96">
        <f ca="1">X438*1.01</f>
        <v>38644.06270570038</v>
      </c>
      <c r="Y452" s="109" t="s">
        <v>144</v>
      </c>
      <c r="Z452" s="23" t="s">
        <v>147</v>
      </c>
      <c r="AA452" s="96">
        <f ca="1">AA438*1.01</f>
        <v>75268.770430945675</v>
      </c>
      <c r="AB452" s="109" t="s">
        <v>144</v>
      </c>
      <c r="AC452" s="23" t="s">
        <v>147</v>
      </c>
      <c r="AD452" s="96">
        <f ca="1">AD438*1.01</f>
        <v>126277.58228413523</v>
      </c>
      <c r="AE452" s="109" t="s">
        <v>144</v>
      </c>
      <c r="AF452" s="23" t="s">
        <v>147</v>
      </c>
      <c r="AG452" s="96">
        <f ca="1">AG438*1.01</f>
        <v>184305.57065782914</v>
      </c>
      <c r="AH452" s="109" t="s">
        <v>144</v>
      </c>
      <c r="AI452" s="23" t="s">
        <v>147</v>
      </c>
      <c r="AJ452" s="96">
        <f ca="1">AJ438*1.01</f>
        <v>245956.49851580916</v>
      </c>
      <c r="AK452" s="109" t="s">
        <v>144</v>
      </c>
      <c r="AL452" s="23" t="s">
        <v>147</v>
      </c>
      <c r="AM452" s="96">
        <f ca="1">AM438*1.01</f>
        <v>300113.66974946728</v>
      </c>
      <c r="AN452" s="109" t="s">
        <v>144</v>
      </c>
      <c r="AO452" s="23" t="s">
        <v>147</v>
      </c>
      <c r="AP452" s="96">
        <f ca="1">AP438*1.01</f>
        <v>348422.65366129577</v>
      </c>
      <c r="AQ452" s="109" t="s">
        <v>144</v>
      </c>
      <c r="AR452" s="23" t="s">
        <v>147</v>
      </c>
      <c r="AS452" s="96">
        <f ca="1">AS438*1.01</f>
        <v>408552.9630908813</v>
      </c>
      <c r="AT452" s="109" t="s">
        <v>144</v>
      </c>
      <c r="AU452" s="23" t="s">
        <v>147</v>
      </c>
    </row>
    <row r="453" spans="15:47" x14ac:dyDescent="0.25">
      <c r="O453" s="1"/>
      <c r="P453" s="1"/>
      <c r="Q453" s="1"/>
      <c r="R453" s="98"/>
      <c r="S453" s="107"/>
      <c r="T453" s="1"/>
      <c r="U453" s="47"/>
      <c r="V453" s="107"/>
      <c r="W453" s="1"/>
      <c r="X453" s="47"/>
      <c r="Y453" s="107"/>
      <c r="Z453" s="1"/>
      <c r="AA453" s="47"/>
      <c r="AB453" s="107"/>
      <c r="AC453" s="1"/>
      <c r="AD453" s="47"/>
      <c r="AE453" s="107"/>
      <c r="AF453" s="1"/>
      <c r="AG453" s="47"/>
      <c r="AH453" s="107"/>
      <c r="AI453" s="1"/>
      <c r="AJ453" s="47"/>
      <c r="AK453" s="107"/>
      <c r="AL453" s="1"/>
      <c r="AM453" s="47"/>
      <c r="AN453" s="107"/>
      <c r="AO453" s="1"/>
      <c r="AP453" s="47"/>
      <c r="AQ453" s="107"/>
      <c r="AR453" s="1"/>
      <c r="AS453" s="47"/>
      <c r="AT453" s="107"/>
      <c r="AU453" s="1"/>
    </row>
    <row r="454" spans="15:47" x14ac:dyDescent="0.25">
      <c r="O454" s="8" t="s">
        <v>132</v>
      </c>
      <c r="P454" s="8"/>
      <c r="Q454" s="8"/>
      <c r="R454" s="96">
        <f>P_1_minQ-(R452^2*R_up)+dpup_minQ</f>
        <v>90.184979817887864</v>
      </c>
      <c r="S454" s="106"/>
      <c r="T454" s="22"/>
      <c r="U454" s="96">
        <f ca="1">P_1_minQ-(U452^2*R_up)+dpup_minQ</f>
        <v>90.139645133876243</v>
      </c>
      <c r="V454" s="107"/>
      <c r="W454" s="1"/>
      <c r="X454" s="96">
        <f ca="1">P_1_minQ-(X452^2*R_up)+dpup_minQ</f>
        <v>89.912858722972416</v>
      </c>
      <c r="Y454" s="107"/>
      <c r="Z454" s="1"/>
      <c r="AA454" s="96">
        <f ca="1">P_1_minQ-(AA452^2*R_up)+dpup_minQ</f>
        <v>89.15246178712151</v>
      </c>
      <c r="AB454" s="107"/>
      <c r="AC454" s="1"/>
      <c r="AD454" s="96">
        <f ca="1">P_1_minQ-(AD452^2*R_up)+dpup_minQ</f>
        <v>87.278702975663052</v>
      </c>
      <c r="AE454" s="107"/>
      <c r="AF454" s="1"/>
      <c r="AG454" s="96">
        <f ca="1">P_1_minQ-(AG452^2*R_up)+dpup_minQ</f>
        <v>83.993902862461695</v>
      </c>
      <c r="AH454" s="107"/>
      <c r="AI454" s="1"/>
      <c r="AJ454" s="96">
        <f ca="1">P_1_minQ-(AJ452^2*R_up)+dpup_minQ</f>
        <v>79.159239764216068</v>
      </c>
      <c r="AK454" s="107"/>
      <c r="AL454" s="1"/>
      <c r="AM454" s="96">
        <f ca="1">P_1_minQ-(AM452^2*R_up)+dpup_minQ</f>
        <v>73.769125635930138</v>
      </c>
      <c r="AN454" s="107"/>
      <c r="AO454" s="1"/>
      <c r="AP454" s="96">
        <f ca="1">P_1_minQ-(AP452^2*R_up)+dpup_minQ</f>
        <v>68.058867445741754</v>
      </c>
      <c r="AQ454" s="107"/>
      <c r="AR454" s="1"/>
      <c r="AS454" s="96">
        <f ca="1">P_1_minQ-(AS452^2*R_up)+dpup_minQ</f>
        <v>59.762865096137645</v>
      </c>
      <c r="AT454" s="107"/>
      <c r="AU454" s="1"/>
    </row>
    <row r="455" spans="15:47" x14ac:dyDescent="0.25">
      <c r="O455" s="8" t="s">
        <v>134</v>
      </c>
      <c r="P455" s="1"/>
      <c r="Q455" s="8"/>
      <c r="R455" s="97">
        <f>P_2_minQ+(R452^2*R_dn)-dpdn_minQ</f>
        <v>60</v>
      </c>
      <c r="S455" s="106"/>
      <c r="T455" s="22"/>
      <c r="U455" s="97">
        <f ca="1">P_2_minQ+(U452^2*R_dn)-dpdn_minQ</f>
        <v>60</v>
      </c>
      <c r="V455" s="107"/>
      <c r="W455" s="1"/>
      <c r="X455" s="97">
        <f ca="1">P_2_minQ+(X452^2*R_dn)-dpdn_minQ</f>
        <v>60</v>
      </c>
      <c r="Y455" s="107"/>
      <c r="Z455" s="1"/>
      <c r="AA455" s="97">
        <f ca="1">P_2_minQ+(AA452^2*R_dn)-dpdn_minQ</f>
        <v>60</v>
      </c>
      <c r="AB455" s="107"/>
      <c r="AC455" s="1"/>
      <c r="AD455" s="97">
        <f ca="1">P_2_minQ+(AD452^2*R_dn)-dpdn_minQ</f>
        <v>60</v>
      </c>
      <c r="AE455" s="107"/>
      <c r="AF455" s="1"/>
      <c r="AG455" s="97">
        <f ca="1">P_2_minQ+(AG452^2*R_dn)-dpdn_minQ</f>
        <v>60</v>
      </c>
      <c r="AH455" s="107"/>
      <c r="AI455" s="1"/>
      <c r="AJ455" s="97">
        <f ca="1">P_2_minQ+(AJ452^2*R_dn)-dpdn_minQ</f>
        <v>60</v>
      </c>
      <c r="AK455" s="107"/>
      <c r="AL455" s="1"/>
      <c r="AM455" s="97">
        <f ca="1">P_2_minQ+(AM452^2*R_dn)-dpdn_minQ</f>
        <v>60</v>
      </c>
      <c r="AN455" s="107"/>
      <c r="AO455" s="1"/>
      <c r="AP455" s="97">
        <f ca="1">P_2_minQ+(AP452^2*R_dn)-dpdn_minQ</f>
        <v>60</v>
      </c>
      <c r="AQ455" s="107"/>
      <c r="AR455" s="1"/>
      <c r="AS455" s="97">
        <f ca="1">P_2_minQ+(AS452^2*R_dn)-dpdn_minQ</f>
        <v>60</v>
      </c>
      <c r="AT455" s="107"/>
      <c r="AU455" s="1"/>
    </row>
    <row r="456" spans="15:47" x14ac:dyDescent="0.25">
      <c r="O456" s="8" t="s">
        <v>138</v>
      </c>
      <c r="P456" s="1"/>
      <c r="Q456" s="8"/>
      <c r="R456" s="97">
        <f>R454-R455</f>
        <v>30.184979817887864</v>
      </c>
      <c r="S456" s="106"/>
      <c r="T456" s="22"/>
      <c r="U456" s="97">
        <f ca="1">U454-U455</f>
        <v>30.139645133876243</v>
      </c>
      <c r="V456" s="110"/>
      <c r="W456" s="25"/>
      <c r="X456" s="97">
        <f ca="1">X454-X455</f>
        <v>29.912858722972416</v>
      </c>
      <c r="Y456" s="110"/>
      <c r="Z456" s="25"/>
      <c r="AA456" s="97">
        <f ca="1">AA454-AA455</f>
        <v>29.15246178712151</v>
      </c>
      <c r="AB456" s="110"/>
      <c r="AC456" s="25"/>
      <c r="AD456" s="97">
        <f ca="1">AD454-AD455</f>
        <v>27.278702975663052</v>
      </c>
      <c r="AE456" s="110"/>
      <c r="AF456" s="25"/>
      <c r="AG456" s="97">
        <f ca="1">AG454-AG455</f>
        <v>23.993902862461695</v>
      </c>
      <c r="AH456" s="110"/>
      <c r="AI456" s="25"/>
      <c r="AJ456" s="97">
        <f ca="1">AJ454-AJ455</f>
        <v>19.159239764216068</v>
      </c>
      <c r="AK456" s="110"/>
      <c r="AL456" s="25"/>
      <c r="AM456" s="97">
        <f ca="1">AM454-AM455</f>
        <v>13.769125635930138</v>
      </c>
      <c r="AN456" s="110"/>
      <c r="AO456" s="25"/>
      <c r="AP456" s="97">
        <f ca="1">AP454-AP455</f>
        <v>8.058867445741754</v>
      </c>
      <c r="AQ456" s="110"/>
      <c r="AR456" s="25"/>
      <c r="AS456" s="97">
        <f ca="1">AS454-AS455</f>
        <v>-0.23713490386235492</v>
      </c>
      <c r="AT456" s="110"/>
      <c r="AU456" s="25"/>
    </row>
    <row r="457" spans="15:47" ht="14.4" x14ac:dyDescent="0.3">
      <c r="O457" s="2" t="s">
        <v>140</v>
      </c>
      <c r="P457" s="11"/>
      <c r="Q457" s="2"/>
      <c r="R457" s="96">
        <f>R456/R454</f>
        <v>0.33470074372518499</v>
      </c>
      <c r="S457" s="106"/>
      <c r="T457" s="22"/>
      <c r="U457" s="96">
        <f ca="1">U456/U454</f>
        <v>0.33436613921779434</v>
      </c>
      <c r="V457" s="111"/>
      <c r="W457" s="28"/>
      <c r="X457" s="96">
        <f ca="1">X456/X454</f>
        <v>0.33268721679883356</v>
      </c>
      <c r="Y457" s="111"/>
      <c r="Z457" s="28"/>
      <c r="AA457" s="96">
        <f ca="1">AA456/AA454</f>
        <v>0.32699558938408047</v>
      </c>
      <c r="AB457" s="111"/>
      <c r="AC457" s="28"/>
      <c r="AD457" s="96">
        <f ca="1">AD456/AD454</f>
        <v>0.31254707099931922</v>
      </c>
      <c r="AE457" s="111"/>
      <c r="AF457" s="28"/>
      <c r="AG457" s="96">
        <f ca="1">AG456/AG454</f>
        <v>0.28566243554310389</v>
      </c>
      <c r="AH457" s="111"/>
      <c r="AI457" s="28"/>
      <c r="AJ457" s="96">
        <f ca="1">AJ456/AJ454</f>
        <v>0.2420341557256466</v>
      </c>
      <c r="AK457" s="111"/>
      <c r="AL457" s="28"/>
      <c r="AM457" s="96">
        <f ca="1">AM456/AM454</f>
        <v>0.18665160413970963</v>
      </c>
      <c r="AN457" s="111"/>
      <c r="AO457" s="28"/>
      <c r="AP457" s="96">
        <f ca="1">AP456/AP454</f>
        <v>0.11841024907101909</v>
      </c>
      <c r="AQ457" s="111"/>
      <c r="AR457" s="28"/>
      <c r="AS457" s="96">
        <f ca="1">AS456/AS454</f>
        <v>-3.9679306452407763E-3</v>
      </c>
      <c r="AT457" s="111"/>
      <c r="AU457" s="28"/>
    </row>
    <row r="458" spans="15:47" x14ac:dyDescent="0.25">
      <c r="O458" s="2" t="s">
        <v>21</v>
      </c>
      <c r="P458" s="8">
        <v>12</v>
      </c>
      <c r="Q458" s="2"/>
      <c r="R458" s="96">
        <f ca="1">1-R457/(3*F_GAMMA*R$29)</f>
        <v>0.82568478461475081</v>
      </c>
      <c r="S458" s="106"/>
      <c r="T458" s="22"/>
      <c r="U458" s="96">
        <f ca="1">1-U457/(3*F_GAMMA*U$29)</f>
        <v>0.8258995052708511</v>
      </c>
      <c r="V458" s="111"/>
      <c r="W458" s="28"/>
      <c r="X458" s="96">
        <f ca="1">1-X457/(3*F_GAMMA*X$29)</f>
        <v>0.82512385315866155</v>
      </c>
      <c r="Y458" s="111"/>
      <c r="Z458" s="28"/>
      <c r="AA458" s="96">
        <f ca="1">1-AA457/(3*F_GAMMA*AA$29)</f>
        <v>0.82569274597979003</v>
      </c>
      <c r="AB458" s="111"/>
      <c r="AC458" s="28"/>
      <c r="AD458" s="96">
        <f ca="1">1-AD457/(3*F_GAMMA*AD$29)</f>
        <v>0.82822749919715521</v>
      </c>
      <c r="AE458" s="111"/>
      <c r="AF458" s="28"/>
      <c r="AG458" s="96">
        <f ca="1">1-AG457/(3*F_GAMMA*AG$29)</f>
        <v>0.83358221536956578</v>
      </c>
      <c r="AH458" s="111"/>
      <c r="AI458" s="28"/>
      <c r="AJ458" s="96">
        <f ca="1">1-AJ457/(3*F_GAMMA*AJ$29)</f>
        <v>0.84830185568473104</v>
      </c>
      <c r="AK458" s="111"/>
      <c r="AL458" s="28"/>
      <c r="AM458" s="96">
        <f ca="1">1-AM457/(3*F_GAMMA*AM$29)</f>
        <v>0.86919957317481344</v>
      </c>
      <c r="AN458" s="111"/>
      <c r="AO458" s="28"/>
      <c r="AP458" s="96">
        <f ca="1">1-AP457/(3*F_GAMMA*AP$29)</f>
        <v>0.93316290641867539</v>
      </c>
      <c r="AQ458" s="111"/>
      <c r="AR458" s="28"/>
      <c r="AS458" s="96">
        <f ca="1">1-AS457/(3*F_GAMMA*AS$29)</f>
        <v>1.0035112259549712</v>
      </c>
      <c r="AT458" s="111"/>
      <c r="AU458" s="28"/>
    </row>
    <row r="459" spans="15:47" x14ac:dyDescent="0.25">
      <c r="O459" s="2" t="s">
        <v>57</v>
      </c>
      <c r="P459" s="143">
        <v>7</v>
      </c>
      <c r="Q459" s="2"/>
      <c r="R459" s="96">
        <f ca="1">(R452/(N_9*R$27*R454*R458))*SQRT(M*'Valve Sizing'!$W$6*'Valve Sizing'!$G$8/R457)</f>
        <v>0.23307785779488219</v>
      </c>
      <c r="S459" s="107"/>
      <c r="T459" s="22"/>
      <c r="U459" s="96">
        <f ca="1">(U452/(N_9*U$27*U454*U458))*SQRT(M*'Valve Sizing'!$W$6*'Valve Sizing'!$G$8/U457)</f>
        <v>6.382279811279715</v>
      </c>
      <c r="V459" s="111"/>
      <c r="W459" s="28"/>
      <c r="X459" s="96">
        <f ca="1">(X452/(N_9*X$27*X454*X458))*SQRT(M*'Valve Sizing'!$W$6*'Valve Sizing'!$G$8/X457)</f>
        <v>15.757716085605386</v>
      </c>
      <c r="Y459" s="111"/>
      <c r="Z459" s="28"/>
      <c r="AA459" s="96">
        <f ca="1">(AA452/(N_9*AA$27*AA454*AA458))*SQRT(M*'Valve Sizing'!$W$6*'Valve Sizing'!$G$8/AA457)</f>
        <v>31.38565396500174</v>
      </c>
      <c r="AB459" s="111"/>
      <c r="AC459" s="28"/>
      <c r="AD459" s="96">
        <f ca="1">(AD452/(N_9*AD$27*AD454*AD458))*SQRT(M*'Valve Sizing'!$W$6*'Valve Sizing'!$G$8/AD457)</f>
        <v>55.526031861520359</v>
      </c>
      <c r="AE459" s="111"/>
      <c r="AF459" s="28"/>
      <c r="AG459" s="96">
        <f ca="1">(AG452/(N_9*AG$27*AG454*AG458))*SQRT(M*'Valve Sizing'!$W$6*'Valve Sizing'!$G$8/AG457)</f>
        <v>89.48845958501451</v>
      </c>
      <c r="AH459" s="111"/>
      <c r="AI459" s="28"/>
      <c r="AJ459" s="96">
        <f ca="1">(AJ452/(N_9*AJ$27*AJ454*AJ458))*SQRT(M*'Valve Sizing'!$W$6*'Valve Sizing'!$G$8/AJ457)</f>
        <v>140.16588386941075</v>
      </c>
      <c r="AK459" s="111"/>
      <c r="AL459" s="28"/>
      <c r="AM459" s="96">
        <f ca="1">(AM452/(N_9*AM$27*AM454*AM458))*SQRT(M*'Valve Sizing'!$W$6*'Valve Sizing'!$G$8/AM457)</f>
        <v>216.40577438638923</v>
      </c>
      <c r="AN459" s="111"/>
      <c r="AO459" s="28"/>
      <c r="AP459" s="96">
        <f ca="1">(AP452/(N_9*AP$27*AP454*AP458))*SQRT(M*'Valve Sizing'!$W$6*'Valve Sizing'!$G$8/AP457)</f>
        <v>362.47586006205165</v>
      </c>
      <c r="AQ459" s="111"/>
      <c r="AR459" s="28"/>
      <c r="AS459" s="96" t="e">
        <f ca="1">(AS452/(N_9*AS$27*AS454*AS458))*SQRT(M*'Valve Sizing'!$W$6*'Valve Sizing'!$G$8/AS457)</f>
        <v>#NUM!</v>
      </c>
      <c r="AT459" s="111"/>
      <c r="AU459" s="28"/>
    </row>
    <row r="460" spans="15:47" x14ac:dyDescent="0.25">
      <c r="O460" s="2" t="s">
        <v>59</v>
      </c>
      <c r="P460" s="143">
        <v>7</v>
      </c>
      <c r="Q460" s="2"/>
      <c r="R460" s="96">
        <f ca="1">(R452/(N_9*R$27*R454*0.667))*SQRT(M*'Valve Sizing'!$W$6*'Valve Sizing'!$G$8/R461)</f>
        <v>0.20864968884844351</v>
      </c>
      <c r="S460" s="107"/>
      <c r="T460" s="22"/>
      <c r="U460" s="96">
        <f ca="1">(U452/(N_9*U$27*U454*0.667))*SQRT(M*'Valve Sizing'!$W$6*'Valve Sizing'!$G$8/U461)</f>
        <v>5.7113377354823491</v>
      </c>
      <c r="V460" s="111"/>
      <c r="W460" s="28"/>
      <c r="X460" s="96">
        <f ca="1">(X452/(N_9*X$27*X454*0.667))*SQRT(M*'Valve Sizing'!$W$6*'Valve Sizing'!$G$8/X461)</f>
        <v>14.119278175611299</v>
      </c>
      <c r="Y460" s="111"/>
      <c r="Z460" s="28"/>
      <c r="AA460" s="96">
        <f ca="1">(AA452/(N_9*AA$27*AA454*0.667))*SQRT(M*'Valve Sizing'!$W$6*'Valve Sizing'!$G$8/AA461)</f>
        <v>28.095849990718442</v>
      </c>
      <c r="AB460" s="111"/>
      <c r="AC460" s="28"/>
      <c r="AD460" s="96">
        <f ca="1">(AD452/(N_9*AD$27*AD454*0.667))*SQRT(M*'Valve Sizing'!$W$6*'Valve Sizing'!$G$8/AD461)</f>
        <v>49.49460888235744</v>
      </c>
      <c r="AE460" s="111"/>
      <c r="AF460" s="28"/>
      <c r="AG460" s="96">
        <f ca="1">(AG452/(N_9*AG$27*AG454*0.667))*SQRT(M*'Valve Sizing'!$W$6*'Valve Sizing'!$G$8/AG461)</f>
        <v>79.022385215288722</v>
      </c>
      <c r="AH460" s="111"/>
      <c r="AI460" s="28"/>
      <c r="AJ460" s="96">
        <f ca="1">(AJ452/(N_9*AJ$27*AJ454*0.667))*SQRT(M*'Valve Sizing'!$W$6*'Valve Sizing'!$G$8/AJ461)</f>
        <v>120.2590211443184</v>
      </c>
      <c r="AK460" s="111"/>
      <c r="AL460" s="28"/>
      <c r="AM460" s="96">
        <f ca="1">(AM452/(N_9*AM$27*AM454*0.667))*SQRT(M*'Valve Sizing'!$W$6*'Valve Sizing'!$G$8/AM461)</f>
        <v>176.65572779685422</v>
      </c>
      <c r="AN460" s="111"/>
      <c r="AO460" s="28"/>
      <c r="AP460" s="96">
        <f ca="1">(AP452/(N_9*AP$27*AP454*0.667))*SQRT(M*'Valve Sizing'!$W$6*'Valve Sizing'!$G$8/AP461)</f>
        <v>227.0806494735541</v>
      </c>
      <c r="AQ460" s="111"/>
      <c r="AR460" s="28"/>
      <c r="AS460" s="96">
        <f ca="1">(AS452/(N_9*AS$27*AS454*0.667))*SQRT(M*'Valve Sizing'!$W$6*'Valve Sizing'!$G$8/AS461)</f>
        <v>508.52892189466621</v>
      </c>
      <c r="AT460" s="111"/>
      <c r="AU460" s="28"/>
    </row>
    <row r="461" spans="15:47" ht="15.6" x14ac:dyDescent="0.35">
      <c r="O461" s="2" t="s">
        <v>68</v>
      </c>
      <c r="P461" s="143">
        <v>10</v>
      </c>
      <c r="Q461" s="2"/>
      <c r="R461" s="96">
        <f ca="1">F_GAMMA*R$29</f>
        <v>0.64002969751372984</v>
      </c>
      <c r="S461" s="107"/>
      <c r="T461" s="1"/>
      <c r="U461" s="96">
        <f ca="1">F_GAMMA*U$29</f>
        <v>0.64017842058782071</v>
      </c>
      <c r="V461" s="111"/>
      <c r="W461" s="28"/>
      <c r="X461" s="96">
        <f ca="1">F_GAMMA*X$29</f>
        <v>0.63413873724904268</v>
      </c>
      <c r="Y461" s="111"/>
      <c r="Z461" s="28"/>
      <c r="AA461" s="96">
        <f ca="1">F_GAMMA*AA$29</f>
        <v>0.62532411750377137</v>
      </c>
      <c r="AB461" s="111"/>
      <c r="AC461" s="28"/>
      <c r="AD461" s="96">
        <f ca="1">F_GAMMA*AD$29</f>
        <v>0.60651359509139569</v>
      </c>
      <c r="AE461" s="111"/>
      <c r="AF461" s="28"/>
      <c r="AG461" s="96">
        <f ca="1">F_GAMMA*AG$29</f>
        <v>0.57217930198481592</v>
      </c>
      <c r="AH461" s="111"/>
      <c r="AI461" s="28"/>
      <c r="AJ461" s="96">
        <f ca="1">F_GAMMA*AJ$29</f>
        <v>0.53183282018848232</v>
      </c>
      <c r="AK461" s="111"/>
      <c r="AL461" s="28"/>
      <c r="AM461" s="96">
        <f ca="1">F_GAMMA*AM$29</f>
        <v>0.47566512503094399</v>
      </c>
      <c r="AN461" s="111"/>
      <c r="AO461" s="28"/>
      <c r="AP461" s="96">
        <f ca="1">F_GAMMA*AP$29</f>
        <v>0.59054158265645496</v>
      </c>
      <c r="AQ461" s="111"/>
      <c r="AR461" s="28"/>
      <c r="AS461" s="96">
        <f ca="1">F_GAMMA*AS$29</f>
        <v>0.3766899554102966</v>
      </c>
      <c r="AT461" s="111"/>
      <c r="AU461" s="28"/>
    </row>
    <row r="462" spans="15:47" x14ac:dyDescent="0.25">
      <c r="O462" s="2" t="s">
        <v>145</v>
      </c>
      <c r="P462" s="12"/>
      <c r="Q462" s="2"/>
      <c r="R462" s="96">
        <f ca="1">IF(R457&lt;R461,R459,R460)</f>
        <v>0.23307785779488219</v>
      </c>
      <c r="S462" s="116"/>
      <c r="T462" s="1"/>
      <c r="U462" s="96">
        <f ca="1">IF(U457&lt;U461,U459,U460)</f>
        <v>6.382279811279715</v>
      </c>
      <c r="V462" s="111"/>
      <c r="W462" s="28"/>
      <c r="X462" s="96">
        <f ca="1">IF(X457&lt;X461,X459,X460)</f>
        <v>15.757716085605386</v>
      </c>
      <c r="Y462" s="111"/>
      <c r="Z462" s="28"/>
      <c r="AA462" s="96">
        <f ca="1">IF(AA457&lt;AA461,AA459,AA460)</f>
        <v>31.38565396500174</v>
      </c>
      <c r="AB462" s="111"/>
      <c r="AC462" s="28"/>
      <c r="AD462" s="96">
        <f ca="1">IF(AD457&lt;AD461,AD459,AD460)</f>
        <v>55.526031861520359</v>
      </c>
      <c r="AE462" s="111"/>
      <c r="AF462" s="28"/>
      <c r="AG462" s="96">
        <f ca="1">IF(AG457&lt;AG461,AG459,AG460)</f>
        <v>89.48845958501451</v>
      </c>
      <c r="AH462" s="111"/>
      <c r="AI462" s="28"/>
      <c r="AJ462" s="96">
        <f ca="1">IF(AJ457&lt;AJ461,AJ459,AJ460)</f>
        <v>140.16588386941075</v>
      </c>
      <c r="AK462" s="111"/>
      <c r="AL462" s="28"/>
      <c r="AM462" s="96">
        <f ca="1">IF(AM457&lt;AM461,AM459,AM460)</f>
        <v>216.40577438638923</v>
      </c>
      <c r="AN462" s="111"/>
      <c r="AO462" s="28"/>
      <c r="AP462" s="96">
        <f ca="1">IF(AP457&lt;AP461,AP459,AP460)</f>
        <v>362.47586006205165</v>
      </c>
      <c r="AQ462" s="111"/>
      <c r="AR462" s="28"/>
      <c r="AS462" s="96" t="e">
        <f ca="1">IF(AS457&lt;AS461,AS459,AS460)</f>
        <v>#NUM!</v>
      </c>
      <c r="AT462" s="111"/>
      <c r="AU462" s="28"/>
    </row>
    <row r="463" spans="15:47" x14ac:dyDescent="0.25">
      <c r="O463" s="13" t="s">
        <v>143</v>
      </c>
      <c r="P463" s="1"/>
      <c r="Q463" s="1"/>
      <c r="R463" s="113"/>
      <c r="S463" s="106">
        <f ca="1">IF(R456&lt;=0,Q_max,ABS(R$23-R462))</f>
        <v>4.4969221422051184</v>
      </c>
      <c r="T463" s="7">
        <f>R452</f>
        <v>577.1541415428519</v>
      </c>
      <c r="U463" s="98"/>
      <c r="V463" s="106">
        <f ca="1">IF(U456&lt;=0,Q_max,ABS(U$23-U462))</f>
        <v>5.2177201887202846</v>
      </c>
      <c r="W463" s="9">
        <f ca="1">U452</f>
        <v>15781.894567443853</v>
      </c>
      <c r="X463" s="98"/>
      <c r="Y463" s="106">
        <f ca="1">IF(X456&lt;=0,Q_max,ABS(X$23-X462))</f>
        <v>7.2422839143946138</v>
      </c>
      <c r="Z463" s="9">
        <f ca="1">X452</f>
        <v>38644.06270570038</v>
      </c>
      <c r="AA463" s="98"/>
      <c r="AB463" s="106">
        <f ca="1">IF(AA456&lt;=0,Q_max,ABS(AA$23-AA462))</f>
        <v>8.0143460349982583</v>
      </c>
      <c r="AC463" s="9">
        <f ca="1">AA452</f>
        <v>75268.770430945675</v>
      </c>
      <c r="AD463" s="98"/>
      <c r="AE463" s="106">
        <f ca="1">IF(AD456&lt;=0,Q_max,ABS(AD$23-AD462))</f>
        <v>5.4739681384796413</v>
      </c>
      <c r="AF463" s="9">
        <f ca="1">AD452</f>
        <v>126277.58228413523</v>
      </c>
      <c r="AG463" s="98"/>
      <c r="AH463" s="106">
        <f ca="1">IF(AG456&lt;=0,Q_max,ABS(AG$23-AG462))</f>
        <v>1.2884595850145075</v>
      </c>
      <c r="AI463" s="9">
        <f ca="1">AG452</f>
        <v>184305.57065782914</v>
      </c>
      <c r="AJ463" s="98"/>
      <c r="AK463" s="106">
        <f ca="1">IF(AJ456&lt;=0,Q_max,ABS(AJ$23-AJ462))</f>
        <v>19.165883869410749</v>
      </c>
      <c r="AL463" s="9">
        <f ca="1">AJ452</f>
        <v>245956.49851580916</v>
      </c>
      <c r="AM463" s="98"/>
      <c r="AN463" s="106">
        <f ca="1">IF(AM456&lt;=0,Q_max,ABS(AM$23-AM462))</f>
        <v>51.405774386389226</v>
      </c>
      <c r="AO463" s="9">
        <f ca="1">AM452</f>
        <v>300113.66974946728</v>
      </c>
      <c r="AP463" s="98"/>
      <c r="AQ463" s="106">
        <f ca="1">IF(AP456&lt;=0,Q_max,ABS(AP$23-AP462))</f>
        <v>116.47586006205165</v>
      </c>
      <c r="AR463" s="9">
        <f ca="1">AP452</f>
        <v>348422.65366129577</v>
      </c>
      <c r="AS463" s="98"/>
      <c r="AT463" s="106">
        <f ca="1">IF(AS456&lt;=0,Q_max,ABS(AS$23-AS462))</f>
        <v>236393</v>
      </c>
      <c r="AU463" s="9">
        <f ca="1">AS452</f>
        <v>408552.9630908813</v>
      </c>
    </row>
    <row r="464" spans="15:47" x14ac:dyDescent="0.25">
      <c r="O464" s="21"/>
      <c r="P464" s="14"/>
      <c r="Q464" s="21"/>
      <c r="R464" s="97"/>
      <c r="S464" s="106"/>
      <c r="T464" s="28"/>
      <c r="U464" s="97"/>
      <c r="V464" s="111"/>
      <c r="W464" s="28"/>
      <c r="X464" s="97"/>
      <c r="Y464" s="111"/>
      <c r="Z464" s="28"/>
      <c r="AA464" s="97"/>
      <c r="AB464" s="111"/>
      <c r="AC464" s="28"/>
      <c r="AD464" s="97"/>
      <c r="AE464" s="111"/>
      <c r="AF464" s="28"/>
      <c r="AG464" s="97"/>
      <c r="AH464" s="111"/>
      <c r="AI464" s="28"/>
      <c r="AJ464" s="97"/>
      <c r="AK464" s="111"/>
      <c r="AL464" s="28"/>
      <c r="AM464" s="97"/>
      <c r="AN464" s="111"/>
      <c r="AO464" s="28"/>
      <c r="AP464" s="97"/>
      <c r="AQ464" s="111"/>
      <c r="AR464" s="28"/>
      <c r="AS464" s="97"/>
      <c r="AT464" s="111"/>
      <c r="AU464" s="28"/>
    </row>
    <row r="465" spans="15:47" x14ac:dyDescent="0.25">
      <c r="O465" s="1"/>
      <c r="P465" s="1"/>
      <c r="Q465" s="1"/>
      <c r="R465" s="98"/>
      <c r="S465" s="108" t="s">
        <v>137</v>
      </c>
      <c r="T465" s="26" t="s">
        <v>146</v>
      </c>
      <c r="U465" s="98"/>
      <c r="V465" s="108" t="s">
        <v>137</v>
      </c>
      <c r="W465" s="26" t="s">
        <v>146</v>
      </c>
      <c r="X465" s="98"/>
      <c r="Y465" s="108" t="s">
        <v>137</v>
      </c>
      <c r="Z465" s="26" t="s">
        <v>146</v>
      </c>
      <c r="AA465" s="98"/>
      <c r="AB465" s="108" t="s">
        <v>137</v>
      </c>
      <c r="AC465" s="26" t="s">
        <v>146</v>
      </c>
      <c r="AD465" s="98"/>
      <c r="AE465" s="108" t="s">
        <v>137</v>
      </c>
      <c r="AF465" s="26" t="s">
        <v>146</v>
      </c>
      <c r="AG465" s="98"/>
      <c r="AH465" s="108" t="s">
        <v>137</v>
      </c>
      <c r="AI465" s="26" t="s">
        <v>146</v>
      </c>
      <c r="AJ465" s="98"/>
      <c r="AK465" s="108" t="s">
        <v>137</v>
      </c>
      <c r="AL465" s="26" t="s">
        <v>146</v>
      </c>
      <c r="AM465" s="98"/>
      <c r="AN465" s="108" t="s">
        <v>137</v>
      </c>
      <c r="AO465" s="26" t="s">
        <v>146</v>
      </c>
      <c r="AP465" s="98"/>
      <c r="AQ465" s="108" t="s">
        <v>137</v>
      </c>
      <c r="AR465" s="26" t="s">
        <v>146</v>
      </c>
      <c r="AS465" s="98"/>
      <c r="AT465" s="108" t="s">
        <v>137</v>
      </c>
      <c r="AU465" s="26" t="s">
        <v>146</v>
      </c>
    </row>
    <row r="466" spans="15:47" ht="13.8" x14ac:dyDescent="0.25">
      <c r="O466" s="20" t="s">
        <v>136</v>
      </c>
      <c r="P466" s="1"/>
      <c r="Q466" s="1"/>
      <c r="R466" s="96">
        <f>R452*1.02</f>
        <v>588.69722437370899</v>
      </c>
      <c r="S466" s="109" t="s">
        <v>144</v>
      </c>
      <c r="T466" s="23" t="s">
        <v>147</v>
      </c>
      <c r="U466" s="96">
        <f ca="1">U452*1.01</f>
        <v>15939.713513118291</v>
      </c>
      <c r="V466" s="109" t="s">
        <v>144</v>
      </c>
      <c r="W466" s="23" t="s">
        <v>147</v>
      </c>
      <c r="X466" s="96">
        <f ca="1">X452*1.01</f>
        <v>39030.503332757384</v>
      </c>
      <c r="Y466" s="109" t="s">
        <v>144</v>
      </c>
      <c r="Z466" s="23" t="s">
        <v>147</v>
      </c>
      <c r="AA466" s="96">
        <f ca="1">AA452*1.01</f>
        <v>76021.458135255132</v>
      </c>
      <c r="AB466" s="109" t="s">
        <v>144</v>
      </c>
      <c r="AC466" s="23" t="s">
        <v>147</v>
      </c>
      <c r="AD466" s="96">
        <f ca="1">AD452*1.01</f>
        <v>127540.35810697659</v>
      </c>
      <c r="AE466" s="109" t="s">
        <v>144</v>
      </c>
      <c r="AF466" s="23" t="s">
        <v>147</v>
      </c>
      <c r="AG466" s="96">
        <f ca="1">AG452*1.01</f>
        <v>186148.62636440745</v>
      </c>
      <c r="AH466" s="109" t="s">
        <v>144</v>
      </c>
      <c r="AI466" s="23" t="s">
        <v>147</v>
      </c>
      <c r="AJ466" s="96">
        <f ca="1">AJ452*1.01</f>
        <v>248416.06350096726</v>
      </c>
      <c r="AK466" s="109" t="s">
        <v>144</v>
      </c>
      <c r="AL466" s="23" t="s">
        <v>147</v>
      </c>
      <c r="AM466" s="96">
        <f ca="1">AM452*1.01</f>
        <v>303114.80644696194</v>
      </c>
      <c r="AN466" s="109" t="s">
        <v>144</v>
      </c>
      <c r="AO466" s="23" t="s">
        <v>147</v>
      </c>
      <c r="AP466" s="96">
        <f ca="1">AP452*1.01</f>
        <v>351906.88019790873</v>
      </c>
      <c r="AQ466" s="109" t="s">
        <v>144</v>
      </c>
      <c r="AR466" s="23" t="s">
        <v>147</v>
      </c>
      <c r="AS466" s="96">
        <f ca="1">AS452*1.01</f>
        <v>412638.4927217901</v>
      </c>
      <c r="AT466" s="109" t="s">
        <v>144</v>
      </c>
      <c r="AU466" s="23" t="s">
        <v>147</v>
      </c>
    </row>
    <row r="467" spans="15:47" x14ac:dyDescent="0.25">
      <c r="O467" s="1"/>
      <c r="P467" s="1"/>
      <c r="Q467" s="1"/>
      <c r="R467" s="98"/>
      <c r="S467" s="107"/>
      <c r="T467" s="1"/>
      <c r="U467" s="47"/>
      <c r="V467" s="107"/>
      <c r="W467" s="1"/>
      <c r="X467" s="47"/>
      <c r="Y467" s="107"/>
      <c r="Z467" s="1"/>
      <c r="AA467" s="47"/>
      <c r="AB467" s="107"/>
      <c r="AC467" s="1"/>
      <c r="AD467" s="47"/>
      <c r="AE467" s="107"/>
      <c r="AF467" s="1"/>
      <c r="AG467" s="47"/>
      <c r="AH467" s="107"/>
      <c r="AI467" s="1"/>
      <c r="AJ467" s="47"/>
      <c r="AK467" s="107"/>
      <c r="AL467" s="1"/>
      <c r="AM467" s="47"/>
      <c r="AN467" s="107"/>
      <c r="AO467" s="1"/>
      <c r="AP467" s="47"/>
      <c r="AQ467" s="107"/>
      <c r="AR467" s="1"/>
      <c r="AS467" s="47"/>
      <c r="AT467" s="107"/>
      <c r="AU467" s="1"/>
    </row>
    <row r="468" spans="15:47" x14ac:dyDescent="0.25">
      <c r="O468" s="8" t="s">
        <v>132</v>
      </c>
      <c r="P468" s="8"/>
      <c r="Q468" s="8"/>
      <c r="R468" s="96">
        <f>P_1_minQ-(R466^2*R_up)+dpup_minQ</f>
        <v>90.18497736510821</v>
      </c>
      <c r="S468" s="106"/>
      <c r="T468" s="22"/>
      <c r="U468" s="96">
        <f ca="1">P_1_minQ-(U466^2*R_up)+dpup_minQ</f>
        <v>90.138732686409014</v>
      </c>
      <c r="V468" s="107"/>
      <c r="W468" s="1"/>
      <c r="X468" s="96">
        <f ca="1">P_1_minQ-(X466^2*R_up)+dpup_minQ</f>
        <v>89.907387868646026</v>
      </c>
      <c r="Y468" s="107"/>
      <c r="Z468" s="1"/>
      <c r="AA468" s="96">
        <f ca="1">P_1_minQ-(AA466^2*R_up)+dpup_minQ</f>
        <v>89.131706954384526</v>
      </c>
      <c r="AB468" s="107"/>
      <c r="AC468" s="1"/>
      <c r="AD468" s="96">
        <f ca="1">P_1_minQ-(AD466^2*R_up)+dpup_minQ</f>
        <v>87.220285590815749</v>
      </c>
      <c r="AE468" s="107"/>
      <c r="AF468" s="1"/>
      <c r="AG468" s="96">
        <f ca="1">P_1_minQ-(AG466^2*R_up)+dpup_minQ</f>
        <v>83.86946099533904</v>
      </c>
      <c r="AH468" s="107"/>
      <c r="AI468" s="1"/>
      <c r="AJ468" s="96">
        <f ca="1">P_1_minQ-(AJ466^2*R_up)+dpup_minQ</f>
        <v>78.93762116881868</v>
      </c>
      <c r="AK468" s="107"/>
      <c r="AL468" s="1"/>
      <c r="AM468" s="96">
        <f ca="1">P_1_minQ-(AM466^2*R_up)+dpup_minQ</f>
        <v>73.439165746554195</v>
      </c>
      <c r="AN468" s="107"/>
      <c r="AO468" s="1"/>
      <c r="AP468" s="96">
        <f ca="1">P_1_minQ-(AP466^2*R_up)+dpup_minQ</f>
        <v>67.614131366743024</v>
      </c>
      <c r="AQ468" s="107"/>
      <c r="AR468" s="1"/>
      <c r="AS468" s="96">
        <f ca="1">P_1_minQ-(AS466^2*R_up)+dpup_minQ</f>
        <v>59.151379369911879</v>
      </c>
      <c r="AT468" s="107"/>
      <c r="AU468" s="1"/>
    </row>
    <row r="469" spans="15:47" x14ac:dyDescent="0.25">
      <c r="O469" s="8" t="s">
        <v>134</v>
      </c>
      <c r="P469" s="1"/>
      <c r="Q469" s="8"/>
      <c r="R469" s="97">
        <f>P_2_minQ+(R466^2*R_dn)-dpdn_minQ</f>
        <v>60</v>
      </c>
      <c r="S469" s="106"/>
      <c r="T469" s="22"/>
      <c r="U469" s="97">
        <f ca="1">P_2_minQ+(U466^2*R_dn)-dpdn_minQ</f>
        <v>60</v>
      </c>
      <c r="V469" s="107"/>
      <c r="W469" s="1"/>
      <c r="X469" s="97">
        <f ca="1">P_2_minQ+(X466^2*R_dn)-dpdn_minQ</f>
        <v>60</v>
      </c>
      <c r="Y469" s="107"/>
      <c r="Z469" s="1"/>
      <c r="AA469" s="97">
        <f ca="1">P_2_minQ+(AA466^2*R_dn)-dpdn_minQ</f>
        <v>60</v>
      </c>
      <c r="AB469" s="107"/>
      <c r="AC469" s="1"/>
      <c r="AD469" s="97">
        <f ca="1">P_2_minQ+(AD466^2*R_dn)-dpdn_minQ</f>
        <v>60</v>
      </c>
      <c r="AE469" s="107"/>
      <c r="AF469" s="1"/>
      <c r="AG469" s="97">
        <f ca="1">P_2_minQ+(AG466^2*R_dn)-dpdn_minQ</f>
        <v>60</v>
      </c>
      <c r="AH469" s="107"/>
      <c r="AI469" s="1"/>
      <c r="AJ469" s="97">
        <f ca="1">P_2_minQ+(AJ466^2*R_dn)-dpdn_minQ</f>
        <v>60</v>
      </c>
      <c r="AK469" s="107"/>
      <c r="AL469" s="1"/>
      <c r="AM469" s="97">
        <f ca="1">P_2_minQ+(AM466^2*R_dn)-dpdn_minQ</f>
        <v>60</v>
      </c>
      <c r="AN469" s="107"/>
      <c r="AO469" s="1"/>
      <c r="AP469" s="97">
        <f ca="1">P_2_minQ+(AP466^2*R_dn)-dpdn_minQ</f>
        <v>60</v>
      </c>
      <c r="AQ469" s="107"/>
      <c r="AR469" s="1"/>
      <c r="AS469" s="97">
        <f ca="1">P_2_minQ+(AS466^2*R_dn)-dpdn_minQ</f>
        <v>60</v>
      </c>
      <c r="AT469" s="107"/>
      <c r="AU469" s="1"/>
    </row>
    <row r="470" spans="15:47" x14ac:dyDescent="0.25">
      <c r="O470" s="8" t="s">
        <v>138</v>
      </c>
      <c r="P470" s="1"/>
      <c r="Q470" s="8"/>
      <c r="R470" s="97">
        <f>R468-R469</f>
        <v>30.18497736510821</v>
      </c>
      <c r="S470" s="106"/>
      <c r="T470" s="22"/>
      <c r="U470" s="97">
        <f ca="1">U468-U469</f>
        <v>30.138732686409014</v>
      </c>
      <c r="V470" s="110"/>
      <c r="W470" s="25"/>
      <c r="X470" s="97">
        <f ca="1">X468-X469</f>
        <v>29.907387868646026</v>
      </c>
      <c r="Y470" s="110"/>
      <c r="Z470" s="25"/>
      <c r="AA470" s="97">
        <f ca="1">AA468-AA469</f>
        <v>29.131706954384526</v>
      </c>
      <c r="AB470" s="110"/>
      <c r="AC470" s="25"/>
      <c r="AD470" s="97">
        <f ca="1">AD468-AD469</f>
        <v>27.220285590815749</v>
      </c>
      <c r="AE470" s="110"/>
      <c r="AF470" s="25"/>
      <c r="AG470" s="97">
        <f ca="1">AG468-AG469</f>
        <v>23.86946099533904</v>
      </c>
      <c r="AH470" s="110"/>
      <c r="AI470" s="25"/>
      <c r="AJ470" s="97">
        <f ca="1">AJ468-AJ469</f>
        <v>18.93762116881868</v>
      </c>
      <c r="AK470" s="110"/>
      <c r="AL470" s="25"/>
      <c r="AM470" s="97">
        <f ca="1">AM468-AM469</f>
        <v>13.439165746554195</v>
      </c>
      <c r="AN470" s="110"/>
      <c r="AO470" s="25"/>
      <c r="AP470" s="97">
        <f ca="1">AP468-AP469</f>
        <v>7.6141313667430239</v>
      </c>
      <c r="AQ470" s="110"/>
      <c r="AR470" s="25"/>
      <c r="AS470" s="97">
        <f ca="1">AS468-AS469</f>
        <v>-0.84862063008812072</v>
      </c>
      <c r="AT470" s="110"/>
      <c r="AU470" s="25"/>
    </row>
    <row r="471" spans="15:47" ht="14.4" x14ac:dyDescent="0.3">
      <c r="O471" s="2" t="s">
        <v>140</v>
      </c>
      <c r="P471" s="11"/>
      <c r="Q471" s="2"/>
      <c r="R471" s="96">
        <f>R470/R468</f>
        <v>0.3347007256309022</v>
      </c>
      <c r="S471" s="106"/>
      <c r="T471" s="22"/>
      <c r="U471" s="96">
        <f ca="1">U470/U468</f>
        <v>0.33435940120504143</v>
      </c>
      <c r="V471" s="111"/>
      <c r="W471" s="28"/>
      <c r="X471" s="96">
        <f ca="1">X470/X468</f>
        <v>0.33264661089187109</v>
      </c>
      <c r="Y471" s="111"/>
      <c r="Z471" s="28"/>
      <c r="AA471" s="96">
        <f ca="1">AA470/AA468</f>
        <v>0.32683887642018833</v>
      </c>
      <c r="AB471" s="111"/>
      <c r="AC471" s="28"/>
      <c r="AD471" s="96">
        <f ca="1">AD470/AD468</f>
        <v>0.31208663680048798</v>
      </c>
      <c r="AE471" s="111"/>
      <c r="AF471" s="28"/>
      <c r="AG471" s="96">
        <f ca="1">AG470/AG468</f>
        <v>0.28460253246012351</v>
      </c>
      <c r="AH471" s="111"/>
      <c r="AI471" s="28"/>
      <c r="AJ471" s="96">
        <f ca="1">AJ470/AJ468</f>
        <v>0.23990615486521996</v>
      </c>
      <c r="AK471" s="111"/>
      <c r="AL471" s="28"/>
      <c r="AM471" s="96">
        <f ca="1">AM470/AM468</f>
        <v>0.18299725507413961</v>
      </c>
      <c r="AN471" s="111"/>
      <c r="AO471" s="28"/>
      <c r="AP471" s="96">
        <f ca="1">AP470/AP468</f>
        <v>0.11261153863596247</v>
      </c>
      <c r="AQ471" s="111"/>
      <c r="AR471" s="28"/>
      <c r="AS471" s="96">
        <f ca="1">AS470/AS468</f>
        <v>-1.434659071568131E-2</v>
      </c>
      <c r="AT471" s="111"/>
      <c r="AU471" s="28"/>
    </row>
    <row r="472" spans="15:47" x14ac:dyDescent="0.25">
      <c r="O472" s="2" t="s">
        <v>21</v>
      </c>
      <c r="P472" s="8">
        <v>12</v>
      </c>
      <c r="Q472" s="2"/>
      <c r="R472" s="96">
        <f ca="1">1-R471/(3*F_GAMMA*R$29)</f>
        <v>0.82568479403841921</v>
      </c>
      <c r="S472" s="106"/>
      <c r="T472" s="22"/>
      <c r="U472" s="96">
        <f ca="1">1-U471/(3*F_GAMMA*U$29)</f>
        <v>0.82590301367441277</v>
      </c>
      <c r="V472" s="111"/>
      <c r="W472" s="28"/>
      <c r="X472" s="96">
        <f ca="1">1-X471/(3*F_GAMMA*X$29)</f>
        <v>0.82514519754519045</v>
      </c>
      <c r="Y472" s="111"/>
      <c r="Z472" s="28"/>
      <c r="AA472" s="96">
        <f ca="1">1-AA471/(3*F_GAMMA*AA$29)</f>
        <v>0.82577628290595118</v>
      </c>
      <c r="AB472" s="111"/>
      <c r="AC472" s="28"/>
      <c r="AD472" s="96">
        <f ca="1">1-AD471/(3*F_GAMMA*AD$29)</f>
        <v>0.82848054886911504</v>
      </c>
      <c r="AE472" s="111"/>
      <c r="AF472" s="28"/>
      <c r="AG472" s="96">
        <f ca="1">1-AG471/(3*F_GAMMA*AG$29)</f>
        <v>0.83419968095497676</v>
      </c>
      <c r="AH472" s="111"/>
      <c r="AI472" s="28"/>
      <c r="AJ472" s="96">
        <f ca="1">1-AJ471/(3*F_GAMMA*AJ$29)</f>
        <v>0.8496356086860799</v>
      </c>
      <c r="AK472" s="111"/>
      <c r="AL472" s="28"/>
      <c r="AM472" s="96">
        <f ca="1">1-AM471/(3*F_GAMMA*AM$29)</f>
        <v>0.87176044276791376</v>
      </c>
      <c r="AN472" s="111"/>
      <c r="AO472" s="28"/>
      <c r="AP472" s="96">
        <f ca="1">1-AP471/(3*F_GAMMA*AP$29)</f>
        <v>0.93643600950763539</v>
      </c>
      <c r="AQ472" s="111"/>
      <c r="AR472" s="28"/>
      <c r="AS472" s="96">
        <f ca="1">1-AS471/(3*F_GAMMA*AS$29)</f>
        <v>1.0126953130460254</v>
      </c>
      <c r="AT472" s="111"/>
      <c r="AU472" s="28"/>
    </row>
    <row r="473" spans="15:47" x14ac:dyDescent="0.25">
      <c r="O473" s="2" t="s">
        <v>57</v>
      </c>
      <c r="P473" s="143">
        <v>7</v>
      </c>
      <c r="Q473" s="2"/>
      <c r="R473" s="96">
        <f ca="1">(R466/(N_9*R$27*R468*R472))*SQRT(M*'Valve Sizing'!$W$6*'Valve Sizing'!$G$8/R471)</f>
        <v>0.23773942512949633</v>
      </c>
      <c r="S473" s="107"/>
      <c r="T473" s="22"/>
      <c r="U473" s="96">
        <f ca="1">(U466/(N_9*U$27*U468*U472))*SQRT(M*'Valve Sizing'!$W$6*'Valve Sizing'!$G$8/U471)</f>
        <v>6.4462054293004272</v>
      </c>
      <c r="V473" s="111"/>
      <c r="W473" s="28"/>
      <c r="X473" s="96">
        <f ca="1">(X466/(N_9*X$27*X468*X472))*SQRT(M*'Valve Sizing'!$W$6*'Valve Sizing'!$G$8/X471)</f>
        <v>15.916821365367687</v>
      </c>
      <c r="Y473" s="111"/>
      <c r="Z473" s="28"/>
      <c r="AA473" s="96">
        <f ca="1">(AA466/(N_9*AA$27*AA468*AA472))*SQRT(M*'Valve Sizing'!$W$6*'Valve Sizing'!$G$8/AA471)</f>
        <v>31.71128413891541</v>
      </c>
      <c r="AB473" s="111"/>
      <c r="AC473" s="28"/>
      <c r="AD473" s="96">
        <f ca="1">(AD466/(N_9*AD$27*AD468*AD472))*SQRT(M*'Valve Sizing'!$W$6*'Valve Sizing'!$G$8/AD471)</f>
        <v>56.143082132042544</v>
      </c>
      <c r="AE473" s="111"/>
      <c r="AF473" s="28"/>
      <c r="AG473" s="96">
        <f ca="1">(AG466/(N_9*AG$27*AG468*AG472))*SQRT(M*'Valve Sizing'!$W$6*'Valve Sizing'!$G$8/AG471)</f>
        <v>90.618720120041758</v>
      </c>
      <c r="AH473" s="111"/>
      <c r="AI473" s="28"/>
      <c r="AJ473" s="96">
        <f ca="1">(AJ466/(N_9*AJ$27*AJ468*AJ472))*SQRT(M*'Valve Sizing'!$W$6*'Valve Sizing'!$G$8/AJ471)</f>
        <v>142.36938830462137</v>
      </c>
      <c r="AK473" s="111"/>
      <c r="AL473" s="28"/>
      <c r="AM473" s="96">
        <f ca="1">(AM466/(N_9*AM$27*AM468*AM472))*SQRT(M*'Valve Sizing'!$W$6*'Valve Sizing'!$G$8/AM471)</f>
        <v>221.08182525893275</v>
      </c>
      <c r="AN473" s="111"/>
      <c r="AO473" s="28"/>
      <c r="AP473" s="96">
        <f ca="1">(AP466/(N_9*AP$27*AP468*AP472))*SQRT(M*'Valve Sizing'!$W$6*'Valve Sizing'!$G$8/AP471)</f>
        <v>376.55660533887647</v>
      </c>
      <c r="AQ473" s="111"/>
      <c r="AR473" s="28"/>
      <c r="AS473" s="96" t="e">
        <f ca="1">(AS466/(N_9*AS$27*AS468*AS472))*SQRT(M*'Valve Sizing'!$W$6*'Valve Sizing'!$G$8/AS471)</f>
        <v>#NUM!</v>
      </c>
      <c r="AT473" s="111"/>
      <c r="AU473" s="28"/>
    </row>
    <row r="474" spans="15:47" x14ac:dyDescent="0.25">
      <c r="O474" s="2" t="s">
        <v>59</v>
      </c>
      <c r="P474" s="143">
        <v>7</v>
      </c>
      <c r="Q474" s="2"/>
      <c r="R474" s="96">
        <f ca="1">(R466/(N_9*R$27*R468*0.667))*SQRT(M*'Valve Sizing'!$W$6*'Valve Sizing'!$G$8/R475)</f>
        <v>0.21282268841359536</v>
      </c>
      <c r="S474" s="107"/>
      <c r="T474" s="22"/>
      <c r="U474" s="96">
        <f ca="1">(U466/(N_9*U$27*U468*0.667))*SQRT(M*'Valve Sizing'!$W$6*'Valve Sizing'!$G$8/U475)</f>
        <v>5.7685095051447961</v>
      </c>
      <c r="V474" s="111"/>
      <c r="W474" s="28"/>
      <c r="X474" s="96">
        <f ca="1">(X466/(N_9*X$27*X468*0.667))*SQRT(M*'Valve Sizing'!$W$6*'Valve Sizing'!$G$8/X475)</f>
        <v>14.261338705403285</v>
      </c>
      <c r="Y474" s="111"/>
      <c r="Z474" s="28"/>
      <c r="AA474" s="96">
        <f ca="1">(AA466/(N_9*AA$27*AA468*0.667))*SQRT(M*'Valve Sizing'!$W$6*'Valve Sizing'!$G$8/AA475)</f>
        <v>28.383416194370533</v>
      </c>
      <c r="AB474" s="111"/>
      <c r="AC474" s="28"/>
      <c r="AD474" s="96">
        <f ca="1">(AD466/(N_9*AD$27*AD468*0.667))*SQRT(M*'Valve Sizing'!$W$6*'Valve Sizing'!$G$8/AD475)</f>
        <v>50.023036391831212</v>
      </c>
      <c r="AE474" s="111"/>
      <c r="AF474" s="28"/>
      <c r="AG474" s="96">
        <f ca="1">(AG466/(N_9*AG$27*AG468*0.667))*SQRT(M*'Valve Sizing'!$W$6*'Valve Sizing'!$G$8/AG475)</f>
        <v>79.931031553700777</v>
      </c>
      <c r="AH474" s="111"/>
      <c r="AI474" s="28"/>
      <c r="AJ474" s="96">
        <f ca="1">(AJ466/(N_9*AJ$27*AJ468*0.667))*SQRT(M*'Valve Sizing'!$W$6*'Valve Sizing'!$G$8/AJ475)</f>
        <v>121.80261671296383</v>
      </c>
      <c r="AK474" s="111"/>
      <c r="AL474" s="28"/>
      <c r="AM474" s="96">
        <f ca="1">(AM466/(N_9*AM$27*AM468*0.667))*SQRT(M*'Valve Sizing'!$W$6*'Valve Sizing'!$G$8/AM475)</f>
        <v>179.22393085670248</v>
      </c>
      <c r="AN474" s="111"/>
      <c r="AO474" s="28"/>
      <c r="AP474" s="96">
        <f ca="1">(AP466/(N_9*AP$27*AP468*0.667))*SQRT(M*'Valve Sizing'!$W$6*'Valve Sizing'!$G$8/AP475)</f>
        <v>230.86002917892114</v>
      </c>
      <c r="AQ474" s="111"/>
      <c r="AR474" s="28"/>
      <c r="AS474" s="96">
        <f ca="1">(AS466/(N_9*AS$27*AS468*0.667))*SQRT(M*'Valve Sizing'!$W$6*'Valve Sizing'!$G$8/AS475)</f>
        <v>518.9237704548857</v>
      </c>
      <c r="AT474" s="111"/>
      <c r="AU474" s="28"/>
    </row>
    <row r="475" spans="15:47" ht="15.6" x14ac:dyDescent="0.35">
      <c r="O475" s="2" t="s">
        <v>68</v>
      </c>
      <c r="P475" s="143">
        <v>10</v>
      </c>
      <c r="Q475" s="2"/>
      <c r="R475" s="96">
        <f ca="1">F_GAMMA*R$29</f>
        <v>0.64002969751372984</v>
      </c>
      <c r="S475" s="107"/>
      <c r="T475" s="1"/>
      <c r="U475" s="96">
        <f ca="1">F_GAMMA*U$29</f>
        <v>0.64017842058782071</v>
      </c>
      <c r="V475" s="111"/>
      <c r="W475" s="28"/>
      <c r="X475" s="96">
        <f ca="1">F_GAMMA*X$29</f>
        <v>0.63413873724904268</v>
      </c>
      <c r="Y475" s="111"/>
      <c r="Z475" s="28"/>
      <c r="AA475" s="96">
        <f ca="1">F_GAMMA*AA$29</f>
        <v>0.62532411750377137</v>
      </c>
      <c r="AB475" s="111"/>
      <c r="AC475" s="28"/>
      <c r="AD475" s="96">
        <f ca="1">F_GAMMA*AD$29</f>
        <v>0.60651359509139569</v>
      </c>
      <c r="AE475" s="111"/>
      <c r="AF475" s="28"/>
      <c r="AG475" s="96">
        <f ca="1">F_GAMMA*AG$29</f>
        <v>0.57217930198481592</v>
      </c>
      <c r="AH475" s="111"/>
      <c r="AI475" s="28"/>
      <c r="AJ475" s="96">
        <f ca="1">F_GAMMA*AJ$29</f>
        <v>0.53183282018848232</v>
      </c>
      <c r="AK475" s="111"/>
      <c r="AL475" s="28"/>
      <c r="AM475" s="96">
        <f ca="1">F_GAMMA*AM$29</f>
        <v>0.47566512503094399</v>
      </c>
      <c r="AN475" s="111"/>
      <c r="AO475" s="28"/>
      <c r="AP475" s="96">
        <f ca="1">F_GAMMA*AP$29</f>
        <v>0.59054158265645496</v>
      </c>
      <c r="AQ475" s="111"/>
      <c r="AR475" s="28"/>
      <c r="AS475" s="96">
        <f ca="1">F_GAMMA*AS$29</f>
        <v>0.3766899554102966</v>
      </c>
      <c r="AT475" s="111"/>
      <c r="AU475" s="28"/>
    </row>
    <row r="476" spans="15:47" x14ac:dyDescent="0.25">
      <c r="O476" s="2" t="s">
        <v>145</v>
      </c>
      <c r="P476" s="12"/>
      <c r="Q476" s="2"/>
      <c r="R476" s="96">
        <f ca="1">IF(R471&lt;R475,R473,R474)</f>
        <v>0.23773942512949633</v>
      </c>
      <c r="S476" s="116"/>
      <c r="T476" s="1"/>
      <c r="U476" s="96">
        <f ca="1">IF(U471&lt;U475,U473,U474)</f>
        <v>6.4462054293004272</v>
      </c>
      <c r="V476" s="111"/>
      <c r="W476" s="28"/>
      <c r="X476" s="96">
        <f ca="1">IF(X471&lt;X475,X473,X474)</f>
        <v>15.916821365367687</v>
      </c>
      <c r="Y476" s="111"/>
      <c r="Z476" s="28"/>
      <c r="AA476" s="96">
        <f ca="1">IF(AA471&lt;AA475,AA473,AA474)</f>
        <v>31.71128413891541</v>
      </c>
      <c r="AB476" s="111"/>
      <c r="AC476" s="28"/>
      <c r="AD476" s="96">
        <f ca="1">IF(AD471&lt;AD475,AD473,AD474)</f>
        <v>56.143082132042544</v>
      </c>
      <c r="AE476" s="111"/>
      <c r="AF476" s="28"/>
      <c r="AG476" s="96">
        <f ca="1">IF(AG471&lt;AG475,AG473,AG474)</f>
        <v>90.618720120041758</v>
      </c>
      <c r="AH476" s="111"/>
      <c r="AI476" s="28"/>
      <c r="AJ476" s="96">
        <f ca="1">IF(AJ471&lt;AJ475,AJ473,AJ474)</f>
        <v>142.36938830462137</v>
      </c>
      <c r="AK476" s="111"/>
      <c r="AL476" s="28"/>
      <c r="AM476" s="96">
        <f ca="1">IF(AM471&lt;AM475,AM473,AM474)</f>
        <v>221.08182525893275</v>
      </c>
      <c r="AN476" s="111"/>
      <c r="AO476" s="28"/>
      <c r="AP476" s="96">
        <f ca="1">IF(AP471&lt;AP475,AP473,AP474)</f>
        <v>376.55660533887647</v>
      </c>
      <c r="AQ476" s="111"/>
      <c r="AR476" s="28"/>
      <c r="AS476" s="96" t="e">
        <f ca="1">IF(AS471&lt;AS475,AS473,AS474)</f>
        <v>#NUM!</v>
      </c>
      <c r="AT476" s="111"/>
      <c r="AU476" s="28"/>
    </row>
    <row r="477" spans="15:47" x14ac:dyDescent="0.25">
      <c r="O477" s="13" t="s">
        <v>143</v>
      </c>
      <c r="P477" s="1"/>
      <c r="Q477" s="1"/>
      <c r="R477" s="113"/>
      <c r="S477" s="106">
        <f ca="1">IF(R470&lt;=0,Q_max,ABS(R$23-R476))</f>
        <v>4.492260574870504</v>
      </c>
      <c r="T477" s="7">
        <f>R466</f>
        <v>588.69722437370899</v>
      </c>
      <c r="U477" s="98"/>
      <c r="V477" s="106">
        <f ca="1">IF(U470&lt;=0,Q_max,ABS(U$23-U476))</f>
        <v>5.1537945706995725</v>
      </c>
      <c r="W477" s="9">
        <f ca="1">U466</f>
        <v>15939.713513118291</v>
      </c>
      <c r="X477" s="98"/>
      <c r="Y477" s="106">
        <f ca="1">IF(X470&lt;=0,Q_max,ABS(X$23-X476))</f>
        <v>7.0831786346323131</v>
      </c>
      <c r="Z477" s="9">
        <f ca="1">X466</f>
        <v>39030.503332757384</v>
      </c>
      <c r="AA477" s="98"/>
      <c r="AB477" s="106">
        <f ca="1">IF(AA470&lt;=0,Q_max,ABS(AA$23-AA476))</f>
        <v>7.6887158610845887</v>
      </c>
      <c r="AC477" s="9">
        <f ca="1">AA466</f>
        <v>76021.458135255132</v>
      </c>
      <c r="AD477" s="98"/>
      <c r="AE477" s="106">
        <f ca="1">IF(AD470&lt;=0,Q_max,ABS(AD$23-AD476))</f>
        <v>4.8569178679574563</v>
      </c>
      <c r="AF477" s="9">
        <f ca="1">AD466</f>
        <v>127540.35810697659</v>
      </c>
      <c r="AG477" s="98"/>
      <c r="AH477" s="106">
        <f ca="1">IF(AG470&lt;=0,Q_max,ABS(AG$23-AG476))</f>
        <v>2.4187201200417547</v>
      </c>
      <c r="AI477" s="9">
        <f ca="1">AG466</f>
        <v>186148.62636440745</v>
      </c>
      <c r="AJ477" s="98"/>
      <c r="AK477" s="106">
        <f ca="1">IF(AJ470&lt;=0,Q_max,ABS(AJ$23-AJ476))</f>
        <v>21.369388304621367</v>
      </c>
      <c r="AL477" s="9">
        <f ca="1">AJ466</f>
        <v>248416.06350096726</v>
      </c>
      <c r="AM477" s="98"/>
      <c r="AN477" s="106">
        <f ca="1">IF(AM470&lt;=0,Q_max,ABS(AM$23-AM476))</f>
        <v>56.081825258932753</v>
      </c>
      <c r="AO477" s="9">
        <f ca="1">AM466</f>
        <v>303114.80644696194</v>
      </c>
      <c r="AP477" s="98"/>
      <c r="AQ477" s="106">
        <f ca="1">IF(AP470&lt;=0,Q_max,ABS(AP$23-AP476))</f>
        <v>130.55660533887647</v>
      </c>
      <c r="AR477" s="9">
        <f ca="1">AP466</f>
        <v>351906.88019790873</v>
      </c>
      <c r="AS477" s="98"/>
      <c r="AT477" s="106">
        <f ca="1">IF(AS470&lt;=0,Q_max,ABS(AS$23-AS476))</f>
        <v>236393</v>
      </c>
      <c r="AU477" s="9">
        <f ca="1">AS466</f>
        <v>412638.4927217901</v>
      </c>
    </row>
    <row r="478" spans="15:47" x14ac:dyDescent="0.25">
      <c r="O478" s="21"/>
      <c r="P478" s="14"/>
      <c r="Q478" s="21"/>
      <c r="R478" s="97"/>
      <c r="S478" s="106"/>
      <c r="T478" s="28"/>
      <c r="U478" s="97"/>
      <c r="V478" s="111"/>
      <c r="W478" s="28"/>
      <c r="X478" s="97"/>
      <c r="Y478" s="111"/>
      <c r="Z478" s="28"/>
      <c r="AA478" s="97"/>
      <c r="AB478" s="111"/>
      <c r="AC478" s="28"/>
      <c r="AD478" s="97"/>
      <c r="AE478" s="111"/>
      <c r="AF478" s="28"/>
      <c r="AG478" s="97"/>
      <c r="AH478" s="111"/>
      <c r="AI478" s="28"/>
      <c r="AJ478" s="97"/>
      <c r="AK478" s="111"/>
      <c r="AL478" s="28"/>
      <c r="AM478" s="97"/>
      <c r="AN478" s="111"/>
      <c r="AO478" s="28"/>
      <c r="AP478" s="97"/>
      <c r="AQ478" s="111"/>
      <c r="AR478" s="28"/>
      <c r="AS478" s="97"/>
      <c r="AT478" s="111"/>
      <c r="AU478" s="28"/>
    </row>
    <row r="479" spans="15:47" x14ac:dyDescent="0.25">
      <c r="O479" s="1"/>
      <c r="P479" s="1"/>
      <c r="Q479" s="1"/>
      <c r="R479" s="98"/>
      <c r="S479" s="108" t="s">
        <v>137</v>
      </c>
      <c r="T479" s="26" t="s">
        <v>146</v>
      </c>
      <c r="U479" s="98"/>
      <c r="V479" s="108" t="s">
        <v>137</v>
      </c>
      <c r="W479" s="26" t="s">
        <v>146</v>
      </c>
      <c r="X479" s="98"/>
      <c r="Y479" s="108" t="s">
        <v>137</v>
      </c>
      <c r="Z479" s="26" t="s">
        <v>146</v>
      </c>
      <c r="AA479" s="98"/>
      <c r="AB479" s="108" t="s">
        <v>137</v>
      </c>
      <c r="AC479" s="26" t="s">
        <v>146</v>
      </c>
      <c r="AD479" s="98"/>
      <c r="AE479" s="108" t="s">
        <v>137</v>
      </c>
      <c r="AF479" s="26" t="s">
        <v>146</v>
      </c>
      <c r="AG479" s="98"/>
      <c r="AH479" s="108" t="s">
        <v>137</v>
      </c>
      <c r="AI479" s="26" t="s">
        <v>146</v>
      </c>
      <c r="AJ479" s="98"/>
      <c r="AK479" s="108" t="s">
        <v>137</v>
      </c>
      <c r="AL479" s="26" t="s">
        <v>146</v>
      </c>
      <c r="AM479" s="98"/>
      <c r="AN479" s="108" t="s">
        <v>137</v>
      </c>
      <c r="AO479" s="26" t="s">
        <v>146</v>
      </c>
      <c r="AP479" s="98"/>
      <c r="AQ479" s="108" t="s">
        <v>137</v>
      </c>
      <c r="AR479" s="26" t="s">
        <v>146</v>
      </c>
      <c r="AS479" s="98"/>
      <c r="AT479" s="108" t="s">
        <v>137</v>
      </c>
      <c r="AU479" s="26" t="s">
        <v>146</v>
      </c>
    </row>
    <row r="480" spans="15:47" ht="13.8" x14ac:dyDescent="0.25">
      <c r="O480" s="20" t="s">
        <v>136</v>
      </c>
      <c r="P480" s="1"/>
      <c r="Q480" s="1"/>
      <c r="R480" s="96">
        <f>R466*1.02</f>
        <v>600.47116886118317</v>
      </c>
      <c r="S480" s="109" t="s">
        <v>144</v>
      </c>
      <c r="T480" s="23" t="s">
        <v>147</v>
      </c>
      <c r="U480" s="96">
        <f ca="1">U466*1.01</f>
        <v>16099.110648249474</v>
      </c>
      <c r="V480" s="109" t="s">
        <v>144</v>
      </c>
      <c r="W480" s="23" t="s">
        <v>147</v>
      </c>
      <c r="X480" s="96">
        <f ca="1">X466*1.01</f>
        <v>39420.808366084959</v>
      </c>
      <c r="Y480" s="109" t="s">
        <v>144</v>
      </c>
      <c r="Z480" s="23" t="s">
        <v>147</v>
      </c>
      <c r="AA480" s="96">
        <f ca="1">AA466*1.01</f>
        <v>76781.672716607689</v>
      </c>
      <c r="AB480" s="109" t="s">
        <v>144</v>
      </c>
      <c r="AC480" s="23" t="s">
        <v>147</v>
      </c>
      <c r="AD480" s="96">
        <f ca="1">AD466*1.01</f>
        <v>128815.76168804636</v>
      </c>
      <c r="AE480" s="109" t="s">
        <v>144</v>
      </c>
      <c r="AF480" s="23" t="s">
        <v>147</v>
      </c>
      <c r="AG480" s="96">
        <f ca="1">AG466*1.01</f>
        <v>188010.11262805152</v>
      </c>
      <c r="AH480" s="109" t="s">
        <v>144</v>
      </c>
      <c r="AI480" s="23" t="s">
        <v>147</v>
      </c>
      <c r="AJ480" s="96">
        <f ca="1">AJ466*1.01</f>
        <v>250900.22413597693</v>
      </c>
      <c r="AK480" s="109" t="s">
        <v>144</v>
      </c>
      <c r="AL480" s="23" t="s">
        <v>147</v>
      </c>
      <c r="AM480" s="96">
        <f ca="1">AM466*1.01</f>
        <v>306145.95451143157</v>
      </c>
      <c r="AN480" s="109" t="s">
        <v>144</v>
      </c>
      <c r="AO480" s="23" t="s">
        <v>147</v>
      </c>
      <c r="AP480" s="96">
        <f ca="1">AP466*1.01</f>
        <v>355425.9489998878</v>
      </c>
      <c r="AQ480" s="109" t="s">
        <v>144</v>
      </c>
      <c r="AR480" s="23" t="s">
        <v>147</v>
      </c>
      <c r="AS480" s="96">
        <f ca="1">AS466*1.01</f>
        <v>416764.87764900801</v>
      </c>
      <c r="AT480" s="109" t="s">
        <v>144</v>
      </c>
      <c r="AU480" s="23" t="s">
        <v>147</v>
      </c>
    </row>
    <row r="481" spans="15:47" x14ac:dyDescent="0.25">
      <c r="O481" s="1"/>
      <c r="P481" s="1"/>
      <c r="Q481" s="1"/>
      <c r="R481" s="98"/>
      <c r="S481" s="107"/>
      <c r="T481" s="1"/>
      <c r="U481" s="47"/>
      <c r="V481" s="107"/>
      <c r="W481" s="1"/>
      <c r="X481" s="47"/>
      <c r="Y481" s="107"/>
      <c r="Z481" s="1"/>
      <c r="AA481" s="47"/>
      <c r="AB481" s="107"/>
      <c r="AC481" s="1"/>
      <c r="AD481" s="47"/>
      <c r="AE481" s="107"/>
      <c r="AF481" s="1"/>
      <c r="AG481" s="47"/>
      <c r="AH481" s="107"/>
      <c r="AI481" s="1"/>
      <c r="AJ481" s="47"/>
      <c r="AK481" s="107"/>
      <c r="AL481" s="1"/>
      <c r="AM481" s="47"/>
      <c r="AN481" s="107"/>
      <c r="AO481" s="1"/>
      <c r="AP481" s="47"/>
      <c r="AQ481" s="107"/>
      <c r="AR481" s="1"/>
      <c r="AS481" s="47"/>
      <c r="AT481" s="107"/>
      <c r="AU481" s="1"/>
    </row>
    <row r="482" spans="15:47" x14ac:dyDescent="0.25">
      <c r="O482" s="8" t="s">
        <v>132</v>
      </c>
      <c r="P482" s="8"/>
      <c r="Q482" s="8"/>
      <c r="R482" s="96">
        <f>P_1_minQ-(R480^2*R_up)+dpup_minQ</f>
        <v>90.184974813236252</v>
      </c>
      <c r="S482" s="106"/>
      <c r="T482" s="22"/>
      <c r="U482" s="96">
        <f ca="1">P_1_minQ-(U480^2*R_up)+dpup_minQ</f>
        <v>90.137801898747696</v>
      </c>
      <c r="V482" s="107"/>
      <c r="W482" s="1"/>
      <c r="X482" s="96">
        <f ca="1">P_1_minQ-(X480^2*R_up)+dpup_minQ</f>
        <v>89.901807050147681</v>
      </c>
      <c r="Y482" s="107"/>
      <c r="Z482" s="1"/>
      <c r="AA482" s="96">
        <f ca="1">P_1_minQ-(AA480^2*R_up)+dpup_minQ</f>
        <v>89.110534949509514</v>
      </c>
      <c r="AB482" s="107"/>
      <c r="AC482" s="1"/>
      <c r="AD482" s="96">
        <f ca="1">P_1_minQ-(AD480^2*R_up)+dpup_minQ</f>
        <v>87.160694016533014</v>
      </c>
      <c r="AE482" s="107"/>
      <c r="AF482" s="1"/>
      <c r="AG482" s="96">
        <f ca="1">P_1_minQ-(AG480^2*R_up)+dpup_minQ</f>
        <v>83.742517846687221</v>
      </c>
      <c r="AH482" s="107"/>
      <c r="AI482" s="1"/>
      <c r="AJ482" s="96">
        <f ca="1">P_1_minQ-(AJ480^2*R_up)+dpup_minQ</f>
        <v>78.711548039653792</v>
      </c>
      <c r="AK482" s="107"/>
      <c r="AL482" s="1"/>
      <c r="AM482" s="96">
        <f ca="1">P_1_minQ-(AM480^2*R_up)+dpup_minQ</f>
        <v>73.102573663401799</v>
      </c>
      <c r="AN482" s="107"/>
      <c r="AO482" s="1"/>
      <c r="AP482" s="96">
        <f ca="1">P_1_minQ-(AP480^2*R_up)+dpup_minQ</f>
        <v>67.160456092556416</v>
      </c>
      <c r="AQ482" s="107"/>
      <c r="AR482" s="1"/>
      <c r="AS482" s="96">
        <f ca="1">P_1_minQ-(AS480^2*R_up)+dpup_minQ</f>
        <v>58.527602780588978</v>
      </c>
      <c r="AT482" s="107"/>
      <c r="AU482" s="1"/>
    </row>
    <row r="483" spans="15:47" x14ac:dyDescent="0.25">
      <c r="O483" s="8" t="s">
        <v>134</v>
      </c>
      <c r="P483" s="1"/>
      <c r="Q483" s="8"/>
      <c r="R483" s="97">
        <f>P_2_minQ+(R480^2*R_dn)-dpdn_minQ</f>
        <v>60</v>
      </c>
      <c r="S483" s="106"/>
      <c r="T483" s="22"/>
      <c r="U483" s="97">
        <f ca="1">P_2_minQ+(U480^2*R_dn)-dpdn_minQ</f>
        <v>60</v>
      </c>
      <c r="V483" s="107"/>
      <c r="W483" s="1"/>
      <c r="X483" s="97">
        <f ca="1">P_2_minQ+(X480^2*R_dn)-dpdn_minQ</f>
        <v>60</v>
      </c>
      <c r="Y483" s="107"/>
      <c r="Z483" s="1"/>
      <c r="AA483" s="97">
        <f ca="1">P_2_minQ+(AA480^2*R_dn)-dpdn_minQ</f>
        <v>60</v>
      </c>
      <c r="AB483" s="107"/>
      <c r="AC483" s="1"/>
      <c r="AD483" s="97">
        <f ca="1">P_2_minQ+(AD480^2*R_dn)-dpdn_minQ</f>
        <v>60</v>
      </c>
      <c r="AE483" s="107"/>
      <c r="AF483" s="1"/>
      <c r="AG483" s="97">
        <f ca="1">P_2_minQ+(AG480^2*R_dn)-dpdn_minQ</f>
        <v>60</v>
      </c>
      <c r="AH483" s="107"/>
      <c r="AI483" s="1"/>
      <c r="AJ483" s="97">
        <f ca="1">P_2_minQ+(AJ480^2*R_dn)-dpdn_minQ</f>
        <v>60</v>
      </c>
      <c r="AK483" s="107"/>
      <c r="AL483" s="1"/>
      <c r="AM483" s="97">
        <f ca="1">P_2_minQ+(AM480^2*R_dn)-dpdn_minQ</f>
        <v>60</v>
      </c>
      <c r="AN483" s="107"/>
      <c r="AO483" s="1"/>
      <c r="AP483" s="97">
        <f ca="1">P_2_minQ+(AP480^2*R_dn)-dpdn_minQ</f>
        <v>60</v>
      </c>
      <c r="AQ483" s="107"/>
      <c r="AR483" s="1"/>
      <c r="AS483" s="97">
        <f ca="1">P_2_minQ+(AS480^2*R_dn)-dpdn_minQ</f>
        <v>60</v>
      </c>
      <c r="AT483" s="107"/>
      <c r="AU483" s="1"/>
    </row>
    <row r="484" spans="15:47" x14ac:dyDescent="0.25">
      <c r="O484" s="8" t="s">
        <v>138</v>
      </c>
      <c r="P484" s="1"/>
      <c r="Q484" s="8"/>
      <c r="R484" s="97">
        <f>R482-R483</f>
        <v>30.184974813236252</v>
      </c>
      <c r="S484" s="106"/>
      <c r="T484" s="22"/>
      <c r="U484" s="97">
        <f ca="1">U482-U483</f>
        <v>30.137801898747696</v>
      </c>
      <c r="V484" s="110"/>
      <c r="W484" s="25"/>
      <c r="X484" s="97">
        <f ca="1">X482-X483</f>
        <v>29.901807050147681</v>
      </c>
      <c r="Y484" s="110"/>
      <c r="Z484" s="25"/>
      <c r="AA484" s="97">
        <f ca="1">AA482-AA483</f>
        <v>29.110534949509514</v>
      </c>
      <c r="AB484" s="110"/>
      <c r="AC484" s="25"/>
      <c r="AD484" s="97">
        <f ca="1">AD482-AD483</f>
        <v>27.160694016533014</v>
      </c>
      <c r="AE484" s="110"/>
      <c r="AF484" s="25"/>
      <c r="AG484" s="97">
        <f ca="1">AG482-AG483</f>
        <v>23.742517846687221</v>
      </c>
      <c r="AH484" s="110"/>
      <c r="AI484" s="25"/>
      <c r="AJ484" s="97">
        <f ca="1">AJ482-AJ483</f>
        <v>18.711548039653792</v>
      </c>
      <c r="AK484" s="110"/>
      <c r="AL484" s="25"/>
      <c r="AM484" s="97">
        <f ca="1">AM482-AM483</f>
        <v>13.102573663401799</v>
      </c>
      <c r="AN484" s="110"/>
      <c r="AO484" s="25"/>
      <c r="AP484" s="97">
        <f ca="1">AP482-AP483</f>
        <v>7.1604560925564158</v>
      </c>
      <c r="AQ484" s="110"/>
      <c r="AR484" s="25"/>
      <c r="AS484" s="97">
        <f ca="1">AS482-AS483</f>
        <v>-1.4723972194110218</v>
      </c>
      <c r="AT484" s="110"/>
      <c r="AU484" s="25"/>
    </row>
    <row r="485" spans="15:47" ht="14.4" x14ac:dyDescent="0.3">
      <c r="O485" s="2" t="s">
        <v>140</v>
      </c>
      <c r="P485" s="11"/>
      <c r="Q485" s="2"/>
      <c r="R485" s="96">
        <f>R484/R482</f>
        <v>0.33470070680560937</v>
      </c>
      <c r="S485" s="106"/>
      <c r="T485" s="22"/>
      <c r="U485" s="96">
        <f ca="1">U484/U482</f>
        <v>0.33435252761767653</v>
      </c>
      <c r="V485" s="111"/>
      <c r="W485" s="28"/>
      <c r="X485" s="96">
        <f ca="1">X484/X482</f>
        <v>0.33260518371414161</v>
      </c>
      <c r="Y485" s="111"/>
      <c r="Z485" s="28"/>
      <c r="AA485" s="96">
        <f ca="1">AA484/AA482</f>
        <v>0.32667893830963635</v>
      </c>
      <c r="AB485" s="111"/>
      <c r="AC485" s="28"/>
      <c r="AD485" s="96">
        <f ca="1">AD484/AD482</f>
        <v>0.31161631195113082</v>
      </c>
      <c r="AE485" s="111"/>
      <c r="AF485" s="28"/>
      <c r="AG485" s="96">
        <f ca="1">AG484/AG482</f>
        <v>0.28351807967076137</v>
      </c>
      <c r="AH485" s="111"/>
      <c r="AI485" s="28"/>
      <c r="AJ485" s="96">
        <f ca="1">AJ484/AJ482</f>
        <v>0.23772303436628095</v>
      </c>
      <c r="AK485" s="111"/>
      <c r="AL485" s="28"/>
      <c r="AM485" s="96">
        <f ca="1">AM484/AM482</f>
        <v>0.17923546336045751</v>
      </c>
      <c r="AN485" s="111"/>
      <c r="AO485" s="28"/>
      <c r="AP485" s="96">
        <f ca="1">AP484/AP482</f>
        <v>0.10661714510527319</v>
      </c>
      <c r="AQ485" s="111"/>
      <c r="AR485" s="28"/>
      <c r="AS485" s="96">
        <f ca="1">AS484/AS482</f>
        <v>-2.5157312950793723E-2</v>
      </c>
      <c r="AT485" s="111"/>
      <c r="AU485" s="28"/>
    </row>
    <row r="486" spans="15:47" x14ac:dyDescent="0.25">
      <c r="O486" s="2" t="s">
        <v>21</v>
      </c>
      <c r="P486" s="8">
        <v>12</v>
      </c>
      <c r="Q486" s="2"/>
      <c r="R486" s="96">
        <f ca="1">1-R485/(3*F_GAMMA*R$29)</f>
        <v>0.82568480384280429</v>
      </c>
      <c r="S486" s="106"/>
      <c r="T486" s="22"/>
      <c r="U486" s="96">
        <f ca="1">1-U485/(3*F_GAMMA*U$29)</f>
        <v>0.82590659267007194</v>
      </c>
      <c r="V486" s="111"/>
      <c r="W486" s="28"/>
      <c r="X486" s="96">
        <f ca="1">1-X485/(3*F_GAMMA*X$29)</f>
        <v>0.8251669736305044</v>
      </c>
      <c r="Y486" s="111"/>
      <c r="Z486" s="28"/>
      <c r="AA486" s="96">
        <f ca="1">1-AA485/(3*F_GAMMA*AA$29)</f>
        <v>0.82586153901878134</v>
      </c>
      <c r="AB486" s="111"/>
      <c r="AC486" s="28"/>
      <c r="AD486" s="96">
        <f ca="1">1-AD485/(3*F_GAMMA*AD$29)</f>
        <v>0.82873903433597762</v>
      </c>
      <c r="AE486" s="111"/>
      <c r="AF486" s="28"/>
      <c r="AG486" s="96">
        <f ca="1">1-AG485/(3*F_GAMMA*AG$29)</f>
        <v>0.83483144841295154</v>
      </c>
      <c r="AH486" s="111"/>
      <c r="AI486" s="28"/>
      <c r="AJ486" s="96">
        <f ca="1">1-AJ485/(3*F_GAMMA*AJ$29)</f>
        <v>0.85100390865809328</v>
      </c>
      <c r="AK486" s="111"/>
      <c r="AL486" s="28"/>
      <c r="AM486" s="96">
        <f ca="1">1-AM485/(3*F_GAMMA*AM$29)</f>
        <v>0.8743966052806601</v>
      </c>
      <c r="AN486" s="111"/>
      <c r="AO486" s="28"/>
      <c r="AP486" s="96">
        <f ca="1">1-AP485/(3*F_GAMMA*AP$29)</f>
        <v>0.93981956662804711</v>
      </c>
      <c r="AQ486" s="111"/>
      <c r="AR486" s="28"/>
      <c r="AS486" s="96">
        <f ca="1">1-AS485/(3*F_GAMMA*AS$29)</f>
        <v>1.0222617323959806</v>
      </c>
      <c r="AT486" s="111"/>
      <c r="AU486" s="28"/>
    </row>
    <row r="487" spans="15:47" x14ac:dyDescent="0.25">
      <c r="O487" s="2" t="s">
        <v>57</v>
      </c>
      <c r="P487" s="143">
        <v>7</v>
      </c>
      <c r="Q487" s="2"/>
      <c r="R487" s="96">
        <f ca="1">(R480/(N_9*R$27*R482*R486))*SQRT(M*'Valve Sizing'!$W$6*'Valve Sizing'!$G$8/R485)</f>
        <v>0.24249422443382285</v>
      </c>
      <c r="S487" s="107"/>
      <c r="T487" s="22"/>
      <c r="U487" s="96">
        <f ca="1">(U480/(N_9*U$27*U482*U486))*SQRT(M*'Valve Sizing'!$W$6*'Valve Sizing'!$G$8/U485)</f>
        <v>6.5107734237162749</v>
      </c>
      <c r="V487" s="111"/>
      <c r="W487" s="28"/>
      <c r="X487" s="96">
        <f ca="1">(X480/(N_9*X$27*X482*X486))*SQRT(M*'Valve Sizing'!$W$6*'Valve Sizing'!$G$8/X485)</f>
        <v>16.077564420909038</v>
      </c>
      <c r="Y487" s="111"/>
      <c r="Z487" s="28"/>
      <c r="AA487" s="96">
        <f ca="1">(AA480/(N_9*AA$27*AA482*AA486))*SQRT(M*'Valve Sizing'!$W$6*'Valve Sizing'!$G$8/AA485)</f>
        <v>32.040539973979214</v>
      </c>
      <c r="AB487" s="111"/>
      <c r="AC487" s="28"/>
      <c r="AD487" s="96">
        <f ca="1">(AD480/(N_9*AD$27*AD482*AD486))*SQRT(M*'Valve Sizing'!$W$6*'Valve Sizing'!$G$8/AD485)</f>
        <v>56.768375388456896</v>
      </c>
      <c r="AE487" s="111"/>
      <c r="AF487" s="28"/>
      <c r="AG487" s="96">
        <f ca="1">(AG480/(N_9*AG$27*AG482*AG486))*SQRT(M*'Valve Sizing'!$W$6*'Valve Sizing'!$G$8/AG485)</f>
        <v>91.769286415712756</v>
      </c>
      <c r="AH487" s="111"/>
      <c r="AI487" s="28"/>
      <c r="AJ487" s="96">
        <f ca="1">(AJ480/(N_9*AJ$27*AJ482*AJ486))*SQRT(M*'Valve Sizing'!$W$6*'Valve Sizing'!$G$8/AJ485)</f>
        <v>144.63379673218384</v>
      </c>
      <c r="AK487" s="111"/>
      <c r="AL487" s="28"/>
      <c r="AM487" s="96">
        <f ca="1">(AM480/(N_9*AM$27*AM482*AM486))*SQRT(M*'Valve Sizing'!$W$6*'Valve Sizing'!$G$8/AM485)</f>
        <v>225.97921453027118</v>
      </c>
      <c r="AN487" s="111"/>
      <c r="AO487" s="28"/>
      <c r="AP487" s="96">
        <f ca="1">(AP480/(N_9*AP$27*AP482*AP486))*SQRT(M*'Valve Sizing'!$W$6*'Valve Sizing'!$G$8/AP485)</f>
        <v>392.09113641022822</v>
      </c>
      <c r="AQ487" s="111"/>
      <c r="AR487" s="28"/>
      <c r="AS487" s="96" t="e">
        <f ca="1">(AS480/(N_9*AS$27*AS482*AS486))*SQRT(M*'Valve Sizing'!$W$6*'Valve Sizing'!$G$8/AS485)</f>
        <v>#NUM!</v>
      </c>
      <c r="AT487" s="111"/>
      <c r="AU487" s="28"/>
    </row>
    <row r="488" spans="15:47" x14ac:dyDescent="0.25">
      <c r="O488" s="2" t="s">
        <v>59</v>
      </c>
      <c r="P488" s="143">
        <v>7</v>
      </c>
      <c r="Q488" s="2"/>
      <c r="R488" s="96">
        <f ca="1">(R480/(N_9*R$27*R482*0.667))*SQRT(M*'Valve Sizing'!$W$6*'Valve Sizing'!$G$8/R489)</f>
        <v>0.21707914832433364</v>
      </c>
      <c r="S488" s="107"/>
      <c r="T488" s="22"/>
      <c r="U488" s="96">
        <f ca="1">(U480/(N_9*U$27*U482*0.667))*SQRT(M*'Valve Sizing'!$W$6*'Valve Sizing'!$G$8/U489)</f>
        <v>5.8262547630794295</v>
      </c>
      <c r="V488" s="111"/>
      <c r="W488" s="28"/>
      <c r="X488" s="96">
        <f ca="1">(X480/(N_9*X$27*X482*0.667))*SQRT(M*'Valve Sizing'!$W$6*'Valve Sizing'!$G$8/X489)</f>
        <v>14.404846244031402</v>
      </c>
      <c r="Y488" s="111"/>
      <c r="Z488" s="28"/>
      <c r="AA488" s="96">
        <f ca="1">(AA480/(N_9*AA$27*AA482*0.667))*SQRT(M*'Valve Sizing'!$W$6*'Valve Sizing'!$G$8/AA489)</f>
        <v>28.674061483243747</v>
      </c>
      <c r="AB488" s="111"/>
      <c r="AC488" s="28"/>
      <c r="AD488" s="96">
        <f ca="1">(AD480/(N_9*AD$27*AD482*0.667))*SQRT(M*'Valve Sizing'!$W$6*'Valve Sizing'!$G$8/AD489)</f>
        <v>50.557809401810957</v>
      </c>
      <c r="AE488" s="111"/>
      <c r="AF488" s="28"/>
      <c r="AG488" s="96">
        <f ca="1">(AG480/(N_9*AG$27*AG482*0.667))*SQRT(M*'Valve Sizing'!$W$6*'Valve Sizing'!$G$8/AG489)</f>
        <v>80.852718937089733</v>
      </c>
      <c r="AH488" s="111"/>
      <c r="AI488" s="28"/>
      <c r="AJ488" s="96">
        <f ca="1">(AJ480/(N_9*AJ$27*AJ482*0.667))*SQRT(M*'Valve Sizing'!$W$6*'Valve Sizing'!$G$8/AJ489)</f>
        <v>123.37397936476999</v>
      </c>
      <c r="AK488" s="111"/>
      <c r="AL488" s="28"/>
      <c r="AM488" s="96">
        <f ca="1">(AM480/(N_9*AM$27*AM482*0.667))*SQRT(M*'Valve Sizing'!$W$6*'Valve Sizing'!$G$8/AM489)</f>
        <v>181.84963753511533</v>
      </c>
      <c r="AN488" s="111"/>
      <c r="AO488" s="28"/>
      <c r="AP488" s="96">
        <f ca="1">(AP480/(N_9*AP$27*AP482*0.667))*SQRT(M*'Valve Sizing'!$W$6*'Valve Sizing'!$G$8/AP489)</f>
        <v>234.74370575907048</v>
      </c>
      <c r="AQ488" s="111"/>
      <c r="AR488" s="28"/>
      <c r="AS488" s="96">
        <f ca="1">(AS480/(N_9*AS$27*AS482*0.667))*SQRT(M*'Valve Sizing'!$W$6*'Valve Sizing'!$G$8/AS489)</f>
        <v>529.69890966773755</v>
      </c>
      <c r="AT488" s="111"/>
      <c r="AU488" s="28"/>
    </row>
    <row r="489" spans="15:47" ht="15.6" x14ac:dyDescent="0.35">
      <c r="O489" s="2" t="s">
        <v>68</v>
      </c>
      <c r="P489" s="143">
        <v>10</v>
      </c>
      <c r="Q489" s="2"/>
      <c r="R489" s="96">
        <f ca="1">F_GAMMA*R$29</f>
        <v>0.64002969751372984</v>
      </c>
      <c r="S489" s="107"/>
      <c r="T489" s="1"/>
      <c r="U489" s="96">
        <f ca="1">F_GAMMA*U$29</f>
        <v>0.64017842058782071</v>
      </c>
      <c r="V489" s="111"/>
      <c r="W489" s="28"/>
      <c r="X489" s="96">
        <f ca="1">F_GAMMA*X$29</f>
        <v>0.63413873724904268</v>
      </c>
      <c r="Y489" s="111"/>
      <c r="Z489" s="28"/>
      <c r="AA489" s="96">
        <f ca="1">F_GAMMA*AA$29</f>
        <v>0.62532411750377137</v>
      </c>
      <c r="AB489" s="111"/>
      <c r="AC489" s="28"/>
      <c r="AD489" s="96">
        <f ca="1">F_GAMMA*AD$29</f>
        <v>0.60651359509139569</v>
      </c>
      <c r="AE489" s="111"/>
      <c r="AF489" s="28"/>
      <c r="AG489" s="96">
        <f ca="1">F_GAMMA*AG$29</f>
        <v>0.57217930198481592</v>
      </c>
      <c r="AH489" s="111"/>
      <c r="AI489" s="28"/>
      <c r="AJ489" s="96">
        <f ca="1">F_GAMMA*AJ$29</f>
        <v>0.53183282018848232</v>
      </c>
      <c r="AK489" s="111"/>
      <c r="AL489" s="28"/>
      <c r="AM489" s="96">
        <f ca="1">F_GAMMA*AM$29</f>
        <v>0.47566512503094399</v>
      </c>
      <c r="AN489" s="111"/>
      <c r="AO489" s="28"/>
      <c r="AP489" s="96">
        <f ca="1">F_GAMMA*AP$29</f>
        <v>0.59054158265645496</v>
      </c>
      <c r="AQ489" s="111"/>
      <c r="AR489" s="28"/>
      <c r="AS489" s="96">
        <f ca="1">F_GAMMA*AS$29</f>
        <v>0.3766899554102966</v>
      </c>
      <c r="AT489" s="111"/>
      <c r="AU489" s="28"/>
    </row>
    <row r="490" spans="15:47" x14ac:dyDescent="0.25">
      <c r="O490" s="2" t="s">
        <v>145</v>
      </c>
      <c r="P490" s="12"/>
      <c r="Q490" s="2"/>
      <c r="R490" s="96">
        <f ca="1">IF(R485&lt;R489,R487,R488)</f>
        <v>0.24249422443382285</v>
      </c>
      <c r="S490" s="116"/>
      <c r="T490" s="1"/>
      <c r="U490" s="96">
        <f ca="1">IF(U485&lt;U489,U487,U488)</f>
        <v>6.5107734237162749</v>
      </c>
      <c r="V490" s="111"/>
      <c r="W490" s="28"/>
      <c r="X490" s="96">
        <f ca="1">IF(X485&lt;X489,X487,X488)</f>
        <v>16.077564420909038</v>
      </c>
      <c r="Y490" s="111"/>
      <c r="Z490" s="28"/>
      <c r="AA490" s="96">
        <f ca="1">IF(AA485&lt;AA489,AA487,AA488)</f>
        <v>32.040539973979214</v>
      </c>
      <c r="AB490" s="111"/>
      <c r="AC490" s="28"/>
      <c r="AD490" s="96">
        <f ca="1">IF(AD485&lt;AD489,AD487,AD488)</f>
        <v>56.768375388456896</v>
      </c>
      <c r="AE490" s="111"/>
      <c r="AF490" s="28"/>
      <c r="AG490" s="96">
        <f ca="1">IF(AG485&lt;AG489,AG487,AG488)</f>
        <v>91.769286415712756</v>
      </c>
      <c r="AH490" s="111"/>
      <c r="AI490" s="28"/>
      <c r="AJ490" s="96">
        <f ca="1">IF(AJ485&lt;AJ489,AJ487,AJ488)</f>
        <v>144.63379673218384</v>
      </c>
      <c r="AK490" s="111"/>
      <c r="AL490" s="28"/>
      <c r="AM490" s="96">
        <f ca="1">IF(AM485&lt;AM489,AM487,AM488)</f>
        <v>225.97921453027118</v>
      </c>
      <c r="AN490" s="111"/>
      <c r="AO490" s="28"/>
      <c r="AP490" s="96">
        <f ca="1">IF(AP485&lt;AP489,AP487,AP488)</f>
        <v>392.09113641022822</v>
      </c>
      <c r="AQ490" s="111"/>
      <c r="AR490" s="28"/>
      <c r="AS490" s="96" t="e">
        <f ca="1">IF(AS485&lt;AS489,AS487,AS488)</f>
        <v>#NUM!</v>
      </c>
      <c r="AT490" s="111"/>
      <c r="AU490" s="28"/>
    </row>
    <row r="491" spans="15:47" x14ac:dyDescent="0.25">
      <c r="O491" s="13" t="s">
        <v>143</v>
      </c>
      <c r="P491" s="1"/>
      <c r="Q491" s="1"/>
      <c r="R491" s="113"/>
      <c r="S491" s="106">
        <f ca="1">IF(R484&lt;=0,Q_max,ABS(R$23-R490))</f>
        <v>4.4875057755661771</v>
      </c>
      <c r="T491" s="7">
        <f>R480</f>
        <v>600.47116886118317</v>
      </c>
      <c r="U491" s="98"/>
      <c r="V491" s="106">
        <f ca="1">IF(U484&lt;=0,Q_max,ABS(U$23-U490))</f>
        <v>5.0892265762837248</v>
      </c>
      <c r="W491" s="9">
        <f ca="1">U480</f>
        <v>16099.110648249474</v>
      </c>
      <c r="X491" s="98"/>
      <c r="Y491" s="106">
        <f ca="1">IF(X484&lt;=0,Q_max,ABS(X$23-X490))</f>
        <v>6.922435579090962</v>
      </c>
      <c r="Z491" s="9">
        <f ca="1">X480</f>
        <v>39420.808366084959</v>
      </c>
      <c r="AA491" s="98"/>
      <c r="AB491" s="106">
        <f ca="1">IF(AA484&lt;=0,Q_max,ABS(AA$23-AA490))</f>
        <v>7.3594600260207841</v>
      </c>
      <c r="AC491" s="9">
        <f ca="1">AA480</f>
        <v>76781.672716607689</v>
      </c>
      <c r="AD491" s="98"/>
      <c r="AE491" s="106">
        <f ca="1">IF(AD484&lt;=0,Q_max,ABS(AD$23-AD490))</f>
        <v>4.2316246115431042</v>
      </c>
      <c r="AF491" s="9">
        <f ca="1">AD480</f>
        <v>128815.76168804636</v>
      </c>
      <c r="AG491" s="98"/>
      <c r="AH491" s="106">
        <f ca="1">IF(AG484&lt;=0,Q_max,ABS(AG$23-AG490))</f>
        <v>3.5692864157127531</v>
      </c>
      <c r="AI491" s="9">
        <f ca="1">AG480</f>
        <v>188010.11262805152</v>
      </c>
      <c r="AJ491" s="98"/>
      <c r="AK491" s="106">
        <f ca="1">IF(AJ484&lt;=0,Q_max,ABS(AJ$23-AJ490))</f>
        <v>23.633796732183839</v>
      </c>
      <c r="AL491" s="9">
        <f ca="1">AJ480</f>
        <v>250900.22413597693</v>
      </c>
      <c r="AM491" s="98"/>
      <c r="AN491" s="106">
        <f ca="1">IF(AM484&lt;=0,Q_max,ABS(AM$23-AM490))</f>
        <v>60.979214530271179</v>
      </c>
      <c r="AO491" s="9">
        <f ca="1">AM480</f>
        <v>306145.95451143157</v>
      </c>
      <c r="AP491" s="98"/>
      <c r="AQ491" s="106">
        <f ca="1">IF(AP484&lt;=0,Q_max,ABS(AP$23-AP490))</f>
        <v>146.09113641022822</v>
      </c>
      <c r="AR491" s="9">
        <f ca="1">AP480</f>
        <v>355425.9489998878</v>
      </c>
      <c r="AS491" s="98"/>
      <c r="AT491" s="106">
        <f ca="1">IF(AS484&lt;=0,Q_max,ABS(AS$23-AS490))</f>
        <v>236393</v>
      </c>
      <c r="AU491" s="9">
        <f ca="1">AS480</f>
        <v>416764.87764900801</v>
      </c>
    </row>
    <row r="492" spans="15:47" x14ac:dyDescent="0.25">
      <c r="O492" s="21"/>
      <c r="P492" s="14"/>
      <c r="Q492" s="21"/>
      <c r="R492" s="97"/>
      <c r="S492" s="106"/>
      <c r="T492" s="28"/>
      <c r="U492" s="97"/>
      <c r="V492" s="111"/>
      <c r="W492" s="28"/>
      <c r="X492" s="97"/>
      <c r="Y492" s="111"/>
      <c r="Z492" s="28"/>
      <c r="AA492" s="97"/>
      <c r="AB492" s="111"/>
      <c r="AC492" s="28"/>
      <c r="AD492" s="97"/>
      <c r="AE492" s="111"/>
      <c r="AF492" s="28"/>
      <c r="AG492" s="97"/>
      <c r="AH492" s="111"/>
      <c r="AI492" s="28"/>
      <c r="AJ492" s="97"/>
      <c r="AK492" s="111"/>
      <c r="AL492" s="28"/>
      <c r="AM492" s="97"/>
      <c r="AN492" s="111"/>
      <c r="AO492" s="28"/>
      <c r="AP492" s="97"/>
      <c r="AQ492" s="111"/>
      <c r="AR492" s="28"/>
      <c r="AS492" s="97"/>
      <c r="AT492" s="111"/>
      <c r="AU492" s="28"/>
    </row>
    <row r="493" spans="15:47" x14ac:dyDescent="0.25">
      <c r="O493" s="1"/>
      <c r="P493" s="1"/>
      <c r="Q493" s="1"/>
      <c r="R493" s="98"/>
      <c r="S493" s="108" t="s">
        <v>137</v>
      </c>
      <c r="T493" s="26" t="s">
        <v>146</v>
      </c>
      <c r="U493" s="98"/>
      <c r="V493" s="108" t="s">
        <v>137</v>
      </c>
      <c r="W493" s="26" t="s">
        <v>146</v>
      </c>
      <c r="X493" s="98"/>
      <c r="Y493" s="108" t="s">
        <v>137</v>
      </c>
      <c r="Z493" s="26" t="s">
        <v>146</v>
      </c>
      <c r="AA493" s="98"/>
      <c r="AB493" s="108" t="s">
        <v>137</v>
      </c>
      <c r="AC493" s="26" t="s">
        <v>146</v>
      </c>
      <c r="AD493" s="98"/>
      <c r="AE493" s="108" t="s">
        <v>137</v>
      </c>
      <c r="AF493" s="26" t="s">
        <v>146</v>
      </c>
      <c r="AG493" s="98"/>
      <c r="AH493" s="108" t="s">
        <v>137</v>
      </c>
      <c r="AI493" s="26" t="s">
        <v>146</v>
      </c>
      <c r="AJ493" s="98"/>
      <c r="AK493" s="108" t="s">
        <v>137</v>
      </c>
      <c r="AL493" s="26" t="s">
        <v>146</v>
      </c>
      <c r="AM493" s="98"/>
      <c r="AN493" s="108" t="s">
        <v>137</v>
      </c>
      <c r="AO493" s="26" t="s">
        <v>146</v>
      </c>
      <c r="AP493" s="98"/>
      <c r="AQ493" s="108" t="s">
        <v>137</v>
      </c>
      <c r="AR493" s="26" t="s">
        <v>146</v>
      </c>
      <c r="AS493" s="98"/>
      <c r="AT493" s="108" t="s">
        <v>137</v>
      </c>
      <c r="AU493" s="26" t="s">
        <v>146</v>
      </c>
    </row>
    <row r="494" spans="15:47" ht="13.8" x14ac:dyDescent="0.25">
      <c r="O494" s="20" t="s">
        <v>136</v>
      </c>
      <c r="P494" s="1"/>
      <c r="Q494" s="1"/>
      <c r="R494" s="96">
        <f>R480*1.02</f>
        <v>612.48059223840687</v>
      </c>
      <c r="S494" s="109" t="s">
        <v>144</v>
      </c>
      <c r="T494" s="23" t="s">
        <v>147</v>
      </c>
      <c r="U494" s="96">
        <f ca="1">U480*1.01</f>
        <v>16260.10175473197</v>
      </c>
      <c r="V494" s="109" t="s">
        <v>144</v>
      </c>
      <c r="W494" s="23" t="s">
        <v>147</v>
      </c>
      <c r="X494" s="96">
        <f ca="1">X480*1.01</f>
        <v>39815.01644974581</v>
      </c>
      <c r="Y494" s="109" t="s">
        <v>144</v>
      </c>
      <c r="Z494" s="23" t="s">
        <v>147</v>
      </c>
      <c r="AA494" s="96">
        <f ca="1">AA480*1.01</f>
        <v>77549.489443773768</v>
      </c>
      <c r="AB494" s="109" t="s">
        <v>144</v>
      </c>
      <c r="AC494" s="23" t="s">
        <v>147</v>
      </c>
      <c r="AD494" s="96">
        <f ca="1">AD480*1.01</f>
        <v>130103.91930492682</v>
      </c>
      <c r="AE494" s="109" t="s">
        <v>144</v>
      </c>
      <c r="AF494" s="23" t="s">
        <v>147</v>
      </c>
      <c r="AG494" s="96">
        <f ca="1">AG480*1.01</f>
        <v>189890.21375433204</v>
      </c>
      <c r="AH494" s="109" t="s">
        <v>144</v>
      </c>
      <c r="AI494" s="23" t="s">
        <v>147</v>
      </c>
      <c r="AJ494" s="96">
        <f ca="1">AJ480*1.01</f>
        <v>253409.22637733669</v>
      </c>
      <c r="AK494" s="109" t="s">
        <v>144</v>
      </c>
      <c r="AL494" s="23" t="s">
        <v>147</v>
      </c>
      <c r="AM494" s="96">
        <f ca="1">AM480*1.01</f>
        <v>309207.41405654588</v>
      </c>
      <c r="AN494" s="109" t="s">
        <v>144</v>
      </c>
      <c r="AO494" s="23" t="s">
        <v>147</v>
      </c>
      <c r="AP494" s="96">
        <f ca="1">AP480*1.01</f>
        <v>358980.20848988666</v>
      </c>
      <c r="AQ494" s="109" t="s">
        <v>144</v>
      </c>
      <c r="AR494" s="23" t="s">
        <v>147</v>
      </c>
      <c r="AS494" s="96">
        <f ca="1">AS480*1.01</f>
        <v>420932.52642549807</v>
      </c>
      <c r="AT494" s="109" t="s">
        <v>144</v>
      </c>
      <c r="AU494" s="23" t="s">
        <v>147</v>
      </c>
    </row>
    <row r="495" spans="15:47" x14ac:dyDescent="0.25">
      <c r="O495" s="1"/>
      <c r="P495" s="1"/>
      <c r="Q495" s="1"/>
      <c r="R495" s="98"/>
      <c r="S495" s="107"/>
      <c r="T495" s="1"/>
      <c r="U495" s="47"/>
      <c r="V495" s="107"/>
      <c r="W495" s="1"/>
      <c r="X495" s="47"/>
      <c r="Y495" s="107"/>
      <c r="Z495" s="1"/>
      <c r="AA495" s="47"/>
      <c r="AB495" s="107"/>
      <c r="AC495" s="1"/>
      <c r="AD495" s="47"/>
      <c r="AE495" s="107"/>
      <c r="AF495" s="1"/>
      <c r="AG495" s="47"/>
      <c r="AH495" s="107"/>
      <c r="AI495" s="1"/>
      <c r="AJ495" s="47"/>
      <c r="AK495" s="107"/>
      <c r="AL495" s="1"/>
      <c r="AM495" s="47"/>
      <c r="AN495" s="107"/>
      <c r="AO495" s="1"/>
      <c r="AP495" s="47"/>
      <c r="AQ495" s="107"/>
      <c r="AR495" s="1"/>
      <c r="AS495" s="47"/>
      <c r="AT495" s="107"/>
      <c r="AU495" s="1"/>
    </row>
    <row r="496" spans="15:47" x14ac:dyDescent="0.25">
      <c r="O496" s="8" t="s">
        <v>132</v>
      </c>
      <c r="P496" s="8"/>
      <c r="Q496" s="8"/>
      <c r="R496" s="96">
        <f>P_1_minQ-(R494^2*R_up)+dpup_minQ</f>
        <v>90.184972158268678</v>
      </c>
      <c r="S496" s="106"/>
      <c r="T496" s="22"/>
      <c r="U496" s="96">
        <f ca="1">P_1_minQ-(U494^2*R_up)+dpup_minQ</f>
        <v>90.136852402254391</v>
      </c>
      <c r="V496" s="107"/>
      <c r="W496" s="1"/>
      <c r="X496" s="96">
        <f ca="1">P_1_minQ-(X494^2*R_up)+dpup_minQ</f>
        <v>89.896114057197508</v>
      </c>
      <c r="Y496" s="107"/>
      <c r="Z496" s="1"/>
      <c r="AA496" s="96">
        <f ca="1">P_1_minQ-(AA494^2*R_up)+dpup_minQ</f>
        <v>89.088937387336514</v>
      </c>
      <c r="AB496" s="107"/>
      <c r="AC496" s="1"/>
      <c r="AD496" s="96">
        <f ca="1">P_1_minQ-(AD494^2*R_up)+dpup_minQ</f>
        <v>87.09990465160719</v>
      </c>
      <c r="AE496" s="107"/>
      <c r="AF496" s="1"/>
      <c r="AG496" s="96">
        <f ca="1">P_1_minQ-(AG494^2*R_up)+dpup_minQ</f>
        <v>83.613023140747487</v>
      </c>
      <c r="AH496" s="107"/>
      <c r="AI496" s="1"/>
      <c r="AJ496" s="96">
        <f ca="1">P_1_minQ-(AJ494^2*R_up)+dpup_minQ</f>
        <v>78.480930840592691</v>
      </c>
      <c r="AK496" s="107"/>
      <c r="AL496" s="1"/>
      <c r="AM496" s="96">
        <f ca="1">P_1_minQ-(AM494^2*R_up)+dpup_minQ</f>
        <v>72.759216079378035</v>
      </c>
      <c r="AN496" s="107"/>
      <c r="AO496" s="1"/>
      <c r="AP496" s="96">
        <f ca="1">P_1_minQ-(AP494^2*R_up)+dpup_minQ</f>
        <v>66.697661945358675</v>
      </c>
      <c r="AQ496" s="107"/>
      <c r="AR496" s="1"/>
      <c r="AS496" s="96">
        <f ca="1">P_1_minQ-(AS494^2*R_up)+dpup_minQ</f>
        <v>57.891288281820678</v>
      </c>
      <c r="AT496" s="107"/>
      <c r="AU496" s="1"/>
    </row>
    <row r="497" spans="15:47" x14ac:dyDescent="0.25">
      <c r="O497" s="8" t="s">
        <v>134</v>
      </c>
      <c r="P497" s="1"/>
      <c r="Q497" s="8"/>
      <c r="R497" s="97">
        <f>P_2_minQ+(R494^2*R_dn)-dpdn_minQ</f>
        <v>60</v>
      </c>
      <c r="S497" s="106"/>
      <c r="T497" s="22"/>
      <c r="U497" s="97">
        <f ca="1">P_2_minQ+(U494^2*R_dn)-dpdn_minQ</f>
        <v>60</v>
      </c>
      <c r="V497" s="107"/>
      <c r="W497" s="1"/>
      <c r="X497" s="97">
        <f ca="1">P_2_minQ+(X494^2*R_dn)-dpdn_minQ</f>
        <v>60</v>
      </c>
      <c r="Y497" s="107"/>
      <c r="Z497" s="1"/>
      <c r="AA497" s="97">
        <f ca="1">P_2_minQ+(AA494^2*R_dn)-dpdn_minQ</f>
        <v>60</v>
      </c>
      <c r="AB497" s="107"/>
      <c r="AC497" s="1"/>
      <c r="AD497" s="97">
        <f ca="1">P_2_minQ+(AD494^2*R_dn)-dpdn_minQ</f>
        <v>60</v>
      </c>
      <c r="AE497" s="107"/>
      <c r="AF497" s="1"/>
      <c r="AG497" s="97">
        <f ca="1">P_2_minQ+(AG494^2*R_dn)-dpdn_minQ</f>
        <v>60</v>
      </c>
      <c r="AH497" s="107"/>
      <c r="AI497" s="1"/>
      <c r="AJ497" s="97">
        <f ca="1">P_2_minQ+(AJ494^2*R_dn)-dpdn_minQ</f>
        <v>60</v>
      </c>
      <c r="AK497" s="107"/>
      <c r="AL497" s="1"/>
      <c r="AM497" s="97">
        <f ca="1">P_2_minQ+(AM494^2*R_dn)-dpdn_minQ</f>
        <v>60</v>
      </c>
      <c r="AN497" s="107"/>
      <c r="AO497" s="1"/>
      <c r="AP497" s="97">
        <f ca="1">P_2_minQ+(AP494^2*R_dn)-dpdn_minQ</f>
        <v>60</v>
      </c>
      <c r="AQ497" s="107"/>
      <c r="AR497" s="1"/>
      <c r="AS497" s="97">
        <f ca="1">P_2_minQ+(AS494^2*R_dn)-dpdn_minQ</f>
        <v>60</v>
      </c>
      <c r="AT497" s="107"/>
      <c r="AU497" s="1"/>
    </row>
    <row r="498" spans="15:47" x14ac:dyDescent="0.25">
      <c r="O498" s="8" t="s">
        <v>138</v>
      </c>
      <c r="P498" s="1"/>
      <c r="Q498" s="8"/>
      <c r="R498" s="97">
        <f>R496-R497</f>
        <v>30.184972158268678</v>
      </c>
      <c r="S498" s="106"/>
      <c r="T498" s="22"/>
      <c r="U498" s="97">
        <f ca="1">U496-U497</f>
        <v>30.136852402254391</v>
      </c>
      <c r="V498" s="110"/>
      <c r="W498" s="25"/>
      <c r="X498" s="97">
        <f ca="1">X496-X497</f>
        <v>29.896114057197508</v>
      </c>
      <c r="Y498" s="110"/>
      <c r="Z498" s="25"/>
      <c r="AA498" s="97">
        <f ca="1">AA496-AA497</f>
        <v>29.088937387336514</v>
      </c>
      <c r="AB498" s="110"/>
      <c r="AC498" s="25"/>
      <c r="AD498" s="97">
        <f ca="1">AD496-AD497</f>
        <v>27.09990465160719</v>
      </c>
      <c r="AE498" s="110"/>
      <c r="AF498" s="25"/>
      <c r="AG498" s="97">
        <f ca="1">AG496-AG497</f>
        <v>23.613023140747487</v>
      </c>
      <c r="AH498" s="110"/>
      <c r="AI498" s="25"/>
      <c r="AJ498" s="97">
        <f ca="1">AJ496-AJ497</f>
        <v>18.480930840592691</v>
      </c>
      <c r="AK498" s="110"/>
      <c r="AL498" s="25"/>
      <c r="AM498" s="97">
        <f ca="1">AM496-AM497</f>
        <v>12.759216079378035</v>
      </c>
      <c r="AN498" s="110"/>
      <c r="AO498" s="25"/>
      <c r="AP498" s="97">
        <f ca="1">AP496-AP497</f>
        <v>6.697661945358675</v>
      </c>
      <c r="AQ498" s="110"/>
      <c r="AR498" s="25"/>
      <c r="AS498" s="97">
        <f ca="1">AS496-AS497</f>
        <v>-2.1087117181793218</v>
      </c>
      <c r="AT498" s="110"/>
      <c r="AU498" s="25"/>
    </row>
    <row r="499" spans="15:47" ht="14.4" x14ac:dyDescent="0.3">
      <c r="O499" s="2" t="s">
        <v>140</v>
      </c>
      <c r="P499" s="11"/>
      <c r="Q499" s="2"/>
      <c r="R499" s="96">
        <f>R498/R496</f>
        <v>0.33470068721977364</v>
      </c>
      <c r="S499" s="106"/>
      <c r="T499" s="22"/>
      <c r="U499" s="96">
        <f ca="1">U498/U496</f>
        <v>0.33434551572493831</v>
      </c>
      <c r="V499" s="111"/>
      <c r="W499" s="28"/>
      <c r="X499" s="96">
        <f ca="1">X498/X496</f>
        <v>0.33256291855035847</v>
      </c>
      <c r="Y499" s="111"/>
      <c r="Z499" s="28"/>
      <c r="AA499" s="96">
        <f ca="1">AA498/AA496</f>
        <v>0.32651570711709199</v>
      </c>
      <c r="AB499" s="111"/>
      <c r="AC499" s="28"/>
      <c r="AD499" s="96">
        <f ca="1">AD498/AD496</f>
        <v>0.31113587046971741</v>
      </c>
      <c r="AE499" s="111"/>
      <c r="AF499" s="28"/>
      <c r="AG499" s="96">
        <f ca="1">AG498/AG496</f>
        <v>0.28240843655418618</v>
      </c>
      <c r="AH499" s="111"/>
      <c r="AI499" s="28"/>
      <c r="AJ499" s="96">
        <f ca="1">AJ498/AJ496</f>
        <v>0.2354830739473569</v>
      </c>
      <c r="AK499" s="111"/>
      <c r="AL499" s="28"/>
      <c r="AM499" s="96">
        <f ca="1">AM498/AM496</f>
        <v>0.17536219831530522</v>
      </c>
      <c r="AN499" s="111"/>
      <c r="AO499" s="28"/>
      <c r="AP499" s="96">
        <f ca="1">AP498/AP496</f>
        <v>0.10041824180952041</v>
      </c>
      <c r="AQ499" s="111"/>
      <c r="AR499" s="28"/>
      <c r="AS499" s="96">
        <f ca="1">AS498/AS496</f>
        <v>-3.6425372120134879E-2</v>
      </c>
      <c r="AT499" s="111"/>
      <c r="AU499" s="28"/>
    </row>
    <row r="500" spans="15:47" x14ac:dyDescent="0.25">
      <c r="O500" s="2" t="s">
        <v>21</v>
      </c>
      <c r="P500" s="8">
        <v>12</v>
      </c>
      <c r="Q500" s="2"/>
      <c r="R500" s="96">
        <f ca="1">1-R499/(3*F_GAMMA*R$29)</f>
        <v>0.82568481404328709</v>
      </c>
      <c r="S500" s="106"/>
      <c r="T500" s="22"/>
      <c r="U500" s="96">
        <f ca="1">1-U499/(3*F_GAMMA*U$29)</f>
        <v>0.82591024367970334</v>
      </c>
      <c r="V500" s="111"/>
      <c r="W500" s="28"/>
      <c r="X500" s="96">
        <f ca="1">1-X499/(3*F_GAMMA*X$29)</f>
        <v>0.82518919020094894</v>
      </c>
      <c r="Y500" s="111"/>
      <c r="Z500" s="28"/>
      <c r="AA500" s="96">
        <f ca="1">1-AA499/(3*F_GAMMA*AA$29)</f>
        <v>0.82594855053167804</v>
      </c>
      <c r="AB500" s="111"/>
      <c r="AC500" s="28"/>
      <c r="AD500" s="96">
        <f ca="1">1-AD499/(3*F_GAMMA*AD$29)</f>
        <v>0.82900307979475585</v>
      </c>
      <c r="AE500" s="111"/>
      <c r="AF500" s="28"/>
      <c r="AG500" s="96">
        <f ca="1">1-AG499/(3*F_GAMMA*AG$29)</f>
        <v>0.83547789094866598</v>
      </c>
      <c r="AH500" s="111"/>
      <c r="AI500" s="28"/>
      <c r="AJ500" s="96">
        <f ca="1">1-AJ499/(3*F_GAMMA*AJ$29)</f>
        <v>0.85240783381019281</v>
      </c>
      <c r="AK500" s="111"/>
      <c r="AL500" s="28"/>
      <c r="AM500" s="96">
        <f ca="1">1-AM499/(3*F_GAMMA*AM$29)</f>
        <v>0.87711088530760151</v>
      </c>
      <c r="AN500" s="111"/>
      <c r="AO500" s="28"/>
      <c r="AP500" s="96">
        <f ca="1">1-AP499/(3*F_GAMMA*AP$29)</f>
        <v>0.94331856002541181</v>
      </c>
      <c r="AQ500" s="111"/>
      <c r="AR500" s="28"/>
      <c r="AS500" s="96">
        <f ca="1">1-AS499/(3*F_GAMMA*AS$29)</f>
        <v>1.0322328496747055</v>
      </c>
      <c r="AT500" s="111"/>
      <c r="AU500" s="28"/>
    </row>
    <row r="501" spans="15:47" x14ac:dyDescent="0.25">
      <c r="O501" s="2" t="s">
        <v>57</v>
      </c>
      <c r="P501" s="143">
        <v>7</v>
      </c>
      <c r="Q501" s="2"/>
      <c r="R501" s="96">
        <f ca="1">(R494/(N_9*R$27*R496*R500))*SQRT(M*'Valve Sizing'!$W$6*'Valve Sizing'!$G$8/R499)</f>
        <v>0.24734412038539008</v>
      </c>
      <c r="S501" s="107"/>
      <c r="T501" s="22"/>
      <c r="U501" s="96">
        <f ca="1">(U494/(N_9*U$27*U496*U500))*SQRT(M*'Valve Sizing'!$W$6*'Valve Sizing'!$G$8/U499)</f>
        <v>6.575990313075387</v>
      </c>
      <c r="V501" s="111"/>
      <c r="W501" s="28"/>
      <c r="X501" s="96">
        <f ca="1">(X494/(N_9*X$27*X496*X500))*SQRT(M*'Valve Sizing'!$W$6*'Valve Sizing'!$G$8/X499)</f>
        <v>16.239963067340906</v>
      </c>
      <c r="Y501" s="111"/>
      <c r="Z501" s="28"/>
      <c r="AA501" s="96">
        <f ca="1">(AA494/(N_9*AA$27*AA496*AA500))*SQRT(M*'Valve Sizing'!$W$6*'Valve Sizing'!$G$8/AA499)</f>
        <v>32.373469585802042</v>
      </c>
      <c r="AB501" s="111"/>
      <c r="AC501" s="28"/>
      <c r="AD501" s="96">
        <f ca="1">(AD494/(N_9*AD$27*AD496*AD500))*SQRT(M*'Valve Sizing'!$W$6*'Valve Sizing'!$G$8/AD499)</f>
        <v>57.402068223407348</v>
      </c>
      <c r="AE501" s="111"/>
      <c r="AF501" s="28"/>
      <c r="AG501" s="96">
        <f ca="1">(AG494/(N_9*AG$27*AG496*AG500))*SQRT(M*'Valve Sizing'!$W$6*'Valve Sizing'!$G$8/AG499)</f>
        <v>92.940756215703033</v>
      </c>
      <c r="AH501" s="111"/>
      <c r="AI501" s="28"/>
      <c r="AJ501" s="96">
        <f ca="1">(AJ494/(N_9*AJ$27*AJ496*AJ500))*SQRT(M*'Valve Sizing'!$W$6*'Valve Sizing'!$G$8/AJ499)</f>
        <v>146.96210905236114</v>
      </c>
      <c r="AK501" s="111"/>
      <c r="AL501" s="28"/>
      <c r="AM501" s="96">
        <f ca="1">(AM494/(N_9*AM$27*AM496*AM500))*SQRT(M*'Valve Sizing'!$W$6*'Valve Sizing'!$G$8/AM499)</f>
        <v>231.11730642296416</v>
      </c>
      <c r="AN501" s="111"/>
      <c r="AO501" s="28"/>
      <c r="AP501" s="96">
        <f ca="1">(AP494/(N_9*AP$27*AP496*AP500))*SQRT(M*'Valve Sizing'!$W$6*'Valve Sizing'!$G$8/AP499)</f>
        <v>409.35938019697585</v>
      </c>
      <c r="AQ501" s="111"/>
      <c r="AR501" s="28"/>
      <c r="AS501" s="96" t="e">
        <f ca="1">(AS494/(N_9*AS$27*AS496*AS500))*SQRT(M*'Valve Sizing'!$W$6*'Valve Sizing'!$G$8/AS499)</f>
        <v>#NUM!</v>
      </c>
      <c r="AT501" s="111"/>
      <c r="AU501" s="28"/>
    </row>
    <row r="502" spans="15:47" x14ac:dyDescent="0.25">
      <c r="O502" s="2" t="s">
        <v>59</v>
      </c>
      <c r="P502" s="143">
        <v>7</v>
      </c>
      <c r="Q502" s="2"/>
      <c r="R502" s="96">
        <f ca="1">(R494/(N_9*R$27*R496*0.667))*SQRT(M*'Valve Sizing'!$W$6*'Valve Sizing'!$G$8/R503)</f>
        <v>0.22142073780925511</v>
      </c>
      <c r="S502" s="107"/>
      <c r="T502" s="22"/>
      <c r="U502" s="96">
        <f ca="1">(U494/(N_9*U$27*U496*0.667))*SQRT(M*'Valve Sizing'!$W$6*'Valve Sizing'!$G$8/U503)</f>
        <v>5.88457929788198</v>
      </c>
      <c r="V502" s="111"/>
      <c r="W502" s="28"/>
      <c r="X502" s="96">
        <f ca="1">(X494/(N_9*X$27*X496*0.667))*SQRT(M*'Valve Sizing'!$W$6*'Valve Sizing'!$G$8/X503)</f>
        <v>14.549816067265398</v>
      </c>
      <c r="Y502" s="111"/>
      <c r="Z502" s="28"/>
      <c r="AA502" s="96">
        <f ca="1">(AA494/(N_9*AA$27*AA496*0.667))*SQRT(M*'Valve Sizing'!$W$6*'Valve Sizing'!$G$8/AA503)</f>
        <v>28.967822977909716</v>
      </c>
      <c r="AB502" s="111"/>
      <c r="AC502" s="28"/>
      <c r="AD502" s="96">
        <f ca="1">(AD494/(N_9*AD$27*AD496*0.667))*SQRT(M*'Valve Sizing'!$W$6*'Valve Sizing'!$G$8/AD503)</f>
        <v>51.099026006677597</v>
      </c>
      <c r="AE502" s="111"/>
      <c r="AF502" s="28"/>
      <c r="AG502" s="96">
        <f ca="1">(AG494/(N_9*AG$27*AG496*0.667))*SQRT(M*'Valve Sizing'!$W$6*'Valve Sizing'!$G$8/AG503)</f>
        <v>81.787718040243945</v>
      </c>
      <c r="AH502" s="111"/>
      <c r="AI502" s="28"/>
      <c r="AJ502" s="96">
        <f ca="1">(AJ494/(N_9*AJ$27*AJ496*0.667))*SQRT(M*'Valve Sizing'!$W$6*'Valve Sizing'!$G$8/AJ503)</f>
        <v>124.97388050316619</v>
      </c>
      <c r="AK502" s="111"/>
      <c r="AL502" s="28"/>
      <c r="AM502" s="96">
        <f ca="1">(AM494/(N_9*AM$27*AM496*0.667))*SQRT(M*'Valve Sizing'!$W$6*'Valve Sizing'!$G$8/AM503)</f>
        <v>184.53488110923851</v>
      </c>
      <c r="AN502" s="111"/>
      <c r="AO502" s="28"/>
      <c r="AP502" s="96">
        <f ca="1">(AP494/(N_9*AP$27*AP496*0.667))*SQRT(M*'Valve Sizing'!$W$6*'Valve Sizing'!$G$8/AP503)</f>
        <v>238.73624385990115</v>
      </c>
      <c r="AQ502" s="111"/>
      <c r="AR502" s="28"/>
      <c r="AS502" s="96">
        <f ca="1">(AS494/(N_9*AS$27*AS496*0.667))*SQRT(M*'Valve Sizing'!$W$6*'Valve Sizing'!$G$8/AS503)</f>
        <v>540.87632839845844</v>
      </c>
      <c r="AT502" s="111"/>
      <c r="AU502" s="28"/>
    </row>
    <row r="503" spans="15:47" ht="15.6" x14ac:dyDescent="0.35">
      <c r="O503" s="2" t="s">
        <v>68</v>
      </c>
      <c r="P503" s="143">
        <v>10</v>
      </c>
      <c r="Q503" s="2"/>
      <c r="R503" s="96">
        <f ca="1">F_GAMMA*R$29</f>
        <v>0.64002969751372984</v>
      </c>
      <c r="S503" s="107"/>
      <c r="T503" s="1"/>
      <c r="U503" s="96">
        <f ca="1">F_GAMMA*U$29</f>
        <v>0.64017842058782071</v>
      </c>
      <c r="V503" s="111"/>
      <c r="W503" s="28"/>
      <c r="X503" s="96">
        <f ca="1">F_GAMMA*X$29</f>
        <v>0.63413873724904268</v>
      </c>
      <c r="Y503" s="111"/>
      <c r="Z503" s="28"/>
      <c r="AA503" s="96">
        <f ca="1">F_GAMMA*AA$29</f>
        <v>0.62532411750377137</v>
      </c>
      <c r="AB503" s="111"/>
      <c r="AC503" s="28"/>
      <c r="AD503" s="96">
        <f ca="1">F_GAMMA*AD$29</f>
        <v>0.60651359509139569</v>
      </c>
      <c r="AE503" s="111"/>
      <c r="AF503" s="28"/>
      <c r="AG503" s="96">
        <f ca="1">F_GAMMA*AG$29</f>
        <v>0.57217930198481592</v>
      </c>
      <c r="AH503" s="111"/>
      <c r="AI503" s="28"/>
      <c r="AJ503" s="96">
        <f ca="1">F_GAMMA*AJ$29</f>
        <v>0.53183282018848232</v>
      </c>
      <c r="AK503" s="111"/>
      <c r="AL503" s="28"/>
      <c r="AM503" s="96">
        <f ca="1">F_GAMMA*AM$29</f>
        <v>0.47566512503094399</v>
      </c>
      <c r="AN503" s="111"/>
      <c r="AO503" s="28"/>
      <c r="AP503" s="96">
        <f ca="1">F_GAMMA*AP$29</f>
        <v>0.59054158265645496</v>
      </c>
      <c r="AQ503" s="111"/>
      <c r="AR503" s="28"/>
      <c r="AS503" s="96">
        <f ca="1">F_GAMMA*AS$29</f>
        <v>0.3766899554102966</v>
      </c>
      <c r="AT503" s="111"/>
      <c r="AU503" s="28"/>
    </row>
    <row r="504" spans="15:47" x14ac:dyDescent="0.25">
      <c r="O504" s="2" t="s">
        <v>145</v>
      </c>
      <c r="P504" s="12"/>
      <c r="Q504" s="2"/>
      <c r="R504" s="96">
        <f ca="1">IF(R499&lt;R503,R501,R502)</f>
        <v>0.24734412038539008</v>
      </c>
      <c r="S504" s="116"/>
      <c r="T504" s="1"/>
      <c r="U504" s="96">
        <f ca="1">IF(U499&lt;U503,U501,U502)</f>
        <v>6.575990313075387</v>
      </c>
      <c r="V504" s="111"/>
      <c r="W504" s="28"/>
      <c r="X504" s="96">
        <f ca="1">IF(X499&lt;X503,X501,X502)</f>
        <v>16.239963067340906</v>
      </c>
      <c r="Y504" s="111"/>
      <c r="Z504" s="28"/>
      <c r="AA504" s="96">
        <f ca="1">IF(AA499&lt;AA503,AA501,AA502)</f>
        <v>32.373469585802042</v>
      </c>
      <c r="AB504" s="111"/>
      <c r="AC504" s="28"/>
      <c r="AD504" s="96">
        <f ca="1">IF(AD499&lt;AD503,AD501,AD502)</f>
        <v>57.402068223407348</v>
      </c>
      <c r="AE504" s="111"/>
      <c r="AF504" s="28"/>
      <c r="AG504" s="96">
        <f ca="1">IF(AG499&lt;AG503,AG501,AG502)</f>
        <v>92.940756215703033</v>
      </c>
      <c r="AH504" s="111"/>
      <c r="AI504" s="28"/>
      <c r="AJ504" s="96">
        <f ca="1">IF(AJ499&lt;AJ503,AJ501,AJ502)</f>
        <v>146.96210905236114</v>
      </c>
      <c r="AK504" s="111"/>
      <c r="AL504" s="28"/>
      <c r="AM504" s="96">
        <f ca="1">IF(AM499&lt;AM503,AM501,AM502)</f>
        <v>231.11730642296416</v>
      </c>
      <c r="AN504" s="111"/>
      <c r="AO504" s="28"/>
      <c r="AP504" s="96">
        <f ca="1">IF(AP499&lt;AP503,AP501,AP502)</f>
        <v>409.35938019697585</v>
      </c>
      <c r="AQ504" s="111"/>
      <c r="AR504" s="28"/>
      <c r="AS504" s="96" t="e">
        <f ca="1">IF(AS499&lt;AS503,AS501,AS502)</f>
        <v>#NUM!</v>
      </c>
      <c r="AT504" s="111"/>
      <c r="AU504" s="28"/>
    </row>
    <row r="505" spans="15:47" x14ac:dyDescent="0.25">
      <c r="O505" s="13" t="s">
        <v>143</v>
      </c>
      <c r="P505" s="1"/>
      <c r="Q505" s="1"/>
      <c r="R505" s="113"/>
      <c r="S505" s="106">
        <f ca="1">IF(R498&lt;=0,Q_max,ABS(R$23-R504))</f>
        <v>4.4826558796146108</v>
      </c>
      <c r="T505" s="7">
        <f>R494</f>
        <v>612.48059223840687</v>
      </c>
      <c r="U505" s="98"/>
      <c r="V505" s="106">
        <f ca="1">IF(U498&lt;=0,Q_max,ABS(U$23-U504))</f>
        <v>5.0240096869246127</v>
      </c>
      <c r="W505" s="9">
        <f ca="1">U494</f>
        <v>16260.10175473197</v>
      </c>
      <c r="X505" s="98"/>
      <c r="Y505" s="106">
        <f ca="1">IF(X498&lt;=0,Q_max,ABS(X$23-X504))</f>
        <v>6.7600369326590943</v>
      </c>
      <c r="Z505" s="9">
        <f ca="1">X494</f>
        <v>39815.01644974581</v>
      </c>
      <c r="AA505" s="98"/>
      <c r="AB505" s="106">
        <f ca="1">IF(AA498&lt;=0,Q_max,ABS(AA$23-AA504))</f>
        <v>7.026530414197957</v>
      </c>
      <c r="AC505" s="9">
        <f ca="1">AA494</f>
        <v>77549.489443773768</v>
      </c>
      <c r="AD505" s="98"/>
      <c r="AE505" s="106">
        <f ca="1">IF(AD498&lt;=0,Q_max,ABS(AD$23-AD504))</f>
        <v>3.5979317765926524</v>
      </c>
      <c r="AF505" s="9">
        <f ca="1">AD494</f>
        <v>130103.91930492682</v>
      </c>
      <c r="AG505" s="98"/>
      <c r="AH505" s="106">
        <f ca="1">IF(AG498&lt;=0,Q_max,ABS(AG$23-AG504))</f>
        <v>4.7407562157030299</v>
      </c>
      <c r="AI505" s="9">
        <f ca="1">AG494</f>
        <v>189890.21375433204</v>
      </c>
      <c r="AJ505" s="98"/>
      <c r="AK505" s="106">
        <f ca="1">IF(AJ498&lt;=0,Q_max,ABS(AJ$23-AJ504))</f>
        <v>25.962109052361143</v>
      </c>
      <c r="AL505" s="9">
        <f ca="1">AJ494</f>
        <v>253409.22637733669</v>
      </c>
      <c r="AM505" s="98"/>
      <c r="AN505" s="106">
        <f ca="1">IF(AM498&lt;=0,Q_max,ABS(AM$23-AM504))</f>
        <v>66.117306422964162</v>
      </c>
      <c r="AO505" s="9">
        <f ca="1">AM494</f>
        <v>309207.41405654588</v>
      </c>
      <c r="AP505" s="98"/>
      <c r="AQ505" s="106">
        <f ca="1">IF(AP498&lt;=0,Q_max,ABS(AP$23-AP504))</f>
        <v>163.35938019697585</v>
      </c>
      <c r="AR505" s="9">
        <f ca="1">AP494</f>
        <v>358980.20848988666</v>
      </c>
      <c r="AS505" s="98"/>
      <c r="AT505" s="106">
        <f ca="1">IF(AS498&lt;=0,Q_max,ABS(AS$23-AS504))</f>
        <v>236393</v>
      </c>
      <c r="AU505" s="9">
        <f ca="1">AS494</f>
        <v>420932.52642549807</v>
      </c>
    </row>
    <row r="506" spans="15:47" x14ac:dyDescent="0.25">
      <c r="O506" s="21"/>
      <c r="P506" s="14"/>
      <c r="Q506" s="21"/>
      <c r="R506" s="97"/>
      <c r="S506" s="106"/>
      <c r="T506" s="28"/>
      <c r="U506" s="97"/>
      <c r="V506" s="111"/>
      <c r="W506" s="28"/>
      <c r="X506" s="97"/>
      <c r="Y506" s="111"/>
      <c r="Z506" s="28"/>
      <c r="AA506" s="97"/>
      <c r="AB506" s="111"/>
      <c r="AC506" s="28"/>
      <c r="AD506" s="97"/>
      <c r="AE506" s="111"/>
      <c r="AF506" s="28"/>
      <c r="AG506" s="97"/>
      <c r="AH506" s="111"/>
      <c r="AI506" s="28"/>
      <c r="AJ506" s="97"/>
      <c r="AK506" s="111"/>
      <c r="AL506" s="28"/>
      <c r="AM506" s="97"/>
      <c r="AN506" s="111"/>
      <c r="AO506" s="28"/>
      <c r="AP506" s="97"/>
      <c r="AQ506" s="111"/>
      <c r="AR506" s="28"/>
      <c r="AS506" s="97"/>
      <c r="AT506" s="111"/>
      <c r="AU506" s="28"/>
    </row>
    <row r="507" spans="15:47" x14ac:dyDescent="0.25">
      <c r="O507" s="1"/>
      <c r="P507" s="1"/>
      <c r="Q507" s="1"/>
      <c r="R507" s="98"/>
      <c r="S507" s="108" t="s">
        <v>137</v>
      </c>
      <c r="T507" s="26" t="s">
        <v>146</v>
      </c>
      <c r="U507" s="98"/>
      <c r="V507" s="108" t="s">
        <v>137</v>
      </c>
      <c r="W507" s="26" t="s">
        <v>146</v>
      </c>
      <c r="X507" s="98"/>
      <c r="Y507" s="108" t="s">
        <v>137</v>
      </c>
      <c r="Z507" s="26" t="s">
        <v>146</v>
      </c>
      <c r="AA507" s="98"/>
      <c r="AB507" s="108" t="s">
        <v>137</v>
      </c>
      <c r="AC507" s="26" t="s">
        <v>146</v>
      </c>
      <c r="AD507" s="98"/>
      <c r="AE507" s="108" t="s">
        <v>137</v>
      </c>
      <c r="AF507" s="26" t="s">
        <v>146</v>
      </c>
      <c r="AG507" s="98"/>
      <c r="AH507" s="108" t="s">
        <v>137</v>
      </c>
      <c r="AI507" s="26" t="s">
        <v>146</v>
      </c>
      <c r="AJ507" s="98"/>
      <c r="AK507" s="108" t="s">
        <v>137</v>
      </c>
      <c r="AL507" s="26" t="s">
        <v>146</v>
      </c>
      <c r="AM507" s="98"/>
      <c r="AN507" s="108" t="s">
        <v>137</v>
      </c>
      <c r="AO507" s="26" t="s">
        <v>146</v>
      </c>
      <c r="AP507" s="98"/>
      <c r="AQ507" s="108" t="s">
        <v>137</v>
      </c>
      <c r="AR507" s="26" t="s">
        <v>146</v>
      </c>
      <c r="AS507" s="98"/>
      <c r="AT507" s="108" t="s">
        <v>137</v>
      </c>
      <c r="AU507" s="26" t="s">
        <v>146</v>
      </c>
    </row>
    <row r="508" spans="15:47" ht="13.8" x14ac:dyDescent="0.25">
      <c r="O508" s="20" t="s">
        <v>136</v>
      </c>
      <c r="P508" s="1"/>
      <c r="Q508" s="1"/>
      <c r="R508" s="96">
        <f>R494*1.02</f>
        <v>624.73020408317507</v>
      </c>
      <c r="S508" s="109" t="s">
        <v>144</v>
      </c>
      <c r="T508" s="23" t="s">
        <v>147</v>
      </c>
      <c r="U508" s="96">
        <f ca="1">U494*1.01</f>
        <v>16422.702772279288</v>
      </c>
      <c r="V508" s="109" t="s">
        <v>144</v>
      </c>
      <c r="W508" s="23" t="s">
        <v>147</v>
      </c>
      <c r="X508" s="96">
        <f ca="1">X494*1.01</f>
        <v>40213.166614243266</v>
      </c>
      <c r="Y508" s="109" t="s">
        <v>144</v>
      </c>
      <c r="Z508" s="23" t="s">
        <v>147</v>
      </c>
      <c r="AA508" s="96">
        <f ca="1">AA494*1.01</f>
        <v>78324.984338211507</v>
      </c>
      <c r="AB508" s="109" t="s">
        <v>144</v>
      </c>
      <c r="AC508" s="23" t="s">
        <v>147</v>
      </c>
      <c r="AD508" s="96">
        <f ca="1">AD494*1.01</f>
        <v>131404.9584979761</v>
      </c>
      <c r="AE508" s="109" t="s">
        <v>144</v>
      </c>
      <c r="AF508" s="23" t="s">
        <v>147</v>
      </c>
      <c r="AG508" s="96">
        <f ca="1">AG494*1.01</f>
        <v>191789.11589187535</v>
      </c>
      <c r="AH508" s="109" t="s">
        <v>144</v>
      </c>
      <c r="AI508" s="23" t="s">
        <v>147</v>
      </c>
      <c r="AJ508" s="96">
        <f ca="1">AJ494*1.01</f>
        <v>255943.31864111006</v>
      </c>
      <c r="AK508" s="109" t="s">
        <v>144</v>
      </c>
      <c r="AL508" s="23" t="s">
        <v>147</v>
      </c>
      <c r="AM508" s="96">
        <f ca="1">AM494*1.01</f>
        <v>312299.48819711135</v>
      </c>
      <c r="AN508" s="109" t="s">
        <v>144</v>
      </c>
      <c r="AO508" s="23" t="s">
        <v>147</v>
      </c>
      <c r="AP508" s="96">
        <f ca="1">AP494*1.01</f>
        <v>362570.01057478553</v>
      </c>
      <c r="AQ508" s="109" t="s">
        <v>144</v>
      </c>
      <c r="AR508" s="23" t="s">
        <v>147</v>
      </c>
      <c r="AS508" s="96">
        <f ca="1">AS494*1.01</f>
        <v>425141.85168975306</v>
      </c>
      <c r="AT508" s="109" t="s">
        <v>144</v>
      </c>
      <c r="AU508" s="23" t="s">
        <v>147</v>
      </c>
    </row>
    <row r="509" spans="15:47" x14ac:dyDescent="0.25">
      <c r="O509" s="1"/>
      <c r="P509" s="1"/>
      <c r="Q509" s="1"/>
      <c r="R509" s="98"/>
      <c r="S509" s="107"/>
      <c r="T509" s="1"/>
      <c r="U509" s="47"/>
      <c r="V509" s="107"/>
      <c r="W509" s="1"/>
      <c r="X509" s="47"/>
      <c r="Y509" s="107"/>
      <c r="Z509" s="1"/>
      <c r="AA509" s="47"/>
      <c r="AB509" s="107"/>
      <c r="AC509" s="1"/>
      <c r="AD509" s="47"/>
      <c r="AE509" s="107"/>
      <c r="AF509" s="1"/>
      <c r="AG509" s="47"/>
      <c r="AH509" s="107"/>
      <c r="AI509" s="1"/>
      <c r="AJ509" s="47"/>
      <c r="AK509" s="107"/>
      <c r="AL509" s="1"/>
      <c r="AM509" s="47"/>
      <c r="AN509" s="107"/>
      <c r="AO509" s="1"/>
      <c r="AP509" s="47"/>
      <c r="AQ509" s="107"/>
      <c r="AR509" s="1"/>
      <c r="AS509" s="47"/>
      <c r="AT509" s="107"/>
      <c r="AU509" s="1"/>
    </row>
    <row r="510" spans="15:47" x14ac:dyDescent="0.25">
      <c r="O510" s="8" t="s">
        <v>132</v>
      </c>
      <c r="P510" s="8"/>
      <c r="Q510" s="8"/>
      <c r="R510" s="96">
        <f>P_1_minQ-(R508^2*R_up)+dpup_minQ</f>
        <v>90.184969396040401</v>
      </c>
      <c r="S510" s="106"/>
      <c r="T510" s="22"/>
      <c r="U510" s="96">
        <f ca="1">P_1_minQ-(U508^2*R_up)+dpup_minQ</f>
        <v>90.135883820881574</v>
      </c>
      <c r="V510" s="107"/>
      <c r="W510" s="1"/>
      <c r="X510" s="96">
        <f ca="1">P_1_minQ-(X508^2*R_up)+dpup_minQ</f>
        <v>89.890306635089047</v>
      </c>
      <c r="Y510" s="107"/>
      <c r="Z510" s="1"/>
      <c r="AA510" s="96">
        <f ca="1">P_1_minQ-(AA508^2*R_up)+dpup_minQ</f>
        <v>89.066905714163838</v>
      </c>
      <c r="AB510" s="107"/>
      <c r="AC510" s="1"/>
      <c r="AD510" s="96">
        <f ca="1">P_1_minQ-(AD508^2*R_up)+dpup_minQ</f>
        <v>87.037893420446352</v>
      </c>
      <c r="AE510" s="107"/>
      <c r="AF510" s="1"/>
      <c r="AG510" s="96">
        <f ca="1">P_1_minQ-(AG508^2*R_up)+dpup_minQ</f>
        <v>83.48092559121838</v>
      </c>
      <c r="AH510" s="107"/>
      <c r="AI510" s="1"/>
      <c r="AJ510" s="96">
        <f ca="1">P_1_minQ-(AJ508^2*R_up)+dpup_minQ</f>
        <v>78.245678235830468</v>
      </c>
      <c r="AK510" s="107"/>
      <c r="AL510" s="1"/>
      <c r="AM510" s="96">
        <f ca="1">P_1_minQ-(AM508^2*R_up)+dpup_minQ</f>
        <v>72.408957007915404</v>
      </c>
      <c r="AN510" s="107"/>
      <c r="AO510" s="1"/>
      <c r="AP510" s="96">
        <f ca="1">P_1_minQ-(AP508^2*R_up)+dpup_minQ</f>
        <v>66.225565635802241</v>
      </c>
      <c r="AQ510" s="107"/>
      <c r="AR510" s="1"/>
      <c r="AS510" s="96">
        <f ca="1">P_1_minQ-(AS508^2*R_up)+dpup_minQ</f>
        <v>57.242183861627133</v>
      </c>
      <c r="AT510" s="107"/>
      <c r="AU510" s="1"/>
    </row>
    <row r="511" spans="15:47" x14ac:dyDescent="0.25">
      <c r="O511" s="8" t="s">
        <v>134</v>
      </c>
      <c r="P511" s="1"/>
      <c r="Q511" s="8"/>
      <c r="R511" s="97">
        <f>P_2_minQ+(R508^2*R_dn)-dpdn_minQ</f>
        <v>60</v>
      </c>
      <c r="S511" s="106"/>
      <c r="T511" s="22"/>
      <c r="U511" s="97">
        <f ca="1">P_2_minQ+(U508^2*R_dn)-dpdn_minQ</f>
        <v>60</v>
      </c>
      <c r="V511" s="107"/>
      <c r="W511" s="1"/>
      <c r="X511" s="97">
        <f ca="1">P_2_minQ+(X508^2*R_dn)-dpdn_minQ</f>
        <v>60</v>
      </c>
      <c r="Y511" s="107"/>
      <c r="Z511" s="1"/>
      <c r="AA511" s="97">
        <f ca="1">P_2_minQ+(AA508^2*R_dn)-dpdn_minQ</f>
        <v>60</v>
      </c>
      <c r="AB511" s="107"/>
      <c r="AC511" s="1"/>
      <c r="AD511" s="97">
        <f ca="1">P_2_minQ+(AD508^2*R_dn)-dpdn_minQ</f>
        <v>60</v>
      </c>
      <c r="AE511" s="107"/>
      <c r="AF511" s="1"/>
      <c r="AG511" s="97">
        <f ca="1">P_2_minQ+(AG508^2*R_dn)-dpdn_minQ</f>
        <v>60</v>
      </c>
      <c r="AH511" s="107"/>
      <c r="AI511" s="1"/>
      <c r="AJ511" s="97">
        <f ca="1">P_2_minQ+(AJ508^2*R_dn)-dpdn_minQ</f>
        <v>60</v>
      </c>
      <c r="AK511" s="107"/>
      <c r="AL511" s="1"/>
      <c r="AM511" s="97">
        <f ca="1">P_2_minQ+(AM508^2*R_dn)-dpdn_minQ</f>
        <v>60</v>
      </c>
      <c r="AN511" s="107"/>
      <c r="AO511" s="1"/>
      <c r="AP511" s="97">
        <f ca="1">P_2_minQ+(AP508^2*R_dn)-dpdn_minQ</f>
        <v>60</v>
      </c>
      <c r="AQ511" s="107"/>
      <c r="AR511" s="1"/>
      <c r="AS511" s="97">
        <f ca="1">P_2_minQ+(AS508^2*R_dn)-dpdn_minQ</f>
        <v>60</v>
      </c>
      <c r="AT511" s="107"/>
      <c r="AU511" s="1"/>
    </row>
    <row r="512" spans="15:47" x14ac:dyDescent="0.25">
      <c r="O512" s="8" t="s">
        <v>138</v>
      </c>
      <c r="P512" s="1"/>
      <c r="Q512" s="8"/>
      <c r="R512" s="97">
        <f>R510-R511</f>
        <v>30.184969396040401</v>
      </c>
      <c r="S512" s="106"/>
      <c r="T512" s="22"/>
      <c r="U512" s="97">
        <f ca="1">U510-U511</f>
        <v>30.135883820881574</v>
      </c>
      <c r="V512" s="110"/>
      <c r="W512" s="25"/>
      <c r="X512" s="97">
        <f ca="1">X510-X511</f>
        <v>29.890306635089047</v>
      </c>
      <c r="Y512" s="110"/>
      <c r="Z512" s="25"/>
      <c r="AA512" s="97">
        <f ca="1">AA510-AA511</f>
        <v>29.066905714163838</v>
      </c>
      <c r="AB512" s="110"/>
      <c r="AC512" s="25"/>
      <c r="AD512" s="97">
        <f ca="1">AD510-AD511</f>
        <v>27.037893420446352</v>
      </c>
      <c r="AE512" s="110"/>
      <c r="AF512" s="25"/>
      <c r="AG512" s="97">
        <f ca="1">AG510-AG511</f>
        <v>23.48092559121838</v>
      </c>
      <c r="AH512" s="110"/>
      <c r="AI512" s="25"/>
      <c r="AJ512" s="97">
        <f ca="1">AJ510-AJ511</f>
        <v>18.245678235830468</v>
      </c>
      <c r="AK512" s="110"/>
      <c r="AL512" s="25"/>
      <c r="AM512" s="97">
        <f ca="1">AM510-AM511</f>
        <v>12.408957007915404</v>
      </c>
      <c r="AN512" s="110"/>
      <c r="AO512" s="25"/>
      <c r="AP512" s="97">
        <f ca="1">AP510-AP511</f>
        <v>6.2255656358022406</v>
      </c>
      <c r="AQ512" s="110"/>
      <c r="AR512" s="25"/>
      <c r="AS512" s="97">
        <f ca="1">AS510-AS511</f>
        <v>-2.757816138372867</v>
      </c>
      <c r="AT512" s="110"/>
      <c r="AU512" s="25"/>
    </row>
    <row r="513" spans="15:47" ht="14.4" x14ac:dyDescent="0.3">
      <c r="O513" s="2" t="s">
        <v>140</v>
      </c>
      <c r="P513" s="11"/>
      <c r="Q513" s="2"/>
      <c r="R513" s="96">
        <f>R512/R510</f>
        <v>0.3347006668426688</v>
      </c>
      <c r="S513" s="106"/>
      <c r="T513" s="22"/>
      <c r="U513" s="96">
        <f ca="1">U512/U510</f>
        <v>0.33433836274094492</v>
      </c>
      <c r="V513" s="111"/>
      <c r="W513" s="28"/>
      <c r="X513" s="96">
        <f ca="1">X512/X510</f>
        <v>0.33251979834076173</v>
      </c>
      <c r="Y513" s="111"/>
      <c r="Z513" s="28"/>
      <c r="AA513" s="96">
        <f ca="1">AA512/AA510</f>
        <v>0.32634911341195816</v>
      </c>
      <c r="AB513" s="111"/>
      <c r="AC513" s="28"/>
      <c r="AD513" s="96">
        <f ca="1">AD512/AD510</f>
        <v>0.31064508064133356</v>
      </c>
      <c r="AE513" s="111"/>
      <c r="AF513" s="28"/>
      <c r="AG513" s="96">
        <f ca="1">AG512/AG510</f>
        <v>0.28127294259047375</v>
      </c>
      <c r="AH513" s="111"/>
      <c r="AI513" s="28"/>
      <c r="AJ513" s="96">
        <f ca="1">AJ512/AJ510</f>
        <v>0.23318448567649272</v>
      </c>
      <c r="AK513" s="111"/>
      <c r="AL513" s="28"/>
      <c r="AM513" s="96">
        <f ca="1">AM512/AM510</f>
        <v>0.1713732322723405</v>
      </c>
      <c r="AN513" s="111"/>
      <c r="AO513" s="28"/>
      <c r="AP513" s="96">
        <f ca="1">AP512/AP510</f>
        <v>9.4005473204091958E-2</v>
      </c>
      <c r="AQ513" s="111"/>
      <c r="AR513" s="28"/>
      <c r="AS513" s="96">
        <f ca="1">AS512/AS510</f>
        <v>-4.8178038508093969E-2</v>
      </c>
      <c r="AT513" s="111"/>
      <c r="AU513" s="28"/>
    </row>
    <row r="514" spans="15:47" x14ac:dyDescent="0.25">
      <c r="O514" s="2" t="s">
        <v>21</v>
      </c>
      <c r="P514" s="8">
        <v>12</v>
      </c>
      <c r="Q514" s="2"/>
      <c r="R514" s="96">
        <f ca="1">1-R513/(3*F_GAMMA*R$29)</f>
        <v>0.82568482465587012</v>
      </c>
      <c r="S514" s="106"/>
      <c r="T514" s="22"/>
      <c r="U514" s="96">
        <f ca="1">1-U513/(3*F_GAMMA*U$29)</f>
        <v>0.82591396815388296</v>
      </c>
      <c r="V514" s="111"/>
      <c r="W514" s="28"/>
      <c r="X514" s="96">
        <f ca="1">1-X513/(3*F_GAMMA*X$29)</f>
        <v>0.82521185622394144</v>
      </c>
      <c r="Y514" s="111"/>
      <c r="Z514" s="28"/>
      <c r="AA514" s="96">
        <f ca="1">1-AA513/(3*F_GAMMA*AA$29)</f>
        <v>0.82603735445509985</v>
      </c>
      <c r="AB514" s="111"/>
      <c r="AC514" s="28"/>
      <c r="AD514" s="96">
        <f ca="1">1-AD513/(3*F_GAMMA*AD$29)</f>
        <v>0.82927281259346852</v>
      </c>
      <c r="AE514" s="111"/>
      <c r="AF514" s="28"/>
      <c r="AG514" s="96">
        <f ca="1">1-AG513/(3*F_GAMMA*AG$29)</f>
        <v>0.83613939335987031</v>
      </c>
      <c r="AH514" s="111"/>
      <c r="AI514" s="28"/>
      <c r="AJ514" s="96">
        <f ca="1">1-AJ513/(3*F_GAMMA*AJ$29)</f>
        <v>0.85384850475264529</v>
      </c>
      <c r="AK514" s="111"/>
      <c r="AL514" s="28"/>
      <c r="AM514" s="96">
        <f ca="1">1-AM513/(3*F_GAMMA*AM$29)</f>
        <v>0.87990624548366747</v>
      </c>
      <c r="AN514" s="111"/>
      <c r="AO514" s="28"/>
      <c r="AP514" s="96">
        <f ca="1">1-AP513/(3*F_GAMMA*AP$29)</f>
        <v>0.94693827047074108</v>
      </c>
      <c r="AQ514" s="111"/>
      <c r="AR514" s="28"/>
      <c r="AS514" s="96">
        <f ca="1">1-AS513/(3*F_GAMMA*AS$29)</f>
        <v>1.0426327963852198</v>
      </c>
      <c r="AT514" s="111"/>
      <c r="AU514" s="28"/>
    </row>
    <row r="515" spans="15:47" x14ac:dyDescent="0.25">
      <c r="O515" s="2" t="s">
        <v>57</v>
      </c>
      <c r="P515" s="143">
        <v>7</v>
      </c>
      <c r="Q515" s="2"/>
      <c r="R515" s="96">
        <f ca="1">(R508/(N_9*R$27*R510*R514))*SQRT(M*'Valve Sizing'!$W$6*'Valve Sizing'!$G$8/R513)</f>
        <v>0.25229101495761097</v>
      </c>
      <c r="S515" s="107"/>
      <c r="T515" s="22"/>
      <c r="U515" s="96">
        <f ca="1">(U508/(N_9*U$27*U510*U514))*SQRT(M*'Valve Sizing'!$W$6*'Valve Sizing'!$G$8/U513)</f>
        <v>6.6418626839956092</v>
      </c>
      <c r="V515" s="111"/>
      <c r="W515" s="28"/>
      <c r="X515" s="96">
        <f ca="1">(X508/(N_9*X$27*X510*X514))*SQRT(M*'Valve Sizing'!$W$6*'Valve Sizing'!$G$8/X513)</f>
        <v>16.404035342595844</v>
      </c>
      <c r="Y515" s="111"/>
      <c r="Z515" s="28"/>
      <c r="AA515" s="96">
        <f ca="1">(AA508/(N_9*AA$27*AA510*AA514))*SQRT(M*'Valve Sizing'!$W$6*'Valve Sizing'!$G$8/AA513)</f>
        <v>32.710121966309984</v>
      </c>
      <c r="AB515" s="111"/>
      <c r="AC515" s="28"/>
      <c r="AD515" s="96">
        <f ca="1">(AD508/(N_9*AD$27*AD510*AD514))*SQRT(M*'Valve Sizing'!$W$6*'Valve Sizing'!$G$8/AD513)</f>
        <v>58.044321715199267</v>
      </c>
      <c r="AE515" s="111"/>
      <c r="AF515" s="28"/>
      <c r="AG515" s="96">
        <f ca="1">(AG508/(N_9*AG$27*AG510*AG514))*SQRT(M*'Valve Sizing'!$W$6*'Valve Sizing'!$G$8/AG513)</f>
        <v>94.133753868228553</v>
      </c>
      <c r="AH515" s="111"/>
      <c r="AI515" s="28"/>
      <c r="AJ515" s="96">
        <f ca="1">(AJ508/(N_9*AJ$27*AJ510*AJ514))*SQRT(M*'Valve Sizing'!$W$6*'Valve Sizing'!$G$8/AJ513)</f>
        <v>149.35754546753876</v>
      </c>
      <c r="AK515" s="111"/>
      <c r="AL515" s="28"/>
      <c r="AM515" s="96">
        <f ca="1">(AM508/(N_9*AM$27*AM510*AM514))*SQRT(M*'Valve Sizing'!$W$6*'Valve Sizing'!$G$8/AM513)</f>
        <v>236.51797800888667</v>
      </c>
      <c r="AN515" s="111"/>
      <c r="AO515" s="28"/>
      <c r="AP515" s="96">
        <f ca="1">(AP508/(N_9*AP$27*AP510*AP514))*SQRT(M*'Valve Sizing'!$W$6*'Valve Sizing'!$G$8/AP513)</f>
        <v>428.72370893833772</v>
      </c>
      <c r="AQ515" s="111"/>
      <c r="AR515" s="28"/>
      <c r="AS515" s="96" t="e">
        <f ca="1">(AS508/(N_9*AS$27*AS510*AS514))*SQRT(M*'Valve Sizing'!$W$6*'Valve Sizing'!$G$8/AS513)</f>
        <v>#NUM!</v>
      </c>
      <c r="AT515" s="111"/>
      <c r="AU515" s="28"/>
    </row>
    <row r="516" spans="15:47" x14ac:dyDescent="0.25">
      <c r="O516" s="2" t="s">
        <v>59</v>
      </c>
      <c r="P516" s="143">
        <v>7</v>
      </c>
      <c r="Q516" s="2"/>
      <c r="R516" s="96">
        <f ca="1">(R508/(N_9*R$27*R510*0.667))*SQRT(M*'Valve Sizing'!$W$6*'Valve Sizing'!$G$8/R517)</f>
        <v>0.22584915948285589</v>
      </c>
      <c r="S516" s="107"/>
      <c r="T516" s="22"/>
      <c r="U516" s="96">
        <f ca="1">(U508/(N_9*U$27*U510*0.667))*SQRT(M*'Valve Sizing'!$W$6*'Valve Sizing'!$G$8/U517)</f>
        <v>5.9434889576648926</v>
      </c>
      <c r="V516" s="111"/>
      <c r="W516" s="28"/>
      <c r="X516" s="96">
        <f ca="1">(X508/(N_9*X$27*X510*0.667))*SQRT(M*'Valve Sizing'!$W$6*'Valve Sizing'!$G$8/X517)</f>
        <v>14.696263628334298</v>
      </c>
      <c r="Y516" s="111"/>
      <c r="Z516" s="28"/>
      <c r="AA516" s="96">
        <f ca="1">(AA508/(N_9*AA$27*AA510*0.667))*SQRT(M*'Valve Sizing'!$W$6*'Valve Sizing'!$G$8/AA517)</f>
        <v>29.26473837057539</v>
      </c>
      <c r="AB516" s="111"/>
      <c r="AC516" s="28"/>
      <c r="AD516" s="96">
        <f ca="1">(AD508/(N_9*AD$27*AD510*0.667))*SQRT(M*'Valve Sizing'!$W$6*'Valve Sizing'!$G$8/AD517)</f>
        <v>51.646786465598701</v>
      </c>
      <c r="AE516" s="111"/>
      <c r="AF516" s="28"/>
      <c r="AG516" s="96">
        <f ca="1">(AG508/(N_9*AG$27*AG510*0.667))*SQRT(M*'Valve Sizing'!$W$6*'Valve Sizing'!$G$8/AG517)</f>
        <v>82.73630767536298</v>
      </c>
      <c r="AH516" s="111"/>
      <c r="AI516" s="28"/>
      <c r="AJ516" s="96">
        <f ca="1">(AJ508/(N_9*AJ$27*AJ510*0.667))*SQRT(M*'Valve Sizing'!$W$6*'Valve Sizing'!$G$8/AJ517)</f>
        <v>126.60312186852164</v>
      </c>
      <c r="AK516" s="111"/>
      <c r="AL516" s="28"/>
      <c r="AM516" s="96">
        <f ca="1">(AM508/(N_9*AM$27*AM510*0.667))*SQRT(M*'Valve Sizing'!$W$6*'Valve Sizing'!$G$8/AM517)</f>
        <v>187.28179471242908</v>
      </c>
      <c r="AN516" s="111"/>
      <c r="AO516" s="28"/>
      <c r="AP516" s="96">
        <f ca="1">(AP508/(N_9*AP$27*AP510*0.667))*SQRT(M*'Valve Sizing'!$W$6*'Valve Sizing'!$G$8/AP517)</f>
        <v>242.84248274126955</v>
      </c>
      <c r="AQ516" s="111"/>
      <c r="AR516" s="28"/>
      <c r="AS516" s="96">
        <f ca="1">(AS508/(N_9*AS$27*AS510*0.667))*SQRT(M*'Valve Sizing'!$W$6*'Valve Sizing'!$G$8/AS517)</f>
        <v>552.47975519413023</v>
      </c>
      <c r="AT516" s="111"/>
      <c r="AU516" s="28"/>
    </row>
    <row r="517" spans="15:47" ht="15.6" x14ac:dyDescent="0.35">
      <c r="O517" s="2" t="s">
        <v>68</v>
      </c>
      <c r="P517" s="143">
        <v>10</v>
      </c>
      <c r="Q517" s="2"/>
      <c r="R517" s="96">
        <f ca="1">F_GAMMA*R$29</f>
        <v>0.64002969751372984</v>
      </c>
      <c r="S517" s="107"/>
      <c r="T517" s="1"/>
      <c r="U517" s="96">
        <f ca="1">F_GAMMA*U$29</f>
        <v>0.64017842058782071</v>
      </c>
      <c r="V517" s="111"/>
      <c r="W517" s="28"/>
      <c r="X517" s="96">
        <f ca="1">F_GAMMA*X$29</f>
        <v>0.63413873724904268</v>
      </c>
      <c r="Y517" s="111"/>
      <c r="Z517" s="28"/>
      <c r="AA517" s="96">
        <f ca="1">F_GAMMA*AA$29</f>
        <v>0.62532411750377137</v>
      </c>
      <c r="AB517" s="111"/>
      <c r="AC517" s="28"/>
      <c r="AD517" s="96">
        <f ca="1">F_GAMMA*AD$29</f>
        <v>0.60651359509139569</v>
      </c>
      <c r="AE517" s="111"/>
      <c r="AF517" s="28"/>
      <c r="AG517" s="96">
        <f ca="1">F_GAMMA*AG$29</f>
        <v>0.57217930198481592</v>
      </c>
      <c r="AH517" s="111"/>
      <c r="AI517" s="28"/>
      <c r="AJ517" s="96">
        <f ca="1">F_GAMMA*AJ$29</f>
        <v>0.53183282018848232</v>
      </c>
      <c r="AK517" s="111"/>
      <c r="AL517" s="28"/>
      <c r="AM517" s="96">
        <f ca="1">F_GAMMA*AM$29</f>
        <v>0.47566512503094399</v>
      </c>
      <c r="AN517" s="111"/>
      <c r="AO517" s="28"/>
      <c r="AP517" s="96">
        <f ca="1">F_GAMMA*AP$29</f>
        <v>0.59054158265645496</v>
      </c>
      <c r="AQ517" s="111"/>
      <c r="AR517" s="28"/>
      <c r="AS517" s="96">
        <f ca="1">F_GAMMA*AS$29</f>
        <v>0.3766899554102966</v>
      </c>
      <c r="AT517" s="111"/>
      <c r="AU517" s="28"/>
    </row>
    <row r="518" spans="15:47" x14ac:dyDescent="0.25">
      <c r="O518" s="2" t="s">
        <v>145</v>
      </c>
      <c r="P518" s="12"/>
      <c r="Q518" s="2"/>
      <c r="R518" s="96">
        <f ca="1">IF(R513&lt;R517,R515,R516)</f>
        <v>0.25229101495761097</v>
      </c>
      <c r="S518" s="116"/>
      <c r="T518" s="1"/>
      <c r="U518" s="96">
        <f ca="1">IF(U513&lt;U517,U515,U516)</f>
        <v>6.6418626839956092</v>
      </c>
      <c r="V518" s="111"/>
      <c r="W518" s="28"/>
      <c r="X518" s="96">
        <f ca="1">IF(X513&lt;X517,X515,X516)</f>
        <v>16.404035342595844</v>
      </c>
      <c r="Y518" s="111"/>
      <c r="Z518" s="28"/>
      <c r="AA518" s="96">
        <f ca="1">IF(AA513&lt;AA517,AA515,AA516)</f>
        <v>32.710121966309984</v>
      </c>
      <c r="AB518" s="111"/>
      <c r="AC518" s="28"/>
      <c r="AD518" s="96">
        <f ca="1">IF(AD513&lt;AD517,AD515,AD516)</f>
        <v>58.044321715199267</v>
      </c>
      <c r="AE518" s="111"/>
      <c r="AF518" s="28"/>
      <c r="AG518" s="96">
        <f ca="1">IF(AG513&lt;AG517,AG515,AG516)</f>
        <v>94.133753868228553</v>
      </c>
      <c r="AH518" s="111"/>
      <c r="AI518" s="28"/>
      <c r="AJ518" s="96">
        <f ca="1">IF(AJ513&lt;AJ517,AJ515,AJ516)</f>
        <v>149.35754546753876</v>
      </c>
      <c r="AK518" s="111"/>
      <c r="AL518" s="28"/>
      <c r="AM518" s="96">
        <f ca="1">IF(AM513&lt;AM517,AM515,AM516)</f>
        <v>236.51797800888667</v>
      </c>
      <c r="AN518" s="111"/>
      <c r="AO518" s="28"/>
      <c r="AP518" s="96">
        <f ca="1">IF(AP513&lt;AP517,AP515,AP516)</f>
        <v>428.72370893833772</v>
      </c>
      <c r="AQ518" s="111"/>
      <c r="AR518" s="28"/>
      <c r="AS518" s="96" t="e">
        <f ca="1">IF(AS513&lt;AS517,AS515,AS516)</f>
        <v>#NUM!</v>
      </c>
      <c r="AT518" s="111"/>
      <c r="AU518" s="28"/>
    </row>
    <row r="519" spans="15:47" x14ac:dyDescent="0.25">
      <c r="O519" s="13" t="s">
        <v>143</v>
      </c>
      <c r="P519" s="1"/>
      <c r="Q519" s="1"/>
      <c r="R519" s="113"/>
      <c r="S519" s="106">
        <f ca="1">IF(R512&lt;=0,Q_max,ABS(R$23-R518))</f>
        <v>4.4777089850423897</v>
      </c>
      <c r="T519" s="7">
        <f>R508</f>
        <v>624.73020408317507</v>
      </c>
      <c r="U519" s="98"/>
      <c r="V519" s="106">
        <f ca="1">IF(U512&lt;=0,Q_max,ABS(U$23-U518))</f>
        <v>4.9581373160043904</v>
      </c>
      <c r="W519" s="9">
        <f ca="1">U508</f>
        <v>16422.702772279288</v>
      </c>
      <c r="X519" s="98"/>
      <c r="Y519" s="106">
        <f ca="1">IF(X512&lt;=0,Q_max,ABS(X$23-X518))</f>
        <v>6.5959646574041564</v>
      </c>
      <c r="Z519" s="9">
        <f ca="1">X508</f>
        <v>40213.166614243266</v>
      </c>
      <c r="AA519" s="98"/>
      <c r="AB519" s="106">
        <f ca="1">IF(AA512&lt;=0,Q_max,ABS(AA$23-AA518))</f>
        <v>6.6898780336900145</v>
      </c>
      <c r="AC519" s="9">
        <f ca="1">AA508</f>
        <v>78324.984338211507</v>
      </c>
      <c r="AD519" s="98"/>
      <c r="AE519" s="106">
        <f ca="1">IF(AD512&lt;=0,Q_max,ABS(AD$23-AD518))</f>
        <v>2.955678284800733</v>
      </c>
      <c r="AF519" s="9">
        <f ca="1">AD508</f>
        <v>131404.9584979761</v>
      </c>
      <c r="AG519" s="98"/>
      <c r="AH519" s="106">
        <f ca="1">IF(AG512&lt;=0,Q_max,ABS(AG$23-AG518))</f>
        <v>5.9337538682285498</v>
      </c>
      <c r="AI519" s="9">
        <f ca="1">AG508</f>
        <v>191789.11589187535</v>
      </c>
      <c r="AJ519" s="98"/>
      <c r="AK519" s="106">
        <f ca="1">IF(AJ512&lt;=0,Q_max,ABS(AJ$23-AJ518))</f>
        <v>28.357545467538756</v>
      </c>
      <c r="AL519" s="9">
        <f ca="1">AJ508</f>
        <v>255943.31864111006</v>
      </c>
      <c r="AM519" s="98"/>
      <c r="AN519" s="106">
        <f ca="1">IF(AM512&lt;=0,Q_max,ABS(AM$23-AM518))</f>
        <v>71.517978008886672</v>
      </c>
      <c r="AO519" s="9">
        <f ca="1">AM508</f>
        <v>312299.48819711135</v>
      </c>
      <c r="AP519" s="98"/>
      <c r="AQ519" s="106">
        <f ca="1">IF(AP512&lt;=0,Q_max,ABS(AP$23-AP518))</f>
        <v>182.72370893833772</v>
      </c>
      <c r="AR519" s="9">
        <f ca="1">AP508</f>
        <v>362570.01057478553</v>
      </c>
      <c r="AS519" s="98"/>
      <c r="AT519" s="106">
        <f ca="1">IF(AS512&lt;=0,Q_max,ABS(AS$23-AS518))</f>
        <v>236393</v>
      </c>
      <c r="AU519" s="9">
        <f ca="1">AS508</f>
        <v>425141.85168975306</v>
      </c>
    </row>
    <row r="520" spans="15:47" x14ac:dyDescent="0.25">
      <c r="O520" s="21"/>
      <c r="P520" s="14"/>
      <c r="Q520" s="21"/>
      <c r="R520" s="97"/>
      <c r="S520" s="106"/>
      <c r="T520" s="28"/>
      <c r="U520" s="99"/>
      <c r="V520" s="110"/>
      <c r="W520" s="25"/>
      <c r="X520" s="99"/>
      <c r="Y520" s="110"/>
      <c r="Z520" s="25"/>
      <c r="AA520" s="99"/>
      <c r="AB520" s="110"/>
      <c r="AC520" s="25"/>
      <c r="AD520" s="99"/>
      <c r="AE520" s="110"/>
      <c r="AF520" s="25"/>
      <c r="AG520" s="99"/>
      <c r="AH520" s="110"/>
      <c r="AI520" s="25"/>
      <c r="AJ520" s="99"/>
      <c r="AK520" s="110"/>
      <c r="AL520" s="25"/>
      <c r="AM520" s="99"/>
      <c r="AN520" s="110"/>
      <c r="AO520" s="25"/>
      <c r="AP520" s="99"/>
      <c r="AQ520" s="110"/>
      <c r="AR520" s="25"/>
      <c r="AS520" s="99"/>
      <c r="AT520" s="110"/>
      <c r="AU520" s="25"/>
    </row>
    <row r="521" spans="15:47" x14ac:dyDescent="0.25">
      <c r="O521" s="1"/>
      <c r="P521" s="1"/>
      <c r="Q521" s="1"/>
      <c r="R521" s="98"/>
      <c r="S521" s="108" t="s">
        <v>137</v>
      </c>
      <c r="T521" s="26" t="s">
        <v>146</v>
      </c>
      <c r="U521" s="98"/>
      <c r="V521" s="108" t="s">
        <v>137</v>
      </c>
      <c r="W521" s="26" t="s">
        <v>146</v>
      </c>
      <c r="X521" s="98"/>
      <c r="Y521" s="108" t="s">
        <v>137</v>
      </c>
      <c r="Z521" s="26" t="s">
        <v>146</v>
      </c>
      <c r="AA521" s="98"/>
      <c r="AB521" s="108" t="s">
        <v>137</v>
      </c>
      <c r="AC521" s="26" t="s">
        <v>146</v>
      </c>
      <c r="AD521" s="98"/>
      <c r="AE521" s="108" t="s">
        <v>137</v>
      </c>
      <c r="AF521" s="26" t="s">
        <v>146</v>
      </c>
      <c r="AG521" s="98"/>
      <c r="AH521" s="108" t="s">
        <v>137</v>
      </c>
      <c r="AI521" s="26" t="s">
        <v>146</v>
      </c>
      <c r="AJ521" s="98"/>
      <c r="AK521" s="108" t="s">
        <v>137</v>
      </c>
      <c r="AL521" s="26" t="s">
        <v>146</v>
      </c>
      <c r="AM521" s="98"/>
      <c r="AN521" s="108" t="s">
        <v>137</v>
      </c>
      <c r="AO521" s="26" t="s">
        <v>146</v>
      </c>
      <c r="AP521" s="98"/>
      <c r="AQ521" s="108" t="s">
        <v>137</v>
      </c>
      <c r="AR521" s="26" t="s">
        <v>146</v>
      </c>
      <c r="AS521" s="98"/>
      <c r="AT521" s="108" t="s">
        <v>137</v>
      </c>
      <c r="AU521" s="26" t="s">
        <v>146</v>
      </c>
    </row>
    <row r="522" spans="15:47" ht="13.8" x14ac:dyDescent="0.25">
      <c r="O522" s="20" t="s">
        <v>136</v>
      </c>
      <c r="P522" s="1"/>
      <c r="Q522" s="1"/>
      <c r="R522" s="96">
        <f>R508*1.02</f>
        <v>637.22480816483858</v>
      </c>
      <c r="S522" s="109" t="s">
        <v>144</v>
      </c>
      <c r="T522" s="23" t="s">
        <v>147</v>
      </c>
      <c r="U522" s="96">
        <f ca="1">U508*1.01</f>
        <v>16586.929800002083</v>
      </c>
      <c r="V522" s="109" t="s">
        <v>144</v>
      </c>
      <c r="W522" s="23" t="s">
        <v>147</v>
      </c>
      <c r="X522" s="96">
        <f ca="1">X508*1.01</f>
        <v>40615.298280385701</v>
      </c>
      <c r="Y522" s="109" t="s">
        <v>144</v>
      </c>
      <c r="Z522" s="23" t="s">
        <v>147</v>
      </c>
      <c r="AA522" s="96">
        <f ca="1">AA508*1.01</f>
        <v>79108.234181593623</v>
      </c>
      <c r="AB522" s="109" t="s">
        <v>144</v>
      </c>
      <c r="AC522" s="23" t="s">
        <v>147</v>
      </c>
      <c r="AD522" s="96">
        <f ca="1">AD508*1.01</f>
        <v>132719.00808295587</v>
      </c>
      <c r="AE522" s="109" t="s">
        <v>144</v>
      </c>
      <c r="AF522" s="23" t="s">
        <v>147</v>
      </c>
      <c r="AG522" s="96">
        <f ca="1">AG508*1.01</f>
        <v>193707.00705079411</v>
      </c>
      <c r="AH522" s="109" t="s">
        <v>144</v>
      </c>
      <c r="AI522" s="23" t="s">
        <v>147</v>
      </c>
      <c r="AJ522" s="96">
        <f ca="1">AJ508*1.01</f>
        <v>258502.75182752116</v>
      </c>
      <c r="AK522" s="109" t="s">
        <v>144</v>
      </c>
      <c r="AL522" s="23" t="s">
        <v>147</v>
      </c>
      <c r="AM522" s="96">
        <f ca="1">AM508*1.01</f>
        <v>315422.48307908245</v>
      </c>
      <c r="AN522" s="109" t="s">
        <v>144</v>
      </c>
      <c r="AO522" s="23" t="s">
        <v>147</v>
      </c>
      <c r="AP522" s="96">
        <f ca="1">AP508*1.01</f>
        <v>366195.71068053338</v>
      </c>
      <c r="AQ522" s="109" t="s">
        <v>144</v>
      </c>
      <c r="AR522" s="23" t="s">
        <v>147</v>
      </c>
      <c r="AS522" s="96">
        <f ca="1">AS508*1.01</f>
        <v>429393.2702066506</v>
      </c>
      <c r="AT522" s="109" t="s">
        <v>144</v>
      </c>
      <c r="AU522" s="23" t="s">
        <v>147</v>
      </c>
    </row>
    <row r="523" spans="15:47" x14ac:dyDescent="0.25">
      <c r="O523" s="1"/>
      <c r="P523" s="1"/>
      <c r="Q523" s="1"/>
      <c r="R523" s="98"/>
      <c r="S523" s="107"/>
      <c r="T523" s="1"/>
      <c r="U523" s="47"/>
      <c r="V523" s="107"/>
      <c r="W523" s="1"/>
      <c r="X523" s="47"/>
      <c r="Y523" s="107"/>
      <c r="Z523" s="1"/>
      <c r="AA523" s="47"/>
      <c r="AB523" s="107"/>
      <c r="AC523" s="1"/>
      <c r="AD523" s="47"/>
      <c r="AE523" s="107"/>
      <c r="AF523" s="1"/>
      <c r="AG523" s="47"/>
      <c r="AH523" s="107"/>
      <c r="AI523" s="1"/>
      <c r="AJ523" s="47"/>
      <c r="AK523" s="107"/>
      <c r="AL523" s="1"/>
      <c r="AM523" s="47"/>
      <c r="AN523" s="107"/>
      <c r="AO523" s="1"/>
      <c r="AP523" s="47"/>
      <c r="AQ523" s="107"/>
      <c r="AR523" s="1"/>
      <c r="AS523" s="47"/>
      <c r="AT523" s="107"/>
      <c r="AU523" s="1"/>
    </row>
    <row r="524" spans="15:47" x14ac:dyDescent="0.25">
      <c r="O524" s="8" t="s">
        <v>132</v>
      </c>
      <c r="P524" s="8"/>
      <c r="Q524" s="8"/>
      <c r="R524" s="96">
        <f>P_1_minQ-(R522^2*R_up)+dpup_minQ</f>
        <v>90.184966522218119</v>
      </c>
      <c r="S524" s="106"/>
      <c r="T524" s="22"/>
      <c r="U524" s="96">
        <f ca="1">P_1_minQ-(U522^2*R_up)+dpup_minQ</f>
        <v>90.134895771023153</v>
      </c>
      <c r="V524" s="107"/>
      <c r="W524" s="1"/>
      <c r="X524" s="96">
        <f ca="1">P_1_minQ-(X522^2*R_up)+dpup_minQ</f>
        <v>89.884382483796188</v>
      </c>
      <c r="Y524" s="107"/>
      <c r="Z524" s="1"/>
      <c r="AA524" s="96">
        <f ca="1">P_1_minQ-(AA522^2*R_up)+dpup_minQ</f>
        <v>89.044431204360407</v>
      </c>
      <c r="AB524" s="107"/>
      <c r="AC524" s="1"/>
      <c r="AD524" s="96">
        <f ca="1">P_1_minQ-(AD522^2*R_up)+dpup_minQ</f>
        <v>86.974635763539183</v>
      </c>
      <c r="AE524" s="107"/>
      <c r="AF524" s="1"/>
      <c r="AG524" s="96">
        <f ca="1">P_1_minQ-(AG522^2*R_up)+dpup_minQ</f>
        <v>83.34617288094374</v>
      </c>
      <c r="AH524" s="107"/>
      <c r="AI524" s="1"/>
      <c r="AJ524" s="96">
        <f ca="1">P_1_minQ-(AJ522^2*R_up)+dpup_minQ</f>
        <v>78.005697053712538</v>
      </c>
      <c r="AK524" s="107"/>
      <c r="AL524" s="1"/>
      <c r="AM524" s="96">
        <f ca="1">P_1_minQ-(AM522^2*R_up)+dpup_minQ</f>
        <v>72.051657729116357</v>
      </c>
      <c r="AN524" s="107"/>
      <c r="AO524" s="1"/>
      <c r="AP524" s="96">
        <f ca="1">P_1_minQ-(AP522^2*R_up)+dpup_minQ</f>
        <v>65.743980190423727</v>
      </c>
      <c r="AQ524" s="107"/>
      <c r="AR524" s="1"/>
      <c r="AS524" s="96">
        <f ca="1">P_1_minQ-(AS522^2*R_up)+dpup_minQ</f>
        <v>56.580032442587701</v>
      </c>
      <c r="AT524" s="107"/>
      <c r="AU524" s="1"/>
    </row>
    <row r="525" spans="15:47" x14ac:dyDescent="0.25">
      <c r="O525" s="8" t="s">
        <v>134</v>
      </c>
      <c r="P525" s="1"/>
      <c r="Q525" s="8"/>
      <c r="R525" s="97">
        <f>P_2_minQ+(R522^2*R_dn)-dpdn_minQ</f>
        <v>60</v>
      </c>
      <c r="S525" s="106"/>
      <c r="T525" s="22"/>
      <c r="U525" s="97">
        <f ca="1">P_2_minQ+(U522^2*R_dn)-dpdn_minQ</f>
        <v>60</v>
      </c>
      <c r="V525" s="107"/>
      <c r="W525" s="1"/>
      <c r="X525" s="97">
        <f ca="1">P_2_minQ+(X522^2*R_dn)-dpdn_minQ</f>
        <v>60</v>
      </c>
      <c r="Y525" s="107"/>
      <c r="Z525" s="1"/>
      <c r="AA525" s="97">
        <f ca="1">P_2_minQ+(AA522^2*R_dn)-dpdn_minQ</f>
        <v>60</v>
      </c>
      <c r="AB525" s="107"/>
      <c r="AC525" s="1"/>
      <c r="AD525" s="97">
        <f ca="1">P_2_minQ+(AD522^2*R_dn)-dpdn_minQ</f>
        <v>60</v>
      </c>
      <c r="AE525" s="107"/>
      <c r="AF525" s="1"/>
      <c r="AG525" s="97">
        <f ca="1">P_2_minQ+(AG522^2*R_dn)-dpdn_minQ</f>
        <v>60</v>
      </c>
      <c r="AH525" s="107"/>
      <c r="AI525" s="1"/>
      <c r="AJ525" s="97">
        <f ca="1">P_2_minQ+(AJ522^2*R_dn)-dpdn_minQ</f>
        <v>60</v>
      </c>
      <c r="AK525" s="107"/>
      <c r="AL525" s="1"/>
      <c r="AM525" s="97">
        <f ca="1">P_2_minQ+(AM522^2*R_dn)-dpdn_minQ</f>
        <v>60</v>
      </c>
      <c r="AN525" s="107"/>
      <c r="AO525" s="1"/>
      <c r="AP525" s="97">
        <f ca="1">P_2_minQ+(AP522^2*R_dn)-dpdn_minQ</f>
        <v>60</v>
      </c>
      <c r="AQ525" s="107"/>
      <c r="AR525" s="1"/>
      <c r="AS525" s="97">
        <f ca="1">P_2_minQ+(AS522^2*R_dn)-dpdn_minQ</f>
        <v>60</v>
      </c>
      <c r="AT525" s="107"/>
      <c r="AU525" s="1"/>
    </row>
    <row r="526" spans="15:47" x14ac:dyDescent="0.25">
      <c r="O526" s="8" t="s">
        <v>138</v>
      </c>
      <c r="P526" s="1"/>
      <c r="Q526" s="8"/>
      <c r="R526" s="97">
        <f>R524-R525</f>
        <v>30.184966522218119</v>
      </c>
      <c r="S526" s="106"/>
      <c r="T526" s="22"/>
      <c r="U526" s="97">
        <f ca="1">U524-U525</f>
        <v>30.134895771023153</v>
      </c>
      <c r="V526" s="110"/>
      <c r="W526" s="25"/>
      <c r="X526" s="97">
        <f ca="1">X524-X525</f>
        <v>29.884382483796188</v>
      </c>
      <c r="Y526" s="110"/>
      <c r="Z526" s="25"/>
      <c r="AA526" s="97">
        <f ca="1">AA524-AA525</f>
        <v>29.044431204360407</v>
      </c>
      <c r="AB526" s="110"/>
      <c r="AC526" s="25"/>
      <c r="AD526" s="97">
        <f ca="1">AD524-AD525</f>
        <v>26.974635763539183</v>
      </c>
      <c r="AE526" s="110"/>
      <c r="AF526" s="25"/>
      <c r="AG526" s="97">
        <f ca="1">AG524-AG525</f>
        <v>23.34617288094374</v>
      </c>
      <c r="AH526" s="110"/>
      <c r="AI526" s="25"/>
      <c r="AJ526" s="97">
        <f ca="1">AJ524-AJ525</f>
        <v>18.005697053712538</v>
      </c>
      <c r="AK526" s="110"/>
      <c r="AL526" s="25"/>
      <c r="AM526" s="97">
        <f ca="1">AM524-AM525</f>
        <v>12.051657729116357</v>
      </c>
      <c r="AN526" s="110"/>
      <c r="AO526" s="25"/>
      <c r="AP526" s="97">
        <f ca="1">AP524-AP525</f>
        <v>5.7439801904237271</v>
      </c>
      <c r="AQ526" s="110"/>
      <c r="AR526" s="25"/>
      <c r="AS526" s="97">
        <f ca="1">AS524-AS525</f>
        <v>-3.4199675574122992</v>
      </c>
      <c r="AT526" s="110"/>
      <c r="AU526" s="25"/>
    </row>
    <row r="527" spans="15:47" ht="14.4" x14ac:dyDescent="0.3">
      <c r="O527" s="2" t="s">
        <v>140</v>
      </c>
      <c r="P527" s="11"/>
      <c r="Q527" s="2"/>
      <c r="R527" s="96">
        <f>R526/R524</f>
        <v>0.33470064564232777</v>
      </c>
      <c r="S527" s="106"/>
      <c r="T527" s="22"/>
      <c r="U527" s="96">
        <f ca="1">U526/U524</f>
        <v>0.33433106582357652</v>
      </c>
      <c r="V527" s="111"/>
      <c r="W527" s="28"/>
      <c r="X527" s="96">
        <f ca="1">X526/X524</f>
        <v>0.3324758056738451</v>
      </c>
      <c r="Y527" s="111"/>
      <c r="Z527" s="28"/>
      <c r="AA527" s="96">
        <f ca="1">AA526/AA524</f>
        <v>0.32617908623283037</v>
      </c>
      <c r="AB527" s="111"/>
      <c r="AC527" s="28"/>
      <c r="AD527" s="96">
        <f ca="1">AD526/AD524</f>
        <v>0.31014370484834242</v>
      </c>
      <c r="AE527" s="111"/>
      <c r="AF527" s="28"/>
      <c r="AG527" s="96">
        <f ca="1">AG526/AG524</f>
        <v>0.280110916601926</v>
      </c>
      <c r="AH527" s="111"/>
      <c r="AI527" s="28"/>
      <c r="AJ527" s="96">
        <f ca="1">AJ526/AJ524</f>
        <v>0.23082541062756376</v>
      </c>
      <c r="AK527" s="111"/>
      <c r="AL527" s="28"/>
      <c r="AM527" s="96">
        <f ca="1">AM526/AM524</f>
        <v>0.16726412839001531</v>
      </c>
      <c r="AN527" s="111"/>
      <c r="AO527" s="28"/>
      <c r="AP527" s="96">
        <f ca="1">AP526/AP524</f>
        <v>8.7368914595474939E-2</v>
      </c>
      <c r="AQ527" s="111"/>
      <c r="AR527" s="28"/>
      <c r="AS527" s="96">
        <f ca="1">AS526/AS524</f>
        <v>-6.0444779010732683E-2</v>
      </c>
      <c r="AT527" s="111"/>
      <c r="AU527" s="28"/>
    </row>
    <row r="528" spans="15:47" x14ac:dyDescent="0.25">
      <c r="O528" s="2" t="s">
        <v>21</v>
      </c>
      <c r="P528" s="8">
        <v>12</v>
      </c>
      <c r="Q528" s="2"/>
      <c r="R528" s="96">
        <f ca="1">1-R527/(3*F_GAMMA*R$29)</f>
        <v>0.82568483569720197</v>
      </c>
      <c r="S528" s="106"/>
      <c r="T528" s="22"/>
      <c r="U528" s="96">
        <f ca="1">1-U527/(3*F_GAMMA*U$29)</f>
        <v>0.82591776757246882</v>
      </c>
      <c r="V528" s="111"/>
      <c r="W528" s="28"/>
      <c r="X528" s="96">
        <f ca="1">1-X527/(3*F_GAMMA*X$29)</f>
        <v>0.82523498085179359</v>
      </c>
      <c r="Y528" s="111"/>
      <c r="Z528" s="28"/>
      <c r="AA528" s="96">
        <f ca="1">1-AA527/(3*F_GAMMA*AA$29)</f>
        <v>0.82612798861551284</v>
      </c>
      <c r="AB528" s="111"/>
      <c r="AC528" s="28"/>
      <c r="AD528" s="96">
        <f ca="1">1-AD527/(3*F_GAMMA*AD$29)</f>
        <v>0.82954836332420723</v>
      </c>
      <c r="AE528" s="111"/>
      <c r="AF528" s="28"/>
      <c r="AG528" s="96">
        <f ca="1">1-AG527/(3*F_GAMMA*AG$29)</f>
        <v>0.83681635247887187</v>
      </c>
      <c r="AH528" s="111"/>
      <c r="AI528" s="28"/>
      <c r="AJ528" s="96">
        <f ca="1">1-AJ527/(3*F_GAMMA*AJ$29)</f>
        <v>0.85532708659226231</v>
      </c>
      <c r="AK528" s="111"/>
      <c r="AL528" s="28"/>
      <c r="AM528" s="96">
        <f ca="1">1-AM527/(3*F_GAMMA*AM$29)</f>
        <v>0.88278579502814847</v>
      </c>
      <c r="AN528" s="111"/>
      <c r="AO528" s="28"/>
      <c r="AP528" s="96">
        <f ca="1">1-AP527/(3*F_GAMMA*AP$29)</f>
        <v>0.95068429999320281</v>
      </c>
      <c r="AQ528" s="111"/>
      <c r="AR528" s="28"/>
      <c r="AS528" s="96">
        <f ca="1">1-AS527/(3*F_GAMMA*AS$29)</f>
        <v>1.0534876478144961</v>
      </c>
      <c r="AT528" s="111"/>
      <c r="AU528" s="28"/>
    </row>
    <row r="529" spans="15:47" x14ac:dyDescent="0.25">
      <c r="O529" s="2" t="s">
        <v>57</v>
      </c>
      <c r="P529" s="143">
        <v>7</v>
      </c>
      <c r="Q529" s="2"/>
      <c r="R529" s="96">
        <f ca="1">(R522/(N_9*R$27*R524*R528))*SQRT(M*'Valve Sizing'!$W$6*'Valve Sizing'!$G$8/R527)</f>
        <v>0.25733684816584335</v>
      </c>
      <c r="S529" s="107"/>
      <c r="T529" s="22"/>
      <c r="U529" s="96">
        <f ca="1">(U522/(N_9*U$27*U524*U528))*SQRT(M*'Valve Sizing'!$W$6*'Valve Sizing'!$G$8/U527)</f>
        <v>6.7083971919332486</v>
      </c>
      <c r="V529" s="111"/>
      <c r="W529" s="28"/>
      <c r="X529" s="96">
        <f ca="1">(X522/(N_9*X$27*X524*X528))*SQRT(M*'Valve Sizing'!$W$6*'Valve Sizing'!$G$8/X527)</f>
        <v>16.569799511067355</v>
      </c>
      <c r="Y529" s="111"/>
      <c r="Z529" s="28"/>
      <c r="AA529" s="96">
        <f ca="1">(AA522/(N_9*AA$27*AA524*AA528))*SQRT(M*'Valve Sizing'!$W$6*'Valve Sizing'!$G$8/AA527)</f>
        <v>33.050547006446685</v>
      </c>
      <c r="AB529" s="111"/>
      <c r="AC529" s="28"/>
      <c r="AD529" s="96">
        <f ca="1">(AD522/(N_9*AD$27*AD524*AD528))*SQRT(M*'Valve Sizing'!$W$6*'Valve Sizing'!$G$8/AD527)</f>
        <v>58.695301603140599</v>
      </c>
      <c r="AE529" s="111"/>
      <c r="AF529" s="28"/>
      <c r="AG529" s="96">
        <f ca="1">(AG522/(N_9*AG$27*AG524*AG528))*SQRT(M*'Valve Sizing'!$W$6*'Valve Sizing'!$G$8/AG527)</f>
        <v>95.348931901773369</v>
      </c>
      <c r="AH529" s="111"/>
      <c r="AI529" s="28"/>
      <c r="AJ529" s="96">
        <f ca="1">(AJ522/(N_9*AJ$27*AJ524*AJ528))*SQRT(M*'Valve Sizing'!$W$6*'Valve Sizing'!$G$8/AJ527)</f>
        <v>151.82356796292393</v>
      </c>
      <c r="AK529" s="111"/>
      <c r="AL529" s="28"/>
      <c r="AM529" s="96">
        <f ca="1">(AM522/(N_9*AM$27*AM524*AM528))*SQRT(M*'Valve Sizing'!$W$6*'Valve Sizing'!$G$8/AM527)</f>
        <v>242.20605612553618</v>
      </c>
      <c r="AN529" s="111"/>
      <c r="AO529" s="28"/>
      <c r="AP529" s="96">
        <f ca="1">(AP522/(N_9*AP$27*AP524*AP528))*SQRT(M*'Valve Sizing'!$W$6*'Valve Sizing'!$G$8/AP527)</f>
        <v>450.66310545134633</v>
      </c>
      <c r="AQ529" s="111"/>
      <c r="AR529" s="28"/>
      <c r="AS529" s="96" t="e">
        <f ca="1">(AS522/(N_9*AS$27*AS524*AS528))*SQRT(M*'Valve Sizing'!$W$6*'Valve Sizing'!$G$8/AS527)</f>
        <v>#NUM!</v>
      </c>
      <c r="AT529" s="111"/>
      <c r="AU529" s="28"/>
    </row>
    <row r="530" spans="15:47" x14ac:dyDescent="0.25">
      <c r="O530" s="2" t="s">
        <v>59</v>
      </c>
      <c r="P530" s="143">
        <v>7</v>
      </c>
      <c r="Q530" s="2"/>
      <c r="R530" s="96">
        <f ca="1">(R522/(N_9*R$27*R524*0.667))*SQRT(M*'Valve Sizing'!$W$6*'Valve Sizing'!$G$8/R531)</f>
        <v>0.23036615001333016</v>
      </c>
      <c r="S530" s="107"/>
      <c r="T530" s="22"/>
      <c r="U530" s="96">
        <f ca="1">(U522/(N_9*U$27*U524*0.667))*SQRT(M*'Valve Sizing'!$W$6*'Valve Sizing'!$G$8/U531)</f>
        <v>6.0029896507020846</v>
      </c>
      <c r="V530" s="111"/>
      <c r="W530" s="28"/>
      <c r="X530" s="96">
        <f ca="1">(X522/(N_9*X$27*X524*0.667))*SQRT(M*'Valve Sizing'!$W$6*'Valve Sizing'!$G$8/X531)</f>
        <v>14.844204560464329</v>
      </c>
      <c r="Y530" s="111"/>
      <c r="Z530" s="28"/>
      <c r="AA530" s="96">
        <f ca="1">(AA522/(N_9*AA$27*AA524*0.667))*SQRT(M*'Valve Sizing'!$W$6*'Valve Sizing'!$G$8/AA531)</f>
        <v>29.564845937325874</v>
      </c>
      <c r="AB530" s="111"/>
      <c r="AC530" s="28"/>
      <c r="AD530" s="96">
        <f ca="1">(AD522/(N_9*AD$27*AD524*0.667))*SQRT(M*'Valve Sizing'!$W$6*'Valve Sizing'!$G$8/AD531)</f>
        <v>52.201193267470337</v>
      </c>
      <c r="AE530" s="111"/>
      <c r="AF530" s="28"/>
      <c r="AG530" s="96">
        <f ca="1">(AG522/(N_9*AG$27*AG524*0.667))*SQRT(M*'Valve Sizing'!$W$6*'Valve Sizing'!$G$8/AG531)</f>
        <v>83.698775109342819</v>
      </c>
      <c r="AH530" s="111"/>
      <c r="AI530" s="28"/>
      <c r="AJ530" s="96">
        <f ca="1">(AJ522/(N_9*AJ$27*AJ524*0.667))*SQRT(M*'Valve Sizing'!$W$6*'Valve Sizing'!$G$8/AJ531)</f>
        <v>128.26253705367736</v>
      </c>
      <c r="AK530" s="111"/>
      <c r="AL530" s="28"/>
      <c r="AM530" s="96">
        <f ca="1">(AM522/(N_9*AM$27*AM524*0.667))*SQRT(M*'Valve Sizing'!$W$6*'Valve Sizing'!$G$8/AM531)</f>
        <v>190.09261754125725</v>
      </c>
      <c r="AN530" s="111"/>
      <c r="AO530" s="28"/>
      <c r="AP530" s="96">
        <f ca="1">(AP522/(N_9*AP$27*AP524*0.667))*SQRT(M*'Valve Sizing'!$W$6*'Valve Sizing'!$G$8/AP531)</f>
        <v>247.0675572226541</v>
      </c>
      <c r="AQ530" s="111"/>
      <c r="AR530" s="28"/>
      <c r="AS530" s="96">
        <f ca="1">(AS522/(N_9*AS$27*AS524*0.667))*SQRT(M*'Valve Sizing'!$W$6*'Valve Sizing'!$G$8/AS531)</f>
        <v>564.53483366816522</v>
      </c>
      <c r="AT530" s="111"/>
      <c r="AU530" s="28"/>
    </row>
    <row r="531" spans="15:47" ht="15.6" x14ac:dyDescent="0.35">
      <c r="O531" s="2" t="s">
        <v>68</v>
      </c>
      <c r="P531" s="143">
        <v>10</v>
      </c>
      <c r="Q531" s="2"/>
      <c r="R531" s="96">
        <f ca="1">F_GAMMA*R$29</f>
        <v>0.64002969751372984</v>
      </c>
      <c r="S531" s="107"/>
      <c r="T531" s="1"/>
      <c r="U531" s="96">
        <f ca="1">F_GAMMA*U$29</f>
        <v>0.64017842058782071</v>
      </c>
      <c r="V531" s="111"/>
      <c r="W531" s="28"/>
      <c r="X531" s="96">
        <f ca="1">F_GAMMA*X$29</f>
        <v>0.63413873724904268</v>
      </c>
      <c r="Y531" s="111"/>
      <c r="Z531" s="28"/>
      <c r="AA531" s="96">
        <f ca="1">F_GAMMA*AA$29</f>
        <v>0.62532411750377137</v>
      </c>
      <c r="AB531" s="111"/>
      <c r="AC531" s="28"/>
      <c r="AD531" s="96">
        <f ca="1">F_GAMMA*AD$29</f>
        <v>0.60651359509139569</v>
      </c>
      <c r="AE531" s="111"/>
      <c r="AF531" s="28"/>
      <c r="AG531" s="96">
        <f ca="1">F_GAMMA*AG$29</f>
        <v>0.57217930198481592</v>
      </c>
      <c r="AH531" s="111"/>
      <c r="AI531" s="28"/>
      <c r="AJ531" s="96">
        <f ca="1">F_GAMMA*AJ$29</f>
        <v>0.53183282018848232</v>
      </c>
      <c r="AK531" s="111"/>
      <c r="AL531" s="28"/>
      <c r="AM531" s="96">
        <f ca="1">F_GAMMA*AM$29</f>
        <v>0.47566512503094399</v>
      </c>
      <c r="AN531" s="111"/>
      <c r="AO531" s="28"/>
      <c r="AP531" s="96">
        <f ca="1">F_GAMMA*AP$29</f>
        <v>0.59054158265645496</v>
      </c>
      <c r="AQ531" s="111"/>
      <c r="AR531" s="28"/>
      <c r="AS531" s="96">
        <f ca="1">F_GAMMA*AS$29</f>
        <v>0.3766899554102966</v>
      </c>
      <c r="AT531" s="111"/>
      <c r="AU531" s="28"/>
    </row>
    <row r="532" spans="15:47" x14ac:dyDescent="0.25">
      <c r="O532" s="2" t="s">
        <v>145</v>
      </c>
      <c r="P532" s="12"/>
      <c r="Q532" s="2"/>
      <c r="R532" s="96">
        <f ca="1">IF(R527&lt;R531,R529,R530)</f>
        <v>0.25733684816584335</v>
      </c>
      <c r="S532" s="116"/>
      <c r="T532" s="1"/>
      <c r="U532" s="96">
        <f ca="1">IF(U527&lt;U531,U529,U530)</f>
        <v>6.7083971919332486</v>
      </c>
      <c r="V532" s="111"/>
      <c r="W532" s="28"/>
      <c r="X532" s="96">
        <f ca="1">IF(X527&lt;X531,X529,X530)</f>
        <v>16.569799511067355</v>
      </c>
      <c r="Y532" s="111"/>
      <c r="Z532" s="28"/>
      <c r="AA532" s="96">
        <f ca="1">IF(AA527&lt;AA531,AA529,AA530)</f>
        <v>33.050547006446685</v>
      </c>
      <c r="AB532" s="111"/>
      <c r="AC532" s="28"/>
      <c r="AD532" s="96">
        <f ca="1">IF(AD527&lt;AD531,AD529,AD530)</f>
        <v>58.695301603140599</v>
      </c>
      <c r="AE532" s="111"/>
      <c r="AF532" s="28"/>
      <c r="AG532" s="96">
        <f ca="1">IF(AG527&lt;AG531,AG529,AG530)</f>
        <v>95.348931901773369</v>
      </c>
      <c r="AH532" s="111"/>
      <c r="AI532" s="28"/>
      <c r="AJ532" s="96">
        <f ca="1">IF(AJ527&lt;AJ531,AJ529,AJ530)</f>
        <v>151.82356796292393</v>
      </c>
      <c r="AK532" s="111"/>
      <c r="AL532" s="28"/>
      <c r="AM532" s="96">
        <f ca="1">IF(AM527&lt;AM531,AM529,AM530)</f>
        <v>242.20605612553618</v>
      </c>
      <c r="AN532" s="111"/>
      <c r="AO532" s="28"/>
      <c r="AP532" s="96">
        <f ca="1">IF(AP527&lt;AP531,AP529,AP530)</f>
        <v>450.66310545134633</v>
      </c>
      <c r="AQ532" s="111"/>
      <c r="AR532" s="28"/>
      <c r="AS532" s="96" t="e">
        <f ca="1">IF(AS527&lt;AS531,AS529,AS530)</f>
        <v>#NUM!</v>
      </c>
      <c r="AT532" s="111"/>
      <c r="AU532" s="28"/>
    </row>
    <row r="533" spans="15:47" x14ac:dyDescent="0.25">
      <c r="O533" s="13" t="s">
        <v>143</v>
      </c>
      <c r="P533" s="1"/>
      <c r="Q533" s="1"/>
      <c r="R533" s="113"/>
      <c r="S533" s="106">
        <f ca="1">IF(R526&lt;=0,Q_max,ABS(R$23-R532))</f>
        <v>4.4726631518341566</v>
      </c>
      <c r="T533" s="7">
        <f>R522</f>
        <v>637.22480816483858</v>
      </c>
      <c r="U533" s="98"/>
      <c r="V533" s="106">
        <f ca="1">IF(U526&lt;=0,Q_max,ABS(U$23-U532))</f>
        <v>4.8916028080667511</v>
      </c>
      <c r="W533" s="9">
        <f ca="1">U522</f>
        <v>16586.929800002083</v>
      </c>
      <c r="X533" s="98"/>
      <c r="Y533" s="106">
        <f ca="1">IF(X526&lt;=0,Q_max,ABS(X$23-X532))</f>
        <v>6.4302004889326447</v>
      </c>
      <c r="Z533" s="9">
        <f ca="1">X522</f>
        <v>40615.298280385701</v>
      </c>
      <c r="AA533" s="98"/>
      <c r="AB533" s="106">
        <f ca="1">IF(AA526&lt;=0,Q_max,ABS(AA$23-AA532))</f>
        <v>6.3494529935533137</v>
      </c>
      <c r="AC533" s="9">
        <f ca="1">AA522</f>
        <v>79108.234181593623</v>
      </c>
      <c r="AD533" s="98"/>
      <c r="AE533" s="106">
        <f ca="1">IF(AD526&lt;=0,Q_max,ABS(AD$23-AD532))</f>
        <v>2.3046983968594006</v>
      </c>
      <c r="AF533" s="9">
        <f ca="1">AD522</f>
        <v>132719.00808295587</v>
      </c>
      <c r="AG533" s="98"/>
      <c r="AH533" s="106">
        <f ca="1">IF(AG526&lt;=0,Q_max,ABS(AG$23-AG532))</f>
        <v>7.1489319017733663</v>
      </c>
      <c r="AI533" s="9">
        <f ca="1">AG522</f>
        <v>193707.00705079411</v>
      </c>
      <c r="AJ533" s="98"/>
      <c r="AK533" s="106">
        <f ca="1">IF(AJ526&lt;=0,Q_max,ABS(AJ$23-AJ532))</f>
        <v>30.823567962923931</v>
      </c>
      <c r="AL533" s="9">
        <f ca="1">AJ522</f>
        <v>258502.75182752116</v>
      </c>
      <c r="AM533" s="98"/>
      <c r="AN533" s="106">
        <f ca="1">IF(AM526&lt;=0,Q_max,ABS(AM$23-AM532))</f>
        <v>77.206056125536179</v>
      </c>
      <c r="AO533" s="9">
        <f ca="1">AM522</f>
        <v>315422.48307908245</v>
      </c>
      <c r="AP533" s="98"/>
      <c r="AQ533" s="106">
        <f ca="1">IF(AP526&lt;=0,Q_max,ABS(AP$23-AP532))</f>
        <v>204.66310545134633</v>
      </c>
      <c r="AR533" s="9">
        <f ca="1">AP522</f>
        <v>366195.71068053338</v>
      </c>
      <c r="AS533" s="98"/>
      <c r="AT533" s="106">
        <f ca="1">IF(AS526&lt;=0,Q_max,ABS(AS$23-AS532))</f>
        <v>236393</v>
      </c>
      <c r="AU533" s="9">
        <f ca="1">AS522</f>
        <v>429393.2702066506</v>
      </c>
    </row>
    <row r="534" spans="15:47" x14ac:dyDescent="0.25">
      <c r="O534" s="21"/>
      <c r="P534" s="14"/>
      <c r="Q534" s="21"/>
      <c r="R534" s="97"/>
      <c r="S534" s="106"/>
      <c r="T534" s="28"/>
      <c r="U534" s="97"/>
      <c r="V534" s="111"/>
      <c r="W534" s="28"/>
      <c r="X534" s="97"/>
      <c r="Y534" s="111"/>
      <c r="Z534" s="28"/>
      <c r="AA534" s="97"/>
      <c r="AB534" s="111"/>
      <c r="AC534" s="28"/>
      <c r="AD534" s="97"/>
      <c r="AE534" s="111"/>
      <c r="AF534" s="28"/>
      <c r="AG534" s="97"/>
      <c r="AH534" s="111"/>
      <c r="AI534" s="28"/>
      <c r="AJ534" s="97"/>
      <c r="AK534" s="111"/>
      <c r="AL534" s="28"/>
      <c r="AM534" s="97"/>
      <c r="AN534" s="111"/>
      <c r="AO534" s="28"/>
      <c r="AP534" s="97"/>
      <c r="AQ534" s="111"/>
      <c r="AR534" s="28"/>
      <c r="AS534" s="97"/>
      <c r="AT534" s="111"/>
      <c r="AU534" s="28"/>
    </row>
    <row r="535" spans="15:47" x14ac:dyDescent="0.25">
      <c r="O535" s="1"/>
      <c r="P535" s="1"/>
      <c r="Q535" s="1"/>
      <c r="R535" s="98"/>
      <c r="S535" s="108" t="s">
        <v>137</v>
      </c>
      <c r="T535" s="26" t="s">
        <v>146</v>
      </c>
      <c r="U535" s="98"/>
      <c r="V535" s="108" t="s">
        <v>137</v>
      </c>
      <c r="W535" s="26" t="s">
        <v>146</v>
      </c>
      <c r="X535" s="98"/>
      <c r="Y535" s="108" t="s">
        <v>137</v>
      </c>
      <c r="Z535" s="26" t="s">
        <v>146</v>
      </c>
      <c r="AA535" s="98"/>
      <c r="AB535" s="108" t="s">
        <v>137</v>
      </c>
      <c r="AC535" s="26" t="s">
        <v>146</v>
      </c>
      <c r="AD535" s="98"/>
      <c r="AE535" s="108" t="s">
        <v>137</v>
      </c>
      <c r="AF535" s="26" t="s">
        <v>146</v>
      </c>
      <c r="AG535" s="98"/>
      <c r="AH535" s="108" t="s">
        <v>137</v>
      </c>
      <c r="AI535" s="26" t="s">
        <v>146</v>
      </c>
      <c r="AJ535" s="98"/>
      <c r="AK535" s="108" t="s">
        <v>137</v>
      </c>
      <c r="AL535" s="26" t="s">
        <v>146</v>
      </c>
      <c r="AM535" s="98"/>
      <c r="AN535" s="108" t="s">
        <v>137</v>
      </c>
      <c r="AO535" s="26" t="s">
        <v>146</v>
      </c>
      <c r="AP535" s="98"/>
      <c r="AQ535" s="108" t="s">
        <v>137</v>
      </c>
      <c r="AR535" s="26" t="s">
        <v>146</v>
      </c>
      <c r="AS535" s="98"/>
      <c r="AT535" s="108" t="s">
        <v>137</v>
      </c>
      <c r="AU535" s="26" t="s">
        <v>146</v>
      </c>
    </row>
    <row r="536" spans="15:47" ht="13.8" x14ac:dyDescent="0.25">
      <c r="O536" s="20" t="s">
        <v>136</v>
      </c>
      <c r="P536" s="1"/>
      <c r="Q536" s="1"/>
      <c r="R536" s="96">
        <f>R522*1.02</f>
        <v>649.96930432813531</v>
      </c>
      <c r="S536" s="109" t="s">
        <v>144</v>
      </c>
      <c r="T536" s="23" t="s">
        <v>147</v>
      </c>
      <c r="U536" s="96">
        <f ca="1">U522*1.01</f>
        <v>16752.799098002102</v>
      </c>
      <c r="V536" s="109" t="s">
        <v>144</v>
      </c>
      <c r="W536" s="23" t="s">
        <v>147</v>
      </c>
      <c r="X536" s="96">
        <f ca="1">X522*1.01</f>
        <v>41021.451263189556</v>
      </c>
      <c r="Y536" s="109" t="s">
        <v>144</v>
      </c>
      <c r="Z536" s="23" t="s">
        <v>147</v>
      </c>
      <c r="AA536" s="96">
        <f ca="1">AA522*1.01</f>
        <v>79899.316523409565</v>
      </c>
      <c r="AB536" s="109" t="s">
        <v>144</v>
      </c>
      <c r="AC536" s="23" t="s">
        <v>147</v>
      </c>
      <c r="AD536" s="96">
        <f ca="1">AD522*1.01</f>
        <v>134046.19816378542</v>
      </c>
      <c r="AE536" s="109" t="s">
        <v>144</v>
      </c>
      <c r="AF536" s="23" t="s">
        <v>147</v>
      </c>
      <c r="AG536" s="96">
        <f ca="1">AG522*1.01</f>
        <v>195644.07712130205</v>
      </c>
      <c r="AH536" s="109" t="s">
        <v>144</v>
      </c>
      <c r="AI536" s="23" t="s">
        <v>147</v>
      </c>
      <c r="AJ536" s="96">
        <f ca="1">AJ522*1.01</f>
        <v>261087.77934579639</v>
      </c>
      <c r="AK536" s="109" t="s">
        <v>144</v>
      </c>
      <c r="AL536" s="23" t="s">
        <v>147</v>
      </c>
      <c r="AM536" s="96">
        <f ca="1">AM522*1.01</f>
        <v>318576.70790987328</v>
      </c>
      <c r="AN536" s="109" t="s">
        <v>144</v>
      </c>
      <c r="AO536" s="23" t="s">
        <v>147</v>
      </c>
      <c r="AP536" s="96">
        <f ca="1">AP522*1.01</f>
        <v>369857.66778733872</v>
      </c>
      <c r="AQ536" s="109" t="s">
        <v>144</v>
      </c>
      <c r="AR536" s="23" t="s">
        <v>147</v>
      </c>
      <c r="AS536" s="96">
        <f ca="1">AS522*1.01</f>
        <v>433687.2029087171</v>
      </c>
      <c r="AT536" s="109" t="s">
        <v>144</v>
      </c>
      <c r="AU536" s="23" t="s">
        <v>147</v>
      </c>
    </row>
    <row r="537" spans="15:47" x14ac:dyDescent="0.25">
      <c r="O537" s="1"/>
      <c r="P537" s="1"/>
      <c r="Q537" s="1"/>
      <c r="R537" s="98"/>
      <c r="S537" s="107"/>
      <c r="T537" s="1"/>
      <c r="U537" s="47"/>
      <c r="V537" s="107"/>
      <c r="W537" s="1"/>
      <c r="X537" s="47"/>
      <c r="Y537" s="107"/>
      <c r="Z537" s="1"/>
      <c r="AA537" s="47"/>
      <c r="AB537" s="107"/>
      <c r="AC537" s="1"/>
      <c r="AD537" s="47"/>
      <c r="AE537" s="107"/>
      <c r="AF537" s="1"/>
      <c r="AG537" s="47"/>
      <c r="AH537" s="107"/>
      <c r="AI537" s="1"/>
      <c r="AJ537" s="47"/>
      <c r="AK537" s="107"/>
      <c r="AL537" s="1"/>
      <c r="AM537" s="47"/>
      <c r="AN537" s="107"/>
      <c r="AO537" s="1"/>
      <c r="AP537" s="47"/>
      <c r="AQ537" s="107"/>
      <c r="AR537" s="1"/>
      <c r="AS537" s="47"/>
      <c r="AT537" s="107"/>
      <c r="AU537" s="1"/>
    </row>
    <row r="538" spans="15:47" x14ac:dyDescent="0.25">
      <c r="O538" s="8" t="s">
        <v>132</v>
      </c>
      <c r="P538" s="8"/>
      <c r="Q538" s="8"/>
      <c r="R538" s="96">
        <f>P_1_minQ-(R536^2*R_up)+dpup_minQ</f>
        <v>90.184963532293395</v>
      </c>
      <c r="S538" s="106"/>
      <c r="T538" s="22"/>
      <c r="U538" s="96">
        <f ca="1">P_1_minQ-(U536^2*R_up)+dpup_minQ</f>
        <v>90.133887861362581</v>
      </c>
      <c r="V538" s="107"/>
      <c r="W538" s="1"/>
      <c r="X538" s="96">
        <f ca="1">P_1_minQ-(X536^2*R_up)+dpup_minQ</f>
        <v>89.878339257062365</v>
      </c>
      <c r="Y538" s="107"/>
      <c r="Z538" s="1"/>
      <c r="AA538" s="96">
        <f ca="1">P_1_minQ-(AA536^2*R_up)+dpup_minQ</f>
        <v>89.021504956909908</v>
      </c>
      <c r="AB538" s="107"/>
      <c r="AC538" s="1"/>
      <c r="AD538" s="96">
        <f ca="1">P_1_minQ-(AD536^2*R_up)+dpup_minQ</f>
        <v>86.910106627728183</v>
      </c>
      <c r="AE538" s="107"/>
      <c r="AF538" s="1"/>
      <c r="AG538" s="96">
        <f ca="1">P_1_minQ-(AG536^2*R_up)+dpup_minQ</f>
        <v>83.208711641192565</v>
      </c>
      <c r="AH538" s="107"/>
      <c r="AI538" s="1"/>
      <c r="AJ538" s="96">
        <f ca="1">P_1_minQ-(AJ536^2*R_up)+dpup_minQ</f>
        <v>77.760892249834015</v>
      </c>
      <c r="AK538" s="107"/>
      <c r="AL538" s="1"/>
      <c r="AM538" s="96">
        <f ca="1">P_1_minQ-(AM536^2*R_up)+dpup_minQ</f>
        <v>71.687176734813463</v>
      </c>
      <c r="AN538" s="107"/>
      <c r="AO538" s="1"/>
      <c r="AP538" s="96">
        <f ca="1">P_1_minQ-(AP536^2*R_up)+dpup_minQ</f>
        <v>65.252714877593107</v>
      </c>
      <c r="AQ538" s="107"/>
      <c r="AR538" s="1"/>
      <c r="AS538" s="96">
        <f ca="1">P_1_minQ-(AS536^2*R_up)+dpup_minQ</f>
        <v>55.904571780025584</v>
      </c>
      <c r="AT538" s="107"/>
      <c r="AU538" s="1"/>
    </row>
    <row r="539" spans="15:47" x14ac:dyDescent="0.25">
      <c r="O539" s="8" t="s">
        <v>134</v>
      </c>
      <c r="P539" s="1"/>
      <c r="Q539" s="8"/>
      <c r="R539" s="97">
        <f>P_2_minQ+(R536^2*R_dn)-dpdn_minQ</f>
        <v>60</v>
      </c>
      <c r="S539" s="106"/>
      <c r="T539" s="22"/>
      <c r="U539" s="97">
        <f ca="1">P_2_minQ+(U536^2*R_dn)-dpdn_minQ</f>
        <v>60</v>
      </c>
      <c r="V539" s="107"/>
      <c r="W539" s="1"/>
      <c r="X539" s="97">
        <f ca="1">P_2_minQ+(X536^2*R_dn)-dpdn_minQ</f>
        <v>60</v>
      </c>
      <c r="Y539" s="107"/>
      <c r="Z539" s="1"/>
      <c r="AA539" s="97">
        <f ca="1">P_2_minQ+(AA536^2*R_dn)-dpdn_minQ</f>
        <v>60</v>
      </c>
      <c r="AB539" s="107"/>
      <c r="AC539" s="1"/>
      <c r="AD539" s="97">
        <f ca="1">P_2_minQ+(AD536^2*R_dn)-dpdn_minQ</f>
        <v>60</v>
      </c>
      <c r="AE539" s="107"/>
      <c r="AF539" s="1"/>
      <c r="AG539" s="97">
        <f ca="1">P_2_minQ+(AG536^2*R_dn)-dpdn_minQ</f>
        <v>60</v>
      </c>
      <c r="AH539" s="107"/>
      <c r="AI539" s="1"/>
      <c r="AJ539" s="97">
        <f ca="1">P_2_minQ+(AJ536^2*R_dn)-dpdn_minQ</f>
        <v>60</v>
      </c>
      <c r="AK539" s="107"/>
      <c r="AL539" s="1"/>
      <c r="AM539" s="97">
        <f ca="1">P_2_minQ+(AM536^2*R_dn)-dpdn_minQ</f>
        <v>60</v>
      </c>
      <c r="AN539" s="107"/>
      <c r="AO539" s="1"/>
      <c r="AP539" s="97">
        <f ca="1">P_2_minQ+(AP536^2*R_dn)-dpdn_minQ</f>
        <v>60</v>
      </c>
      <c r="AQ539" s="107"/>
      <c r="AR539" s="1"/>
      <c r="AS539" s="97">
        <f ca="1">P_2_minQ+(AS536^2*R_dn)-dpdn_minQ</f>
        <v>60</v>
      </c>
      <c r="AT539" s="107"/>
      <c r="AU539" s="1"/>
    </row>
    <row r="540" spans="15:47" x14ac:dyDescent="0.25">
      <c r="O540" s="8" t="s">
        <v>138</v>
      </c>
      <c r="P540" s="1"/>
      <c r="Q540" s="8"/>
      <c r="R540" s="97">
        <f>R538-R539</f>
        <v>30.184963532293395</v>
      </c>
      <c r="S540" s="106"/>
      <c r="T540" s="22"/>
      <c r="U540" s="97">
        <f ca="1">U538-U539</f>
        <v>30.133887861362581</v>
      </c>
      <c r="V540" s="110"/>
      <c r="W540" s="25"/>
      <c r="X540" s="97">
        <f ca="1">X538-X539</f>
        <v>29.878339257062365</v>
      </c>
      <c r="Y540" s="110"/>
      <c r="Z540" s="25"/>
      <c r="AA540" s="97">
        <f ca="1">AA538-AA539</f>
        <v>29.021504956909908</v>
      </c>
      <c r="AB540" s="110"/>
      <c r="AC540" s="25"/>
      <c r="AD540" s="97">
        <f ca="1">AD538-AD539</f>
        <v>26.910106627728183</v>
      </c>
      <c r="AE540" s="110"/>
      <c r="AF540" s="25"/>
      <c r="AG540" s="97">
        <f ca="1">AG538-AG539</f>
        <v>23.208711641192565</v>
      </c>
      <c r="AH540" s="110"/>
      <c r="AI540" s="25"/>
      <c r="AJ540" s="97">
        <f ca="1">AJ538-AJ539</f>
        <v>17.760892249834015</v>
      </c>
      <c r="AK540" s="110"/>
      <c r="AL540" s="25"/>
      <c r="AM540" s="97">
        <f ca="1">AM538-AM539</f>
        <v>11.687176734813463</v>
      </c>
      <c r="AN540" s="110"/>
      <c r="AO540" s="25"/>
      <c r="AP540" s="97">
        <f ca="1">AP538-AP539</f>
        <v>5.2527148775931067</v>
      </c>
      <c r="AQ540" s="110"/>
      <c r="AR540" s="25"/>
      <c r="AS540" s="97">
        <f ca="1">AS538-AS539</f>
        <v>-4.0954282199744156</v>
      </c>
      <c r="AT540" s="110"/>
      <c r="AU540" s="25"/>
    </row>
    <row r="541" spans="15:47" ht="14.4" x14ac:dyDescent="0.3">
      <c r="O541" s="2" t="s">
        <v>140</v>
      </c>
      <c r="P541" s="11"/>
      <c r="Q541" s="2"/>
      <c r="R541" s="96">
        <f>R540/R538</f>
        <v>0.33470062358549135</v>
      </c>
      <c r="S541" s="106"/>
      <c r="T541" s="22"/>
      <c r="U541" s="96">
        <f ca="1">U540/U538</f>
        <v>0.33432362207333544</v>
      </c>
      <c r="V541" s="111"/>
      <c r="W541" s="28"/>
      <c r="X541" s="96">
        <f ca="1">X540/X538</f>
        <v>0.33243092277892322</v>
      </c>
      <c r="Y541" s="111"/>
      <c r="Z541" s="28"/>
      <c r="AA541" s="96">
        <f ca="1">AA540/AA538</f>
        <v>0.32600555305100176</v>
      </c>
      <c r="AB541" s="111"/>
      <c r="AC541" s="28"/>
      <c r="AD541" s="96">
        <f ca="1">AD540/AD538</f>
        <v>0.3096314993950619</v>
      </c>
      <c r="AE541" s="111"/>
      <c r="AF541" s="28"/>
      <c r="AG541" s="96">
        <f ca="1">AG540/AG538</f>
        <v>0.27892165595919488</v>
      </c>
      <c r="AH541" s="111"/>
      <c r="AI541" s="28"/>
      <c r="AJ541" s="96">
        <f ca="1">AJ540/AJ538</f>
        <v>0.22840391533537124</v>
      </c>
      <c r="AK541" s="111"/>
      <c r="AL541" s="28"/>
      <c r="AM541" s="96">
        <f ca="1">AM540/AM538</f>
        <v>0.16303022754051097</v>
      </c>
      <c r="AN541" s="111"/>
      <c r="AO541" s="28"/>
      <c r="AP541" s="96">
        <f ca="1">AP540/AP538</f>
        <v>8.0498028127206966E-2</v>
      </c>
      <c r="AQ541" s="111"/>
      <c r="AR541" s="28"/>
      <c r="AS541" s="96">
        <f ca="1">AS540/AS538</f>
        <v>-7.3257483056827402E-2</v>
      </c>
      <c r="AT541" s="111"/>
      <c r="AU541" s="28"/>
    </row>
    <row r="542" spans="15:47" x14ac:dyDescent="0.25">
      <c r="O542" s="2" t="s">
        <v>21</v>
      </c>
      <c r="P542" s="8">
        <v>12</v>
      </c>
      <c r="Q542" s="2"/>
      <c r="R542" s="96">
        <f ca="1">1-R541/(3*F_GAMMA*R$29)</f>
        <v>0.82568484718460455</v>
      </c>
      <c r="S542" s="106"/>
      <c r="T542" s="22"/>
      <c r="U542" s="96">
        <f ca="1">1-U541/(3*F_GAMMA*U$29)</f>
        <v>0.82592164344519514</v>
      </c>
      <c r="V542" s="111"/>
      <c r="W542" s="28"/>
      <c r="X542" s="96">
        <f ca="1">1-X541/(3*F_GAMMA*X$29)</f>
        <v>0.82525857342561881</v>
      </c>
      <c r="Y542" s="111"/>
      <c r="Z542" s="28"/>
      <c r="AA542" s="96">
        <f ca="1">1-AA541/(3*F_GAMMA*AA$29)</f>
        <v>0.82622049167484435</v>
      </c>
      <c r="AB542" s="111"/>
      <c r="AC542" s="28"/>
      <c r="AD542" s="96">
        <f ca="1">1-AD541/(3*F_GAMMA*AD$29)</f>
        <v>0.82982986591949159</v>
      </c>
      <c r="AE542" s="111"/>
      <c r="AF542" s="28"/>
      <c r="AG542" s="96">
        <f ca="1">1-AG541/(3*F_GAMMA*AG$29)</f>
        <v>0.83750917763502231</v>
      </c>
      <c r="AH542" s="111"/>
      <c r="AI542" s="28"/>
      <c r="AJ542" s="96">
        <f ca="1">1-AJ541/(3*F_GAMMA*AJ$29)</f>
        <v>0.85684479115421741</v>
      </c>
      <c r="AK542" s="111"/>
      <c r="AL542" s="28"/>
      <c r="AM542" s="96">
        <f ca="1">1-AM541/(3*F_GAMMA*AM$29)</f>
        <v>0.88575279893257874</v>
      </c>
      <c r="AN542" s="111"/>
      <c r="AO542" s="28"/>
      <c r="AP542" s="96">
        <f ca="1">1-AP541/(3*F_GAMMA*AP$29)</f>
        <v>0.95456259672401067</v>
      </c>
      <c r="AQ542" s="111"/>
      <c r="AR542" s="28"/>
      <c r="AS542" s="96">
        <f ca="1">1-AS541/(3*F_GAMMA*AS$29)</f>
        <v>1.0648256229512272</v>
      </c>
      <c r="AT542" s="111"/>
      <c r="AU542" s="28"/>
    </row>
    <row r="543" spans="15:47" x14ac:dyDescent="0.25">
      <c r="O543" s="2" t="s">
        <v>57</v>
      </c>
      <c r="P543" s="143">
        <v>7</v>
      </c>
      <c r="Q543" s="2"/>
      <c r="R543" s="96">
        <f ca="1">(R536/(N_9*R$27*R538*R542))*SQRT(M*'Valve Sizing'!$W$6*'Valve Sizing'!$G$8/R541)</f>
        <v>0.2624835988283814</v>
      </c>
      <c r="S543" s="107"/>
      <c r="T543" s="22"/>
      <c r="U543" s="96">
        <f ca="1">(U536/(N_9*U$27*U538*U542))*SQRT(M*'Valve Sizing'!$W$6*'Valve Sizing'!$G$8/U541)</f>
        <v>6.775600561962154</v>
      </c>
      <c r="V543" s="111"/>
      <c r="W543" s="28"/>
      <c r="X543" s="96">
        <f ca="1">(X536/(N_9*X$27*X538*X542))*SQRT(M*'Valve Sizing'!$W$6*'Valve Sizing'!$G$8/X541)</f>
        <v>16.737274067331818</v>
      </c>
      <c r="Y543" s="111"/>
      <c r="Z543" s="28"/>
      <c r="AA543" s="96">
        <f ca="1">(AA536/(N_9*AA$27*AA538*AA542))*SQRT(M*'Valve Sizing'!$W$6*'Valve Sizing'!$G$8/AA541)</f>
        <v>33.394795519633369</v>
      </c>
      <c r="AB543" s="111"/>
      <c r="AC543" s="28"/>
      <c r="AD543" s="96">
        <f ca="1">(AD536/(N_9*AD$27*AD538*AD542))*SQRT(M*'Valve Sizing'!$W$6*'Valve Sizing'!$G$8/AD541)</f>
        <v>59.355178471398006</v>
      </c>
      <c r="AE543" s="111"/>
      <c r="AF543" s="28"/>
      <c r="AG543" s="96">
        <f ca="1">(AG536/(N_9*AG$27*AG538*AG542))*SQRT(M*'Valve Sizing'!$W$6*'Valve Sizing'!$G$8/AG541)</f>
        <v>96.58697271706879</v>
      </c>
      <c r="AH543" s="111"/>
      <c r="AI543" s="28"/>
      <c r="AJ543" s="96">
        <f ca="1">(AJ536/(N_9*AJ$27*AJ538*AJ542))*SQRT(M*'Valve Sizing'!$W$6*'Valve Sizing'!$G$8/AJ541)</f>
        <v>154.36390441347297</v>
      </c>
      <c r="AK543" s="111"/>
      <c r="AL543" s="28"/>
      <c r="AM543" s="96">
        <f ca="1">(AM536/(N_9*AM$27*AM538*AM542))*SQRT(M*'Valve Sizing'!$W$6*'Valve Sizing'!$G$8/AM541)</f>
        <v>248.20985093493948</v>
      </c>
      <c r="AN543" s="111"/>
      <c r="AO543" s="28"/>
      <c r="AP543" s="96">
        <f ca="1">(AP536/(N_9*AP$27*AP538*AP542))*SQRT(M*'Valve Sizing'!$W$6*'Valve Sizing'!$G$8/AP541)</f>
        <v>475.82641122041798</v>
      </c>
      <c r="AQ543" s="111"/>
      <c r="AR543" s="28"/>
      <c r="AS543" s="96" t="e">
        <f ca="1">(AS536/(N_9*AS$27*AS538*AS542))*SQRT(M*'Valve Sizing'!$W$6*'Valve Sizing'!$G$8/AS541)</f>
        <v>#NUM!</v>
      </c>
      <c r="AT543" s="111"/>
      <c r="AU543" s="28"/>
    </row>
    <row r="544" spans="15:47" x14ac:dyDescent="0.25">
      <c r="O544" s="2" t="s">
        <v>59</v>
      </c>
      <c r="P544" s="143">
        <v>7</v>
      </c>
      <c r="Q544" s="2"/>
      <c r="R544" s="96">
        <f ca="1">(R536/(N_9*R$27*R538*0.667))*SQRT(M*'Valve Sizing'!$W$6*'Valve Sizing'!$G$8/R545)</f>
        <v>0.23497348080373129</v>
      </c>
      <c r="S544" s="107"/>
      <c r="T544" s="22"/>
      <c r="U544" s="96">
        <f ca="1">(U536/(N_9*U$27*U538*0.667))*SQRT(M*'Valve Sizing'!$W$6*'Valve Sizing'!$G$8/U545)</f>
        <v>6.0630873460816357</v>
      </c>
      <c r="V544" s="111"/>
      <c r="W544" s="28"/>
      <c r="X544" s="96">
        <f ca="1">(X536/(N_9*X$27*X538*0.667))*SQRT(M*'Valve Sizing'!$W$6*'Valve Sizing'!$G$8/X545)</f>
        <v>14.99365467946607</v>
      </c>
      <c r="Y544" s="111"/>
      <c r="Z544" s="28"/>
      <c r="AA544" s="96">
        <f ca="1">(AA536/(N_9*AA$27*AA538*0.667))*SQRT(M*'Valve Sizing'!$W$6*'Valve Sizing'!$G$8/AA545)</f>
        <v>29.868184550711522</v>
      </c>
      <c r="AB544" s="111"/>
      <c r="AC544" s="28"/>
      <c r="AD544" s="96">
        <f ca="1">(AD536/(N_9*AD$27*AD538*0.667))*SQRT(M*'Valve Sizing'!$W$6*'Valve Sizing'!$G$8/AD545)</f>
        <v>52.762351198243088</v>
      </c>
      <c r="AE544" s="111"/>
      <c r="AF544" s="28"/>
      <c r="AG544" s="96">
        <f ca="1">(AG536/(N_9*AG$27*AG538*0.667))*SQRT(M*'Valve Sizing'!$W$6*'Valve Sizing'!$G$8/AG545)</f>
        <v>84.675416395948446</v>
      </c>
      <c r="AH544" s="111"/>
      <c r="AI544" s="28"/>
      <c r="AJ544" s="96">
        <f ca="1">(AJ536/(N_9*AJ$27*AJ538*0.667))*SQRT(M*'Valve Sizing'!$W$6*'Valve Sizing'!$G$8/AJ545)</f>
        <v>129.95299311086293</v>
      </c>
      <c r="AK544" s="111"/>
      <c r="AL544" s="28"/>
      <c r="AM544" s="96">
        <f ca="1">(AM536/(N_9*AM$27*AM538*0.667))*SQRT(M*'Valve Sizing'!$W$6*'Valve Sizing'!$G$8/AM545)</f>
        <v>192.96970153039507</v>
      </c>
      <c r="AN544" s="111"/>
      <c r="AO544" s="28"/>
      <c r="AP544" s="96">
        <f ca="1">(AP536/(N_9*AP$27*AP538*0.667))*SQRT(M*'Valve Sizing'!$W$6*'Valve Sizing'!$G$8/AP545)</f>
        <v>251.416920574035</v>
      </c>
      <c r="AQ544" s="111"/>
      <c r="AR544" s="28"/>
      <c r="AS544" s="96">
        <f ca="1">(AS536/(N_9*AS$27*AS538*0.667))*SQRT(M*'Valve Sizing'!$W$6*'Valve Sizing'!$G$8/AS545)</f>
        <v>577.06931953428216</v>
      </c>
      <c r="AT544" s="111"/>
      <c r="AU544" s="28"/>
    </row>
    <row r="545" spans="15:47" ht="15.6" x14ac:dyDescent="0.35">
      <c r="O545" s="2" t="s">
        <v>68</v>
      </c>
      <c r="P545" s="143">
        <v>10</v>
      </c>
      <c r="Q545" s="2"/>
      <c r="R545" s="96">
        <f ca="1">F_GAMMA*R$29</f>
        <v>0.64002969751372984</v>
      </c>
      <c r="S545" s="107"/>
      <c r="T545" s="1"/>
      <c r="U545" s="96">
        <f ca="1">F_GAMMA*U$29</f>
        <v>0.64017842058782071</v>
      </c>
      <c r="V545" s="111"/>
      <c r="W545" s="28"/>
      <c r="X545" s="96">
        <f ca="1">F_GAMMA*X$29</f>
        <v>0.63413873724904268</v>
      </c>
      <c r="Y545" s="111"/>
      <c r="Z545" s="28"/>
      <c r="AA545" s="96">
        <f ca="1">F_GAMMA*AA$29</f>
        <v>0.62532411750377137</v>
      </c>
      <c r="AB545" s="111"/>
      <c r="AC545" s="28"/>
      <c r="AD545" s="96">
        <f ca="1">F_GAMMA*AD$29</f>
        <v>0.60651359509139569</v>
      </c>
      <c r="AE545" s="111"/>
      <c r="AF545" s="28"/>
      <c r="AG545" s="96">
        <f ca="1">F_GAMMA*AG$29</f>
        <v>0.57217930198481592</v>
      </c>
      <c r="AH545" s="111"/>
      <c r="AI545" s="28"/>
      <c r="AJ545" s="96">
        <f ca="1">F_GAMMA*AJ$29</f>
        <v>0.53183282018848232</v>
      </c>
      <c r="AK545" s="111"/>
      <c r="AL545" s="28"/>
      <c r="AM545" s="96">
        <f ca="1">F_GAMMA*AM$29</f>
        <v>0.47566512503094399</v>
      </c>
      <c r="AN545" s="111"/>
      <c r="AO545" s="28"/>
      <c r="AP545" s="96">
        <f ca="1">F_GAMMA*AP$29</f>
        <v>0.59054158265645496</v>
      </c>
      <c r="AQ545" s="111"/>
      <c r="AR545" s="28"/>
      <c r="AS545" s="96">
        <f ca="1">F_GAMMA*AS$29</f>
        <v>0.3766899554102966</v>
      </c>
      <c r="AT545" s="111"/>
      <c r="AU545" s="28"/>
    </row>
    <row r="546" spans="15:47" x14ac:dyDescent="0.25">
      <c r="O546" s="2" t="s">
        <v>145</v>
      </c>
      <c r="P546" s="12"/>
      <c r="Q546" s="2"/>
      <c r="R546" s="96">
        <f ca="1">IF(R541&lt;R545,R543,R544)</f>
        <v>0.2624835988283814</v>
      </c>
      <c r="S546" s="116"/>
      <c r="T546" s="1"/>
      <c r="U546" s="96">
        <f ca="1">IF(U541&lt;U545,U543,U544)</f>
        <v>6.775600561962154</v>
      </c>
      <c r="V546" s="111"/>
      <c r="W546" s="28"/>
      <c r="X546" s="96">
        <f ca="1">IF(X541&lt;X545,X543,X544)</f>
        <v>16.737274067331818</v>
      </c>
      <c r="Y546" s="111"/>
      <c r="Z546" s="28"/>
      <c r="AA546" s="96">
        <f ca="1">IF(AA541&lt;AA545,AA543,AA544)</f>
        <v>33.394795519633369</v>
      </c>
      <c r="AB546" s="111"/>
      <c r="AC546" s="28"/>
      <c r="AD546" s="96">
        <f ca="1">IF(AD541&lt;AD545,AD543,AD544)</f>
        <v>59.355178471398006</v>
      </c>
      <c r="AE546" s="111"/>
      <c r="AF546" s="28"/>
      <c r="AG546" s="96">
        <f ca="1">IF(AG541&lt;AG545,AG543,AG544)</f>
        <v>96.58697271706879</v>
      </c>
      <c r="AH546" s="111"/>
      <c r="AI546" s="28"/>
      <c r="AJ546" s="96">
        <f ca="1">IF(AJ541&lt;AJ545,AJ543,AJ544)</f>
        <v>154.36390441347297</v>
      </c>
      <c r="AK546" s="111"/>
      <c r="AL546" s="28"/>
      <c r="AM546" s="96">
        <f ca="1">IF(AM541&lt;AM545,AM543,AM544)</f>
        <v>248.20985093493948</v>
      </c>
      <c r="AN546" s="111"/>
      <c r="AO546" s="28"/>
      <c r="AP546" s="96">
        <f ca="1">IF(AP541&lt;AP545,AP543,AP544)</f>
        <v>475.82641122041798</v>
      </c>
      <c r="AQ546" s="111"/>
      <c r="AR546" s="28"/>
      <c r="AS546" s="96" t="e">
        <f ca="1">IF(AS541&lt;AS545,AS543,AS544)</f>
        <v>#NUM!</v>
      </c>
      <c r="AT546" s="111"/>
      <c r="AU546" s="28"/>
    </row>
    <row r="547" spans="15:47" x14ac:dyDescent="0.25">
      <c r="O547" s="13" t="s">
        <v>143</v>
      </c>
      <c r="P547" s="1"/>
      <c r="Q547" s="1"/>
      <c r="R547" s="113"/>
      <c r="S547" s="106">
        <f ca="1">IF(R540&lt;=0,Q_max,ABS(R$23-R546))</f>
        <v>4.4675164011716193</v>
      </c>
      <c r="T547" s="7">
        <f>R536</f>
        <v>649.96930432813531</v>
      </c>
      <c r="U547" s="98"/>
      <c r="V547" s="106">
        <f ca="1">IF(U540&lt;=0,Q_max,ABS(U$23-U546))</f>
        <v>4.8243994380378457</v>
      </c>
      <c r="W547" s="9">
        <f ca="1">U536</f>
        <v>16752.799098002102</v>
      </c>
      <c r="X547" s="98"/>
      <c r="Y547" s="106">
        <f ca="1">IF(X540&lt;=0,Q_max,ABS(X$23-X546))</f>
        <v>6.2627259326681823</v>
      </c>
      <c r="Z547" s="9">
        <f ca="1">X536</f>
        <v>41021.451263189556</v>
      </c>
      <c r="AA547" s="98"/>
      <c r="AB547" s="106">
        <f ca="1">IF(AA540&lt;=0,Q_max,ABS(AA$23-AA546))</f>
        <v>6.0052044803666291</v>
      </c>
      <c r="AC547" s="9">
        <f ca="1">AA536</f>
        <v>79899.316523409565</v>
      </c>
      <c r="AD547" s="98"/>
      <c r="AE547" s="106">
        <f ca="1">IF(AD540&lt;=0,Q_max,ABS(AD$23-AD546))</f>
        <v>1.6448215286019945</v>
      </c>
      <c r="AF547" s="9">
        <f ca="1">AD536</f>
        <v>134046.19816378542</v>
      </c>
      <c r="AG547" s="98"/>
      <c r="AH547" s="106">
        <f ca="1">IF(AG540&lt;=0,Q_max,ABS(AG$23-AG546))</f>
        <v>8.3869727170687867</v>
      </c>
      <c r="AI547" s="9">
        <f ca="1">AG536</f>
        <v>195644.07712130205</v>
      </c>
      <c r="AJ547" s="98"/>
      <c r="AK547" s="106">
        <f ca="1">IF(AJ540&lt;=0,Q_max,ABS(AJ$23-AJ546))</f>
        <v>33.363904413472966</v>
      </c>
      <c r="AL547" s="9">
        <f ca="1">AJ536</f>
        <v>261087.77934579639</v>
      </c>
      <c r="AM547" s="98"/>
      <c r="AN547" s="106">
        <f ca="1">IF(AM540&lt;=0,Q_max,ABS(AM$23-AM546))</f>
        <v>83.209850934939482</v>
      </c>
      <c r="AO547" s="9">
        <f ca="1">AM536</f>
        <v>318576.70790987328</v>
      </c>
      <c r="AP547" s="98"/>
      <c r="AQ547" s="106">
        <f ca="1">IF(AP540&lt;=0,Q_max,ABS(AP$23-AP546))</f>
        <v>229.82641122041798</v>
      </c>
      <c r="AR547" s="9">
        <f ca="1">AP536</f>
        <v>369857.66778733872</v>
      </c>
      <c r="AS547" s="98"/>
      <c r="AT547" s="106">
        <f ca="1">IF(AS540&lt;=0,Q_max,ABS(AS$23-AS546))</f>
        <v>236393</v>
      </c>
      <c r="AU547" s="9">
        <f ca="1">AS536</f>
        <v>433687.2029087171</v>
      </c>
    </row>
    <row r="548" spans="15:47" x14ac:dyDescent="0.25">
      <c r="O548" s="21"/>
      <c r="P548" s="14"/>
      <c r="Q548" s="21"/>
      <c r="R548" s="97"/>
      <c r="S548" s="106"/>
      <c r="T548" s="28"/>
      <c r="U548" s="97"/>
      <c r="V548" s="111"/>
      <c r="W548" s="28"/>
      <c r="X548" s="97"/>
      <c r="Y548" s="111"/>
      <c r="Z548" s="28"/>
      <c r="AA548" s="97"/>
      <c r="AB548" s="111"/>
      <c r="AC548" s="28"/>
      <c r="AD548" s="97"/>
      <c r="AE548" s="111"/>
      <c r="AF548" s="28"/>
      <c r="AG548" s="97"/>
      <c r="AH548" s="111"/>
      <c r="AI548" s="28"/>
      <c r="AJ548" s="97"/>
      <c r="AK548" s="111"/>
      <c r="AL548" s="28"/>
      <c r="AM548" s="97"/>
      <c r="AN548" s="111"/>
      <c r="AO548" s="28"/>
      <c r="AP548" s="97"/>
      <c r="AQ548" s="111"/>
      <c r="AR548" s="28"/>
      <c r="AS548" s="97"/>
      <c r="AT548" s="111"/>
      <c r="AU548" s="28"/>
    </row>
    <row r="549" spans="15:47" x14ac:dyDescent="0.25">
      <c r="O549" s="1"/>
      <c r="P549" s="1"/>
      <c r="Q549" s="1"/>
      <c r="R549" s="98"/>
      <c r="S549" s="108" t="s">
        <v>137</v>
      </c>
      <c r="T549" s="26" t="s">
        <v>146</v>
      </c>
      <c r="U549" s="98"/>
      <c r="V549" s="108" t="s">
        <v>137</v>
      </c>
      <c r="W549" s="26" t="s">
        <v>146</v>
      </c>
      <c r="X549" s="98"/>
      <c r="Y549" s="108" t="s">
        <v>137</v>
      </c>
      <c r="Z549" s="26" t="s">
        <v>146</v>
      </c>
      <c r="AA549" s="98"/>
      <c r="AB549" s="108" t="s">
        <v>137</v>
      </c>
      <c r="AC549" s="26" t="s">
        <v>146</v>
      </c>
      <c r="AD549" s="98"/>
      <c r="AE549" s="108" t="s">
        <v>137</v>
      </c>
      <c r="AF549" s="26" t="s">
        <v>146</v>
      </c>
      <c r="AG549" s="98"/>
      <c r="AH549" s="108" t="s">
        <v>137</v>
      </c>
      <c r="AI549" s="26" t="s">
        <v>146</v>
      </c>
      <c r="AJ549" s="98"/>
      <c r="AK549" s="108" t="s">
        <v>137</v>
      </c>
      <c r="AL549" s="26" t="s">
        <v>146</v>
      </c>
      <c r="AM549" s="98"/>
      <c r="AN549" s="108" t="s">
        <v>137</v>
      </c>
      <c r="AO549" s="26" t="s">
        <v>146</v>
      </c>
      <c r="AP549" s="98"/>
      <c r="AQ549" s="108" t="s">
        <v>137</v>
      </c>
      <c r="AR549" s="26" t="s">
        <v>146</v>
      </c>
      <c r="AS549" s="98"/>
      <c r="AT549" s="108" t="s">
        <v>137</v>
      </c>
      <c r="AU549" s="26" t="s">
        <v>146</v>
      </c>
    </row>
    <row r="550" spans="15:47" ht="13.8" x14ac:dyDescent="0.25">
      <c r="O550" s="20" t="s">
        <v>136</v>
      </c>
      <c r="P550" s="1"/>
      <c r="Q550" s="1"/>
      <c r="R550" s="96">
        <f>R536*1.02</f>
        <v>662.96869041469802</v>
      </c>
      <c r="S550" s="109" t="s">
        <v>144</v>
      </c>
      <c r="T550" s="23" t="s">
        <v>147</v>
      </c>
      <c r="U550" s="96">
        <f ca="1">U536*1.01</f>
        <v>16920.327088982125</v>
      </c>
      <c r="V550" s="109" t="s">
        <v>144</v>
      </c>
      <c r="W550" s="23" t="s">
        <v>147</v>
      </c>
      <c r="X550" s="96">
        <f ca="1">X536*1.01</f>
        <v>41431.66577582145</v>
      </c>
      <c r="Y550" s="109" t="s">
        <v>144</v>
      </c>
      <c r="Z550" s="23" t="s">
        <v>147</v>
      </c>
      <c r="AA550" s="96">
        <f ca="1">AA536*1.01</f>
        <v>80698.309688643654</v>
      </c>
      <c r="AB550" s="109" t="s">
        <v>144</v>
      </c>
      <c r="AC550" s="23" t="s">
        <v>147</v>
      </c>
      <c r="AD550" s="96">
        <f ca="1">AD536*1.01</f>
        <v>135386.66014542329</v>
      </c>
      <c r="AE550" s="109" t="s">
        <v>144</v>
      </c>
      <c r="AF550" s="23" t="s">
        <v>147</v>
      </c>
      <c r="AG550" s="96">
        <f ca="1">AG536*1.01</f>
        <v>197600.51789251508</v>
      </c>
      <c r="AH550" s="109" t="s">
        <v>144</v>
      </c>
      <c r="AI550" s="23" t="s">
        <v>147</v>
      </c>
      <c r="AJ550" s="96">
        <f ca="1">AJ536*1.01</f>
        <v>263698.65713925433</v>
      </c>
      <c r="AK550" s="109" t="s">
        <v>144</v>
      </c>
      <c r="AL550" s="23" t="s">
        <v>147</v>
      </c>
      <c r="AM550" s="96">
        <f ca="1">AM536*1.01</f>
        <v>321762.47498897201</v>
      </c>
      <c r="AN550" s="109" t="s">
        <v>144</v>
      </c>
      <c r="AO550" s="23" t="s">
        <v>147</v>
      </c>
      <c r="AP550" s="96">
        <f ca="1">AP536*1.01</f>
        <v>373556.2444652121</v>
      </c>
      <c r="AQ550" s="109" t="s">
        <v>144</v>
      </c>
      <c r="AR550" s="23" t="s">
        <v>147</v>
      </c>
      <c r="AS550" s="96">
        <f ca="1">AS536*1.01</f>
        <v>438024.07493780425</v>
      </c>
      <c r="AT550" s="109" t="s">
        <v>144</v>
      </c>
      <c r="AU550" s="23" t="s">
        <v>147</v>
      </c>
    </row>
    <row r="551" spans="15:47" x14ac:dyDescent="0.25">
      <c r="O551" s="1"/>
      <c r="P551" s="1"/>
      <c r="Q551" s="1"/>
      <c r="R551" s="98"/>
      <c r="S551" s="107"/>
      <c r="T551" s="1"/>
      <c r="U551" s="47"/>
      <c r="V551" s="107"/>
      <c r="W551" s="1"/>
      <c r="X551" s="47"/>
      <c r="Y551" s="107"/>
      <c r="Z551" s="1"/>
      <c r="AA551" s="47"/>
      <c r="AB551" s="107"/>
      <c r="AC551" s="1"/>
      <c r="AD551" s="47"/>
      <c r="AE551" s="107"/>
      <c r="AF551" s="1"/>
      <c r="AG551" s="47"/>
      <c r="AH551" s="107"/>
      <c r="AI551" s="1"/>
      <c r="AJ551" s="47"/>
      <c r="AK551" s="107"/>
      <c r="AL551" s="1"/>
      <c r="AM551" s="47"/>
      <c r="AN551" s="107"/>
      <c r="AO551" s="1"/>
      <c r="AP551" s="47"/>
      <c r="AQ551" s="107"/>
      <c r="AR551" s="1"/>
      <c r="AS551" s="47"/>
      <c r="AT551" s="107"/>
      <c r="AU551" s="1"/>
    </row>
    <row r="552" spans="15:47" x14ac:dyDescent="0.25">
      <c r="O552" s="8" t="s">
        <v>132</v>
      </c>
      <c r="P552" s="8"/>
      <c r="Q552" s="8"/>
      <c r="R552" s="96">
        <f>P_1_minQ-(R550^2*R_up)+dpup_minQ</f>
        <v>90.184960421575738</v>
      </c>
      <c r="S552" s="106"/>
      <c r="T552" s="22"/>
      <c r="U552" s="96">
        <f ca="1">P_1_minQ-(U550^2*R_up)+dpup_minQ</f>
        <v>90.13285969271783</v>
      </c>
      <c r="V552" s="107"/>
      <c r="W552" s="1"/>
      <c r="X552" s="96">
        <f ca="1">P_1_minQ-(X550^2*R_up)+dpup_minQ</f>
        <v>89.872174561471184</v>
      </c>
      <c r="Y552" s="107"/>
      <c r="Z552" s="1"/>
      <c r="AA552" s="96">
        <f ca="1">P_1_minQ-(AA550^2*R_up)+dpup_minQ</f>
        <v>88.998117891885656</v>
      </c>
      <c r="AB552" s="107"/>
      <c r="AC552" s="1"/>
      <c r="AD552" s="96">
        <f ca="1">P_1_minQ-(AD550^2*R_up)+dpup_minQ</f>
        <v>86.844280456287393</v>
      </c>
      <c r="AE552" s="107"/>
      <c r="AF552" s="1"/>
      <c r="AG552" s="96">
        <f ca="1">P_1_minQ-(AG550^2*R_up)+dpup_minQ</f>
        <v>83.068487430522396</v>
      </c>
      <c r="AH552" s="107"/>
      <c r="AI552" s="1"/>
      <c r="AJ552" s="96">
        <f ca="1">P_1_minQ-(AJ550^2*R_up)+dpup_minQ</f>
        <v>77.511166869397542</v>
      </c>
      <c r="AK552" s="107"/>
      <c r="AL552" s="1"/>
      <c r="AM552" s="96">
        <f ca="1">P_1_minQ-(AM550^2*R_up)+dpup_minQ</f>
        <v>71.31536967252508</v>
      </c>
      <c r="AN552" s="107"/>
      <c r="AO552" s="1"/>
      <c r="AP552" s="96">
        <f ca="1">P_1_minQ-(AP550^2*R_up)+dpup_minQ</f>
        <v>64.75157513197459</v>
      </c>
      <c r="AQ552" s="107"/>
      <c r="AR552" s="1"/>
      <c r="AS552" s="96">
        <f ca="1">P_1_minQ-(AS550^2*R_up)+dpup_minQ</f>
        <v>55.215534358145966</v>
      </c>
      <c r="AT552" s="107"/>
      <c r="AU552" s="1"/>
    </row>
    <row r="553" spans="15:47" x14ac:dyDescent="0.25">
      <c r="O553" s="8" t="s">
        <v>134</v>
      </c>
      <c r="P553" s="1"/>
      <c r="Q553" s="8"/>
      <c r="R553" s="97">
        <f>P_2_minQ+(R550^2*R_dn)-dpdn_minQ</f>
        <v>60</v>
      </c>
      <c r="S553" s="106"/>
      <c r="T553" s="22"/>
      <c r="U553" s="97">
        <f ca="1">P_2_minQ+(U550^2*R_dn)-dpdn_minQ</f>
        <v>60</v>
      </c>
      <c r="V553" s="107"/>
      <c r="W553" s="1"/>
      <c r="X553" s="97">
        <f ca="1">P_2_minQ+(X550^2*R_dn)-dpdn_minQ</f>
        <v>60</v>
      </c>
      <c r="Y553" s="107"/>
      <c r="Z553" s="1"/>
      <c r="AA553" s="97">
        <f ca="1">P_2_minQ+(AA550^2*R_dn)-dpdn_minQ</f>
        <v>60</v>
      </c>
      <c r="AB553" s="107"/>
      <c r="AC553" s="1"/>
      <c r="AD553" s="97">
        <f ca="1">P_2_minQ+(AD550^2*R_dn)-dpdn_minQ</f>
        <v>60</v>
      </c>
      <c r="AE553" s="107"/>
      <c r="AF553" s="1"/>
      <c r="AG553" s="97">
        <f ca="1">P_2_minQ+(AG550^2*R_dn)-dpdn_minQ</f>
        <v>60</v>
      </c>
      <c r="AH553" s="107"/>
      <c r="AI553" s="1"/>
      <c r="AJ553" s="97">
        <f ca="1">P_2_minQ+(AJ550^2*R_dn)-dpdn_minQ</f>
        <v>60</v>
      </c>
      <c r="AK553" s="107"/>
      <c r="AL553" s="1"/>
      <c r="AM553" s="97">
        <f ca="1">P_2_minQ+(AM550^2*R_dn)-dpdn_minQ</f>
        <v>60</v>
      </c>
      <c r="AN553" s="107"/>
      <c r="AO553" s="1"/>
      <c r="AP553" s="97">
        <f ca="1">P_2_minQ+(AP550^2*R_dn)-dpdn_minQ</f>
        <v>60</v>
      </c>
      <c r="AQ553" s="107"/>
      <c r="AR553" s="1"/>
      <c r="AS553" s="97">
        <f ca="1">P_2_minQ+(AS550^2*R_dn)-dpdn_minQ</f>
        <v>60</v>
      </c>
      <c r="AT553" s="107"/>
      <c r="AU553" s="1"/>
    </row>
    <row r="554" spans="15:47" x14ac:dyDescent="0.25">
      <c r="O554" s="8" t="s">
        <v>138</v>
      </c>
      <c r="P554" s="1"/>
      <c r="Q554" s="8"/>
      <c r="R554" s="97">
        <f>R552-R553</f>
        <v>30.184960421575738</v>
      </c>
      <c r="S554" s="106"/>
      <c r="T554" s="22"/>
      <c r="U554" s="97">
        <f ca="1">U552-U553</f>
        <v>30.13285969271783</v>
      </c>
      <c r="V554" s="110"/>
      <c r="W554" s="25"/>
      <c r="X554" s="97">
        <f ca="1">X552-X553</f>
        <v>29.872174561471184</v>
      </c>
      <c r="Y554" s="110"/>
      <c r="Z554" s="25"/>
      <c r="AA554" s="97">
        <f ca="1">AA552-AA553</f>
        <v>28.998117891885656</v>
      </c>
      <c r="AB554" s="110"/>
      <c r="AC554" s="25"/>
      <c r="AD554" s="97">
        <f ca="1">AD552-AD553</f>
        <v>26.844280456287393</v>
      </c>
      <c r="AE554" s="110"/>
      <c r="AF554" s="25"/>
      <c r="AG554" s="97">
        <f ca="1">AG552-AG553</f>
        <v>23.068487430522396</v>
      </c>
      <c r="AH554" s="110"/>
      <c r="AI554" s="25"/>
      <c r="AJ554" s="97">
        <f ca="1">AJ552-AJ553</f>
        <v>17.511166869397542</v>
      </c>
      <c r="AK554" s="110"/>
      <c r="AL554" s="25"/>
      <c r="AM554" s="97">
        <f ca="1">AM552-AM553</f>
        <v>11.31536967252508</v>
      </c>
      <c r="AN554" s="110"/>
      <c r="AO554" s="25"/>
      <c r="AP554" s="97">
        <f ca="1">AP552-AP553</f>
        <v>4.7515751319745902</v>
      </c>
      <c r="AQ554" s="110"/>
      <c r="AR554" s="25"/>
      <c r="AS554" s="97">
        <f ca="1">AS552-AS553</f>
        <v>-4.7844656418540339</v>
      </c>
      <c r="AT554" s="110"/>
      <c r="AU554" s="25"/>
    </row>
    <row r="555" spans="15:47" ht="14.4" x14ac:dyDescent="0.3">
      <c r="O555" s="2" t="s">
        <v>140</v>
      </c>
      <c r="P555" s="11"/>
      <c r="Q555" s="2"/>
      <c r="R555" s="96">
        <f>R554/R552</f>
        <v>0.33470060063755736</v>
      </c>
      <c r="S555" s="106"/>
      <c r="T555" s="22"/>
      <c r="U555" s="96">
        <f ca="1">U554/U552</f>
        <v>0.33431602853218223</v>
      </c>
      <c r="V555" s="111"/>
      <c r="W555" s="28"/>
      <c r="X555" s="96">
        <f ca="1">X554/X552</f>
        <v>0.33238513151853333</v>
      </c>
      <c r="Y555" s="111"/>
      <c r="Z555" s="28"/>
      <c r="AA555" s="96">
        <f ca="1">AA554/AA552</f>
        <v>0.32582843973298831</v>
      </c>
      <c r="AB555" s="111"/>
      <c r="AC555" s="28"/>
      <c r="AD555" s="96">
        <f ca="1">AD554/AD552</f>
        <v>0.30910821432620794</v>
      </c>
      <c r="AE555" s="111"/>
      <c r="AF555" s="28"/>
      <c r="AG555" s="96">
        <f ca="1">AG554/AG552</f>
        <v>0.27770443575027937</v>
      </c>
      <c r="AH555" s="111"/>
      <c r="AI555" s="28"/>
      <c r="AJ555" s="96">
        <f ca="1">AJ554/AJ552</f>
        <v>0.2259179880352335</v>
      </c>
      <c r="AK555" s="111"/>
      <c r="AL555" s="28"/>
      <c r="AM555" s="96">
        <f ca="1">AM554/AM552</f>
        <v>0.1586666341979916</v>
      </c>
      <c r="AN555" s="111"/>
      <c r="AO555" s="28"/>
      <c r="AP555" s="96">
        <f ca="1">AP554/AP552</f>
        <v>7.3381614613854285E-2</v>
      </c>
      <c r="AQ555" s="111"/>
      <c r="AR555" s="28"/>
      <c r="AS555" s="96">
        <f ca="1">AS554/AS552</f>
        <v>-8.6650717003306149E-2</v>
      </c>
      <c r="AT555" s="111"/>
      <c r="AU555" s="28"/>
    </row>
    <row r="556" spans="15:47" x14ac:dyDescent="0.25">
      <c r="O556" s="2" t="s">
        <v>21</v>
      </c>
      <c r="P556" s="8">
        <v>12</v>
      </c>
      <c r="Q556" s="2"/>
      <c r="R556" s="96">
        <f ca="1">1-R555/(3*F_GAMMA*R$29)</f>
        <v>0.82568485913609901</v>
      </c>
      <c r="S556" s="106"/>
      <c r="T556" s="22"/>
      <c r="U556" s="96">
        <f ca="1">1-U555/(3*F_GAMMA*U$29)</f>
        <v>0.8259255973122781</v>
      </c>
      <c r="V556" s="111"/>
      <c r="W556" s="28"/>
      <c r="X556" s="96">
        <f ca="1">1-X555/(3*F_GAMMA*X$29)</f>
        <v>0.82528264347932578</v>
      </c>
      <c r="Y556" s="111"/>
      <c r="Z556" s="28"/>
      <c r="AA556" s="96">
        <f ca="1">1-AA555/(3*F_GAMMA*AA$29)</f>
        <v>0.8263149031504593</v>
      </c>
      <c r="AB556" s="111"/>
      <c r="AC556" s="28"/>
      <c r="AD556" s="96">
        <f ca="1">1-AD555/(3*F_GAMMA*AD$29)</f>
        <v>0.83011745775205126</v>
      </c>
      <c r="AE556" s="111"/>
      <c r="AF556" s="28"/>
      <c r="AG556" s="96">
        <f ca="1">1-AG555/(3*F_GAMMA*AG$29)</f>
        <v>0.83821829113883317</v>
      </c>
      <c r="AH556" s="111"/>
      <c r="AI556" s="28"/>
      <c r="AJ556" s="96">
        <f ca="1">1-AJ555/(3*F_GAMMA*AJ$29)</f>
        <v>0.85840287933893222</v>
      </c>
      <c r="AK556" s="111"/>
      <c r="AL556" s="28"/>
      <c r="AM556" s="96">
        <f ca="1">1-AM555/(3*F_GAMMA*AM$29)</f>
        <v>0.88881068784986805</v>
      </c>
      <c r="AN556" s="111"/>
      <c r="AO556" s="28"/>
      <c r="AP556" s="96">
        <f ca="1">1-AP555/(3*F_GAMMA*AP$29)</f>
        <v>0.95857948208390953</v>
      </c>
      <c r="AQ556" s="111"/>
      <c r="AR556" s="28"/>
      <c r="AS556" s="96">
        <f ca="1">1-AS555/(3*F_GAMMA*AS$29)</f>
        <v>1.0766773096006101</v>
      </c>
      <c r="AT556" s="111"/>
      <c r="AU556" s="28"/>
    </row>
    <row r="557" spans="15:47" x14ac:dyDescent="0.25">
      <c r="O557" s="2" t="s">
        <v>57</v>
      </c>
      <c r="P557" s="143">
        <v>7</v>
      </c>
      <c r="Q557" s="2"/>
      <c r="R557" s="96">
        <f ca="1">(R550/(N_9*R$27*R552*R556))*SQRT(M*'Valve Sizing'!$W$6*'Valve Sizing'!$G$8/R555)</f>
        <v>0.2677332853426741</v>
      </c>
      <c r="S557" s="107"/>
      <c r="T557" s="22"/>
      <c r="U557" s="96">
        <f ca="1">(U550/(N_9*U$27*U552*U556))*SQRT(M*'Valve Sizing'!$W$6*'Valve Sizing'!$G$8/U555)</f>
        <v>6.8434795895634082</v>
      </c>
      <c r="V557" s="111"/>
      <c r="W557" s="28"/>
      <c r="X557" s="96">
        <f ca="1">(X550/(N_9*X$27*X552*X556))*SQRT(M*'Valve Sizing'!$W$6*'Valve Sizing'!$G$8/X555)</f>
        <v>16.906477739955221</v>
      </c>
      <c r="Y557" s="111"/>
      <c r="Z557" s="28"/>
      <c r="AA557" s="96">
        <f ca="1">(AA550/(N_9*AA$27*AA552*AA556))*SQRT(M*'Valve Sizing'!$W$6*'Valve Sizing'!$G$8/AA555)</f>
        <v>33.742919266019094</v>
      </c>
      <c r="AB557" s="111"/>
      <c r="AC557" s="28"/>
      <c r="AD557" s="96">
        <f ca="1">(AD550/(N_9*AD$27*AD552*AD556))*SQRT(M*'Valve Sizing'!$W$6*'Valve Sizing'!$G$8/AD555)</f>
        <v>60.024127941861586</v>
      </c>
      <c r="AE557" s="111"/>
      <c r="AF557" s="28"/>
      <c r="AG557" s="96">
        <f ca="1">(AG550/(N_9*AG$27*AG552*AG556))*SQRT(M*'Valve Sizing'!$W$6*'Valve Sizing'!$G$8/AG555)</f>
        <v>97.848590405638618</v>
      </c>
      <c r="AH557" s="111"/>
      <c r="AI557" s="28"/>
      <c r="AJ557" s="96">
        <f ca="1">(AJ550/(N_9*AJ$27*AJ552*AJ556))*SQRT(M*'Valve Sizing'!$W$6*'Valve Sizing'!$G$8/AJ555)</f>
        <v>156.98257570571451</v>
      </c>
      <c r="AK557" s="111"/>
      <c r="AL557" s="28"/>
      <c r="AM557" s="96">
        <f ca="1">(AM550/(N_9*AM$27*AM552*AM556))*SQRT(M*'Valve Sizing'!$W$6*'Valve Sizing'!$G$8/AM555)</f>
        <v>254.56181245222666</v>
      </c>
      <c r="AN557" s="111"/>
      <c r="AO557" s="28"/>
      <c r="AP557" s="96">
        <f ca="1">(AP550/(N_9*AP$27*AP552*AP556))*SQRT(M*'Valve Sizing'!$W$6*'Valve Sizing'!$G$8/AP555)</f>
        <v>505.11869174147807</v>
      </c>
      <c r="AQ557" s="111"/>
      <c r="AR557" s="28"/>
      <c r="AS557" s="96" t="e">
        <f ca="1">(AS550/(N_9*AS$27*AS552*AS556))*SQRT(M*'Valve Sizing'!$W$6*'Valve Sizing'!$G$8/AS555)</f>
        <v>#NUM!</v>
      </c>
      <c r="AT557" s="111"/>
      <c r="AU557" s="28"/>
    </row>
    <row r="558" spans="15:47" x14ac:dyDescent="0.25">
      <c r="O558" s="2" t="s">
        <v>59</v>
      </c>
      <c r="P558" s="143">
        <v>7</v>
      </c>
      <c r="Q558" s="2"/>
      <c r="R558" s="96">
        <f ca="1">(R550/(N_9*R$27*R552*0.667))*SQRT(M*'Valve Sizing'!$W$6*'Valve Sizing'!$G$8/R559)</f>
        <v>0.2396729586867595</v>
      </c>
      <c r="S558" s="107"/>
      <c r="T558" s="22"/>
      <c r="U558" s="96">
        <f ca="1">(U550/(N_9*U$27*U552*0.667))*SQRT(M*'Valve Sizing'!$W$6*'Valve Sizing'!$G$8/U559)</f>
        <v>6.1237880743665887</v>
      </c>
      <c r="V558" s="111"/>
      <c r="W558" s="28"/>
      <c r="X558" s="96">
        <f ca="1">(X550/(N_9*X$27*X552*0.667))*SQRT(M*'Valve Sizing'!$W$6*'Valve Sizing'!$G$8/X559)</f>
        <v>15.144629986372218</v>
      </c>
      <c r="Y558" s="111"/>
      <c r="Z558" s="28"/>
      <c r="AA558" s="96">
        <f ca="1">(AA550/(N_9*AA$27*AA552*0.667))*SQRT(M*'Valve Sizing'!$W$6*'Valve Sizing'!$G$8/AA559)</f>
        <v>30.174793692690717</v>
      </c>
      <c r="AB558" s="111"/>
      <c r="AC558" s="28"/>
      <c r="AD558" s="96">
        <f ca="1">(AD550/(N_9*AD$27*AD552*0.667))*SQRT(M*'Valve Sizing'!$W$6*'Valve Sizing'!$G$8/AD559)</f>
        <v>53.33036741073407</v>
      </c>
      <c r="AE558" s="111"/>
      <c r="AF558" s="28"/>
      <c r="AG558" s="96">
        <f ca="1">(AG550/(N_9*AG$27*AG552*0.667))*SQRT(M*'Valve Sizing'!$W$6*'Valve Sizing'!$G$8/AG559)</f>
        <v>85.66653672369047</v>
      </c>
      <c r="AH558" s="111"/>
      <c r="AI558" s="28"/>
      <c r="AJ558" s="96">
        <f ca="1">(AJ550/(N_9*AJ$27*AJ552*0.667))*SQRT(M*'Valve Sizing'!$W$6*'Valve Sizing'!$G$8/AJ559)</f>
        <v>131.67539225648267</v>
      </c>
      <c r="AK558" s="111"/>
      <c r="AL558" s="28"/>
      <c r="AM558" s="96">
        <f ca="1">(AM550/(N_9*AM$27*AM552*0.667))*SQRT(M*'Valve Sizing'!$W$6*'Valve Sizing'!$G$8/AM559)</f>
        <v>195.91551853705298</v>
      </c>
      <c r="AN558" s="111"/>
      <c r="AO558" s="28"/>
      <c r="AP558" s="96">
        <f ca="1">(AP550/(N_9*AP$27*AP552*0.667))*SQRT(M*'Valve Sizing'!$W$6*'Valve Sizing'!$G$8/AP559)</f>
        <v>255.89636956605855</v>
      </c>
      <c r="AQ558" s="111"/>
      <c r="AR558" s="28"/>
      <c r="AS558" s="96">
        <f ca="1">(AS550/(N_9*AS$27*AS552*0.667))*SQRT(M*'Valve Sizing'!$W$6*'Valve Sizing'!$G$8/AS559)</f>
        <v>590.11330247331568</v>
      </c>
      <c r="AT558" s="111"/>
      <c r="AU558" s="28"/>
    </row>
    <row r="559" spans="15:47" ht="15.6" x14ac:dyDescent="0.35">
      <c r="O559" s="2" t="s">
        <v>68</v>
      </c>
      <c r="P559" s="143">
        <v>10</v>
      </c>
      <c r="Q559" s="2"/>
      <c r="R559" s="96">
        <f ca="1">F_GAMMA*R$29</f>
        <v>0.64002969751372984</v>
      </c>
      <c r="S559" s="107"/>
      <c r="T559" s="1"/>
      <c r="U559" s="96">
        <f ca="1">F_GAMMA*U$29</f>
        <v>0.64017842058782071</v>
      </c>
      <c r="V559" s="111"/>
      <c r="W559" s="28"/>
      <c r="X559" s="96">
        <f ca="1">F_GAMMA*X$29</f>
        <v>0.63413873724904268</v>
      </c>
      <c r="Y559" s="111"/>
      <c r="Z559" s="28"/>
      <c r="AA559" s="96">
        <f ca="1">F_GAMMA*AA$29</f>
        <v>0.62532411750377137</v>
      </c>
      <c r="AB559" s="111"/>
      <c r="AC559" s="28"/>
      <c r="AD559" s="96">
        <f ca="1">F_GAMMA*AD$29</f>
        <v>0.60651359509139569</v>
      </c>
      <c r="AE559" s="111"/>
      <c r="AF559" s="28"/>
      <c r="AG559" s="96">
        <f ca="1">F_GAMMA*AG$29</f>
        <v>0.57217930198481592</v>
      </c>
      <c r="AH559" s="111"/>
      <c r="AI559" s="28"/>
      <c r="AJ559" s="96">
        <f ca="1">F_GAMMA*AJ$29</f>
        <v>0.53183282018848232</v>
      </c>
      <c r="AK559" s="111"/>
      <c r="AL559" s="28"/>
      <c r="AM559" s="96">
        <f ca="1">F_GAMMA*AM$29</f>
        <v>0.47566512503094399</v>
      </c>
      <c r="AN559" s="111"/>
      <c r="AO559" s="28"/>
      <c r="AP559" s="96">
        <f ca="1">F_GAMMA*AP$29</f>
        <v>0.59054158265645496</v>
      </c>
      <c r="AQ559" s="111"/>
      <c r="AR559" s="28"/>
      <c r="AS559" s="96">
        <f ca="1">F_GAMMA*AS$29</f>
        <v>0.3766899554102966</v>
      </c>
      <c r="AT559" s="111"/>
      <c r="AU559" s="28"/>
    </row>
    <row r="560" spans="15:47" x14ac:dyDescent="0.25">
      <c r="O560" s="2" t="s">
        <v>145</v>
      </c>
      <c r="P560" s="12"/>
      <c r="Q560" s="2"/>
      <c r="R560" s="96">
        <f ca="1">IF(R555&lt;R559,R557,R558)</f>
        <v>0.2677332853426741</v>
      </c>
      <c r="S560" s="116"/>
      <c r="T560" s="1"/>
      <c r="U560" s="96">
        <f ca="1">IF(U555&lt;U559,U557,U558)</f>
        <v>6.8434795895634082</v>
      </c>
      <c r="V560" s="111"/>
      <c r="W560" s="28"/>
      <c r="X560" s="96">
        <f ca="1">IF(X555&lt;X559,X557,X558)</f>
        <v>16.906477739955221</v>
      </c>
      <c r="Y560" s="111"/>
      <c r="Z560" s="28"/>
      <c r="AA560" s="96">
        <f ca="1">IF(AA555&lt;AA559,AA557,AA558)</f>
        <v>33.742919266019094</v>
      </c>
      <c r="AB560" s="111"/>
      <c r="AC560" s="28"/>
      <c r="AD560" s="96">
        <f ca="1">IF(AD555&lt;AD559,AD557,AD558)</f>
        <v>60.024127941861586</v>
      </c>
      <c r="AE560" s="111"/>
      <c r="AF560" s="28"/>
      <c r="AG560" s="96">
        <f ca="1">IF(AG555&lt;AG559,AG557,AG558)</f>
        <v>97.848590405638618</v>
      </c>
      <c r="AH560" s="111"/>
      <c r="AI560" s="28"/>
      <c r="AJ560" s="96">
        <f ca="1">IF(AJ555&lt;AJ559,AJ557,AJ558)</f>
        <v>156.98257570571451</v>
      </c>
      <c r="AK560" s="111"/>
      <c r="AL560" s="28"/>
      <c r="AM560" s="96">
        <f ca="1">IF(AM555&lt;AM559,AM557,AM558)</f>
        <v>254.56181245222666</v>
      </c>
      <c r="AN560" s="111"/>
      <c r="AO560" s="28"/>
      <c r="AP560" s="96">
        <f ca="1">IF(AP555&lt;AP559,AP557,AP558)</f>
        <v>505.11869174147807</v>
      </c>
      <c r="AQ560" s="111"/>
      <c r="AR560" s="28"/>
      <c r="AS560" s="96" t="e">
        <f ca="1">IF(AS555&lt;AS559,AS557,AS558)</f>
        <v>#NUM!</v>
      </c>
      <c r="AT560" s="111"/>
      <c r="AU560" s="28"/>
    </row>
    <row r="561" spans="15:47" x14ac:dyDescent="0.25">
      <c r="O561" s="13" t="s">
        <v>143</v>
      </c>
      <c r="P561" s="1"/>
      <c r="Q561" s="1"/>
      <c r="R561" s="113"/>
      <c r="S561" s="106">
        <f ca="1">IF(R554&lt;=0,Q_max,ABS(R$23-R560))</f>
        <v>4.4622667146573267</v>
      </c>
      <c r="T561" s="7">
        <f>R550</f>
        <v>662.96869041469802</v>
      </c>
      <c r="U561" s="98"/>
      <c r="V561" s="106">
        <f ca="1">IF(U554&lt;=0,Q_max,ABS(U$23-U560))</f>
        <v>4.7565204104365915</v>
      </c>
      <c r="W561" s="9">
        <f ca="1">U550</f>
        <v>16920.327088982125</v>
      </c>
      <c r="X561" s="98"/>
      <c r="Y561" s="106">
        <f ca="1">IF(X554&lt;=0,Q_max,ABS(X$23-X560))</f>
        <v>6.0935222600447787</v>
      </c>
      <c r="Z561" s="9">
        <f ca="1">X550</f>
        <v>41431.66577582145</v>
      </c>
      <c r="AA561" s="98"/>
      <c r="AB561" s="106">
        <f ca="1">IF(AA554&lt;=0,Q_max,ABS(AA$23-AA560))</f>
        <v>5.6570807339809051</v>
      </c>
      <c r="AC561" s="9">
        <f ca="1">AA550</f>
        <v>80698.309688643654</v>
      </c>
      <c r="AD561" s="98"/>
      <c r="AE561" s="106">
        <f ca="1">IF(AD554&lt;=0,Q_max,ABS(AD$23-AD560))</f>
        <v>0.97587205813841393</v>
      </c>
      <c r="AF561" s="9">
        <f ca="1">AD550</f>
        <v>135386.66014542329</v>
      </c>
      <c r="AG561" s="98"/>
      <c r="AH561" s="106">
        <f ca="1">IF(AG554&lt;=0,Q_max,ABS(AG$23-AG560))</f>
        <v>9.6485904056386147</v>
      </c>
      <c r="AI561" s="9">
        <f ca="1">AG550</f>
        <v>197600.51789251508</v>
      </c>
      <c r="AJ561" s="98"/>
      <c r="AK561" s="106">
        <f ca="1">IF(AJ554&lt;=0,Q_max,ABS(AJ$23-AJ560))</f>
        <v>35.98257570571451</v>
      </c>
      <c r="AL561" s="9">
        <f ca="1">AJ550</f>
        <v>263698.65713925433</v>
      </c>
      <c r="AM561" s="98"/>
      <c r="AN561" s="106">
        <f ca="1">IF(AM554&lt;=0,Q_max,ABS(AM$23-AM560))</f>
        <v>89.561812452226661</v>
      </c>
      <c r="AO561" s="9">
        <f ca="1">AM550</f>
        <v>321762.47498897201</v>
      </c>
      <c r="AP561" s="98"/>
      <c r="AQ561" s="106">
        <f ca="1">IF(AP554&lt;=0,Q_max,ABS(AP$23-AP560))</f>
        <v>259.11869174147807</v>
      </c>
      <c r="AR561" s="9">
        <f ca="1">AP550</f>
        <v>373556.2444652121</v>
      </c>
      <c r="AS561" s="98"/>
      <c r="AT561" s="106">
        <f ca="1">IF(AS554&lt;=0,Q_max,ABS(AS$23-AS560))</f>
        <v>236393</v>
      </c>
      <c r="AU561" s="9">
        <f ca="1">AS550</f>
        <v>438024.07493780425</v>
      </c>
    </row>
    <row r="562" spans="15:47" x14ac:dyDescent="0.25">
      <c r="O562" s="21"/>
      <c r="P562" s="14"/>
      <c r="Q562" s="21"/>
      <c r="R562" s="97"/>
      <c r="S562" s="106"/>
      <c r="T562" s="28"/>
      <c r="U562" s="97"/>
      <c r="V562" s="111"/>
      <c r="W562" s="28"/>
      <c r="X562" s="97"/>
      <c r="Y562" s="111"/>
      <c r="Z562" s="28"/>
      <c r="AA562" s="97"/>
      <c r="AB562" s="111"/>
      <c r="AC562" s="28"/>
      <c r="AD562" s="97"/>
      <c r="AE562" s="111"/>
      <c r="AF562" s="28"/>
      <c r="AG562" s="97"/>
      <c r="AH562" s="111"/>
      <c r="AI562" s="28"/>
      <c r="AJ562" s="97"/>
      <c r="AK562" s="111"/>
      <c r="AL562" s="28"/>
      <c r="AM562" s="97"/>
      <c r="AN562" s="111"/>
      <c r="AO562" s="28"/>
      <c r="AP562" s="97"/>
      <c r="AQ562" s="111"/>
      <c r="AR562" s="28"/>
      <c r="AS562" s="97"/>
      <c r="AT562" s="111"/>
      <c r="AU562" s="28"/>
    </row>
    <row r="563" spans="15:47" x14ac:dyDescent="0.25">
      <c r="O563" s="1"/>
      <c r="P563" s="1"/>
      <c r="Q563" s="1"/>
      <c r="R563" s="98"/>
      <c r="S563" s="108" t="s">
        <v>137</v>
      </c>
      <c r="T563" s="26" t="s">
        <v>146</v>
      </c>
      <c r="U563" s="98"/>
      <c r="V563" s="108" t="s">
        <v>137</v>
      </c>
      <c r="W563" s="26" t="s">
        <v>146</v>
      </c>
      <c r="X563" s="98"/>
      <c r="Y563" s="108" t="s">
        <v>137</v>
      </c>
      <c r="Z563" s="26" t="s">
        <v>146</v>
      </c>
      <c r="AA563" s="98"/>
      <c r="AB563" s="108" t="s">
        <v>137</v>
      </c>
      <c r="AC563" s="26" t="s">
        <v>146</v>
      </c>
      <c r="AD563" s="98"/>
      <c r="AE563" s="108" t="s">
        <v>137</v>
      </c>
      <c r="AF563" s="26" t="s">
        <v>146</v>
      </c>
      <c r="AG563" s="98"/>
      <c r="AH563" s="108" t="s">
        <v>137</v>
      </c>
      <c r="AI563" s="26" t="s">
        <v>146</v>
      </c>
      <c r="AJ563" s="98"/>
      <c r="AK563" s="108" t="s">
        <v>137</v>
      </c>
      <c r="AL563" s="26" t="s">
        <v>146</v>
      </c>
      <c r="AM563" s="98"/>
      <c r="AN563" s="108" t="s">
        <v>137</v>
      </c>
      <c r="AO563" s="26" t="s">
        <v>146</v>
      </c>
      <c r="AP563" s="98"/>
      <c r="AQ563" s="108" t="s">
        <v>137</v>
      </c>
      <c r="AR563" s="26" t="s">
        <v>146</v>
      </c>
      <c r="AS563" s="98"/>
      <c r="AT563" s="108" t="s">
        <v>137</v>
      </c>
      <c r="AU563" s="26" t="s">
        <v>146</v>
      </c>
    </row>
    <row r="564" spans="15:47" ht="13.8" x14ac:dyDescent="0.25">
      <c r="O564" s="20" t="s">
        <v>136</v>
      </c>
      <c r="P564" s="1"/>
      <c r="Q564" s="1"/>
      <c r="R564" s="96">
        <f>R550*1.02</f>
        <v>676.22806422299197</v>
      </c>
      <c r="S564" s="109" t="s">
        <v>144</v>
      </c>
      <c r="T564" s="23" t="s">
        <v>147</v>
      </c>
      <c r="U564" s="96">
        <f ca="1">U550*1.01</f>
        <v>17089.530359871947</v>
      </c>
      <c r="V564" s="109" t="s">
        <v>144</v>
      </c>
      <c r="W564" s="23" t="s">
        <v>147</v>
      </c>
      <c r="X564" s="96">
        <f ca="1">X550*1.01</f>
        <v>41845.982433579666</v>
      </c>
      <c r="Y564" s="109" t="s">
        <v>144</v>
      </c>
      <c r="Z564" s="23" t="s">
        <v>147</v>
      </c>
      <c r="AA564" s="96">
        <f ca="1">AA550*1.01</f>
        <v>81505.292785530095</v>
      </c>
      <c r="AB564" s="109" t="s">
        <v>144</v>
      </c>
      <c r="AC564" s="23" t="s">
        <v>147</v>
      </c>
      <c r="AD564" s="96">
        <f ca="1">AD550*1.01</f>
        <v>136740.52674687753</v>
      </c>
      <c r="AE564" s="109" t="s">
        <v>144</v>
      </c>
      <c r="AF564" s="23" t="s">
        <v>147</v>
      </c>
      <c r="AG564" s="96">
        <f ca="1">AG550*1.01</f>
        <v>199576.52307144023</v>
      </c>
      <c r="AH564" s="109" t="s">
        <v>144</v>
      </c>
      <c r="AI564" s="23" t="s">
        <v>147</v>
      </c>
      <c r="AJ564" s="96">
        <f ca="1">AJ550*1.01</f>
        <v>266335.64371064689</v>
      </c>
      <c r="AK564" s="109" t="s">
        <v>144</v>
      </c>
      <c r="AL564" s="23" t="s">
        <v>147</v>
      </c>
      <c r="AM564" s="96">
        <f ca="1">AM550*1.01</f>
        <v>324980.09973886173</v>
      </c>
      <c r="AN564" s="109" t="s">
        <v>144</v>
      </c>
      <c r="AO564" s="23" t="s">
        <v>147</v>
      </c>
      <c r="AP564" s="96">
        <f ca="1">AP550*1.01</f>
        <v>377291.80690986424</v>
      </c>
      <c r="AQ564" s="109" t="s">
        <v>144</v>
      </c>
      <c r="AR564" s="23" t="s">
        <v>147</v>
      </c>
      <c r="AS564" s="96">
        <f ca="1">AS550*1.01</f>
        <v>442404.3156871823</v>
      </c>
      <c r="AT564" s="109" t="s">
        <v>144</v>
      </c>
      <c r="AU564" s="23" t="s">
        <v>147</v>
      </c>
    </row>
    <row r="565" spans="15:47" x14ac:dyDescent="0.25">
      <c r="O565" s="1"/>
      <c r="P565" s="1"/>
      <c r="Q565" s="1"/>
      <c r="R565" s="98"/>
      <c r="S565" s="107"/>
      <c r="T565" s="1"/>
      <c r="U565" s="47"/>
      <c r="V565" s="107"/>
      <c r="W565" s="1"/>
      <c r="X565" s="47"/>
      <c r="Y565" s="107"/>
      <c r="Z565" s="1"/>
      <c r="AA565" s="47"/>
      <c r="AB565" s="107"/>
      <c r="AC565" s="1"/>
      <c r="AD565" s="47"/>
      <c r="AE565" s="107"/>
      <c r="AF565" s="1"/>
      <c r="AG565" s="47"/>
      <c r="AH565" s="107"/>
      <c r="AI565" s="1"/>
      <c r="AJ565" s="47"/>
      <c r="AK565" s="107"/>
      <c r="AL565" s="1"/>
      <c r="AM565" s="47"/>
      <c r="AN565" s="107"/>
      <c r="AO565" s="1"/>
      <c r="AP565" s="47"/>
      <c r="AQ565" s="107"/>
      <c r="AR565" s="1"/>
      <c r="AS565" s="47"/>
      <c r="AT565" s="107"/>
      <c r="AU565" s="1"/>
    </row>
    <row r="566" spans="15:47" x14ac:dyDescent="0.25">
      <c r="O566" s="8" t="s">
        <v>132</v>
      </c>
      <c r="P566" s="8"/>
      <c r="Q566" s="8"/>
      <c r="R566" s="96">
        <f>P_1_minQ-(R564^2*R_up)+dpup_minQ</f>
        <v>90.18495718518507</v>
      </c>
      <c r="S566" s="106"/>
      <c r="T566" s="22"/>
      <c r="U566" s="96">
        <f ca="1">P_1_minQ-(U564^2*R_up)+dpup_minQ</f>
        <v>90.131810857883323</v>
      </c>
      <c r="V566" s="107"/>
      <c r="W566" s="1"/>
      <c r="X566" s="96">
        <f ca="1">P_1_minQ-(X564^2*R_up)+dpup_minQ</f>
        <v>89.865885955498612</v>
      </c>
      <c r="Y566" s="107"/>
      <c r="Z566" s="1"/>
      <c r="AA566" s="96">
        <f ca="1">P_1_minQ-(AA564^2*R_up)+dpup_minQ</f>
        <v>88.974260746854426</v>
      </c>
      <c r="AB566" s="107"/>
      <c r="AC566" s="1"/>
      <c r="AD566" s="96">
        <f ca="1">P_1_minQ-(AD564^2*R_up)+dpup_minQ</f>
        <v>86.77713117880063</v>
      </c>
      <c r="AE566" s="107"/>
      <c r="AF566" s="1"/>
      <c r="AG566" s="96">
        <f ca="1">P_1_minQ-(AG564^2*R_up)+dpup_minQ</f>
        <v>82.925444713217772</v>
      </c>
      <c r="AH566" s="107"/>
      <c r="AI566" s="1"/>
      <c r="AJ566" s="96">
        <f ca="1">P_1_minQ-(AJ564^2*R_up)+dpup_minQ</f>
        <v>77.256422008814297</v>
      </c>
      <c r="AK566" s="107"/>
      <c r="AL566" s="1"/>
      <c r="AM566" s="96">
        <f ca="1">P_1_minQ-(AM564^2*R_up)+dpup_minQ</f>
        <v>70.936089288284705</v>
      </c>
      <c r="AN566" s="107"/>
      <c r="AO566" s="1"/>
      <c r="AP566" s="96">
        <f ca="1">P_1_minQ-(AP564^2*R_up)+dpup_minQ</f>
        <v>64.240362477469148</v>
      </c>
      <c r="AQ566" s="107"/>
      <c r="AR566" s="1"/>
      <c r="AS566" s="96">
        <f ca="1">P_1_minQ-(AS564^2*R_up)+dpup_minQ</f>
        <v>54.512647284086562</v>
      </c>
      <c r="AT566" s="107"/>
      <c r="AU566" s="1"/>
    </row>
    <row r="567" spans="15:47" x14ac:dyDescent="0.25">
      <c r="O567" s="8" t="s">
        <v>134</v>
      </c>
      <c r="P567" s="1"/>
      <c r="Q567" s="8"/>
      <c r="R567" s="97">
        <f>P_2_minQ+(R564^2*R_dn)-dpdn_minQ</f>
        <v>60</v>
      </c>
      <c r="S567" s="106"/>
      <c r="T567" s="22"/>
      <c r="U567" s="97">
        <f ca="1">P_2_minQ+(U564^2*R_dn)-dpdn_minQ</f>
        <v>60</v>
      </c>
      <c r="V567" s="107"/>
      <c r="W567" s="1"/>
      <c r="X567" s="97">
        <f ca="1">P_2_minQ+(X564^2*R_dn)-dpdn_minQ</f>
        <v>60</v>
      </c>
      <c r="Y567" s="107"/>
      <c r="Z567" s="1"/>
      <c r="AA567" s="97">
        <f ca="1">P_2_minQ+(AA564^2*R_dn)-dpdn_minQ</f>
        <v>60</v>
      </c>
      <c r="AB567" s="107"/>
      <c r="AC567" s="1"/>
      <c r="AD567" s="97">
        <f ca="1">P_2_minQ+(AD564^2*R_dn)-dpdn_minQ</f>
        <v>60</v>
      </c>
      <c r="AE567" s="107"/>
      <c r="AF567" s="1"/>
      <c r="AG567" s="97">
        <f ca="1">P_2_minQ+(AG564^2*R_dn)-dpdn_minQ</f>
        <v>60</v>
      </c>
      <c r="AH567" s="107"/>
      <c r="AI567" s="1"/>
      <c r="AJ567" s="97">
        <f ca="1">P_2_minQ+(AJ564^2*R_dn)-dpdn_minQ</f>
        <v>60</v>
      </c>
      <c r="AK567" s="107"/>
      <c r="AL567" s="1"/>
      <c r="AM567" s="97">
        <f ca="1">P_2_minQ+(AM564^2*R_dn)-dpdn_minQ</f>
        <v>60</v>
      </c>
      <c r="AN567" s="107"/>
      <c r="AO567" s="1"/>
      <c r="AP567" s="97">
        <f ca="1">P_2_minQ+(AP564^2*R_dn)-dpdn_minQ</f>
        <v>60</v>
      </c>
      <c r="AQ567" s="107"/>
      <c r="AR567" s="1"/>
      <c r="AS567" s="97">
        <f ca="1">P_2_minQ+(AS564^2*R_dn)-dpdn_minQ</f>
        <v>60</v>
      </c>
      <c r="AT567" s="107"/>
      <c r="AU567" s="1"/>
    </row>
    <row r="568" spans="15:47" x14ac:dyDescent="0.25">
      <c r="O568" s="8" t="s">
        <v>138</v>
      </c>
      <c r="P568" s="1"/>
      <c r="Q568" s="8"/>
      <c r="R568" s="97">
        <f>R566-R567</f>
        <v>30.18495718518507</v>
      </c>
      <c r="S568" s="106"/>
      <c r="T568" s="22"/>
      <c r="U568" s="97">
        <f ca="1">U566-U567</f>
        <v>30.131810857883323</v>
      </c>
      <c r="V568" s="110"/>
      <c r="W568" s="25"/>
      <c r="X568" s="97">
        <f ca="1">X566-X567</f>
        <v>29.865885955498612</v>
      </c>
      <c r="Y568" s="110"/>
      <c r="Z568" s="25"/>
      <c r="AA568" s="97">
        <f ca="1">AA566-AA567</f>
        <v>28.974260746854426</v>
      </c>
      <c r="AB568" s="110"/>
      <c r="AC568" s="25"/>
      <c r="AD568" s="97">
        <f ca="1">AD566-AD567</f>
        <v>26.77713117880063</v>
      </c>
      <c r="AE568" s="110"/>
      <c r="AF568" s="25"/>
      <c r="AG568" s="97">
        <f ca="1">AG566-AG567</f>
        <v>22.925444713217772</v>
      </c>
      <c r="AH568" s="110"/>
      <c r="AI568" s="25"/>
      <c r="AJ568" s="97">
        <f ca="1">AJ566-AJ567</f>
        <v>17.256422008814297</v>
      </c>
      <c r="AK568" s="110"/>
      <c r="AL568" s="25"/>
      <c r="AM568" s="97">
        <f ca="1">AM566-AM567</f>
        <v>10.936089288284705</v>
      </c>
      <c r="AN568" s="110"/>
      <c r="AO568" s="25"/>
      <c r="AP568" s="97">
        <f ca="1">AP566-AP567</f>
        <v>4.240362477469148</v>
      </c>
      <c r="AQ568" s="110"/>
      <c r="AR568" s="25"/>
      <c r="AS568" s="97">
        <f ca="1">AS566-AS567</f>
        <v>-5.4873527159134383</v>
      </c>
      <c r="AT568" s="110"/>
      <c r="AU568" s="25"/>
    </row>
    <row r="569" spans="15:47" ht="14.4" x14ac:dyDescent="0.3">
      <c r="O569" s="2" t="s">
        <v>140</v>
      </c>
      <c r="P569" s="11"/>
      <c r="Q569" s="2"/>
      <c r="R569" s="96">
        <f>R568/R566</f>
        <v>0.33470057676252501</v>
      </c>
      <c r="S569" s="106"/>
      <c r="T569" s="22"/>
      <c r="U569" s="96">
        <f ca="1">U568/U566</f>
        <v>0.33430828218234854</v>
      </c>
      <c r="V569" s="111"/>
      <c r="W569" s="28"/>
      <c r="X569" s="96">
        <f ca="1">X568/X566</f>
        <v>0.33233841338066966</v>
      </c>
      <c r="Y569" s="111"/>
      <c r="Z569" s="28"/>
      <c r="AA569" s="96">
        <f ca="1">AA568/AA566</f>
        <v>0.32564767050204207</v>
      </c>
      <c r="AB569" s="111"/>
      <c r="AC569" s="28"/>
      <c r="AD569" s="96">
        <f ca="1">AD568/AD566</f>
        <v>0.30857359323883937</v>
      </c>
      <c r="AE569" s="111"/>
      <c r="AF569" s="28"/>
      <c r="AG569" s="96">
        <f ca="1">AG568/AG566</f>
        <v>0.27645850791034232</v>
      </c>
      <c r="AH569" s="111"/>
      <c r="AI569" s="28"/>
      <c r="AJ569" s="96">
        <f ca="1">AJ568/AJ566</f>
        <v>0.22336553467160941</v>
      </c>
      <c r="AK569" s="111"/>
      <c r="AL569" s="28"/>
      <c r="AM569" s="96">
        <f ca="1">AM568/AM566</f>
        <v>0.1541682012359093</v>
      </c>
      <c r="AN569" s="111"/>
      <c r="AO569" s="28"/>
      <c r="AP569" s="96">
        <f ca="1">AP568/AP566</f>
        <v>6.6007760758765313E-2</v>
      </c>
      <c r="AQ569" s="111"/>
      <c r="AR569" s="28"/>
      <c r="AS569" s="96">
        <f ca="1">AS568/AS566</f>
        <v>-0.10066201128183545</v>
      </c>
      <c r="AT569" s="111"/>
      <c r="AU569" s="28"/>
    </row>
    <row r="570" spans="15:47" x14ac:dyDescent="0.25">
      <c r="O570" s="2" t="s">
        <v>21</v>
      </c>
      <c r="P570" s="8">
        <v>12</v>
      </c>
      <c r="Q570" s="2"/>
      <c r="R570" s="96">
        <f ca="1">1-R569/(3*F_GAMMA*R$29)</f>
        <v>0.82568487157043469</v>
      </c>
      <c r="S570" s="106"/>
      <c r="T570" s="22"/>
      <c r="U570" s="96">
        <f ca="1">1-U569/(3*F_GAMMA*U$29)</f>
        <v>0.82592963074503412</v>
      </c>
      <c r="V570" s="111"/>
      <c r="W570" s="28"/>
      <c r="X570" s="96">
        <f ca="1">1-X569/(3*F_GAMMA*X$29)</f>
        <v>0.82530720074370112</v>
      </c>
      <c r="Y570" s="111"/>
      <c r="Z570" s="28"/>
      <c r="AA570" s="96">
        <f ca="1">1-AA569/(3*F_GAMMA*AA$29)</f>
        <v>0.82641126343567572</v>
      </c>
      <c r="AB570" s="111"/>
      <c r="AC570" s="28"/>
      <c r="AD570" s="96">
        <f ca="1">1-AD569/(3*F_GAMMA*AD$29)</f>
        <v>0.83041127973817841</v>
      </c>
      <c r="AE570" s="111"/>
      <c r="AF570" s="28"/>
      <c r="AG570" s="96">
        <f ca="1">1-AG569/(3*F_GAMMA*AG$29)</f>
        <v>0.83894412878891655</v>
      </c>
      <c r="AH570" s="111"/>
      <c r="AI570" s="28"/>
      <c r="AJ570" s="96">
        <f ca="1">1-AJ569/(3*F_GAMMA*AJ$29)</f>
        <v>0.86000266362372524</v>
      </c>
      <c r="AK570" s="111"/>
      <c r="AL570" s="28"/>
      <c r="AM570" s="96">
        <f ca="1">1-AM569/(3*F_GAMMA*AM$29)</f>
        <v>0.89196306874794185</v>
      </c>
      <c r="AN570" s="111"/>
      <c r="AO570" s="28"/>
      <c r="AP570" s="96">
        <f ca="1">1-AP569/(3*F_GAMMA*AP$29)</f>
        <v>0.96274168057630527</v>
      </c>
      <c r="AQ570" s="111"/>
      <c r="AR570" s="28"/>
      <c r="AS570" s="96">
        <f ca="1">1-AS569/(3*F_GAMMA*AS$29)</f>
        <v>1.089075918480662</v>
      </c>
      <c r="AT570" s="111"/>
      <c r="AU570" s="28"/>
    </row>
    <row r="571" spans="15:47" x14ac:dyDescent="0.25">
      <c r="O571" s="2" t="s">
        <v>57</v>
      </c>
      <c r="P571" s="143">
        <v>7</v>
      </c>
      <c r="Q571" s="2"/>
      <c r="R571" s="96">
        <f ca="1">(R564/(N_9*R$27*R566*R570))*SQRT(M*'Valve Sizing'!$W$6*'Valve Sizing'!$G$8/R569)</f>
        <v>0.27308796647708017</v>
      </c>
      <c r="S571" s="107"/>
      <c r="T571" s="22"/>
      <c r="U571" s="96">
        <f ca="1">(U564/(N_9*U$27*U566*U570))*SQRT(M*'Valve Sizing'!$W$6*'Valve Sizing'!$G$8/U569)</f>
        <v>6.9120411414257603</v>
      </c>
      <c r="V571" s="111"/>
      <c r="W571" s="28"/>
      <c r="X571" s="96">
        <f ca="1">(X564/(N_9*X$27*X566*X570))*SQRT(M*'Valve Sizing'!$W$6*'Valve Sizing'!$G$8/X569)</f>
        <v>17.077429495386689</v>
      </c>
      <c r="Y571" s="111"/>
      <c r="Z571" s="28"/>
      <c r="AA571" s="96">
        <f ca="1">(AA564/(N_9*AA$27*AA566*AA570))*SQRT(M*'Valve Sizing'!$W$6*'Valve Sizing'!$G$8/AA569)</f>
        <v>34.094970977552741</v>
      </c>
      <c r="AB571" s="111"/>
      <c r="AC571" s="28"/>
      <c r="AD571" s="96">
        <f ca="1">(AD564/(N_9*AD$27*AD566*AD570))*SQRT(M*'Valve Sizing'!$W$6*'Valve Sizing'!$G$8/AD569)</f>
        <v>60.702330876544195</v>
      </c>
      <c r="AE571" s="111"/>
      <c r="AF571" s="28"/>
      <c r="AG571" s="96">
        <f ca="1">(AG564/(N_9*AG$27*AG566*AG570))*SQRT(M*'Valve Sizing'!$W$6*'Valve Sizing'!$G$8/AG569)</f>
        <v>99.134532706297193</v>
      </c>
      <c r="AH571" s="111"/>
      <c r="AI571" s="28"/>
      <c r="AJ571" s="96">
        <f ca="1">(AJ564/(N_9*AJ$27*AJ566*AJ570))*SQRT(M*'Valve Sizing'!$W$6*'Valve Sizing'!$G$8/AJ569)</f>
        <v>159.68392633110102</v>
      </c>
      <c r="AK571" s="111"/>
      <c r="AL571" s="28"/>
      <c r="AM571" s="96">
        <f ca="1">(AM564/(N_9*AM$27*AM566*AM570))*SQRT(M*'Valve Sizing'!$W$6*'Valve Sizing'!$G$8/AM569)</f>
        <v>261.29934500968704</v>
      </c>
      <c r="AN571" s="111"/>
      <c r="AO571" s="28"/>
      <c r="AP571" s="96">
        <f ca="1">(AP564/(N_9*AP$27*AP566*AP570))*SQRT(M*'Valve Sizing'!$W$6*'Valve Sizing'!$G$8/AP569)</f>
        <v>539.84819579193311</v>
      </c>
      <c r="AQ571" s="111"/>
      <c r="AR571" s="28"/>
      <c r="AS571" s="96" t="e">
        <f ca="1">(AS564/(N_9*AS$27*AS566*AS570))*SQRT(M*'Valve Sizing'!$W$6*'Valve Sizing'!$G$8/AS569)</f>
        <v>#NUM!</v>
      </c>
      <c r="AT571" s="111"/>
      <c r="AU571" s="28"/>
    </row>
    <row r="572" spans="15:47" x14ac:dyDescent="0.25">
      <c r="O572" s="2" t="s">
        <v>59</v>
      </c>
      <c r="P572" s="143">
        <v>7</v>
      </c>
      <c r="Q572" s="2"/>
      <c r="R572" s="96">
        <f ca="1">(R564/(N_9*R$27*R566*0.667))*SQRT(M*'Valve Sizing'!$W$6*'Valve Sizing'!$G$8/R573)</f>
        <v>0.24446642663345258</v>
      </c>
      <c r="S572" s="107"/>
      <c r="T572" s="22"/>
      <c r="U572" s="96">
        <f ca="1">(U564/(N_9*U$27*U566*0.667))*SQRT(M*'Valve Sizing'!$W$6*'Valve Sizing'!$G$8/U573)</f>
        <v>6.1850979282639313</v>
      </c>
      <c r="V572" s="111"/>
      <c r="W572" s="28"/>
      <c r="X572" s="96">
        <f ca="1">(X564/(N_9*X$27*X566*0.667))*SQRT(M*'Valve Sizing'!$W$6*'Valve Sizing'!$G$8/X573)</f>
        <v>15.29714667012709</v>
      </c>
      <c r="Y572" s="111"/>
      <c r="Z572" s="28"/>
      <c r="AA572" s="96">
        <f ca="1">(AA564/(N_9*AA$27*AA566*0.667))*SQRT(M*'Valve Sizing'!$W$6*'Valve Sizing'!$G$8/AA573)</f>
        <v>30.484713467940352</v>
      </c>
      <c r="AB572" s="111"/>
      <c r="AC572" s="28"/>
      <c r="AD572" s="96">
        <f ca="1">(AD564/(N_9*AD$27*AD566*0.667))*SQRT(M*'Valve Sizing'!$W$6*'Valve Sizing'!$G$8/AD573)</f>
        <v>53.905351497030644</v>
      </c>
      <c r="AE572" s="111"/>
      <c r="AF572" s="28"/>
      <c r="AG572" s="96">
        <f ca="1">(AG564/(N_9*AG$27*AG566*0.667))*SQRT(M*'Valve Sizing'!$W$6*'Valve Sizing'!$G$8/AG573)</f>
        <v>86.672450780274602</v>
      </c>
      <c r="AH572" s="111"/>
      <c r="AI572" s="28"/>
      <c r="AJ572" s="96">
        <f ca="1">(AJ564/(N_9*AJ$27*AJ566*0.667))*SQRT(M*'Valve Sizing'!$W$6*'Valve Sizing'!$G$8/AJ573)</f>
        <v>133.43067368078948</v>
      </c>
      <c r="AK572" s="111"/>
      <c r="AL572" s="28"/>
      <c r="AM572" s="96">
        <f ca="1">(AM564/(N_9*AM$27*AM566*0.667))*SQRT(M*'Valve Sizing'!$W$6*'Valve Sizing'!$G$8/AM573)</f>
        <v>198.93266808092096</v>
      </c>
      <c r="AN572" s="111"/>
      <c r="AO572" s="28"/>
      <c r="AP572" s="96">
        <f ca="1">(AP564/(N_9*AP$27*AP566*0.667))*SQRT(M*'Valve Sizing'!$W$6*'Valve Sizing'!$G$8/AP573)</f>
        <v>260.51207192090953</v>
      </c>
      <c r="AQ572" s="111"/>
      <c r="AR572" s="28"/>
      <c r="AS572" s="96">
        <f ca="1">(AS564/(N_9*AS$27*AS566*0.667))*SQRT(M*'Valve Sizing'!$W$6*'Valve Sizing'!$G$8/AS573)</f>
        <v>603.69945656263189</v>
      </c>
      <c r="AT572" s="111"/>
      <c r="AU572" s="28"/>
    </row>
    <row r="573" spans="15:47" ht="15.6" x14ac:dyDescent="0.35">
      <c r="O573" s="2" t="s">
        <v>68</v>
      </c>
      <c r="P573" s="143">
        <v>10</v>
      </c>
      <c r="Q573" s="2"/>
      <c r="R573" s="96">
        <f ca="1">F_GAMMA*R$29</f>
        <v>0.64002969751372984</v>
      </c>
      <c r="S573" s="107"/>
      <c r="T573" s="1"/>
      <c r="U573" s="96">
        <f ca="1">F_GAMMA*U$29</f>
        <v>0.64017842058782071</v>
      </c>
      <c r="V573" s="111"/>
      <c r="W573" s="28"/>
      <c r="X573" s="96">
        <f ca="1">F_GAMMA*X$29</f>
        <v>0.63413873724904268</v>
      </c>
      <c r="Y573" s="111"/>
      <c r="Z573" s="28"/>
      <c r="AA573" s="96">
        <f ca="1">F_GAMMA*AA$29</f>
        <v>0.62532411750377137</v>
      </c>
      <c r="AB573" s="111"/>
      <c r="AC573" s="28"/>
      <c r="AD573" s="96">
        <f ca="1">F_GAMMA*AD$29</f>
        <v>0.60651359509139569</v>
      </c>
      <c r="AE573" s="111"/>
      <c r="AF573" s="28"/>
      <c r="AG573" s="96">
        <f ca="1">F_GAMMA*AG$29</f>
        <v>0.57217930198481592</v>
      </c>
      <c r="AH573" s="111"/>
      <c r="AI573" s="28"/>
      <c r="AJ573" s="96">
        <f ca="1">F_GAMMA*AJ$29</f>
        <v>0.53183282018848232</v>
      </c>
      <c r="AK573" s="111"/>
      <c r="AL573" s="28"/>
      <c r="AM573" s="96">
        <f ca="1">F_GAMMA*AM$29</f>
        <v>0.47566512503094399</v>
      </c>
      <c r="AN573" s="111"/>
      <c r="AO573" s="28"/>
      <c r="AP573" s="96">
        <f ca="1">F_GAMMA*AP$29</f>
        <v>0.59054158265645496</v>
      </c>
      <c r="AQ573" s="111"/>
      <c r="AR573" s="28"/>
      <c r="AS573" s="96">
        <f ca="1">F_GAMMA*AS$29</f>
        <v>0.3766899554102966</v>
      </c>
      <c r="AT573" s="111"/>
      <c r="AU573" s="28"/>
    </row>
    <row r="574" spans="15:47" x14ac:dyDescent="0.25">
      <c r="O574" s="2" t="s">
        <v>145</v>
      </c>
      <c r="P574" s="12"/>
      <c r="Q574" s="2"/>
      <c r="R574" s="96">
        <f ca="1">IF(R569&lt;R573,R571,R572)</f>
        <v>0.27308796647708017</v>
      </c>
      <c r="S574" s="116"/>
      <c r="T574" s="1"/>
      <c r="U574" s="96">
        <f ca="1">IF(U569&lt;U573,U571,U572)</f>
        <v>6.9120411414257603</v>
      </c>
      <c r="V574" s="111"/>
      <c r="W574" s="28"/>
      <c r="X574" s="96">
        <f ca="1">IF(X569&lt;X573,X571,X572)</f>
        <v>17.077429495386689</v>
      </c>
      <c r="Y574" s="111"/>
      <c r="Z574" s="28"/>
      <c r="AA574" s="96">
        <f ca="1">IF(AA569&lt;AA573,AA571,AA572)</f>
        <v>34.094970977552741</v>
      </c>
      <c r="AB574" s="111"/>
      <c r="AC574" s="28"/>
      <c r="AD574" s="96">
        <f ca="1">IF(AD569&lt;AD573,AD571,AD572)</f>
        <v>60.702330876544195</v>
      </c>
      <c r="AE574" s="111"/>
      <c r="AF574" s="28"/>
      <c r="AG574" s="96">
        <f ca="1">IF(AG569&lt;AG573,AG571,AG572)</f>
        <v>99.134532706297193</v>
      </c>
      <c r="AH574" s="111"/>
      <c r="AI574" s="28"/>
      <c r="AJ574" s="96">
        <f ca="1">IF(AJ569&lt;AJ573,AJ571,AJ572)</f>
        <v>159.68392633110102</v>
      </c>
      <c r="AK574" s="111"/>
      <c r="AL574" s="28"/>
      <c r="AM574" s="96">
        <f ca="1">IF(AM569&lt;AM573,AM571,AM572)</f>
        <v>261.29934500968704</v>
      </c>
      <c r="AN574" s="111"/>
      <c r="AO574" s="28"/>
      <c r="AP574" s="96">
        <f ca="1">IF(AP569&lt;AP573,AP571,AP572)</f>
        <v>539.84819579193311</v>
      </c>
      <c r="AQ574" s="111"/>
      <c r="AR574" s="28"/>
      <c r="AS574" s="96" t="e">
        <f ca="1">IF(AS569&lt;AS573,AS571,AS572)</f>
        <v>#NUM!</v>
      </c>
      <c r="AT574" s="111"/>
      <c r="AU574" s="28"/>
    </row>
    <row r="575" spans="15:47" x14ac:dyDescent="0.25">
      <c r="O575" s="13" t="s">
        <v>143</v>
      </c>
      <c r="P575" s="1"/>
      <c r="Q575" s="1"/>
      <c r="R575" s="113"/>
      <c r="S575" s="106">
        <f ca="1">IF(R568&lt;=0,Q_max,ABS(R$23-R574))</f>
        <v>4.4569120335229204</v>
      </c>
      <c r="T575" s="7">
        <f>R564</f>
        <v>676.22806422299197</v>
      </c>
      <c r="U575" s="98"/>
      <c r="V575" s="106">
        <f ca="1">IF(U568&lt;=0,Q_max,ABS(U$23-U574))</f>
        <v>4.6879588585742393</v>
      </c>
      <c r="W575" s="9">
        <f ca="1">U564</f>
        <v>17089.530359871947</v>
      </c>
      <c r="X575" s="98"/>
      <c r="Y575" s="106">
        <f ca="1">IF(X568&lt;=0,Q_max,ABS(X$23-X574))</f>
        <v>5.9225705046133115</v>
      </c>
      <c r="Z575" s="9">
        <f ca="1">X564</f>
        <v>41845.982433579666</v>
      </c>
      <c r="AA575" s="98"/>
      <c r="AB575" s="106">
        <f ca="1">IF(AA568&lt;=0,Q_max,ABS(AA$23-AA574))</f>
        <v>5.3050290224472576</v>
      </c>
      <c r="AC575" s="9">
        <f ca="1">AA564</f>
        <v>81505.292785530095</v>
      </c>
      <c r="AD575" s="98"/>
      <c r="AE575" s="106">
        <f ca="1">IF(AD568&lt;=0,Q_max,ABS(AD$23-AD574))</f>
        <v>0.29766912345580465</v>
      </c>
      <c r="AF575" s="9">
        <f ca="1">AD564</f>
        <v>136740.52674687753</v>
      </c>
      <c r="AG575" s="98"/>
      <c r="AH575" s="106">
        <f ca="1">IF(AG568&lt;=0,Q_max,ABS(AG$23-AG574))</f>
        <v>10.93453270629719</v>
      </c>
      <c r="AI575" s="9">
        <f ca="1">AG564</f>
        <v>199576.52307144023</v>
      </c>
      <c r="AJ575" s="98"/>
      <c r="AK575" s="106">
        <f ca="1">IF(AJ568&lt;=0,Q_max,ABS(AJ$23-AJ574))</f>
        <v>38.68392633110102</v>
      </c>
      <c r="AL575" s="9">
        <f ca="1">AJ564</f>
        <v>266335.64371064689</v>
      </c>
      <c r="AM575" s="98"/>
      <c r="AN575" s="106">
        <f ca="1">IF(AM568&lt;=0,Q_max,ABS(AM$23-AM574))</f>
        <v>96.299345009687045</v>
      </c>
      <c r="AO575" s="9">
        <f ca="1">AM564</f>
        <v>324980.09973886173</v>
      </c>
      <c r="AP575" s="98"/>
      <c r="AQ575" s="106">
        <f ca="1">IF(AP568&lt;=0,Q_max,ABS(AP$23-AP574))</f>
        <v>293.84819579193311</v>
      </c>
      <c r="AR575" s="9">
        <f ca="1">AP564</f>
        <v>377291.80690986424</v>
      </c>
      <c r="AS575" s="98"/>
      <c r="AT575" s="106">
        <f ca="1">IF(AS568&lt;=0,Q_max,ABS(AS$23-AS574))</f>
        <v>236393</v>
      </c>
      <c r="AU575" s="9">
        <f ca="1">AS564</f>
        <v>442404.3156871823</v>
      </c>
    </row>
    <row r="576" spans="15:47" ht="13.8" x14ac:dyDescent="0.25">
      <c r="O576" s="21"/>
      <c r="P576" s="21"/>
      <c r="Q576" s="21"/>
      <c r="R576" s="114"/>
      <c r="S576" s="117"/>
      <c r="T576" s="25"/>
      <c r="U576" s="99"/>
      <c r="V576" s="111"/>
      <c r="W576" s="28"/>
      <c r="X576" s="99"/>
      <c r="Y576" s="111"/>
      <c r="Z576" s="28"/>
      <c r="AA576" s="99"/>
      <c r="AB576" s="111"/>
      <c r="AC576" s="28"/>
      <c r="AD576" s="99"/>
      <c r="AE576" s="111"/>
      <c r="AF576" s="28"/>
      <c r="AG576" s="99"/>
      <c r="AH576" s="111"/>
      <c r="AI576" s="28"/>
      <c r="AJ576" s="99"/>
      <c r="AK576" s="111"/>
      <c r="AL576" s="28"/>
      <c r="AM576" s="99"/>
      <c r="AN576" s="111"/>
      <c r="AO576" s="28"/>
      <c r="AP576" s="99"/>
      <c r="AQ576" s="111"/>
      <c r="AR576" s="28"/>
      <c r="AS576" s="99"/>
      <c r="AT576" s="111"/>
      <c r="AU576" s="28"/>
    </row>
    <row r="577" spans="15:47" x14ac:dyDescent="0.25">
      <c r="O577" s="1"/>
      <c r="P577" s="1"/>
      <c r="Q577" s="1"/>
      <c r="R577" s="98"/>
      <c r="S577" s="108" t="s">
        <v>137</v>
      </c>
      <c r="T577" s="26" t="s">
        <v>146</v>
      </c>
      <c r="U577" s="98"/>
      <c r="V577" s="108" t="s">
        <v>137</v>
      </c>
      <c r="W577" s="26" t="s">
        <v>146</v>
      </c>
      <c r="X577" s="98"/>
      <c r="Y577" s="108" t="s">
        <v>137</v>
      </c>
      <c r="Z577" s="26" t="s">
        <v>146</v>
      </c>
      <c r="AA577" s="98"/>
      <c r="AB577" s="108" t="s">
        <v>137</v>
      </c>
      <c r="AC577" s="26" t="s">
        <v>146</v>
      </c>
      <c r="AD577" s="98"/>
      <c r="AE577" s="108" t="s">
        <v>137</v>
      </c>
      <c r="AF577" s="26" t="s">
        <v>146</v>
      </c>
      <c r="AG577" s="98"/>
      <c r="AH577" s="108" t="s">
        <v>137</v>
      </c>
      <c r="AI577" s="26" t="s">
        <v>146</v>
      </c>
      <c r="AJ577" s="98"/>
      <c r="AK577" s="108" t="s">
        <v>137</v>
      </c>
      <c r="AL577" s="26" t="s">
        <v>146</v>
      </c>
      <c r="AM577" s="98"/>
      <c r="AN577" s="108" t="s">
        <v>137</v>
      </c>
      <c r="AO577" s="26" t="s">
        <v>146</v>
      </c>
      <c r="AP577" s="98"/>
      <c r="AQ577" s="108" t="s">
        <v>137</v>
      </c>
      <c r="AR577" s="26" t="s">
        <v>146</v>
      </c>
      <c r="AS577" s="98"/>
      <c r="AT577" s="108" t="s">
        <v>137</v>
      </c>
      <c r="AU577" s="26" t="s">
        <v>146</v>
      </c>
    </row>
    <row r="578" spans="15:47" ht="13.8" x14ac:dyDescent="0.25">
      <c r="O578" s="20" t="s">
        <v>136</v>
      </c>
      <c r="P578" s="1"/>
      <c r="Q578" s="1"/>
      <c r="R578" s="96">
        <f>R564*1.02</f>
        <v>689.75262550745185</v>
      </c>
      <c r="S578" s="109" t="s">
        <v>144</v>
      </c>
      <c r="T578" s="23" t="s">
        <v>147</v>
      </c>
      <c r="U578" s="96">
        <f ca="1">U564*1.01</f>
        <v>17260.425663470665</v>
      </c>
      <c r="V578" s="109" t="s">
        <v>144</v>
      </c>
      <c r="W578" s="23" t="s">
        <v>147</v>
      </c>
      <c r="X578" s="96">
        <f ca="1">X564*1.01</f>
        <v>42264.442257915463</v>
      </c>
      <c r="Y578" s="109" t="s">
        <v>144</v>
      </c>
      <c r="Z578" s="23" t="s">
        <v>147</v>
      </c>
      <c r="AA578" s="96">
        <f ca="1">AA564*1.01</f>
        <v>82320.345713385395</v>
      </c>
      <c r="AB578" s="109" t="s">
        <v>144</v>
      </c>
      <c r="AC578" s="23" t="s">
        <v>147</v>
      </c>
      <c r="AD578" s="96">
        <f ca="1">AD564*1.01</f>
        <v>138107.9320143463</v>
      </c>
      <c r="AE578" s="109" t="s">
        <v>144</v>
      </c>
      <c r="AF578" s="23" t="s">
        <v>147</v>
      </c>
      <c r="AG578" s="96">
        <f ca="1">AG564*1.01</f>
        <v>201572.28830215463</v>
      </c>
      <c r="AH578" s="109" t="s">
        <v>144</v>
      </c>
      <c r="AI578" s="23" t="s">
        <v>147</v>
      </c>
      <c r="AJ578" s="96">
        <f ca="1">AJ564*1.01</f>
        <v>268999.0001477534</v>
      </c>
      <c r="AK578" s="109" t="s">
        <v>144</v>
      </c>
      <c r="AL578" s="23" t="s">
        <v>147</v>
      </c>
      <c r="AM578" s="96">
        <f ca="1">AM564*1.01</f>
        <v>328229.90073625033</v>
      </c>
      <c r="AN578" s="109" t="s">
        <v>144</v>
      </c>
      <c r="AO578" s="23" t="s">
        <v>147</v>
      </c>
      <c r="AP578" s="96">
        <f ca="1">AP564*1.01</f>
        <v>381064.72497896291</v>
      </c>
      <c r="AQ578" s="109" t="s">
        <v>144</v>
      </c>
      <c r="AR578" s="23" t="s">
        <v>147</v>
      </c>
      <c r="AS578" s="96">
        <f ca="1">AS564*1.01</f>
        <v>446828.35884405411</v>
      </c>
      <c r="AT578" s="109" t="s">
        <v>144</v>
      </c>
      <c r="AU578" s="23" t="s">
        <v>147</v>
      </c>
    </row>
    <row r="579" spans="15:47" x14ac:dyDescent="0.25">
      <c r="O579" s="1"/>
      <c r="P579" s="1"/>
      <c r="Q579" s="1"/>
      <c r="R579" s="98"/>
      <c r="S579" s="107"/>
      <c r="T579" s="1"/>
      <c r="U579" s="47"/>
      <c r="V579" s="107"/>
      <c r="W579" s="1"/>
      <c r="X579" s="47"/>
      <c r="Y579" s="107"/>
      <c r="Z579" s="1"/>
      <c r="AA579" s="47"/>
      <c r="AB579" s="107"/>
      <c r="AC579" s="1"/>
      <c r="AD579" s="47"/>
      <c r="AE579" s="107"/>
      <c r="AF579" s="1"/>
      <c r="AG579" s="47"/>
      <c r="AH579" s="107"/>
      <c r="AI579" s="1"/>
      <c r="AJ579" s="47"/>
      <c r="AK579" s="107"/>
      <c r="AL579" s="1"/>
      <c r="AM579" s="47"/>
      <c r="AN579" s="107"/>
      <c r="AO579" s="1"/>
      <c r="AP579" s="47"/>
      <c r="AQ579" s="107"/>
      <c r="AR579" s="1"/>
      <c r="AS579" s="47"/>
      <c r="AT579" s="107"/>
      <c r="AU579" s="1"/>
    </row>
    <row r="580" spans="15:47" x14ac:dyDescent="0.25">
      <c r="O580" s="8" t="s">
        <v>132</v>
      </c>
      <c r="P580" s="8"/>
      <c r="Q580" s="8"/>
      <c r="R580" s="96">
        <f>P_1_minQ-(R578^2*R_up)+dpup_minQ</f>
        <v>90.184953818044221</v>
      </c>
      <c r="S580" s="106"/>
      <c r="T580" s="22"/>
      <c r="U580" s="96">
        <f ca="1">P_1_minQ-(U578^2*R_up)+dpup_minQ</f>
        <v>90.130740941468645</v>
      </c>
      <c r="V580" s="107"/>
      <c r="W580" s="1"/>
      <c r="X580" s="96">
        <f ca="1">P_1_minQ-(X578^2*R_up)+dpup_minQ</f>
        <v>89.85947094854599</v>
      </c>
      <c r="Y580" s="107"/>
      <c r="Z580" s="1"/>
      <c r="AA580" s="96">
        <f ca="1">P_1_minQ-(AA578^2*R_up)+dpup_minQ</f>
        <v>88.949924073208066</v>
      </c>
      <c r="AB580" s="107"/>
      <c r="AC580" s="1"/>
      <c r="AD580" s="96">
        <f ca="1">P_1_minQ-(AD578^2*R_up)+dpup_minQ</f>
        <v>86.708632200836377</v>
      </c>
      <c r="AE580" s="107"/>
      <c r="AF580" s="1"/>
      <c r="AG580" s="96">
        <f ca="1">P_1_minQ-(AG578^2*R_up)+dpup_minQ</f>
        <v>82.779526837295307</v>
      </c>
      <c r="AH580" s="107"/>
      <c r="AI580" s="1"/>
      <c r="AJ580" s="96">
        <f ca="1">P_1_minQ-(AJ578^2*R_up)+dpup_minQ</f>
        <v>76.996556776533325</v>
      </c>
      <c r="AK580" s="107"/>
      <c r="AL580" s="1"/>
      <c r="AM580" s="96">
        <f ca="1">P_1_minQ-(AM578^2*R_up)+dpup_minQ</f>
        <v>70.549185368321076</v>
      </c>
      <c r="AN580" s="107"/>
      <c r="AO580" s="1"/>
      <c r="AP580" s="96">
        <f ca="1">P_1_minQ-(AP578^2*R_up)+dpup_minQ</f>
        <v>63.71887444860814</v>
      </c>
      <c r="AQ580" s="107"/>
      <c r="AR580" s="1"/>
      <c r="AS580" s="96">
        <f ca="1">P_1_minQ-(AS578^2*R_up)+dpup_minQ</f>
        <v>53.795632179838563</v>
      </c>
      <c r="AT580" s="107"/>
      <c r="AU580" s="1"/>
    </row>
    <row r="581" spans="15:47" x14ac:dyDescent="0.25">
      <c r="O581" s="8" t="s">
        <v>134</v>
      </c>
      <c r="P581" s="1"/>
      <c r="Q581" s="8"/>
      <c r="R581" s="97">
        <f>P_2_minQ+(R578^2*R_dn)-dpdn_minQ</f>
        <v>60</v>
      </c>
      <c r="S581" s="106"/>
      <c r="T581" s="22"/>
      <c r="U581" s="97">
        <f ca="1">P_2_minQ+(U578^2*R_dn)-dpdn_minQ</f>
        <v>60</v>
      </c>
      <c r="V581" s="107"/>
      <c r="W581" s="1"/>
      <c r="X581" s="97">
        <f ca="1">P_2_minQ+(X578^2*R_dn)-dpdn_minQ</f>
        <v>60</v>
      </c>
      <c r="Y581" s="107"/>
      <c r="Z581" s="1"/>
      <c r="AA581" s="97">
        <f ca="1">P_2_minQ+(AA578^2*R_dn)-dpdn_minQ</f>
        <v>60</v>
      </c>
      <c r="AB581" s="107"/>
      <c r="AC581" s="1"/>
      <c r="AD581" s="97">
        <f ca="1">P_2_minQ+(AD578^2*R_dn)-dpdn_minQ</f>
        <v>60</v>
      </c>
      <c r="AE581" s="107"/>
      <c r="AF581" s="1"/>
      <c r="AG581" s="97">
        <f ca="1">P_2_minQ+(AG578^2*R_dn)-dpdn_minQ</f>
        <v>60</v>
      </c>
      <c r="AH581" s="107"/>
      <c r="AI581" s="1"/>
      <c r="AJ581" s="97">
        <f ca="1">P_2_minQ+(AJ578^2*R_dn)-dpdn_minQ</f>
        <v>60</v>
      </c>
      <c r="AK581" s="107"/>
      <c r="AL581" s="1"/>
      <c r="AM581" s="97">
        <f ca="1">P_2_minQ+(AM578^2*R_dn)-dpdn_minQ</f>
        <v>60</v>
      </c>
      <c r="AN581" s="107"/>
      <c r="AO581" s="1"/>
      <c r="AP581" s="97">
        <f ca="1">P_2_minQ+(AP578^2*R_dn)-dpdn_minQ</f>
        <v>60</v>
      </c>
      <c r="AQ581" s="107"/>
      <c r="AR581" s="1"/>
      <c r="AS581" s="97">
        <f ca="1">P_2_minQ+(AS578^2*R_dn)-dpdn_minQ</f>
        <v>60</v>
      </c>
      <c r="AT581" s="107"/>
      <c r="AU581" s="1"/>
    </row>
    <row r="582" spans="15:47" x14ac:dyDescent="0.25">
      <c r="O582" s="8" t="s">
        <v>138</v>
      </c>
      <c r="P582" s="1"/>
      <c r="Q582" s="8"/>
      <c r="R582" s="97">
        <f>R580-R581</f>
        <v>30.184953818044221</v>
      </c>
      <c r="S582" s="106"/>
      <c r="T582" s="22"/>
      <c r="U582" s="97">
        <f ca="1">U580-U581</f>
        <v>30.130740941468645</v>
      </c>
      <c r="V582" s="110"/>
      <c r="W582" s="25"/>
      <c r="X582" s="97">
        <f ca="1">X580-X581</f>
        <v>29.85947094854599</v>
      </c>
      <c r="Y582" s="110"/>
      <c r="Z582" s="25"/>
      <c r="AA582" s="97">
        <f ca="1">AA580-AA581</f>
        <v>28.949924073208066</v>
      </c>
      <c r="AB582" s="110"/>
      <c r="AC582" s="25"/>
      <c r="AD582" s="97">
        <f ca="1">AD580-AD581</f>
        <v>26.708632200836377</v>
      </c>
      <c r="AE582" s="110"/>
      <c r="AF582" s="25"/>
      <c r="AG582" s="97">
        <f ca="1">AG580-AG581</f>
        <v>22.779526837295307</v>
      </c>
      <c r="AH582" s="110"/>
      <c r="AI582" s="25"/>
      <c r="AJ582" s="97">
        <f ca="1">AJ580-AJ581</f>
        <v>16.996556776533325</v>
      </c>
      <c r="AK582" s="110"/>
      <c r="AL582" s="25"/>
      <c r="AM582" s="97">
        <f ca="1">AM580-AM581</f>
        <v>10.549185368321076</v>
      </c>
      <c r="AN582" s="110"/>
      <c r="AO582" s="25"/>
      <c r="AP582" s="97">
        <f ca="1">AP580-AP581</f>
        <v>3.7188744486081404</v>
      </c>
      <c r="AQ582" s="110"/>
      <c r="AR582" s="25"/>
      <c r="AS582" s="97">
        <f ca="1">AS580-AS581</f>
        <v>-6.204367820161437</v>
      </c>
      <c r="AT582" s="110"/>
      <c r="AU582" s="25"/>
    </row>
    <row r="583" spans="15:47" ht="14.4" x14ac:dyDescent="0.3">
      <c r="O583" s="2" t="s">
        <v>140</v>
      </c>
      <c r="P583" s="11"/>
      <c r="Q583" s="2"/>
      <c r="R583" s="96">
        <f>R582/R580</f>
        <v>0.33470055192293963</v>
      </c>
      <c r="S583" s="106"/>
      <c r="T583" s="22"/>
      <c r="U583" s="96">
        <f ca="1">U582/U580</f>
        <v>0.33430037994512546</v>
      </c>
      <c r="V583" s="111"/>
      <c r="W583" s="28"/>
      <c r="X583" s="96">
        <f ca="1">X582/X580</f>
        <v>0.33229074947084525</v>
      </c>
      <c r="Y583" s="111"/>
      <c r="Z583" s="28"/>
      <c r="AA583" s="96">
        <f ca="1">AA582/AA580</f>
        <v>0.32546316789862056</v>
      </c>
      <c r="AB583" s="111"/>
      <c r="AC583" s="28"/>
      <c r="AD583" s="96">
        <f ca="1">AD582/AD580</f>
        <v>0.3080273730875292</v>
      </c>
      <c r="AE583" s="111"/>
      <c r="AF583" s="28"/>
      <c r="AG583" s="96">
        <f ca="1">AG582/AG580</f>
        <v>0.27518310031016352</v>
      </c>
      <c r="AH583" s="111"/>
      <c r="AI583" s="28"/>
      <c r="AJ583" s="96">
        <f ca="1">AJ582/AJ580</f>
        <v>0.22074437465901672</v>
      </c>
      <c r="AK583" s="111"/>
      <c r="AL583" s="28"/>
      <c r="AM583" s="96">
        <f ca="1">AM582/AM580</f>
        <v>0.14952951353366031</v>
      </c>
      <c r="AN583" s="111"/>
      <c r="AO583" s="28"/>
      <c r="AP583" s="96">
        <f ca="1">AP582/AP580</f>
        <v>5.8363781231063075E-2</v>
      </c>
      <c r="AQ583" s="111"/>
      <c r="AR583" s="28"/>
      <c r="AS583" s="96">
        <f ca="1">AS582/AS580</f>
        <v>-0.11533218532352706</v>
      </c>
      <c r="AT583" s="111"/>
      <c r="AU583" s="28"/>
    </row>
    <row r="584" spans="15:47" x14ac:dyDescent="0.25">
      <c r="O584" s="2" t="s">
        <v>21</v>
      </c>
      <c r="P584" s="8">
        <v>12</v>
      </c>
      <c r="Q584" s="2"/>
      <c r="R584" s="96">
        <f ca="1">1-R583/(3*F_GAMMA*R$29)</f>
        <v>0.82568488450711841</v>
      </c>
      <c r="S584" s="106"/>
      <c r="T584" s="22"/>
      <c r="U584" s="96">
        <f ca="1">1-U583/(3*F_GAMMA*U$29)</f>
        <v>0.82593374534651021</v>
      </c>
      <c r="V584" s="111"/>
      <c r="W584" s="28"/>
      <c r="X584" s="96">
        <f ca="1">1-X583/(3*F_GAMMA*X$29)</f>
        <v>0.82533225515058117</v>
      </c>
      <c r="Y584" s="111"/>
      <c r="Z584" s="28"/>
      <c r="AA584" s="96">
        <f ca="1">1-AA583/(3*F_GAMMA*AA$29)</f>
        <v>0.8265096138208371</v>
      </c>
      <c r="AB584" s="111"/>
      <c r="AC584" s="28"/>
      <c r="AD584" s="96">
        <f ca="1">1-AD583/(3*F_GAMMA*AD$29)</f>
        <v>0.83071147644480392</v>
      </c>
      <c r="AE584" s="111"/>
      <c r="AF584" s="28"/>
      <c r="AG584" s="96">
        <f ca="1">1-AG583/(3*F_GAMMA*AG$29)</f>
        <v>0.8396871404030235</v>
      </c>
      <c r="AH584" s="111"/>
      <c r="AI584" s="28"/>
      <c r="AJ584" s="96">
        <f ca="1">1-AJ583/(3*F_GAMMA*AJ$29)</f>
        <v>0.86164551071971285</v>
      </c>
      <c r="AK584" s="111"/>
      <c r="AL584" s="28"/>
      <c r="AM584" s="96">
        <f ca="1">1-AM583/(3*F_GAMMA*AM$29)</f>
        <v>0.89521373639775614</v>
      </c>
      <c r="AN584" s="111"/>
      <c r="AO584" s="28"/>
      <c r="AP584" s="96">
        <f ca="1">1-AP583/(3*F_GAMMA*AP$29)</f>
        <v>0.96705635248211586</v>
      </c>
      <c r="AQ584" s="111"/>
      <c r="AR584" s="28"/>
      <c r="AS584" s="96">
        <f ca="1">1-AS583/(3*F_GAMMA*AS$29)</f>
        <v>1.1020575707484292</v>
      </c>
      <c r="AT584" s="111"/>
      <c r="AU584" s="28"/>
    </row>
    <row r="585" spans="15:47" x14ac:dyDescent="0.25">
      <c r="O585" s="2" t="s">
        <v>57</v>
      </c>
      <c r="P585" s="143">
        <v>7</v>
      </c>
      <c r="Q585" s="2"/>
      <c r="R585" s="96">
        <f ca="1">(R578/(N_9*R$27*R580*R584))*SQRT(M*'Valve Sizing'!$W$6*'Valve Sizing'!$G$8/R583)</f>
        <v>0.27854974217846662</v>
      </c>
      <c r="S585" s="107"/>
      <c r="T585" s="22"/>
      <c r="U585" s="96">
        <f ca="1">(U578/(N_9*U$27*U580*U584))*SQRT(M*'Valve Sizing'!$W$6*'Valve Sizing'!$G$8/U583)</f>
        <v>6.9812921562570365</v>
      </c>
      <c r="V585" s="111"/>
      <c r="W585" s="28"/>
      <c r="X585" s="96">
        <f ca="1">(X578/(N_9*X$27*X580*X584))*SQRT(M*'Valve Sizing'!$W$6*'Valve Sizing'!$G$8/X583)</f>
        <v>17.250148541941741</v>
      </c>
      <c r="Y585" s="111"/>
      <c r="Z585" s="28"/>
      <c r="AA585" s="96">
        <f ca="1">(AA578/(N_9*AA$27*AA580*AA584))*SQRT(M*'Valve Sizing'!$W$6*'Valve Sizing'!$G$8/AA583)</f>
        <v>34.451004383909655</v>
      </c>
      <c r="AB585" s="111"/>
      <c r="AC585" s="28"/>
      <c r="AD585" s="96">
        <f ca="1">(AD578/(N_9*AD$27*AD580*AD584))*SQRT(M*'Valve Sizing'!$W$6*'Valve Sizing'!$G$8/AD583)</f>
        <v>61.389973590078363</v>
      </c>
      <c r="AE585" s="111"/>
      <c r="AF585" s="28"/>
      <c r="AG585" s="96">
        <f ca="1">(AG578/(N_9*AG$27*AG580*AG584))*SQRT(M*'Valve Sizing'!$W$6*'Valve Sizing'!$G$8/AG583)</f>
        <v>100.44558311218937</v>
      </c>
      <c r="AH585" s="111"/>
      <c r="AI585" s="28"/>
      <c r="AJ585" s="96">
        <f ca="1">(AJ578/(N_9*AJ$27*AJ580*AJ584))*SQRT(M*'Valve Sizing'!$W$6*'Valve Sizing'!$G$8/AJ583)</f>
        <v>162.47265898926148</v>
      </c>
      <c r="AK585" s="111"/>
      <c r="AL585" s="28"/>
      <c r="AM585" s="96">
        <f ca="1">(AM578/(N_9*AM$27*AM580*AM584))*SQRT(M*'Valve Sizing'!$W$6*'Valve Sizing'!$G$8/AM583)</f>
        <v>268.46582662108369</v>
      </c>
      <c r="AN585" s="111"/>
      <c r="AO585" s="28"/>
      <c r="AP585" s="96">
        <f ca="1">(AP578/(N_9*AP$27*AP580*AP584))*SQRT(M*'Valve Sizing'!$W$6*'Valve Sizing'!$G$8/AP583)</f>
        <v>581.99157400479896</v>
      </c>
      <c r="AQ585" s="111"/>
      <c r="AR585" s="28"/>
      <c r="AS585" s="96" t="e">
        <f ca="1">(AS578/(N_9*AS$27*AS580*AS584))*SQRT(M*'Valve Sizing'!$W$6*'Valve Sizing'!$G$8/AS583)</f>
        <v>#NUM!</v>
      </c>
      <c r="AT585" s="111"/>
      <c r="AU585" s="28"/>
    </row>
    <row r="586" spans="15:47" x14ac:dyDescent="0.25">
      <c r="O586" s="2" t="s">
        <v>59</v>
      </c>
      <c r="P586" s="143">
        <v>7</v>
      </c>
      <c r="Q586" s="2"/>
      <c r="R586" s="96">
        <f ca="1">(R578/(N_9*R$27*R580*0.667))*SQRT(M*'Valve Sizing'!$W$6*'Valve Sizing'!$G$8/R587)</f>
        <v>0.24935576447605542</v>
      </c>
      <c r="S586" s="107"/>
      <c r="T586" s="22"/>
      <c r="U586" s="96">
        <f ca="1">(U578/(N_9*U$27*U580*0.667))*SQRT(M*'Valve Sizing'!$W$6*'Valve Sizing'!$G$8/U587)</f>
        <v>6.2470230633019534</v>
      </c>
      <c r="V586" s="111"/>
      <c r="W586" s="28"/>
      <c r="X586" s="96">
        <f ca="1">(X578/(N_9*X$27*X580*0.667))*SQRT(M*'Valve Sizing'!$W$6*'Valve Sizing'!$G$8/X587)</f>
        <v>15.451221110329319</v>
      </c>
      <c r="Y586" s="111"/>
      <c r="Z586" s="28"/>
      <c r="AA586" s="96">
        <f ca="1">(AA578/(N_9*AA$27*AA580*0.667))*SQRT(M*'Valve Sizing'!$W$6*'Valve Sizing'!$G$8/AA587)</f>
        <v>30.797984617546231</v>
      </c>
      <c r="AB586" s="111"/>
      <c r="AC586" s="28"/>
      <c r="AD586" s="96">
        <f ca="1">(AD578/(N_9*AD$27*AD580*0.667))*SQRT(M*'Valve Sizing'!$W$6*'Valve Sizing'!$G$8/AD587)</f>
        <v>54.487415563598105</v>
      </c>
      <c r="AE586" s="111"/>
      <c r="AF586" s="28"/>
      <c r="AG586" s="96">
        <f ca="1">(AG578/(N_9*AG$27*AG580*0.667))*SQRT(M*'Valve Sizing'!$W$6*'Valve Sizing'!$G$8/AG587)</f>
        <v>87.693483134546995</v>
      </c>
      <c r="AH586" s="111"/>
      <c r="AI586" s="28"/>
      <c r="AJ586" s="96">
        <f ca="1">(AJ578/(N_9*AJ$27*AJ580*0.667))*SQRT(M*'Valve Sizing'!$W$6*'Valve Sizing'!$G$8/AJ587)</f>
        <v>135.21981547004265</v>
      </c>
      <c r="AK586" s="111"/>
      <c r="AL586" s="28"/>
      <c r="AM586" s="96">
        <f ca="1">(AM578/(N_9*AM$27*AM580*0.667))*SQRT(M*'Valve Sizing'!$W$6*'Valve Sizing'!$G$8/AM587)</f>
        <v>202.02388569036918</v>
      </c>
      <c r="AN586" s="111"/>
      <c r="AO586" s="28"/>
      <c r="AP586" s="96">
        <f ca="1">(AP578/(N_9*AP$27*AP580*0.667))*SQRT(M*'Valve Sizing'!$W$6*'Valve Sizing'!$G$8/AP587)</f>
        <v>265.2705964366657</v>
      </c>
      <c r="AQ586" s="111"/>
      <c r="AR586" s="28"/>
      <c r="AS586" s="96">
        <f ca="1">(AS578/(N_9*AS$27*AS580*0.667))*SQRT(M*'Valve Sizing'!$W$6*'Valve Sizing'!$G$8/AS587)</f>
        <v>617.86332365218368</v>
      </c>
      <c r="AT586" s="111"/>
      <c r="AU586" s="28"/>
    </row>
    <row r="587" spans="15:47" ht="15.6" x14ac:dyDescent="0.35">
      <c r="O587" s="2" t="s">
        <v>68</v>
      </c>
      <c r="P587" s="143">
        <v>10</v>
      </c>
      <c r="Q587" s="2"/>
      <c r="R587" s="96">
        <f ca="1">F_GAMMA*R$29</f>
        <v>0.64002969751372984</v>
      </c>
      <c r="S587" s="107"/>
      <c r="T587" s="1"/>
      <c r="U587" s="96">
        <f ca="1">F_GAMMA*U$29</f>
        <v>0.64017842058782071</v>
      </c>
      <c r="V587" s="111"/>
      <c r="W587" s="28"/>
      <c r="X587" s="96">
        <f ca="1">F_GAMMA*X$29</f>
        <v>0.63413873724904268</v>
      </c>
      <c r="Y587" s="111"/>
      <c r="Z587" s="28"/>
      <c r="AA587" s="96">
        <f ca="1">F_GAMMA*AA$29</f>
        <v>0.62532411750377137</v>
      </c>
      <c r="AB587" s="111"/>
      <c r="AC587" s="28"/>
      <c r="AD587" s="96">
        <f ca="1">F_GAMMA*AD$29</f>
        <v>0.60651359509139569</v>
      </c>
      <c r="AE587" s="111"/>
      <c r="AF587" s="28"/>
      <c r="AG587" s="96">
        <f ca="1">F_GAMMA*AG$29</f>
        <v>0.57217930198481592</v>
      </c>
      <c r="AH587" s="111"/>
      <c r="AI587" s="28"/>
      <c r="AJ587" s="96">
        <f ca="1">F_GAMMA*AJ$29</f>
        <v>0.53183282018848232</v>
      </c>
      <c r="AK587" s="111"/>
      <c r="AL587" s="28"/>
      <c r="AM587" s="96">
        <f ca="1">F_GAMMA*AM$29</f>
        <v>0.47566512503094399</v>
      </c>
      <c r="AN587" s="111"/>
      <c r="AO587" s="28"/>
      <c r="AP587" s="96">
        <f ca="1">F_GAMMA*AP$29</f>
        <v>0.59054158265645496</v>
      </c>
      <c r="AQ587" s="111"/>
      <c r="AR587" s="28"/>
      <c r="AS587" s="96">
        <f ca="1">F_GAMMA*AS$29</f>
        <v>0.3766899554102966</v>
      </c>
      <c r="AT587" s="111"/>
      <c r="AU587" s="28"/>
    </row>
    <row r="588" spans="15:47" x14ac:dyDescent="0.25">
      <c r="O588" s="2" t="s">
        <v>145</v>
      </c>
      <c r="P588" s="12"/>
      <c r="Q588" s="2"/>
      <c r="R588" s="96">
        <f ca="1">IF(R583&lt;R587,R585,R586)</f>
        <v>0.27854974217846662</v>
      </c>
      <c r="S588" s="116"/>
      <c r="T588" s="1"/>
      <c r="U588" s="96">
        <f ca="1">IF(U583&lt;U587,U585,U586)</f>
        <v>6.9812921562570365</v>
      </c>
      <c r="V588" s="111"/>
      <c r="W588" s="28"/>
      <c r="X588" s="96">
        <f ca="1">IF(X583&lt;X587,X585,X586)</f>
        <v>17.250148541941741</v>
      </c>
      <c r="Y588" s="111"/>
      <c r="Z588" s="28"/>
      <c r="AA588" s="96">
        <f ca="1">IF(AA583&lt;AA587,AA585,AA586)</f>
        <v>34.451004383909655</v>
      </c>
      <c r="AB588" s="111"/>
      <c r="AC588" s="28"/>
      <c r="AD588" s="96">
        <f ca="1">IF(AD583&lt;AD587,AD585,AD586)</f>
        <v>61.389973590078363</v>
      </c>
      <c r="AE588" s="111"/>
      <c r="AF588" s="28"/>
      <c r="AG588" s="96">
        <f ca="1">IF(AG583&lt;AG587,AG585,AG586)</f>
        <v>100.44558311218937</v>
      </c>
      <c r="AH588" s="111"/>
      <c r="AI588" s="28"/>
      <c r="AJ588" s="96">
        <f ca="1">IF(AJ583&lt;AJ587,AJ585,AJ586)</f>
        <v>162.47265898926148</v>
      </c>
      <c r="AK588" s="111"/>
      <c r="AL588" s="28"/>
      <c r="AM588" s="96">
        <f ca="1">IF(AM583&lt;AM587,AM585,AM586)</f>
        <v>268.46582662108369</v>
      </c>
      <c r="AN588" s="111"/>
      <c r="AO588" s="28"/>
      <c r="AP588" s="96">
        <f ca="1">IF(AP583&lt;AP587,AP585,AP586)</f>
        <v>581.99157400479896</v>
      </c>
      <c r="AQ588" s="111"/>
      <c r="AR588" s="28"/>
      <c r="AS588" s="96" t="e">
        <f ca="1">IF(AS583&lt;AS587,AS585,AS586)</f>
        <v>#NUM!</v>
      </c>
      <c r="AT588" s="111"/>
      <c r="AU588" s="28"/>
    </row>
    <row r="589" spans="15:47" x14ac:dyDescent="0.25">
      <c r="O589" s="13" t="s">
        <v>143</v>
      </c>
      <c r="P589" s="1"/>
      <c r="Q589" s="1"/>
      <c r="R589" s="113"/>
      <c r="S589" s="106">
        <f ca="1">IF(R582&lt;=0,Q_max,ABS(R$23-R588))</f>
        <v>4.4514502578215343</v>
      </c>
      <c r="T589" s="7">
        <f>R578</f>
        <v>689.75262550745185</v>
      </c>
      <c r="U589" s="98"/>
      <c r="V589" s="106">
        <f ca="1">IF(U582&lt;=0,Q_max,ABS(U$23-U588))</f>
        <v>4.6187078437429632</v>
      </c>
      <c r="W589" s="9">
        <f ca="1">U578</f>
        <v>17260.425663470665</v>
      </c>
      <c r="X589" s="98"/>
      <c r="Y589" s="106">
        <f ca="1">IF(X582&lt;=0,Q_max,ABS(X$23-X588))</f>
        <v>5.7498514580582594</v>
      </c>
      <c r="Z589" s="9">
        <f ca="1">X578</f>
        <v>42264.442257915463</v>
      </c>
      <c r="AA589" s="98"/>
      <c r="AB589" s="106">
        <f ca="1">IF(AA582&lt;=0,Q_max,ABS(AA$23-AA588))</f>
        <v>4.9489956160903432</v>
      </c>
      <c r="AC589" s="9">
        <f ca="1">AA578</f>
        <v>82320.345713385395</v>
      </c>
      <c r="AD589" s="98"/>
      <c r="AE589" s="106">
        <f ca="1">IF(AD582&lt;=0,Q_max,ABS(AD$23-AD588))</f>
        <v>0.38997359007836252</v>
      </c>
      <c r="AF589" s="9">
        <f ca="1">AD578</f>
        <v>138107.9320143463</v>
      </c>
      <c r="AG589" s="98"/>
      <c r="AH589" s="106">
        <f ca="1">IF(AG582&lt;=0,Q_max,ABS(AG$23-AG588))</f>
        <v>12.245583112189365</v>
      </c>
      <c r="AI589" s="9">
        <f ca="1">AG578</f>
        <v>201572.28830215463</v>
      </c>
      <c r="AJ589" s="98"/>
      <c r="AK589" s="106">
        <f ca="1">IF(AJ582&lt;=0,Q_max,ABS(AJ$23-AJ588))</f>
        <v>41.472658989261475</v>
      </c>
      <c r="AL589" s="9">
        <f ca="1">AJ578</f>
        <v>268999.0001477534</v>
      </c>
      <c r="AM589" s="98"/>
      <c r="AN589" s="106">
        <f ca="1">IF(AM582&lt;=0,Q_max,ABS(AM$23-AM588))</f>
        <v>103.46582662108369</v>
      </c>
      <c r="AO589" s="9">
        <f ca="1">AM578</f>
        <v>328229.90073625033</v>
      </c>
      <c r="AP589" s="98"/>
      <c r="AQ589" s="106">
        <f ca="1">IF(AP582&lt;=0,Q_max,ABS(AP$23-AP588))</f>
        <v>335.99157400479896</v>
      </c>
      <c r="AR589" s="9">
        <f ca="1">AP578</f>
        <v>381064.72497896291</v>
      </c>
      <c r="AS589" s="98"/>
      <c r="AT589" s="106">
        <f ca="1">IF(AS582&lt;=0,Q_max,ABS(AS$23-AS588))</f>
        <v>236393</v>
      </c>
      <c r="AU589" s="9">
        <f ca="1">AS578</f>
        <v>446828.35884405411</v>
      </c>
    </row>
    <row r="590" spans="15:47" x14ac:dyDescent="0.25">
      <c r="O590" s="21"/>
      <c r="P590" s="14"/>
      <c r="Q590" s="21"/>
      <c r="R590" s="97"/>
      <c r="S590" s="106"/>
      <c r="T590" s="28"/>
      <c r="U590" s="97"/>
      <c r="V590" s="111"/>
      <c r="W590" s="28"/>
      <c r="X590" s="97"/>
      <c r="Y590" s="111"/>
      <c r="Z590" s="28"/>
      <c r="AA590" s="97"/>
      <c r="AB590" s="111"/>
      <c r="AC590" s="28"/>
      <c r="AD590" s="97"/>
      <c r="AE590" s="111"/>
      <c r="AF590" s="28"/>
      <c r="AG590" s="97"/>
      <c r="AH590" s="111"/>
      <c r="AI590" s="28"/>
      <c r="AJ590" s="97"/>
      <c r="AK590" s="111"/>
      <c r="AL590" s="28"/>
      <c r="AM590" s="97"/>
      <c r="AN590" s="111"/>
      <c r="AO590" s="28"/>
      <c r="AP590" s="97"/>
      <c r="AQ590" s="111"/>
      <c r="AR590" s="28"/>
      <c r="AS590" s="97"/>
      <c r="AT590" s="111"/>
      <c r="AU590" s="28"/>
    </row>
    <row r="591" spans="15:47" x14ac:dyDescent="0.25">
      <c r="O591" s="1"/>
      <c r="P591" s="1"/>
      <c r="Q591" s="1"/>
      <c r="R591" s="98"/>
      <c r="S591" s="108" t="s">
        <v>137</v>
      </c>
      <c r="T591" s="26" t="s">
        <v>146</v>
      </c>
      <c r="U591" s="98"/>
      <c r="V591" s="108" t="s">
        <v>137</v>
      </c>
      <c r="W591" s="26" t="s">
        <v>146</v>
      </c>
      <c r="X591" s="98"/>
      <c r="Y591" s="108" t="s">
        <v>137</v>
      </c>
      <c r="Z591" s="26" t="s">
        <v>146</v>
      </c>
      <c r="AA591" s="98"/>
      <c r="AB591" s="108" t="s">
        <v>137</v>
      </c>
      <c r="AC591" s="26" t="s">
        <v>146</v>
      </c>
      <c r="AD591" s="98"/>
      <c r="AE591" s="108" t="s">
        <v>137</v>
      </c>
      <c r="AF591" s="26" t="s">
        <v>146</v>
      </c>
      <c r="AG591" s="98"/>
      <c r="AH591" s="108" t="s">
        <v>137</v>
      </c>
      <c r="AI591" s="26" t="s">
        <v>146</v>
      </c>
      <c r="AJ591" s="98"/>
      <c r="AK591" s="108" t="s">
        <v>137</v>
      </c>
      <c r="AL591" s="26" t="s">
        <v>146</v>
      </c>
      <c r="AM591" s="98"/>
      <c r="AN591" s="108" t="s">
        <v>137</v>
      </c>
      <c r="AO591" s="26" t="s">
        <v>146</v>
      </c>
      <c r="AP591" s="98"/>
      <c r="AQ591" s="108" t="s">
        <v>137</v>
      </c>
      <c r="AR591" s="26" t="s">
        <v>146</v>
      </c>
      <c r="AS591" s="98"/>
      <c r="AT591" s="108" t="s">
        <v>137</v>
      </c>
      <c r="AU591" s="26" t="s">
        <v>146</v>
      </c>
    </row>
    <row r="592" spans="15:47" ht="13.8" x14ac:dyDescent="0.25">
      <c r="O592" s="20" t="s">
        <v>136</v>
      </c>
      <c r="P592" s="1"/>
      <c r="Q592" s="1"/>
      <c r="R592" s="96">
        <f>R578*1.02</f>
        <v>703.5476780176009</v>
      </c>
      <c r="S592" s="109" t="s">
        <v>144</v>
      </c>
      <c r="T592" s="23" t="s">
        <v>147</v>
      </c>
      <c r="U592" s="96">
        <f ca="1">U578*1.01</f>
        <v>17433.029920105371</v>
      </c>
      <c r="V592" s="109" t="s">
        <v>144</v>
      </c>
      <c r="W592" s="23" t="s">
        <v>147</v>
      </c>
      <c r="X592" s="96">
        <f ca="1">X578*1.01</f>
        <v>42687.08668049462</v>
      </c>
      <c r="Y592" s="109" t="s">
        <v>144</v>
      </c>
      <c r="Z592" s="23" t="s">
        <v>147</v>
      </c>
      <c r="AA592" s="96">
        <f ca="1">AA578*1.01</f>
        <v>83143.549170519254</v>
      </c>
      <c r="AB592" s="109" t="s">
        <v>144</v>
      </c>
      <c r="AC592" s="23" t="s">
        <v>147</v>
      </c>
      <c r="AD592" s="96">
        <f ca="1">AD578*1.01</f>
        <v>139489.01133448977</v>
      </c>
      <c r="AE592" s="109" t="s">
        <v>144</v>
      </c>
      <c r="AF592" s="23" t="s">
        <v>147</v>
      </c>
      <c r="AG592" s="96">
        <f ca="1">AG578*1.01</f>
        <v>203588.01118517618</v>
      </c>
      <c r="AH592" s="109" t="s">
        <v>144</v>
      </c>
      <c r="AI592" s="23" t="s">
        <v>147</v>
      </c>
      <c r="AJ592" s="96">
        <f ca="1">AJ578*1.01</f>
        <v>271688.99014923093</v>
      </c>
      <c r="AK592" s="109" t="s">
        <v>144</v>
      </c>
      <c r="AL592" s="23" t="s">
        <v>147</v>
      </c>
      <c r="AM592" s="96">
        <f ca="1">AM578*1.01</f>
        <v>331512.19974361284</v>
      </c>
      <c r="AN592" s="109" t="s">
        <v>144</v>
      </c>
      <c r="AO592" s="23" t="s">
        <v>147</v>
      </c>
      <c r="AP592" s="96">
        <f ca="1">AP578*1.01</f>
        <v>384875.37222875253</v>
      </c>
      <c r="AQ592" s="109" t="s">
        <v>144</v>
      </c>
      <c r="AR592" s="23" t="s">
        <v>147</v>
      </c>
      <c r="AS592" s="96">
        <f ca="1">AS578*1.01</f>
        <v>451296.64243249467</v>
      </c>
      <c r="AT592" s="109" t="s">
        <v>144</v>
      </c>
      <c r="AU592" s="23" t="s">
        <v>147</v>
      </c>
    </row>
    <row r="593" spans="15:47" x14ac:dyDescent="0.25">
      <c r="O593" s="1"/>
      <c r="P593" s="1"/>
      <c r="Q593" s="1"/>
      <c r="R593" s="98"/>
      <c r="S593" s="107"/>
      <c r="T593" s="1"/>
      <c r="U593" s="47"/>
      <c r="V593" s="107"/>
      <c r="W593" s="1"/>
      <c r="X593" s="47"/>
      <c r="Y593" s="107"/>
      <c r="Z593" s="1"/>
      <c r="AA593" s="47"/>
      <c r="AB593" s="107"/>
      <c r="AC593" s="1"/>
      <c r="AD593" s="47"/>
      <c r="AE593" s="107"/>
      <c r="AF593" s="1"/>
      <c r="AG593" s="47"/>
      <c r="AH593" s="107"/>
      <c r="AI593" s="1"/>
      <c r="AJ593" s="47"/>
      <c r="AK593" s="107"/>
      <c r="AL593" s="1"/>
      <c r="AM593" s="47"/>
      <c r="AN593" s="107"/>
      <c r="AO593" s="1"/>
      <c r="AP593" s="47"/>
      <c r="AQ593" s="107"/>
      <c r="AR593" s="1"/>
      <c r="AS593" s="47"/>
      <c r="AT593" s="107"/>
      <c r="AU593" s="1"/>
    </row>
    <row r="594" spans="15:47" x14ac:dyDescent="0.25">
      <c r="O594" s="8" t="s">
        <v>132</v>
      </c>
      <c r="P594" s="8"/>
      <c r="Q594" s="8"/>
      <c r="R594" s="96">
        <f>P_1_minQ-(R592^2*R_up)+dpup_minQ</f>
        <v>90.184950314870875</v>
      </c>
      <c r="S594" s="106"/>
      <c r="T594" s="22"/>
      <c r="U594" s="96">
        <f ca="1">P_1_minQ-(U592^2*R_up)+dpup_minQ</f>
        <v>90.129649519734031</v>
      </c>
      <c r="V594" s="107"/>
      <c r="W594" s="1"/>
      <c r="X594" s="96">
        <f ca="1">P_1_minQ-(X592^2*R_up)+dpup_minQ</f>
        <v>89.852926999953638</v>
      </c>
      <c r="Y594" s="107"/>
      <c r="Z594" s="1"/>
      <c r="AA594" s="96">
        <f ca="1">P_1_minQ-(AA592^2*R_up)+dpup_minQ</f>
        <v>88.925098232421405</v>
      </c>
      <c r="AB594" s="107"/>
      <c r="AC594" s="1"/>
      <c r="AD594" s="96">
        <f ca="1">P_1_minQ-(AD592^2*R_up)+dpup_minQ</f>
        <v>86.638756393415065</v>
      </c>
      <c r="AE594" s="107"/>
      <c r="AF594" s="1"/>
      <c r="AG594" s="96">
        <f ca="1">P_1_minQ-(AG592^2*R_up)+dpup_minQ</f>
        <v>82.6306760120668</v>
      </c>
      <c r="AH594" s="107"/>
      <c r="AI594" s="1"/>
      <c r="AJ594" s="96">
        <f ca="1">P_1_minQ-(AJ592^2*R_up)+dpup_minQ</f>
        <v>76.731468253083506</v>
      </c>
      <c r="AK594" s="107"/>
      <c r="AL594" s="1"/>
      <c r="AM594" s="96">
        <f ca="1">P_1_minQ-(AM592^2*R_up)+dpup_minQ</f>
        <v>70.154504679566202</v>
      </c>
      <c r="AN594" s="107"/>
      <c r="AO594" s="1"/>
      <c r="AP594" s="96">
        <f ca="1">P_1_minQ-(AP592^2*R_up)+dpup_minQ</f>
        <v>63.186904510367029</v>
      </c>
      <c r="AQ594" s="107"/>
      <c r="AR594" s="1"/>
      <c r="AS594" s="96">
        <f ca="1">P_1_minQ-(AS592^2*R_up)+dpup_minQ</f>
        <v>53.064205071995175</v>
      </c>
      <c r="AT594" s="107"/>
      <c r="AU594" s="1"/>
    </row>
    <row r="595" spans="15:47" x14ac:dyDescent="0.25">
      <c r="O595" s="8" t="s">
        <v>134</v>
      </c>
      <c r="P595" s="1"/>
      <c r="Q595" s="8"/>
      <c r="R595" s="97">
        <f>P_2_minQ+(R592^2*R_dn)-dpdn_minQ</f>
        <v>60</v>
      </c>
      <c r="S595" s="106"/>
      <c r="T595" s="22"/>
      <c r="U595" s="97">
        <f ca="1">P_2_minQ+(U592^2*R_dn)-dpdn_minQ</f>
        <v>60</v>
      </c>
      <c r="V595" s="107"/>
      <c r="W595" s="1"/>
      <c r="X595" s="97">
        <f ca="1">P_2_minQ+(X592^2*R_dn)-dpdn_minQ</f>
        <v>60</v>
      </c>
      <c r="Y595" s="107"/>
      <c r="Z595" s="1"/>
      <c r="AA595" s="97">
        <f ca="1">P_2_minQ+(AA592^2*R_dn)-dpdn_minQ</f>
        <v>60</v>
      </c>
      <c r="AB595" s="107"/>
      <c r="AC595" s="1"/>
      <c r="AD595" s="97">
        <f ca="1">P_2_minQ+(AD592^2*R_dn)-dpdn_minQ</f>
        <v>60</v>
      </c>
      <c r="AE595" s="107"/>
      <c r="AF595" s="1"/>
      <c r="AG595" s="97">
        <f ca="1">P_2_minQ+(AG592^2*R_dn)-dpdn_minQ</f>
        <v>60</v>
      </c>
      <c r="AH595" s="107"/>
      <c r="AI595" s="1"/>
      <c r="AJ595" s="97">
        <f ca="1">P_2_minQ+(AJ592^2*R_dn)-dpdn_minQ</f>
        <v>60</v>
      </c>
      <c r="AK595" s="107"/>
      <c r="AL595" s="1"/>
      <c r="AM595" s="97">
        <f ca="1">P_2_minQ+(AM592^2*R_dn)-dpdn_minQ</f>
        <v>60</v>
      </c>
      <c r="AN595" s="107"/>
      <c r="AO595" s="1"/>
      <c r="AP595" s="97">
        <f ca="1">P_2_minQ+(AP592^2*R_dn)-dpdn_minQ</f>
        <v>60</v>
      </c>
      <c r="AQ595" s="107"/>
      <c r="AR595" s="1"/>
      <c r="AS595" s="97">
        <f ca="1">P_2_minQ+(AS592^2*R_dn)-dpdn_minQ</f>
        <v>60</v>
      </c>
      <c r="AT595" s="107"/>
      <c r="AU595" s="1"/>
    </row>
    <row r="596" spans="15:47" x14ac:dyDescent="0.25">
      <c r="O596" s="8" t="s">
        <v>138</v>
      </c>
      <c r="P596" s="1"/>
      <c r="Q596" s="8"/>
      <c r="R596" s="97">
        <f>R594-R595</f>
        <v>30.184950314870875</v>
      </c>
      <c r="S596" s="106"/>
      <c r="T596" s="22"/>
      <c r="U596" s="97">
        <f ca="1">U594-U595</f>
        <v>30.129649519734031</v>
      </c>
      <c r="V596" s="110"/>
      <c r="W596" s="25"/>
      <c r="X596" s="97">
        <f ca="1">X594-X595</f>
        <v>29.852926999953638</v>
      </c>
      <c r="Y596" s="110"/>
      <c r="Z596" s="25"/>
      <c r="AA596" s="97">
        <f ca="1">AA594-AA595</f>
        <v>28.925098232421405</v>
      </c>
      <c r="AB596" s="110"/>
      <c r="AC596" s="25"/>
      <c r="AD596" s="97">
        <f ca="1">AD594-AD595</f>
        <v>26.638756393415065</v>
      </c>
      <c r="AE596" s="110"/>
      <c r="AF596" s="25"/>
      <c r="AG596" s="97">
        <f ca="1">AG594-AG595</f>
        <v>22.6306760120668</v>
      </c>
      <c r="AH596" s="110"/>
      <c r="AI596" s="25"/>
      <c r="AJ596" s="97">
        <f ca="1">AJ594-AJ595</f>
        <v>16.731468253083506</v>
      </c>
      <c r="AK596" s="110"/>
      <c r="AL596" s="25"/>
      <c r="AM596" s="97">
        <f ca="1">AM594-AM595</f>
        <v>10.154504679566202</v>
      </c>
      <c r="AN596" s="110"/>
      <c r="AO596" s="25"/>
      <c r="AP596" s="97">
        <f ca="1">AP594-AP595</f>
        <v>3.1869045103670288</v>
      </c>
      <c r="AQ596" s="110"/>
      <c r="AR596" s="25"/>
      <c r="AS596" s="97">
        <f ca="1">AS594-AS595</f>
        <v>-6.9357949280048246</v>
      </c>
      <c r="AT596" s="110"/>
      <c r="AU596" s="25"/>
    </row>
    <row r="597" spans="15:47" ht="14.4" x14ac:dyDescent="0.3">
      <c r="O597" s="2" t="s">
        <v>140</v>
      </c>
      <c r="P597" s="11"/>
      <c r="Q597" s="2"/>
      <c r="R597" s="96">
        <f>R596/R594</f>
        <v>0.33470052607983292</v>
      </c>
      <c r="S597" s="106"/>
      <c r="T597" s="22"/>
      <c r="U597" s="96">
        <f ca="1">U596/U594</f>
        <v>0.33429231867962711</v>
      </c>
      <c r="V597" s="111"/>
      <c r="W597" s="28"/>
      <c r="X597" s="96">
        <f ca="1">X596/X594</f>
        <v>0.33224212050397695</v>
      </c>
      <c r="Y597" s="111"/>
      <c r="Z597" s="28"/>
      <c r="AA597" s="96">
        <f ca="1">AA596/AA594</f>
        <v>0.32527485273978068</v>
      </c>
      <c r="AB597" s="111"/>
      <c r="AC597" s="28"/>
      <c r="AD597" s="96">
        <f ca="1">AD596/AD594</f>
        <v>0.30746928398247103</v>
      </c>
      <c r="AE597" s="111"/>
      <c r="AF597" s="28"/>
      <c r="AG597" s="96">
        <f ca="1">AG596/AG594</f>
        <v>0.27387741580090641</v>
      </c>
      <c r="AH597" s="111"/>
      <c r="AI597" s="28"/>
      <c r="AJ597" s="96">
        <f ca="1">AJ596/AJ594</f>
        <v>0.21805223637710255</v>
      </c>
      <c r="AK597" s="111"/>
      <c r="AL597" s="28"/>
      <c r="AM597" s="96">
        <f ca="1">AM596/AM594</f>
        <v>0.14474487028234823</v>
      </c>
      <c r="AN597" s="111"/>
      <c r="AO597" s="28"/>
      <c r="AP597" s="96">
        <f ca="1">AP596/AP594</f>
        <v>5.0436155008102286E-2</v>
      </c>
      <c r="AQ597" s="111"/>
      <c r="AR597" s="28"/>
      <c r="AS597" s="96">
        <f ca="1">AS596/AS594</f>
        <v>-0.13070571619031404</v>
      </c>
      <c r="AT597" s="111"/>
      <c r="AU597" s="28"/>
    </row>
    <row r="598" spans="15:47" x14ac:dyDescent="0.25">
      <c r="O598" s="2" t="s">
        <v>21</v>
      </c>
      <c r="P598" s="8">
        <v>12</v>
      </c>
      <c r="Q598" s="2"/>
      <c r="R598" s="96">
        <f ca="1">1-R597/(3*F_GAMMA*R$29)</f>
        <v>0.82568489796644529</v>
      </c>
      <c r="S598" s="106"/>
      <c r="T598" s="22"/>
      <c r="U598" s="96">
        <f ca="1">1-U597/(3*F_GAMMA*U$29)</f>
        <v>0.82593794275212873</v>
      </c>
      <c r="V598" s="111"/>
      <c r="W598" s="28"/>
      <c r="X598" s="96">
        <f ca="1">1-X597/(3*F_GAMMA*X$29)</f>
        <v>0.82535781683711851</v>
      </c>
      <c r="Y598" s="111"/>
      <c r="Z598" s="28"/>
      <c r="AA598" s="96">
        <f ca="1">1-AA597/(3*F_GAMMA*AA$29)</f>
        <v>0.82660999651495715</v>
      </c>
      <c r="AB598" s="111"/>
      <c r="AC598" s="28"/>
      <c r="AD598" s="96">
        <f ca="1">1-AD597/(3*F_GAMMA*AD$29)</f>
        <v>0.83101819620045592</v>
      </c>
      <c r="AE598" s="111"/>
      <c r="AF598" s="28"/>
      <c r="AG598" s="96">
        <f ca="1">1-AG597/(3*F_GAMMA*AG$29)</f>
        <v>0.84044779037453177</v>
      </c>
      <c r="AH598" s="111"/>
      <c r="AI598" s="28"/>
      <c r="AJ598" s="96">
        <f ca="1">1-AJ597/(3*F_GAMMA*AJ$29)</f>
        <v>0.86333284439533431</v>
      </c>
      <c r="AK598" s="111"/>
      <c r="AL598" s="28"/>
      <c r="AM598" s="96">
        <f ca="1">1-AM597/(3*F_GAMMA*AM$29)</f>
        <v>0.89856668577294307</v>
      </c>
      <c r="AN598" s="111"/>
      <c r="AO598" s="28"/>
      <c r="AP598" s="96">
        <f ca="1">1-AP597/(3*F_GAMMA*AP$29)</f>
        <v>0.97153112979150236</v>
      </c>
      <c r="AQ598" s="111"/>
      <c r="AR598" s="28"/>
      <c r="AS598" s="96">
        <f ca="1">1-AS597/(3*F_GAMMA*AS$29)</f>
        <v>1.1156616242022765</v>
      </c>
      <c r="AT598" s="111"/>
      <c r="AU598" s="28"/>
    </row>
    <row r="599" spans="15:47" x14ac:dyDescent="0.25">
      <c r="O599" s="2" t="s">
        <v>57</v>
      </c>
      <c r="P599" s="143">
        <v>7</v>
      </c>
      <c r="Q599" s="2"/>
      <c r="R599" s="96">
        <f ca="1">(R592/(N_9*R$27*R594*R598))*SQRT(M*'Valve Sizing'!$W$6*'Valve Sizing'!$G$8/R597)</f>
        <v>0.28412075439597151</v>
      </c>
      <c r="S599" s="107"/>
      <c r="T599" s="22"/>
      <c r="U599" s="96">
        <f ca="1">(U592/(N_9*U$27*U594*U598))*SQRT(M*'Valve Sizing'!$W$6*'Valve Sizing'!$G$8/U597)</f>
        <v>7.0512396456067039</v>
      </c>
      <c r="V599" s="111"/>
      <c r="W599" s="28"/>
      <c r="X599" s="96">
        <f ca="1">(X592/(N_9*X$27*X594*X598))*SQRT(M*'Valve Sizing'!$W$6*'Valve Sizing'!$G$8/X597)</f>
        <v>17.424654333877672</v>
      </c>
      <c r="Y599" s="111"/>
      <c r="Z599" s="28"/>
      <c r="AA599" s="96">
        <f ca="1">(AA592/(N_9*AA$27*AA594*AA598))*SQRT(M*'Valve Sizing'!$W$6*'Valve Sizing'!$G$8/AA597)</f>
        <v>34.81107423930758</v>
      </c>
      <c r="AB599" s="111"/>
      <c r="AC599" s="28"/>
      <c r="AD599" s="96">
        <f ca="1">(AD592/(N_9*AD$27*AD594*AD598))*SQRT(M*'Valve Sizing'!$W$6*'Valve Sizing'!$G$8/AD597)</f>
        <v>62.087248072912182</v>
      </c>
      <c r="AE599" s="111"/>
      <c r="AF599" s="28"/>
      <c r="AG599" s="96">
        <f ca="1">(AG592/(N_9*AG$27*AG594*AG598))*SQRT(M*'Valve Sizing'!$W$6*'Valve Sizing'!$G$8/AG597)</f>
        <v>101.78256314230752</v>
      </c>
      <c r="AH599" s="111"/>
      <c r="AI599" s="28"/>
      <c r="AJ599" s="96">
        <f ca="1">(AJ592/(N_9*AJ$27*AJ594*AJ598))*SQRT(M*'Valve Sizing'!$W$6*'Valve Sizing'!$G$8/AJ597)</f>
        <v>165.35387383827762</v>
      </c>
      <c r="AK599" s="111"/>
      <c r="AL599" s="28"/>
      <c r="AM599" s="96">
        <f ca="1">(AM592/(N_9*AM$27*AM594*AM598))*SQRT(M*'Valve Sizing'!$W$6*'Valve Sizing'!$G$8/AM597)</f>
        <v>276.11189710129452</v>
      </c>
      <c r="AN599" s="111"/>
      <c r="AO599" s="28"/>
      <c r="AP599" s="96">
        <f ca="1">(AP592/(N_9*AP$27*AP594*AP598))*SQRT(M*'Valve Sizing'!$W$6*'Valve Sizing'!$G$8/AP597)</f>
        <v>634.70931603980034</v>
      </c>
      <c r="AQ599" s="111"/>
      <c r="AR599" s="28"/>
      <c r="AS599" s="96" t="e">
        <f ca="1">(AS592/(N_9*AS$27*AS594*AS598))*SQRT(M*'Valve Sizing'!$W$6*'Valve Sizing'!$G$8/AS597)</f>
        <v>#NUM!</v>
      </c>
      <c r="AT599" s="111"/>
      <c r="AU599" s="28"/>
    </row>
    <row r="600" spans="15:47" x14ac:dyDescent="0.25">
      <c r="O600" s="2" t="s">
        <v>59</v>
      </c>
      <c r="P600" s="143">
        <v>7</v>
      </c>
      <c r="Q600" s="2"/>
      <c r="R600" s="96">
        <f ca="1">(R592/(N_9*R$27*R594*0.667))*SQRT(M*'Valve Sizing'!$W$6*'Valve Sizing'!$G$8/R601)</f>
        <v>0.25434288964535351</v>
      </c>
      <c r="S600" s="107"/>
      <c r="T600" s="22"/>
      <c r="U600" s="96">
        <f ca="1">(U592/(N_9*U$27*U594*0.667))*SQRT(M*'Valve Sizing'!$W$6*'Valve Sizing'!$G$8/U601)</f>
        <v>6.3095696985160652</v>
      </c>
      <c r="V600" s="111"/>
      <c r="W600" s="28"/>
      <c r="X600" s="96">
        <f ca="1">(X592/(N_9*X$27*X594*0.667))*SQRT(M*'Valve Sizing'!$W$6*'Valve Sizing'!$G$8/X601)</f>
        <v>15.606869880029102</v>
      </c>
      <c r="Y600" s="111"/>
      <c r="Z600" s="28"/>
      <c r="AA600" s="96">
        <f ca="1">(AA592/(N_9*AA$27*AA594*0.667))*SQRT(M*'Valve Sizing'!$W$6*'Valve Sizing'!$G$8/AA601)</f>
        <v>31.114648533086154</v>
      </c>
      <c r="AB600" s="111"/>
      <c r="AC600" s="28"/>
      <c r="AD600" s="96">
        <f ca="1">(AD592/(N_9*AD$27*AD594*0.667))*SQRT(M*'Valve Sizing'!$W$6*'Valve Sizing'!$G$8/AD601)</f>
        <v>55.076674309208045</v>
      </c>
      <c r="AE600" s="111"/>
      <c r="AF600" s="28"/>
      <c r="AG600" s="96">
        <f ca="1">(AG592/(N_9*AG$27*AG594*0.667))*SQRT(M*'Valve Sizing'!$W$6*'Valve Sizing'!$G$8/AG601)</f>
        <v>88.729968636918485</v>
      </c>
      <c r="AH600" s="111"/>
      <c r="AI600" s="28"/>
      <c r="AJ600" s="96">
        <f ca="1">(AJ592/(N_9*AJ$27*AJ594*0.667))*SQRT(M*'Valve Sizing'!$W$6*'Valve Sizing'!$G$8/AJ601)</f>
        <v>137.04383664938456</v>
      </c>
      <c r="AK600" s="111"/>
      <c r="AL600" s="28"/>
      <c r="AM600" s="96">
        <f ca="1">(AM592/(N_9*AM$27*AM594*0.667))*SQRT(M*'Valve Sizing'!$W$6*'Valve Sizing'!$G$8/AM601)</f>
        <v>205.19205191103291</v>
      </c>
      <c r="AN600" s="111"/>
      <c r="AO600" s="28"/>
      <c r="AP600" s="96">
        <f ca="1">(AP592/(N_9*AP$27*AP594*0.667))*SQRT(M*'Valve Sizing'!$W$6*'Valve Sizing'!$G$8/AP601)</f>
        <v>270.17894609391567</v>
      </c>
      <c r="AQ600" s="111"/>
      <c r="AR600" s="28"/>
      <c r="AS600" s="96">
        <f ca="1">(AS592/(N_9*AS$27*AS594*0.667))*SQRT(M*'Valve Sizing'!$W$6*'Valve Sizing'!$G$8/AS601)</f>
        <v>632.64363485751244</v>
      </c>
      <c r="AT600" s="111"/>
      <c r="AU600" s="28"/>
    </row>
    <row r="601" spans="15:47" ht="15.6" x14ac:dyDescent="0.35">
      <c r="O601" s="2" t="s">
        <v>68</v>
      </c>
      <c r="P601" s="143">
        <v>10</v>
      </c>
      <c r="Q601" s="2"/>
      <c r="R601" s="96">
        <f ca="1">F_GAMMA*R$29</f>
        <v>0.64002969751372984</v>
      </c>
      <c r="S601" s="107"/>
      <c r="T601" s="1"/>
      <c r="U601" s="96">
        <f ca="1">F_GAMMA*U$29</f>
        <v>0.64017842058782071</v>
      </c>
      <c r="V601" s="111"/>
      <c r="W601" s="28"/>
      <c r="X601" s="96">
        <f ca="1">F_GAMMA*X$29</f>
        <v>0.63413873724904268</v>
      </c>
      <c r="Y601" s="111"/>
      <c r="Z601" s="28"/>
      <c r="AA601" s="96">
        <f ca="1">F_GAMMA*AA$29</f>
        <v>0.62532411750377137</v>
      </c>
      <c r="AB601" s="111"/>
      <c r="AC601" s="28"/>
      <c r="AD601" s="96">
        <f ca="1">F_GAMMA*AD$29</f>
        <v>0.60651359509139569</v>
      </c>
      <c r="AE601" s="111"/>
      <c r="AF601" s="28"/>
      <c r="AG601" s="96">
        <f ca="1">F_GAMMA*AG$29</f>
        <v>0.57217930198481592</v>
      </c>
      <c r="AH601" s="111"/>
      <c r="AI601" s="28"/>
      <c r="AJ601" s="96">
        <f ca="1">F_GAMMA*AJ$29</f>
        <v>0.53183282018848232</v>
      </c>
      <c r="AK601" s="111"/>
      <c r="AL601" s="28"/>
      <c r="AM601" s="96">
        <f ca="1">F_GAMMA*AM$29</f>
        <v>0.47566512503094399</v>
      </c>
      <c r="AN601" s="111"/>
      <c r="AO601" s="28"/>
      <c r="AP601" s="96">
        <f ca="1">F_GAMMA*AP$29</f>
        <v>0.59054158265645496</v>
      </c>
      <c r="AQ601" s="111"/>
      <c r="AR601" s="28"/>
      <c r="AS601" s="96">
        <f ca="1">F_GAMMA*AS$29</f>
        <v>0.3766899554102966</v>
      </c>
      <c r="AT601" s="111"/>
      <c r="AU601" s="28"/>
    </row>
    <row r="602" spans="15:47" x14ac:dyDescent="0.25">
      <c r="O602" s="2" t="s">
        <v>145</v>
      </c>
      <c r="P602" s="12"/>
      <c r="Q602" s="2"/>
      <c r="R602" s="96">
        <f ca="1">IF(R597&lt;R601,R599,R600)</f>
        <v>0.28412075439597151</v>
      </c>
      <c r="S602" s="116"/>
      <c r="T602" s="1"/>
      <c r="U602" s="96">
        <f ca="1">IF(U597&lt;U601,U599,U600)</f>
        <v>7.0512396456067039</v>
      </c>
      <c r="V602" s="111"/>
      <c r="W602" s="28"/>
      <c r="X602" s="96">
        <f ca="1">IF(X597&lt;X601,X599,X600)</f>
        <v>17.424654333877672</v>
      </c>
      <c r="Y602" s="111"/>
      <c r="Z602" s="28"/>
      <c r="AA602" s="96">
        <f ca="1">IF(AA597&lt;AA601,AA599,AA600)</f>
        <v>34.81107423930758</v>
      </c>
      <c r="AB602" s="111"/>
      <c r="AC602" s="28"/>
      <c r="AD602" s="96">
        <f ca="1">IF(AD597&lt;AD601,AD599,AD600)</f>
        <v>62.087248072912182</v>
      </c>
      <c r="AE602" s="111"/>
      <c r="AF602" s="28"/>
      <c r="AG602" s="96">
        <f ca="1">IF(AG597&lt;AG601,AG599,AG600)</f>
        <v>101.78256314230752</v>
      </c>
      <c r="AH602" s="111"/>
      <c r="AI602" s="28"/>
      <c r="AJ602" s="96">
        <f ca="1">IF(AJ597&lt;AJ601,AJ599,AJ600)</f>
        <v>165.35387383827762</v>
      </c>
      <c r="AK602" s="111"/>
      <c r="AL602" s="28"/>
      <c r="AM602" s="96">
        <f ca="1">IF(AM597&lt;AM601,AM599,AM600)</f>
        <v>276.11189710129452</v>
      </c>
      <c r="AN602" s="111"/>
      <c r="AO602" s="28"/>
      <c r="AP602" s="96">
        <f ca="1">IF(AP597&lt;AP601,AP599,AP600)</f>
        <v>634.70931603980034</v>
      </c>
      <c r="AQ602" s="111"/>
      <c r="AR602" s="28"/>
      <c r="AS602" s="96" t="e">
        <f ca="1">IF(AS597&lt;AS601,AS599,AS600)</f>
        <v>#NUM!</v>
      </c>
      <c r="AT602" s="111"/>
      <c r="AU602" s="28"/>
    </row>
    <row r="603" spans="15:47" x14ac:dyDescent="0.25">
      <c r="O603" s="13" t="s">
        <v>143</v>
      </c>
      <c r="P603" s="1"/>
      <c r="Q603" s="1"/>
      <c r="R603" s="113"/>
      <c r="S603" s="106">
        <f ca="1">IF(R596&lt;=0,Q_max,ABS(R$23-R602))</f>
        <v>4.4458792456040293</v>
      </c>
      <c r="T603" s="7">
        <f>R592</f>
        <v>703.5476780176009</v>
      </c>
      <c r="U603" s="98"/>
      <c r="V603" s="106">
        <f ca="1">IF(U596&lt;=0,Q_max,ABS(U$23-U602))</f>
        <v>4.5487603543932957</v>
      </c>
      <c r="W603" s="9">
        <f ca="1">U592</f>
        <v>17433.029920105371</v>
      </c>
      <c r="X603" s="98"/>
      <c r="Y603" s="106">
        <f ca="1">IF(X596&lt;=0,Q_max,ABS(X$23-X602))</f>
        <v>5.5753456661223275</v>
      </c>
      <c r="Z603" s="9">
        <f ca="1">X592</f>
        <v>42687.08668049462</v>
      </c>
      <c r="AA603" s="98"/>
      <c r="AB603" s="106">
        <f ca="1">IF(AA596&lt;=0,Q_max,ABS(AA$23-AA602))</f>
        <v>4.588925760692419</v>
      </c>
      <c r="AC603" s="9">
        <f ca="1">AA592</f>
        <v>83143.549170519254</v>
      </c>
      <c r="AD603" s="98"/>
      <c r="AE603" s="106">
        <f ca="1">IF(AD596&lt;=0,Q_max,ABS(AD$23-AD602))</f>
        <v>1.0872480729121818</v>
      </c>
      <c r="AF603" s="9">
        <f ca="1">AD592</f>
        <v>139489.01133448977</v>
      </c>
      <c r="AG603" s="98"/>
      <c r="AH603" s="106">
        <f ca="1">IF(AG596&lt;=0,Q_max,ABS(AG$23-AG602))</f>
        <v>13.582563142307521</v>
      </c>
      <c r="AI603" s="9">
        <f ca="1">AG592</f>
        <v>203588.01118517618</v>
      </c>
      <c r="AJ603" s="98"/>
      <c r="AK603" s="106">
        <f ca="1">IF(AJ596&lt;=0,Q_max,ABS(AJ$23-AJ602))</f>
        <v>44.353873838277622</v>
      </c>
      <c r="AL603" s="9">
        <f ca="1">AJ592</f>
        <v>271688.99014923093</v>
      </c>
      <c r="AM603" s="98"/>
      <c r="AN603" s="106">
        <f ca="1">IF(AM596&lt;=0,Q_max,ABS(AM$23-AM602))</f>
        <v>111.11189710129452</v>
      </c>
      <c r="AO603" s="9">
        <f ca="1">AM592</f>
        <v>331512.19974361284</v>
      </c>
      <c r="AP603" s="98"/>
      <c r="AQ603" s="106">
        <f ca="1">IF(AP596&lt;=0,Q_max,ABS(AP$23-AP602))</f>
        <v>388.70931603980034</v>
      </c>
      <c r="AR603" s="9">
        <f ca="1">AP592</f>
        <v>384875.37222875253</v>
      </c>
      <c r="AS603" s="98"/>
      <c r="AT603" s="106">
        <f ca="1">IF(AS596&lt;=0,Q_max,ABS(AS$23-AS602))</f>
        <v>236393</v>
      </c>
      <c r="AU603" s="9">
        <f ca="1">AS592</f>
        <v>451296.64243249467</v>
      </c>
    </row>
    <row r="604" spans="15:47" x14ac:dyDescent="0.25">
      <c r="O604" s="21"/>
      <c r="P604" s="14"/>
      <c r="Q604" s="21"/>
      <c r="R604" s="97"/>
      <c r="S604" s="106"/>
      <c r="T604" s="28"/>
      <c r="U604" s="97"/>
      <c r="V604" s="111"/>
      <c r="W604" s="28"/>
      <c r="X604" s="97"/>
      <c r="Y604" s="111"/>
      <c r="Z604" s="28"/>
      <c r="AA604" s="97"/>
      <c r="AB604" s="111"/>
      <c r="AC604" s="28"/>
      <c r="AD604" s="97"/>
      <c r="AE604" s="111"/>
      <c r="AF604" s="28"/>
      <c r="AG604" s="97"/>
      <c r="AH604" s="111"/>
      <c r="AI604" s="28"/>
      <c r="AJ604" s="97"/>
      <c r="AK604" s="111"/>
      <c r="AL604" s="28"/>
      <c r="AM604" s="97"/>
      <c r="AN604" s="111"/>
      <c r="AO604" s="28"/>
      <c r="AP604" s="97"/>
      <c r="AQ604" s="111"/>
      <c r="AR604" s="28"/>
      <c r="AS604" s="97"/>
      <c r="AT604" s="111"/>
      <c r="AU604" s="28"/>
    </row>
    <row r="605" spans="15:47" x14ac:dyDescent="0.25">
      <c r="O605" s="1"/>
      <c r="P605" s="1"/>
      <c r="Q605" s="1"/>
      <c r="R605" s="98"/>
      <c r="S605" s="108" t="s">
        <v>137</v>
      </c>
      <c r="T605" s="26" t="s">
        <v>146</v>
      </c>
      <c r="U605" s="98"/>
      <c r="V605" s="108" t="s">
        <v>137</v>
      </c>
      <c r="W605" s="26" t="s">
        <v>146</v>
      </c>
      <c r="X605" s="98"/>
      <c r="Y605" s="108" t="s">
        <v>137</v>
      </c>
      <c r="Z605" s="26" t="s">
        <v>146</v>
      </c>
      <c r="AA605" s="98"/>
      <c r="AB605" s="108" t="s">
        <v>137</v>
      </c>
      <c r="AC605" s="26" t="s">
        <v>146</v>
      </c>
      <c r="AD605" s="98"/>
      <c r="AE605" s="108" t="s">
        <v>137</v>
      </c>
      <c r="AF605" s="26" t="s">
        <v>146</v>
      </c>
      <c r="AG605" s="98"/>
      <c r="AH605" s="108" t="s">
        <v>137</v>
      </c>
      <c r="AI605" s="26" t="s">
        <v>146</v>
      </c>
      <c r="AJ605" s="98"/>
      <c r="AK605" s="108" t="s">
        <v>137</v>
      </c>
      <c r="AL605" s="26" t="s">
        <v>146</v>
      </c>
      <c r="AM605" s="98"/>
      <c r="AN605" s="108" t="s">
        <v>137</v>
      </c>
      <c r="AO605" s="26" t="s">
        <v>146</v>
      </c>
      <c r="AP605" s="98"/>
      <c r="AQ605" s="108" t="s">
        <v>137</v>
      </c>
      <c r="AR605" s="26" t="s">
        <v>146</v>
      </c>
      <c r="AS605" s="98"/>
      <c r="AT605" s="108" t="s">
        <v>137</v>
      </c>
      <c r="AU605" s="26" t="s">
        <v>146</v>
      </c>
    </row>
    <row r="606" spans="15:47" ht="13.8" x14ac:dyDescent="0.25">
      <c r="O606" s="20" t="s">
        <v>136</v>
      </c>
      <c r="P606" s="1"/>
      <c r="Q606" s="1"/>
      <c r="R606" s="96">
        <f>R592*1.02</f>
        <v>717.6186315779529</v>
      </c>
      <c r="S606" s="109" t="s">
        <v>144</v>
      </c>
      <c r="T606" s="23" t="s">
        <v>147</v>
      </c>
      <c r="U606" s="96">
        <f ca="1">U592*1.01</f>
        <v>17607.360219306425</v>
      </c>
      <c r="V606" s="109" t="s">
        <v>144</v>
      </c>
      <c r="W606" s="23" t="s">
        <v>147</v>
      </c>
      <c r="X606" s="96">
        <f ca="1">X592*1.01</f>
        <v>43113.957547299564</v>
      </c>
      <c r="Y606" s="109" t="s">
        <v>144</v>
      </c>
      <c r="Z606" s="23" t="s">
        <v>147</v>
      </c>
      <c r="AA606" s="96">
        <f ca="1">AA592*1.01</f>
        <v>83974.984662224451</v>
      </c>
      <c r="AB606" s="109" t="s">
        <v>144</v>
      </c>
      <c r="AC606" s="23" t="s">
        <v>147</v>
      </c>
      <c r="AD606" s="96">
        <f ca="1">AD592*1.01</f>
        <v>140883.90144783468</v>
      </c>
      <c r="AE606" s="109" t="s">
        <v>144</v>
      </c>
      <c r="AF606" s="23" t="s">
        <v>147</v>
      </c>
      <c r="AG606" s="96">
        <f ca="1">AG592*1.01</f>
        <v>205623.89129702793</v>
      </c>
      <c r="AH606" s="109" t="s">
        <v>144</v>
      </c>
      <c r="AI606" s="23" t="s">
        <v>147</v>
      </c>
      <c r="AJ606" s="96">
        <f ca="1">AJ592*1.01</f>
        <v>274405.88005072327</v>
      </c>
      <c r="AK606" s="109" t="s">
        <v>144</v>
      </c>
      <c r="AL606" s="23" t="s">
        <v>147</v>
      </c>
      <c r="AM606" s="96">
        <f ca="1">AM592*1.01</f>
        <v>334827.321741049</v>
      </c>
      <c r="AN606" s="109" t="s">
        <v>144</v>
      </c>
      <c r="AO606" s="23" t="s">
        <v>147</v>
      </c>
      <c r="AP606" s="96">
        <f ca="1">AP592*1.01</f>
        <v>388724.12595104007</v>
      </c>
      <c r="AQ606" s="109" t="s">
        <v>144</v>
      </c>
      <c r="AR606" s="23" t="s">
        <v>147</v>
      </c>
      <c r="AS606" s="96">
        <f ca="1">AS592*1.01</f>
        <v>455809.60885681963</v>
      </c>
      <c r="AT606" s="109" t="s">
        <v>144</v>
      </c>
      <c r="AU606" s="23" t="s">
        <v>147</v>
      </c>
    </row>
    <row r="607" spans="15:47" x14ac:dyDescent="0.25">
      <c r="O607" s="1"/>
      <c r="P607" s="1"/>
      <c r="Q607" s="1"/>
      <c r="R607" s="98"/>
      <c r="S607" s="107"/>
      <c r="T607" s="1"/>
      <c r="U607" s="47"/>
      <c r="V607" s="107"/>
      <c r="W607" s="1"/>
      <c r="X607" s="47"/>
      <c r="Y607" s="107"/>
      <c r="Z607" s="1"/>
      <c r="AA607" s="47"/>
      <c r="AB607" s="107"/>
      <c r="AC607" s="1"/>
      <c r="AD607" s="47"/>
      <c r="AE607" s="107"/>
      <c r="AF607" s="1"/>
      <c r="AG607" s="47"/>
      <c r="AH607" s="107"/>
      <c r="AI607" s="1"/>
      <c r="AJ607" s="47"/>
      <c r="AK607" s="107"/>
      <c r="AL607" s="1"/>
      <c r="AM607" s="47"/>
      <c r="AN607" s="107"/>
      <c r="AO607" s="1"/>
      <c r="AP607" s="47"/>
      <c r="AQ607" s="107"/>
      <c r="AR607" s="1"/>
      <c r="AS607" s="47"/>
      <c r="AT607" s="107"/>
      <c r="AU607" s="1"/>
    </row>
    <row r="608" spans="15:47" x14ac:dyDescent="0.25">
      <c r="O608" s="8" t="s">
        <v>132</v>
      </c>
      <c r="P608" s="8"/>
      <c r="Q608" s="8"/>
      <c r="R608" s="96">
        <f>P_1_minQ-(R606^2*R_up)+dpup_minQ</f>
        <v>90.184946670169339</v>
      </c>
      <c r="S608" s="106"/>
      <c r="T608" s="22"/>
      <c r="U608" s="96">
        <f ca="1">P_1_minQ-(U606^2*R_up)+dpup_minQ</f>
        <v>90.128536160422541</v>
      </c>
      <c r="V608" s="107"/>
      <c r="W608" s="1"/>
      <c r="X608" s="96">
        <f ca="1">P_1_minQ-(X606^2*R_up)+dpup_minQ</f>
        <v>89.84625151799456</v>
      </c>
      <c r="Y608" s="107"/>
      <c r="Z608" s="1"/>
      <c r="AA608" s="96">
        <f ca="1">P_1_minQ-(AA606^2*R_up)+dpup_minQ</f>
        <v>88.899773392234948</v>
      </c>
      <c r="AB608" s="107"/>
      <c r="AC608" s="1"/>
      <c r="AD608" s="96">
        <f ca="1">P_1_minQ-(AD606^2*R_up)+dpup_minQ</f>
        <v>86.567476082264562</v>
      </c>
      <c r="AE608" s="107"/>
      <c r="AF608" s="1"/>
      <c r="AG608" s="96">
        <f ca="1">P_1_minQ-(AG606^2*R_up)+dpup_minQ</f>
        <v>82.478833285251213</v>
      </c>
      <c r="AH608" s="107"/>
      <c r="AI608" s="1"/>
      <c r="AJ608" s="96">
        <f ca="1">P_1_minQ-(AJ606^2*R_up)+dpup_minQ</f>
        <v>76.46105145031234</v>
      </c>
      <c r="AK608" s="107"/>
      <c r="AL608" s="1"/>
      <c r="AM608" s="96">
        <f ca="1">P_1_minQ-(AM606^2*R_up)+dpup_minQ</f>
        <v>69.75189090896734</v>
      </c>
      <c r="AN608" s="107"/>
      <c r="AO608" s="1"/>
      <c r="AP608" s="96">
        <f ca="1">P_1_minQ-(AP606^2*R_up)+dpup_minQ</f>
        <v>62.644241976367269</v>
      </c>
      <c r="AQ608" s="107"/>
      <c r="AR608" s="1"/>
      <c r="AS608" s="96">
        <f ca="1">P_1_minQ-(AS606^2*R_up)+dpup_minQ</f>
        <v>52.318076279284142</v>
      </c>
      <c r="AT608" s="107"/>
      <c r="AU608" s="1"/>
    </row>
    <row r="609" spans="15:47" x14ac:dyDescent="0.25">
      <c r="O609" s="8" t="s">
        <v>134</v>
      </c>
      <c r="P609" s="1"/>
      <c r="Q609" s="8"/>
      <c r="R609" s="97">
        <f>P_2_minQ+(R606^2*R_dn)-dpdn_minQ</f>
        <v>60</v>
      </c>
      <c r="S609" s="106"/>
      <c r="T609" s="22"/>
      <c r="U609" s="97">
        <f ca="1">P_2_minQ+(U606^2*R_dn)-dpdn_minQ</f>
        <v>60</v>
      </c>
      <c r="V609" s="107"/>
      <c r="W609" s="1"/>
      <c r="X609" s="97">
        <f ca="1">P_2_minQ+(X606^2*R_dn)-dpdn_minQ</f>
        <v>60</v>
      </c>
      <c r="Y609" s="107"/>
      <c r="Z609" s="1"/>
      <c r="AA609" s="97">
        <f ca="1">P_2_minQ+(AA606^2*R_dn)-dpdn_minQ</f>
        <v>60</v>
      </c>
      <c r="AB609" s="107"/>
      <c r="AC609" s="1"/>
      <c r="AD609" s="97">
        <f ca="1">P_2_minQ+(AD606^2*R_dn)-dpdn_minQ</f>
        <v>60</v>
      </c>
      <c r="AE609" s="107"/>
      <c r="AF609" s="1"/>
      <c r="AG609" s="97">
        <f ca="1">P_2_minQ+(AG606^2*R_dn)-dpdn_minQ</f>
        <v>60</v>
      </c>
      <c r="AH609" s="107"/>
      <c r="AI609" s="1"/>
      <c r="AJ609" s="97">
        <f ca="1">P_2_minQ+(AJ606^2*R_dn)-dpdn_minQ</f>
        <v>60</v>
      </c>
      <c r="AK609" s="107"/>
      <c r="AL609" s="1"/>
      <c r="AM609" s="97">
        <f ca="1">P_2_minQ+(AM606^2*R_dn)-dpdn_minQ</f>
        <v>60</v>
      </c>
      <c r="AN609" s="107"/>
      <c r="AO609" s="1"/>
      <c r="AP609" s="97">
        <f ca="1">P_2_minQ+(AP606^2*R_dn)-dpdn_minQ</f>
        <v>60</v>
      </c>
      <c r="AQ609" s="107"/>
      <c r="AR609" s="1"/>
      <c r="AS609" s="97">
        <f ca="1">P_2_minQ+(AS606^2*R_dn)-dpdn_minQ</f>
        <v>60</v>
      </c>
      <c r="AT609" s="107"/>
      <c r="AU609" s="1"/>
    </row>
    <row r="610" spans="15:47" x14ac:dyDescent="0.25">
      <c r="O610" s="8" t="s">
        <v>138</v>
      </c>
      <c r="P610" s="1"/>
      <c r="Q610" s="8"/>
      <c r="R610" s="97">
        <f>R608-R609</f>
        <v>30.184946670169339</v>
      </c>
      <c r="S610" s="106"/>
      <c r="T610" s="22"/>
      <c r="U610" s="97">
        <f ca="1">U608-U609</f>
        <v>30.128536160422541</v>
      </c>
      <c r="V610" s="110"/>
      <c r="W610" s="25"/>
      <c r="X610" s="97">
        <f ca="1">X608-X609</f>
        <v>29.84625151799456</v>
      </c>
      <c r="Y610" s="110"/>
      <c r="Z610" s="25"/>
      <c r="AA610" s="97">
        <f ca="1">AA608-AA609</f>
        <v>28.899773392234948</v>
      </c>
      <c r="AB610" s="110"/>
      <c r="AC610" s="25"/>
      <c r="AD610" s="97">
        <f ca="1">AD608-AD609</f>
        <v>26.567476082264562</v>
      </c>
      <c r="AE610" s="110"/>
      <c r="AF610" s="25"/>
      <c r="AG610" s="97">
        <f ca="1">AG608-AG609</f>
        <v>22.478833285251213</v>
      </c>
      <c r="AH610" s="110"/>
      <c r="AI610" s="25"/>
      <c r="AJ610" s="97">
        <f ca="1">AJ608-AJ609</f>
        <v>16.46105145031234</v>
      </c>
      <c r="AK610" s="110"/>
      <c r="AL610" s="25"/>
      <c r="AM610" s="97">
        <f ca="1">AM608-AM609</f>
        <v>9.75189090896734</v>
      </c>
      <c r="AN610" s="110"/>
      <c r="AO610" s="25"/>
      <c r="AP610" s="97">
        <f ca="1">AP608-AP609</f>
        <v>2.6442419763672689</v>
      </c>
      <c r="AQ610" s="110"/>
      <c r="AR610" s="25"/>
      <c r="AS610" s="97">
        <f ca="1">AS608-AS609</f>
        <v>-7.6819237207158579</v>
      </c>
      <c r="AT610" s="110"/>
      <c r="AU610" s="25"/>
    </row>
    <row r="611" spans="15:47" ht="14.4" x14ac:dyDescent="0.3">
      <c r="O611" s="2" t="s">
        <v>140</v>
      </c>
      <c r="P611" s="11"/>
      <c r="Q611" s="2"/>
      <c r="R611" s="96">
        <f>R610/R608</f>
        <v>0.33470049919266265</v>
      </c>
      <c r="S611" s="106"/>
      <c r="T611" s="22"/>
      <c r="U611" s="96">
        <f ca="1">U610/U608</f>
        <v>0.33428409518152874</v>
      </c>
      <c r="V611" s="111"/>
      <c r="W611" s="28"/>
      <c r="X611" s="96">
        <f ca="1">X610/X608</f>
        <v>0.33219250679608936</v>
      </c>
      <c r="Y611" s="111"/>
      <c r="Z611" s="28"/>
      <c r="AA611" s="96">
        <f ca="1">AA610/AA608</f>
        <v>0.32508264407746207</v>
      </c>
      <c r="AB611" s="111"/>
      <c r="AC611" s="28"/>
      <c r="AD611" s="96">
        <f ca="1">AD610/AD608</f>
        <v>0.30689904898021569</v>
      </c>
      <c r="AE611" s="111"/>
      <c r="AF611" s="28"/>
      <c r="AG611" s="96">
        <f ca="1">AG610/AG608</f>
        <v>0.27254063121272176</v>
      </c>
      <c r="AH611" s="111"/>
      <c r="AI611" s="28"/>
      <c r="AJ611" s="96">
        <f ca="1">AJ610/AJ608</f>
        <v>0.21528675238018974</v>
      </c>
      <c r="AK611" s="111"/>
      <c r="AL611" s="28"/>
      <c r="AM611" s="96">
        <f ca="1">AM610/AM608</f>
        <v>0.13980826586757997</v>
      </c>
      <c r="AN611" s="111"/>
      <c r="AO611" s="28"/>
      <c r="AP611" s="96">
        <f ca="1">AP610/AP608</f>
        <v>4.2210455309920063E-2</v>
      </c>
      <c r="AQ611" s="111"/>
      <c r="AR611" s="28"/>
      <c r="AS611" s="96">
        <f ca="1">AS610/AS608</f>
        <v>-0.14683115792920681</v>
      </c>
      <c r="AT611" s="111"/>
      <c r="AU611" s="28"/>
    </row>
    <row r="612" spans="15:47" x14ac:dyDescent="0.25">
      <c r="O612" s="2" t="s">
        <v>21</v>
      </c>
      <c r="P612" s="8">
        <v>12</v>
      </c>
      <c r="Q612" s="2"/>
      <c r="R612" s="96">
        <f ca="1">1-R611/(3*F_GAMMA*R$29)</f>
        <v>0.82568491196952998</v>
      </c>
      <c r="S612" s="106"/>
      <c r="T612" s="22"/>
      <c r="U612" s="96">
        <f ca="1">1-U611/(3*F_GAMMA*U$29)</f>
        <v>0.82594222463034372</v>
      </c>
      <c r="V612" s="111"/>
      <c r="W612" s="28"/>
      <c r="X612" s="96">
        <f ca="1">1-X611/(3*F_GAMMA*X$29)</f>
        <v>0.82538389615014229</v>
      </c>
      <c r="Y612" s="111"/>
      <c r="Z612" s="28"/>
      <c r="AA612" s="96">
        <f ca="1">1-AA611/(3*F_GAMMA*AA$29)</f>
        <v>0.82671245466795784</v>
      </c>
      <c r="AB612" s="111"/>
      <c r="AC612" s="28"/>
      <c r="AD612" s="96">
        <f ca="1">1-AD611/(3*F_GAMMA*AD$29)</f>
        <v>0.83133159121026845</v>
      </c>
      <c r="AE612" s="111"/>
      <c r="AF612" s="28"/>
      <c r="AG612" s="96">
        <f ca="1">1-AG611/(3*F_GAMMA*AG$29)</f>
        <v>0.84122655825582782</v>
      </c>
      <c r="AH612" s="111"/>
      <c r="AI612" s="28"/>
      <c r="AJ612" s="96">
        <f ca="1">1-AJ611/(3*F_GAMMA*AJ$29)</f>
        <v>0.86506614847883223</v>
      </c>
      <c r="AK612" s="111"/>
      <c r="AL612" s="28"/>
      <c r="AM612" s="96">
        <f ca="1">1-AM611/(3*F_GAMMA*AM$29)</f>
        <v>0.90202612544663308</v>
      </c>
      <c r="AN612" s="111"/>
      <c r="AO612" s="28"/>
      <c r="AP612" s="96">
        <f ca="1">1-AP611/(3*F_GAMMA*AP$29)</f>
        <v>0.97617415575262101</v>
      </c>
      <c r="AQ612" s="111"/>
      <c r="AR612" s="28"/>
      <c r="AS612" s="96">
        <f ca="1">1-AS611/(3*F_GAMMA*AS$29)</f>
        <v>1.1299310443689037</v>
      </c>
      <c r="AT612" s="111"/>
      <c r="AU612" s="28"/>
    </row>
    <row r="613" spans="15:47" x14ac:dyDescent="0.25">
      <c r="O613" s="2" t="s">
        <v>57</v>
      </c>
      <c r="P613" s="143">
        <v>7</v>
      </c>
      <c r="Q613" s="2"/>
      <c r="R613" s="96">
        <f ca="1">(R606/(N_9*R$27*R608*R612))*SQRT(M*'Valve Sizing'!$W$6*'Valve Sizing'!$G$8/R611)</f>
        <v>0.28980318792125342</v>
      </c>
      <c r="S613" s="107"/>
      <c r="T613" s="22"/>
      <c r="U613" s="96">
        <f ca="1">(U606/(N_9*U$27*U608*U612))*SQRT(M*'Valve Sizing'!$W$6*'Valve Sizing'!$G$8/U611)</f>
        <v>7.1218906946998022</v>
      </c>
      <c r="V613" s="111"/>
      <c r="W613" s="28"/>
      <c r="X613" s="96">
        <f ca="1">(X606/(N_9*X$27*X608*X612))*SQRT(M*'Valve Sizing'!$W$6*'Valve Sizing'!$G$8/X611)</f>
        <v>17.600966575563849</v>
      </c>
      <c r="Y613" s="111"/>
      <c r="Z613" s="28"/>
      <c r="AA613" s="96">
        <f ca="1">(AA606/(N_9*AA$27*AA608*AA612))*SQRT(M*'Valve Sizing'!$W$6*'Valve Sizing'!$G$8/AA611)</f>
        <v>35.175236350248106</v>
      </c>
      <c r="AB613" s="111"/>
      <c r="AC613" s="28"/>
      <c r="AD613" s="96">
        <f ca="1">(AD606/(N_9*AD$27*AD608*AD612))*SQRT(M*'Valve Sizing'!$W$6*'Valve Sizing'!$G$8/AD611)</f>
        <v>62.794352225847085</v>
      </c>
      <c r="AE613" s="111"/>
      <c r="AF613" s="28"/>
      <c r="AG613" s="96">
        <f ca="1">(AG606/(N_9*AG$27*AG608*AG612))*SQRT(M*'Valve Sizing'!$W$6*'Valve Sizing'!$G$8/AG611)</f>
        <v>103.14633479293664</v>
      </c>
      <c r="AH613" s="111"/>
      <c r="AI613" s="28"/>
      <c r="AJ613" s="96">
        <f ca="1">(AJ606/(N_9*AJ$27*AJ608*AJ612))*SQRT(M*'Valve Sizing'!$W$6*'Valve Sizing'!$G$8/AJ611)</f>
        <v>168.33311314889247</v>
      </c>
      <c r="AK613" s="111"/>
      <c r="AL613" s="28"/>
      <c r="AM613" s="96">
        <f ca="1">(AM606/(N_9*AM$27*AM608*AM612))*SQRT(M*'Valve Sizing'!$W$6*'Valve Sizing'!$G$8/AM611)</f>
        <v>284.29710291924289</v>
      </c>
      <c r="AN613" s="111"/>
      <c r="AO613" s="28"/>
      <c r="AP613" s="96">
        <f ca="1">(AP606/(N_9*AP$27*AP608*AP612))*SQRT(M*'Valve Sizing'!$W$6*'Valve Sizing'!$G$8/AP611)</f>
        <v>703.44889293205779</v>
      </c>
      <c r="AQ613" s="111"/>
      <c r="AR613" s="28"/>
      <c r="AS613" s="96" t="e">
        <f ca="1">(AS606/(N_9*AS$27*AS608*AS612))*SQRT(M*'Valve Sizing'!$W$6*'Valve Sizing'!$G$8/AS611)</f>
        <v>#NUM!</v>
      </c>
      <c r="AT613" s="111"/>
      <c r="AU613" s="28"/>
    </row>
    <row r="614" spans="15:47" x14ac:dyDescent="0.25">
      <c r="O614" s="2" t="s">
        <v>59</v>
      </c>
      <c r="P614" s="143">
        <v>7</v>
      </c>
      <c r="Q614" s="2"/>
      <c r="R614" s="96">
        <f ca="1">(R606/(N_9*R$27*R608*0.667))*SQRT(M*'Valve Sizing'!$W$6*'Valve Sizing'!$G$8/R615)</f>
        <v>0.25942975792275974</v>
      </c>
      <c r="S614" s="107"/>
      <c r="T614" s="22"/>
      <c r="U614" s="96">
        <f ca="1">(U606/(N_9*U$27*U608*0.667))*SQRT(M*'Valve Sizing'!$W$6*'Valve Sizing'!$G$8/U615)</f>
        <v>6.3727441171432195</v>
      </c>
      <c r="V614" s="111"/>
      <c r="W614" s="28"/>
      <c r="X614" s="96">
        <f ca="1">(X606/(N_9*X$27*X608*0.667))*SQRT(M*'Valve Sizing'!$W$6*'Valve Sizing'!$G$8/X615)</f>
        <v>15.764109748581355</v>
      </c>
      <c r="Y614" s="111"/>
      <c r="Z614" s="28"/>
      <c r="AA614" s="96">
        <f ca="1">(AA606/(N_9*AA$27*AA608*0.667))*SQRT(M*'Valve Sizing'!$W$6*'Valve Sizing'!$G$8/AA615)</f>
        <v>31.4347472711192</v>
      </c>
      <c r="AB614" s="111"/>
      <c r="AC614" s="28"/>
      <c r="AD614" s="96">
        <f ca="1">(AD606/(N_9*AD$27*AD608*0.667))*SQRT(M*'Valve Sizing'!$W$6*'Valve Sizing'!$G$8/AD615)</f>
        <v>55.673245105810331</v>
      </c>
      <c r="AE614" s="111"/>
      <c r="AF614" s="28"/>
      <c r="AG614" s="96">
        <f ca="1">(AG606/(N_9*AG$27*AG608*0.667))*SQRT(M*'Valve Sizing'!$W$6*'Valve Sizing'!$G$8/AG615)</f>
        <v>89.782252839313855</v>
      </c>
      <c r="AH614" s="111"/>
      <c r="AI614" s="28"/>
      <c r="AJ614" s="96">
        <f ca="1">(AJ606/(N_9*AJ$27*AJ608*0.667))*SQRT(M*'Valve Sizing'!$W$6*'Valve Sizing'!$G$8/AJ615)</f>
        <v>138.90379935536524</v>
      </c>
      <c r="AK614" s="111"/>
      <c r="AL614" s="28"/>
      <c r="AM614" s="96">
        <f ca="1">(AM606/(N_9*AM$27*AM608*0.667))*SQRT(M*'Valve Sizing'!$W$6*'Valve Sizing'!$G$8/AM615)</f>
        <v>208.44020203892737</v>
      </c>
      <c r="AN614" s="111"/>
      <c r="AO614" s="28"/>
      <c r="AP614" s="96">
        <f ca="1">(AP606/(N_9*AP$27*AP608*0.667))*SQRT(M*'Valve Sizing'!$W$6*'Valve Sizing'!$G$8/AP615)</f>
        <v>275.24459449486375</v>
      </c>
      <c r="AQ614" s="111"/>
      <c r="AR614" s="28"/>
      <c r="AS614" s="96">
        <f ca="1">(AS606/(N_9*AS$27*AS608*0.667))*SQRT(M*'Valve Sizing'!$W$6*'Valve Sizing'!$G$8/AS615)</f>
        <v>648.08267628855424</v>
      </c>
      <c r="AT614" s="111"/>
      <c r="AU614" s="28"/>
    </row>
    <row r="615" spans="15:47" ht="15.6" x14ac:dyDescent="0.35">
      <c r="O615" s="2" t="s">
        <v>68</v>
      </c>
      <c r="P615" s="143">
        <v>10</v>
      </c>
      <c r="Q615" s="2"/>
      <c r="R615" s="96">
        <f ca="1">F_GAMMA*R$29</f>
        <v>0.64002969751372984</v>
      </c>
      <c r="S615" s="107"/>
      <c r="T615" s="1"/>
      <c r="U615" s="96">
        <f ca="1">F_GAMMA*U$29</f>
        <v>0.64017842058782071</v>
      </c>
      <c r="V615" s="111"/>
      <c r="W615" s="28"/>
      <c r="X615" s="96">
        <f ca="1">F_GAMMA*X$29</f>
        <v>0.63413873724904268</v>
      </c>
      <c r="Y615" s="111"/>
      <c r="Z615" s="28"/>
      <c r="AA615" s="96">
        <f ca="1">F_GAMMA*AA$29</f>
        <v>0.62532411750377137</v>
      </c>
      <c r="AB615" s="111"/>
      <c r="AC615" s="28"/>
      <c r="AD615" s="96">
        <f ca="1">F_GAMMA*AD$29</f>
        <v>0.60651359509139569</v>
      </c>
      <c r="AE615" s="111"/>
      <c r="AF615" s="28"/>
      <c r="AG615" s="96">
        <f ca="1">F_GAMMA*AG$29</f>
        <v>0.57217930198481592</v>
      </c>
      <c r="AH615" s="111"/>
      <c r="AI615" s="28"/>
      <c r="AJ615" s="96">
        <f ca="1">F_GAMMA*AJ$29</f>
        <v>0.53183282018848232</v>
      </c>
      <c r="AK615" s="111"/>
      <c r="AL615" s="28"/>
      <c r="AM615" s="96">
        <f ca="1">F_GAMMA*AM$29</f>
        <v>0.47566512503094399</v>
      </c>
      <c r="AN615" s="111"/>
      <c r="AO615" s="28"/>
      <c r="AP615" s="96">
        <f ca="1">F_GAMMA*AP$29</f>
        <v>0.59054158265645496</v>
      </c>
      <c r="AQ615" s="111"/>
      <c r="AR615" s="28"/>
      <c r="AS615" s="96">
        <f ca="1">F_GAMMA*AS$29</f>
        <v>0.3766899554102966</v>
      </c>
      <c r="AT615" s="111"/>
      <c r="AU615" s="28"/>
    </row>
    <row r="616" spans="15:47" x14ac:dyDescent="0.25">
      <c r="O616" s="2" t="s">
        <v>145</v>
      </c>
      <c r="P616" s="12"/>
      <c r="Q616" s="2"/>
      <c r="R616" s="96">
        <f ca="1">IF(R611&lt;R615,R613,R614)</f>
        <v>0.28980318792125342</v>
      </c>
      <c r="S616" s="116"/>
      <c r="T616" s="1"/>
      <c r="U616" s="96">
        <f ca="1">IF(U611&lt;U615,U613,U614)</f>
        <v>7.1218906946998022</v>
      </c>
      <c r="V616" s="111"/>
      <c r="W616" s="28"/>
      <c r="X616" s="96">
        <f ca="1">IF(X611&lt;X615,X613,X614)</f>
        <v>17.600966575563849</v>
      </c>
      <c r="Y616" s="111"/>
      <c r="Z616" s="28"/>
      <c r="AA616" s="96">
        <f ca="1">IF(AA611&lt;AA615,AA613,AA614)</f>
        <v>35.175236350248106</v>
      </c>
      <c r="AB616" s="111"/>
      <c r="AC616" s="28"/>
      <c r="AD616" s="96">
        <f ca="1">IF(AD611&lt;AD615,AD613,AD614)</f>
        <v>62.794352225847085</v>
      </c>
      <c r="AE616" s="111"/>
      <c r="AF616" s="28"/>
      <c r="AG616" s="96">
        <f ca="1">IF(AG611&lt;AG615,AG613,AG614)</f>
        <v>103.14633479293664</v>
      </c>
      <c r="AH616" s="111"/>
      <c r="AI616" s="28"/>
      <c r="AJ616" s="96">
        <f ca="1">IF(AJ611&lt;AJ615,AJ613,AJ614)</f>
        <v>168.33311314889247</v>
      </c>
      <c r="AK616" s="111"/>
      <c r="AL616" s="28"/>
      <c r="AM616" s="96">
        <f ca="1">IF(AM611&lt;AM615,AM613,AM614)</f>
        <v>284.29710291924289</v>
      </c>
      <c r="AN616" s="111"/>
      <c r="AO616" s="28"/>
      <c r="AP616" s="96">
        <f ca="1">IF(AP611&lt;AP615,AP613,AP614)</f>
        <v>703.44889293205779</v>
      </c>
      <c r="AQ616" s="111"/>
      <c r="AR616" s="28"/>
      <c r="AS616" s="96" t="e">
        <f ca="1">IF(AS611&lt;AS615,AS613,AS614)</f>
        <v>#NUM!</v>
      </c>
      <c r="AT616" s="111"/>
      <c r="AU616" s="28"/>
    </row>
    <row r="617" spans="15:47" x14ac:dyDescent="0.25">
      <c r="O617" s="13" t="s">
        <v>143</v>
      </c>
      <c r="P617" s="1"/>
      <c r="Q617" s="1"/>
      <c r="R617" s="113"/>
      <c r="S617" s="106">
        <f ca="1">IF(R610&lt;=0,Q_max,ABS(R$23-R616))</f>
        <v>4.4401968120787467</v>
      </c>
      <c r="T617" s="7">
        <f>R606</f>
        <v>717.6186315779529</v>
      </c>
      <c r="U617" s="98"/>
      <c r="V617" s="106">
        <f ca="1">IF(U610&lt;=0,Q_max,ABS(U$23-U616))</f>
        <v>4.4781093053001975</v>
      </c>
      <c r="W617" s="9">
        <f ca="1">U606</f>
        <v>17607.360219306425</v>
      </c>
      <c r="X617" s="98"/>
      <c r="Y617" s="106">
        <f ca="1">IF(X610&lt;=0,Q_max,ABS(X$23-X616))</f>
        <v>5.3990334244361513</v>
      </c>
      <c r="Z617" s="9">
        <f ca="1">X606</f>
        <v>43113.957547299564</v>
      </c>
      <c r="AA617" s="98"/>
      <c r="AB617" s="106">
        <f ca="1">IF(AA610&lt;=0,Q_max,ABS(AA$23-AA616))</f>
        <v>4.2247636497518926</v>
      </c>
      <c r="AC617" s="9">
        <f ca="1">AA606</f>
        <v>83974.984662224451</v>
      </c>
      <c r="AD617" s="98"/>
      <c r="AE617" s="106">
        <f ca="1">IF(AD610&lt;=0,Q_max,ABS(AD$23-AD616))</f>
        <v>1.794352225847085</v>
      </c>
      <c r="AF617" s="9">
        <f ca="1">AD606</f>
        <v>140883.90144783468</v>
      </c>
      <c r="AG617" s="98"/>
      <c r="AH617" s="106">
        <f ca="1">IF(AG610&lt;=0,Q_max,ABS(AG$23-AG616))</f>
        <v>14.946334792936639</v>
      </c>
      <c r="AI617" s="9">
        <f ca="1">AG606</f>
        <v>205623.89129702793</v>
      </c>
      <c r="AJ617" s="98"/>
      <c r="AK617" s="106">
        <f ca="1">IF(AJ610&lt;=0,Q_max,ABS(AJ$23-AJ616))</f>
        <v>47.333113148892465</v>
      </c>
      <c r="AL617" s="9">
        <f ca="1">AJ606</f>
        <v>274405.88005072327</v>
      </c>
      <c r="AM617" s="98"/>
      <c r="AN617" s="106">
        <f ca="1">IF(AM610&lt;=0,Q_max,ABS(AM$23-AM616))</f>
        <v>119.29710291924289</v>
      </c>
      <c r="AO617" s="9">
        <f ca="1">AM606</f>
        <v>334827.321741049</v>
      </c>
      <c r="AP617" s="98"/>
      <c r="AQ617" s="106">
        <f ca="1">IF(AP610&lt;=0,Q_max,ABS(AP$23-AP616))</f>
        <v>457.44889293205779</v>
      </c>
      <c r="AR617" s="9">
        <f ca="1">AP606</f>
        <v>388724.12595104007</v>
      </c>
      <c r="AS617" s="98"/>
      <c r="AT617" s="106">
        <f ca="1">IF(AS610&lt;=0,Q_max,ABS(AS$23-AS616))</f>
        <v>236393</v>
      </c>
      <c r="AU617" s="9">
        <f ca="1">AS606</f>
        <v>455809.60885681963</v>
      </c>
    </row>
    <row r="618" spans="15:47" x14ac:dyDescent="0.25">
      <c r="O618" s="21"/>
      <c r="P618" s="14"/>
      <c r="Q618" s="21"/>
      <c r="R618" s="97"/>
      <c r="S618" s="106"/>
      <c r="T618" s="28"/>
      <c r="U618" s="97"/>
      <c r="V618" s="111"/>
      <c r="W618" s="28"/>
      <c r="X618" s="97"/>
      <c r="Y618" s="111"/>
      <c r="Z618" s="28"/>
      <c r="AA618" s="97"/>
      <c r="AB618" s="111"/>
      <c r="AC618" s="28"/>
      <c r="AD618" s="97"/>
      <c r="AE618" s="111"/>
      <c r="AF618" s="28"/>
      <c r="AG618" s="97"/>
      <c r="AH618" s="111"/>
      <c r="AI618" s="28"/>
      <c r="AJ618" s="97"/>
      <c r="AK618" s="111"/>
      <c r="AL618" s="28"/>
      <c r="AM618" s="97"/>
      <c r="AN618" s="111"/>
      <c r="AO618" s="28"/>
      <c r="AP618" s="97"/>
      <c r="AQ618" s="111"/>
      <c r="AR618" s="28"/>
      <c r="AS618" s="97"/>
      <c r="AT618" s="111"/>
      <c r="AU618" s="28"/>
    </row>
    <row r="619" spans="15:47" x14ac:dyDescent="0.25">
      <c r="O619" s="1"/>
      <c r="P619" s="1"/>
      <c r="Q619" s="1"/>
      <c r="R619" s="98"/>
      <c r="S619" s="108" t="s">
        <v>137</v>
      </c>
      <c r="T619" s="26" t="s">
        <v>146</v>
      </c>
      <c r="U619" s="98"/>
      <c r="V619" s="108" t="s">
        <v>137</v>
      </c>
      <c r="W619" s="26" t="s">
        <v>146</v>
      </c>
      <c r="X619" s="98"/>
      <c r="Y619" s="108" t="s">
        <v>137</v>
      </c>
      <c r="Z619" s="26" t="s">
        <v>146</v>
      </c>
      <c r="AA619" s="98"/>
      <c r="AB619" s="108" t="s">
        <v>137</v>
      </c>
      <c r="AC619" s="26" t="s">
        <v>146</v>
      </c>
      <c r="AD619" s="98"/>
      <c r="AE619" s="108" t="s">
        <v>137</v>
      </c>
      <c r="AF619" s="26" t="s">
        <v>146</v>
      </c>
      <c r="AG619" s="98"/>
      <c r="AH619" s="108" t="s">
        <v>137</v>
      </c>
      <c r="AI619" s="26" t="s">
        <v>146</v>
      </c>
      <c r="AJ619" s="98"/>
      <c r="AK619" s="108" t="s">
        <v>137</v>
      </c>
      <c r="AL619" s="26" t="s">
        <v>146</v>
      </c>
      <c r="AM619" s="98"/>
      <c r="AN619" s="108" t="s">
        <v>137</v>
      </c>
      <c r="AO619" s="26" t="s">
        <v>146</v>
      </c>
      <c r="AP619" s="98"/>
      <c r="AQ619" s="108" t="s">
        <v>137</v>
      </c>
      <c r="AR619" s="26" t="s">
        <v>146</v>
      </c>
      <c r="AS619" s="98"/>
      <c r="AT619" s="108" t="s">
        <v>137</v>
      </c>
      <c r="AU619" s="26" t="s">
        <v>146</v>
      </c>
    </row>
    <row r="620" spans="15:47" ht="13.8" x14ac:dyDescent="0.25">
      <c r="O620" s="20" t="s">
        <v>136</v>
      </c>
      <c r="P620" s="1"/>
      <c r="Q620" s="1"/>
      <c r="R620" s="96">
        <f>R606*1.02</f>
        <v>731.97100420951199</v>
      </c>
      <c r="S620" s="109" t="s">
        <v>144</v>
      </c>
      <c r="T620" s="23" t="s">
        <v>147</v>
      </c>
      <c r="U620" s="96">
        <f ca="1">U606*1.01</f>
        <v>17783.43382149949</v>
      </c>
      <c r="V620" s="109" t="s">
        <v>144</v>
      </c>
      <c r="W620" s="23" t="s">
        <v>147</v>
      </c>
      <c r="X620" s="96">
        <f ca="1">X606*1.01</f>
        <v>43545.09712277256</v>
      </c>
      <c r="Y620" s="109" t="s">
        <v>144</v>
      </c>
      <c r="Z620" s="23" t="s">
        <v>147</v>
      </c>
      <c r="AA620" s="96">
        <f ca="1">AA606*1.01</f>
        <v>84814.734508846697</v>
      </c>
      <c r="AB620" s="109" t="s">
        <v>144</v>
      </c>
      <c r="AC620" s="23" t="s">
        <v>147</v>
      </c>
      <c r="AD620" s="96">
        <f ca="1">AD606*1.01</f>
        <v>142292.74046231303</v>
      </c>
      <c r="AE620" s="109" t="s">
        <v>144</v>
      </c>
      <c r="AF620" s="23" t="s">
        <v>147</v>
      </c>
      <c r="AG620" s="96">
        <f ca="1">AG606*1.01</f>
        <v>207680.13020999823</v>
      </c>
      <c r="AH620" s="109" t="s">
        <v>144</v>
      </c>
      <c r="AI620" s="23" t="s">
        <v>147</v>
      </c>
      <c r="AJ620" s="96">
        <f ca="1">AJ606*1.01</f>
        <v>277149.93885123049</v>
      </c>
      <c r="AK620" s="109" t="s">
        <v>144</v>
      </c>
      <c r="AL620" s="23" t="s">
        <v>147</v>
      </c>
      <c r="AM620" s="96">
        <f ca="1">AM606*1.01</f>
        <v>338175.59495845949</v>
      </c>
      <c r="AN620" s="109" t="s">
        <v>144</v>
      </c>
      <c r="AO620" s="23" t="s">
        <v>147</v>
      </c>
      <c r="AP620" s="96">
        <f ca="1">AP606*1.01</f>
        <v>392611.36721055047</v>
      </c>
      <c r="AQ620" s="109" t="s">
        <v>144</v>
      </c>
      <c r="AR620" s="23" t="s">
        <v>147</v>
      </c>
      <c r="AS620" s="96">
        <f ca="1">AS606*1.01</f>
        <v>460367.70494538784</v>
      </c>
      <c r="AT620" s="109" t="s">
        <v>144</v>
      </c>
      <c r="AU620" s="23" t="s">
        <v>147</v>
      </c>
    </row>
    <row r="621" spans="15:47" x14ac:dyDescent="0.25">
      <c r="O621" s="1"/>
      <c r="P621" s="1"/>
      <c r="Q621" s="1"/>
      <c r="R621" s="98"/>
      <c r="S621" s="107"/>
      <c r="T621" s="1"/>
      <c r="U621" s="47"/>
      <c r="V621" s="107"/>
      <c r="W621" s="1"/>
      <c r="X621" s="47"/>
      <c r="Y621" s="107"/>
      <c r="Z621" s="1"/>
      <c r="AA621" s="47"/>
      <c r="AB621" s="107"/>
      <c r="AC621" s="1"/>
      <c r="AD621" s="47"/>
      <c r="AE621" s="107"/>
      <c r="AF621" s="1"/>
      <c r="AG621" s="47"/>
      <c r="AH621" s="107"/>
      <c r="AI621" s="1"/>
      <c r="AJ621" s="47"/>
      <c r="AK621" s="107"/>
      <c r="AL621" s="1"/>
      <c r="AM621" s="47"/>
      <c r="AN621" s="107"/>
      <c r="AO621" s="1"/>
      <c r="AP621" s="47"/>
      <c r="AQ621" s="107"/>
      <c r="AR621" s="1"/>
      <c r="AS621" s="47"/>
      <c r="AT621" s="107"/>
      <c r="AU621" s="1"/>
    </row>
    <row r="622" spans="15:47" x14ac:dyDescent="0.25">
      <c r="O622" s="8" t="s">
        <v>132</v>
      </c>
      <c r="P622" s="8"/>
      <c r="Q622" s="8"/>
      <c r="R622" s="96">
        <f>P_1_minQ-(R620^2*R_up)+dpup_minQ</f>
        <v>90.184942878221861</v>
      </c>
      <c r="S622" s="106"/>
      <c r="T622" s="22"/>
      <c r="U622" s="96">
        <f ca="1">P_1_minQ-(U620^2*R_up)+dpup_minQ</f>
        <v>90.127400422588906</v>
      </c>
      <c r="V622" s="107"/>
      <c r="W622" s="1"/>
      <c r="X622" s="96">
        <f ca="1">P_1_minQ-(X620^2*R_up)+dpup_minQ</f>
        <v>89.839441858848119</v>
      </c>
      <c r="Y622" s="107"/>
      <c r="Z622" s="1"/>
      <c r="AA622" s="96">
        <f ca="1">P_1_minQ-(AA620^2*R_up)+dpup_minQ</f>
        <v>88.873939522760722</v>
      </c>
      <c r="AB622" s="107"/>
      <c r="AC622" s="1"/>
      <c r="AD622" s="96">
        <f ca="1">P_1_minQ-(AD620^2*R_up)+dpup_minQ</f>
        <v>86.49476303685995</v>
      </c>
      <c r="AE622" s="107"/>
      <c r="AF622" s="1"/>
      <c r="AG622" s="96">
        <f ca="1">P_1_minQ-(AG620^2*R_up)+dpup_minQ</f>
        <v>82.323938519626623</v>
      </c>
      <c r="AH622" s="107"/>
      <c r="AI622" s="1"/>
      <c r="AJ622" s="96">
        <f ca="1">P_1_minQ-(AJ620^2*R_up)+dpup_minQ</f>
        <v>76.185199269805494</v>
      </c>
      <c r="AK622" s="107"/>
      <c r="AL622" s="1"/>
      <c r="AM622" s="96">
        <f ca="1">P_1_minQ-(AM620^2*R_up)+dpup_minQ</f>
        <v>69.341184601579442</v>
      </c>
      <c r="AN622" s="107"/>
      <c r="AO622" s="1"/>
      <c r="AP622" s="96">
        <f ca="1">P_1_minQ-(AP620^2*R_up)+dpup_minQ</f>
        <v>62.090671925434108</v>
      </c>
      <c r="AQ622" s="107"/>
      <c r="AR622" s="1"/>
      <c r="AS622" s="96">
        <f ca="1">P_1_minQ-(AS620^2*R_up)+dpup_minQ</f>
        <v>51.556950297839613</v>
      </c>
      <c r="AT622" s="107"/>
      <c r="AU622" s="1"/>
    </row>
    <row r="623" spans="15:47" x14ac:dyDescent="0.25">
      <c r="O623" s="8" t="s">
        <v>134</v>
      </c>
      <c r="P623" s="1"/>
      <c r="Q623" s="8"/>
      <c r="R623" s="97">
        <f>P_2_minQ+(R620^2*R_dn)-dpdn_minQ</f>
        <v>60</v>
      </c>
      <c r="S623" s="106"/>
      <c r="T623" s="22"/>
      <c r="U623" s="97">
        <f ca="1">P_2_minQ+(U620^2*R_dn)-dpdn_minQ</f>
        <v>60</v>
      </c>
      <c r="V623" s="107"/>
      <c r="W623" s="1"/>
      <c r="X623" s="97">
        <f ca="1">P_2_minQ+(X620^2*R_dn)-dpdn_minQ</f>
        <v>60</v>
      </c>
      <c r="Y623" s="107"/>
      <c r="Z623" s="1"/>
      <c r="AA623" s="97">
        <f ca="1">P_2_minQ+(AA620^2*R_dn)-dpdn_minQ</f>
        <v>60</v>
      </c>
      <c r="AB623" s="107"/>
      <c r="AC623" s="1"/>
      <c r="AD623" s="97">
        <f ca="1">P_2_minQ+(AD620^2*R_dn)-dpdn_minQ</f>
        <v>60</v>
      </c>
      <c r="AE623" s="107"/>
      <c r="AF623" s="1"/>
      <c r="AG623" s="97">
        <f ca="1">P_2_minQ+(AG620^2*R_dn)-dpdn_minQ</f>
        <v>60</v>
      </c>
      <c r="AH623" s="107"/>
      <c r="AI623" s="1"/>
      <c r="AJ623" s="97">
        <f ca="1">P_2_minQ+(AJ620^2*R_dn)-dpdn_minQ</f>
        <v>60</v>
      </c>
      <c r="AK623" s="107"/>
      <c r="AL623" s="1"/>
      <c r="AM623" s="97">
        <f ca="1">P_2_minQ+(AM620^2*R_dn)-dpdn_minQ</f>
        <v>60</v>
      </c>
      <c r="AN623" s="107"/>
      <c r="AO623" s="1"/>
      <c r="AP623" s="97">
        <f ca="1">P_2_minQ+(AP620^2*R_dn)-dpdn_minQ</f>
        <v>60</v>
      </c>
      <c r="AQ623" s="107"/>
      <c r="AR623" s="1"/>
      <c r="AS623" s="97">
        <f ca="1">P_2_minQ+(AS620^2*R_dn)-dpdn_minQ</f>
        <v>60</v>
      </c>
      <c r="AT623" s="107"/>
      <c r="AU623" s="1"/>
    </row>
    <row r="624" spans="15:47" x14ac:dyDescent="0.25">
      <c r="O624" s="8" t="s">
        <v>138</v>
      </c>
      <c r="P624" s="1"/>
      <c r="Q624" s="8"/>
      <c r="R624" s="97">
        <f>R622-R623</f>
        <v>30.184942878221861</v>
      </c>
      <c r="S624" s="106"/>
      <c r="T624" s="22"/>
      <c r="U624" s="97">
        <f ca="1">U622-U623</f>
        <v>30.127400422588906</v>
      </c>
      <c r="V624" s="110"/>
      <c r="W624" s="25"/>
      <c r="X624" s="97">
        <f ca="1">X622-X623</f>
        <v>29.839441858848119</v>
      </c>
      <c r="Y624" s="110"/>
      <c r="Z624" s="25"/>
      <c r="AA624" s="97">
        <f ca="1">AA622-AA623</f>
        <v>28.873939522760722</v>
      </c>
      <c r="AB624" s="110"/>
      <c r="AC624" s="25"/>
      <c r="AD624" s="97">
        <f ca="1">AD622-AD623</f>
        <v>26.49476303685995</v>
      </c>
      <c r="AE624" s="110"/>
      <c r="AF624" s="25"/>
      <c r="AG624" s="97">
        <f ca="1">AG622-AG623</f>
        <v>22.323938519626623</v>
      </c>
      <c r="AH624" s="110"/>
      <c r="AI624" s="25"/>
      <c r="AJ624" s="97">
        <f ca="1">AJ622-AJ623</f>
        <v>16.185199269805494</v>
      </c>
      <c r="AK624" s="110"/>
      <c r="AL624" s="25"/>
      <c r="AM624" s="97">
        <f ca="1">AM622-AM623</f>
        <v>9.3411846015794424</v>
      </c>
      <c r="AN624" s="110"/>
      <c r="AO624" s="25"/>
      <c r="AP624" s="97">
        <f ca="1">AP622-AP623</f>
        <v>2.0906719254341084</v>
      </c>
      <c r="AQ624" s="110"/>
      <c r="AR624" s="25"/>
      <c r="AS624" s="97">
        <f ca="1">AS622-AS623</f>
        <v>-8.443049702160387</v>
      </c>
      <c r="AT624" s="110"/>
      <c r="AU624" s="25"/>
    </row>
    <row r="625" spans="15:47" ht="14.4" x14ac:dyDescent="0.3">
      <c r="O625" s="2" t="s">
        <v>140</v>
      </c>
      <c r="P625" s="11"/>
      <c r="Q625" s="2"/>
      <c r="R625" s="96">
        <f>R624/R622</f>
        <v>0.33470047121924845</v>
      </c>
      <c r="S625" s="106"/>
      <c r="T625" s="22"/>
      <c r="U625" s="96">
        <f ca="1">U624/U622</f>
        <v>0.33427570618177938</v>
      </c>
      <c r="V625" s="111"/>
      <c r="W625" s="28"/>
      <c r="X625" s="96">
        <f ca="1">X624/X622</f>
        <v>0.33214188825583502</v>
      </c>
      <c r="Y625" s="111"/>
      <c r="Z625" s="28"/>
      <c r="AA625" s="96">
        <f ca="1">AA624/AA622</f>
        <v>0.32488645915562314</v>
      </c>
      <c r="AB625" s="111"/>
      <c r="AC625" s="28"/>
      <c r="AD625" s="96">
        <f ca="1">AD624/AD622</f>
        <v>0.306316383866722</v>
      </c>
      <c r="AE625" s="111"/>
      <c r="AF625" s="28"/>
      <c r="AG625" s="96">
        <f ca="1">AG624/AG622</f>
        <v>0.27117189630455346</v>
      </c>
      <c r="AH625" s="111"/>
      <c r="AI625" s="28"/>
      <c r="AJ625" s="96">
        <f ca="1">AJ624/AJ622</f>
        <v>0.21244545429994274</v>
      </c>
      <c r="AK625" s="111"/>
      <c r="AL625" s="28"/>
      <c r="AM625" s="96">
        <f ca="1">AM624/AM622</f>
        <v>0.13471336919396487</v>
      </c>
      <c r="AN625" s="111"/>
      <c r="AO625" s="28"/>
      <c r="AP625" s="96">
        <f ca="1">AP624/AP622</f>
        <v>3.3671272360280412E-2</v>
      </c>
      <c r="AQ625" s="111"/>
      <c r="AR625" s="28"/>
      <c r="AS625" s="96">
        <f ca="1">AS624/AS622</f>
        <v>-0.16376161998306124</v>
      </c>
      <c r="AT625" s="111"/>
      <c r="AU625" s="28"/>
    </row>
    <row r="626" spans="15:47" x14ac:dyDescent="0.25">
      <c r="O626" s="2" t="s">
        <v>21</v>
      </c>
      <c r="P626" s="8">
        <v>12</v>
      </c>
      <c r="Q626" s="2"/>
      <c r="R626" s="96">
        <f ca="1">1-R625/(3*F_GAMMA*R$29)</f>
        <v>0.82568492653834058</v>
      </c>
      <c r="S626" s="106"/>
      <c r="T626" s="22"/>
      <c r="U626" s="96">
        <f ca="1">1-U625/(3*F_GAMMA*U$29)</f>
        <v>0.82594659268331116</v>
      </c>
      <c r="V626" s="111"/>
      <c r="W626" s="28"/>
      <c r="X626" s="96">
        <f ca="1">1-X625/(3*F_GAMMA*X$29)</f>
        <v>0.82541050365061552</v>
      </c>
      <c r="Y626" s="111"/>
      <c r="Z626" s="28"/>
      <c r="AA626" s="96">
        <f ca="1">1-AA625/(3*F_GAMMA*AA$29)</f>
        <v>0.82681703239351778</v>
      </c>
      <c r="AB626" s="111"/>
      <c r="AC626" s="28"/>
      <c r="AD626" s="96">
        <f ca="1">1-AD625/(3*F_GAMMA*AD$29)</f>
        <v>0.83165181767521457</v>
      </c>
      <c r="AE626" s="111"/>
      <c r="AF626" s="28"/>
      <c r="AG626" s="96">
        <f ca="1">1-AG625/(3*F_GAMMA*AG$29)</f>
        <v>0.84202393937011633</v>
      </c>
      <c r="AH626" s="111"/>
      <c r="AI626" s="28"/>
      <c r="AJ626" s="96">
        <f ca="1">1-AJ625/(3*F_GAMMA*AJ$29)</f>
        <v>0.86684697005307565</v>
      </c>
      <c r="AK626" s="111"/>
      <c r="AL626" s="28"/>
      <c r="AM626" s="96">
        <f ca="1">1-AM625/(3*F_GAMMA*AM$29)</f>
        <v>0.90559649208029058</v>
      </c>
      <c r="AN626" s="111"/>
      <c r="AO626" s="28"/>
      <c r="AP626" s="96">
        <f ca="1">1-AP625/(3*F_GAMMA*AP$29)</f>
        <v>0.98099412846943213</v>
      </c>
      <c r="AQ626" s="111"/>
      <c r="AR626" s="28"/>
      <c r="AS626" s="96">
        <f ca="1">1-AS625/(3*F_GAMMA*AS$29)</f>
        <v>1.1449128278495326</v>
      </c>
      <c r="AT626" s="111"/>
      <c r="AU626" s="28"/>
    </row>
    <row r="627" spans="15:47" x14ac:dyDescent="0.25">
      <c r="O627" s="2" t="s">
        <v>57</v>
      </c>
      <c r="P627" s="143">
        <v>7</v>
      </c>
      <c r="Q627" s="2"/>
      <c r="R627" s="96">
        <f ca="1">(R620/(N_9*R$27*R622*R626))*SQRT(M*'Valve Sizing'!$W$6*'Valve Sizing'!$G$8/R625)</f>
        <v>0.29559927124555857</v>
      </c>
      <c r="S627" s="107"/>
      <c r="T627" s="22"/>
      <c r="U627" s="96">
        <f ca="1">(U620/(N_9*U$27*U622*U626))*SQRT(M*'Valve Sizing'!$W$6*'Valve Sizing'!$G$8/U625)</f>
        <v>7.1932524632824686</v>
      </c>
      <c r="V627" s="111"/>
      <c r="W627" s="28"/>
      <c r="X627" s="96">
        <f ca="1">(X620/(N_9*X$27*X622*X626))*SQRT(M*'Valve Sizing'!$W$6*'Valve Sizing'!$G$8/X625)</f>
        <v>17.779105225749646</v>
      </c>
      <c r="Y627" s="111"/>
      <c r="Z627" s="28"/>
      <c r="AA627" s="96">
        <f ca="1">(AA620/(N_9*AA$27*AA622*AA626))*SQRT(M*'Valve Sizing'!$W$6*'Valve Sizing'!$G$8/AA625)</f>
        <v>35.543547604221587</v>
      </c>
      <c r="AB627" s="111"/>
      <c r="AC627" s="28"/>
      <c r="AD627" s="96">
        <f ca="1">(AD620/(N_9*AD$27*AD622*AD626))*SQRT(M*'Valve Sizing'!$W$6*'Valve Sizing'!$G$8/AD625)</f>
        <v>63.511490106606026</v>
      </c>
      <c r="AE627" s="111"/>
      <c r="AF627" s="28"/>
      <c r="AG627" s="96">
        <f ca="1">(AG620/(N_9*AG$27*AG622*AG626))*SQRT(M*'Valve Sizing'!$W$6*'Valve Sizing'!$G$8/AG625)</f>
        <v>104.53780318617979</v>
      </c>
      <c r="AH627" s="111"/>
      <c r="AI627" s="28"/>
      <c r="AJ627" s="96">
        <f ca="1">(AJ620/(N_9*AJ$27*AJ622*AJ626))*SQRT(M*'Valve Sizing'!$W$6*'Valve Sizing'!$G$8/AJ625)</f>
        <v>171.41641226553605</v>
      </c>
      <c r="AK627" s="111"/>
      <c r="AL627" s="28"/>
      <c r="AM627" s="96">
        <f ca="1">(AM620/(N_9*AM$27*AM622*AM626))*SQRT(M*'Valve Sizing'!$W$6*'Valve Sizing'!$G$8/AM625)</f>
        <v>293.09202176339437</v>
      </c>
      <c r="AN627" s="111"/>
      <c r="AO627" s="28"/>
      <c r="AP627" s="96">
        <f ca="1">(AP620/(N_9*AP$27*AP622*AP626))*SQRT(M*'Valve Sizing'!$W$6*'Valve Sizing'!$G$8/AP625)</f>
        <v>798.63782451413101</v>
      </c>
      <c r="AQ627" s="111"/>
      <c r="AR627" s="28"/>
      <c r="AS627" s="96" t="e">
        <f ca="1">(AS620/(N_9*AS$27*AS622*AS626))*SQRT(M*'Valve Sizing'!$W$6*'Valve Sizing'!$G$8/AS625)</f>
        <v>#NUM!</v>
      </c>
      <c r="AT627" s="111"/>
      <c r="AU627" s="28"/>
    </row>
    <row r="628" spans="15:47" x14ac:dyDescent="0.25">
      <c r="O628" s="2" t="s">
        <v>59</v>
      </c>
      <c r="P628" s="143">
        <v>7</v>
      </c>
      <c r="Q628" s="2"/>
      <c r="R628" s="96">
        <f ca="1">(R620/(N_9*R$27*R622*0.667))*SQRT(M*'Valve Sizing'!$W$6*'Valve Sizing'!$G$8/R629)</f>
        <v>0.26461836420745033</v>
      </c>
      <c r="S628" s="107"/>
      <c r="T628" s="22"/>
      <c r="U628" s="96">
        <f ca="1">(U620/(N_9*U$27*U622*0.667))*SQRT(M*'Valve Sizing'!$W$6*'Valve Sizing'!$G$8/U629)</f>
        <v>6.436552667325115</v>
      </c>
      <c r="V628" s="111"/>
      <c r="W628" s="28"/>
      <c r="X628" s="96">
        <f ca="1">(X620/(N_9*X$27*X622*0.667))*SQRT(M*'Valve Sizing'!$W$6*'Valve Sizing'!$G$8/X629)</f>
        <v>15.922957684556287</v>
      </c>
      <c r="Y628" s="111"/>
      <c r="Z628" s="28"/>
      <c r="AA628" s="96">
        <f ca="1">(AA620/(N_9*AA$27*AA622*0.667))*SQRT(M*'Valve Sizing'!$W$6*'Valve Sizing'!$G$8/AA629)</f>
        <v>31.758323568094752</v>
      </c>
      <c r="AB628" s="111"/>
      <c r="AC628" s="28"/>
      <c r="AD628" s="96">
        <f ca="1">(AD620/(N_9*AD$27*AD622*0.667))*SQRT(M*'Valve Sizing'!$W$6*'Valve Sizing'!$G$8/AD629)</f>
        <v>56.277248082477598</v>
      </c>
      <c r="AE628" s="111"/>
      <c r="AF628" s="28"/>
      <c r="AG628" s="96">
        <f ca="1">(AG620/(N_9*AG$27*AG622*0.667))*SQRT(M*'Valve Sizing'!$W$6*'Valve Sizing'!$G$8/AG629)</f>
        <v>90.850692435761289</v>
      </c>
      <c r="AH628" s="111"/>
      <c r="AI628" s="28"/>
      <c r="AJ628" s="96">
        <f ca="1">(AJ620/(N_9*AJ$27*AJ622*0.667))*SQRT(M*'Valve Sizing'!$W$6*'Valve Sizing'!$G$8/AJ629)</f>
        <v>140.80081114780782</v>
      </c>
      <c r="AK628" s="111"/>
      <c r="AL628" s="28"/>
      <c r="AM628" s="96">
        <f ca="1">(AM620/(N_9*AM$27*AM622*0.667))*SQRT(M*'Valve Sizing'!$W$6*'Valve Sizing'!$G$8/AM629)</f>
        <v>211.77153664698881</v>
      </c>
      <c r="AN628" s="111"/>
      <c r="AO628" s="28"/>
      <c r="AP628" s="96">
        <f ca="1">(AP620/(N_9*AP$27*AP622*0.667))*SQRT(M*'Valve Sizing'!$W$6*'Valve Sizing'!$G$8/AP629)</f>
        <v>280.47552603295179</v>
      </c>
      <c r="AQ628" s="111"/>
      <c r="AR628" s="28"/>
      <c r="AS628" s="96">
        <f ca="1">(AS620/(N_9*AS$27*AS622*0.667))*SQRT(M*'Valve Sizing'!$W$6*'Valve Sizing'!$G$8/AS629)</f>
        <v>664.2267062820365</v>
      </c>
      <c r="AT628" s="111"/>
      <c r="AU628" s="28"/>
    </row>
    <row r="629" spans="15:47" ht="15.6" x14ac:dyDescent="0.35">
      <c r="O629" s="2" t="s">
        <v>68</v>
      </c>
      <c r="P629" s="143">
        <v>10</v>
      </c>
      <c r="Q629" s="2"/>
      <c r="R629" s="96">
        <f ca="1">F_GAMMA*R$29</f>
        <v>0.64002969751372984</v>
      </c>
      <c r="S629" s="107"/>
      <c r="T629" s="1"/>
      <c r="U629" s="96">
        <f ca="1">F_GAMMA*U$29</f>
        <v>0.64017842058782071</v>
      </c>
      <c r="V629" s="111"/>
      <c r="W629" s="28"/>
      <c r="X629" s="96">
        <f ca="1">F_GAMMA*X$29</f>
        <v>0.63413873724904268</v>
      </c>
      <c r="Y629" s="111"/>
      <c r="Z629" s="28"/>
      <c r="AA629" s="96">
        <f ca="1">F_GAMMA*AA$29</f>
        <v>0.62532411750377137</v>
      </c>
      <c r="AB629" s="111"/>
      <c r="AC629" s="28"/>
      <c r="AD629" s="96">
        <f ca="1">F_GAMMA*AD$29</f>
        <v>0.60651359509139569</v>
      </c>
      <c r="AE629" s="111"/>
      <c r="AF629" s="28"/>
      <c r="AG629" s="96">
        <f ca="1">F_GAMMA*AG$29</f>
        <v>0.57217930198481592</v>
      </c>
      <c r="AH629" s="111"/>
      <c r="AI629" s="28"/>
      <c r="AJ629" s="96">
        <f ca="1">F_GAMMA*AJ$29</f>
        <v>0.53183282018848232</v>
      </c>
      <c r="AK629" s="111"/>
      <c r="AL629" s="28"/>
      <c r="AM629" s="96">
        <f ca="1">F_GAMMA*AM$29</f>
        <v>0.47566512503094399</v>
      </c>
      <c r="AN629" s="111"/>
      <c r="AO629" s="28"/>
      <c r="AP629" s="96">
        <f ca="1">F_GAMMA*AP$29</f>
        <v>0.59054158265645496</v>
      </c>
      <c r="AQ629" s="111"/>
      <c r="AR629" s="28"/>
      <c r="AS629" s="96">
        <f ca="1">F_GAMMA*AS$29</f>
        <v>0.3766899554102966</v>
      </c>
      <c r="AT629" s="111"/>
      <c r="AU629" s="28"/>
    </row>
    <row r="630" spans="15:47" x14ac:dyDescent="0.25">
      <c r="O630" s="2" t="s">
        <v>145</v>
      </c>
      <c r="P630" s="12"/>
      <c r="Q630" s="2"/>
      <c r="R630" s="96">
        <f ca="1">IF(R625&lt;R629,R627,R628)</f>
        <v>0.29559927124555857</v>
      </c>
      <c r="S630" s="116"/>
      <c r="T630" s="1"/>
      <c r="U630" s="96">
        <f ca="1">IF(U625&lt;U629,U627,U628)</f>
        <v>7.1932524632824686</v>
      </c>
      <c r="V630" s="111"/>
      <c r="W630" s="28"/>
      <c r="X630" s="96">
        <f ca="1">IF(X625&lt;X629,X627,X628)</f>
        <v>17.779105225749646</v>
      </c>
      <c r="Y630" s="111"/>
      <c r="Z630" s="28"/>
      <c r="AA630" s="96">
        <f ca="1">IF(AA625&lt;AA629,AA627,AA628)</f>
        <v>35.543547604221587</v>
      </c>
      <c r="AB630" s="111"/>
      <c r="AC630" s="28"/>
      <c r="AD630" s="96">
        <f ca="1">IF(AD625&lt;AD629,AD627,AD628)</f>
        <v>63.511490106606026</v>
      </c>
      <c r="AE630" s="111"/>
      <c r="AF630" s="28"/>
      <c r="AG630" s="96">
        <f ca="1">IF(AG625&lt;AG629,AG627,AG628)</f>
        <v>104.53780318617979</v>
      </c>
      <c r="AH630" s="111"/>
      <c r="AI630" s="28"/>
      <c r="AJ630" s="96">
        <f ca="1">IF(AJ625&lt;AJ629,AJ627,AJ628)</f>
        <v>171.41641226553605</v>
      </c>
      <c r="AK630" s="111"/>
      <c r="AL630" s="28"/>
      <c r="AM630" s="96">
        <f ca="1">IF(AM625&lt;AM629,AM627,AM628)</f>
        <v>293.09202176339437</v>
      </c>
      <c r="AN630" s="111"/>
      <c r="AO630" s="28"/>
      <c r="AP630" s="96">
        <f ca="1">IF(AP625&lt;AP629,AP627,AP628)</f>
        <v>798.63782451413101</v>
      </c>
      <c r="AQ630" s="111"/>
      <c r="AR630" s="28"/>
      <c r="AS630" s="96" t="e">
        <f ca="1">IF(AS625&lt;AS629,AS627,AS628)</f>
        <v>#NUM!</v>
      </c>
      <c r="AT630" s="111"/>
      <c r="AU630" s="28"/>
    </row>
    <row r="631" spans="15:47" x14ac:dyDescent="0.25">
      <c r="O631" s="13" t="s">
        <v>143</v>
      </c>
      <c r="P631" s="1"/>
      <c r="Q631" s="1"/>
      <c r="R631" s="113"/>
      <c r="S631" s="106">
        <f ca="1">IF(R624&lt;=0,Q_max,ABS(R$23-R630))</f>
        <v>4.4344007287544418</v>
      </c>
      <c r="T631" s="7">
        <f>R620</f>
        <v>731.97100420951199</v>
      </c>
      <c r="U631" s="98"/>
      <c r="V631" s="106">
        <f ca="1">IF(U624&lt;=0,Q_max,ABS(U$23-U630))</f>
        <v>4.4067475367175311</v>
      </c>
      <c r="W631" s="9">
        <f ca="1">U620</f>
        <v>17783.43382149949</v>
      </c>
      <c r="X631" s="98"/>
      <c r="Y631" s="106">
        <f ca="1">IF(X624&lt;=0,Q_max,ABS(X$23-X630))</f>
        <v>5.220894774250354</v>
      </c>
      <c r="Z631" s="9">
        <f ca="1">X620</f>
        <v>43545.09712277256</v>
      </c>
      <c r="AA631" s="98"/>
      <c r="AB631" s="106">
        <f ca="1">IF(AA624&lt;=0,Q_max,ABS(AA$23-AA630))</f>
        <v>3.8564523957784118</v>
      </c>
      <c r="AC631" s="9">
        <f ca="1">AA620</f>
        <v>84814.734508846697</v>
      </c>
      <c r="AD631" s="98"/>
      <c r="AE631" s="106">
        <f ca="1">IF(AD624&lt;=0,Q_max,ABS(AD$23-AD630))</f>
        <v>2.5114901066060256</v>
      </c>
      <c r="AF631" s="9">
        <f ca="1">AD620</f>
        <v>142292.74046231303</v>
      </c>
      <c r="AG631" s="98"/>
      <c r="AH631" s="106">
        <f ca="1">IF(AG624&lt;=0,Q_max,ABS(AG$23-AG630))</f>
        <v>16.337803186179784</v>
      </c>
      <c r="AI631" s="9">
        <f ca="1">AG620</f>
        <v>207680.13020999823</v>
      </c>
      <c r="AJ631" s="98"/>
      <c r="AK631" s="106">
        <f ca="1">IF(AJ624&lt;=0,Q_max,ABS(AJ$23-AJ630))</f>
        <v>50.416412265536053</v>
      </c>
      <c r="AL631" s="9">
        <f ca="1">AJ620</f>
        <v>277149.93885123049</v>
      </c>
      <c r="AM631" s="98"/>
      <c r="AN631" s="106">
        <f ca="1">IF(AM624&lt;=0,Q_max,ABS(AM$23-AM630))</f>
        <v>128.09202176339437</v>
      </c>
      <c r="AO631" s="9">
        <f ca="1">AM620</f>
        <v>338175.59495845949</v>
      </c>
      <c r="AP631" s="98"/>
      <c r="AQ631" s="106">
        <f ca="1">IF(AP624&lt;=0,Q_max,ABS(AP$23-AP630))</f>
        <v>552.63782451413101</v>
      </c>
      <c r="AR631" s="9">
        <f ca="1">AP620</f>
        <v>392611.36721055047</v>
      </c>
      <c r="AS631" s="98"/>
      <c r="AT631" s="106">
        <f ca="1">IF(AS624&lt;=0,Q_max,ABS(AS$23-AS630))</f>
        <v>236393</v>
      </c>
      <c r="AU631" s="9">
        <f ca="1">AS620</f>
        <v>460367.70494538784</v>
      </c>
    </row>
    <row r="632" spans="15:47" x14ac:dyDescent="0.25">
      <c r="O632" s="21"/>
      <c r="P632" s="14"/>
      <c r="Q632" s="21"/>
      <c r="R632" s="97"/>
      <c r="S632" s="106"/>
      <c r="T632" s="28"/>
      <c r="U632" s="97"/>
      <c r="V632" s="111"/>
      <c r="W632" s="28"/>
      <c r="X632" s="97"/>
      <c r="Y632" s="111"/>
      <c r="Z632" s="28"/>
      <c r="AA632" s="97"/>
      <c r="AB632" s="111"/>
      <c r="AC632" s="28"/>
      <c r="AD632" s="97"/>
      <c r="AE632" s="111"/>
      <c r="AF632" s="28"/>
      <c r="AG632" s="97"/>
      <c r="AH632" s="111"/>
      <c r="AI632" s="28"/>
      <c r="AJ632" s="97"/>
      <c r="AK632" s="111"/>
      <c r="AL632" s="28"/>
      <c r="AM632" s="97"/>
      <c r="AN632" s="111"/>
      <c r="AO632" s="28"/>
      <c r="AP632" s="97"/>
      <c r="AQ632" s="111"/>
      <c r="AR632" s="28"/>
      <c r="AS632" s="97"/>
      <c r="AT632" s="111"/>
      <c r="AU632" s="28"/>
    </row>
    <row r="633" spans="15:47" x14ac:dyDescent="0.25">
      <c r="O633" s="1"/>
      <c r="P633" s="1"/>
      <c r="Q633" s="1"/>
      <c r="R633" s="98"/>
      <c r="S633" s="108" t="s">
        <v>137</v>
      </c>
      <c r="T633" s="26" t="s">
        <v>146</v>
      </c>
      <c r="U633" s="98"/>
      <c r="V633" s="108" t="s">
        <v>137</v>
      </c>
      <c r="W633" s="26" t="s">
        <v>146</v>
      </c>
      <c r="X633" s="98"/>
      <c r="Y633" s="108" t="s">
        <v>137</v>
      </c>
      <c r="Z633" s="26" t="s">
        <v>146</v>
      </c>
      <c r="AA633" s="98"/>
      <c r="AB633" s="108" t="s">
        <v>137</v>
      </c>
      <c r="AC633" s="26" t="s">
        <v>146</v>
      </c>
      <c r="AD633" s="98"/>
      <c r="AE633" s="108" t="s">
        <v>137</v>
      </c>
      <c r="AF633" s="26" t="s">
        <v>146</v>
      </c>
      <c r="AG633" s="98"/>
      <c r="AH633" s="108" t="s">
        <v>137</v>
      </c>
      <c r="AI633" s="26" t="s">
        <v>146</v>
      </c>
      <c r="AJ633" s="98"/>
      <c r="AK633" s="108" t="s">
        <v>137</v>
      </c>
      <c r="AL633" s="26" t="s">
        <v>146</v>
      </c>
      <c r="AM633" s="98"/>
      <c r="AN633" s="108" t="s">
        <v>137</v>
      </c>
      <c r="AO633" s="26" t="s">
        <v>146</v>
      </c>
      <c r="AP633" s="98"/>
      <c r="AQ633" s="108" t="s">
        <v>137</v>
      </c>
      <c r="AR633" s="26" t="s">
        <v>146</v>
      </c>
      <c r="AS633" s="98"/>
      <c r="AT633" s="108" t="s">
        <v>137</v>
      </c>
      <c r="AU633" s="26" t="s">
        <v>146</v>
      </c>
    </row>
    <row r="634" spans="15:47" ht="13.8" x14ac:dyDescent="0.25">
      <c r="O634" s="20" t="s">
        <v>136</v>
      </c>
      <c r="P634" s="1"/>
      <c r="Q634" s="1"/>
      <c r="R634" s="96">
        <f>R620*1.02</f>
        <v>746.61042429370229</v>
      </c>
      <c r="S634" s="109" t="s">
        <v>144</v>
      </c>
      <c r="T634" s="23" t="s">
        <v>147</v>
      </c>
      <c r="U634" s="96">
        <f ca="1">U620*1.01</f>
        <v>17961.268159714484</v>
      </c>
      <c r="V634" s="109" t="s">
        <v>144</v>
      </c>
      <c r="W634" s="23" t="s">
        <v>147</v>
      </c>
      <c r="X634" s="96">
        <f ca="1">X620*1.01</f>
        <v>43980.548094000289</v>
      </c>
      <c r="Y634" s="109" t="s">
        <v>144</v>
      </c>
      <c r="Z634" s="23" t="s">
        <v>147</v>
      </c>
      <c r="AA634" s="96">
        <f ca="1">AA620*1.01</f>
        <v>85662.881853935163</v>
      </c>
      <c r="AB634" s="109" t="s">
        <v>144</v>
      </c>
      <c r="AC634" s="23" t="s">
        <v>147</v>
      </c>
      <c r="AD634" s="96">
        <f ca="1">AD620*1.01</f>
        <v>143715.66786693616</v>
      </c>
      <c r="AE634" s="109" t="s">
        <v>144</v>
      </c>
      <c r="AF634" s="23" t="s">
        <v>147</v>
      </c>
      <c r="AG634" s="96">
        <f ca="1">AG620*1.01</f>
        <v>209756.93151209821</v>
      </c>
      <c r="AH634" s="109" t="s">
        <v>144</v>
      </c>
      <c r="AI634" s="23" t="s">
        <v>147</v>
      </c>
      <c r="AJ634" s="96">
        <f ca="1">AJ620*1.01</f>
        <v>279921.43823974277</v>
      </c>
      <c r="AK634" s="109" t="s">
        <v>144</v>
      </c>
      <c r="AL634" s="23" t="s">
        <v>147</v>
      </c>
      <c r="AM634" s="96">
        <f ca="1">AM620*1.01</f>
        <v>341557.35090804409</v>
      </c>
      <c r="AN634" s="109" t="s">
        <v>144</v>
      </c>
      <c r="AO634" s="23" t="s">
        <v>147</v>
      </c>
      <c r="AP634" s="96">
        <f ca="1">AP620*1.01</f>
        <v>396537.48088265595</v>
      </c>
      <c r="AQ634" s="109" t="s">
        <v>144</v>
      </c>
      <c r="AR634" s="23" t="s">
        <v>147</v>
      </c>
      <c r="AS634" s="96">
        <f ca="1">AS620*1.01</f>
        <v>464971.38199484174</v>
      </c>
      <c r="AT634" s="109" t="s">
        <v>144</v>
      </c>
      <c r="AU634" s="23" t="s">
        <v>147</v>
      </c>
    </row>
    <row r="635" spans="15:47" x14ac:dyDescent="0.25">
      <c r="O635" s="1"/>
      <c r="P635" s="1"/>
      <c r="Q635" s="1"/>
      <c r="R635" s="98"/>
      <c r="S635" s="107"/>
      <c r="T635" s="1"/>
      <c r="U635" s="47"/>
      <c r="V635" s="107"/>
      <c r="W635" s="1"/>
      <c r="X635" s="47"/>
      <c r="Y635" s="107"/>
      <c r="Z635" s="1"/>
      <c r="AA635" s="47"/>
      <c r="AB635" s="107"/>
      <c r="AC635" s="1"/>
      <c r="AD635" s="47"/>
      <c r="AE635" s="107"/>
      <c r="AF635" s="1"/>
      <c r="AG635" s="47"/>
      <c r="AH635" s="107"/>
      <c r="AI635" s="1"/>
      <c r="AJ635" s="47"/>
      <c r="AK635" s="107"/>
      <c r="AL635" s="1"/>
      <c r="AM635" s="47"/>
      <c r="AN635" s="107"/>
      <c r="AO635" s="1"/>
      <c r="AP635" s="47"/>
      <c r="AQ635" s="107"/>
      <c r="AR635" s="1"/>
      <c r="AS635" s="47"/>
      <c r="AT635" s="107"/>
      <c r="AU635" s="1"/>
    </row>
    <row r="636" spans="15:47" x14ac:dyDescent="0.25">
      <c r="O636" s="8" t="s">
        <v>132</v>
      </c>
      <c r="P636" s="8"/>
      <c r="Q636" s="8"/>
      <c r="R636" s="96">
        <f>P_1_minQ-(R634^2*R_up)+dpup_minQ</f>
        <v>90.184938933079692</v>
      </c>
      <c r="S636" s="106"/>
      <c r="T636" s="22"/>
      <c r="U636" s="96">
        <f ca="1">P_1_minQ-(U634^2*R_up)+dpup_minQ</f>
        <v>90.126241856424798</v>
      </c>
      <c r="V636" s="107"/>
      <c r="W636" s="1"/>
      <c r="X636" s="96">
        <f ca="1">P_1_minQ-(X634^2*R_up)+dpup_minQ</f>
        <v>89.832495325552827</v>
      </c>
      <c r="Y636" s="107"/>
      <c r="Z636" s="1"/>
      <c r="AA636" s="96">
        <f ca="1">P_1_minQ-(AA634^2*R_up)+dpup_minQ</f>
        <v>88.847586392510081</v>
      </c>
      <c r="AB636" s="107"/>
      <c r="AC636" s="1"/>
      <c r="AD636" s="96">
        <f ca="1">P_1_minQ-(AD634^2*R_up)+dpup_minQ</f>
        <v>86.420588459242694</v>
      </c>
      <c r="AE636" s="107"/>
      <c r="AF636" s="1"/>
      <c r="AG636" s="96">
        <f ca="1">P_1_minQ-(AG634^2*R_up)+dpup_minQ</f>
        <v>82.165930369212987</v>
      </c>
      <c r="AH636" s="107"/>
      <c r="AI636" s="1"/>
      <c r="AJ636" s="96">
        <f ca="1">P_1_minQ-(AJ634^2*R_up)+dpup_minQ</f>
        <v>75.903802460470445</v>
      </c>
      <c r="AK636" s="107"/>
      <c r="AL636" s="1"/>
      <c r="AM636" s="96">
        <f ca="1">P_1_minQ-(AM634^2*R_up)+dpup_minQ</f>
        <v>68.922223097413053</v>
      </c>
      <c r="AN636" s="107"/>
      <c r="AO636" s="1"/>
      <c r="AP636" s="96">
        <f ca="1">P_1_minQ-(AP634^2*R_up)+dpup_minQ</f>
        <v>61.525975116477206</v>
      </c>
      <c r="AQ636" s="107"/>
      <c r="AR636" s="1"/>
      <c r="AS636" s="96">
        <f ca="1">P_1_minQ-(AS634^2*R_up)+dpup_minQ</f>
        <v>50.780525684168055</v>
      </c>
      <c r="AT636" s="107"/>
      <c r="AU636" s="1"/>
    </row>
    <row r="637" spans="15:47" x14ac:dyDescent="0.25">
      <c r="O637" s="8" t="s">
        <v>134</v>
      </c>
      <c r="P637" s="1"/>
      <c r="Q637" s="8"/>
      <c r="R637" s="97">
        <f>P_2_minQ+(R634^2*R_dn)-dpdn_minQ</f>
        <v>60</v>
      </c>
      <c r="S637" s="106"/>
      <c r="T637" s="22"/>
      <c r="U637" s="97">
        <f ca="1">P_2_minQ+(U634^2*R_dn)-dpdn_minQ</f>
        <v>60</v>
      </c>
      <c r="V637" s="107"/>
      <c r="W637" s="1"/>
      <c r="X637" s="97">
        <f ca="1">P_2_minQ+(X634^2*R_dn)-dpdn_minQ</f>
        <v>60</v>
      </c>
      <c r="Y637" s="107"/>
      <c r="Z637" s="1"/>
      <c r="AA637" s="97">
        <f ca="1">P_2_minQ+(AA634^2*R_dn)-dpdn_minQ</f>
        <v>60</v>
      </c>
      <c r="AB637" s="107"/>
      <c r="AC637" s="1"/>
      <c r="AD637" s="97">
        <f ca="1">P_2_minQ+(AD634^2*R_dn)-dpdn_minQ</f>
        <v>60</v>
      </c>
      <c r="AE637" s="107"/>
      <c r="AF637" s="1"/>
      <c r="AG637" s="97">
        <f ca="1">P_2_minQ+(AG634^2*R_dn)-dpdn_minQ</f>
        <v>60</v>
      </c>
      <c r="AH637" s="107"/>
      <c r="AI637" s="1"/>
      <c r="AJ637" s="97">
        <f ca="1">P_2_minQ+(AJ634^2*R_dn)-dpdn_minQ</f>
        <v>60</v>
      </c>
      <c r="AK637" s="107"/>
      <c r="AL637" s="1"/>
      <c r="AM637" s="97">
        <f ca="1">P_2_minQ+(AM634^2*R_dn)-dpdn_minQ</f>
        <v>60</v>
      </c>
      <c r="AN637" s="107"/>
      <c r="AO637" s="1"/>
      <c r="AP637" s="97">
        <f ca="1">P_2_minQ+(AP634^2*R_dn)-dpdn_minQ</f>
        <v>60</v>
      </c>
      <c r="AQ637" s="107"/>
      <c r="AR637" s="1"/>
      <c r="AS637" s="97">
        <f ca="1">P_2_minQ+(AS634^2*R_dn)-dpdn_minQ</f>
        <v>60</v>
      </c>
      <c r="AT637" s="107"/>
      <c r="AU637" s="1"/>
    </row>
    <row r="638" spans="15:47" x14ac:dyDescent="0.25">
      <c r="O638" s="8" t="s">
        <v>138</v>
      </c>
      <c r="P638" s="1"/>
      <c r="Q638" s="8"/>
      <c r="R638" s="97">
        <f>R636-R637</f>
        <v>30.184938933079692</v>
      </c>
      <c r="S638" s="106"/>
      <c r="T638" s="22"/>
      <c r="U638" s="97">
        <f ca="1">U636-U637</f>
        <v>30.126241856424798</v>
      </c>
      <c r="V638" s="110"/>
      <c r="W638" s="25"/>
      <c r="X638" s="97">
        <f ca="1">X636-X637</f>
        <v>29.832495325552827</v>
      </c>
      <c r="Y638" s="110"/>
      <c r="Z638" s="25"/>
      <c r="AA638" s="97">
        <f ca="1">AA636-AA637</f>
        <v>28.847586392510081</v>
      </c>
      <c r="AB638" s="110"/>
      <c r="AC638" s="25"/>
      <c r="AD638" s="97">
        <f ca="1">AD636-AD637</f>
        <v>26.420588459242694</v>
      </c>
      <c r="AE638" s="110"/>
      <c r="AF638" s="25"/>
      <c r="AG638" s="97">
        <f ca="1">AG636-AG637</f>
        <v>22.165930369212987</v>
      </c>
      <c r="AH638" s="110"/>
      <c r="AI638" s="25"/>
      <c r="AJ638" s="97">
        <f ca="1">AJ636-AJ637</f>
        <v>15.903802460470445</v>
      </c>
      <c r="AK638" s="110"/>
      <c r="AL638" s="25"/>
      <c r="AM638" s="97">
        <f ca="1">AM636-AM637</f>
        <v>8.9222230974130525</v>
      </c>
      <c r="AN638" s="110"/>
      <c r="AO638" s="25"/>
      <c r="AP638" s="97">
        <f ca="1">AP636-AP637</f>
        <v>1.5259751164772055</v>
      </c>
      <c r="AQ638" s="110"/>
      <c r="AR638" s="25"/>
      <c r="AS638" s="97">
        <f ca="1">AS636-AS637</f>
        <v>-9.2194743158319454</v>
      </c>
      <c r="AT638" s="110"/>
      <c r="AU638" s="25"/>
    </row>
    <row r="639" spans="15:47" ht="14.4" x14ac:dyDescent="0.3">
      <c r="O639" s="2" t="s">
        <v>140</v>
      </c>
      <c r="P639" s="11"/>
      <c r="Q639" s="2"/>
      <c r="R639" s="96">
        <f>R638/R636</f>
        <v>0.33470044211570571</v>
      </c>
      <c r="S639" s="106"/>
      <c r="T639" s="22"/>
      <c r="U639" s="96">
        <f ca="1">U638/U636</f>
        <v>0.33426714834528737</v>
      </c>
      <c r="V639" s="111"/>
      <c r="W639" s="28"/>
      <c r="X639" s="96">
        <f ca="1">X638/X636</f>
        <v>0.33209024437582313</v>
      </c>
      <c r="Y639" s="111"/>
      <c r="Z639" s="28"/>
      <c r="AA639" s="96">
        <f ca="1">AA638/AA636</f>
        <v>0.32468621336619624</v>
      </c>
      <c r="AB639" s="111"/>
      <c r="AC639" s="28"/>
      <c r="AD639" s="96">
        <f ca="1">AD638/AD636</f>
        <v>0.30572099693238097</v>
      </c>
      <c r="AE639" s="111"/>
      <c r="AF639" s="28"/>
      <c r="AG639" s="96">
        <f ca="1">AG638/AG636</f>
        <v>0.26977033266233674</v>
      </c>
      <c r="AH639" s="111"/>
      <c r="AI639" s="28"/>
      <c r="AJ639" s="96">
        <f ca="1">AJ638/AJ636</f>
        <v>0.20952576741794859</v>
      </c>
      <c r="AK639" s="111"/>
      <c r="AL639" s="28"/>
      <c r="AM639" s="96">
        <f ca="1">AM638/AM636</f>
        <v>0.12945350130106209</v>
      </c>
      <c r="AN639" s="111"/>
      <c r="AO639" s="28"/>
      <c r="AP639" s="96">
        <f ca="1">AP638/AP636</f>
        <v>2.4802128102615568E-2</v>
      </c>
      <c r="AQ639" s="111"/>
      <c r="AR639" s="28"/>
      <c r="AS639" s="96">
        <f ca="1">AS638/AS636</f>
        <v>-0.18155531459388416</v>
      </c>
      <c r="AT639" s="111"/>
      <c r="AU639" s="28"/>
    </row>
    <row r="640" spans="15:47" x14ac:dyDescent="0.25">
      <c r="O640" s="2" t="s">
        <v>21</v>
      </c>
      <c r="P640" s="8">
        <v>12</v>
      </c>
      <c r="Q640" s="2"/>
      <c r="R640" s="96">
        <f ca="1">1-R639/(3*F_GAMMA*R$29)</f>
        <v>0.82568494169573237</v>
      </c>
      <c r="S640" s="106"/>
      <c r="T640" s="22"/>
      <c r="U640" s="96">
        <f ca="1">1-U639/(3*F_GAMMA*U$29)</f>
        <v>0.82595104864757407</v>
      </c>
      <c r="V640" s="111"/>
      <c r="W640" s="28"/>
      <c r="X640" s="96">
        <f ca="1">1-X639/(3*F_GAMMA*X$29)</f>
        <v>0.82543765011819348</v>
      </c>
      <c r="Y640" s="111"/>
      <c r="Z640" s="28"/>
      <c r="AA640" s="96">
        <f ca="1">1-AA639/(3*F_GAMMA*AA$29)</f>
        <v>0.82692377479255086</v>
      </c>
      <c r="AB640" s="111"/>
      <c r="AC640" s="28"/>
      <c r="AD640" s="96">
        <f ca="1">1-AD639/(3*F_GAMMA*AD$29)</f>
        <v>0.83197903591575062</v>
      </c>
      <c r="AE640" s="111"/>
      <c r="AF640" s="28"/>
      <c r="AG640" s="96">
        <f ca="1">1-AG639/(3*F_GAMMA*AG$29)</f>
        <v>0.84284044545329384</v>
      </c>
      <c r="AH640" s="111"/>
      <c r="AI640" s="28"/>
      <c r="AJ640" s="96">
        <f ca="1">1-AJ639/(3*F_GAMMA*AJ$29)</f>
        <v>0.86867692285726661</v>
      </c>
      <c r="AK640" s="111"/>
      <c r="AL640" s="28"/>
      <c r="AM640" s="96">
        <f ca="1">1-AM639/(3*F_GAMMA*AM$29)</f>
        <v>0.90928246610985641</v>
      </c>
      <c r="AN640" s="111"/>
      <c r="AO640" s="28"/>
      <c r="AP640" s="96">
        <f ca="1">1-AP639/(3*F_GAMMA*AP$29)</f>
        <v>0.98600034904059464</v>
      </c>
      <c r="AQ640" s="111"/>
      <c r="AR640" s="28"/>
      <c r="AS640" s="96">
        <f ca="1">1-AS639/(3*F_GAMMA*AS$29)</f>
        <v>1.1606584867176608</v>
      </c>
      <c r="AT640" s="111"/>
      <c r="AU640" s="28"/>
    </row>
    <row r="641" spans="15:47" x14ac:dyDescent="0.25">
      <c r="O641" s="2" t="s">
        <v>57</v>
      </c>
      <c r="P641" s="143">
        <v>7</v>
      </c>
      <c r="Q641" s="2"/>
      <c r="R641" s="96">
        <f ca="1">(R634/(N_9*R$27*R636*R640))*SQRT(M*'Valve Sizing'!$W$6*'Valve Sizing'!$G$8/R639)</f>
        <v>0.30151127743394207</v>
      </c>
      <c r="S641" s="107"/>
      <c r="T641" s="22"/>
      <c r="U641" s="96">
        <f ca="1">(U634/(N_9*U$27*U636*U640))*SQRT(M*'Valve Sizing'!$W$6*'Valve Sizing'!$G$8/U639)</f>
        <v>7.2653321864792346</v>
      </c>
      <c r="V641" s="111"/>
      <c r="W641" s="28"/>
      <c r="X641" s="96">
        <f ca="1">(X634/(N_9*X$27*X636*X640))*SQRT(M*'Valve Sizing'!$W$6*'Valve Sizing'!$G$8/X639)</f>
        <v>17.959090501933041</v>
      </c>
      <c r="Y641" s="111"/>
      <c r="Z641" s="28"/>
      <c r="AA641" s="96">
        <f ca="1">(AA634/(N_9*AA$27*AA636*AA640))*SQRT(M*'Valve Sizing'!$W$6*'Valve Sizing'!$G$8/AA639)</f>
        <v>35.916065999414755</v>
      </c>
      <c r="AB641" s="111"/>
      <c r="AC641" s="28"/>
      <c r="AD641" s="96">
        <f ca="1">(AD634/(N_9*AD$27*AD636*AD640))*SQRT(M*'Valve Sizing'!$W$6*'Valve Sizing'!$G$8/AD639)</f>
        <v>64.238872189169271</v>
      </c>
      <c r="AE641" s="111"/>
      <c r="AF641" s="28"/>
      <c r="AG641" s="96">
        <f ca="1">(AG634/(N_9*AG$27*AG636*AG640))*SQRT(M*'Valve Sizing'!$W$6*'Valve Sizing'!$G$8/AG639)</f>
        <v>105.95791943463557</v>
      </c>
      <c r="AH641" s="111"/>
      <c r="AI641" s="28"/>
      <c r="AJ641" s="96">
        <f ca="1">(AJ634/(N_9*AJ$27*AJ636*AJ640))*SQRT(M*'Valve Sizing'!$W$6*'Valve Sizing'!$G$8/AJ639)</f>
        <v>174.61035795578886</v>
      </c>
      <c r="AK641" s="111"/>
      <c r="AL641" s="28"/>
      <c r="AM641" s="96">
        <f ca="1">(AM634/(N_9*AM$27*AM636*AM640))*SQRT(M*'Valve Sizing'!$W$6*'Valve Sizing'!$G$8/AM639)</f>
        <v>302.58104147028882</v>
      </c>
      <c r="AN641" s="111"/>
      <c r="AO641" s="28"/>
      <c r="AP641" s="96">
        <f ca="1">(AP634/(N_9*AP$27*AP636*AP640))*SQRT(M*'Valve Sizing'!$W$6*'Valve Sizing'!$G$8/AP639)</f>
        <v>943.65605968441037</v>
      </c>
      <c r="AQ641" s="111"/>
      <c r="AR641" s="28"/>
      <c r="AS641" s="96" t="e">
        <f ca="1">(AS634/(N_9*AS$27*AS636*AS640))*SQRT(M*'Valve Sizing'!$W$6*'Valve Sizing'!$G$8/AS639)</f>
        <v>#NUM!</v>
      </c>
      <c r="AT641" s="111"/>
      <c r="AU641" s="28"/>
    </row>
    <row r="642" spans="15:47" x14ac:dyDescent="0.25">
      <c r="O642" s="2" t="s">
        <v>59</v>
      </c>
      <c r="P642" s="143">
        <v>7</v>
      </c>
      <c r="Q642" s="2"/>
      <c r="R642" s="96">
        <f ca="1">(R634/(N_9*R$27*R636*0.667))*SQRT(M*'Valve Sizing'!$W$6*'Valve Sizing'!$G$8/R643)</f>
        <v>0.26991074329885029</v>
      </c>
      <c r="S642" s="107"/>
      <c r="T642" s="22"/>
      <c r="U642" s="96">
        <f ca="1">(U634/(N_9*U$27*U636*0.667))*SQRT(M*'Valve Sizing'!$W$6*'Valve Sizing'!$G$8/U643)</f>
        <v>6.5010017628202759</v>
      </c>
      <c r="V642" s="111"/>
      <c r="W642" s="28"/>
      <c r="X642" s="96">
        <f ca="1">(X634/(N_9*X$27*X636*0.667))*SQRT(M*'Valve Sizing'!$W$6*'Valve Sizing'!$G$8/X643)</f>
        <v>16.083430858708901</v>
      </c>
      <c r="Y642" s="111"/>
      <c r="Z642" s="28"/>
      <c r="AA642" s="96">
        <f ca="1">(AA634/(N_9*AA$27*AA636*0.667))*SQRT(M*'Valve Sizing'!$W$6*'Valve Sizing'!$G$8/AA643)</f>
        <v>32.08542085569573</v>
      </c>
      <c r="AB642" s="111"/>
      <c r="AC642" s="28"/>
      <c r="AD642" s="96">
        <f ca="1">(AD634/(N_9*AD$27*AD636*0.667))*SQRT(M*'Valve Sizing'!$W$6*'Valve Sizing'!$G$8/AD643)</f>
        <v>56.88880621255803</v>
      </c>
      <c r="AE642" s="111"/>
      <c r="AF642" s="28"/>
      <c r="AG642" s="96">
        <f ca="1">(AG634/(N_9*AG$27*AG636*0.667))*SQRT(M*'Valve Sizing'!$W$6*'Valve Sizing'!$G$8/AG643)</f>
        <v>91.935655724808967</v>
      </c>
      <c r="AH642" s="111"/>
      <c r="AI642" s="28"/>
      <c r="AJ642" s="96">
        <f ca="1">(AJ634/(N_9*AJ$27*AJ636*0.667))*SQRT(M*'Valve Sizing'!$W$6*'Valve Sizing'!$G$8/AJ643)</f>
        <v>142.73602747154516</v>
      </c>
      <c r="AK642" s="111"/>
      <c r="AL642" s="28"/>
      <c r="AM642" s="96">
        <f ca="1">(AM634/(N_9*AM$27*AM636*0.667))*SQRT(M*'Valve Sizing'!$W$6*'Valve Sizing'!$G$8/AM643)</f>
        <v>215.18943298153235</v>
      </c>
      <c r="AN642" s="111"/>
      <c r="AO642" s="28"/>
      <c r="AP642" s="96">
        <f ca="1">(AP634/(N_9*AP$27*AP636*0.667))*SQRT(M*'Valve Sizing'!$W$6*'Valve Sizing'!$G$8/AP643)</f>
        <v>285.88028024630711</v>
      </c>
      <c r="AQ642" s="111"/>
      <c r="AR642" s="28"/>
      <c r="AS642" s="96">
        <f ca="1">(AS634/(N_9*AS$27*AS636*0.667))*SQRT(M*'Valve Sizing'!$W$6*'Valve Sizing'!$G$8/AS643)</f>
        <v>681.12643280270379</v>
      </c>
      <c r="AT642" s="111"/>
      <c r="AU642" s="28"/>
    </row>
    <row r="643" spans="15:47" ht="15.6" x14ac:dyDescent="0.35">
      <c r="O643" s="2" t="s">
        <v>68</v>
      </c>
      <c r="P643" s="143">
        <v>10</v>
      </c>
      <c r="Q643" s="2"/>
      <c r="R643" s="96">
        <f ca="1">F_GAMMA*R$29</f>
        <v>0.64002969751372984</v>
      </c>
      <c r="S643" s="107"/>
      <c r="T643" s="1"/>
      <c r="U643" s="96">
        <f ca="1">F_GAMMA*U$29</f>
        <v>0.64017842058782071</v>
      </c>
      <c r="V643" s="111"/>
      <c r="W643" s="28"/>
      <c r="X643" s="96">
        <f ca="1">F_GAMMA*X$29</f>
        <v>0.63413873724904268</v>
      </c>
      <c r="Y643" s="111"/>
      <c r="Z643" s="28"/>
      <c r="AA643" s="96">
        <f ca="1">F_GAMMA*AA$29</f>
        <v>0.62532411750377137</v>
      </c>
      <c r="AB643" s="111"/>
      <c r="AC643" s="28"/>
      <c r="AD643" s="96">
        <f ca="1">F_GAMMA*AD$29</f>
        <v>0.60651359509139569</v>
      </c>
      <c r="AE643" s="111"/>
      <c r="AF643" s="28"/>
      <c r="AG643" s="96">
        <f ca="1">F_GAMMA*AG$29</f>
        <v>0.57217930198481592</v>
      </c>
      <c r="AH643" s="111"/>
      <c r="AI643" s="28"/>
      <c r="AJ643" s="96">
        <f ca="1">F_GAMMA*AJ$29</f>
        <v>0.53183282018848232</v>
      </c>
      <c r="AK643" s="111"/>
      <c r="AL643" s="28"/>
      <c r="AM643" s="96">
        <f ca="1">F_GAMMA*AM$29</f>
        <v>0.47566512503094399</v>
      </c>
      <c r="AN643" s="111"/>
      <c r="AO643" s="28"/>
      <c r="AP643" s="96">
        <f ca="1">F_GAMMA*AP$29</f>
        <v>0.59054158265645496</v>
      </c>
      <c r="AQ643" s="111"/>
      <c r="AR643" s="28"/>
      <c r="AS643" s="96">
        <f ca="1">F_GAMMA*AS$29</f>
        <v>0.3766899554102966</v>
      </c>
      <c r="AT643" s="111"/>
      <c r="AU643" s="28"/>
    </row>
    <row r="644" spans="15:47" x14ac:dyDescent="0.25">
      <c r="O644" s="2" t="s">
        <v>145</v>
      </c>
      <c r="P644" s="12"/>
      <c r="Q644" s="2"/>
      <c r="R644" s="96">
        <f ca="1">IF(R639&lt;R643,R641,R642)</f>
        <v>0.30151127743394207</v>
      </c>
      <c r="S644" s="116"/>
      <c r="T644" s="1"/>
      <c r="U644" s="96">
        <f ca="1">IF(U639&lt;U643,U641,U642)</f>
        <v>7.2653321864792346</v>
      </c>
      <c r="V644" s="111"/>
      <c r="W644" s="28"/>
      <c r="X644" s="96">
        <f ca="1">IF(X639&lt;X643,X641,X642)</f>
        <v>17.959090501933041</v>
      </c>
      <c r="Y644" s="111"/>
      <c r="Z644" s="28"/>
      <c r="AA644" s="96">
        <f ca="1">IF(AA639&lt;AA643,AA641,AA642)</f>
        <v>35.916065999414755</v>
      </c>
      <c r="AB644" s="111"/>
      <c r="AC644" s="28"/>
      <c r="AD644" s="96">
        <f ca="1">IF(AD639&lt;AD643,AD641,AD642)</f>
        <v>64.238872189169271</v>
      </c>
      <c r="AE644" s="111"/>
      <c r="AF644" s="28"/>
      <c r="AG644" s="96">
        <f ca="1">IF(AG639&lt;AG643,AG641,AG642)</f>
        <v>105.95791943463557</v>
      </c>
      <c r="AH644" s="111"/>
      <c r="AI644" s="28"/>
      <c r="AJ644" s="96">
        <f ca="1">IF(AJ639&lt;AJ643,AJ641,AJ642)</f>
        <v>174.61035795578886</v>
      </c>
      <c r="AK644" s="111"/>
      <c r="AL644" s="28"/>
      <c r="AM644" s="96">
        <f ca="1">IF(AM639&lt;AM643,AM641,AM642)</f>
        <v>302.58104147028882</v>
      </c>
      <c r="AN644" s="111"/>
      <c r="AO644" s="28"/>
      <c r="AP644" s="96">
        <f ca="1">IF(AP639&lt;AP643,AP641,AP642)</f>
        <v>943.65605968441037</v>
      </c>
      <c r="AQ644" s="111"/>
      <c r="AR644" s="28"/>
      <c r="AS644" s="96" t="e">
        <f ca="1">IF(AS639&lt;AS643,AS641,AS642)</f>
        <v>#NUM!</v>
      </c>
      <c r="AT644" s="111"/>
      <c r="AU644" s="28"/>
    </row>
    <row r="645" spans="15:47" x14ac:dyDescent="0.25">
      <c r="O645" s="13" t="s">
        <v>143</v>
      </c>
      <c r="P645" s="1"/>
      <c r="Q645" s="1"/>
      <c r="R645" s="113"/>
      <c r="S645" s="106">
        <f ca="1">IF(R638&lt;=0,Q_max,ABS(R$23-R644))</f>
        <v>4.4284887225660583</v>
      </c>
      <c r="T645" s="7">
        <f>R634</f>
        <v>746.61042429370229</v>
      </c>
      <c r="U645" s="98"/>
      <c r="V645" s="106">
        <f ca="1">IF(U638&lt;=0,Q_max,ABS(U$23-U644))</f>
        <v>4.334667813520765</v>
      </c>
      <c r="W645" s="9">
        <f ca="1">U634</f>
        <v>17961.268159714484</v>
      </c>
      <c r="X645" s="98"/>
      <c r="Y645" s="106">
        <f ca="1">IF(X638&lt;=0,Q_max,ABS(X$23-X644))</f>
        <v>5.0409094980669593</v>
      </c>
      <c r="Z645" s="9">
        <f ca="1">X634</f>
        <v>43980.548094000289</v>
      </c>
      <c r="AA645" s="98"/>
      <c r="AB645" s="106">
        <f ca="1">IF(AA638&lt;=0,Q_max,ABS(AA$23-AA644))</f>
        <v>3.4839340005852435</v>
      </c>
      <c r="AC645" s="9">
        <f ca="1">AA634</f>
        <v>85662.881853935163</v>
      </c>
      <c r="AD645" s="98"/>
      <c r="AE645" s="106">
        <f ca="1">IF(AD638&lt;=0,Q_max,ABS(AD$23-AD644))</f>
        <v>3.2388721891692711</v>
      </c>
      <c r="AF645" s="9">
        <f ca="1">AD634</f>
        <v>143715.66786693616</v>
      </c>
      <c r="AG645" s="98"/>
      <c r="AH645" s="106">
        <f ca="1">IF(AG638&lt;=0,Q_max,ABS(AG$23-AG644))</f>
        <v>17.757919434635568</v>
      </c>
      <c r="AI645" s="9">
        <f ca="1">AG634</f>
        <v>209756.93151209821</v>
      </c>
      <c r="AJ645" s="98"/>
      <c r="AK645" s="106">
        <f ca="1">IF(AJ638&lt;=0,Q_max,ABS(AJ$23-AJ644))</f>
        <v>53.610357955788857</v>
      </c>
      <c r="AL645" s="9">
        <f ca="1">AJ634</f>
        <v>279921.43823974277</v>
      </c>
      <c r="AM645" s="98"/>
      <c r="AN645" s="106">
        <f ca="1">IF(AM638&lt;=0,Q_max,ABS(AM$23-AM644))</f>
        <v>137.58104147028882</v>
      </c>
      <c r="AO645" s="9">
        <f ca="1">AM634</f>
        <v>341557.35090804409</v>
      </c>
      <c r="AP645" s="98"/>
      <c r="AQ645" s="106">
        <f ca="1">IF(AP638&lt;=0,Q_max,ABS(AP$23-AP644))</f>
        <v>697.65605968441037</v>
      </c>
      <c r="AR645" s="9">
        <f ca="1">AP634</f>
        <v>396537.48088265595</v>
      </c>
      <c r="AS645" s="98"/>
      <c r="AT645" s="106">
        <f ca="1">IF(AS638&lt;=0,Q_max,ABS(AS$23-AS644))</f>
        <v>236393</v>
      </c>
      <c r="AU645" s="9">
        <f ca="1">AS634</f>
        <v>464971.38199484174</v>
      </c>
    </row>
    <row r="646" spans="15:47" x14ac:dyDescent="0.25">
      <c r="O646" s="21"/>
      <c r="P646" s="14"/>
      <c r="Q646" s="21"/>
      <c r="R646" s="97"/>
      <c r="S646" s="106"/>
      <c r="T646" s="28"/>
      <c r="U646" s="99"/>
      <c r="V646" s="110"/>
      <c r="W646" s="25"/>
      <c r="X646" s="99"/>
      <c r="Y646" s="110"/>
      <c r="Z646" s="25"/>
      <c r="AA646" s="99"/>
      <c r="AB646" s="110"/>
      <c r="AC646" s="25"/>
      <c r="AD646" s="99"/>
      <c r="AE646" s="110"/>
      <c r="AF646" s="25"/>
      <c r="AG646" s="99"/>
      <c r="AH646" s="110"/>
      <c r="AI646" s="25"/>
      <c r="AJ646" s="99"/>
      <c r="AK646" s="110"/>
      <c r="AL646" s="25"/>
      <c r="AM646" s="99"/>
      <c r="AN646" s="110"/>
      <c r="AO646" s="25"/>
      <c r="AP646" s="99"/>
      <c r="AQ646" s="110"/>
      <c r="AR646" s="25"/>
      <c r="AS646" s="99"/>
      <c r="AT646" s="110"/>
      <c r="AU646" s="25"/>
    </row>
    <row r="647" spans="15:47" x14ac:dyDescent="0.25">
      <c r="O647" s="1"/>
      <c r="P647" s="1"/>
      <c r="Q647" s="1"/>
      <c r="R647" s="98"/>
      <c r="S647" s="108" t="s">
        <v>137</v>
      </c>
      <c r="T647" s="26" t="s">
        <v>146</v>
      </c>
      <c r="U647" s="98"/>
      <c r="V647" s="108" t="s">
        <v>137</v>
      </c>
      <c r="W647" s="26" t="s">
        <v>146</v>
      </c>
      <c r="X647" s="98"/>
      <c r="Y647" s="108" t="s">
        <v>137</v>
      </c>
      <c r="Z647" s="26" t="s">
        <v>146</v>
      </c>
      <c r="AA647" s="98"/>
      <c r="AB647" s="108" t="s">
        <v>137</v>
      </c>
      <c r="AC647" s="26" t="s">
        <v>146</v>
      </c>
      <c r="AD647" s="98"/>
      <c r="AE647" s="108" t="s">
        <v>137</v>
      </c>
      <c r="AF647" s="26" t="s">
        <v>146</v>
      </c>
      <c r="AG647" s="98"/>
      <c r="AH647" s="108" t="s">
        <v>137</v>
      </c>
      <c r="AI647" s="26" t="s">
        <v>146</v>
      </c>
      <c r="AJ647" s="98"/>
      <c r="AK647" s="108" t="s">
        <v>137</v>
      </c>
      <c r="AL647" s="26" t="s">
        <v>146</v>
      </c>
      <c r="AM647" s="98"/>
      <c r="AN647" s="108" t="s">
        <v>137</v>
      </c>
      <c r="AO647" s="26" t="s">
        <v>146</v>
      </c>
      <c r="AP647" s="98"/>
      <c r="AQ647" s="108" t="s">
        <v>137</v>
      </c>
      <c r="AR647" s="26" t="s">
        <v>146</v>
      </c>
      <c r="AS647" s="98"/>
      <c r="AT647" s="108" t="s">
        <v>137</v>
      </c>
      <c r="AU647" s="26" t="s">
        <v>146</v>
      </c>
    </row>
    <row r="648" spans="15:47" ht="13.8" x14ac:dyDescent="0.25">
      <c r="O648" s="20" t="s">
        <v>136</v>
      </c>
      <c r="P648" s="1"/>
      <c r="Q648" s="1"/>
      <c r="R648" s="96">
        <f>R634*1.02</f>
        <v>761.54263277957637</v>
      </c>
      <c r="S648" s="109" t="s">
        <v>144</v>
      </c>
      <c r="T648" s="23" t="s">
        <v>147</v>
      </c>
      <c r="U648" s="96">
        <f ca="1">U634*1.01</f>
        <v>18140.880841311628</v>
      </c>
      <c r="V648" s="109" t="s">
        <v>144</v>
      </c>
      <c r="W648" s="23" t="s">
        <v>147</v>
      </c>
      <c r="X648" s="96">
        <f ca="1">X634*1.01</f>
        <v>44420.353574940294</v>
      </c>
      <c r="Y648" s="109" t="s">
        <v>144</v>
      </c>
      <c r="Z648" s="23" t="s">
        <v>147</v>
      </c>
      <c r="AA648" s="96">
        <f ca="1">AA634*1.01</f>
        <v>86519.510672474513</v>
      </c>
      <c r="AB648" s="109" t="s">
        <v>144</v>
      </c>
      <c r="AC648" s="23" t="s">
        <v>147</v>
      </c>
      <c r="AD648" s="96">
        <f ca="1">AD634*1.01</f>
        <v>145152.82454560552</v>
      </c>
      <c r="AE648" s="109" t="s">
        <v>144</v>
      </c>
      <c r="AF648" s="23" t="s">
        <v>147</v>
      </c>
      <c r="AG648" s="96">
        <f ca="1">AG634*1.01</f>
        <v>211854.50082721919</v>
      </c>
      <c r="AH648" s="109" t="s">
        <v>144</v>
      </c>
      <c r="AI648" s="23" t="s">
        <v>147</v>
      </c>
      <c r="AJ648" s="96">
        <f ca="1">AJ634*1.01</f>
        <v>282720.65262214019</v>
      </c>
      <c r="AK648" s="109" t="s">
        <v>144</v>
      </c>
      <c r="AL648" s="23" t="s">
        <v>147</v>
      </c>
      <c r="AM648" s="96">
        <f ca="1">AM634*1.01</f>
        <v>344972.92441712454</v>
      </c>
      <c r="AN648" s="109" t="s">
        <v>144</v>
      </c>
      <c r="AO648" s="23" t="s">
        <v>147</v>
      </c>
      <c r="AP648" s="96">
        <f ca="1">AP634*1.01</f>
        <v>400502.85569148249</v>
      </c>
      <c r="AQ648" s="109" t="s">
        <v>144</v>
      </c>
      <c r="AR648" s="23" t="s">
        <v>147</v>
      </c>
      <c r="AS648" s="96">
        <f ca="1">AS634*1.01</f>
        <v>469621.09581479017</v>
      </c>
      <c r="AT648" s="109" t="s">
        <v>144</v>
      </c>
      <c r="AU648" s="23" t="s">
        <v>147</v>
      </c>
    </row>
    <row r="649" spans="15:47" x14ac:dyDescent="0.25">
      <c r="O649" s="1"/>
      <c r="P649" s="1"/>
      <c r="Q649" s="1"/>
      <c r="R649" s="98"/>
      <c r="S649" s="107"/>
      <c r="T649" s="1"/>
      <c r="U649" s="47"/>
      <c r="V649" s="107"/>
      <c r="W649" s="1"/>
      <c r="X649" s="47"/>
      <c r="Y649" s="107"/>
      <c r="Z649" s="1"/>
      <c r="AA649" s="47"/>
      <c r="AB649" s="107"/>
      <c r="AC649" s="1"/>
      <c r="AD649" s="47"/>
      <c r="AE649" s="107"/>
      <c r="AF649" s="1"/>
      <c r="AG649" s="47"/>
      <c r="AH649" s="107"/>
      <c r="AI649" s="1"/>
      <c r="AJ649" s="47"/>
      <c r="AK649" s="107"/>
      <c r="AL649" s="1"/>
      <c r="AM649" s="47"/>
      <c r="AN649" s="107"/>
      <c r="AO649" s="1"/>
      <c r="AP649" s="47"/>
      <c r="AQ649" s="107"/>
      <c r="AR649" s="1"/>
      <c r="AS649" s="47"/>
      <c r="AT649" s="107"/>
      <c r="AU649" s="1"/>
    </row>
    <row r="650" spans="15:47" x14ac:dyDescent="0.25">
      <c r="O650" s="8" t="s">
        <v>132</v>
      </c>
      <c r="P650" s="8"/>
      <c r="Q650" s="8"/>
      <c r="R650" s="96">
        <f>P_1_minQ-(R648^2*R_up)+dpup_minQ</f>
        <v>90.184934828553793</v>
      </c>
      <c r="S650" s="106"/>
      <c r="T650" s="22"/>
      <c r="U650" s="96">
        <f ca="1">P_1_minQ-(U648^2*R_up)+dpup_minQ</f>
        <v>90.125060003080804</v>
      </c>
      <c r="V650" s="107"/>
      <c r="W650" s="1"/>
      <c r="X650" s="96">
        <f ca="1">P_1_minQ-(X648^2*R_up)+dpup_minQ</f>
        <v>89.8254091669383</v>
      </c>
      <c r="Y650" s="107"/>
      <c r="Z650" s="1"/>
      <c r="AA650" s="96">
        <f ca="1">P_1_minQ-(AA648^2*R_up)+dpup_minQ</f>
        <v>88.8207035643414</v>
      </c>
      <c r="AB650" s="107"/>
      <c r="AC650" s="1"/>
      <c r="AD650" s="96">
        <f ca="1">P_1_minQ-(AD648^2*R_up)+dpup_minQ</f>
        <v>86.344922972615336</v>
      </c>
      <c r="AE650" s="107"/>
      <c r="AF650" s="1"/>
      <c r="AG650" s="96">
        <f ca="1">P_1_minQ-(AG648^2*R_up)+dpup_minQ</f>
        <v>82.004746254976027</v>
      </c>
      <c r="AH650" s="107"/>
      <c r="AI650" s="1"/>
      <c r="AJ650" s="96">
        <f ca="1">P_1_minQ-(AJ648^2*R_up)+dpup_minQ</f>
        <v>75.616749575267761</v>
      </c>
      <c r="AK650" s="107"/>
      <c r="AL650" s="1"/>
      <c r="AM650" s="96">
        <f ca="1">P_1_minQ-(AM648^2*R_up)+dpup_minQ</f>
        <v>68.494840467012921</v>
      </c>
      <c r="AN650" s="107"/>
      <c r="AO650" s="1"/>
      <c r="AP650" s="96">
        <f ca="1">P_1_minQ-(AP648^2*R_up)+dpup_minQ</f>
        <v>60.94992790166026</v>
      </c>
      <c r="AQ650" s="107"/>
      <c r="AR650" s="1"/>
      <c r="AS650" s="96">
        <f ca="1">P_1_minQ-(AS648^2*R_up)+dpup_minQ</f>
        <v>49.988494935761686</v>
      </c>
      <c r="AT650" s="107"/>
      <c r="AU650" s="1"/>
    </row>
    <row r="651" spans="15:47" x14ac:dyDescent="0.25">
      <c r="O651" s="8" t="s">
        <v>134</v>
      </c>
      <c r="P651" s="1"/>
      <c r="Q651" s="8"/>
      <c r="R651" s="97">
        <f>P_2_minQ+(R648^2*R_dn)-dpdn_minQ</f>
        <v>60</v>
      </c>
      <c r="S651" s="106"/>
      <c r="T651" s="22"/>
      <c r="U651" s="97">
        <f ca="1">P_2_minQ+(U648^2*R_dn)-dpdn_minQ</f>
        <v>60</v>
      </c>
      <c r="V651" s="107"/>
      <c r="W651" s="1"/>
      <c r="X651" s="97">
        <f ca="1">P_2_minQ+(X648^2*R_dn)-dpdn_minQ</f>
        <v>60</v>
      </c>
      <c r="Y651" s="107"/>
      <c r="Z651" s="1"/>
      <c r="AA651" s="97">
        <f ca="1">P_2_minQ+(AA648^2*R_dn)-dpdn_minQ</f>
        <v>60</v>
      </c>
      <c r="AB651" s="107"/>
      <c r="AC651" s="1"/>
      <c r="AD651" s="97">
        <f ca="1">P_2_minQ+(AD648^2*R_dn)-dpdn_minQ</f>
        <v>60</v>
      </c>
      <c r="AE651" s="107"/>
      <c r="AF651" s="1"/>
      <c r="AG651" s="97">
        <f ca="1">P_2_minQ+(AG648^2*R_dn)-dpdn_minQ</f>
        <v>60</v>
      </c>
      <c r="AH651" s="107"/>
      <c r="AI651" s="1"/>
      <c r="AJ651" s="97">
        <f ca="1">P_2_minQ+(AJ648^2*R_dn)-dpdn_minQ</f>
        <v>60</v>
      </c>
      <c r="AK651" s="107"/>
      <c r="AL651" s="1"/>
      <c r="AM651" s="97">
        <f ca="1">P_2_minQ+(AM648^2*R_dn)-dpdn_minQ</f>
        <v>60</v>
      </c>
      <c r="AN651" s="107"/>
      <c r="AO651" s="1"/>
      <c r="AP651" s="97">
        <f ca="1">P_2_minQ+(AP648^2*R_dn)-dpdn_minQ</f>
        <v>60</v>
      </c>
      <c r="AQ651" s="107"/>
      <c r="AR651" s="1"/>
      <c r="AS651" s="97">
        <f ca="1">P_2_minQ+(AS648^2*R_dn)-dpdn_minQ</f>
        <v>60</v>
      </c>
      <c r="AT651" s="107"/>
      <c r="AU651" s="1"/>
    </row>
    <row r="652" spans="15:47" x14ac:dyDescent="0.25">
      <c r="O652" s="8" t="s">
        <v>138</v>
      </c>
      <c r="P652" s="1"/>
      <c r="Q652" s="8"/>
      <c r="R652" s="97">
        <f>R650-R651</f>
        <v>30.184934828553793</v>
      </c>
      <c r="S652" s="106"/>
      <c r="T652" s="22"/>
      <c r="U652" s="97">
        <f ca="1">U650-U651</f>
        <v>30.125060003080804</v>
      </c>
      <c r="V652" s="110"/>
      <c r="W652" s="25"/>
      <c r="X652" s="97">
        <f ca="1">X650-X651</f>
        <v>29.8254091669383</v>
      </c>
      <c r="Y652" s="110"/>
      <c r="Z652" s="25"/>
      <c r="AA652" s="97">
        <f ca="1">AA650-AA651</f>
        <v>28.8207035643414</v>
      </c>
      <c r="AB652" s="110"/>
      <c r="AC652" s="25"/>
      <c r="AD652" s="97">
        <f ca="1">AD650-AD651</f>
        <v>26.344922972615336</v>
      </c>
      <c r="AE652" s="110"/>
      <c r="AF652" s="25"/>
      <c r="AG652" s="97">
        <f ca="1">AG650-AG651</f>
        <v>22.004746254976027</v>
      </c>
      <c r="AH652" s="110"/>
      <c r="AI652" s="25"/>
      <c r="AJ652" s="97">
        <f ca="1">AJ650-AJ651</f>
        <v>15.616749575267761</v>
      </c>
      <c r="AK652" s="110"/>
      <c r="AL652" s="25"/>
      <c r="AM652" s="97">
        <f ca="1">AM650-AM651</f>
        <v>8.4948404670129207</v>
      </c>
      <c r="AN652" s="110"/>
      <c r="AO652" s="25"/>
      <c r="AP652" s="97">
        <f ca="1">AP650-AP651</f>
        <v>0.94992790166025998</v>
      </c>
      <c r="AQ652" s="110"/>
      <c r="AR652" s="25"/>
      <c r="AS652" s="97">
        <f ca="1">AS650-AS651</f>
        <v>-10.011505064238314</v>
      </c>
      <c r="AT652" s="110"/>
      <c r="AU652" s="25"/>
    </row>
    <row r="653" spans="15:47" ht="14.4" x14ac:dyDescent="0.3">
      <c r="O653" s="2" t="s">
        <v>140</v>
      </c>
      <c r="P653" s="11"/>
      <c r="Q653" s="2"/>
      <c r="R653" s="96">
        <f>R652/R650</f>
        <v>0.33470041183637722</v>
      </c>
      <c r="S653" s="106"/>
      <c r="T653" s="22"/>
      <c r="U653" s="96">
        <f ca="1">U652/U650</f>
        <v>0.3342584182695803</v>
      </c>
      <c r="V653" s="111"/>
      <c r="W653" s="28"/>
      <c r="X653" s="96">
        <f ca="1">X652/X650</f>
        <v>0.33203755422375553</v>
      </c>
      <c r="Y653" s="111"/>
      <c r="Z653" s="28"/>
      <c r="AA653" s="96">
        <f ca="1">AA652/AA650</f>
        <v>0.32448182020381977</v>
      </c>
      <c r="AB653" s="111"/>
      <c r="AC653" s="28"/>
      <c r="AD653" s="96">
        <f ca="1">AD652/AD650</f>
        <v>0.30511258873866554</v>
      </c>
      <c r="AE653" s="111"/>
      <c r="AF653" s="28"/>
      <c r="AG653" s="96">
        <f ca="1">AG652/AG650</f>
        <v>0.26833503254259244</v>
      </c>
      <c r="AH653" s="111"/>
      <c r="AI653" s="28"/>
      <c r="AJ653" s="96">
        <f ca="1">AJ652/AJ650</f>
        <v>0.20652500488298675</v>
      </c>
      <c r="AK653" s="111"/>
      <c r="AL653" s="28"/>
      <c r="AM653" s="96">
        <f ca="1">AM652/AM650</f>
        <v>0.12402161110374484</v>
      </c>
      <c r="AN653" s="111"/>
      <c r="AO653" s="28"/>
      <c r="AP653" s="96">
        <f ca="1">AP652/AP650</f>
        <v>1.5585381875970753E-2</v>
      </c>
      <c r="AQ653" s="111"/>
      <c r="AR653" s="28"/>
      <c r="AS653" s="96">
        <f ca="1">AS652/AS650</f>
        <v>-0.20027618509226411</v>
      </c>
      <c r="AT653" s="111"/>
      <c r="AU653" s="28"/>
    </row>
    <row r="654" spans="15:47" x14ac:dyDescent="0.25">
      <c r="O654" s="2" t="s">
        <v>21</v>
      </c>
      <c r="P654" s="8">
        <v>12</v>
      </c>
      <c r="Q654" s="2"/>
      <c r="R654" s="96">
        <f ca="1">1-R653/(3*F_GAMMA*R$29)</f>
        <v>0.8256849574654842</v>
      </c>
      <c r="S654" s="106"/>
      <c r="T654" s="22"/>
      <c r="U654" s="96">
        <f ca="1">1-U653/(3*F_GAMMA*U$29)</f>
        <v>0.82595559429475951</v>
      </c>
      <c r="V654" s="111"/>
      <c r="W654" s="28"/>
      <c r="X654" s="96">
        <f ca="1">1-X653/(3*F_GAMMA*X$29)</f>
        <v>0.82546534655588266</v>
      </c>
      <c r="Y654" s="111"/>
      <c r="Z654" s="28"/>
      <c r="AA654" s="96">
        <f ca="1">1-AA653/(3*F_GAMMA*AA$29)</f>
        <v>0.82703272797733685</v>
      </c>
      <c r="AB654" s="111"/>
      <c r="AC654" s="28"/>
      <c r="AD654" s="96">
        <f ca="1">1-AD653/(3*F_GAMMA*AD$29)</f>
        <v>0.83231341050006302</v>
      </c>
      <c r="AE654" s="111"/>
      <c r="AF654" s="28"/>
      <c r="AG654" s="96">
        <f ca="1">1-AG653/(3*F_GAMMA*AG$29)</f>
        <v>0.84367660532763478</v>
      </c>
      <c r="AH654" s="111"/>
      <c r="AI654" s="28"/>
      <c r="AJ654" s="96">
        <f ca="1">1-AJ653/(3*F_GAMMA*AJ$29)</f>
        <v>0.87055769091134438</v>
      </c>
      <c r="AK654" s="111"/>
      <c r="AL654" s="28"/>
      <c r="AM654" s="96">
        <f ca="1">1-AM653/(3*F_GAMMA*AM$29)</f>
        <v>0.91308898874624822</v>
      </c>
      <c r="AN654" s="111"/>
      <c r="AO654" s="28"/>
      <c r="AP654" s="96">
        <f ca="1">1-AP653/(3*F_GAMMA*AP$29)</f>
        <v>0.99120277480102104</v>
      </c>
      <c r="AQ654" s="111"/>
      <c r="AR654" s="28"/>
      <c r="AS654" s="96">
        <f ca="1">1-AS653/(3*F_GAMMA*AS$29)</f>
        <v>1.177224604493033</v>
      </c>
      <c r="AT654" s="111"/>
      <c r="AU654" s="28"/>
    </row>
    <row r="655" spans="15:47" x14ac:dyDescent="0.25">
      <c r="O655" s="2" t="s">
        <v>57</v>
      </c>
      <c r="P655" s="143">
        <v>7</v>
      </c>
      <c r="Q655" s="2"/>
      <c r="R655" s="96">
        <f ca="1">(R648/(N_9*R$27*R650*R654))*SQRT(M*'Valve Sizing'!$W$6*'Valve Sizing'!$G$8/R653)</f>
        <v>0.307541525016988</v>
      </c>
      <c r="S655" s="107"/>
      <c r="T655" s="22"/>
      <c r="U655" s="96">
        <f ca="1">(U648/(N_9*U$27*U650*U654))*SQRT(M*'Valve Sizing'!$W$6*'Valve Sizing'!$G$8/U653)</f>
        <v>7.3381371756623652</v>
      </c>
      <c r="V655" s="111"/>
      <c r="W655" s="28"/>
      <c r="X655" s="96">
        <f ca="1">(X648/(N_9*X$27*X650*X654))*SQRT(M*'Valve Sizing'!$W$6*'Valve Sizing'!$G$8/X653)</f>
        <v>18.140942884832725</v>
      </c>
      <c r="Y655" s="111"/>
      <c r="Z655" s="28"/>
      <c r="AA655" s="96">
        <f ca="1">(AA648/(N_9*AA$27*AA650*AA654))*SQRT(M*'Valve Sizing'!$W$6*'Valve Sizing'!$G$8/AA653)</f>
        <v>36.292850675463363</v>
      </c>
      <c r="AB655" s="111"/>
      <c r="AC655" s="28"/>
      <c r="AD655" s="96">
        <f ca="1">(AD648/(N_9*AD$27*AD650*AD654))*SQRT(M*'Valve Sizing'!$W$6*'Valve Sizing'!$G$8/AD653)</f>
        <v>64.976715636667777</v>
      </c>
      <c r="AE655" s="111"/>
      <c r="AF655" s="28"/>
      <c r="AG655" s="96">
        <f ca="1">(AG648/(N_9*AG$27*AG650*AG654))*SQRT(M*'Valve Sizing'!$W$6*'Valve Sizing'!$G$8/AG653)</f>
        <v>107.40768374346634</v>
      </c>
      <c r="AH655" s="111"/>
      <c r="AI655" s="28"/>
      <c r="AJ655" s="96">
        <f ca="1">(AJ648/(N_9*AJ$27*AJ650*AJ654))*SQRT(M*'Valve Sizing'!$W$6*'Valve Sizing'!$G$8/AJ653)</f>
        <v>177.92215544982747</v>
      </c>
      <c r="AK655" s="111"/>
      <c r="AL655" s="28"/>
      <c r="AM655" s="96">
        <f ca="1">(AM648/(N_9*AM$27*AM650*AM654))*SQRT(M*'Valve Sizing'!$W$6*'Valve Sizing'!$G$8/AM653)</f>
        <v>312.86604570991199</v>
      </c>
      <c r="AN655" s="111"/>
      <c r="AO655" s="28"/>
      <c r="AP655" s="96">
        <f ca="1">(AP648/(N_9*AP$27*AP650*AP654))*SQRT(M*'Valve Sizing'!$W$6*'Valve Sizing'!$G$8/AP653)</f>
        <v>1207.3153569512024</v>
      </c>
      <c r="AQ655" s="111"/>
      <c r="AR655" s="28"/>
      <c r="AS655" s="96" t="e">
        <f ca="1">(AS648/(N_9*AS$27*AS650*AS654))*SQRT(M*'Valve Sizing'!$W$6*'Valve Sizing'!$G$8/AS653)</f>
        <v>#NUM!</v>
      </c>
      <c r="AT655" s="111"/>
      <c r="AU655" s="28"/>
    </row>
    <row r="656" spans="15:47" x14ac:dyDescent="0.25">
      <c r="O656" s="2" t="s">
        <v>59</v>
      </c>
      <c r="P656" s="143">
        <v>7</v>
      </c>
      <c r="Q656" s="2"/>
      <c r="R656" s="96">
        <f ca="1">(R648/(N_9*R$27*R650*0.667))*SQRT(M*'Valve Sizing'!$W$6*'Valve Sizing'!$G$8/R657)</f>
        <v>0.27530897069477761</v>
      </c>
      <c r="S656" s="107"/>
      <c r="T656" s="22"/>
      <c r="U656" s="96">
        <f ca="1">(U648/(N_9*U$27*U650*0.667))*SQRT(M*'Valve Sizing'!$W$6*'Valve Sizing'!$G$8/U657)</f>
        <v>6.5660978837251829</v>
      </c>
      <c r="V656" s="111"/>
      <c r="W656" s="28"/>
      <c r="X656" s="96">
        <f ca="1">(X648/(N_9*X$27*X650*0.667))*SQRT(M*'Valve Sizing'!$W$6*'Valve Sizing'!$G$8/X657)</f>
        <v>16.245546647008908</v>
      </c>
      <c r="Y656" s="111"/>
      <c r="Z656" s="28"/>
      <c r="AA656" s="96">
        <f ca="1">(AA648/(N_9*AA$27*AA650*0.667))*SQRT(M*'Valve Sizing'!$W$6*'Valve Sizing'!$G$8/AA657)</f>
        <v>32.416083276630872</v>
      </c>
      <c r="AB656" s="111"/>
      <c r="AC656" s="28"/>
      <c r="AD656" s="96">
        <f ca="1">(AD648/(N_9*AD$27*AD650*0.667))*SQRT(M*'Valve Sizing'!$W$6*'Valve Sizing'!$G$8/AD657)</f>
        <v>57.50804540417802</v>
      </c>
      <c r="AE656" s="111"/>
      <c r="AF656" s="28"/>
      <c r="AG656" s="96">
        <f ca="1">(AG648/(N_9*AG$27*AG650*0.667))*SQRT(M*'Valve Sizing'!$W$6*'Valve Sizing'!$G$8/AG657)</f>
        <v>93.037523095036221</v>
      </c>
      <c r="AH656" s="111"/>
      <c r="AI656" s="28"/>
      <c r="AJ656" s="96">
        <f ca="1">(AJ648/(N_9*AJ$27*AJ650*0.667))*SQRT(M*'Valve Sizing'!$W$6*'Valve Sizing'!$G$8/AJ657)</f>
        <v>144.71065427947713</v>
      </c>
      <c r="AK656" s="111"/>
      <c r="AL656" s="28"/>
      <c r="AM656" s="96">
        <f ca="1">(AM648/(N_9*AM$27*AM650*0.667))*SQRT(M*'Valve Sizing'!$W$6*'Valve Sizing'!$G$8/AM657)</f>
        <v>218.697457313661</v>
      </c>
      <c r="AN656" s="111"/>
      <c r="AO656" s="28"/>
      <c r="AP656" s="96">
        <f ca="1">(AP648/(N_9*AP$27*AP650*0.667))*SQRT(M*'Valve Sizing'!$W$6*'Valve Sizing'!$G$8/AP657)</f>
        <v>291.46800087238762</v>
      </c>
      <c r="AQ656" s="111"/>
      <c r="AR656" s="28"/>
      <c r="AS656" s="96">
        <f ca="1">(AS648/(N_9*AS$27*AS650*0.667))*SQRT(M*'Valve Sizing'!$W$6*'Valve Sizing'!$G$8/AS657)</f>
        <v>698.83756138580793</v>
      </c>
      <c r="AT656" s="111"/>
      <c r="AU656" s="28"/>
    </row>
    <row r="657" spans="15:47" ht="15.6" x14ac:dyDescent="0.35">
      <c r="O657" s="2" t="s">
        <v>68</v>
      </c>
      <c r="P657" s="143">
        <v>10</v>
      </c>
      <c r="Q657" s="2"/>
      <c r="R657" s="96">
        <f ca="1">F_GAMMA*R$29</f>
        <v>0.64002969751372984</v>
      </c>
      <c r="S657" s="107"/>
      <c r="T657" s="1"/>
      <c r="U657" s="96">
        <f ca="1">F_GAMMA*U$29</f>
        <v>0.64017842058782071</v>
      </c>
      <c r="V657" s="111"/>
      <c r="W657" s="28"/>
      <c r="X657" s="96">
        <f ca="1">F_GAMMA*X$29</f>
        <v>0.63413873724904268</v>
      </c>
      <c r="Y657" s="111"/>
      <c r="Z657" s="28"/>
      <c r="AA657" s="96">
        <f ca="1">F_GAMMA*AA$29</f>
        <v>0.62532411750377137</v>
      </c>
      <c r="AB657" s="111"/>
      <c r="AC657" s="28"/>
      <c r="AD657" s="96">
        <f ca="1">F_GAMMA*AD$29</f>
        <v>0.60651359509139569</v>
      </c>
      <c r="AE657" s="111"/>
      <c r="AF657" s="28"/>
      <c r="AG657" s="96">
        <f ca="1">F_GAMMA*AG$29</f>
        <v>0.57217930198481592</v>
      </c>
      <c r="AH657" s="111"/>
      <c r="AI657" s="28"/>
      <c r="AJ657" s="96">
        <f ca="1">F_GAMMA*AJ$29</f>
        <v>0.53183282018848232</v>
      </c>
      <c r="AK657" s="111"/>
      <c r="AL657" s="28"/>
      <c r="AM657" s="96">
        <f ca="1">F_GAMMA*AM$29</f>
        <v>0.47566512503094399</v>
      </c>
      <c r="AN657" s="111"/>
      <c r="AO657" s="28"/>
      <c r="AP657" s="96">
        <f ca="1">F_GAMMA*AP$29</f>
        <v>0.59054158265645496</v>
      </c>
      <c r="AQ657" s="111"/>
      <c r="AR657" s="28"/>
      <c r="AS657" s="96">
        <f ca="1">F_GAMMA*AS$29</f>
        <v>0.3766899554102966</v>
      </c>
      <c r="AT657" s="111"/>
      <c r="AU657" s="28"/>
    </row>
    <row r="658" spans="15:47" x14ac:dyDescent="0.25">
      <c r="O658" s="2" t="s">
        <v>145</v>
      </c>
      <c r="P658" s="12"/>
      <c r="Q658" s="2"/>
      <c r="R658" s="96">
        <f ca="1">IF(R653&lt;R657,R655,R656)</f>
        <v>0.307541525016988</v>
      </c>
      <c r="S658" s="116"/>
      <c r="T658" s="1"/>
      <c r="U658" s="96">
        <f ca="1">IF(U653&lt;U657,U655,U656)</f>
        <v>7.3381371756623652</v>
      </c>
      <c r="V658" s="111"/>
      <c r="W658" s="28"/>
      <c r="X658" s="96">
        <f ca="1">IF(X653&lt;X657,X655,X656)</f>
        <v>18.140942884832725</v>
      </c>
      <c r="Y658" s="111"/>
      <c r="Z658" s="28"/>
      <c r="AA658" s="96">
        <f ca="1">IF(AA653&lt;AA657,AA655,AA656)</f>
        <v>36.292850675463363</v>
      </c>
      <c r="AB658" s="111"/>
      <c r="AC658" s="28"/>
      <c r="AD658" s="96">
        <f ca="1">IF(AD653&lt;AD657,AD655,AD656)</f>
        <v>64.976715636667777</v>
      </c>
      <c r="AE658" s="111"/>
      <c r="AF658" s="28"/>
      <c r="AG658" s="96">
        <f ca="1">IF(AG653&lt;AG657,AG655,AG656)</f>
        <v>107.40768374346634</v>
      </c>
      <c r="AH658" s="111"/>
      <c r="AI658" s="28"/>
      <c r="AJ658" s="96">
        <f ca="1">IF(AJ653&lt;AJ657,AJ655,AJ656)</f>
        <v>177.92215544982747</v>
      </c>
      <c r="AK658" s="111"/>
      <c r="AL658" s="28"/>
      <c r="AM658" s="96">
        <f ca="1">IF(AM653&lt;AM657,AM655,AM656)</f>
        <v>312.86604570991199</v>
      </c>
      <c r="AN658" s="111"/>
      <c r="AO658" s="28"/>
      <c r="AP658" s="96">
        <f ca="1">IF(AP653&lt;AP657,AP655,AP656)</f>
        <v>1207.3153569512024</v>
      </c>
      <c r="AQ658" s="111"/>
      <c r="AR658" s="28"/>
      <c r="AS658" s="96" t="e">
        <f ca="1">IF(AS653&lt;AS657,AS655,AS656)</f>
        <v>#NUM!</v>
      </c>
      <c r="AT658" s="111"/>
      <c r="AU658" s="28"/>
    </row>
    <row r="659" spans="15:47" x14ac:dyDescent="0.25">
      <c r="O659" s="13" t="s">
        <v>143</v>
      </c>
      <c r="P659" s="1"/>
      <c r="Q659" s="1"/>
      <c r="R659" s="113"/>
      <c r="S659" s="106">
        <f ca="1">IF(R652&lt;=0,Q_max,ABS(R$23-R658))</f>
        <v>4.4224584749830127</v>
      </c>
      <c r="T659" s="7">
        <f>R648</f>
        <v>761.54263277957637</v>
      </c>
      <c r="U659" s="98"/>
      <c r="V659" s="106">
        <f ca="1">IF(U652&lt;=0,Q_max,ABS(U$23-U658))</f>
        <v>4.2618628243376344</v>
      </c>
      <c r="W659" s="9">
        <f ca="1">U648</f>
        <v>18140.880841311628</v>
      </c>
      <c r="X659" s="98"/>
      <c r="Y659" s="106">
        <f ca="1">IF(X652&lt;=0,Q_max,ABS(X$23-X658))</f>
        <v>4.8590571151672748</v>
      </c>
      <c r="Z659" s="9">
        <f ca="1">X648</f>
        <v>44420.353574940294</v>
      </c>
      <c r="AA659" s="98"/>
      <c r="AB659" s="106">
        <f ca="1">IF(AA652&lt;=0,Q_max,ABS(AA$23-AA658))</f>
        <v>3.1071493245366355</v>
      </c>
      <c r="AC659" s="9">
        <f ca="1">AA648</f>
        <v>86519.510672474513</v>
      </c>
      <c r="AD659" s="98"/>
      <c r="AE659" s="106">
        <f ca="1">IF(AD652&lt;=0,Q_max,ABS(AD$23-AD658))</f>
        <v>3.9767156366677767</v>
      </c>
      <c r="AF659" s="9">
        <f ca="1">AD648</f>
        <v>145152.82454560552</v>
      </c>
      <c r="AG659" s="98"/>
      <c r="AH659" s="106">
        <f ca="1">IF(AG652&lt;=0,Q_max,ABS(AG$23-AG658))</f>
        <v>19.207683743466333</v>
      </c>
      <c r="AI659" s="9">
        <f ca="1">AG648</f>
        <v>211854.50082721919</v>
      </c>
      <c r="AJ659" s="98"/>
      <c r="AK659" s="106">
        <f ca="1">IF(AJ652&lt;=0,Q_max,ABS(AJ$23-AJ658))</f>
        <v>56.922155449827471</v>
      </c>
      <c r="AL659" s="9">
        <f ca="1">AJ648</f>
        <v>282720.65262214019</v>
      </c>
      <c r="AM659" s="98"/>
      <c r="AN659" s="106">
        <f ca="1">IF(AM652&lt;=0,Q_max,ABS(AM$23-AM658))</f>
        <v>147.86604570991199</v>
      </c>
      <c r="AO659" s="9">
        <f ca="1">AM648</f>
        <v>344972.92441712454</v>
      </c>
      <c r="AP659" s="98"/>
      <c r="AQ659" s="106">
        <f ca="1">IF(AP652&lt;=0,Q_max,ABS(AP$23-AP658))</f>
        <v>961.31535695120238</v>
      </c>
      <c r="AR659" s="9">
        <f ca="1">AP648</f>
        <v>400502.85569148249</v>
      </c>
      <c r="AS659" s="98"/>
      <c r="AT659" s="106">
        <f ca="1">IF(AS652&lt;=0,Q_max,ABS(AS$23-AS658))</f>
        <v>236393</v>
      </c>
      <c r="AU659" s="9">
        <f ca="1">AS648</f>
        <v>469621.09581479017</v>
      </c>
    </row>
    <row r="660" spans="15:47" x14ac:dyDescent="0.25">
      <c r="O660" s="21"/>
      <c r="P660" s="14"/>
      <c r="Q660" s="21"/>
      <c r="R660" s="97"/>
      <c r="S660" s="106"/>
      <c r="T660" s="28"/>
      <c r="U660" s="97"/>
      <c r="V660" s="111"/>
      <c r="W660" s="28"/>
      <c r="X660" s="97"/>
      <c r="Y660" s="111"/>
      <c r="Z660" s="28"/>
      <c r="AA660" s="97"/>
      <c r="AB660" s="111"/>
      <c r="AC660" s="28"/>
      <c r="AD660" s="97"/>
      <c r="AE660" s="111"/>
      <c r="AF660" s="28"/>
      <c r="AG660" s="97"/>
      <c r="AH660" s="111"/>
      <c r="AI660" s="28"/>
      <c r="AJ660" s="97"/>
      <c r="AK660" s="111"/>
      <c r="AL660" s="28"/>
      <c r="AM660" s="97"/>
      <c r="AN660" s="111"/>
      <c r="AO660" s="28"/>
      <c r="AP660" s="97"/>
      <c r="AQ660" s="111"/>
      <c r="AR660" s="28"/>
      <c r="AS660" s="97"/>
      <c r="AT660" s="111"/>
      <c r="AU660" s="28"/>
    </row>
    <row r="661" spans="15:47" x14ac:dyDescent="0.25">
      <c r="O661" s="1"/>
      <c r="P661" s="1"/>
      <c r="Q661" s="1"/>
      <c r="R661" s="98"/>
      <c r="S661" s="108" t="s">
        <v>137</v>
      </c>
      <c r="T661" s="26" t="s">
        <v>146</v>
      </c>
      <c r="U661" s="98"/>
      <c r="V661" s="108" t="s">
        <v>137</v>
      </c>
      <c r="W661" s="26" t="s">
        <v>146</v>
      </c>
      <c r="X661" s="98"/>
      <c r="Y661" s="108" t="s">
        <v>137</v>
      </c>
      <c r="Z661" s="26" t="s">
        <v>146</v>
      </c>
      <c r="AA661" s="98"/>
      <c r="AB661" s="108" t="s">
        <v>137</v>
      </c>
      <c r="AC661" s="26" t="s">
        <v>146</v>
      </c>
      <c r="AD661" s="98"/>
      <c r="AE661" s="108" t="s">
        <v>137</v>
      </c>
      <c r="AF661" s="26" t="s">
        <v>146</v>
      </c>
      <c r="AG661" s="98"/>
      <c r="AH661" s="108" t="s">
        <v>137</v>
      </c>
      <c r="AI661" s="26" t="s">
        <v>146</v>
      </c>
      <c r="AJ661" s="98"/>
      <c r="AK661" s="108" t="s">
        <v>137</v>
      </c>
      <c r="AL661" s="26" t="s">
        <v>146</v>
      </c>
      <c r="AM661" s="98"/>
      <c r="AN661" s="108" t="s">
        <v>137</v>
      </c>
      <c r="AO661" s="26" t="s">
        <v>146</v>
      </c>
      <c r="AP661" s="98"/>
      <c r="AQ661" s="108" t="s">
        <v>137</v>
      </c>
      <c r="AR661" s="26" t="s">
        <v>146</v>
      </c>
      <c r="AS661" s="98"/>
      <c r="AT661" s="108" t="s">
        <v>137</v>
      </c>
      <c r="AU661" s="26" t="s">
        <v>146</v>
      </c>
    </row>
    <row r="662" spans="15:47" ht="13.8" x14ac:dyDescent="0.25">
      <c r="O662" s="20" t="s">
        <v>136</v>
      </c>
      <c r="P662" s="1"/>
      <c r="Q662" s="1"/>
      <c r="R662" s="96">
        <f>R648*1.02</f>
        <v>776.77348543516791</v>
      </c>
      <c r="S662" s="109" t="s">
        <v>144</v>
      </c>
      <c r="T662" s="23" t="s">
        <v>147</v>
      </c>
      <c r="U662" s="96">
        <f ca="1">U648*1.01</f>
        <v>18322.289649724746</v>
      </c>
      <c r="V662" s="109" t="s">
        <v>144</v>
      </c>
      <c r="W662" s="23" t="s">
        <v>147</v>
      </c>
      <c r="X662" s="96">
        <f ca="1">X648*1.01</f>
        <v>44864.557110689697</v>
      </c>
      <c r="Y662" s="109" t="s">
        <v>144</v>
      </c>
      <c r="Z662" s="23" t="s">
        <v>147</v>
      </c>
      <c r="AA662" s="96">
        <f ca="1">AA648*1.01</f>
        <v>87384.705779199256</v>
      </c>
      <c r="AB662" s="109" t="s">
        <v>144</v>
      </c>
      <c r="AC662" s="23" t="s">
        <v>147</v>
      </c>
      <c r="AD662" s="96">
        <f ca="1">AD648*1.01</f>
        <v>146604.35279106157</v>
      </c>
      <c r="AE662" s="109" t="s">
        <v>144</v>
      </c>
      <c r="AF662" s="23" t="s">
        <v>147</v>
      </c>
      <c r="AG662" s="96">
        <f ca="1">AG648*1.01</f>
        <v>213973.04583549139</v>
      </c>
      <c r="AH662" s="109" t="s">
        <v>144</v>
      </c>
      <c r="AI662" s="23" t="s">
        <v>147</v>
      </c>
      <c r="AJ662" s="96">
        <f ca="1">AJ648*1.01</f>
        <v>285547.8591483616</v>
      </c>
      <c r="AK662" s="109" t="s">
        <v>144</v>
      </c>
      <c r="AL662" s="23" t="s">
        <v>147</v>
      </c>
      <c r="AM662" s="96">
        <f ca="1">AM648*1.01</f>
        <v>348422.65366129577</v>
      </c>
      <c r="AN662" s="109" t="s">
        <v>144</v>
      </c>
      <c r="AO662" s="23" t="s">
        <v>147</v>
      </c>
      <c r="AP662" s="96">
        <f ca="1">AP648*1.01</f>
        <v>404507.88424839731</v>
      </c>
      <c r="AQ662" s="109" t="s">
        <v>144</v>
      </c>
      <c r="AR662" s="23" t="s">
        <v>147</v>
      </c>
      <c r="AS662" s="96">
        <f ca="1">AS648*1.01</f>
        <v>474317.30677293806</v>
      </c>
      <c r="AT662" s="109" t="s">
        <v>144</v>
      </c>
      <c r="AU662" s="23" t="s">
        <v>147</v>
      </c>
    </row>
    <row r="663" spans="15:47" x14ac:dyDescent="0.25">
      <c r="O663" s="1"/>
      <c r="P663" s="1"/>
      <c r="Q663" s="1"/>
      <c r="R663" s="98"/>
      <c r="S663" s="107"/>
      <c r="T663" s="1"/>
      <c r="U663" s="47"/>
      <c r="V663" s="107"/>
      <c r="W663" s="1"/>
      <c r="X663" s="47"/>
      <c r="Y663" s="107"/>
      <c r="Z663" s="1"/>
      <c r="AA663" s="47"/>
      <c r="AB663" s="107"/>
      <c r="AC663" s="1"/>
      <c r="AD663" s="47"/>
      <c r="AE663" s="107"/>
      <c r="AF663" s="1"/>
      <c r="AG663" s="47"/>
      <c r="AH663" s="107"/>
      <c r="AI663" s="1"/>
      <c r="AJ663" s="47"/>
      <c r="AK663" s="107"/>
      <c r="AL663" s="1"/>
      <c r="AM663" s="47"/>
      <c r="AN663" s="107"/>
      <c r="AO663" s="1"/>
      <c r="AP663" s="47"/>
      <c r="AQ663" s="107"/>
      <c r="AR663" s="1"/>
      <c r="AS663" s="47"/>
      <c r="AT663" s="107"/>
      <c r="AU663" s="1"/>
    </row>
    <row r="664" spans="15:47" x14ac:dyDescent="0.25">
      <c r="O664" s="8" t="s">
        <v>132</v>
      </c>
      <c r="P664" s="8"/>
      <c r="Q664" s="8"/>
      <c r="R664" s="96">
        <f>P_1_minQ-(R662^2*R_up)+dpup_minQ</f>
        <v>90.184930558205039</v>
      </c>
      <c r="S664" s="106"/>
      <c r="T664" s="22"/>
      <c r="U664" s="96">
        <f ca="1">P_1_minQ-(U662^2*R_up)+dpup_minQ</f>
        <v>90.123854394484596</v>
      </c>
      <c r="V664" s="107"/>
      <c r="W664" s="1"/>
      <c r="X664" s="96">
        <f ca="1">P_1_minQ-(X662^2*R_up)+dpup_minQ</f>
        <v>89.818180576535624</v>
      </c>
      <c r="Y664" s="107"/>
      <c r="Z664" s="1"/>
      <c r="AA664" s="96">
        <f ca="1">P_1_minQ-(AA662^2*R_up)+dpup_minQ</f>
        <v>88.793280391326519</v>
      </c>
      <c r="AB664" s="107"/>
      <c r="AC664" s="1"/>
      <c r="AD664" s="96">
        <f ca="1">P_1_minQ-(AD662^2*R_up)+dpup_minQ</f>
        <v>86.267736609706773</v>
      </c>
      <c r="AE664" s="107"/>
      <c r="AF664" s="1"/>
      <c r="AG664" s="96">
        <f ca="1">P_1_minQ-(AG662^2*R_up)+dpup_minQ</f>
        <v>81.840322340042917</v>
      </c>
      <c r="AH664" s="107"/>
      <c r="AI664" s="1"/>
      <c r="AJ664" s="96">
        <f ca="1">P_1_minQ-(AJ662^2*R_up)+dpup_minQ</f>
        <v>75.323926927072506</v>
      </c>
      <c r="AK664" s="107"/>
      <c r="AL664" s="1"/>
      <c r="AM664" s="96">
        <f ca="1">P_1_minQ-(AM662^2*R_up)+dpup_minQ</f>
        <v>68.058867445741754</v>
      </c>
      <c r="AN664" s="107"/>
      <c r="AO664" s="1"/>
      <c r="AP664" s="96">
        <f ca="1">P_1_minQ-(AP662^2*R_up)+dpup_minQ</f>
        <v>60.362302137825495</v>
      </c>
      <c r="AQ664" s="107"/>
      <c r="AR664" s="1"/>
      <c r="AS664" s="96">
        <f ca="1">P_1_minQ-(AS662^2*R_up)+dpup_minQ</f>
        <v>49.180544369312365</v>
      </c>
      <c r="AT664" s="107"/>
      <c r="AU664" s="1"/>
    </row>
    <row r="665" spans="15:47" x14ac:dyDescent="0.25">
      <c r="O665" s="8" t="s">
        <v>134</v>
      </c>
      <c r="P665" s="1"/>
      <c r="Q665" s="8"/>
      <c r="R665" s="97">
        <f>P_2_minQ+(R662^2*R_dn)-dpdn_minQ</f>
        <v>60</v>
      </c>
      <c r="S665" s="106"/>
      <c r="T665" s="22"/>
      <c r="U665" s="97">
        <f ca="1">P_2_minQ+(U662^2*R_dn)-dpdn_minQ</f>
        <v>60</v>
      </c>
      <c r="V665" s="107"/>
      <c r="W665" s="1"/>
      <c r="X665" s="97">
        <f ca="1">P_2_minQ+(X662^2*R_dn)-dpdn_minQ</f>
        <v>60</v>
      </c>
      <c r="Y665" s="107"/>
      <c r="Z665" s="1"/>
      <c r="AA665" s="97">
        <f ca="1">P_2_minQ+(AA662^2*R_dn)-dpdn_minQ</f>
        <v>60</v>
      </c>
      <c r="AB665" s="107"/>
      <c r="AC665" s="1"/>
      <c r="AD665" s="97">
        <f ca="1">P_2_minQ+(AD662^2*R_dn)-dpdn_minQ</f>
        <v>60</v>
      </c>
      <c r="AE665" s="107"/>
      <c r="AF665" s="1"/>
      <c r="AG665" s="97">
        <f ca="1">P_2_minQ+(AG662^2*R_dn)-dpdn_minQ</f>
        <v>60</v>
      </c>
      <c r="AH665" s="107"/>
      <c r="AI665" s="1"/>
      <c r="AJ665" s="97">
        <f ca="1">P_2_minQ+(AJ662^2*R_dn)-dpdn_minQ</f>
        <v>60</v>
      </c>
      <c r="AK665" s="107"/>
      <c r="AL665" s="1"/>
      <c r="AM665" s="97">
        <f ca="1">P_2_minQ+(AM662^2*R_dn)-dpdn_minQ</f>
        <v>60</v>
      </c>
      <c r="AN665" s="107"/>
      <c r="AO665" s="1"/>
      <c r="AP665" s="97">
        <f ca="1">P_2_minQ+(AP662^2*R_dn)-dpdn_minQ</f>
        <v>60</v>
      </c>
      <c r="AQ665" s="107"/>
      <c r="AR665" s="1"/>
      <c r="AS665" s="97">
        <f ca="1">P_2_minQ+(AS662^2*R_dn)-dpdn_minQ</f>
        <v>60</v>
      </c>
      <c r="AT665" s="107"/>
      <c r="AU665" s="1"/>
    </row>
    <row r="666" spans="15:47" x14ac:dyDescent="0.25">
      <c r="O666" s="8" t="s">
        <v>138</v>
      </c>
      <c r="P666" s="1"/>
      <c r="Q666" s="8"/>
      <c r="R666" s="97">
        <f>R664-R665</f>
        <v>30.184930558205039</v>
      </c>
      <c r="S666" s="106"/>
      <c r="T666" s="22"/>
      <c r="U666" s="97">
        <f ca="1">U664-U665</f>
        <v>30.123854394484596</v>
      </c>
      <c r="V666" s="110"/>
      <c r="W666" s="25"/>
      <c r="X666" s="97">
        <f ca="1">X664-X665</f>
        <v>29.818180576535624</v>
      </c>
      <c r="Y666" s="110"/>
      <c r="Z666" s="25"/>
      <c r="AA666" s="97">
        <f ca="1">AA664-AA665</f>
        <v>28.793280391326519</v>
      </c>
      <c r="AB666" s="110"/>
      <c r="AC666" s="25"/>
      <c r="AD666" s="97">
        <f ca="1">AD664-AD665</f>
        <v>26.267736609706773</v>
      </c>
      <c r="AE666" s="110"/>
      <c r="AF666" s="25"/>
      <c r="AG666" s="97">
        <f ca="1">AG664-AG665</f>
        <v>21.840322340042917</v>
      </c>
      <c r="AH666" s="110"/>
      <c r="AI666" s="25"/>
      <c r="AJ666" s="97">
        <f ca="1">AJ664-AJ665</f>
        <v>15.323926927072506</v>
      </c>
      <c r="AK666" s="110"/>
      <c r="AL666" s="25"/>
      <c r="AM666" s="97">
        <f ca="1">AM664-AM665</f>
        <v>8.058867445741754</v>
      </c>
      <c r="AN666" s="110"/>
      <c r="AO666" s="25"/>
      <c r="AP666" s="97">
        <f ca="1">AP664-AP665</f>
        <v>0.3623021378254947</v>
      </c>
      <c r="AQ666" s="110"/>
      <c r="AR666" s="25"/>
      <c r="AS666" s="97">
        <f ca="1">AS664-AS665</f>
        <v>-10.819455630687635</v>
      </c>
      <c r="AT666" s="110"/>
      <c r="AU666" s="25"/>
    </row>
    <row r="667" spans="15:47" ht="14.4" x14ac:dyDescent="0.3">
      <c r="O667" s="2" t="s">
        <v>140</v>
      </c>
      <c r="P667" s="11"/>
      <c r="Q667" s="2"/>
      <c r="R667" s="96">
        <f>R666/R664</f>
        <v>0.33470038033376087</v>
      </c>
      <c r="S667" s="106"/>
      <c r="T667" s="22"/>
      <c r="U667" s="96">
        <f ca="1">U666/U664</f>
        <v>0.33424951248343543</v>
      </c>
      <c r="V667" s="111"/>
      <c r="W667" s="28"/>
      <c r="X667" s="96">
        <f ca="1">X666/X664</f>
        <v>0.33198379643336279</v>
      </c>
      <c r="Y667" s="111"/>
      <c r="Z667" s="28"/>
      <c r="AA667" s="96">
        <f ca="1">AA666/AA664</f>
        <v>0.32427319121931097</v>
      </c>
      <c r="AB667" s="111"/>
      <c r="AC667" s="28"/>
      <c r="AD667" s="96">
        <f ca="1">AD666/AD664</f>
        <v>0.30449085187603209</v>
      </c>
      <c r="AE667" s="111"/>
      <c r="AF667" s="28"/>
      <c r="AG667" s="96">
        <f ca="1">AG666/AG664</f>
        <v>0.26686505765822066</v>
      </c>
      <c r="AH667" s="111"/>
      <c r="AI667" s="28"/>
      <c r="AJ667" s="96">
        <f ca="1">AJ666/AJ664</f>
        <v>0.20344036154552725</v>
      </c>
      <c r="AK667" s="111"/>
      <c r="AL667" s="28"/>
      <c r="AM667" s="96">
        <f ca="1">AM666/AM664</f>
        <v>0.11841024907101909</v>
      </c>
      <c r="AN667" s="111"/>
      <c r="AO667" s="28"/>
      <c r="AP667" s="96">
        <f ca="1">AP666/AP664</f>
        <v>6.0021259129290454E-3</v>
      </c>
      <c r="AQ667" s="111"/>
      <c r="AR667" s="28"/>
      <c r="AS667" s="96">
        <f ca="1">AS666/AS664</f>
        <v>-0.21999462936890041</v>
      </c>
      <c r="AT667" s="111"/>
      <c r="AU667" s="28"/>
    </row>
    <row r="668" spans="15:47" x14ac:dyDescent="0.25">
      <c r="O668" s="2" t="s">
        <v>21</v>
      </c>
      <c r="P668" s="8">
        <v>12</v>
      </c>
      <c r="Q668" s="2"/>
      <c r="R668" s="96">
        <f ca="1">1-R667/(3*F_GAMMA*R$29)</f>
        <v>0.82568497387233564</v>
      </c>
      <c r="S668" s="106"/>
      <c r="T668" s="22"/>
      <c r="U668" s="96">
        <f ca="1">1-U667/(3*F_GAMMA*U$29)</f>
        <v>0.82596023143229202</v>
      </c>
      <c r="V668" s="111"/>
      <c r="W668" s="28"/>
      <c r="X668" s="96">
        <f ca="1">1-X667/(3*F_GAMMA*X$29)</f>
        <v>0.82549360419480555</v>
      </c>
      <c r="Y668" s="111"/>
      <c r="Z668" s="28"/>
      <c r="AA668" s="96">
        <f ca="1">1-AA667/(3*F_GAMMA*AA$29)</f>
        <v>0.82714393909632244</v>
      </c>
      <c r="AB668" s="111"/>
      <c r="AC668" s="28"/>
      <c r="AD668" s="96">
        <f ca="1">1-AD667/(3*F_GAMMA*AD$29)</f>
        <v>0.83265511037712281</v>
      </c>
      <c r="AE668" s="111"/>
      <c r="AF668" s="28"/>
      <c r="AG668" s="96">
        <f ca="1">1-AG667/(3*F_GAMMA*AG$29)</f>
        <v>0.84453296560914826</v>
      </c>
      <c r="AH668" s="111"/>
      <c r="AI668" s="28"/>
      <c r="AJ668" s="96">
        <f ca="1">1-AJ667/(3*F_GAMMA*AJ$29)</f>
        <v>0.87249103238029591</v>
      </c>
      <c r="AK668" s="111"/>
      <c r="AL668" s="28"/>
      <c r="AM668" s="96">
        <f ca="1">1-AM667/(3*F_GAMMA*AM$29)</f>
        <v>0.91702128042053677</v>
      </c>
      <c r="AN668" s="111"/>
      <c r="AO668" s="28"/>
      <c r="AP668" s="96">
        <f ca="1">1-AP667/(3*F_GAMMA*AP$29)</f>
        <v>0.99661207830845178</v>
      </c>
      <c r="AQ668" s="111"/>
      <c r="AR668" s="28"/>
      <c r="AS668" s="96">
        <f ca="1">1-AS667/(3*F_GAMMA*AS$29)</f>
        <v>1.1946734763423488</v>
      </c>
      <c r="AT668" s="111"/>
      <c r="AU668" s="28"/>
    </row>
    <row r="669" spans="15:47" x14ac:dyDescent="0.25">
      <c r="O669" s="2" t="s">
        <v>57</v>
      </c>
      <c r="P669" s="143">
        <v>7</v>
      </c>
      <c r="Q669" s="2"/>
      <c r="R669" s="96">
        <f ca="1">(R662/(N_9*R$27*R664*R668))*SQRT(M*'Valve Sizing'!$W$6*'Valve Sizing'!$G$8/R667)</f>
        <v>0.31369237890037915</v>
      </c>
      <c r="S669" s="107"/>
      <c r="T669" s="22"/>
      <c r="U669" s="96">
        <f ca="1">(U662/(N_9*U$27*U664*U668))*SQRT(M*'Valve Sizing'!$W$6*'Valve Sizing'!$G$8/U667)</f>
        <v>7.4116748193334381</v>
      </c>
      <c r="V669" s="111"/>
      <c r="W669" s="28"/>
      <c r="X669" s="96">
        <f ca="1">(X662/(N_9*X$27*X664*X668))*SQRT(M*'Valve Sizing'!$W$6*'Valve Sizing'!$G$8/X667)</f>
        <v>18.324683122966917</v>
      </c>
      <c r="Y669" s="111"/>
      <c r="Z669" s="28"/>
      <c r="AA669" s="96">
        <f ca="1">(AA662/(N_9*AA$27*AA664*AA668))*SQRT(M*'Valve Sizing'!$W$6*'Valve Sizing'!$G$8/AA667)</f>
        <v>36.673961945292511</v>
      </c>
      <c r="AB669" s="111"/>
      <c r="AC669" s="28"/>
      <c r="AD669" s="96">
        <f ca="1">(AD662/(N_9*AD$27*AD664*AD668))*SQRT(M*'Valve Sizing'!$W$6*'Valve Sizing'!$G$8/AD667)</f>
        <v>65.725244588681321</v>
      </c>
      <c r="AE669" s="111"/>
      <c r="AF669" s="28"/>
      <c r="AG669" s="96">
        <f ca="1">(AG662/(N_9*AG$27*AG664*AG668))*SQRT(M*'Valve Sizing'!$W$6*'Valve Sizing'!$G$8/AG667)</f>
        <v>108.88814877354503</v>
      </c>
      <c r="AH669" s="111"/>
      <c r="AI669" s="28"/>
      <c r="AJ669" s="96">
        <f ca="1">(AJ662/(N_9*AJ$27*AJ664*AJ668))*SQRT(M*'Valve Sizing'!$W$6*'Valve Sizing'!$G$8/AJ667)</f>
        <v>181.35970574343398</v>
      </c>
      <c r="AK669" s="111"/>
      <c r="AL669" s="28"/>
      <c r="AM669" s="96">
        <f ca="1">(AM662/(N_9*AM$27*AM664*AM668))*SQRT(M*'Valve Sizing'!$W$6*'Valve Sizing'!$G$8/AM667)</f>
        <v>324.07137827249807</v>
      </c>
      <c r="AN669" s="111"/>
      <c r="AO669" s="28"/>
      <c r="AP669" s="96">
        <f ca="1">(AP662/(N_9*AP$27*AP664*AP668))*SQRT(M*'Valve Sizing'!$W$6*'Valve Sizing'!$G$8/AP667)</f>
        <v>1973.2950932014426</v>
      </c>
      <c r="AQ669" s="111"/>
      <c r="AR669" s="28"/>
      <c r="AS669" s="96" t="e">
        <f ca="1">(AS662/(N_9*AS$27*AS664*AS668))*SQRT(M*'Valve Sizing'!$W$6*'Valve Sizing'!$G$8/AS667)</f>
        <v>#NUM!</v>
      </c>
      <c r="AT669" s="111"/>
      <c r="AU669" s="28"/>
    </row>
    <row r="670" spans="15:47" x14ac:dyDescent="0.25">
      <c r="O670" s="2" t="s">
        <v>59</v>
      </c>
      <c r="P670" s="143">
        <v>7</v>
      </c>
      <c r="Q670" s="2"/>
      <c r="R670" s="96">
        <f ca="1">(R662/(N_9*R$27*R664*0.667))*SQRT(M*'Valve Sizing'!$W$6*'Valve Sizing'!$G$8/R671)</f>
        <v>0.2808151634055579</v>
      </c>
      <c r="S670" s="107"/>
      <c r="T670" s="22"/>
      <c r="U670" s="96">
        <f ca="1">(U662/(N_9*U$27*U664*0.667))*SQRT(M*'Valve Sizing'!$W$6*'Valve Sizing'!$G$8/U671)</f>
        <v>6.6318475772045957</v>
      </c>
      <c r="V670" s="111"/>
      <c r="W670" s="28"/>
      <c r="X670" s="96">
        <f ca="1">(X662/(N_9*X$27*X664*0.667))*SQRT(M*'Valve Sizing'!$W$6*'Valve Sizing'!$G$8/X671)</f>
        <v>16.409322633732728</v>
      </c>
      <c r="Y670" s="111"/>
      <c r="Z670" s="28"/>
      <c r="AA670" s="96">
        <f ca="1">(AA662/(N_9*AA$27*AA664*0.667))*SQRT(M*'Valve Sizing'!$W$6*'Valve Sizing'!$G$8/AA671)</f>
        <v>32.750355700891539</v>
      </c>
      <c r="AB670" s="111"/>
      <c r="AC670" s="28"/>
      <c r="AD670" s="96">
        <f ca="1">(AD662/(N_9*AD$27*AD664*0.667))*SQRT(M*'Valve Sizing'!$W$6*'Valve Sizing'!$G$8/AD671)</f>
        <v>58.135094594244947</v>
      </c>
      <c r="AE670" s="111"/>
      <c r="AF670" s="28"/>
      <c r="AG670" s="96">
        <f ca="1">(AG662/(N_9*AG$27*AG664*0.667))*SQRT(M*'Valve Sizing'!$W$6*'Valve Sizing'!$G$8/AG671)</f>
        <v>94.156687535009951</v>
      </c>
      <c r="AH670" s="111"/>
      <c r="AI670" s="28"/>
      <c r="AJ670" s="96">
        <f ca="1">(AJ662/(N_9*AJ$27*AJ664*0.667))*SQRT(M*'Valve Sizing'!$W$6*'Valve Sizing'!$G$8/AJ671)</f>
        <v>146.72595082940873</v>
      </c>
      <c r="AK670" s="111"/>
      <c r="AL670" s="28"/>
      <c r="AM670" s="96">
        <f ca="1">(AM662/(N_9*AM$27*AM664*0.667))*SQRT(M*'Valve Sizing'!$W$6*'Valve Sizing'!$G$8/AM671)</f>
        <v>222.29937834029573</v>
      </c>
      <c r="AN670" s="111"/>
      <c r="AO670" s="28"/>
      <c r="AP670" s="96">
        <f ca="1">(AP662/(N_9*AP$27*AP664*0.667))*SQRT(M*'Valve Sizing'!$W$6*'Valve Sizing'!$G$8/AP671)</f>
        <v>297.24849019563214</v>
      </c>
      <c r="AQ670" s="111"/>
      <c r="AR670" s="28"/>
      <c r="AS670" s="96">
        <f ca="1">(AS662/(N_9*AS$27*AS664*0.667))*SQRT(M*'Valve Sizing'!$W$6*'Valve Sizing'!$G$8/AS671)</f>
        <v>717.42142608842323</v>
      </c>
      <c r="AT670" s="111"/>
      <c r="AU670" s="28"/>
    </row>
    <row r="671" spans="15:47" ht="15.6" x14ac:dyDescent="0.35">
      <c r="O671" s="2" t="s">
        <v>68</v>
      </c>
      <c r="P671" s="143">
        <v>10</v>
      </c>
      <c r="Q671" s="2"/>
      <c r="R671" s="96">
        <f ca="1">F_GAMMA*R$29</f>
        <v>0.64002969751372984</v>
      </c>
      <c r="S671" s="107"/>
      <c r="T671" s="1"/>
      <c r="U671" s="96">
        <f ca="1">F_GAMMA*U$29</f>
        <v>0.64017842058782071</v>
      </c>
      <c r="V671" s="111"/>
      <c r="W671" s="28"/>
      <c r="X671" s="96">
        <f ca="1">F_GAMMA*X$29</f>
        <v>0.63413873724904268</v>
      </c>
      <c r="Y671" s="111"/>
      <c r="Z671" s="28"/>
      <c r="AA671" s="96">
        <f ca="1">F_GAMMA*AA$29</f>
        <v>0.62532411750377137</v>
      </c>
      <c r="AB671" s="111"/>
      <c r="AC671" s="28"/>
      <c r="AD671" s="96">
        <f ca="1">F_GAMMA*AD$29</f>
        <v>0.60651359509139569</v>
      </c>
      <c r="AE671" s="111"/>
      <c r="AF671" s="28"/>
      <c r="AG671" s="96">
        <f ca="1">F_GAMMA*AG$29</f>
        <v>0.57217930198481592</v>
      </c>
      <c r="AH671" s="111"/>
      <c r="AI671" s="28"/>
      <c r="AJ671" s="96">
        <f ca="1">F_GAMMA*AJ$29</f>
        <v>0.53183282018848232</v>
      </c>
      <c r="AK671" s="111"/>
      <c r="AL671" s="28"/>
      <c r="AM671" s="96">
        <f ca="1">F_GAMMA*AM$29</f>
        <v>0.47566512503094399</v>
      </c>
      <c r="AN671" s="111"/>
      <c r="AO671" s="28"/>
      <c r="AP671" s="96">
        <f ca="1">F_GAMMA*AP$29</f>
        <v>0.59054158265645496</v>
      </c>
      <c r="AQ671" s="111"/>
      <c r="AR671" s="28"/>
      <c r="AS671" s="96">
        <f ca="1">F_GAMMA*AS$29</f>
        <v>0.3766899554102966</v>
      </c>
      <c r="AT671" s="111"/>
      <c r="AU671" s="28"/>
    </row>
    <row r="672" spans="15:47" x14ac:dyDescent="0.25">
      <c r="O672" s="2" t="s">
        <v>145</v>
      </c>
      <c r="P672" s="12"/>
      <c r="Q672" s="2"/>
      <c r="R672" s="96">
        <f ca="1">IF(R667&lt;R671,R669,R670)</f>
        <v>0.31369237890037915</v>
      </c>
      <c r="S672" s="116"/>
      <c r="T672" s="1"/>
      <c r="U672" s="96">
        <f ca="1">IF(U667&lt;U671,U669,U670)</f>
        <v>7.4116748193334381</v>
      </c>
      <c r="V672" s="111"/>
      <c r="W672" s="28"/>
      <c r="X672" s="96">
        <f ca="1">IF(X667&lt;X671,X669,X670)</f>
        <v>18.324683122966917</v>
      </c>
      <c r="Y672" s="111"/>
      <c r="Z672" s="28"/>
      <c r="AA672" s="96">
        <f ca="1">IF(AA667&lt;AA671,AA669,AA670)</f>
        <v>36.673961945292511</v>
      </c>
      <c r="AB672" s="111"/>
      <c r="AC672" s="28"/>
      <c r="AD672" s="96">
        <f ca="1">IF(AD667&lt;AD671,AD669,AD670)</f>
        <v>65.725244588681321</v>
      </c>
      <c r="AE672" s="111"/>
      <c r="AF672" s="28"/>
      <c r="AG672" s="96">
        <f ca="1">IF(AG667&lt;AG671,AG669,AG670)</f>
        <v>108.88814877354503</v>
      </c>
      <c r="AH672" s="111"/>
      <c r="AI672" s="28"/>
      <c r="AJ672" s="96">
        <f ca="1">IF(AJ667&lt;AJ671,AJ669,AJ670)</f>
        <v>181.35970574343398</v>
      </c>
      <c r="AK672" s="111"/>
      <c r="AL672" s="28"/>
      <c r="AM672" s="96">
        <f ca="1">IF(AM667&lt;AM671,AM669,AM670)</f>
        <v>324.07137827249807</v>
      </c>
      <c r="AN672" s="111"/>
      <c r="AO672" s="28"/>
      <c r="AP672" s="96">
        <f ca="1">IF(AP667&lt;AP671,AP669,AP670)</f>
        <v>1973.2950932014426</v>
      </c>
      <c r="AQ672" s="111"/>
      <c r="AR672" s="28"/>
      <c r="AS672" s="96" t="e">
        <f ca="1">IF(AS667&lt;AS671,AS669,AS670)</f>
        <v>#NUM!</v>
      </c>
      <c r="AT672" s="111"/>
      <c r="AU672" s="28"/>
    </row>
    <row r="673" spans="15:47" x14ac:dyDescent="0.25">
      <c r="O673" s="13" t="s">
        <v>143</v>
      </c>
      <c r="P673" s="1"/>
      <c r="Q673" s="1"/>
      <c r="R673" s="113"/>
      <c r="S673" s="106">
        <f ca="1">IF(R666&lt;=0,Q_max,ABS(R$23-R672))</f>
        <v>4.4163076210996213</v>
      </c>
      <c r="T673" s="7">
        <f>R662</f>
        <v>776.77348543516791</v>
      </c>
      <c r="U673" s="98"/>
      <c r="V673" s="106">
        <f ca="1">IF(U666&lt;=0,Q_max,ABS(U$23-U672))</f>
        <v>4.1883251806665616</v>
      </c>
      <c r="W673" s="9">
        <f ca="1">U662</f>
        <v>18322.289649724746</v>
      </c>
      <c r="X673" s="98"/>
      <c r="Y673" s="106">
        <f ca="1">IF(X666&lt;=0,Q_max,ABS(X$23-X672))</f>
        <v>4.6753168770330831</v>
      </c>
      <c r="Z673" s="9">
        <f ca="1">X662</f>
        <v>44864.557110689697</v>
      </c>
      <c r="AA673" s="98"/>
      <c r="AB673" s="106">
        <f ca="1">IF(AA666&lt;=0,Q_max,ABS(AA$23-AA672))</f>
        <v>2.7260380547074874</v>
      </c>
      <c r="AC673" s="9">
        <f ca="1">AA662</f>
        <v>87384.705779199256</v>
      </c>
      <c r="AD673" s="98"/>
      <c r="AE673" s="106">
        <f ca="1">IF(AD666&lt;=0,Q_max,ABS(AD$23-AD672))</f>
        <v>4.7252445886813206</v>
      </c>
      <c r="AF673" s="9">
        <f ca="1">AD662</f>
        <v>146604.35279106157</v>
      </c>
      <c r="AG673" s="98"/>
      <c r="AH673" s="106">
        <f ca="1">IF(AG666&lt;=0,Q_max,ABS(AG$23-AG672))</f>
        <v>20.688148773545024</v>
      </c>
      <c r="AI673" s="9">
        <f ca="1">AG662</f>
        <v>213973.04583549139</v>
      </c>
      <c r="AJ673" s="98"/>
      <c r="AK673" s="106">
        <f ca="1">IF(AJ666&lt;=0,Q_max,ABS(AJ$23-AJ672))</f>
        <v>60.359705743433977</v>
      </c>
      <c r="AL673" s="9">
        <f ca="1">AJ662</f>
        <v>285547.8591483616</v>
      </c>
      <c r="AM673" s="98"/>
      <c r="AN673" s="106">
        <f ca="1">IF(AM666&lt;=0,Q_max,ABS(AM$23-AM672))</f>
        <v>159.07137827249807</v>
      </c>
      <c r="AO673" s="9">
        <f ca="1">AM662</f>
        <v>348422.65366129577</v>
      </c>
      <c r="AP673" s="98"/>
      <c r="AQ673" s="106">
        <f ca="1">IF(AP666&lt;=0,Q_max,ABS(AP$23-AP672))</f>
        <v>1727.2950932014426</v>
      </c>
      <c r="AR673" s="9">
        <f ca="1">AP662</f>
        <v>404507.88424839731</v>
      </c>
      <c r="AS673" s="98"/>
      <c r="AT673" s="106">
        <f ca="1">IF(AS666&lt;=0,Q_max,ABS(AS$23-AS672))</f>
        <v>236393</v>
      </c>
      <c r="AU673" s="9">
        <f ca="1">AS662</f>
        <v>474317.30677293806</v>
      </c>
    </row>
    <row r="674" spans="15:47" x14ac:dyDescent="0.25">
      <c r="O674" s="21"/>
      <c r="P674" s="14"/>
      <c r="Q674" s="21"/>
      <c r="R674" s="97"/>
      <c r="S674" s="106"/>
      <c r="T674" s="28"/>
      <c r="U674" s="97"/>
      <c r="V674" s="111"/>
      <c r="W674" s="28"/>
      <c r="X674" s="97"/>
      <c r="Y674" s="111"/>
      <c r="Z674" s="28"/>
      <c r="AA674" s="97"/>
      <c r="AB674" s="111"/>
      <c r="AC674" s="28"/>
      <c r="AD674" s="97"/>
      <c r="AE674" s="111"/>
      <c r="AF674" s="28"/>
      <c r="AG674" s="97"/>
      <c r="AH674" s="111"/>
      <c r="AI674" s="28"/>
      <c r="AJ674" s="97"/>
      <c r="AK674" s="111"/>
      <c r="AL674" s="28"/>
      <c r="AM674" s="97"/>
      <c r="AN674" s="111"/>
      <c r="AO674" s="28"/>
      <c r="AP674" s="97"/>
      <c r="AQ674" s="111"/>
      <c r="AR674" s="28"/>
      <c r="AS674" s="97"/>
      <c r="AT674" s="111"/>
      <c r="AU674" s="28"/>
    </row>
    <row r="675" spans="15:47" x14ac:dyDescent="0.25">
      <c r="O675" s="1"/>
      <c r="P675" s="1"/>
      <c r="Q675" s="1"/>
      <c r="R675" s="98"/>
      <c r="S675" s="108" t="s">
        <v>137</v>
      </c>
      <c r="T675" s="26" t="s">
        <v>146</v>
      </c>
      <c r="U675" s="98"/>
      <c r="V675" s="108" t="s">
        <v>137</v>
      </c>
      <c r="W675" s="26" t="s">
        <v>146</v>
      </c>
      <c r="X675" s="98"/>
      <c r="Y675" s="108" t="s">
        <v>137</v>
      </c>
      <c r="Z675" s="26" t="s">
        <v>146</v>
      </c>
      <c r="AA675" s="98"/>
      <c r="AB675" s="108" t="s">
        <v>137</v>
      </c>
      <c r="AC675" s="26" t="s">
        <v>146</v>
      </c>
      <c r="AD675" s="98"/>
      <c r="AE675" s="108" t="s">
        <v>137</v>
      </c>
      <c r="AF675" s="26" t="s">
        <v>146</v>
      </c>
      <c r="AG675" s="98"/>
      <c r="AH675" s="108" t="s">
        <v>137</v>
      </c>
      <c r="AI675" s="26" t="s">
        <v>146</v>
      </c>
      <c r="AJ675" s="98"/>
      <c r="AK675" s="108" t="s">
        <v>137</v>
      </c>
      <c r="AL675" s="26" t="s">
        <v>146</v>
      </c>
      <c r="AM675" s="98"/>
      <c r="AN675" s="108" t="s">
        <v>137</v>
      </c>
      <c r="AO675" s="26" t="s">
        <v>146</v>
      </c>
      <c r="AP675" s="98"/>
      <c r="AQ675" s="108" t="s">
        <v>137</v>
      </c>
      <c r="AR675" s="26" t="s">
        <v>146</v>
      </c>
      <c r="AS675" s="98"/>
      <c r="AT675" s="108" t="s">
        <v>137</v>
      </c>
      <c r="AU675" s="26" t="s">
        <v>146</v>
      </c>
    </row>
    <row r="676" spans="15:47" ht="13.8" x14ac:dyDescent="0.25">
      <c r="O676" s="20" t="s">
        <v>136</v>
      </c>
      <c r="P676" s="1"/>
      <c r="Q676" s="1"/>
      <c r="R676" s="96">
        <f>R662*1.02</f>
        <v>792.30895514387123</v>
      </c>
      <c r="S676" s="109" t="s">
        <v>144</v>
      </c>
      <c r="T676" s="23" t="s">
        <v>147</v>
      </c>
      <c r="U676" s="96">
        <f ca="1">U662*1.01</f>
        <v>18505.512546221995</v>
      </c>
      <c r="V676" s="109" t="s">
        <v>144</v>
      </c>
      <c r="W676" s="23" t="s">
        <v>147</v>
      </c>
      <c r="X676" s="96">
        <f ca="1">X662*1.01</f>
        <v>45313.202681796596</v>
      </c>
      <c r="Y676" s="109" t="s">
        <v>144</v>
      </c>
      <c r="Z676" s="23" t="s">
        <v>147</v>
      </c>
      <c r="AA676" s="96">
        <f ca="1">AA662*1.01</f>
        <v>88258.55283699125</v>
      </c>
      <c r="AB676" s="109" t="s">
        <v>144</v>
      </c>
      <c r="AC676" s="23" t="s">
        <v>147</v>
      </c>
      <c r="AD676" s="96">
        <f ca="1">AD662*1.01</f>
        <v>148070.3963189722</v>
      </c>
      <c r="AE676" s="109" t="s">
        <v>144</v>
      </c>
      <c r="AF676" s="23" t="s">
        <v>147</v>
      </c>
      <c r="AG676" s="96">
        <f ca="1">AG662*1.01</f>
        <v>216112.77629384631</v>
      </c>
      <c r="AH676" s="109" t="s">
        <v>144</v>
      </c>
      <c r="AI676" s="23" t="s">
        <v>147</v>
      </c>
      <c r="AJ676" s="96">
        <f ca="1">AJ662*1.01</f>
        <v>288403.33773984521</v>
      </c>
      <c r="AK676" s="109" t="s">
        <v>144</v>
      </c>
      <c r="AL676" s="23" t="s">
        <v>147</v>
      </c>
      <c r="AM676" s="96">
        <f ca="1">AM662*1.01</f>
        <v>351906.88019790873</v>
      </c>
      <c r="AN676" s="109" t="s">
        <v>144</v>
      </c>
      <c r="AO676" s="23" t="s">
        <v>147</v>
      </c>
      <c r="AP676" s="96">
        <f ca="1">AP662*1.01</f>
        <v>408552.9630908813</v>
      </c>
      <c r="AQ676" s="109" t="s">
        <v>144</v>
      </c>
      <c r="AR676" s="23" t="s">
        <v>147</v>
      </c>
      <c r="AS676" s="96">
        <f ca="1">AS662*1.01</f>
        <v>479060.47984066745</v>
      </c>
      <c r="AT676" s="109" t="s">
        <v>144</v>
      </c>
      <c r="AU676" s="23" t="s">
        <v>147</v>
      </c>
    </row>
    <row r="677" spans="15:47" x14ac:dyDescent="0.25">
      <c r="O677" s="1"/>
      <c r="P677" s="1"/>
      <c r="Q677" s="1"/>
      <c r="R677" s="98"/>
      <c r="S677" s="107"/>
      <c r="T677" s="1"/>
      <c r="U677" s="47"/>
      <c r="V677" s="107"/>
      <c r="W677" s="1"/>
      <c r="X677" s="47"/>
      <c r="Y677" s="107"/>
      <c r="Z677" s="1"/>
      <c r="AA677" s="47"/>
      <c r="AB677" s="107"/>
      <c r="AC677" s="1"/>
      <c r="AD677" s="47"/>
      <c r="AE677" s="107"/>
      <c r="AF677" s="1"/>
      <c r="AG677" s="47"/>
      <c r="AH677" s="107"/>
      <c r="AI677" s="1"/>
      <c r="AJ677" s="47"/>
      <c r="AK677" s="107"/>
      <c r="AL677" s="1"/>
      <c r="AM677" s="47"/>
      <c r="AN677" s="107"/>
      <c r="AO677" s="1"/>
      <c r="AP677" s="47"/>
      <c r="AQ677" s="107"/>
      <c r="AR677" s="1"/>
      <c r="AS677" s="47"/>
      <c r="AT677" s="107"/>
      <c r="AU677" s="1"/>
    </row>
    <row r="678" spans="15:47" x14ac:dyDescent="0.25">
      <c r="O678" s="8" t="s">
        <v>132</v>
      </c>
      <c r="P678" s="8"/>
      <c r="Q678" s="8"/>
      <c r="R678" s="96">
        <f>P_1_minQ-(R676^2*R_up)+dpup_minQ</f>
        <v>90.184926115334207</v>
      </c>
      <c r="S678" s="106"/>
      <c r="T678" s="22"/>
      <c r="U678" s="96">
        <f ca="1">P_1_minQ-(U676^2*R_up)+dpup_minQ</f>
        <v>90.122624553155589</v>
      </c>
      <c r="V678" s="107"/>
      <c r="W678" s="1"/>
      <c r="X678" s="96">
        <f ca="1">P_1_minQ-(X676^2*R_up)+dpup_minQ</f>
        <v>89.810806691465856</v>
      </c>
      <c r="Y678" s="107"/>
      <c r="Z678" s="1"/>
      <c r="AA678" s="96">
        <f ca="1">P_1_minQ-(AA676^2*R_up)+dpup_minQ</f>
        <v>88.765306012534055</v>
      </c>
      <c r="AB678" s="107"/>
      <c r="AC678" s="1"/>
      <c r="AD678" s="96">
        <f ca="1">P_1_minQ-(AD676^2*R_up)+dpup_minQ</f>
        <v>86.188998800903732</v>
      </c>
      <c r="AE678" s="107"/>
      <c r="AF678" s="1"/>
      <c r="AG678" s="96">
        <f ca="1">P_1_minQ-(AG676^2*R_up)+dpup_minQ</f>
        <v>81.672593504419638</v>
      </c>
      <c r="AH678" s="107"/>
      <c r="AI678" s="1"/>
      <c r="AJ678" s="96">
        <f ca="1">P_1_minQ-(AJ676^2*R_up)+dpup_minQ</f>
        <v>75.025218543648535</v>
      </c>
      <c r="AK678" s="107"/>
      <c r="AL678" s="1"/>
      <c r="AM678" s="96">
        <f ca="1">P_1_minQ-(AM676^2*R_up)+dpup_minQ</f>
        <v>67.614131366743024</v>
      </c>
      <c r="AN678" s="107"/>
      <c r="AO678" s="1"/>
      <c r="AP678" s="96">
        <f ca="1">P_1_minQ-(AP676^2*R_up)+dpup_minQ</f>
        <v>59.762865096137645</v>
      </c>
      <c r="AQ678" s="107"/>
      <c r="AR678" s="1"/>
      <c r="AS678" s="96">
        <f ca="1">P_1_minQ-(AS676^2*R_up)+dpup_minQ</f>
        <v>48.356353996477409</v>
      </c>
      <c r="AT678" s="107"/>
      <c r="AU678" s="1"/>
    </row>
    <row r="679" spans="15:47" x14ac:dyDescent="0.25">
      <c r="O679" s="8" t="s">
        <v>134</v>
      </c>
      <c r="P679" s="1"/>
      <c r="Q679" s="8"/>
      <c r="R679" s="97">
        <f>P_2_minQ+(R676^2*R_dn)-dpdn_minQ</f>
        <v>60</v>
      </c>
      <c r="S679" s="106"/>
      <c r="T679" s="22"/>
      <c r="U679" s="97">
        <f ca="1">P_2_minQ+(U676^2*R_dn)-dpdn_minQ</f>
        <v>60</v>
      </c>
      <c r="V679" s="107"/>
      <c r="W679" s="1"/>
      <c r="X679" s="97">
        <f ca="1">P_2_minQ+(X676^2*R_dn)-dpdn_minQ</f>
        <v>60</v>
      </c>
      <c r="Y679" s="107"/>
      <c r="Z679" s="1"/>
      <c r="AA679" s="97">
        <f ca="1">P_2_minQ+(AA676^2*R_dn)-dpdn_minQ</f>
        <v>60</v>
      </c>
      <c r="AB679" s="107"/>
      <c r="AC679" s="1"/>
      <c r="AD679" s="97">
        <f ca="1">P_2_minQ+(AD676^2*R_dn)-dpdn_minQ</f>
        <v>60</v>
      </c>
      <c r="AE679" s="107"/>
      <c r="AF679" s="1"/>
      <c r="AG679" s="97">
        <f ca="1">P_2_minQ+(AG676^2*R_dn)-dpdn_minQ</f>
        <v>60</v>
      </c>
      <c r="AH679" s="107"/>
      <c r="AI679" s="1"/>
      <c r="AJ679" s="97">
        <f ca="1">P_2_minQ+(AJ676^2*R_dn)-dpdn_minQ</f>
        <v>60</v>
      </c>
      <c r="AK679" s="107"/>
      <c r="AL679" s="1"/>
      <c r="AM679" s="97">
        <f ca="1">P_2_minQ+(AM676^2*R_dn)-dpdn_minQ</f>
        <v>60</v>
      </c>
      <c r="AN679" s="107"/>
      <c r="AO679" s="1"/>
      <c r="AP679" s="97">
        <f ca="1">P_2_minQ+(AP676^2*R_dn)-dpdn_minQ</f>
        <v>60</v>
      </c>
      <c r="AQ679" s="107"/>
      <c r="AR679" s="1"/>
      <c r="AS679" s="97">
        <f ca="1">P_2_minQ+(AS676^2*R_dn)-dpdn_minQ</f>
        <v>60</v>
      </c>
      <c r="AT679" s="107"/>
      <c r="AU679" s="1"/>
    </row>
    <row r="680" spans="15:47" x14ac:dyDescent="0.25">
      <c r="O680" s="8" t="s">
        <v>138</v>
      </c>
      <c r="P680" s="1"/>
      <c r="Q680" s="8"/>
      <c r="R680" s="97">
        <f>R678-R679</f>
        <v>30.184926115334207</v>
      </c>
      <c r="S680" s="106"/>
      <c r="T680" s="22"/>
      <c r="U680" s="97">
        <f ca="1">U678-U679</f>
        <v>30.122624553155589</v>
      </c>
      <c r="V680" s="110"/>
      <c r="W680" s="25"/>
      <c r="X680" s="97">
        <f ca="1">X678-X679</f>
        <v>29.810806691465856</v>
      </c>
      <c r="Y680" s="110"/>
      <c r="Z680" s="25"/>
      <c r="AA680" s="97">
        <f ca="1">AA678-AA679</f>
        <v>28.765306012534055</v>
      </c>
      <c r="AB680" s="110"/>
      <c r="AC680" s="25"/>
      <c r="AD680" s="97">
        <f ca="1">AD678-AD679</f>
        <v>26.188998800903732</v>
      </c>
      <c r="AE680" s="110"/>
      <c r="AF680" s="25"/>
      <c r="AG680" s="97">
        <f ca="1">AG678-AG679</f>
        <v>21.672593504419638</v>
      </c>
      <c r="AH680" s="110"/>
      <c r="AI680" s="25"/>
      <c r="AJ680" s="97">
        <f ca="1">AJ678-AJ679</f>
        <v>15.025218543648535</v>
      </c>
      <c r="AK680" s="110"/>
      <c r="AL680" s="25"/>
      <c r="AM680" s="97">
        <f ca="1">AM678-AM679</f>
        <v>7.6141313667430239</v>
      </c>
      <c r="AN680" s="110"/>
      <c r="AO680" s="25"/>
      <c r="AP680" s="97">
        <f ca="1">AP678-AP679</f>
        <v>-0.23713490386235492</v>
      </c>
      <c r="AQ680" s="110"/>
      <c r="AR680" s="25"/>
      <c r="AS680" s="97">
        <f ca="1">AS678-AS679</f>
        <v>-11.643646003522591</v>
      </c>
      <c r="AT680" s="110"/>
      <c r="AU680" s="25"/>
    </row>
    <row r="681" spans="15:47" ht="14.4" x14ac:dyDescent="0.3">
      <c r="O681" s="2" t="s">
        <v>140</v>
      </c>
      <c r="P681" s="11"/>
      <c r="Q681" s="2"/>
      <c r="R681" s="96">
        <f>R680/R678</f>
        <v>0.33470034755843575</v>
      </c>
      <c r="S681" s="106"/>
      <c r="T681" s="22"/>
      <c r="U681" s="96">
        <f ca="1">U680/U678</f>
        <v>0.33424042744548393</v>
      </c>
      <c r="V681" s="111"/>
      <c r="W681" s="28"/>
      <c r="X681" s="96">
        <f ca="1">X680/X678</f>
        <v>0.33192894919513716</v>
      </c>
      <c r="Y681" s="111"/>
      <c r="Z681" s="28"/>
      <c r="AA681" s="96">
        <f ca="1">AA680/AA678</f>
        <v>0.32406023597183642</v>
      </c>
      <c r="AB681" s="111"/>
      <c r="AC681" s="28"/>
      <c r="AD681" s="96">
        <f ca="1">AD680/AD678</f>
        <v>0.30385547071268598</v>
      </c>
      <c r="AE681" s="111"/>
      <c r="AF681" s="28"/>
      <c r="AG681" s="96">
        <f ca="1">AG680/AG678</f>
        <v>0.2653594379030812</v>
      </c>
      <c r="AH681" s="111"/>
      <c r="AI681" s="28"/>
      <c r="AJ681" s="96">
        <f ca="1">AJ680/AJ678</f>
        <v>0.20026890737955119</v>
      </c>
      <c r="AK681" s="111"/>
      <c r="AL681" s="28"/>
      <c r="AM681" s="96">
        <f ca="1">AM680/AM678</f>
        <v>0.11261153863596247</v>
      </c>
      <c r="AN681" s="111"/>
      <c r="AO681" s="28"/>
      <c r="AP681" s="96">
        <f ca="1">AP680/AP678</f>
        <v>-3.9679306452407763E-3</v>
      </c>
      <c r="AQ681" s="111"/>
      <c r="AR681" s="28"/>
      <c r="AS681" s="96">
        <f ca="1">AS680/AS678</f>
        <v>-0.24078833578666392</v>
      </c>
      <c r="AT681" s="111"/>
      <c r="AU681" s="28"/>
    </row>
    <row r="682" spans="15:47" x14ac:dyDescent="0.25">
      <c r="O682" s="2" t="s">
        <v>21</v>
      </c>
      <c r="P682" s="8">
        <v>12</v>
      </c>
      <c r="Q682" s="2"/>
      <c r="R682" s="96">
        <f ca="1">1-R681/(3*F_GAMMA*R$29)</f>
        <v>0.82568499094202541</v>
      </c>
      <c r="S682" s="106"/>
      <c r="T682" s="22"/>
      <c r="U682" s="96">
        <f ca="1">1-U681/(3*F_GAMMA*U$29)</f>
        <v>0.8259649619041205</v>
      </c>
      <c r="V682" s="111"/>
      <c r="W682" s="28"/>
      <c r="X682" s="96">
        <f ca="1">1-X681/(3*F_GAMMA*X$29)</f>
        <v>0.82552243449907181</v>
      </c>
      <c r="Y682" s="111"/>
      <c r="Z682" s="28"/>
      <c r="AA682" s="96">
        <f ca="1">1-AA681/(3*F_GAMMA*AA$29)</f>
        <v>0.82725745635961767</v>
      </c>
      <c r="AB682" s="111"/>
      <c r="AC682" s="28"/>
      <c r="AD682" s="96">
        <f ca="1">1-AD681/(3*F_GAMMA*AD$29)</f>
        <v>0.83300430901476163</v>
      </c>
      <c r="AE682" s="111"/>
      <c r="AF682" s="28"/>
      <c r="AG682" s="96">
        <f ca="1">1-AG681/(3*F_GAMMA*AG$29)</f>
        <v>0.84541009145059731</v>
      </c>
      <c r="AH682" s="111"/>
      <c r="AI682" s="28"/>
      <c r="AJ682" s="96">
        <f ca="1">1-AJ681/(3*F_GAMMA*AJ$29)</f>
        <v>0.87447878369711773</v>
      </c>
      <c r="AK682" s="111"/>
      <c r="AL682" s="28"/>
      <c r="AM682" s="96">
        <f ca="1">1-AM681/(3*F_GAMMA*AM$29)</f>
        <v>0.92108486081909224</v>
      </c>
      <c r="AN682" s="111"/>
      <c r="AO682" s="28"/>
      <c r="AP682" s="96">
        <f ca="1">1-AP681/(3*F_GAMMA*AP$29)</f>
        <v>1.0022397128115244</v>
      </c>
      <c r="AQ682" s="111"/>
      <c r="AR682" s="28"/>
      <c r="AS682" s="96">
        <f ca="1">1-AS681/(3*F_GAMMA*AS$29)</f>
        <v>1.2130738487787156</v>
      </c>
      <c r="AT682" s="111"/>
      <c r="AU682" s="28"/>
    </row>
    <row r="683" spans="15:47" x14ac:dyDescent="0.25">
      <c r="O683" s="2" t="s">
        <v>57</v>
      </c>
      <c r="P683" s="143">
        <v>7</v>
      </c>
      <c r="Q683" s="2"/>
      <c r="R683" s="96">
        <f ca="1">(R676/(N_9*R$27*R678*R682))*SQRT(M*'Valve Sizing'!$W$6*'Valve Sizing'!$G$8/R681)</f>
        <v>0.31996625129267298</v>
      </c>
      <c r="S683" s="107"/>
      <c r="T683" s="22"/>
      <c r="U683" s="96">
        <f ca="1">(U676/(N_9*U$27*U678*U682))*SQRT(M*'Valve Sizing'!$W$6*'Valve Sizing'!$G$8/U681)</f>
        <v>7.4859525840173822</v>
      </c>
      <c r="V683" s="111"/>
      <c r="W683" s="28"/>
      <c r="X683" s="96">
        <f ca="1">(X676/(N_9*X$27*X678*X682))*SQRT(M*'Valve Sizing'!$W$6*'Valve Sizing'!$G$8/X681)</f>
        <v>18.510332237342045</v>
      </c>
      <c r="Y683" s="111"/>
      <c r="Z683" s="28"/>
      <c r="AA683" s="96">
        <f ca="1">(AA676/(N_9*AA$27*AA678*AA682))*SQRT(M*'Valve Sizing'!$W$6*'Valve Sizing'!$G$8/AA681)</f>
        <v>37.059461328090855</v>
      </c>
      <c r="AB683" s="111"/>
      <c r="AC683" s="28"/>
      <c r="AD683" s="96">
        <f ca="1">(AD676/(N_9*AD$27*AD678*AD682))*SQRT(M*'Valve Sizing'!$W$6*'Valve Sizing'!$G$8/AD681)</f>
        <v>66.484690463850384</v>
      </c>
      <c r="AE683" s="111"/>
      <c r="AF683" s="28"/>
      <c r="AG683" s="96">
        <f ca="1">(AG676/(N_9*AG$27*AG678*AG682))*SQRT(M*'Valve Sizing'!$W$6*'Valve Sizing'!$G$8/AG681)</f>
        <v>110.4004232921441</v>
      </c>
      <c r="AH683" s="111"/>
      <c r="AI683" s="28"/>
      <c r="AJ683" s="96">
        <f ca="1">(AJ676/(N_9*AJ$27*AJ678*AJ682))*SQRT(M*'Valve Sizing'!$W$6*'Valve Sizing'!$G$8/AJ681)</f>
        <v>184.93169507648028</v>
      </c>
      <c r="AK683" s="111"/>
      <c r="AL683" s="28"/>
      <c r="AM683" s="96">
        <f ca="1">(AM676/(N_9*AM$27*AM678*AM682))*SQRT(M*'Valve Sizing'!$W$6*'Valve Sizing'!$G$8/AM681)</f>
        <v>336.35064565950734</v>
      </c>
      <c r="AN683" s="111"/>
      <c r="AO683" s="28"/>
      <c r="AP683" s="96" t="e">
        <f ca="1">(AP676/(N_9*AP$27*AP678*AP682))*SQRT(M*'Valve Sizing'!$W$6*'Valve Sizing'!$G$8/AP681)</f>
        <v>#NUM!</v>
      </c>
      <c r="AQ683" s="111"/>
      <c r="AR683" s="28"/>
      <c r="AS683" s="96" t="e">
        <f ca="1">(AS676/(N_9*AS$27*AS678*AS682))*SQRT(M*'Valve Sizing'!$W$6*'Valve Sizing'!$G$8/AS681)</f>
        <v>#NUM!</v>
      </c>
      <c r="AT683" s="111"/>
      <c r="AU683" s="28"/>
    </row>
    <row r="684" spans="15:47" x14ac:dyDescent="0.25">
      <c r="O684" s="2" t="s">
        <v>59</v>
      </c>
      <c r="P684" s="143">
        <v>7</v>
      </c>
      <c r="Q684" s="2"/>
      <c r="R684" s="96">
        <f ca="1">(R676/(N_9*R$27*R678*0.667))*SQRT(M*'Valve Sizing'!$W$6*'Valve Sizing'!$G$8/R685)</f>
        <v>0.28643148078443081</v>
      </c>
      <c r="S684" s="107"/>
      <c r="T684" s="22"/>
      <c r="U684" s="96">
        <f ca="1">(U676/(N_9*U$27*U678*0.667))*SQRT(M*'Valve Sizing'!$W$6*'Valve Sizing'!$G$8/U685)</f>
        <v>6.6982574582312209</v>
      </c>
      <c r="V684" s="111"/>
      <c r="W684" s="28"/>
      <c r="X684" s="96">
        <f ca="1">(X676/(N_9*X$27*X678*0.667))*SQRT(M*'Valve Sizing'!$W$6*'Valve Sizing'!$G$8/X685)</f>
        <v>16.574776614619175</v>
      </c>
      <c r="Y684" s="111"/>
      <c r="Z684" s="28"/>
      <c r="AA684" s="96">
        <f ca="1">(AA676/(N_9*AA$27*AA678*0.667))*SQRT(M*'Valve Sizing'!$W$6*'Valve Sizing'!$G$8/AA685)</f>
        <v>33.088283742488983</v>
      </c>
      <c r="AB684" s="111"/>
      <c r="AC684" s="28"/>
      <c r="AD684" s="96">
        <f ca="1">(AD676/(N_9*AD$27*AD678*0.667))*SQRT(M*'Valve Sizing'!$W$6*'Valve Sizing'!$G$8/AD685)</f>
        <v>58.770085846106461</v>
      </c>
      <c r="AE684" s="111"/>
      <c r="AF684" s="28"/>
      <c r="AG684" s="96">
        <f ca="1">(AG676/(N_9*AG$27*AG678*0.667))*SQRT(M*'Valve Sizing'!$W$6*'Valve Sizing'!$G$8/AG685)</f>
        <v>95.293555169129206</v>
      </c>
      <c r="AH684" s="111"/>
      <c r="AI684" s="28"/>
      <c r="AJ684" s="96">
        <f ca="1">(AJ676/(N_9*AJ$27*AJ678*0.667))*SQRT(M*'Valve Sizing'!$W$6*'Valve Sizing'!$G$8/AJ685)</f>
        <v>148.78323266824262</v>
      </c>
      <c r="AK684" s="111"/>
      <c r="AL684" s="28"/>
      <c r="AM684" s="96">
        <f ca="1">(AM676/(N_9*AM$27*AM678*0.667))*SQRT(M*'Valve Sizing'!$W$6*'Valve Sizing'!$G$8/AM685)</f>
        <v>225.99918174037742</v>
      </c>
      <c r="AN684" s="111"/>
      <c r="AO684" s="28"/>
      <c r="AP684" s="96">
        <f ca="1">(AP676/(N_9*AP$27*AP678*0.667))*SQRT(M*'Valve Sizing'!$W$6*'Valve Sizing'!$G$8/AP685)</f>
        <v>303.232269366624</v>
      </c>
      <c r="AQ684" s="111"/>
      <c r="AR684" s="28"/>
      <c r="AS684" s="96">
        <f ca="1">(AS676/(N_9*AS$27*AS678*0.667))*SQRT(M*'Valve Sizing'!$W$6*'Valve Sizing'!$G$8/AS685)</f>
        <v>736.94571850072452</v>
      </c>
      <c r="AT684" s="111"/>
      <c r="AU684" s="28"/>
    </row>
    <row r="685" spans="15:47" ht="15.6" x14ac:dyDescent="0.35">
      <c r="O685" s="2" t="s">
        <v>68</v>
      </c>
      <c r="P685" s="143">
        <v>10</v>
      </c>
      <c r="Q685" s="2"/>
      <c r="R685" s="96">
        <f ca="1">F_GAMMA*R$29</f>
        <v>0.64002969751372984</v>
      </c>
      <c r="S685" s="107"/>
      <c r="T685" s="1"/>
      <c r="U685" s="96">
        <f ca="1">F_GAMMA*U$29</f>
        <v>0.64017842058782071</v>
      </c>
      <c r="V685" s="111"/>
      <c r="W685" s="28"/>
      <c r="X685" s="96">
        <f ca="1">F_GAMMA*X$29</f>
        <v>0.63413873724904268</v>
      </c>
      <c r="Y685" s="111"/>
      <c r="Z685" s="28"/>
      <c r="AA685" s="96">
        <f ca="1">F_GAMMA*AA$29</f>
        <v>0.62532411750377137</v>
      </c>
      <c r="AB685" s="111"/>
      <c r="AC685" s="28"/>
      <c r="AD685" s="96">
        <f ca="1">F_GAMMA*AD$29</f>
        <v>0.60651359509139569</v>
      </c>
      <c r="AE685" s="111"/>
      <c r="AF685" s="28"/>
      <c r="AG685" s="96">
        <f ca="1">F_GAMMA*AG$29</f>
        <v>0.57217930198481592</v>
      </c>
      <c r="AH685" s="111"/>
      <c r="AI685" s="28"/>
      <c r="AJ685" s="96">
        <f ca="1">F_GAMMA*AJ$29</f>
        <v>0.53183282018848232</v>
      </c>
      <c r="AK685" s="111"/>
      <c r="AL685" s="28"/>
      <c r="AM685" s="96">
        <f ca="1">F_GAMMA*AM$29</f>
        <v>0.47566512503094399</v>
      </c>
      <c r="AN685" s="111"/>
      <c r="AO685" s="28"/>
      <c r="AP685" s="96">
        <f ca="1">F_GAMMA*AP$29</f>
        <v>0.59054158265645496</v>
      </c>
      <c r="AQ685" s="111"/>
      <c r="AR685" s="28"/>
      <c r="AS685" s="96">
        <f ca="1">F_GAMMA*AS$29</f>
        <v>0.3766899554102966</v>
      </c>
      <c r="AT685" s="111"/>
      <c r="AU685" s="28"/>
    </row>
    <row r="686" spans="15:47" x14ac:dyDescent="0.25">
      <c r="O686" s="2" t="s">
        <v>145</v>
      </c>
      <c r="P686" s="12"/>
      <c r="Q686" s="2"/>
      <c r="R686" s="96">
        <f ca="1">IF(R681&lt;R685,R683,R684)</f>
        <v>0.31996625129267298</v>
      </c>
      <c r="S686" s="116"/>
      <c r="T686" s="1"/>
      <c r="U686" s="96">
        <f ca="1">IF(U681&lt;U685,U683,U684)</f>
        <v>7.4859525840173822</v>
      </c>
      <c r="V686" s="111"/>
      <c r="W686" s="28"/>
      <c r="X686" s="96">
        <f ca="1">IF(X681&lt;X685,X683,X684)</f>
        <v>18.510332237342045</v>
      </c>
      <c r="Y686" s="111"/>
      <c r="Z686" s="28"/>
      <c r="AA686" s="96">
        <f ca="1">IF(AA681&lt;AA685,AA683,AA684)</f>
        <v>37.059461328090855</v>
      </c>
      <c r="AB686" s="111"/>
      <c r="AC686" s="28"/>
      <c r="AD686" s="96">
        <f ca="1">IF(AD681&lt;AD685,AD683,AD684)</f>
        <v>66.484690463850384</v>
      </c>
      <c r="AE686" s="111"/>
      <c r="AF686" s="28"/>
      <c r="AG686" s="96">
        <f ca="1">IF(AG681&lt;AG685,AG683,AG684)</f>
        <v>110.4004232921441</v>
      </c>
      <c r="AH686" s="111"/>
      <c r="AI686" s="28"/>
      <c r="AJ686" s="96">
        <f ca="1">IF(AJ681&lt;AJ685,AJ683,AJ684)</f>
        <v>184.93169507648028</v>
      </c>
      <c r="AK686" s="111"/>
      <c r="AL686" s="28"/>
      <c r="AM686" s="96">
        <f ca="1">IF(AM681&lt;AM685,AM683,AM684)</f>
        <v>336.35064565950734</v>
      </c>
      <c r="AN686" s="111"/>
      <c r="AO686" s="28"/>
      <c r="AP686" s="96" t="e">
        <f ca="1">IF(AP681&lt;AP685,AP683,AP684)</f>
        <v>#NUM!</v>
      </c>
      <c r="AQ686" s="111"/>
      <c r="AR686" s="28"/>
      <c r="AS686" s="96" t="e">
        <f ca="1">IF(AS681&lt;AS685,AS683,AS684)</f>
        <v>#NUM!</v>
      </c>
      <c r="AT686" s="111"/>
      <c r="AU686" s="28"/>
    </row>
    <row r="687" spans="15:47" x14ac:dyDescent="0.25">
      <c r="O687" s="13" t="s">
        <v>143</v>
      </c>
      <c r="P687" s="1"/>
      <c r="Q687" s="1"/>
      <c r="R687" s="113"/>
      <c r="S687" s="106">
        <f ca="1">IF(R680&lt;=0,Q_max,ABS(R$23-R686))</f>
        <v>4.4100337487073276</v>
      </c>
      <c r="T687" s="7">
        <f>R676</f>
        <v>792.30895514387123</v>
      </c>
      <c r="U687" s="98"/>
      <c r="V687" s="106">
        <f ca="1">IF(U680&lt;=0,Q_max,ABS(U$23-U686))</f>
        <v>4.1140474159826175</v>
      </c>
      <c r="W687" s="9">
        <f ca="1">U676</f>
        <v>18505.512546221995</v>
      </c>
      <c r="X687" s="98"/>
      <c r="Y687" s="106">
        <f ca="1">IF(X680&lt;=0,Q_max,ABS(X$23-X686))</f>
        <v>4.4896677626579553</v>
      </c>
      <c r="Z687" s="9">
        <f ca="1">X676</f>
        <v>45313.202681796596</v>
      </c>
      <c r="AA687" s="98"/>
      <c r="AB687" s="106">
        <f ca="1">IF(AA680&lt;=0,Q_max,ABS(AA$23-AA686))</f>
        <v>2.3405386719091439</v>
      </c>
      <c r="AC687" s="9">
        <f ca="1">AA676</f>
        <v>88258.55283699125</v>
      </c>
      <c r="AD687" s="98"/>
      <c r="AE687" s="106">
        <f ca="1">IF(AD680&lt;=0,Q_max,ABS(AD$23-AD686))</f>
        <v>5.4846904638503844</v>
      </c>
      <c r="AF687" s="9">
        <f ca="1">AD676</f>
        <v>148070.3963189722</v>
      </c>
      <c r="AG687" s="98"/>
      <c r="AH687" s="106">
        <f ca="1">IF(AG680&lt;=0,Q_max,ABS(AG$23-AG686))</f>
        <v>22.200423292144094</v>
      </c>
      <c r="AI687" s="9">
        <f ca="1">AG676</f>
        <v>216112.77629384631</v>
      </c>
      <c r="AJ687" s="98"/>
      <c r="AK687" s="106">
        <f ca="1">IF(AJ680&lt;=0,Q_max,ABS(AJ$23-AJ686))</f>
        <v>63.931695076480281</v>
      </c>
      <c r="AL687" s="9">
        <f ca="1">AJ676</f>
        <v>288403.33773984521</v>
      </c>
      <c r="AM687" s="98"/>
      <c r="AN687" s="106">
        <f ca="1">IF(AM680&lt;=0,Q_max,ABS(AM$23-AM686))</f>
        <v>171.35064565950734</v>
      </c>
      <c r="AO687" s="9">
        <f ca="1">AM676</f>
        <v>351906.88019790873</v>
      </c>
      <c r="AP687" s="98"/>
      <c r="AQ687" s="106">
        <f ca="1">IF(AP680&lt;=0,Q_max,ABS(AP$23-AP686))</f>
        <v>236393</v>
      </c>
      <c r="AR687" s="9">
        <f ca="1">AP676</f>
        <v>408552.9630908813</v>
      </c>
      <c r="AS687" s="98"/>
      <c r="AT687" s="106">
        <f ca="1">IF(AS680&lt;=0,Q_max,ABS(AS$23-AS686))</f>
        <v>236393</v>
      </c>
      <c r="AU687" s="9">
        <f ca="1">AS676</f>
        <v>479060.47984066745</v>
      </c>
    </row>
    <row r="688" spans="15:47" x14ac:dyDescent="0.25">
      <c r="O688" s="21"/>
      <c r="P688" s="14"/>
      <c r="Q688" s="21"/>
      <c r="R688" s="97"/>
      <c r="S688" s="106"/>
      <c r="T688" s="28"/>
      <c r="U688" s="97"/>
      <c r="V688" s="111"/>
      <c r="W688" s="28"/>
      <c r="X688" s="97"/>
      <c r="Y688" s="111"/>
      <c r="Z688" s="28"/>
      <c r="AA688" s="97"/>
      <c r="AB688" s="111"/>
      <c r="AC688" s="28"/>
      <c r="AD688" s="97"/>
      <c r="AE688" s="111"/>
      <c r="AF688" s="28"/>
      <c r="AG688" s="97"/>
      <c r="AH688" s="111"/>
      <c r="AI688" s="28"/>
      <c r="AJ688" s="97"/>
      <c r="AK688" s="111"/>
      <c r="AL688" s="28"/>
      <c r="AM688" s="97"/>
      <c r="AN688" s="111"/>
      <c r="AO688" s="28"/>
      <c r="AP688" s="97"/>
      <c r="AQ688" s="111"/>
      <c r="AR688" s="28"/>
      <c r="AS688" s="97"/>
      <c r="AT688" s="111"/>
      <c r="AU688" s="28"/>
    </row>
    <row r="689" spans="15:47" x14ac:dyDescent="0.25">
      <c r="O689" s="1"/>
      <c r="P689" s="1"/>
      <c r="Q689" s="1"/>
      <c r="R689" s="98"/>
      <c r="S689" s="108" t="s">
        <v>137</v>
      </c>
      <c r="T689" s="26" t="s">
        <v>146</v>
      </c>
      <c r="U689" s="98"/>
      <c r="V689" s="108" t="s">
        <v>137</v>
      </c>
      <c r="W689" s="26" t="s">
        <v>146</v>
      </c>
      <c r="X689" s="98"/>
      <c r="Y689" s="108" t="s">
        <v>137</v>
      </c>
      <c r="Z689" s="26" t="s">
        <v>146</v>
      </c>
      <c r="AA689" s="98"/>
      <c r="AB689" s="108" t="s">
        <v>137</v>
      </c>
      <c r="AC689" s="26" t="s">
        <v>146</v>
      </c>
      <c r="AD689" s="98"/>
      <c r="AE689" s="108" t="s">
        <v>137</v>
      </c>
      <c r="AF689" s="26" t="s">
        <v>146</v>
      </c>
      <c r="AG689" s="98"/>
      <c r="AH689" s="108" t="s">
        <v>137</v>
      </c>
      <c r="AI689" s="26" t="s">
        <v>146</v>
      </c>
      <c r="AJ689" s="98"/>
      <c r="AK689" s="108" t="s">
        <v>137</v>
      </c>
      <c r="AL689" s="26" t="s">
        <v>146</v>
      </c>
      <c r="AM689" s="98"/>
      <c r="AN689" s="108" t="s">
        <v>137</v>
      </c>
      <c r="AO689" s="26" t="s">
        <v>146</v>
      </c>
      <c r="AP689" s="98"/>
      <c r="AQ689" s="108" t="s">
        <v>137</v>
      </c>
      <c r="AR689" s="26" t="s">
        <v>146</v>
      </c>
      <c r="AS689" s="98"/>
      <c r="AT689" s="108" t="s">
        <v>137</v>
      </c>
      <c r="AU689" s="26" t="s">
        <v>146</v>
      </c>
    </row>
    <row r="690" spans="15:47" ht="13.8" x14ac:dyDescent="0.25">
      <c r="O690" s="20" t="s">
        <v>136</v>
      </c>
      <c r="P690" s="1"/>
      <c r="Q690" s="1"/>
      <c r="R690" s="96">
        <f>R676*1.02</f>
        <v>808.15513424674862</v>
      </c>
      <c r="S690" s="109" t="s">
        <v>144</v>
      </c>
      <c r="T690" s="23" t="s">
        <v>147</v>
      </c>
      <c r="U690" s="96">
        <f ca="1">U676*1.01</f>
        <v>18690.567671684214</v>
      </c>
      <c r="V690" s="109" t="s">
        <v>144</v>
      </c>
      <c r="W690" s="23" t="s">
        <v>147</v>
      </c>
      <c r="X690" s="96">
        <f ca="1">X676*1.01</f>
        <v>45766.334708614566</v>
      </c>
      <c r="Y690" s="109" t="s">
        <v>144</v>
      </c>
      <c r="Z690" s="23" t="s">
        <v>147</v>
      </c>
      <c r="AA690" s="96">
        <f ca="1">AA676*1.01</f>
        <v>89141.13836536117</v>
      </c>
      <c r="AB690" s="109" t="s">
        <v>144</v>
      </c>
      <c r="AC690" s="23" t="s">
        <v>147</v>
      </c>
      <c r="AD690" s="96">
        <f ca="1">AD676*1.01</f>
        <v>149551.10028216193</v>
      </c>
      <c r="AE690" s="109" t="s">
        <v>144</v>
      </c>
      <c r="AF690" s="23" t="s">
        <v>147</v>
      </c>
      <c r="AG690" s="96">
        <f ca="1">AG676*1.01</f>
        <v>218273.90405678478</v>
      </c>
      <c r="AH690" s="109" t="s">
        <v>144</v>
      </c>
      <c r="AI690" s="23" t="s">
        <v>147</v>
      </c>
      <c r="AJ690" s="96">
        <f ca="1">AJ676*1.01</f>
        <v>291287.37111724366</v>
      </c>
      <c r="AK690" s="109" t="s">
        <v>144</v>
      </c>
      <c r="AL690" s="23" t="s">
        <v>147</v>
      </c>
      <c r="AM690" s="96">
        <f ca="1">AM676*1.01</f>
        <v>355425.9489998878</v>
      </c>
      <c r="AN690" s="109" t="s">
        <v>144</v>
      </c>
      <c r="AO690" s="23" t="s">
        <v>147</v>
      </c>
      <c r="AP690" s="96">
        <f ca="1">AP676*1.01</f>
        <v>412638.4927217901</v>
      </c>
      <c r="AQ690" s="109" t="s">
        <v>144</v>
      </c>
      <c r="AR690" s="23" t="s">
        <v>147</v>
      </c>
      <c r="AS690" s="96">
        <f ca="1">AS676*1.01</f>
        <v>483851.08463907411</v>
      </c>
      <c r="AT690" s="109" t="s">
        <v>144</v>
      </c>
      <c r="AU690" s="23" t="s">
        <v>147</v>
      </c>
    </row>
    <row r="691" spans="15:47" x14ac:dyDescent="0.25">
      <c r="O691" s="1"/>
      <c r="P691" s="1"/>
      <c r="Q691" s="1"/>
      <c r="R691" s="98"/>
      <c r="S691" s="107"/>
      <c r="T691" s="1"/>
      <c r="U691" s="47"/>
      <c r="V691" s="107"/>
      <c r="W691" s="1"/>
      <c r="X691" s="47"/>
      <c r="Y691" s="107"/>
      <c r="Z691" s="1"/>
      <c r="AA691" s="47"/>
      <c r="AB691" s="107"/>
      <c r="AC691" s="1"/>
      <c r="AD691" s="47"/>
      <c r="AE691" s="107"/>
      <c r="AF691" s="1"/>
      <c r="AG691" s="47"/>
      <c r="AH691" s="107"/>
      <c r="AI691" s="1"/>
      <c r="AJ691" s="47"/>
      <c r="AK691" s="107"/>
      <c r="AL691" s="1"/>
      <c r="AM691" s="47"/>
      <c r="AN691" s="107"/>
      <c r="AO691" s="1"/>
      <c r="AP691" s="47"/>
      <c r="AQ691" s="107"/>
      <c r="AR691" s="1"/>
      <c r="AS691" s="47"/>
      <c r="AT691" s="107"/>
      <c r="AU691" s="1"/>
    </row>
    <row r="692" spans="15:47" x14ac:dyDescent="0.25">
      <c r="O692" s="8" t="s">
        <v>132</v>
      </c>
      <c r="P692" s="8"/>
      <c r="Q692" s="8"/>
      <c r="R692" s="96">
        <f>P_1_minQ-(R690^2*R_up)+dpup_minQ</f>
        <v>90.184921492971384</v>
      </c>
      <c r="S692" s="106"/>
      <c r="T692" s="22"/>
      <c r="U692" s="96">
        <f ca="1">P_1_minQ-(U690^2*R_up)+dpup_minQ</f>
        <v>90.121369992015886</v>
      </c>
      <c r="V692" s="107"/>
      <c r="W692" s="1"/>
      <c r="X692" s="96">
        <f ca="1">P_1_minQ-(X690^2*R_up)+dpup_minQ</f>
        <v>89.803284591306181</v>
      </c>
      <c r="Y692" s="107"/>
      <c r="Z692" s="1"/>
      <c r="AA692" s="96">
        <f ca="1">P_1_minQ-(AA690^2*R_up)+dpup_minQ</f>
        <v>88.736769348727847</v>
      </c>
      <c r="AB692" s="107"/>
      <c r="AC692" s="1"/>
      <c r="AD692" s="96">
        <f ca="1">P_1_minQ-(AD690^2*R_up)+dpup_minQ</f>
        <v>86.108678362143763</v>
      </c>
      <c r="AE692" s="107"/>
      <c r="AF692" s="1"/>
      <c r="AG692" s="96">
        <f ca="1">P_1_minQ-(AG690^2*R_up)+dpup_minQ</f>
        <v>81.501493319200335</v>
      </c>
      <c r="AH692" s="107"/>
      <c r="AI692" s="1"/>
      <c r="AJ692" s="96">
        <f ca="1">P_1_minQ-(AJ690^2*R_up)+dpup_minQ</f>
        <v>74.720506121717733</v>
      </c>
      <c r="AK692" s="107"/>
      <c r="AL692" s="1"/>
      <c r="AM692" s="96">
        <f ca="1">P_1_minQ-(AM690^2*R_up)+dpup_minQ</f>
        <v>67.160456092556416</v>
      </c>
      <c r="AN692" s="107"/>
      <c r="AO692" s="1"/>
      <c r="AP692" s="96">
        <f ca="1">P_1_minQ-(AP690^2*R_up)+dpup_minQ</f>
        <v>59.151379369911879</v>
      </c>
      <c r="AQ692" s="107"/>
      <c r="AR692" s="1"/>
      <c r="AS692" s="96">
        <f ca="1">P_1_minQ-(AS690^2*R_up)+dpup_minQ</f>
        <v>47.515597397148468</v>
      </c>
      <c r="AT692" s="107"/>
      <c r="AU692" s="1"/>
    </row>
    <row r="693" spans="15:47" x14ac:dyDescent="0.25">
      <c r="O693" s="8" t="s">
        <v>134</v>
      </c>
      <c r="P693" s="1"/>
      <c r="Q693" s="8"/>
      <c r="R693" s="97">
        <f>P_2_minQ+(R690^2*R_dn)-dpdn_minQ</f>
        <v>60</v>
      </c>
      <c r="S693" s="106"/>
      <c r="T693" s="22"/>
      <c r="U693" s="97">
        <f ca="1">P_2_minQ+(U690^2*R_dn)-dpdn_minQ</f>
        <v>60</v>
      </c>
      <c r="V693" s="107"/>
      <c r="W693" s="1"/>
      <c r="X693" s="97">
        <f ca="1">P_2_minQ+(X690^2*R_dn)-dpdn_minQ</f>
        <v>60</v>
      </c>
      <c r="Y693" s="107"/>
      <c r="Z693" s="1"/>
      <c r="AA693" s="97">
        <f ca="1">P_2_minQ+(AA690^2*R_dn)-dpdn_minQ</f>
        <v>60</v>
      </c>
      <c r="AB693" s="107"/>
      <c r="AC693" s="1"/>
      <c r="AD693" s="97">
        <f ca="1">P_2_minQ+(AD690^2*R_dn)-dpdn_minQ</f>
        <v>60</v>
      </c>
      <c r="AE693" s="107"/>
      <c r="AF693" s="1"/>
      <c r="AG693" s="97">
        <f ca="1">P_2_minQ+(AG690^2*R_dn)-dpdn_minQ</f>
        <v>60</v>
      </c>
      <c r="AH693" s="107"/>
      <c r="AI693" s="1"/>
      <c r="AJ693" s="97">
        <f ca="1">P_2_minQ+(AJ690^2*R_dn)-dpdn_minQ</f>
        <v>60</v>
      </c>
      <c r="AK693" s="107"/>
      <c r="AL693" s="1"/>
      <c r="AM693" s="97">
        <f ca="1">P_2_minQ+(AM690^2*R_dn)-dpdn_minQ</f>
        <v>60</v>
      </c>
      <c r="AN693" s="107"/>
      <c r="AO693" s="1"/>
      <c r="AP693" s="97">
        <f ca="1">P_2_minQ+(AP690^2*R_dn)-dpdn_minQ</f>
        <v>60</v>
      </c>
      <c r="AQ693" s="107"/>
      <c r="AR693" s="1"/>
      <c r="AS693" s="97">
        <f ca="1">P_2_minQ+(AS690^2*R_dn)-dpdn_minQ</f>
        <v>60</v>
      </c>
      <c r="AT693" s="107"/>
      <c r="AU693" s="1"/>
    </row>
    <row r="694" spans="15:47" x14ac:dyDescent="0.25">
      <c r="O694" s="8" t="s">
        <v>138</v>
      </c>
      <c r="P694" s="1"/>
      <c r="Q694" s="8"/>
      <c r="R694" s="97">
        <f>R692-R693</f>
        <v>30.184921492971384</v>
      </c>
      <c r="S694" s="106"/>
      <c r="T694" s="22"/>
      <c r="U694" s="97">
        <f ca="1">U692-U693</f>
        <v>30.121369992015886</v>
      </c>
      <c r="V694" s="110"/>
      <c r="W694" s="25"/>
      <c r="X694" s="97">
        <f ca="1">X692-X693</f>
        <v>29.803284591306181</v>
      </c>
      <c r="Y694" s="110"/>
      <c r="Z694" s="25"/>
      <c r="AA694" s="97">
        <f ca="1">AA692-AA693</f>
        <v>28.736769348727847</v>
      </c>
      <c r="AB694" s="110"/>
      <c r="AC694" s="25"/>
      <c r="AD694" s="97">
        <f ca="1">AD692-AD693</f>
        <v>26.108678362143763</v>
      </c>
      <c r="AE694" s="110"/>
      <c r="AF694" s="25"/>
      <c r="AG694" s="97">
        <f ca="1">AG692-AG693</f>
        <v>21.501493319200335</v>
      </c>
      <c r="AH694" s="110"/>
      <c r="AI694" s="25"/>
      <c r="AJ694" s="97">
        <f ca="1">AJ692-AJ693</f>
        <v>14.720506121717733</v>
      </c>
      <c r="AK694" s="110"/>
      <c r="AL694" s="25"/>
      <c r="AM694" s="97">
        <f ca="1">AM692-AM693</f>
        <v>7.1604560925564158</v>
      </c>
      <c r="AN694" s="110"/>
      <c r="AO694" s="25"/>
      <c r="AP694" s="97">
        <f ca="1">AP692-AP693</f>
        <v>-0.84862063008812072</v>
      </c>
      <c r="AQ694" s="110"/>
      <c r="AR694" s="25"/>
      <c r="AS694" s="97">
        <f ca="1">AS692-AS693</f>
        <v>-12.484402602851532</v>
      </c>
      <c r="AT694" s="110"/>
      <c r="AU694" s="25"/>
    </row>
    <row r="695" spans="15:47" ht="14.4" x14ac:dyDescent="0.3">
      <c r="O695" s="2" t="s">
        <v>140</v>
      </c>
      <c r="P695" s="11"/>
      <c r="Q695" s="2"/>
      <c r="R695" s="96">
        <f>R694/R692</f>
        <v>0.33470031345898399</v>
      </c>
      <c r="S695" s="106"/>
      <c r="T695" s="22"/>
      <c r="U695" s="96">
        <f ca="1">U694/U692</f>
        <v>0.33423115954278576</v>
      </c>
      <c r="V695" s="111"/>
      <c r="W695" s="28"/>
      <c r="X695" s="96">
        <f ca="1">X694/X692</f>
        <v>0.3318729902468559</v>
      </c>
      <c r="Y695" s="111"/>
      <c r="Z695" s="28"/>
      <c r="AA695" s="96">
        <f ca="1">AA694/AA692</f>
        <v>0.32384286197973722</v>
      </c>
      <c r="AB695" s="111"/>
      <c r="AC695" s="28"/>
      <c r="AD695" s="96">
        <f ca="1">AD694/AD692</f>
        <v>0.30320612113380208</v>
      </c>
      <c r="AE695" s="111"/>
      <c r="AF695" s="28"/>
      <c r="AG695" s="96">
        <f ca="1">AG694/AG692</f>
        <v>0.26381717001171751</v>
      </c>
      <c r="AH695" s="111"/>
      <c r="AI695" s="28"/>
      <c r="AJ695" s="96">
        <f ca="1">AJ694/AJ692</f>
        <v>0.19700758045908331</v>
      </c>
      <c r="AK695" s="111"/>
      <c r="AL695" s="28"/>
      <c r="AM695" s="96">
        <f ca="1">AM694/AM692</f>
        <v>0.10661714510527319</v>
      </c>
      <c r="AN695" s="111"/>
      <c r="AO695" s="28"/>
      <c r="AP695" s="96">
        <f ca="1">AP694/AP692</f>
        <v>-1.434659071568131E-2</v>
      </c>
      <c r="AQ695" s="111"/>
      <c r="AR695" s="28"/>
      <c r="AS695" s="96">
        <f ca="1">AS694/AS692</f>
        <v>-0.26274325246304808</v>
      </c>
      <c r="AT695" s="111"/>
      <c r="AU695" s="28"/>
    </row>
    <row r="696" spans="15:47" x14ac:dyDescent="0.25">
      <c r="O696" s="2" t="s">
        <v>21</v>
      </c>
      <c r="P696" s="8">
        <v>12</v>
      </c>
      <c r="Q696" s="2"/>
      <c r="R696" s="96">
        <f ca="1">1-R695/(3*F_GAMMA*R$29)</f>
        <v>0.82568500870133243</v>
      </c>
      <c r="S696" s="106"/>
      <c r="T696" s="22"/>
      <c r="U696" s="96">
        <f ca="1">1-U695/(3*F_GAMMA*U$29)</f>
        <v>0.82596978759146022</v>
      </c>
      <c r="V696" s="111"/>
      <c r="W696" s="28"/>
      <c r="X696" s="96">
        <f ca="1">1-X695/(3*F_GAMMA*X$29)</f>
        <v>0.82555184917075919</v>
      </c>
      <c r="Y696" s="111"/>
      <c r="Z696" s="28"/>
      <c r="AA696" s="96">
        <f ca="1">1-AA695/(3*F_GAMMA*AA$29)</f>
        <v>0.82737332906520855</v>
      </c>
      <c r="AB696" s="111"/>
      <c r="AC696" s="28"/>
      <c r="AD696" s="96">
        <f ca="1">1-AD695/(3*F_GAMMA*AD$29)</f>
        <v>0.83336118454299346</v>
      </c>
      <c r="AE696" s="111"/>
      <c r="AF696" s="28"/>
      <c r="AG696" s="96">
        <f ca="1">1-AG695/(3*F_GAMMA*AG$29)</f>
        <v>0.84630856732230031</v>
      </c>
      <c r="AH696" s="111"/>
      <c r="AI696" s="28"/>
      <c r="AJ696" s="96">
        <f ca="1">1-AJ695/(3*F_GAMMA*AJ$29)</f>
        <v>0.876522863964868</v>
      </c>
      <c r="AK696" s="111"/>
      <c r="AL696" s="28"/>
      <c r="AM696" s="96">
        <f ca="1">1-AM695/(3*F_GAMMA*AM$29)</f>
        <v>0.92528557067093697</v>
      </c>
      <c r="AN696" s="111"/>
      <c r="AO696" s="28"/>
      <c r="AP696" s="96">
        <f ca="1">1-AP695/(3*F_GAMMA*AP$29)</f>
        <v>1.0080979850457188</v>
      </c>
      <c r="AQ696" s="111"/>
      <c r="AR696" s="28"/>
      <c r="AS696" s="96">
        <f ca="1">1-AS695/(3*F_GAMMA*AS$29)</f>
        <v>1.2325017773806968</v>
      </c>
      <c r="AT696" s="111"/>
      <c r="AU696" s="28"/>
    </row>
    <row r="697" spans="15:47" x14ac:dyDescent="0.25">
      <c r="O697" s="2" t="s">
        <v>57</v>
      </c>
      <c r="P697" s="143">
        <v>7</v>
      </c>
      <c r="Q697" s="2"/>
      <c r="R697" s="96">
        <f ca="1">(R690/(N_9*R$27*R692*R696))*SQRT(M*'Valve Sizing'!$W$6*'Valve Sizing'!$G$8/R695)</f>
        <v>0.32636560265165138</v>
      </c>
      <c r="S697" s="107"/>
      <c r="T697" s="22"/>
      <c r="U697" s="96">
        <f ca="1">(U690/(N_9*U$27*U692*U696))*SQRT(M*'Valve Sizing'!$W$6*'Valve Sizing'!$G$8/U695)</f>
        <v>7.5609780151692343</v>
      </c>
      <c r="V697" s="111"/>
      <c r="W697" s="28"/>
      <c r="X697" s="96">
        <f ca="1">(X690/(N_9*X$27*X692*X696))*SQRT(M*'Valve Sizing'!$W$6*'Valve Sizing'!$G$8/X695)</f>
        <v>18.697911526254625</v>
      </c>
      <c r="Y697" s="111"/>
      <c r="Z697" s="28"/>
      <c r="AA697" s="96">
        <f ca="1">(AA690/(N_9*AA$27*AA692*AA696))*SQRT(M*'Valve Sizing'!$W$6*'Valve Sizing'!$G$8/AA695)</f>
        <v>37.449411583466556</v>
      </c>
      <c r="AB697" s="111"/>
      <c r="AC697" s="28"/>
      <c r="AD697" s="96">
        <f ca="1">(AD690/(N_9*AD$27*AD692*AD696))*SQRT(M*'Valve Sizing'!$W$6*'Valve Sizing'!$G$8/AD695)</f>
        <v>67.255292278777716</v>
      </c>
      <c r="AE697" s="111"/>
      <c r="AF697" s="28"/>
      <c r="AG697" s="96">
        <f ca="1">(AG690/(N_9*AG$27*AG692*AG696))*SQRT(M*'Valve Sizing'!$W$6*'Valve Sizing'!$G$8/AG695)</f>
        <v>111.94567614078012</v>
      </c>
      <c r="AH697" s="111"/>
      <c r="AI697" s="28"/>
      <c r="AJ697" s="96">
        <f ca="1">(AJ690/(N_9*AJ$27*AJ692*AJ696))*SQRT(M*'Valve Sizing'!$W$6*'Valve Sizing'!$G$8/AJ695)</f>
        <v>188.64769892203017</v>
      </c>
      <c r="AK697" s="111"/>
      <c r="AL697" s="28"/>
      <c r="AM697" s="96">
        <f ca="1">(AM690/(N_9*AM$27*AM692*AM696))*SQRT(M*'Valve Sizing'!$W$6*'Valve Sizing'!$G$8/AM695)</f>
        <v>349.89622090989781</v>
      </c>
      <c r="AN697" s="111"/>
      <c r="AO697" s="28"/>
      <c r="AP697" s="96" t="e">
        <f ca="1">(AP690/(N_9*AP$27*AP692*AP696))*SQRT(M*'Valve Sizing'!$W$6*'Valve Sizing'!$G$8/AP695)</f>
        <v>#NUM!</v>
      </c>
      <c r="AQ697" s="111"/>
      <c r="AR697" s="28"/>
      <c r="AS697" s="96" t="e">
        <f ca="1">(AS690/(N_9*AS$27*AS692*AS696))*SQRT(M*'Valve Sizing'!$W$6*'Valve Sizing'!$G$8/AS695)</f>
        <v>#NUM!</v>
      </c>
      <c r="AT697" s="111"/>
      <c r="AU697" s="28"/>
    </row>
    <row r="698" spans="15:47" x14ac:dyDescent="0.25">
      <c r="O698" s="2" t="s">
        <v>59</v>
      </c>
      <c r="P698" s="143">
        <v>7</v>
      </c>
      <c r="Q698" s="2"/>
      <c r="R698" s="96">
        <f ca="1">(R690/(N_9*R$27*R692*0.667))*SQRT(M*'Valve Sizing'!$W$6*'Valve Sizing'!$G$8/R699)</f>
        <v>0.29216012537457425</v>
      </c>
      <c r="S698" s="107"/>
      <c r="T698" s="22"/>
      <c r="U698" s="96">
        <f ca="1">(U690/(N_9*U$27*U692*0.667))*SQRT(M*'Valve Sizing'!$W$6*'Valve Sizing'!$G$8/U699)</f>
        <v>6.765334210334875</v>
      </c>
      <c r="V698" s="111"/>
      <c r="W698" s="28"/>
      <c r="X698" s="96">
        <f ca="1">(X690/(N_9*X$27*X692*0.667))*SQRT(M*'Valve Sizing'!$W$6*'Valve Sizing'!$G$8/X699)</f>
        <v>16.74192660009054</v>
      </c>
      <c r="Y698" s="111"/>
      <c r="Z698" s="28"/>
      <c r="AA698" s="96">
        <f ca="1">(AA690/(N_9*AA$27*AA692*0.667))*SQRT(M*'Valve Sizing'!$W$6*'Valve Sizing'!$G$8/AA699)</f>
        <v>33.429913776688956</v>
      </c>
      <c r="AB698" s="111"/>
      <c r="AC698" s="28"/>
      <c r="AD698" s="96">
        <f ca="1">(AD690/(N_9*AD$27*AD692*0.667))*SQRT(M*'Valve Sizing'!$W$6*'Valve Sizing'!$G$8/AD699)</f>
        <v>59.413154451031836</v>
      </c>
      <c r="AE698" s="111"/>
      <c r="AF698" s="28"/>
      <c r="AG698" s="96">
        <f ca="1">(AG690/(N_9*AG$27*AG692*0.667))*SQRT(M*'Valve Sizing'!$W$6*'Valve Sizing'!$G$8/AG699)</f>
        <v>96.448545820897536</v>
      </c>
      <c r="AH698" s="111"/>
      <c r="AI698" s="28"/>
      <c r="AJ698" s="96">
        <f ca="1">(AJ690/(N_9*AJ$27*AJ692*0.667))*SQRT(M*'Valve Sizing'!$W$6*'Valve Sizing'!$G$8/AJ699)</f>
        <v>150.88387481832396</v>
      </c>
      <c r="AK698" s="111"/>
      <c r="AL698" s="28"/>
      <c r="AM698" s="96">
        <f ca="1">(AM690/(N_9*AM$27*AM692*0.667))*SQRT(M*'Valve Sizing'!$W$6*'Valve Sizing'!$G$8/AM699)</f>
        <v>229.80108600409812</v>
      </c>
      <c r="AN698" s="111"/>
      <c r="AO698" s="28"/>
      <c r="AP698" s="96">
        <f ca="1">(AP690/(N_9*AP$27*AP692*0.667))*SQRT(M*'Valve Sizing'!$W$6*'Valve Sizing'!$G$8/AP699)</f>
        <v>309.43064547253715</v>
      </c>
      <c r="AQ698" s="111"/>
      <c r="AR698" s="28"/>
      <c r="AS698" s="96">
        <f ca="1">(AS690/(N_9*AS$27*AS692*0.667))*SQRT(M*'Valve Sizing'!$W$6*'Valve Sizing'!$G$8/AS699)</f>
        <v>757.48533307022069</v>
      </c>
      <c r="AT698" s="111"/>
      <c r="AU698" s="28"/>
    </row>
    <row r="699" spans="15:47" ht="15.6" x14ac:dyDescent="0.35">
      <c r="O699" s="2" t="s">
        <v>68</v>
      </c>
      <c r="P699" s="143">
        <v>10</v>
      </c>
      <c r="Q699" s="2"/>
      <c r="R699" s="96">
        <f ca="1">F_GAMMA*R$29</f>
        <v>0.64002969751372984</v>
      </c>
      <c r="S699" s="107"/>
      <c r="T699" s="1"/>
      <c r="U699" s="96">
        <f ca="1">F_GAMMA*U$29</f>
        <v>0.64017842058782071</v>
      </c>
      <c r="V699" s="111"/>
      <c r="W699" s="28"/>
      <c r="X699" s="96">
        <f ca="1">F_GAMMA*X$29</f>
        <v>0.63413873724904268</v>
      </c>
      <c r="Y699" s="111"/>
      <c r="Z699" s="28"/>
      <c r="AA699" s="96">
        <f ca="1">F_GAMMA*AA$29</f>
        <v>0.62532411750377137</v>
      </c>
      <c r="AB699" s="111"/>
      <c r="AC699" s="28"/>
      <c r="AD699" s="96">
        <f ca="1">F_GAMMA*AD$29</f>
        <v>0.60651359509139569</v>
      </c>
      <c r="AE699" s="111"/>
      <c r="AF699" s="28"/>
      <c r="AG699" s="96">
        <f ca="1">F_GAMMA*AG$29</f>
        <v>0.57217930198481592</v>
      </c>
      <c r="AH699" s="111"/>
      <c r="AI699" s="28"/>
      <c r="AJ699" s="96">
        <f ca="1">F_GAMMA*AJ$29</f>
        <v>0.53183282018848232</v>
      </c>
      <c r="AK699" s="111"/>
      <c r="AL699" s="28"/>
      <c r="AM699" s="96">
        <f ca="1">F_GAMMA*AM$29</f>
        <v>0.47566512503094399</v>
      </c>
      <c r="AN699" s="111"/>
      <c r="AO699" s="28"/>
      <c r="AP699" s="96">
        <f ca="1">F_GAMMA*AP$29</f>
        <v>0.59054158265645496</v>
      </c>
      <c r="AQ699" s="111"/>
      <c r="AR699" s="28"/>
      <c r="AS699" s="96">
        <f ca="1">F_GAMMA*AS$29</f>
        <v>0.3766899554102966</v>
      </c>
      <c r="AT699" s="111"/>
      <c r="AU699" s="28"/>
    </row>
    <row r="700" spans="15:47" x14ac:dyDescent="0.25">
      <c r="O700" s="2" t="s">
        <v>145</v>
      </c>
      <c r="P700" s="12"/>
      <c r="Q700" s="2"/>
      <c r="R700" s="96">
        <f ca="1">IF(R695&lt;R699,R697,R698)</f>
        <v>0.32636560265165138</v>
      </c>
      <c r="S700" s="116"/>
      <c r="T700" s="1"/>
      <c r="U700" s="96">
        <f ca="1">IF(U695&lt;U699,U697,U698)</f>
        <v>7.5609780151692343</v>
      </c>
      <c r="V700" s="111"/>
      <c r="W700" s="28"/>
      <c r="X700" s="96">
        <f ca="1">IF(X695&lt;X699,X697,X698)</f>
        <v>18.697911526254625</v>
      </c>
      <c r="Y700" s="111"/>
      <c r="Z700" s="28"/>
      <c r="AA700" s="96">
        <f ca="1">IF(AA695&lt;AA699,AA697,AA698)</f>
        <v>37.449411583466556</v>
      </c>
      <c r="AB700" s="111"/>
      <c r="AC700" s="28"/>
      <c r="AD700" s="96">
        <f ca="1">IF(AD695&lt;AD699,AD697,AD698)</f>
        <v>67.255292278777716</v>
      </c>
      <c r="AE700" s="111"/>
      <c r="AF700" s="28"/>
      <c r="AG700" s="96">
        <f ca="1">IF(AG695&lt;AG699,AG697,AG698)</f>
        <v>111.94567614078012</v>
      </c>
      <c r="AH700" s="111"/>
      <c r="AI700" s="28"/>
      <c r="AJ700" s="96">
        <f ca="1">IF(AJ695&lt;AJ699,AJ697,AJ698)</f>
        <v>188.64769892203017</v>
      </c>
      <c r="AK700" s="111"/>
      <c r="AL700" s="28"/>
      <c r="AM700" s="96">
        <f ca="1">IF(AM695&lt;AM699,AM697,AM698)</f>
        <v>349.89622090989781</v>
      </c>
      <c r="AN700" s="111"/>
      <c r="AO700" s="28"/>
      <c r="AP700" s="96" t="e">
        <f ca="1">IF(AP695&lt;AP699,AP697,AP698)</f>
        <v>#NUM!</v>
      </c>
      <c r="AQ700" s="111"/>
      <c r="AR700" s="28"/>
      <c r="AS700" s="96" t="e">
        <f ca="1">IF(AS695&lt;AS699,AS697,AS698)</f>
        <v>#NUM!</v>
      </c>
      <c r="AT700" s="111"/>
      <c r="AU700" s="28"/>
    </row>
    <row r="701" spans="15:47" x14ac:dyDescent="0.25">
      <c r="O701" s="13" t="s">
        <v>143</v>
      </c>
      <c r="P701" s="1"/>
      <c r="Q701" s="1"/>
      <c r="R701" s="113"/>
      <c r="S701" s="106">
        <f ca="1">IF(R694&lt;=0,Q_max,ABS(R$23-R700))</f>
        <v>4.4036343973483492</v>
      </c>
      <c r="T701" s="7">
        <f>R690</f>
        <v>808.15513424674862</v>
      </c>
      <c r="U701" s="98"/>
      <c r="V701" s="106">
        <f ca="1">IF(U694&lt;=0,Q_max,ABS(U$23-U700))</f>
        <v>4.0390219848307654</v>
      </c>
      <c r="W701" s="9">
        <f ca="1">U690</f>
        <v>18690.567671684214</v>
      </c>
      <c r="X701" s="98"/>
      <c r="Y701" s="106">
        <f ca="1">IF(X694&lt;=0,Q_max,ABS(X$23-X700))</f>
        <v>4.3020884737453748</v>
      </c>
      <c r="Z701" s="9">
        <f ca="1">X690</f>
        <v>45766.334708614566</v>
      </c>
      <c r="AA701" s="98"/>
      <c r="AB701" s="106">
        <f ca="1">IF(AA694&lt;=0,Q_max,ABS(AA$23-AA700))</f>
        <v>1.9505884165334422</v>
      </c>
      <c r="AC701" s="9">
        <f ca="1">AA690</f>
        <v>89141.13836536117</v>
      </c>
      <c r="AD701" s="98"/>
      <c r="AE701" s="106">
        <f ca="1">IF(AD694&lt;=0,Q_max,ABS(AD$23-AD700))</f>
        <v>6.2552922787777163</v>
      </c>
      <c r="AF701" s="9">
        <f ca="1">AD690</f>
        <v>149551.10028216193</v>
      </c>
      <c r="AG701" s="98"/>
      <c r="AH701" s="106">
        <f ca="1">IF(AG694&lt;=0,Q_max,ABS(AG$23-AG700))</f>
        <v>23.74567614078012</v>
      </c>
      <c r="AI701" s="9">
        <f ca="1">AG690</f>
        <v>218273.90405678478</v>
      </c>
      <c r="AJ701" s="98"/>
      <c r="AK701" s="106">
        <f ca="1">IF(AJ694&lt;=0,Q_max,ABS(AJ$23-AJ700))</f>
        <v>67.647698922030173</v>
      </c>
      <c r="AL701" s="9">
        <f ca="1">AJ690</f>
        <v>291287.37111724366</v>
      </c>
      <c r="AM701" s="98"/>
      <c r="AN701" s="106">
        <f ca="1">IF(AM694&lt;=0,Q_max,ABS(AM$23-AM700))</f>
        <v>184.89622090989781</v>
      </c>
      <c r="AO701" s="9">
        <f ca="1">AM690</f>
        <v>355425.9489998878</v>
      </c>
      <c r="AP701" s="98"/>
      <c r="AQ701" s="106">
        <f ca="1">IF(AP694&lt;=0,Q_max,ABS(AP$23-AP700))</f>
        <v>236393</v>
      </c>
      <c r="AR701" s="9">
        <f ca="1">AP690</f>
        <v>412638.4927217901</v>
      </c>
      <c r="AS701" s="98"/>
      <c r="AT701" s="106">
        <f ca="1">IF(AS694&lt;=0,Q_max,ABS(AS$23-AS700))</f>
        <v>236393</v>
      </c>
      <c r="AU701" s="9">
        <f ca="1">AS690</f>
        <v>483851.08463907411</v>
      </c>
    </row>
    <row r="702" spans="15:47" x14ac:dyDescent="0.25">
      <c r="O702" s="21"/>
      <c r="P702" s="14"/>
      <c r="Q702" s="21"/>
      <c r="R702" s="97"/>
      <c r="S702" s="106"/>
      <c r="T702" s="28"/>
      <c r="U702" s="97"/>
      <c r="V702" s="111"/>
      <c r="W702" s="28"/>
      <c r="X702" s="97"/>
      <c r="Y702" s="111"/>
      <c r="Z702" s="28"/>
      <c r="AA702" s="97"/>
      <c r="AB702" s="111"/>
      <c r="AC702" s="28"/>
      <c r="AD702" s="97"/>
      <c r="AE702" s="111"/>
      <c r="AF702" s="28"/>
      <c r="AG702" s="97"/>
      <c r="AH702" s="111"/>
      <c r="AI702" s="28"/>
      <c r="AJ702" s="97"/>
      <c r="AK702" s="111"/>
      <c r="AL702" s="28"/>
      <c r="AM702" s="97"/>
      <c r="AN702" s="111"/>
      <c r="AO702" s="28"/>
      <c r="AP702" s="97"/>
      <c r="AQ702" s="111"/>
      <c r="AR702" s="28"/>
      <c r="AS702" s="97"/>
      <c r="AT702" s="111"/>
      <c r="AU702" s="28"/>
    </row>
    <row r="703" spans="15:47" x14ac:dyDescent="0.25">
      <c r="O703" s="1"/>
      <c r="P703" s="1"/>
      <c r="Q703" s="1"/>
      <c r="R703" s="98"/>
      <c r="S703" s="108" t="s">
        <v>137</v>
      </c>
      <c r="T703" s="26" t="s">
        <v>146</v>
      </c>
      <c r="U703" s="98"/>
      <c r="V703" s="108" t="s">
        <v>137</v>
      </c>
      <c r="W703" s="26" t="s">
        <v>146</v>
      </c>
      <c r="X703" s="98"/>
      <c r="Y703" s="108" t="s">
        <v>137</v>
      </c>
      <c r="Z703" s="26" t="s">
        <v>146</v>
      </c>
      <c r="AA703" s="98"/>
      <c r="AB703" s="108" t="s">
        <v>137</v>
      </c>
      <c r="AC703" s="26" t="s">
        <v>146</v>
      </c>
      <c r="AD703" s="98"/>
      <c r="AE703" s="108" t="s">
        <v>137</v>
      </c>
      <c r="AF703" s="26" t="s">
        <v>146</v>
      </c>
      <c r="AG703" s="98"/>
      <c r="AH703" s="108" t="s">
        <v>137</v>
      </c>
      <c r="AI703" s="26" t="s">
        <v>146</v>
      </c>
      <c r="AJ703" s="98"/>
      <c r="AK703" s="108" t="s">
        <v>137</v>
      </c>
      <c r="AL703" s="26" t="s">
        <v>146</v>
      </c>
      <c r="AM703" s="98"/>
      <c r="AN703" s="108" t="s">
        <v>137</v>
      </c>
      <c r="AO703" s="26" t="s">
        <v>146</v>
      </c>
      <c r="AP703" s="98"/>
      <c r="AQ703" s="108" t="s">
        <v>137</v>
      </c>
      <c r="AR703" s="26" t="s">
        <v>146</v>
      </c>
      <c r="AS703" s="98"/>
      <c r="AT703" s="108" t="s">
        <v>137</v>
      </c>
      <c r="AU703" s="26" t="s">
        <v>146</v>
      </c>
    </row>
    <row r="704" spans="15:47" ht="13.8" x14ac:dyDescent="0.25">
      <c r="O704" s="20" t="s">
        <v>136</v>
      </c>
      <c r="P704" s="1"/>
      <c r="Q704" s="1"/>
      <c r="R704" s="96">
        <f>R690*1.02</f>
        <v>824.3182369316836</v>
      </c>
      <c r="S704" s="109" t="s">
        <v>144</v>
      </c>
      <c r="T704" s="23" t="s">
        <v>147</v>
      </c>
      <c r="U704" s="96">
        <f ca="1">U690*1.01</f>
        <v>18877.473348401058</v>
      </c>
      <c r="V704" s="109" t="s">
        <v>144</v>
      </c>
      <c r="W704" s="23" t="s">
        <v>147</v>
      </c>
      <c r="X704" s="96">
        <f ca="1">X690*1.01</f>
        <v>46223.998055700715</v>
      </c>
      <c r="Y704" s="109" t="s">
        <v>144</v>
      </c>
      <c r="Z704" s="23" t="s">
        <v>147</v>
      </c>
      <c r="AA704" s="96">
        <f ca="1">AA690*1.01</f>
        <v>90032.549749014783</v>
      </c>
      <c r="AB704" s="109" t="s">
        <v>144</v>
      </c>
      <c r="AC704" s="23" t="s">
        <v>147</v>
      </c>
      <c r="AD704" s="96">
        <f ca="1">AD690*1.01</f>
        <v>151046.61128498355</v>
      </c>
      <c r="AE704" s="109" t="s">
        <v>144</v>
      </c>
      <c r="AF704" s="23" t="s">
        <v>147</v>
      </c>
      <c r="AG704" s="96">
        <f ca="1">AG690*1.01</f>
        <v>220456.64309735264</v>
      </c>
      <c r="AH704" s="109" t="s">
        <v>144</v>
      </c>
      <c r="AI704" s="23" t="s">
        <v>147</v>
      </c>
      <c r="AJ704" s="96">
        <f ca="1">AJ690*1.01</f>
        <v>294200.24482841609</v>
      </c>
      <c r="AK704" s="109" t="s">
        <v>144</v>
      </c>
      <c r="AL704" s="23" t="s">
        <v>147</v>
      </c>
      <c r="AM704" s="96">
        <f ca="1">AM690*1.01</f>
        <v>358980.20848988666</v>
      </c>
      <c r="AN704" s="109" t="s">
        <v>144</v>
      </c>
      <c r="AO704" s="23" t="s">
        <v>147</v>
      </c>
      <c r="AP704" s="96">
        <f ca="1">AP690*1.01</f>
        <v>416764.87764900801</v>
      </c>
      <c r="AQ704" s="109" t="s">
        <v>144</v>
      </c>
      <c r="AR704" s="23" t="s">
        <v>147</v>
      </c>
      <c r="AS704" s="96">
        <f ca="1">AS690*1.01</f>
        <v>488689.59548546484</v>
      </c>
      <c r="AT704" s="109" t="s">
        <v>144</v>
      </c>
      <c r="AU704" s="23" t="s">
        <v>147</v>
      </c>
    </row>
    <row r="705" spans="15:47" x14ac:dyDescent="0.25">
      <c r="O705" s="1"/>
      <c r="P705" s="1"/>
      <c r="Q705" s="1"/>
      <c r="R705" s="98"/>
      <c r="S705" s="107"/>
      <c r="T705" s="1"/>
      <c r="U705" s="47"/>
      <c r="V705" s="107"/>
      <c r="W705" s="1"/>
      <c r="X705" s="47"/>
      <c r="Y705" s="107"/>
      <c r="Z705" s="1"/>
      <c r="AA705" s="47"/>
      <c r="AB705" s="107"/>
      <c r="AC705" s="1"/>
      <c r="AD705" s="47"/>
      <c r="AE705" s="107"/>
      <c r="AF705" s="1"/>
      <c r="AG705" s="47"/>
      <c r="AH705" s="107"/>
      <c r="AI705" s="1"/>
      <c r="AJ705" s="47"/>
      <c r="AK705" s="107"/>
      <c r="AL705" s="1"/>
      <c r="AM705" s="47"/>
      <c r="AN705" s="107"/>
      <c r="AO705" s="1"/>
      <c r="AP705" s="47"/>
      <c r="AQ705" s="107"/>
      <c r="AR705" s="1"/>
      <c r="AS705" s="47"/>
      <c r="AT705" s="107"/>
      <c r="AU705" s="1"/>
    </row>
    <row r="706" spans="15:47" x14ac:dyDescent="0.25">
      <c r="O706" s="8" t="s">
        <v>132</v>
      </c>
      <c r="P706" s="8"/>
      <c r="Q706" s="8"/>
      <c r="R706" s="96">
        <f>P_1_minQ-(R704^2*R_up)+dpup_minQ</f>
        <v>90.184916683865097</v>
      </c>
      <c r="S706" s="106"/>
      <c r="T706" s="22"/>
      <c r="U706" s="96">
        <f ca="1">P_1_minQ-(U704^2*R_up)+dpup_minQ</f>
        <v>90.120090214197262</v>
      </c>
      <c r="V706" s="107"/>
      <c r="W706" s="1"/>
      <c r="X706" s="96">
        <f ca="1">P_1_minQ-(X704^2*R_up)+dpup_minQ</f>
        <v>89.795611296933302</v>
      </c>
      <c r="Y706" s="107"/>
      <c r="Z706" s="1"/>
      <c r="AA706" s="96">
        <f ca="1">P_1_minQ-(AA704^2*R_up)+dpup_minQ</f>
        <v>88.707659097979146</v>
      </c>
      <c r="AB706" s="107"/>
      <c r="AC706" s="1"/>
      <c r="AD706" s="96">
        <f ca="1">P_1_minQ-(AD704^2*R_up)+dpup_minQ</f>
        <v>86.026743482564711</v>
      </c>
      <c r="AE706" s="107"/>
      <c r="AF706" s="1"/>
      <c r="AG706" s="96">
        <f ca="1">P_1_minQ-(AG704^2*R_up)+dpup_minQ</f>
        <v>81.326954020258114</v>
      </c>
      <c r="AH706" s="107"/>
      <c r="AI706" s="1"/>
      <c r="AJ706" s="96">
        <f ca="1">P_1_minQ-(AJ704^2*R_up)+dpup_minQ</f>
        <v>74.409668980106119</v>
      </c>
      <c r="AK706" s="107"/>
      <c r="AL706" s="1"/>
      <c r="AM706" s="96">
        <f ca="1">P_1_minQ-(AM704^2*R_up)+dpup_minQ</f>
        <v>66.697661945358675</v>
      </c>
      <c r="AN706" s="107"/>
      <c r="AO706" s="1"/>
      <c r="AP706" s="96">
        <f ca="1">P_1_minQ-(AP704^2*R_up)+dpup_minQ</f>
        <v>58.527602780588978</v>
      </c>
      <c r="AQ706" s="107"/>
      <c r="AR706" s="1"/>
      <c r="AS706" s="96">
        <f ca="1">P_1_minQ-(AS704^2*R_up)+dpup_minQ</f>
        <v>46.657941590173017</v>
      </c>
      <c r="AT706" s="107"/>
      <c r="AU706" s="1"/>
    </row>
    <row r="707" spans="15:47" x14ac:dyDescent="0.25">
      <c r="O707" s="8" t="s">
        <v>134</v>
      </c>
      <c r="P707" s="1"/>
      <c r="Q707" s="8"/>
      <c r="R707" s="97">
        <f>P_2_minQ+(R704^2*R_dn)-dpdn_minQ</f>
        <v>60</v>
      </c>
      <c r="S707" s="106"/>
      <c r="T707" s="22"/>
      <c r="U707" s="97">
        <f ca="1">P_2_minQ+(U704^2*R_dn)-dpdn_minQ</f>
        <v>60</v>
      </c>
      <c r="V707" s="107"/>
      <c r="W707" s="1"/>
      <c r="X707" s="97">
        <f ca="1">P_2_minQ+(X704^2*R_dn)-dpdn_minQ</f>
        <v>60</v>
      </c>
      <c r="Y707" s="107"/>
      <c r="Z707" s="1"/>
      <c r="AA707" s="97">
        <f ca="1">P_2_minQ+(AA704^2*R_dn)-dpdn_minQ</f>
        <v>60</v>
      </c>
      <c r="AB707" s="107"/>
      <c r="AC707" s="1"/>
      <c r="AD707" s="97">
        <f ca="1">P_2_minQ+(AD704^2*R_dn)-dpdn_minQ</f>
        <v>60</v>
      </c>
      <c r="AE707" s="107"/>
      <c r="AF707" s="1"/>
      <c r="AG707" s="97">
        <f ca="1">P_2_minQ+(AG704^2*R_dn)-dpdn_minQ</f>
        <v>60</v>
      </c>
      <c r="AH707" s="107"/>
      <c r="AI707" s="1"/>
      <c r="AJ707" s="97">
        <f ca="1">P_2_minQ+(AJ704^2*R_dn)-dpdn_minQ</f>
        <v>60</v>
      </c>
      <c r="AK707" s="107"/>
      <c r="AL707" s="1"/>
      <c r="AM707" s="97">
        <f ca="1">P_2_minQ+(AM704^2*R_dn)-dpdn_minQ</f>
        <v>60</v>
      </c>
      <c r="AN707" s="107"/>
      <c r="AO707" s="1"/>
      <c r="AP707" s="97">
        <f ca="1">P_2_minQ+(AP704^2*R_dn)-dpdn_minQ</f>
        <v>60</v>
      </c>
      <c r="AQ707" s="107"/>
      <c r="AR707" s="1"/>
      <c r="AS707" s="97">
        <f ca="1">P_2_minQ+(AS704^2*R_dn)-dpdn_minQ</f>
        <v>60</v>
      </c>
      <c r="AT707" s="107"/>
      <c r="AU707" s="1"/>
    </row>
    <row r="708" spans="15:47" x14ac:dyDescent="0.25">
      <c r="O708" s="8" t="s">
        <v>138</v>
      </c>
      <c r="P708" s="1"/>
      <c r="Q708" s="8"/>
      <c r="R708" s="97">
        <f>R706-R707</f>
        <v>30.184916683865097</v>
      </c>
      <c r="S708" s="106"/>
      <c r="T708" s="22"/>
      <c r="U708" s="97">
        <f ca="1">U706-U707</f>
        <v>30.120090214197262</v>
      </c>
      <c r="V708" s="110"/>
      <c r="W708" s="25"/>
      <c r="X708" s="97">
        <f ca="1">X706-X707</f>
        <v>29.795611296933302</v>
      </c>
      <c r="Y708" s="110"/>
      <c r="Z708" s="25"/>
      <c r="AA708" s="97">
        <f ca="1">AA706-AA707</f>
        <v>28.707659097979146</v>
      </c>
      <c r="AB708" s="110"/>
      <c r="AC708" s="25"/>
      <c r="AD708" s="97">
        <f ca="1">AD706-AD707</f>
        <v>26.026743482564711</v>
      </c>
      <c r="AE708" s="110"/>
      <c r="AF708" s="25"/>
      <c r="AG708" s="97">
        <f ca="1">AG706-AG707</f>
        <v>21.326954020258114</v>
      </c>
      <c r="AH708" s="110"/>
      <c r="AI708" s="25"/>
      <c r="AJ708" s="97">
        <f ca="1">AJ706-AJ707</f>
        <v>14.409668980106119</v>
      </c>
      <c r="AK708" s="110"/>
      <c r="AL708" s="25"/>
      <c r="AM708" s="97">
        <f ca="1">AM706-AM707</f>
        <v>6.697661945358675</v>
      </c>
      <c r="AN708" s="110"/>
      <c r="AO708" s="25"/>
      <c r="AP708" s="97">
        <f ca="1">AP706-AP707</f>
        <v>-1.4723972194110218</v>
      </c>
      <c r="AQ708" s="110"/>
      <c r="AR708" s="25"/>
      <c r="AS708" s="97">
        <f ca="1">AS706-AS707</f>
        <v>-13.342058409826983</v>
      </c>
      <c r="AT708" s="110"/>
      <c r="AU708" s="25"/>
    </row>
    <row r="709" spans="15:47" ht="14.4" x14ac:dyDescent="0.3">
      <c r="O709" s="2" t="s">
        <v>140</v>
      </c>
      <c r="P709" s="11"/>
      <c r="Q709" s="2"/>
      <c r="R709" s="96">
        <f>R708/R706</f>
        <v>0.3347002779819106</v>
      </c>
      <c r="S709" s="106"/>
      <c r="T709" s="22"/>
      <c r="U709" s="96">
        <f ca="1">U708/U706</f>
        <v>0.33422170508937449</v>
      </c>
      <c r="V709" s="111"/>
      <c r="W709" s="28"/>
      <c r="X709" s="96">
        <f ca="1">X708/X706</f>
        <v>0.3318158968638914</v>
      </c>
      <c r="Y709" s="111"/>
      <c r="Z709" s="28"/>
      <c r="AA709" s="96">
        <f ca="1">AA708/AA706</f>
        <v>0.32362097466996664</v>
      </c>
      <c r="AB709" s="111"/>
      <c r="AC709" s="28"/>
      <c r="AD709" s="96">
        <f ca="1">AD708/AD706</f>
        <v>0.30254247027076675</v>
      </c>
      <c r="AE709" s="111"/>
      <c r="AF709" s="28"/>
      <c r="AG709" s="96">
        <f ca="1">AG708/AG706</f>
        <v>0.26223721615032675</v>
      </c>
      <c r="AH709" s="111"/>
      <c r="AI709" s="28"/>
      <c r="AJ709" s="96">
        <f ca="1">AJ708/AJ706</f>
        <v>0.19365317945385072</v>
      </c>
      <c r="AK709" s="111"/>
      <c r="AL709" s="28"/>
      <c r="AM709" s="96">
        <f ca="1">AM708/AM706</f>
        <v>0.10041824180952041</v>
      </c>
      <c r="AN709" s="111"/>
      <c r="AO709" s="28"/>
      <c r="AP709" s="96">
        <f ca="1">AP708/AP706</f>
        <v>-2.5157312950793723E-2</v>
      </c>
      <c r="AQ709" s="111"/>
      <c r="AR709" s="28"/>
      <c r="AS709" s="96">
        <f ca="1">AS708/AS706</f>
        <v>-0.28595471542698864</v>
      </c>
      <c r="AT709" s="111"/>
      <c r="AU709" s="28"/>
    </row>
    <row r="710" spans="15:47" x14ac:dyDescent="0.25">
      <c r="O710" s="2" t="s">
        <v>21</v>
      </c>
      <c r="P710" s="8">
        <v>12</v>
      </c>
      <c r="Q710" s="2"/>
      <c r="R710" s="96">
        <f ca="1">1-R709/(3*F_GAMMA*R$29)</f>
        <v>0.82568502717811743</v>
      </c>
      <c r="S710" s="106"/>
      <c r="T710" s="22"/>
      <c r="U710" s="96">
        <f ca="1">1-U709/(3*F_GAMMA*U$29)</f>
        <v>0.82597471041355031</v>
      </c>
      <c r="V710" s="111"/>
      <c r="W710" s="28"/>
      <c r="X710" s="96">
        <f ca="1">1-X709/(3*F_GAMMA*X$29)</f>
        <v>0.82558186015500756</v>
      </c>
      <c r="Y710" s="111"/>
      <c r="Z710" s="28"/>
      <c r="AA710" s="96">
        <f ca="1">1-AA709/(3*F_GAMMA*AA$29)</f>
        <v>0.8274916076259099</v>
      </c>
      <c r="AB710" s="111"/>
      <c r="AC710" s="28"/>
      <c r="AD710" s="96">
        <f ca="1">1-AD709/(3*F_GAMMA*AD$29)</f>
        <v>0.83372591990281952</v>
      </c>
      <c r="AE710" s="111"/>
      <c r="AF710" s="28"/>
      <c r="AG710" s="96">
        <f ca="1">1-AG709/(3*F_GAMMA*AG$29)</f>
        <v>0.84722899783298711</v>
      </c>
      <c r="AH710" s="111"/>
      <c r="AI710" s="28"/>
      <c r="AJ710" s="96">
        <f ca="1">1-AJ709/(3*F_GAMMA*AJ$29)</f>
        <v>0.87862527966011339</v>
      </c>
      <c r="AK710" s="111"/>
      <c r="AL710" s="28"/>
      <c r="AM710" s="96">
        <f ca="1">1-AM709/(3*F_GAMMA*AM$29)</f>
        <v>0.92962959546873947</v>
      </c>
      <c r="AN710" s="111"/>
      <c r="AO710" s="28"/>
      <c r="AP710" s="96">
        <f ca="1">1-AP709/(3*F_GAMMA*AP$29)</f>
        <v>1.014200136332273</v>
      </c>
      <c r="AQ710" s="111"/>
      <c r="AR710" s="28"/>
      <c r="AS710" s="96">
        <f ca="1">1-AS709/(3*F_GAMMA*AS$29)</f>
        <v>1.2530416250994554</v>
      </c>
      <c r="AT710" s="111"/>
      <c r="AU710" s="28"/>
    </row>
    <row r="711" spans="15:47" x14ac:dyDescent="0.25">
      <c r="O711" s="2" t="s">
        <v>57</v>
      </c>
      <c r="P711" s="143">
        <v>7</v>
      </c>
      <c r="Q711" s="2"/>
      <c r="R711" s="96">
        <f ca="1">(R704/(N_9*R$27*R706*R710))*SQRT(M*'Valve Sizing'!$W$6*'Valve Sizing'!$G$8/R709)</f>
        <v>0.33289294264961344</v>
      </c>
      <c r="S711" s="107"/>
      <c r="T711" s="22"/>
      <c r="U711" s="96">
        <f ca="1">(U704/(N_9*U$27*U706*U710))*SQRT(M*'Valve Sizing'!$W$6*'Valve Sizing'!$G$8/U709)</f>
        <v>7.6367587380939037</v>
      </c>
      <c r="V711" s="111"/>
      <c r="W711" s="28"/>
      <c r="X711" s="96">
        <f ca="1">(X704/(N_9*X$27*X706*X710))*SQRT(M*'Valve Sizing'!$W$6*'Valve Sizing'!$G$8/X709)</f>
        <v>18.887442570209725</v>
      </c>
      <c r="Y711" s="111"/>
      <c r="Z711" s="28"/>
      <c r="AA711" s="96">
        <f ca="1">(AA704/(N_9*AA$27*AA706*AA710))*SQRT(M*'Valve Sizing'!$W$6*'Valve Sizing'!$G$8/AA709)</f>
        <v>37.843876746834546</v>
      </c>
      <c r="AB711" s="111"/>
      <c r="AC711" s="28"/>
      <c r="AD711" s="96">
        <f ca="1">(AD704/(N_9*AD$27*AD706*AD710))*SQRT(M*'Valve Sizing'!$W$6*'Valve Sizing'!$G$8/AD709)</f>
        <v>68.037296984269076</v>
      </c>
      <c r="AE711" s="111"/>
      <c r="AF711" s="28"/>
      <c r="AG711" s="96">
        <f ca="1">(AG704/(N_9*AG$27*AG706*AG710))*SQRT(M*'Valve Sizing'!$W$6*'Valve Sizing'!$G$8/AG709)</f>
        <v>113.52514055341092</v>
      </c>
      <c r="AH711" s="111"/>
      <c r="AI711" s="28"/>
      <c r="AJ711" s="96">
        <f ca="1">(AJ704/(N_9*AJ$27*AJ706*AJ710))*SQRT(M*'Valve Sizing'!$W$6*'Valve Sizing'!$G$8/AJ709)</f>
        <v>192.51830335385839</v>
      </c>
      <c r="AK711" s="111"/>
      <c r="AL711" s="28"/>
      <c r="AM711" s="96">
        <f ca="1">(AM704/(N_9*AM$27*AM706*AM710))*SQRT(M*'Valve Sizing'!$W$6*'Valve Sizing'!$G$8/AM709)</f>
        <v>364.95281557753299</v>
      </c>
      <c r="AN711" s="111"/>
      <c r="AO711" s="28"/>
      <c r="AP711" s="96" t="e">
        <f ca="1">(AP704/(N_9*AP$27*AP706*AP710))*SQRT(M*'Valve Sizing'!$W$6*'Valve Sizing'!$G$8/AP709)</f>
        <v>#NUM!</v>
      </c>
      <c r="AQ711" s="111"/>
      <c r="AR711" s="28"/>
      <c r="AS711" s="96" t="e">
        <f ca="1">(AS704/(N_9*AS$27*AS706*AS710))*SQRT(M*'Valve Sizing'!$W$6*'Valve Sizing'!$G$8/AS709)</f>
        <v>#NUM!</v>
      </c>
      <c r="AT711" s="111"/>
      <c r="AU711" s="28"/>
    </row>
    <row r="712" spans="15:47" x14ac:dyDescent="0.25">
      <c r="O712" s="2" t="s">
        <v>59</v>
      </c>
      <c r="P712" s="143">
        <v>7</v>
      </c>
      <c r="Q712" s="2"/>
      <c r="R712" s="96">
        <f ca="1">(R704/(N_9*R$27*R706*0.667))*SQRT(M*'Valve Sizing'!$W$6*'Valve Sizing'!$G$8/R713)</f>
        <v>0.29800334377307863</v>
      </c>
      <c r="S712" s="107"/>
      <c r="T712" s="22"/>
      <c r="U712" s="96">
        <f ca="1">(U704/(N_9*U$27*U706*0.667))*SQRT(M*'Valve Sizing'!$W$6*'Valve Sizing'!$G$8/U713)</f>
        <v>6.833084586361335</v>
      </c>
      <c r="V712" s="111"/>
      <c r="W712" s="28"/>
      <c r="X712" s="96">
        <f ca="1">(X704/(N_9*X$27*X706*0.667))*SQRT(M*'Valve Sizing'!$W$6*'Valve Sizing'!$G$8/X713)</f>
        <v>16.910790818540786</v>
      </c>
      <c r="Y712" s="111"/>
      <c r="Z712" s="28"/>
      <c r="AA712" s="96">
        <f ca="1">(AA704/(N_9*AA$27*AA706*0.667))*SQRT(M*'Valve Sizing'!$W$6*'Valve Sizing'!$G$8/AA713)</f>
        <v>33.775292957760634</v>
      </c>
      <c r="AB712" s="111"/>
      <c r="AC712" s="28"/>
      <c r="AD712" s="96">
        <f ca="1">(AD704/(N_9*AD$27*AD706*0.667))*SQRT(M*'Valve Sizing'!$W$6*'Valve Sizing'!$G$8/AD713)</f>
        <v>60.06443903368902</v>
      </c>
      <c r="AE712" s="111"/>
      <c r="AF712" s="28"/>
      <c r="AG712" s="96">
        <f ca="1">(AG704/(N_9*AG$27*AG706*0.667))*SQRT(M*'Valve Sizing'!$W$6*'Valve Sizing'!$G$8/AG713)</f>
        <v>97.622093605270322</v>
      </c>
      <c r="AH712" s="111"/>
      <c r="AI712" s="28"/>
      <c r="AJ712" s="96">
        <f ca="1">(AJ704/(N_9*AJ$27*AJ706*0.667))*SQRT(M*'Valve Sizing'!$W$6*'Valve Sizing'!$G$8/AJ713)</f>
        <v>153.02931518208638</v>
      </c>
      <c r="AK712" s="111"/>
      <c r="AL712" s="28"/>
      <c r="AM712" s="96">
        <f ca="1">(AM704/(N_9*AM$27*AM706*0.667))*SQRT(M*'Valve Sizing'!$W$6*'Valve Sizing'!$G$8/AM713)</f>
        <v>233.70955966696727</v>
      </c>
      <c r="AN712" s="111"/>
      <c r="AO712" s="28"/>
      <c r="AP712" s="96">
        <f ca="1">(AP704/(N_9*AP$27*AP706*0.667))*SQRT(M*'Valve Sizing'!$W$6*'Valve Sizing'!$G$8/AP713)</f>
        <v>315.85578625721644</v>
      </c>
      <c r="AQ712" s="111"/>
      <c r="AR712" s="28"/>
      <c r="AS712" s="96">
        <f ca="1">(AS704/(N_9*AS$27*AS706*0.667))*SQRT(M*'Valve Sizing'!$W$6*'Valve Sizing'!$G$8/AS713)</f>
        <v>779.12335098104813</v>
      </c>
      <c r="AT712" s="111"/>
      <c r="AU712" s="28"/>
    </row>
    <row r="713" spans="15:47" ht="15.6" x14ac:dyDescent="0.35">
      <c r="O713" s="2" t="s">
        <v>68</v>
      </c>
      <c r="P713" s="143">
        <v>10</v>
      </c>
      <c r="Q713" s="2"/>
      <c r="R713" s="96">
        <f ca="1">F_GAMMA*R$29</f>
        <v>0.64002969751372984</v>
      </c>
      <c r="S713" s="107"/>
      <c r="T713" s="1"/>
      <c r="U713" s="96">
        <f ca="1">F_GAMMA*U$29</f>
        <v>0.64017842058782071</v>
      </c>
      <c r="V713" s="111"/>
      <c r="W713" s="28"/>
      <c r="X713" s="96">
        <f ca="1">F_GAMMA*X$29</f>
        <v>0.63413873724904268</v>
      </c>
      <c r="Y713" s="111"/>
      <c r="Z713" s="28"/>
      <c r="AA713" s="96">
        <f ca="1">F_GAMMA*AA$29</f>
        <v>0.62532411750377137</v>
      </c>
      <c r="AB713" s="111"/>
      <c r="AC713" s="28"/>
      <c r="AD713" s="96">
        <f ca="1">F_GAMMA*AD$29</f>
        <v>0.60651359509139569</v>
      </c>
      <c r="AE713" s="111"/>
      <c r="AF713" s="28"/>
      <c r="AG713" s="96">
        <f ca="1">F_GAMMA*AG$29</f>
        <v>0.57217930198481592</v>
      </c>
      <c r="AH713" s="111"/>
      <c r="AI713" s="28"/>
      <c r="AJ713" s="96">
        <f ca="1">F_GAMMA*AJ$29</f>
        <v>0.53183282018848232</v>
      </c>
      <c r="AK713" s="111"/>
      <c r="AL713" s="28"/>
      <c r="AM713" s="96">
        <f ca="1">F_GAMMA*AM$29</f>
        <v>0.47566512503094399</v>
      </c>
      <c r="AN713" s="111"/>
      <c r="AO713" s="28"/>
      <c r="AP713" s="96">
        <f ca="1">F_GAMMA*AP$29</f>
        <v>0.59054158265645496</v>
      </c>
      <c r="AQ713" s="111"/>
      <c r="AR713" s="28"/>
      <c r="AS713" s="96">
        <f ca="1">F_GAMMA*AS$29</f>
        <v>0.3766899554102966</v>
      </c>
      <c r="AT713" s="111"/>
      <c r="AU713" s="28"/>
    </row>
    <row r="714" spans="15:47" x14ac:dyDescent="0.25">
      <c r="O714" s="2" t="s">
        <v>145</v>
      </c>
      <c r="P714" s="12"/>
      <c r="Q714" s="2"/>
      <c r="R714" s="96">
        <f ca="1">IF(R709&lt;R713,R711,R712)</f>
        <v>0.33289294264961344</v>
      </c>
      <c r="S714" s="116"/>
      <c r="T714" s="1"/>
      <c r="U714" s="96">
        <f ca="1">IF(U709&lt;U713,U711,U712)</f>
        <v>7.6367587380939037</v>
      </c>
      <c r="V714" s="111"/>
      <c r="W714" s="28"/>
      <c r="X714" s="96">
        <f ca="1">IF(X709&lt;X713,X711,X712)</f>
        <v>18.887442570209725</v>
      </c>
      <c r="Y714" s="111"/>
      <c r="Z714" s="28"/>
      <c r="AA714" s="96">
        <f ca="1">IF(AA709&lt;AA713,AA711,AA712)</f>
        <v>37.843876746834546</v>
      </c>
      <c r="AB714" s="111"/>
      <c r="AC714" s="28"/>
      <c r="AD714" s="96">
        <f ca="1">IF(AD709&lt;AD713,AD711,AD712)</f>
        <v>68.037296984269076</v>
      </c>
      <c r="AE714" s="111"/>
      <c r="AF714" s="28"/>
      <c r="AG714" s="96">
        <f ca="1">IF(AG709&lt;AG713,AG711,AG712)</f>
        <v>113.52514055341092</v>
      </c>
      <c r="AH714" s="111"/>
      <c r="AI714" s="28"/>
      <c r="AJ714" s="96">
        <f ca="1">IF(AJ709&lt;AJ713,AJ711,AJ712)</f>
        <v>192.51830335385839</v>
      </c>
      <c r="AK714" s="111"/>
      <c r="AL714" s="28"/>
      <c r="AM714" s="96">
        <f ca="1">IF(AM709&lt;AM713,AM711,AM712)</f>
        <v>364.95281557753299</v>
      </c>
      <c r="AN714" s="111"/>
      <c r="AO714" s="28"/>
      <c r="AP714" s="96" t="e">
        <f ca="1">IF(AP709&lt;AP713,AP711,AP712)</f>
        <v>#NUM!</v>
      </c>
      <c r="AQ714" s="111"/>
      <c r="AR714" s="28"/>
      <c r="AS714" s="96" t="e">
        <f ca="1">IF(AS709&lt;AS713,AS711,AS712)</f>
        <v>#NUM!</v>
      </c>
      <c r="AT714" s="111"/>
      <c r="AU714" s="28"/>
    </row>
    <row r="715" spans="15:47" x14ac:dyDescent="0.25">
      <c r="O715" s="13" t="s">
        <v>143</v>
      </c>
      <c r="P715" s="1"/>
      <c r="Q715" s="1"/>
      <c r="R715" s="113"/>
      <c r="S715" s="106">
        <f ca="1">IF(R708&lt;=0,Q_max,ABS(R$23-R714))</f>
        <v>4.3971070573503868</v>
      </c>
      <c r="T715" s="7">
        <f>R704</f>
        <v>824.3182369316836</v>
      </c>
      <c r="U715" s="98"/>
      <c r="V715" s="106">
        <f ca="1">IF(U708&lt;=0,Q_max,ABS(U$23-U714))</f>
        <v>3.9632412619060959</v>
      </c>
      <c r="W715" s="9">
        <f ca="1">U704</f>
        <v>18877.473348401058</v>
      </c>
      <c r="X715" s="98"/>
      <c r="Y715" s="106">
        <f ca="1">IF(X708&lt;=0,Q_max,ABS(X$23-X714))</f>
        <v>4.1125574297902752</v>
      </c>
      <c r="Z715" s="9">
        <f ca="1">X704</f>
        <v>46223.998055700715</v>
      </c>
      <c r="AA715" s="98"/>
      <c r="AB715" s="106">
        <f ca="1">IF(AA708&lt;=0,Q_max,ABS(AA$23-AA714))</f>
        <v>1.5561232531654525</v>
      </c>
      <c r="AC715" s="9">
        <f ca="1">AA704</f>
        <v>90032.549749014783</v>
      </c>
      <c r="AD715" s="98"/>
      <c r="AE715" s="106">
        <f ca="1">IF(AD708&lt;=0,Q_max,ABS(AD$23-AD714))</f>
        <v>7.0372969842690765</v>
      </c>
      <c r="AF715" s="9">
        <f ca="1">AD704</f>
        <v>151046.61128498355</v>
      </c>
      <c r="AG715" s="98"/>
      <c r="AH715" s="106">
        <f ca="1">IF(AG708&lt;=0,Q_max,ABS(AG$23-AG714))</f>
        <v>25.325140553410918</v>
      </c>
      <c r="AI715" s="9">
        <f ca="1">AG704</f>
        <v>220456.64309735264</v>
      </c>
      <c r="AJ715" s="98"/>
      <c r="AK715" s="106">
        <f ca="1">IF(AJ708&lt;=0,Q_max,ABS(AJ$23-AJ714))</f>
        <v>71.518303353858386</v>
      </c>
      <c r="AL715" s="9">
        <f ca="1">AJ704</f>
        <v>294200.24482841609</v>
      </c>
      <c r="AM715" s="98"/>
      <c r="AN715" s="106">
        <f ca="1">IF(AM708&lt;=0,Q_max,ABS(AM$23-AM714))</f>
        <v>199.95281557753299</v>
      </c>
      <c r="AO715" s="9">
        <f ca="1">AM704</f>
        <v>358980.20848988666</v>
      </c>
      <c r="AP715" s="98"/>
      <c r="AQ715" s="106">
        <f ca="1">IF(AP708&lt;=0,Q_max,ABS(AP$23-AP714))</f>
        <v>236393</v>
      </c>
      <c r="AR715" s="9">
        <f ca="1">AP704</f>
        <v>416764.87764900801</v>
      </c>
      <c r="AS715" s="98"/>
      <c r="AT715" s="106">
        <f ca="1">IF(AS708&lt;=0,Q_max,ABS(AS$23-AS714))</f>
        <v>236393</v>
      </c>
      <c r="AU715" s="9">
        <f ca="1">AS704</f>
        <v>488689.59548546484</v>
      </c>
    </row>
    <row r="716" spans="15:47" x14ac:dyDescent="0.25">
      <c r="O716" s="21"/>
      <c r="P716" s="14"/>
      <c r="Q716" s="21"/>
      <c r="R716" s="97"/>
      <c r="S716" s="106"/>
      <c r="T716" s="28"/>
      <c r="U716" s="97"/>
      <c r="V716" s="111"/>
      <c r="W716" s="28"/>
      <c r="X716" s="97"/>
      <c r="Y716" s="111"/>
      <c r="Z716" s="28"/>
      <c r="AA716" s="97"/>
      <c r="AB716" s="111"/>
      <c r="AC716" s="28"/>
      <c r="AD716" s="97"/>
      <c r="AE716" s="111"/>
      <c r="AF716" s="28"/>
      <c r="AG716" s="97"/>
      <c r="AH716" s="111"/>
      <c r="AI716" s="28"/>
      <c r="AJ716" s="97"/>
      <c r="AK716" s="111"/>
      <c r="AL716" s="28"/>
      <c r="AM716" s="97"/>
      <c r="AN716" s="111"/>
      <c r="AO716" s="28"/>
      <c r="AP716" s="97"/>
      <c r="AQ716" s="111"/>
      <c r="AR716" s="28"/>
      <c r="AS716" s="97"/>
      <c r="AT716" s="111"/>
      <c r="AU716" s="28"/>
    </row>
    <row r="717" spans="15:47" x14ac:dyDescent="0.25">
      <c r="O717" s="1"/>
      <c r="P717" s="1"/>
      <c r="Q717" s="1"/>
      <c r="R717" s="98"/>
      <c r="S717" s="108" t="s">
        <v>137</v>
      </c>
      <c r="T717" s="26" t="s">
        <v>146</v>
      </c>
      <c r="U717" s="98"/>
      <c r="V717" s="108" t="s">
        <v>137</v>
      </c>
      <c r="W717" s="26" t="s">
        <v>146</v>
      </c>
      <c r="X717" s="98"/>
      <c r="Y717" s="108" t="s">
        <v>137</v>
      </c>
      <c r="Z717" s="26" t="s">
        <v>146</v>
      </c>
      <c r="AA717" s="98"/>
      <c r="AB717" s="108" t="s">
        <v>137</v>
      </c>
      <c r="AC717" s="26" t="s">
        <v>146</v>
      </c>
      <c r="AD717" s="98"/>
      <c r="AE717" s="108" t="s">
        <v>137</v>
      </c>
      <c r="AF717" s="26" t="s">
        <v>146</v>
      </c>
      <c r="AG717" s="98"/>
      <c r="AH717" s="108" t="s">
        <v>137</v>
      </c>
      <c r="AI717" s="26" t="s">
        <v>146</v>
      </c>
      <c r="AJ717" s="98"/>
      <c r="AK717" s="108" t="s">
        <v>137</v>
      </c>
      <c r="AL717" s="26" t="s">
        <v>146</v>
      </c>
      <c r="AM717" s="98"/>
      <c r="AN717" s="108" t="s">
        <v>137</v>
      </c>
      <c r="AO717" s="26" t="s">
        <v>146</v>
      </c>
      <c r="AP717" s="98"/>
      <c r="AQ717" s="108" t="s">
        <v>137</v>
      </c>
      <c r="AR717" s="26" t="s">
        <v>146</v>
      </c>
      <c r="AS717" s="98"/>
      <c r="AT717" s="108" t="s">
        <v>137</v>
      </c>
      <c r="AU717" s="26" t="s">
        <v>146</v>
      </c>
    </row>
    <row r="718" spans="15:47" ht="13.8" x14ac:dyDescent="0.25">
      <c r="O718" s="20" t="s">
        <v>136</v>
      </c>
      <c r="P718" s="1"/>
      <c r="Q718" s="1"/>
      <c r="R718" s="96">
        <f>R704*1.02</f>
        <v>840.80460167031731</v>
      </c>
      <c r="S718" s="109" t="s">
        <v>144</v>
      </c>
      <c r="T718" s="23" t="s">
        <v>147</v>
      </c>
      <c r="U718" s="96">
        <f ca="1">U704*1.01</f>
        <v>19066.248081885067</v>
      </c>
      <c r="V718" s="109" t="s">
        <v>144</v>
      </c>
      <c r="W718" s="23" t="s">
        <v>147</v>
      </c>
      <c r="X718" s="96">
        <f ca="1">X704*1.01</f>
        <v>46686.238036257724</v>
      </c>
      <c r="Y718" s="109" t="s">
        <v>144</v>
      </c>
      <c r="Z718" s="23" t="s">
        <v>147</v>
      </c>
      <c r="AA718" s="96">
        <f ca="1">AA704*1.01</f>
        <v>90932.875246504933</v>
      </c>
      <c r="AB718" s="109" t="s">
        <v>144</v>
      </c>
      <c r="AC718" s="23" t="s">
        <v>147</v>
      </c>
      <c r="AD718" s="96">
        <f ca="1">AD704*1.01</f>
        <v>152557.07739783337</v>
      </c>
      <c r="AE718" s="109" t="s">
        <v>144</v>
      </c>
      <c r="AF718" s="23" t="s">
        <v>147</v>
      </c>
      <c r="AG718" s="96">
        <f ca="1">AG704*1.01</f>
        <v>222661.20952832617</v>
      </c>
      <c r="AH718" s="109" t="s">
        <v>144</v>
      </c>
      <c r="AI718" s="23" t="s">
        <v>147</v>
      </c>
      <c r="AJ718" s="96">
        <f ca="1">AJ704*1.01</f>
        <v>297142.24727670028</v>
      </c>
      <c r="AK718" s="109" t="s">
        <v>144</v>
      </c>
      <c r="AL718" s="23" t="s">
        <v>147</v>
      </c>
      <c r="AM718" s="96">
        <f ca="1">AM704*1.01</f>
        <v>362570.01057478553</v>
      </c>
      <c r="AN718" s="109" t="s">
        <v>144</v>
      </c>
      <c r="AO718" s="23" t="s">
        <v>147</v>
      </c>
      <c r="AP718" s="96">
        <f ca="1">AP704*1.01</f>
        <v>420932.52642549807</v>
      </c>
      <c r="AQ718" s="109" t="s">
        <v>144</v>
      </c>
      <c r="AR718" s="23" t="s">
        <v>147</v>
      </c>
      <c r="AS718" s="96">
        <f ca="1">AS704*1.01</f>
        <v>493576.49144031951</v>
      </c>
      <c r="AT718" s="109" t="s">
        <v>144</v>
      </c>
      <c r="AU718" s="23" t="s">
        <v>147</v>
      </c>
    </row>
    <row r="719" spans="15:47" x14ac:dyDescent="0.25">
      <c r="O719" s="1"/>
      <c r="P719" s="1"/>
      <c r="Q719" s="1"/>
      <c r="R719" s="98"/>
      <c r="S719" s="107"/>
      <c r="T719" s="1"/>
      <c r="U719" s="47"/>
      <c r="V719" s="107"/>
      <c r="W719" s="1"/>
      <c r="X719" s="47"/>
      <c r="Y719" s="107"/>
      <c r="Z719" s="1"/>
      <c r="AA719" s="47"/>
      <c r="AB719" s="107"/>
      <c r="AC719" s="1"/>
      <c r="AD719" s="47"/>
      <c r="AE719" s="107"/>
      <c r="AF719" s="1"/>
      <c r="AG719" s="47"/>
      <c r="AH719" s="107"/>
      <c r="AI719" s="1"/>
      <c r="AJ719" s="47"/>
      <c r="AK719" s="107"/>
      <c r="AL719" s="1"/>
      <c r="AM719" s="47"/>
      <c r="AN719" s="107"/>
      <c r="AO719" s="1"/>
      <c r="AP719" s="47"/>
      <c r="AQ719" s="107"/>
      <c r="AR719" s="1"/>
      <c r="AS719" s="47"/>
      <c r="AT719" s="107"/>
      <c r="AU719" s="1"/>
    </row>
    <row r="720" spans="15:47" x14ac:dyDescent="0.25">
      <c r="O720" s="8" t="s">
        <v>132</v>
      </c>
      <c r="P720" s="8"/>
      <c r="Q720" s="8"/>
      <c r="R720" s="96">
        <f>P_1_minQ-(R718^2*R_up)+dpup_minQ</f>
        <v>90.184911680470918</v>
      </c>
      <c r="S720" s="106"/>
      <c r="T720" s="22"/>
      <c r="U720" s="96">
        <f ca="1">P_1_minQ-(U718^2*R_up)+dpup_minQ</f>
        <v>90.118784712844501</v>
      </c>
      <c r="V720" s="107"/>
      <c r="W720" s="1"/>
      <c r="X720" s="96">
        <f ca="1">P_1_minQ-(X718^2*R_up)+dpup_minQ</f>
        <v>89.787783769343534</v>
      </c>
      <c r="Y720" s="107"/>
      <c r="Z720" s="1"/>
      <c r="AA720" s="96">
        <f ca="1">P_1_minQ-(AA718^2*R_up)+dpup_minQ</f>
        <v>88.677963731190388</v>
      </c>
      <c r="AB720" s="107"/>
      <c r="AC720" s="1"/>
      <c r="AD720" s="96">
        <f ca="1">P_1_minQ-(AD718^2*R_up)+dpup_minQ</f>
        <v>85.943161711906129</v>
      </c>
      <c r="AE720" s="107"/>
      <c r="AF720" s="1"/>
      <c r="AG720" s="96">
        <f ca="1">P_1_minQ-(AG718^2*R_up)+dpup_minQ</f>
        <v>81.148906481407167</v>
      </c>
      <c r="AH720" s="107"/>
      <c r="AI720" s="1"/>
      <c r="AJ720" s="96">
        <f ca="1">P_1_minQ-(AJ718^2*R_up)+dpup_minQ</f>
        <v>74.092584011948119</v>
      </c>
      <c r="AK720" s="107"/>
      <c r="AL720" s="1"/>
      <c r="AM720" s="96">
        <f ca="1">P_1_minQ-(AM718^2*R_up)+dpup_minQ</f>
        <v>66.225565635802241</v>
      </c>
      <c r="AN720" s="107"/>
      <c r="AO720" s="1"/>
      <c r="AP720" s="96">
        <f ca="1">P_1_minQ-(AP718^2*R_up)+dpup_minQ</f>
        <v>57.891288281820678</v>
      </c>
      <c r="AQ720" s="107"/>
      <c r="AR720" s="1"/>
      <c r="AS720" s="96">
        <f ca="1">P_1_minQ-(AS718^2*R_up)+dpup_minQ</f>
        <v>45.783046901477356</v>
      </c>
      <c r="AT720" s="107"/>
      <c r="AU720" s="1"/>
    </row>
    <row r="721" spans="15:47" x14ac:dyDescent="0.25">
      <c r="O721" s="8" t="s">
        <v>134</v>
      </c>
      <c r="P721" s="1"/>
      <c r="Q721" s="8"/>
      <c r="R721" s="97">
        <f>P_2_minQ+(R718^2*R_dn)-dpdn_minQ</f>
        <v>60</v>
      </c>
      <c r="S721" s="106"/>
      <c r="T721" s="22"/>
      <c r="U721" s="97">
        <f ca="1">P_2_minQ+(U718^2*R_dn)-dpdn_minQ</f>
        <v>60</v>
      </c>
      <c r="V721" s="107"/>
      <c r="W721" s="1"/>
      <c r="X721" s="97">
        <f ca="1">P_2_minQ+(X718^2*R_dn)-dpdn_minQ</f>
        <v>60</v>
      </c>
      <c r="Y721" s="107"/>
      <c r="Z721" s="1"/>
      <c r="AA721" s="97">
        <f ca="1">P_2_minQ+(AA718^2*R_dn)-dpdn_minQ</f>
        <v>60</v>
      </c>
      <c r="AB721" s="107"/>
      <c r="AC721" s="1"/>
      <c r="AD721" s="97">
        <f ca="1">P_2_minQ+(AD718^2*R_dn)-dpdn_minQ</f>
        <v>60</v>
      </c>
      <c r="AE721" s="107"/>
      <c r="AF721" s="1"/>
      <c r="AG721" s="97">
        <f ca="1">P_2_minQ+(AG718^2*R_dn)-dpdn_minQ</f>
        <v>60</v>
      </c>
      <c r="AH721" s="107"/>
      <c r="AI721" s="1"/>
      <c r="AJ721" s="97">
        <f ca="1">P_2_minQ+(AJ718^2*R_dn)-dpdn_minQ</f>
        <v>60</v>
      </c>
      <c r="AK721" s="107"/>
      <c r="AL721" s="1"/>
      <c r="AM721" s="97">
        <f ca="1">P_2_minQ+(AM718^2*R_dn)-dpdn_minQ</f>
        <v>60</v>
      </c>
      <c r="AN721" s="107"/>
      <c r="AO721" s="1"/>
      <c r="AP721" s="97">
        <f ca="1">P_2_minQ+(AP718^2*R_dn)-dpdn_minQ</f>
        <v>60</v>
      </c>
      <c r="AQ721" s="107"/>
      <c r="AR721" s="1"/>
      <c r="AS721" s="97">
        <f ca="1">P_2_minQ+(AS718^2*R_dn)-dpdn_minQ</f>
        <v>60</v>
      </c>
      <c r="AT721" s="107"/>
      <c r="AU721" s="1"/>
    </row>
    <row r="722" spans="15:47" x14ac:dyDescent="0.25">
      <c r="O722" s="8" t="s">
        <v>138</v>
      </c>
      <c r="P722" s="1"/>
      <c r="Q722" s="8"/>
      <c r="R722" s="97">
        <f>R720-R721</f>
        <v>30.184911680470918</v>
      </c>
      <c r="S722" s="106"/>
      <c r="T722" s="22"/>
      <c r="U722" s="97">
        <f ca="1">U720-U721</f>
        <v>30.118784712844501</v>
      </c>
      <c r="V722" s="110"/>
      <c r="W722" s="25"/>
      <c r="X722" s="97">
        <f ca="1">X720-X721</f>
        <v>29.787783769343534</v>
      </c>
      <c r="Y722" s="110"/>
      <c r="Z722" s="25"/>
      <c r="AA722" s="97">
        <f ca="1">AA720-AA721</f>
        <v>28.677963731190388</v>
      </c>
      <c r="AB722" s="110"/>
      <c r="AC722" s="25"/>
      <c r="AD722" s="97">
        <f ca="1">AD720-AD721</f>
        <v>25.943161711906129</v>
      </c>
      <c r="AE722" s="110"/>
      <c r="AF722" s="25"/>
      <c r="AG722" s="97">
        <f ca="1">AG720-AG721</f>
        <v>21.148906481407167</v>
      </c>
      <c r="AH722" s="110"/>
      <c r="AI722" s="25"/>
      <c r="AJ722" s="97">
        <f ca="1">AJ720-AJ721</f>
        <v>14.092584011948119</v>
      </c>
      <c r="AK722" s="110"/>
      <c r="AL722" s="25"/>
      <c r="AM722" s="97">
        <f ca="1">AM720-AM721</f>
        <v>6.2255656358022406</v>
      </c>
      <c r="AN722" s="110"/>
      <c r="AO722" s="25"/>
      <c r="AP722" s="97">
        <f ca="1">AP720-AP721</f>
        <v>-2.1087117181793218</v>
      </c>
      <c r="AQ722" s="110"/>
      <c r="AR722" s="25"/>
      <c r="AS722" s="97">
        <f ca="1">AS720-AS721</f>
        <v>-14.216953098522644</v>
      </c>
      <c r="AT722" s="110"/>
      <c r="AU722" s="25"/>
    </row>
    <row r="723" spans="15:47" ht="14.4" x14ac:dyDescent="0.3">
      <c r="O723" s="2" t="s">
        <v>140</v>
      </c>
      <c r="P723" s="11"/>
      <c r="Q723" s="2"/>
      <c r="R723" s="96">
        <f>R722/R720</f>
        <v>0.33470024107155949</v>
      </c>
      <c r="S723" s="106"/>
      <c r="T723" s="22"/>
      <c r="U723" s="96">
        <f ca="1">U722/U720</f>
        <v>0.33421206032477391</v>
      </c>
      <c r="V723" s="111"/>
      <c r="W723" s="28"/>
      <c r="X723" s="96">
        <f ca="1">X722/X720</f>
        <v>0.33175764584930151</v>
      </c>
      <c r="Y723" s="111"/>
      <c r="Z723" s="28"/>
      <c r="AA723" s="96">
        <f ca="1">AA722/AA720</f>
        <v>0.32339447732609122</v>
      </c>
      <c r="AB723" s="111"/>
      <c r="AC723" s="28"/>
      <c r="AD723" s="96">
        <f ca="1">AD722/AD720</f>
        <v>0.30186417621999234</v>
      </c>
      <c r="AE723" s="111"/>
      <c r="AF723" s="28"/>
      <c r="AG723" s="96">
        <f ca="1">AG722/AG720</f>
        <v>0.26061850243481471</v>
      </c>
      <c r="AH723" s="111"/>
      <c r="AI723" s="28"/>
      <c r="AJ723" s="96">
        <f ca="1">AJ722/AJ720</f>
        <v>0.190202355605192</v>
      </c>
      <c r="AK723" s="111"/>
      <c r="AL723" s="28"/>
      <c r="AM723" s="96">
        <f ca="1">AM722/AM720</f>
        <v>9.4005473204091958E-2</v>
      </c>
      <c r="AN723" s="111"/>
      <c r="AO723" s="28"/>
      <c r="AP723" s="96">
        <f ca="1">AP722/AP720</f>
        <v>-3.6425372120134879E-2</v>
      </c>
      <c r="AQ723" s="111"/>
      <c r="AR723" s="28"/>
      <c r="AS723" s="96">
        <f ca="1">AS722/AS720</f>
        <v>-0.31052876688431769</v>
      </c>
      <c r="AT723" s="111"/>
      <c r="AU723" s="28"/>
    </row>
    <row r="724" spans="15:47" x14ac:dyDescent="0.25">
      <c r="O724" s="2" t="s">
        <v>21</v>
      </c>
      <c r="P724" s="8">
        <v>12</v>
      </c>
      <c r="Q724" s="2"/>
      <c r="R724" s="96">
        <f ca="1">1-R723/(3*F_GAMMA*R$29)</f>
        <v>0.82568504640136664</v>
      </c>
      <c r="S724" s="106"/>
      <c r="T724" s="22"/>
      <c r="U724" s="96">
        <f ca="1">1-U723/(3*F_GAMMA*U$29)</f>
        <v>0.82597973232842614</v>
      </c>
      <c r="V724" s="111"/>
      <c r="W724" s="28"/>
      <c r="X724" s="96">
        <f ca="1">1-X723/(3*F_GAMMA*X$29)</f>
        <v>0.82561247964522744</v>
      </c>
      <c r="Y724" s="111"/>
      <c r="Z724" s="28"/>
      <c r="AA724" s="96">
        <f ca="1">1-AA723/(3*F_GAMMA*AA$29)</f>
        <v>0.82761234359708358</v>
      </c>
      <c r="AB724" s="111"/>
      <c r="AC724" s="28"/>
      <c r="AD724" s="96">
        <f ca="1">1-AD723/(3*F_GAMMA*AD$29)</f>
        <v>0.83409870300076605</v>
      </c>
      <c r="AE724" s="111"/>
      <c r="AF724" s="28"/>
      <c r="AG724" s="96">
        <f ca="1">1-AG723/(3*F_GAMMA*AG$29)</f>
        <v>0.84817200859313224</v>
      </c>
      <c r="AH724" s="111"/>
      <c r="AI724" s="28"/>
      <c r="AJ724" s="96">
        <f ca="1">1-AJ723/(3*F_GAMMA*AJ$29)</f>
        <v>0.88078812966213449</v>
      </c>
      <c r="AK724" s="111"/>
      <c r="AL724" s="28"/>
      <c r="AM724" s="96">
        <f ca="1">1-AM723/(3*F_GAMMA*AM$29)</f>
        <v>0.93412349132667893</v>
      </c>
      <c r="AN724" s="111"/>
      <c r="AO724" s="28"/>
      <c r="AP724" s="96">
        <f ca="1">1-AP723/(3*F_GAMMA*AP$29)</f>
        <v>1.0205604331063254</v>
      </c>
      <c r="AQ724" s="111"/>
      <c r="AR724" s="28"/>
      <c r="AS724" s="96">
        <f ca="1">1-AS723/(3*F_GAMMA*AS$29)</f>
        <v>1.2747872287932258</v>
      </c>
      <c r="AT724" s="111"/>
      <c r="AU724" s="28"/>
    </row>
    <row r="725" spans="15:47" x14ac:dyDescent="0.25">
      <c r="O725" s="2" t="s">
        <v>57</v>
      </c>
      <c r="P725" s="143">
        <v>7</v>
      </c>
      <c r="Q725" s="2"/>
      <c r="R725" s="96">
        <f ca="1">(R718/(N_9*R$27*R720*R724))*SQRT(M*'Valve Sizing'!$W$6*'Valve Sizing'!$G$8/R723)</f>
        <v>0.33955083115799506</v>
      </c>
      <c r="S725" s="107"/>
      <c r="T725" s="22"/>
      <c r="U725" s="96">
        <f ca="1">(U718/(N_9*U$27*U720*U724))*SQRT(M*'Valve Sizing'!$W$6*'Valve Sizing'!$G$8/U723)</f>
        <v>7.713302458879066</v>
      </c>
      <c r="V725" s="111"/>
      <c r="W725" s="28"/>
      <c r="X725" s="96">
        <f ca="1">(X718/(N_9*X$27*X720*X724))*SQRT(M*'Valve Sizing'!$W$6*'Valve Sizing'!$G$8/X723)</f>
        <v>19.078947236959642</v>
      </c>
      <c r="Y725" s="111"/>
      <c r="Z725" s="28"/>
      <c r="AA725" s="96">
        <f ca="1">(AA718/(N_9*AA$27*AA720*AA724))*SQRT(M*'Valve Sizing'!$W$6*'Valve Sizing'!$G$8/AA723)</f>
        <v>38.242922166088583</v>
      </c>
      <c r="AB725" s="111"/>
      <c r="AC725" s="28"/>
      <c r="AD725" s="96">
        <f ca="1">(AD718/(N_9*AD$27*AD720*AD724))*SQRT(M*'Valve Sizing'!$W$6*'Valve Sizing'!$G$8/AD723)</f>
        <v>68.830959820040079</v>
      </c>
      <c r="AE725" s="111"/>
      <c r="AF725" s="28"/>
      <c r="AG725" s="96">
        <f ca="1">(AG718/(N_9*AG$27*AG720*AG724))*SQRT(M*'Valve Sizing'!$W$6*'Valve Sizing'!$G$8/AG723)</f>
        <v>115.14011886226237</v>
      </c>
      <c r="AH725" s="111"/>
      <c r="AI725" s="28"/>
      <c r="AJ725" s="96">
        <f ca="1">(AJ718/(N_9*AJ$27*AJ720*AJ724))*SQRT(M*'Valve Sizing'!$W$6*'Valve Sizing'!$G$8/AJ723)</f>
        <v>196.55524733491077</v>
      </c>
      <c r="AK725" s="111"/>
      <c r="AL725" s="28"/>
      <c r="AM725" s="96">
        <f ca="1">(AM718/(N_9*AM$27*AM720*AM724))*SQRT(M*'Valve Sizing'!$W$6*'Valve Sizing'!$G$8/AM723)</f>
        <v>381.83735267958809</v>
      </c>
      <c r="AN725" s="111"/>
      <c r="AO725" s="28"/>
      <c r="AP725" s="96" t="e">
        <f ca="1">(AP718/(N_9*AP$27*AP720*AP724))*SQRT(M*'Valve Sizing'!$W$6*'Valve Sizing'!$G$8/AP723)</f>
        <v>#NUM!</v>
      </c>
      <c r="AQ725" s="111"/>
      <c r="AR725" s="28"/>
      <c r="AS725" s="96" t="e">
        <f ca="1">(AS718/(N_9*AS$27*AS720*AS724))*SQRT(M*'Valve Sizing'!$W$6*'Valve Sizing'!$G$8/AS723)</f>
        <v>#NUM!</v>
      </c>
      <c r="AT725" s="111"/>
      <c r="AU725" s="28"/>
    </row>
    <row r="726" spans="15:47" x14ac:dyDescent="0.25">
      <c r="O726" s="2" t="s">
        <v>59</v>
      </c>
      <c r="P726" s="143">
        <v>7</v>
      </c>
      <c r="Q726" s="2"/>
      <c r="R726" s="96">
        <f ca="1">(R718/(N_9*R$27*R720*0.667))*SQRT(M*'Valve Sizing'!$W$6*'Valve Sizing'!$G$8/R727)</f>
        <v>0.30396342751221211</v>
      </c>
      <c r="S726" s="107"/>
      <c r="T726" s="22"/>
      <c r="U726" s="96">
        <f ca="1">(U718/(N_9*U$27*U720*0.667))*SQRT(M*'Valve Sizing'!$W$6*'Valve Sizing'!$G$8/U727)</f>
        <v>6.9015154092409663</v>
      </c>
      <c r="V726" s="111"/>
      <c r="W726" s="28"/>
      <c r="X726" s="96">
        <f ca="1">(X718/(N_9*X$27*X720*0.667))*SQRT(M*'Valve Sizing'!$W$6*'Valve Sizing'!$G$8/X727)</f>
        <v>17.081387719692735</v>
      </c>
      <c r="Y726" s="111"/>
      <c r="Z726" s="28"/>
      <c r="AA726" s="96">
        <f ca="1">(AA718/(N_9*AA$27*AA720*0.667))*SQRT(M*'Valve Sizing'!$W$6*'Valve Sizing'!$G$8/AA727)</f>
        <v>34.124469237258367</v>
      </c>
      <c r="AB726" s="111"/>
      <c r="AC726" s="28"/>
      <c r="AD726" s="96">
        <f ca="1">(AD718/(N_9*AD$27*AD720*0.667))*SQRT(M*'Valve Sizing'!$W$6*'Valve Sizing'!$G$8/AD727)</f>
        <v>60.724081661799936</v>
      </c>
      <c r="AE726" s="111"/>
      <c r="AF726" s="28"/>
      <c r="AG726" s="96">
        <f ca="1">(AG718/(N_9*AG$27*AG720*0.667))*SQRT(M*'Valve Sizing'!$W$6*'Valve Sizing'!$G$8/AG727)</f>
        <v>98.814647551835719</v>
      </c>
      <c r="AH726" s="111"/>
      <c r="AI726" s="28"/>
      <c r="AJ726" s="96">
        <f ca="1">(AJ718/(N_9*AJ$27*AJ720*0.667))*SQRT(M*'Valve Sizing'!$W$6*'Valve Sizing'!$G$8/AJ727)</f>
        <v>155.221058182642</v>
      </c>
      <c r="AK726" s="111"/>
      <c r="AL726" s="28"/>
      <c r="AM726" s="96">
        <f ca="1">(AM718/(N_9*AM$27*AM720*0.667))*SQRT(M*'Valve Sizing'!$W$6*'Valve Sizing'!$G$8/AM727)</f>
        <v>237.72934009634841</v>
      </c>
      <c r="AN726" s="111"/>
      <c r="AO726" s="28"/>
      <c r="AP726" s="96">
        <f ca="1">(AP718/(N_9*AP$27*AP720*0.667))*SQRT(M*'Valve Sizing'!$W$6*'Valve Sizing'!$G$8/AP727)</f>
        <v>322.52080352850459</v>
      </c>
      <c r="AQ726" s="111"/>
      <c r="AR726" s="28"/>
      <c r="AS726" s="96">
        <f ca="1">(AS718/(N_9*AS$27*AS720*0.667))*SQRT(M*'Valve Sizing'!$W$6*'Valve Sizing'!$G$8/AS727)</f>
        <v>801.95218982782421</v>
      </c>
      <c r="AT726" s="111"/>
      <c r="AU726" s="28"/>
    </row>
    <row r="727" spans="15:47" ht="15.6" x14ac:dyDescent="0.35">
      <c r="O727" s="2" t="s">
        <v>68</v>
      </c>
      <c r="P727" s="143">
        <v>10</v>
      </c>
      <c r="Q727" s="2"/>
      <c r="R727" s="96">
        <f ca="1">F_GAMMA*R$29</f>
        <v>0.64002969751372984</v>
      </c>
      <c r="S727" s="107"/>
      <c r="T727" s="1"/>
      <c r="U727" s="96">
        <f ca="1">F_GAMMA*U$29</f>
        <v>0.64017842058782071</v>
      </c>
      <c r="V727" s="111"/>
      <c r="W727" s="28"/>
      <c r="X727" s="96">
        <f ca="1">F_GAMMA*X$29</f>
        <v>0.63413873724904268</v>
      </c>
      <c r="Y727" s="111"/>
      <c r="Z727" s="28"/>
      <c r="AA727" s="96">
        <f ca="1">F_GAMMA*AA$29</f>
        <v>0.62532411750377137</v>
      </c>
      <c r="AB727" s="111"/>
      <c r="AC727" s="28"/>
      <c r="AD727" s="96">
        <f ca="1">F_GAMMA*AD$29</f>
        <v>0.60651359509139569</v>
      </c>
      <c r="AE727" s="111"/>
      <c r="AF727" s="28"/>
      <c r="AG727" s="96">
        <f ca="1">F_GAMMA*AG$29</f>
        <v>0.57217930198481592</v>
      </c>
      <c r="AH727" s="111"/>
      <c r="AI727" s="28"/>
      <c r="AJ727" s="96">
        <f ca="1">F_GAMMA*AJ$29</f>
        <v>0.53183282018848232</v>
      </c>
      <c r="AK727" s="111"/>
      <c r="AL727" s="28"/>
      <c r="AM727" s="96">
        <f ca="1">F_GAMMA*AM$29</f>
        <v>0.47566512503094399</v>
      </c>
      <c r="AN727" s="111"/>
      <c r="AO727" s="28"/>
      <c r="AP727" s="96">
        <f ca="1">F_GAMMA*AP$29</f>
        <v>0.59054158265645496</v>
      </c>
      <c r="AQ727" s="111"/>
      <c r="AR727" s="28"/>
      <c r="AS727" s="96">
        <f ca="1">F_GAMMA*AS$29</f>
        <v>0.3766899554102966</v>
      </c>
      <c r="AT727" s="111"/>
      <c r="AU727" s="28"/>
    </row>
    <row r="728" spans="15:47" x14ac:dyDescent="0.25">
      <c r="O728" s="2" t="s">
        <v>145</v>
      </c>
      <c r="P728" s="12"/>
      <c r="Q728" s="2"/>
      <c r="R728" s="96">
        <f ca="1">IF(R723&lt;R727,R725,R726)</f>
        <v>0.33955083115799506</v>
      </c>
      <c r="S728" s="116"/>
      <c r="T728" s="1"/>
      <c r="U728" s="96">
        <f ca="1">IF(U723&lt;U727,U725,U726)</f>
        <v>7.713302458879066</v>
      </c>
      <c r="V728" s="111"/>
      <c r="W728" s="28"/>
      <c r="X728" s="96">
        <f ca="1">IF(X723&lt;X727,X725,X726)</f>
        <v>19.078947236959642</v>
      </c>
      <c r="Y728" s="111"/>
      <c r="Z728" s="28"/>
      <c r="AA728" s="96">
        <f ca="1">IF(AA723&lt;AA727,AA725,AA726)</f>
        <v>38.242922166088583</v>
      </c>
      <c r="AB728" s="111"/>
      <c r="AC728" s="28"/>
      <c r="AD728" s="96">
        <f ca="1">IF(AD723&lt;AD727,AD725,AD726)</f>
        <v>68.830959820040079</v>
      </c>
      <c r="AE728" s="111"/>
      <c r="AF728" s="28"/>
      <c r="AG728" s="96">
        <f ca="1">IF(AG723&lt;AG727,AG725,AG726)</f>
        <v>115.14011886226237</v>
      </c>
      <c r="AH728" s="111"/>
      <c r="AI728" s="28"/>
      <c r="AJ728" s="96">
        <f ca="1">IF(AJ723&lt;AJ727,AJ725,AJ726)</f>
        <v>196.55524733491077</v>
      </c>
      <c r="AK728" s="111"/>
      <c r="AL728" s="28"/>
      <c r="AM728" s="96">
        <f ca="1">IF(AM723&lt;AM727,AM725,AM726)</f>
        <v>381.83735267958809</v>
      </c>
      <c r="AN728" s="111"/>
      <c r="AO728" s="28"/>
      <c r="AP728" s="96" t="e">
        <f ca="1">IF(AP723&lt;AP727,AP725,AP726)</f>
        <v>#NUM!</v>
      </c>
      <c r="AQ728" s="111"/>
      <c r="AR728" s="28"/>
      <c r="AS728" s="96" t="e">
        <f ca="1">IF(AS723&lt;AS727,AS725,AS726)</f>
        <v>#NUM!</v>
      </c>
      <c r="AT728" s="111"/>
      <c r="AU728" s="28"/>
    </row>
    <row r="729" spans="15:47" x14ac:dyDescent="0.25">
      <c r="O729" s="13" t="s">
        <v>143</v>
      </c>
      <c r="P729" s="1"/>
      <c r="Q729" s="1"/>
      <c r="R729" s="113"/>
      <c r="S729" s="106">
        <f ca="1">IF(R722&lt;=0,Q_max,ABS(R$23-R728))</f>
        <v>4.3904491688420055</v>
      </c>
      <c r="T729" s="7">
        <f>R718</f>
        <v>840.80460167031731</v>
      </c>
      <c r="U729" s="98"/>
      <c r="V729" s="106">
        <f ca="1">IF(U722&lt;=0,Q_max,ABS(U$23-U728))</f>
        <v>3.8866975411209337</v>
      </c>
      <c r="W729" s="9">
        <f ca="1">U718</f>
        <v>19066.248081885067</v>
      </c>
      <c r="X729" s="98"/>
      <c r="Y729" s="106">
        <f ca="1">IF(X722&lt;=0,Q_max,ABS(X$23-X728))</f>
        <v>3.9210527630403575</v>
      </c>
      <c r="Z729" s="9">
        <f ca="1">X718</f>
        <v>46686.238036257724</v>
      </c>
      <c r="AA729" s="98"/>
      <c r="AB729" s="106">
        <f ca="1">IF(AA722&lt;=0,Q_max,ABS(AA$23-AA728))</f>
        <v>1.1570778339114156</v>
      </c>
      <c r="AC729" s="9">
        <f ca="1">AA718</f>
        <v>90932.875246504933</v>
      </c>
      <c r="AD729" s="98"/>
      <c r="AE729" s="106">
        <f ca="1">IF(AD722&lt;=0,Q_max,ABS(AD$23-AD728))</f>
        <v>7.8309598200400785</v>
      </c>
      <c r="AF729" s="9">
        <f ca="1">AD718</f>
        <v>152557.07739783337</v>
      </c>
      <c r="AG729" s="98"/>
      <c r="AH729" s="106">
        <f ca="1">IF(AG722&lt;=0,Q_max,ABS(AG$23-AG728))</f>
        <v>26.940118862262366</v>
      </c>
      <c r="AI729" s="9">
        <f ca="1">AG718</f>
        <v>222661.20952832617</v>
      </c>
      <c r="AJ729" s="98"/>
      <c r="AK729" s="106">
        <f ca="1">IF(AJ722&lt;=0,Q_max,ABS(AJ$23-AJ728))</f>
        <v>75.555247334910774</v>
      </c>
      <c r="AL729" s="9">
        <f ca="1">AJ718</f>
        <v>297142.24727670028</v>
      </c>
      <c r="AM729" s="98"/>
      <c r="AN729" s="106">
        <f ca="1">IF(AM722&lt;=0,Q_max,ABS(AM$23-AM728))</f>
        <v>216.83735267958809</v>
      </c>
      <c r="AO729" s="9">
        <f ca="1">AM718</f>
        <v>362570.01057478553</v>
      </c>
      <c r="AP729" s="98"/>
      <c r="AQ729" s="106">
        <f ca="1">IF(AP722&lt;=0,Q_max,ABS(AP$23-AP728))</f>
        <v>236393</v>
      </c>
      <c r="AR729" s="9">
        <f ca="1">AP718</f>
        <v>420932.52642549807</v>
      </c>
      <c r="AS729" s="98"/>
      <c r="AT729" s="106">
        <f ca="1">IF(AS722&lt;=0,Q_max,ABS(AS$23-AS728))</f>
        <v>236393</v>
      </c>
      <c r="AU729" s="9">
        <f ca="1">AS718</f>
        <v>493576.49144031951</v>
      </c>
    </row>
    <row r="730" spans="15:47" x14ac:dyDescent="0.25">
      <c r="O730" s="21"/>
      <c r="P730" s="14"/>
      <c r="Q730" s="21"/>
      <c r="R730" s="97"/>
      <c r="S730" s="106"/>
      <c r="T730" s="28"/>
      <c r="U730" s="97"/>
      <c r="V730" s="111"/>
      <c r="W730" s="28"/>
      <c r="X730" s="97"/>
      <c r="Y730" s="111"/>
      <c r="Z730" s="28"/>
      <c r="AA730" s="97"/>
      <c r="AB730" s="111"/>
      <c r="AC730" s="28"/>
      <c r="AD730" s="97"/>
      <c r="AE730" s="111"/>
      <c r="AF730" s="28"/>
      <c r="AG730" s="97"/>
      <c r="AH730" s="111"/>
      <c r="AI730" s="28"/>
      <c r="AJ730" s="97"/>
      <c r="AK730" s="111"/>
      <c r="AL730" s="28"/>
      <c r="AM730" s="97"/>
      <c r="AN730" s="111"/>
      <c r="AO730" s="28"/>
      <c r="AP730" s="97"/>
      <c r="AQ730" s="111"/>
      <c r="AR730" s="28"/>
      <c r="AS730" s="97"/>
      <c r="AT730" s="111"/>
      <c r="AU730" s="28"/>
    </row>
    <row r="731" spans="15:47" x14ac:dyDescent="0.25">
      <c r="O731" s="1"/>
      <c r="P731" s="1"/>
      <c r="Q731" s="1"/>
      <c r="R731" s="98"/>
      <c r="S731" s="108" t="s">
        <v>137</v>
      </c>
      <c r="T731" s="26" t="s">
        <v>146</v>
      </c>
      <c r="U731" s="98"/>
      <c r="V731" s="108" t="s">
        <v>137</v>
      </c>
      <c r="W731" s="26" t="s">
        <v>146</v>
      </c>
      <c r="X731" s="98"/>
      <c r="Y731" s="108" t="s">
        <v>137</v>
      </c>
      <c r="Z731" s="26" t="s">
        <v>146</v>
      </c>
      <c r="AA731" s="98"/>
      <c r="AB731" s="108" t="s">
        <v>137</v>
      </c>
      <c r="AC731" s="26" t="s">
        <v>146</v>
      </c>
      <c r="AD731" s="98"/>
      <c r="AE731" s="108" t="s">
        <v>137</v>
      </c>
      <c r="AF731" s="26" t="s">
        <v>146</v>
      </c>
      <c r="AG731" s="98"/>
      <c r="AH731" s="108" t="s">
        <v>137</v>
      </c>
      <c r="AI731" s="26" t="s">
        <v>146</v>
      </c>
      <c r="AJ731" s="98"/>
      <c r="AK731" s="108" t="s">
        <v>137</v>
      </c>
      <c r="AL731" s="26" t="s">
        <v>146</v>
      </c>
      <c r="AM731" s="98"/>
      <c r="AN731" s="108" t="s">
        <v>137</v>
      </c>
      <c r="AO731" s="26" t="s">
        <v>146</v>
      </c>
      <c r="AP731" s="98"/>
      <c r="AQ731" s="108" t="s">
        <v>137</v>
      </c>
      <c r="AR731" s="26" t="s">
        <v>146</v>
      </c>
      <c r="AS731" s="98"/>
      <c r="AT731" s="108" t="s">
        <v>137</v>
      </c>
      <c r="AU731" s="26" t="s">
        <v>146</v>
      </c>
    </row>
    <row r="732" spans="15:47" ht="13.8" x14ac:dyDescent="0.25">
      <c r="O732" s="20" t="s">
        <v>136</v>
      </c>
      <c r="P732" s="1"/>
      <c r="Q732" s="1"/>
      <c r="R732" s="96">
        <f>R718*1.02</f>
        <v>857.62069370372365</v>
      </c>
      <c r="S732" s="109" t="s">
        <v>144</v>
      </c>
      <c r="T732" s="23" t="s">
        <v>147</v>
      </c>
      <c r="U732" s="96">
        <f ca="1">U718*1.01</f>
        <v>19256.910562703917</v>
      </c>
      <c r="V732" s="109" t="s">
        <v>144</v>
      </c>
      <c r="W732" s="23" t="s">
        <v>147</v>
      </c>
      <c r="X732" s="96">
        <f ca="1">X718*1.01</f>
        <v>47153.100416620298</v>
      </c>
      <c r="Y732" s="109" t="s">
        <v>144</v>
      </c>
      <c r="Z732" s="23" t="s">
        <v>147</v>
      </c>
      <c r="AA732" s="96">
        <f ca="1">AA718*1.01</f>
        <v>91842.203998969984</v>
      </c>
      <c r="AB732" s="109" t="s">
        <v>144</v>
      </c>
      <c r="AC732" s="23" t="s">
        <v>147</v>
      </c>
      <c r="AD732" s="96">
        <f ca="1">AD718*1.01</f>
        <v>154082.64817181171</v>
      </c>
      <c r="AE732" s="109" t="s">
        <v>144</v>
      </c>
      <c r="AF732" s="23" t="s">
        <v>147</v>
      </c>
      <c r="AG732" s="96">
        <f ca="1">AG718*1.01</f>
        <v>224887.82162360943</v>
      </c>
      <c r="AH732" s="109" t="s">
        <v>144</v>
      </c>
      <c r="AI732" s="23" t="s">
        <v>147</v>
      </c>
      <c r="AJ732" s="96">
        <f ca="1">AJ718*1.01</f>
        <v>300113.66974946728</v>
      </c>
      <c r="AK732" s="109" t="s">
        <v>144</v>
      </c>
      <c r="AL732" s="23" t="s">
        <v>147</v>
      </c>
      <c r="AM732" s="96">
        <f ca="1">AM718*1.01</f>
        <v>366195.71068053338</v>
      </c>
      <c r="AN732" s="109" t="s">
        <v>144</v>
      </c>
      <c r="AO732" s="23" t="s">
        <v>147</v>
      </c>
      <c r="AP732" s="96">
        <f ca="1">AP718*1.01</f>
        <v>425141.85168975306</v>
      </c>
      <c r="AQ732" s="109" t="s">
        <v>144</v>
      </c>
      <c r="AR732" s="23" t="s">
        <v>147</v>
      </c>
      <c r="AS732" s="96">
        <f ca="1">AS718*1.01</f>
        <v>498512.25635472272</v>
      </c>
      <c r="AT732" s="109" t="s">
        <v>144</v>
      </c>
      <c r="AU732" s="23" t="s">
        <v>147</v>
      </c>
    </row>
    <row r="733" spans="15:47" x14ac:dyDescent="0.25">
      <c r="O733" s="1"/>
      <c r="P733" s="1"/>
      <c r="Q733" s="1"/>
      <c r="R733" s="98"/>
      <c r="S733" s="107"/>
      <c r="T733" s="1"/>
      <c r="U733" s="47"/>
      <c r="V733" s="107"/>
      <c r="W733" s="1"/>
      <c r="X733" s="47"/>
      <c r="Y733" s="107"/>
      <c r="Z733" s="1"/>
      <c r="AA733" s="47"/>
      <c r="AB733" s="107"/>
      <c r="AC733" s="1"/>
      <c r="AD733" s="47"/>
      <c r="AE733" s="107"/>
      <c r="AF733" s="1"/>
      <c r="AG733" s="47"/>
      <c r="AH733" s="107"/>
      <c r="AI733" s="1"/>
      <c r="AJ733" s="47"/>
      <c r="AK733" s="107"/>
      <c r="AL733" s="1"/>
      <c r="AM733" s="47"/>
      <c r="AN733" s="107"/>
      <c r="AO733" s="1"/>
      <c r="AP733" s="47"/>
      <c r="AQ733" s="107"/>
      <c r="AR733" s="1"/>
      <c r="AS733" s="47"/>
      <c r="AT733" s="107"/>
      <c r="AU733" s="1"/>
    </row>
    <row r="734" spans="15:47" x14ac:dyDescent="0.25">
      <c r="O734" s="8" t="s">
        <v>132</v>
      </c>
      <c r="P734" s="8"/>
      <c r="Q734" s="8"/>
      <c r="R734" s="96">
        <f>P_1_minQ-(R732^2*R_up)+dpup_minQ</f>
        <v>90.184906474939623</v>
      </c>
      <c r="S734" s="106"/>
      <c r="T734" s="22"/>
      <c r="U734" s="96">
        <f ca="1">P_1_minQ-(U732^2*R_up)+dpup_minQ</f>
        <v>90.117452970914542</v>
      </c>
      <c r="V734" s="107"/>
      <c r="W734" s="1"/>
      <c r="X734" s="96">
        <f ca="1">P_1_minQ-(X732^2*R_up)+dpup_minQ</f>
        <v>89.779798908449195</v>
      </c>
      <c r="Y734" s="107"/>
      <c r="Z734" s="1"/>
      <c r="AA734" s="96">
        <f ca="1">P_1_minQ-(AA732^2*R_up)+dpup_minQ</f>
        <v>88.64767148752918</v>
      </c>
      <c r="AB734" s="107"/>
      <c r="AC734" s="1"/>
      <c r="AD734" s="96">
        <f ca="1">P_1_minQ-(AD732^2*R_up)+dpup_minQ</f>
        <v>85.857899947657302</v>
      </c>
      <c r="AE734" s="107"/>
      <c r="AF734" s="1"/>
      <c r="AG734" s="96">
        <f ca="1">P_1_minQ-(AG732^2*R_up)+dpup_minQ</f>
        <v>80.967280187025324</v>
      </c>
      <c r="AH734" s="107"/>
      <c r="AI734" s="1"/>
      <c r="AJ734" s="96">
        <f ca="1">P_1_minQ-(AJ732^2*R_up)+dpup_minQ</f>
        <v>73.769125635930138</v>
      </c>
      <c r="AK734" s="107"/>
      <c r="AL734" s="1"/>
      <c r="AM734" s="96">
        <f ca="1">P_1_minQ-(AM732^2*R_up)+dpup_minQ</f>
        <v>65.743980190423727</v>
      </c>
      <c r="AN734" s="107"/>
      <c r="AO734" s="1"/>
      <c r="AP734" s="96">
        <f ca="1">P_1_minQ-(AP732^2*R_up)+dpup_minQ</f>
        <v>57.242183861627133</v>
      </c>
      <c r="AQ734" s="107"/>
      <c r="AR734" s="1"/>
      <c r="AS734" s="96">
        <f ca="1">P_1_minQ-(AS732^2*R_up)+dpup_minQ</f>
        <v>44.890566829538912</v>
      </c>
      <c r="AT734" s="107"/>
      <c r="AU734" s="1"/>
    </row>
    <row r="735" spans="15:47" x14ac:dyDescent="0.25">
      <c r="O735" s="8" t="s">
        <v>134</v>
      </c>
      <c r="P735" s="1"/>
      <c r="Q735" s="8"/>
      <c r="R735" s="97">
        <f>P_2_minQ+(R732^2*R_dn)-dpdn_minQ</f>
        <v>60</v>
      </c>
      <c r="S735" s="106"/>
      <c r="T735" s="22"/>
      <c r="U735" s="97">
        <f ca="1">P_2_minQ+(U732^2*R_dn)-dpdn_minQ</f>
        <v>60</v>
      </c>
      <c r="V735" s="107"/>
      <c r="W735" s="1"/>
      <c r="X735" s="97">
        <f ca="1">P_2_minQ+(X732^2*R_dn)-dpdn_minQ</f>
        <v>60</v>
      </c>
      <c r="Y735" s="107"/>
      <c r="Z735" s="1"/>
      <c r="AA735" s="97">
        <f ca="1">P_2_minQ+(AA732^2*R_dn)-dpdn_minQ</f>
        <v>60</v>
      </c>
      <c r="AB735" s="107"/>
      <c r="AC735" s="1"/>
      <c r="AD735" s="97">
        <f ca="1">P_2_minQ+(AD732^2*R_dn)-dpdn_minQ</f>
        <v>60</v>
      </c>
      <c r="AE735" s="107"/>
      <c r="AF735" s="1"/>
      <c r="AG735" s="97">
        <f ca="1">P_2_minQ+(AG732^2*R_dn)-dpdn_minQ</f>
        <v>60</v>
      </c>
      <c r="AH735" s="107"/>
      <c r="AI735" s="1"/>
      <c r="AJ735" s="97">
        <f ca="1">P_2_minQ+(AJ732^2*R_dn)-dpdn_minQ</f>
        <v>60</v>
      </c>
      <c r="AK735" s="107"/>
      <c r="AL735" s="1"/>
      <c r="AM735" s="97">
        <f ca="1">P_2_minQ+(AM732^2*R_dn)-dpdn_minQ</f>
        <v>60</v>
      </c>
      <c r="AN735" s="107"/>
      <c r="AO735" s="1"/>
      <c r="AP735" s="97">
        <f ca="1">P_2_minQ+(AP732^2*R_dn)-dpdn_minQ</f>
        <v>60</v>
      </c>
      <c r="AQ735" s="107"/>
      <c r="AR735" s="1"/>
      <c r="AS735" s="97">
        <f ca="1">P_2_minQ+(AS732^2*R_dn)-dpdn_minQ</f>
        <v>60</v>
      </c>
      <c r="AT735" s="107"/>
      <c r="AU735" s="1"/>
    </row>
    <row r="736" spans="15:47" x14ac:dyDescent="0.25">
      <c r="O736" s="8" t="s">
        <v>138</v>
      </c>
      <c r="P736" s="1"/>
      <c r="Q736" s="8"/>
      <c r="R736" s="97">
        <f>R734-R735</f>
        <v>30.184906474939623</v>
      </c>
      <c r="S736" s="106"/>
      <c r="T736" s="22"/>
      <c r="U736" s="97">
        <f ca="1">U734-U735</f>
        <v>30.117452970914542</v>
      </c>
      <c r="V736" s="110"/>
      <c r="W736" s="25"/>
      <c r="X736" s="97">
        <f ca="1">X734-X735</f>
        <v>29.779798908449195</v>
      </c>
      <c r="Y736" s="110"/>
      <c r="Z736" s="25"/>
      <c r="AA736" s="97">
        <f ca="1">AA734-AA735</f>
        <v>28.64767148752918</v>
      </c>
      <c r="AB736" s="110"/>
      <c r="AC736" s="25"/>
      <c r="AD736" s="97">
        <f ca="1">AD734-AD735</f>
        <v>25.857899947657302</v>
      </c>
      <c r="AE736" s="110"/>
      <c r="AF736" s="25"/>
      <c r="AG736" s="97">
        <f ca="1">AG734-AG735</f>
        <v>20.967280187025324</v>
      </c>
      <c r="AH736" s="110"/>
      <c r="AI736" s="25"/>
      <c r="AJ736" s="97">
        <f ca="1">AJ734-AJ735</f>
        <v>13.769125635930138</v>
      </c>
      <c r="AK736" s="110"/>
      <c r="AL736" s="25"/>
      <c r="AM736" s="97">
        <f ca="1">AM734-AM735</f>
        <v>5.7439801904237271</v>
      </c>
      <c r="AN736" s="110"/>
      <c r="AO736" s="25"/>
      <c r="AP736" s="97">
        <f ca="1">AP734-AP735</f>
        <v>-2.757816138372867</v>
      </c>
      <c r="AQ736" s="110"/>
      <c r="AR736" s="25"/>
      <c r="AS736" s="97">
        <f ca="1">AS734-AS735</f>
        <v>-15.109433170461088</v>
      </c>
      <c r="AT736" s="110"/>
      <c r="AU736" s="25"/>
    </row>
    <row r="737" spans="15:47" ht="14.4" x14ac:dyDescent="0.3">
      <c r="O737" s="2" t="s">
        <v>140</v>
      </c>
      <c r="P737" s="11"/>
      <c r="Q737" s="2"/>
      <c r="R737" s="96">
        <f>R736/R734</f>
        <v>0.33470020267002593</v>
      </c>
      <c r="S737" s="106"/>
      <c r="T737" s="22"/>
      <c r="U737" s="96">
        <f ca="1">U736/U734</f>
        <v>0.33420222141248229</v>
      </c>
      <c r="V737" s="111"/>
      <c r="W737" s="28"/>
      <c r="X737" s="96">
        <f ca="1">X736/X734</f>
        <v>0.33169821352369516</v>
      </c>
      <c r="Y737" s="111"/>
      <c r="Z737" s="28"/>
      <c r="AA737" s="96">
        <f ca="1">AA736/AA734</f>
        <v>0.32316327103480991</v>
      </c>
      <c r="AB737" s="111"/>
      <c r="AC737" s="28"/>
      <c r="AD737" s="96">
        <f ca="1">AD736/AD734</f>
        <v>0.30117088775082312</v>
      </c>
      <c r="AE737" s="111"/>
      <c r="AF737" s="28"/>
      <c r="AG737" s="96">
        <f ca="1">AG736/AG734</f>
        <v>0.25895991737147722</v>
      </c>
      <c r="AH737" s="111"/>
      <c r="AI737" s="28"/>
      <c r="AJ737" s="96">
        <f ca="1">AJ736/AJ734</f>
        <v>0.18665160413970963</v>
      </c>
      <c r="AK737" s="111"/>
      <c r="AL737" s="28"/>
      <c r="AM737" s="96">
        <f ca="1">AM736/AM734</f>
        <v>8.7368914595474939E-2</v>
      </c>
      <c r="AN737" s="111"/>
      <c r="AO737" s="28"/>
      <c r="AP737" s="96">
        <f ca="1">AP736/AP734</f>
        <v>-4.8178038508093969E-2</v>
      </c>
      <c r="AQ737" s="111"/>
      <c r="AR737" s="28"/>
      <c r="AS737" s="96">
        <f ca="1">AS736/AS734</f>
        <v>-0.33658370204670196</v>
      </c>
      <c r="AT737" s="111"/>
      <c r="AU737" s="28"/>
    </row>
    <row r="738" spans="15:47" x14ac:dyDescent="0.25">
      <c r="O738" s="2" t="s">
        <v>21</v>
      </c>
      <c r="P738" s="8">
        <v>12</v>
      </c>
      <c r="Q738" s="2"/>
      <c r="R738" s="96">
        <f ca="1">1-R737/(3*F_GAMMA*R$29)</f>
        <v>0.82568506640123729</v>
      </c>
      <c r="S738" s="106"/>
      <c r="T738" s="22"/>
      <c r="U738" s="96">
        <f ca="1">1-U737/(3*F_GAMMA*U$29)</f>
        <v>0.8259848553337088</v>
      </c>
      <c r="V738" s="111"/>
      <c r="W738" s="28"/>
      <c r="X738" s="96">
        <f ca="1">1-X737/(3*F_GAMMA*X$29)</f>
        <v>0.82564372008842768</v>
      </c>
      <c r="Y738" s="111"/>
      <c r="Z738" s="28"/>
      <c r="AA738" s="96">
        <f ca="1">1-AA737/(3*F_GAMMA*AA$29)</f>
        <v>0.82773558970514682</v>
      </c>
      <c r="AB738" s="111"/>
      <c r="AC738" s="28"/>
      <c r="AD738" s="96">
        <f ca="1">1-AD737/(3*F_GAMMA*AD$29)</f>
        <v>0.83447972686941463</v>
      </c>
      <c r="AE738" s="111"/>
      <c r="AF738" s="28"/>
      <c r="AG738" s="96">
        <f ca="1">1-AG737/(3*F_GAMMA*AG$29)</f>
        <v>0.8491382471233645</v>
      </c>
      <c r="AH738" s="111"/>
      <c r="AI738" s="28"/>
      <c r="AJ738" s="96">
        <f ca="1">1-AJ737/(3*F_GAMMA*AJ$29)</f>
        <v>0.88301361063453487</v>
      </c>
      <c r="AK738" s="111"/>
      <c r="AL738" s="28"/>
      <c r="AM738" s="96">
        <f ca="1">1-AM737/(3*F_GAMMA*AM$29)</f>
        <v>0.93877421320318488</v>
      </c>
      <c r="AN738" s="111"/>
      <c r="AO738" s="28"/>
      <c r="AP738" s="96">
        <f ca="1">1-AP737/(3*F_GAMMA*AP$29)</f>
        <v>1.0271942681785833</v>
      </c>
      <c r="AQ738" s="111"/>
      <c r="AR738" s="28"/>
      <c r="AS738" s="96">
        <f ca="1">1-AS737/(3*F_GAMMA*AS$29)</f>
        <v>1.2978432680178491</v>
      </c>
      <c r="AT738" s="111"/>
      <c r="AU738" s="28"/>
    </row>
    <row r="739" spans="15:47" x14ac:dyDescent="0.25">
      <c r="O739" s="2" t="s">
        <v>57</v>
      </c>
      <c r="P739" s="143">
        <v>7</v>
      </c>
      <c r="Q739" s="2"/>
      <c r="R739" s="96">
        <f ca="1">(R732/(N_9*R$27*R734*R738))*SQRT(M*'Valve Sizing'!$W$6*'Valve Sizing'!$G$8/R737)</f>
        <v>0.34634187925169879</v>
      </c>
      <c r="S739" s="107"/>
      <c r="T739" s="22"/>
      <c r="U739" s="96">
        <f ca="1">(U732/(N_9*U$27*U734*U738))*SQRT(M*'Valve Sizing'!$W$6*'Valve Sizing'!$G$8/U737)</f>
        <v>7.7906169653415995</v>
      </c>
      <c r="V739" s="111"/>
      <c r="W739" s="28"/>
      <c r="X739" s="96">
        <f ca="1">(X732/(N_9*X$27*X734*X738))*SQRT(M*'Valve Sizing'!$W$6*'Valve Sizing'!$G$8/X737)</f>
        <v>19.272447686666368</v>
      </c>
      <c r="Y739" s="111"/>
      <c r="Z739" s="28"/>
      <c r="AA739" s="96">
        <f ca="1">(AA732/(N_9*AA$27*AA734*AA738))*SQRT(M*'Valve Sizing'!$W$6*'Valve Sizing'!$G$8/AA737)</f>
        <v>38.646614539612528</v>
      </c>
      <c r="AB739" s="111"/>
      <c r="AC739" s="28"/>
      <c r="AD739" s="96">
        <f ca="1">(AD732/(N_9*AD$27*AD734*AD738))*SQRT(M*'Valve Sizing'!$W$6*'Valve Sizing'!$G$8/AD737)</f>
        <v>69.636544689103715</v>
      </c>
      <c r="AE739" s="111"/>
      <c r="AF739" s="28"/>
      <c r="AG739" s="96">
        <f ca="1">(AG732/(N_9*AG$27*AG734*AG738))*SQRT(M*'Valve Sizing'!$W$6*'Valve Sizing'!$G$8/AG737)</f>
        <v>116.79198763322509</v>
      </c>
      <c r="AH739" s="111"/>
      <c r="AI739" s="28"/>
      <c r="AJ739" s="96">
        <f ca="1">(AJ732/(N_9*AJ$27*AJ734*AJ738))*SQRT(M*'Valve Sizing'!$W$6*'Valve Sizing'!$G$8/AJ737)</f>
        <v>200.77159032971426</v>
      </c>
      <c r="AK739" s="111"/>
      <c r="AL739" s="28"/>
      <c r="AM739" s="96">
        <f ca="1">(AM732/(N_9*AM$27*AM734*AM738))*SQRT(M*'Valve Sizing'!$W$6*'Valve Sizing'!$G$8/AM737)</f>
        <v>400.9689186861624</v>
      </c>
      <c r="AN739" s="111"/>
      <c r="AO739" s="28"/>
      <c r="AP739" s="96" t="e">
        <f ca="1">(AP732/(N_9*AP$27*AP734*AP738))*SQRT(M*'Valve Sizing'!$W$6*'Valve Sizing'!$G$8/AP737)</f>
        <v>#NUM!</v>
      </c>
      <c r="AQ739" s="111"/>
      <c r="AR739" s="28"/>
      <c r="AS739" s="96" t="e">
        <f ca="1">(AS732/(N_9*AS$27*AS734*AS738))*SQRT(M*'Valve Sizing'!$W$6*'Valve Sizing'!$G$8/AS737)</f>
        <v>#NUM!</v>
      </c>
      <c r="AT739" s="111"/>
      <c r="AU739" s="28"/>
    </row>
    <row r="740" spans="15:47" x14ac:dyDescent="0.25">
      <c r="O740" s="2" t="s">
        <v>59</v>
      </c>
      <c r="P740" s="143">
        <v>7</v>
      </c>
      <c r="Q740" s="2"/>
      <c r="R740" s="96">
        <f ca="1">(R732/(N_9*R$27*R734*0.667))*SQRT(M*'Valve Sizing'!$W$6*'Valve Sizing'!$G$8/R741)</f>
        <v>0.31004271395832184</v>
      </c>
      <c r="S740" s="107"/>
      <c r="T740" s="22"/>
      <c r="U740" s="96">
        <f ca="1">(U732/(N_9*U$27*U734*0.667))*SQRT(M*'Valve Sizing'!$W$6*'Valve Sizing'!$G$8/U741)</f>
        <v>6.9706335727673885</v>
      </c>
      <c r="V740" s="111"/>
      <c r="W740" s="28"/>
      <c r="X740" s="96">
        <f ca="1">(X732/(N_9*X$27*X734*0.667))*SQRT(M*'Valve Sizing'!$W$6*'Valve Sizing'!$G$8/X741)</f>
        <v>17.253735978026032</v>
      </c>
      <c r="Y740" s="111"/>
      <c r="Z740" s="28"/>
      <c r="AA740" s="96">
        <f ca="1">(AA732/(N_9*AA$27*AA734*0.667))*SQRT(M*'Valve Sizing'!$W$6*'Valve Sizing'!$G$8/AA741)</f>
        <v>34.477491382854431</v>
      </c>
      <c r="AB740" s="111"/>
      <c r="AC740" s="28"/>
      <c r="AD740" s="96">
        <f ca="1">(AD732/(N_9*AD$27*AD734*0.667))*SQRT(M*'Valve Sizing'!$W$6*'Valve Sizing'!$G$8/AD741)</f>
        <v>61.392227960166394</v>
      </c>
      <c r="AE740" s="111"/>
      <c r="AF740" s="28"/>
      <c r="AG740" s="96">
        <f ca="1">(AG732/(N_9*AG$27*AG734*0.667))*SQRT(M*'Valve Sizing'!$W$6*'Valve Sizing'!$G$8/AG741)</f>
        <v>100.02667226071293</v>
      </c>
      <c r="AH740" s="111"/>
      <c r="AI740" s="28"/>
      <c r="AJ740" s="96">
        <f ca="1">(AJ732/(N_9*AJ$27*AJ734*0.667))*SQRT(M*'Valve Sizing'!$W$6*'Valve Sizing'!$G$8/AJ741)</f>
        <v>157.4606786596033</v>
      </c>
      <c r="AK740" s="111"/>
      <c r="AL740" s="28"/>
      <c r="AM740" s="96">
        <f ca="1">(AM732/(N_9*AM$27*AM734*0.667))*SQRT(M*'Valve Sizing'!$W$6*'Valve Sizing'!$G$8/AM741)</f>
        <v>241.86545399610458</v>
      </c>
      <c r="AN740" s="111"/>
      <c r="AO740" s="28"/>
      <c r="AP740" s="96">
        <f ca="1">(AP732/(N_9*AP$27*AP734*0.667))*SQRT(M*'Valve Sizing'!$W$6*'Valve Sizing'!$G$8/AP741)</f>
        <v>329.43984645446398</v>
      </c>
      <c r="AQ740" s="111"/>
      <c r="AR740" s="28"/>
      <c r="AS740" s="96">
        <f ca="1">(AS732/(N_9*AS$27*AS734*0.667))*SQRT(M*'Valve Sizing'!$W$6*'Valve Sizing'!$G$8/AS741)</f>
        <v>826.07495262066266</v>
      </c>
      <c r="AT740" s="111"/>
      <c r="AU740" s="28"/>
    </row>
    <row r="741" spans="15:47" ht="15.6" x14ac:dyDescent="0.35">
      <c r="O741" s="2" t="s">
        <v>68</v>
      </c>
      <c r="P741" s="143">
        <v>10</v>
      </c>
      <c r="Q741" s="2"/>
      <c r="R741" s="96">
        <f ca="1">F_GAMMA*R$29</f>
        <v>0.64002969751372984</v>
      </c>
      <c r="S741" s="107"/>
      <c r="T741" s="1"/>
      <c r="U741" s="96">
        <f ca="1">F_GAMMA*U$29</f>
        <v>0.64017842058782071</v>
      </c>
      <c r="V741" s="111"/>
      <c r="W741" s="28"/>
      <c r="X741" s="96">
        <f ca="1">F_GAMMA*X$29</f>
        <v>0.63413873724904268</v>
      </c>
      <c r="Y741" s="111"/>
      <c r="Z741" s="28"/>
      <c r="AA741" s="96">
        <f ca="1">F_GAMMA*AA$29</f>
        <v>0.62532411750377137</v>
      </c>
      <c r="AB741" s="111"/>
      <c r="AC741" s="28"/>
      <c r="AD741" s="96">
        <f ca="1">F_GAMMA*AD$29</f>
        <v>0.60651359509139569</v>
      </c>
      <c r="AE741" s="111"/>
      <c r="AF741" s="28"/>
      <c r="AG741" s="96">
        <f ca="1">F_GAMMA*AG$29</f>
        <v>0.57217930198481592</v>
      </c>
      <c r="AH741" s="111"/>
      <c r="AI741" s="28"/>
      <c r="AJ741" s="96">
        <f ca="1">F_GAMMA*AJ$29</f>
        <v>0.53183282018848232</v>
      </c>
      <c r="AK741" s="111"/>
      <c r="AL741" s="28"/>
      <c r="AM741" s="96">
        <f ca="1">F_GAMMA*AM$29</f>
        <v>0.47566512503094399</v>
      </c>
      <c r="AN741" s="111"/>
      <c r="AO741" s="28"/>
      <c r="AP741" s="96">
        <f ca="1">F_GAMMA*AP$29</f>
        <v>0.59054158265645496</v>
      </c>
      <c r="AQ741" s="111"/>
      <c r="AR741" s="28"/>
      <c r="AS741" s="96">
        <f ca="1">F_GAMMA*AS$29</f>
        <v>0.3766899554102966</v>
      </c>
      <c r="AT741" s="111"/>
      <c r="AU741" s="28"/>
    </row>
    <row r="742" spans="15:47" x14ac:dyDescent="0.25">
      <c r="O742" s="2" t="s">
        <v>145</v>
      </c>
      <c r="P742" s="12"/>
      <c r="Q742" s="2"/>
      <c r="R742" s="96">
        <f ca="1">IF(R737&lt;R741,R739,R740)</f>
        <v>0.34634187925169879</v>
      </c>
      <c r="S742" s="116"/>
      <c r="T742" s="1"/>
      <c r="U742" s="96">
        <f ca="1">IF(U737&lt;U741,U739,U740)</f>
        <v>7.7906169653415995</v>
      </c>
      <c r="V742" s="111"/>
      <c r="W742" s="28"/>
      <c r="X742" s="96">
        <f ca="1">IF(X737&lt;X741,X739,X740)</f>
        <v>19.272447686666368</v>
      </c>
      <c r="Y742" s="111"/>
      <c r="Z742" s="28"/>
      <c r="AA742" s="96">
        <f ca="1">IF(AA737&lt;AA741,AA739,AA740)</f>
        <v>38.646614539612528</v>
      </c>
      <c r="AB742" s="111"/>
      <c r="AC742" s="28"/>
      <c r="AD742" s="96">
        <f ca="1">IF(AD737&lt;AD741,AD739,AD740)</f>
        <v>69.636544689103715</v>
      </c>
      <c r="AE742" s="111"/>
      <c r="AF742" s="28"/>
      <c r="AG742" s="96">
        <f ca="1">IF(AG737&lt;AG741,AG739,AG740)</f>
        <v>116.79198763322509</v>
      </c>
      <c r="AH742" s="111"/>
      <c r="AI742" s="28"/>
      <c r="AJ742" s="96">
        <f ca="1">IF(AJ737&lt;AJ741,AJ739,AJ740)</f>
        <v>200.77159032971426</v>
      </c>
      <c r="AK742" s="111"/>
      <c r="AL742" s="28"/>
      <c r="AM742" s="96">
        <f ca="1">IF(AM737&lt;AM741,AM739,AM740)</f>
        <v>400.9689186861624</v>
      </c>
      <c r="AN742" s="111"/>
      <c r="AO742" s="28"/>
      <c r="AP742" s="96" t="e">
        <f ca="1">IF(AP737&lt;AP741,AP739,AP740)</f>
        <v>#NUM!</v>
      </c>
      <c r="AQ742" s="111"/>
      <c r="AR742" s="28"/>
      <c r="AS742" s="96" t="e">
        <f ca="1">IF(AS737&lt;AS741,AS739,AS740)</f>
        <v>#NUM!</v>
      </c>
      <c r="AT742" s="111"/>
      <c r="AU742" s="28"/>
    </row>
    <row r="743" spans="15:47" x14ac:dyDescent="0.25">
      <c r="O743" s="13" t="s">
        <v>143</v>
      </c>
      <c r="P743" s="1"/>
      <c r="Q743" s="1"/>
      <c r="R743" s="113"/>
      <c r="S743" s="106">
        <f ca="1">IF(R736&lt;=0,Q_max,ABS(R$23-R742))</f>
        <v>4.3836581207483016</v>
      </c>
      <c r="T743" s="7">
        <f>R732</f>
        <v>857.62069370372365</v>
      </c>
      <c r="U743" s="98"/>
      <c r="V743" s="106">
        <f ca="1">IF(U736&lt;=0,Q_max,ABS(U$23-U742))</f>
        <v>3.8093830346584001</v>
      </c>
      <c r="W743" s="9">
        <f ca="1">U732</f>
        <v>19256.910562703917</v>
      </c>
      <c r="X743" s="98"/>
      <c r="Y743" s="106">
        <f ca="1">IF(X736&lt;=0,Q_max,ABS(X$23-X742))</f>
        <v>3.7275523133336321</v>
      </c>
      <c r="Z743" s="9">
        <f ca="1">X732</f>
        <v>47153.100416620298</v>
      </c>
      <c r="AA743" s="98"/>
      <c r="AB743" s="106">
        <f ca="1">IF(AA736&lt;=0,Q_max,ABS(AA$23-AA742))</f>
        <v>0.75338546038747012</v>
      </c>
      <c r="AC743" s="9">
        <f ca="1">AA732</f>
        <v>91842.203998969984</v>
      </c>
      <c r="AD743" s="98"/>
      <c r="AE743" s="106">
        <f ca="1">IF(AD736&lt;=0,Q_max,ABS(AD$23-AD742))</f>
        <v>8.6365446891037152</v>
      </c>
      <c r="AF743" s="9">
        <f ca="1">AD732</f>
        <v>154082.64817181171</v>
      </c>
      <c r="AG743" s="98"/>
      <c r="AH743" s="106">
        <f ca="1">IF(AG736&lt;=0,Q_max,ABS(AG$23-AG742))</f>
        <v>28.591987633225088</v>
      </c>
      <c r="AI743" s="9">
        <f ca="1">AG732</f>
        <v>224887.82162360943</v>
      </c>
      <c r="AJ743" s="98"/>
      <c r="AK743" s="106">
        <f ca="1">IF(AJ736&lt;=0,Q_max,ABS(AJ$23-AJ742))</f>
        <v>79.771590329714257</v>
      </c>
      <c r="AL743" s="9">
        <f ca="1">AJ732</f>
        <v>300113.66974946728</v>
      </c>
      <c r="AM743" s="98"/>
      <c r="AN743" s="106">
        <f ca="1">IF(AM736&lt;=0,Q_max,ABS(AM$23-AM742))</f>
        <v>235.9689186861624</v>
      </c>
      <c r="AO743" s="9">
        <f ca="1">AM732</f>
        <v>366195.71068053338</v>
      </c>
      <c r="AP743" s="98"/>
      <c r="AQ743" s="106">
        <f ca="1">IF(AP736&lt;=0,Q_max,ABS(AP$23-AP742))</f>
        <v>236393</v>
      </c>
      <c r="AR743" s="9">
        <f ca="1">AP732</f>
        <v>425141.85168975306</v>
      </c>
      <c r="AS743" s="98"/>
      <c r="AT743" s="106">
        <f ca="1">IF(AS736&lt;=0,Q_max,ABS(AS$23-AS742))</f>
        <v>236393</v>
      </c>
      <c r="AU743" s="9">
        <f ca="1">AS732</f>
        <v>498512.25635472272</v>
      </c>
    </row>
    <row r="744" spans="15:47" x14ac:dyDescent="0.25">
      <c r="O744" s="21"/>
      <c r="P744" s="14"/>
      <c r="Q744" s="21"/>
      <c r="R744" s="97"/>
      <c r="S744" s="106"/>
      <c r="T744" s="28"/>
      <c r="U744" s="97"/>
      <c r="V744" s="111"/>
      <c r="W744" s="28"/>
      <c r="X744" s="97"/>
      <c r="Y744" s="111"/>
      <c r="Z744" s="28"/>
      <c r="AA744" s="97"/>
      <c r="AB744" s="111"/>
      <c r="AC744" s="28"/>
      <c r="AD744" s="97"/>
      <c r="AE744" s="111"/>
      <c r="AF744" s="28"/>
      <c r="AG744" s="97"/>
      <c r="AH744" s="111"/>
      <c r="AI744" s="28"/>
      <c r="AJ744" s="97"/>
      <c r="AK744" s="111"/>
      <c r="AL744" s="28"/>
      <c r="AM744" s="97"/>
      <c r="AN744" s="111"/>
      <c r="AO744" s="28"/>
      <c r="AP744" s="97"/>
      <c r="AQ744" s="111"/>
      <c r="AR744" s="28"/>
      <c r="AS744" s="97"/>
      <c r="AT744" s="111"/>
      <c r="AU744" s="28"/>
    </row>
    <row r="745" spans="15:47" x14ac:dyDescent="0.25">
      <c r="O745" s="1"/>
      <c r="P745" s="1"/>
      <c r="Q745" s="1"/>
      <c r="R745" s="98"/>
      <c r="S745" s="108" t="s">
        <v>137</v>
      </c>
      <c r="T745" s="26" t="s">
        <v>146</v>
      </c>
      <c r="U745" s="98"/>
      <c r="V745" s="108" t="s">
        <v>137</v>
      </c>
      <c r="W745" s="26" t="s">
        <v>146</v>
      </c>
      <c r="X745" s="98"/>
      <c r="Y745" s="108" t="s">
        <v>137</v>
      </c>
      <c r="Z745" s="26" t="s">
        <v>146</v>
      </c>
      <c r="AA745" s="98"/>
      <c r="AB745" s="108" t="s">
        <v>137</v>
      </c>
      <c r="AC745" s="26" t="s">
        <v>146</v>
      </c>
      <c r="AD745" s="98"/>
      <c r="AE745" s="108" t="s">
        <v>137</v>
      </c>
      <c r="AF745" s="26" t="s">
        <v>146</v>
      </c>
      <c r="AG745" s="98"/>
      <c r="AH745" s="108" t="s">
        <v>137</v>
      </c>
      <c r="AI745" s="26" t="s">
        <v>146</v>
      </c>
      <c r="AJ745" s="98"/>
      <c r="AK745" s="108" t="s">
        <v>137</v>
      </c>
      <c r="AL745" s="26" t="s">
        <v>146</v>
      </c>
      <c r="AM745" s="98"/>
      <c r="AN745" s="108" t="s">
        <v>137</v>
      </c>
      <c r="AO745" s="26" t="s">
        <v>146</v>
      </c>
      <c r="AP745" s="98"/>
      <c r="AQ745" s="108" t="s">
        <v>137</v>
      </c>
      <c r="AR745" s="26" t="s">
        <v>146</v>
      </c>
      <c r="AS745" s="98"/>
      <c r="AT745" s="108" t="s">
        <v>137</v>
      </c>
      <c r="AU745" s="26" t="s">
        <v>146</v>
      </c>
    </row>
    <row r="746" spans="15:47" ht="13.8" x14ac:dyDescent="0.25">
      <c r="O746" s="20" t="s">
        <v>136</v>
      </c>
      <c r="P746" s="1"/>
      <c r="Q746" s="1"/>
      <c r="R746" s="96">
        <f>R732*1.02</f>
        <v>874.7731075777981</v>
      </c>
      <c r="S746" s="109" t="s">
        <v>144</v>
      </c>
      <c r="T746" s="23" t="s">
        <v>147</v>
      </c>
      <c r="U746" s="96">
        <f ca="1">U732*1.01</f>
        <v>19449.479668330958</v>
      </c>
      <c r="V746" s="109" t="s">
        <v>144</v>
      </c>
      <c r="W746" s="23" t="s">
        <v>147</v>
      </c>
      <c r="X746" s="96">
        <f ca="1">X732*1.01</f>
        <v>47624.6314207865</v>
      </c>
      <c r="Y746" s="109" t="s">
        <v>144</v>
      </c>
      <c r="Z746" s="23" t="s">
        <v>147</v>
      </c>
      <c r="AA746" s="96">
        <f ca="1">AA732*1.01</f>
        <v>92760.626038959686</v>
      </c>
      <c r="AB746" s="109" t="s">
        <v>144</v>
      </c>
      <c r="AC746" s="23" t="s">
        <v>147</v>
      </c>
      <c r="AD746" s="96">
        <f ca="1">AD732*1.01</f>
        <v>155623.47465352982</v>
      </c>
      <c r="AE746" s="109" t="s">
        <v>144</v>
      </c>
      <c r="AF746" s="23" t="s">
        <v>147</v>
      </c>
      <c r="AG746" s="96">
        <f ca="1">AG732*1.01</f>
        <v>227136.69983984553</v>
      </c>
      <c r="AH746" s="109" t="s">
        <v>144</v>
      </c>
      <c r="AI746" s="23" t="s">
        <v>147</v>
      </c>
      <c r="AJ746" s="96">
        <f ca="1">AJ732*1.01</f>
        <v>303114.80644696194</v>
      </c>
      <c r="AK746" s="109" t="s">
        <v>144</v>
      </c>
      <c r="AL746" s="23" t="s">
        <v>147</v>
      </c>
      <c r="AM746" s="96">
        <f ca="1">AM732*1.01</f>
        <v>369857.66778733872</v>
      </c>
      <c r="AN746" s="109" t="s">
        <v>144</v>
      </c>
      <c r="AO746" s="23" t="s">
        <v>147</v>
      </c>
      <c r="AP746" s="96">
        <f ca="1">AP732*1.01</f>
        <v>429393.2702066506</v>
      </c>
      <c r="AQ746" s="109" t="s">
        <v>144</v>
      </c>
      <c r="AR746" s="23" t="s">
        <v>147</v>
      </c>
      <c r="AS746" s="96">
        <f ca="1">AS732*1.01</f>
        <v>503497.37891826994</v>
      </c>
      <c r="AT746" s="109" t="s">
        <v>144</v>
      </c>
      <c r="AU746" s="23" t="s">
        <v>147</v>
      </c>
    </row>
    <row r="747" spans="15:47" x14ac:dyDescent="0.25">
      <c r="O747" s="1"/>
      <c r="P747" s="1"/>
      <c r="Q747" s="1"/>
      <c r="R747" s="98"/>
      <c r="S747" s="107"/>
      <c r="T747" s="1"/>
      <c r="U747" s="47"/>
      <c r="V747" s="107"/>
      <c r="W747" s="1"/>
      <c r="X747" s="47"/>
      <c r="Y747" s="107"/>
      <c r="Z747" s="1"/>
      <c r="AA747" s="47"/>
      <c r="AB747" s="107"/>
      <c r="AC747" s="1"/>
      <c r="AD747" s="47"/>
      <c r="AE747" s="107"/>
      <c r="AF747" s="1"/>
      <c r="AG747" s="47"/>
      <c r="AH747" s="107"/>
      <c r="AI747" s="1"/>
      <c r="AJ747" s="47"/>
      <c r="AK747" s="107"/>
      <c r="AL747" s="1"/>
      <c r="AM747" s="47"/>
      <c r="AN747" s="107"/>
      <c r="AO747" s="1"/>
      <c r="AP747" s="47"/>
      <c r="AQ747" s="107"/>
      <c r="AR747" s="1"/>
      <c r="AS747" s="47"/>
      <c r="AT747" s="107"/>
      <c r="AU747" s="1"/>
    </row>
    <row r="748" spans="15:47" x14ac:dyDescent="0.25">
      <c r="O748" s="8" t="s">
        <v>132</v>
      </c>
      <c r="P748" s="8"/>
      <c r="Q748" s="8"/>
      <c r="R748" s="96">
        <f>P_1_minQ-(R746^2*R_up)+dpup_minQ</f>
        <v>90.18490105910486</v>
      </c>
      <c r="S748" s="106"/>
      <c r="T748" s="22"/>
      <c r="U748" s="96">
        <f ca="1">P_1_minQ-(U746^2*R_up)+dpup_minQ</f>
        <v>90.11609446097178</v>
      </c>
      <c r="V748" s="107"/>
      <c r="W748" s="1"/>
      <c r="X748" s="96">
        <f ca="1">P_1_minQ-(X746^2*R_up)+dpup_minQ</f>
        <v>89.771653551850889</v>
      </c>
      <c r="Y748" s="107"/>
      <c r="Z748" s="1"/>
      <c r="AA748" s="96">
        <f ca="1">P_1_minQ-(AA746^2*R_up)+dpup_minQ</f>
        <v>88.616770369770379</v>
      </c>
      <c r="AB748" s="107"/>
      <c r="AC748" s="1"/>
      <c r="AD748" s="96">
        <f ca="1">P_1_minQ-(AD746^2*R_up)+dpup_minQ</f>
        <v>85.770924421947086</v>
      </c>
      <c r="AE748" s="107"/>
      <c r="AF748" s="1"/>
      <c r="AG748" s="96">
        <f ca="1">P_1_minQ-(AG746^2*R_up)+dpup_minQ</f>
        <v>80.782003204126397</v>
      </c>
      <c r="AH748" s="107"/>
      <c r="AI748" s="1"/>
      <c r="AJ748" s="96">
        <f ca="1">P_1_minQ-(AJ746^2*R_up)+dpup_minQ</f>
        <v>73.439165746554195</v>
      </c>
      <c r="AK748" s="107"/>
      <c r="AL748" s="1"/>
      <c r="AM748" s="96">
        <f ca="1">P_1_minQ-(AM746^2*R_up)+dpup_minQ</f>
        <v>65.252714877593107</v>
      </c>
      <c r="AN748" s="107"/>
      <c r="AO748" s="1"/>
      <c r="AP748" s="96">
        <f ca="1">P_1_minQ-(AP746^2*R_up)+dpup_minQ</f>
        <v>56.580032442587701</v>
      </c>
      <c r="AQ748" s="107"/>
      <c r="AR748" s="1"/>
      <c r="AS748" s="96">
        <f ca="1">P_1_minQ-(AS746^2*R_up)+dpup_minQ</f>
        <v>43.980147908154507</v>
      </c>
      <c r="AT748" s="107"/>
      <c r="AU748" s="1"/>
    </row>
    <row r="749" spans="15:47" x14ac:dyDescent="0.25">
      <c r="O749" s="8" t="s">
        <v>134</v>
      </c>
      <c r="P749" s="1"/>
      <c r="Q749" s="8"/>
      <c r="R749" s="97">
        <f>P_2_minQ+(R746^2*R_dn)-dpdn_minQ</f>
        <v>60</v>
      </c>
      <c r="S749" s="106"/>
      <c r="T749" s="22"/>
      <c r="U749" s="97">
        <f ca="1">P_2_minQ+(U746^2*R_dn)-dpdn_minQ</f>
        <v>60</v>
      </c>
      <c r="V749" s="107"/>
      <c r="W749" s="1"/>
      <c r="X749" s="97">
        <f ca="1">P_2_minQ+(X746^2*R_dn)-dpdn_minQ</f>
        <v>60</v>
      </c>
      <c r="Y749" s="107"/>
      <c r="Z749" s="1"/>
      <c r="AA749" s="97">
        <f ca="1">P_2_minQ+(AA746^2*R_dn)-dpdn_minQ</f>
        <v>60</v>
      </c>
      <c r="AB749" s="107"/>
      <c r="AC749" s="1"/>
      <c r="AD749" s="97">
        <f ca="1">P_2_minQ+(AD746^2*R_dn)-dpdn_minQ</f>
        <v>60</v>
      </c>
      <c r="AE749" s="107"/>
      <c r="AF749" s="1"/>
      <c r="AG749" s="97">
        <f ca="1">P_2_minQ+(AG746^2*R_dn)-dpdn_minQ</f>
        <v>60</v>
      </c>
      <c r="AH749" s="107"/>
      <c r="AI749" s="1"/>
      <c r="AJ749" s="97">
        <f ca="1">P_2_minQ+(AJ746^2*R_dn)-dpdn_minQ</f>
        <v>60</v>
      </c>
      <c r="AK749" s="107"/>
      <c r="AL749" s="1"/>
      <c r="AM749" s="97">
        <f ca="1">P_2_minQ+(AM746^2*R_dn)-dpdn_minQ</f>
        <v>60</v>
      </c>
      <c r="AN749" s="107"/>
      <c r="AO749" s="1"/>
      <c r="AP749" s="97">
        <f ca="1">P_2_minQ+(AP746^2*R_dn)-dpdn_minQ</f>
        <v>60</v>
      </c>
      <c r="AQ749" s="107"/>
      <c r="AR749" s="1"/>
      <c r="AS749" s="97">
        <f ca="1">P_2_minQ+(AS746^2*R_dn)-dpdn_minQ</f>
        <v>60</v>
      </c>
      <c r="AT749" s="107"/>
      <c r="AU749" s="1"/>
    </row>
    <row r="750" spans="15:47" x14ac:dyDescent="0.25">
      <c r="O750" s="8" t="s">
        <v>138</v>
      </c>
      <c r="P750" s="1"/>
      <c r="Q750" s="8"/>
      <c r="R750" s="97">
        <f>R748-R749</f>
        <v>30.18490105910486</v>
      </c>
      <c r="S750" s="106"/>
      <c r="T750" s="22"/>
      <c r="U750" s="97">
        <f ca="1">U748-U749</f>
        <v>30.11609446097178</v>
      </c>
      <c r="V750" s="110"/>
      <c r="W750" s="25"/>
      <c r="X750" s="97">
        <f ca="1">X748-X749</f>
        <v>29.771653551850889</v>
      </c>
      <c r="Y750" s="110"/>
      <c r="Z750" s="25"/>
      <c r="AA750" s="97">
        <f ca="1">AA748-AA749</f>
        <v>28.616770369770379</v>
      </c>
      <c r="AB750" s="110"/>
      <c r="AC750" s="25"/>
      <c r="AD750" s="97">
        <f ca="1">AD748-AD749</f>
        <v>25.770924421947086</v>
      </c>
      <c r="AE750" s="110"/>
      <c r="AF750" s="25"/>
      <c r="AG750" s="97">
        <f ca="1">AG748-AG749</f>
        <v>20.782003204126397</v>
      </c>
      <c r="AH750" s="110"/>
      <c r="AI750" s="25"/>
      <c r="AJ750" s="97">
        <f ca="1">AJ748-AJ749</f>
        <v>13.439165746554195</v>
      </c>
      <c r="AK750" s="110"/>
      <c r="AL750" s="25"/>
      <c r="AM750" s="97">
        <f ca="1">AM748-AM749</f>
        <v>5.2527148775931067</v>
      </c>
      <c r="AN750" s="110"/>
      <c r="AO750" s="25"/>
      <c r="AP750" s="97">
        <f ca="1">AP748-AP749</f>
        <v>-3.4199675574122992</v>
      </c>
      <c r="AQ750" s="110"/>
      <c r="AR750" s="25"/>
      <c r="AS750" s="97">
        <f ca="1">AS748-AS749</f>
        <v>-16.019852091845493</v>
      </c>
      <c r="AT750" s="110"/>
      <c r="AU750" s="25"/>
    </row>
    <row r="751" spans="15:47" ht="14.4" x14ac:dyDescent="0.3">
      <c r="O751" s="2" t="s">
        <v>140</v>
      </c>
      <c r="P751" s="11"/>
      <c r="Q751" s="2"/>
      <c r="R751" s="96">
        <f>R750/R748</f>
        <v>0.3347001627170656</v>
      </c>
      <c r="S751" s="106"/>
      <c r="T751" s="22"/>
      <c r="U751" s="96">
        <f ca="1">U750/U748</f>
        <v>0.33419218443842685</v>
      </c>
      <c r="V751" s="111"/>
      <c r="W751" s="28"/>
      <c r="X751" s="96">
        <f ca="1">X750/X748</f>
        <v>0.33163757571486846</v>
      </c>
      <c r="Y751" s="111"/>
      <c r="Z751" s="28"/>
      <c r="AA751" s="96">
        <f ca="1">AA750/AA748</f>
        <v>0.32292725463094002</v>
      </c>
      <c r="AB751" s="111"/>
      <c r="AC751" s="28"/>
      <c r="AD751" s="96">
        <f ca="1">AD750/AD748</f>
        <v>0.30046224400203403</v>
      </c>
      <c r="AE751" s="111"/>
      <c r="AF751" s="28"/>
      <c r="AG751" s="96">
        <f ca="1">AG750/AG748</f>
        <v>0.25726031021554119</v>
      </c>
      <c r="AH751" s="111"/>
      <c r="AI751" s="28"/>
      <c r="AJ751" s="96">
        <f ca="1">AJ750/AJ748</f>
        <v>0.18299725507413961</v>
      </c>
      <c r="AK751" s="111"/>
      <c r="AL751" s="28"/>
      <c r="AM751" s="96">
        <f ca="1">AM750/AM748</f>
        <v>8.0498028127206966E-2</v>
      </c>
      <c r="AN751" s="111"/>
      <c r="AO751" s="28"/>
      <c r="AP751" s="96">
        <f ca="1">AP750/AP748</f>
        <v>-6.0444779010732683E-2</v>
      </c>
      <c r="AQ751" s="111"/>
      <c r="AR751" s="28"/>
      <c r="AS751" s="96">
        <f ca="1">AS750/AS748</f>
        <v>-0.36425189213325038</v>
      </c>
      <c r="AT751" s="111"/>
      <c r="AU751" s="28"/>
    </row>
    <row r="752" spans="15:47" x14ac:dyDescent="0.25">
      <c r="O752" s="2" t="s">
        <v>21</v>
      </c>
      <c r="P752" s="8">
        <v>12</v>
      </c>
      <c r="Q752" s="2"/>
      <c r="R752" s="96">
        <f ca="1">1-R751/(3*F_GAMMA*R$29)</f>
        <v>0.82568508720910527</v>
      </c>
      <c r="S752" s="106"/>
      <c r="T752" s="22"/>
      <c r="U752" s="96">
        <f ca="1">1-U751/(3*F_GAMMA*U$29)</f>
        <v>0.82599008146740982</v>
      </c>
      <c r="V752" s="111"/>
      <c r="W752" s="28"/>
      <c r="X752" s="96">
        <f ca="1">1-X751/(3*F_GAMMA*X$29)</f>
        <v>0.82567559419066272</v>
      </c>
      <c r="Y752" s="111"/>
      <c r="Z752" s="28"/>
      <c r="AA752" s="96">
        <f ca="1">1-AA751/(3*F_GAMMA*AA$29)</f>
        <v>0.827861399876898</v>
      </c>
      <c r="AB752" s="111"/>
      <c r="AC752" s="28"/>
      <c r="AD752" s="96">
        <f ca="1">1-AD751/(3*F_GAMMA*AD$29)</f>
        <v>0.83486918983420466</v>
      </c>
      <c r="AE752" s="111"/>
      <c r="AF752" s="28"/>
      <c r="AG752" s="96">
        <f ca="1">1-AG751/(3*F_GAMMA*AG$29)</f>
        <v>0.85012838381072831</v>
      </c>
      <c r="AH752" s="111"/>
      <c r="AI752" s="28"/>
      <c r="AJ752" s="96">
        <f ca="1">1-AJ751/(3*F_GAMMA*AJ$29)</f>
        <v>0.88530402278841114</v>
      </c>
      <c r="AK752" s="111"/>
      <c r="AL752" s="28"/>
      <c r="AM752" s="96">
        <f ca="1">1-AM751/(3*F_GAMMA*AM$29)</f>
        <v>0.94358914574479946</v>
      </c>
      <c r="AN752" s="111"/>
      <c r="AO752" s="28"/>
      <c r="AP752" s="96">
        <f ca="1">1-AP751/(3*F_GAMMA*AP$29)</f>
        <v>1.0341182742451609</v>
      </c>
      <c r="AQ752" s="111"/>
      <c r="AR752" s="28"/>
      <c r="AS752" s="96">
        <f ca="1">1-AS751/(3*F_GAMMA*AS$29)</f>
        <v>1.3223268782027928</v>
      </c>
      <c r="AT752" s="111"/>
      <c r="AU752" s="28"/>
    </row>
    <row r="753" spans="15:47" x14ac:dyDescent="0.25">
      <c r="O753" s="2" t="s">
        <v>57</v>
      </c>
      <c r="P753" s="143">
        <v>7</v>
      </c>
      <c r="Q753" s="2"/>
      <c r="R753" s="96">
        <f ca="1">(R746/(N_9*R$27*R748*R752))*SQRT(M*'Valve Sizing'!$W$6*'Valve Sizing'!$G$8/R751)</f>
        <v>0.35326875023353432</v>
      </c>
      <c r="S753" s="107"/>
      <c r="T753" s="22"/>
      <c r="U753" s="96">
        <f ca="1">(U746/(N_9*U$27*U748*U752))*SQRT(M*'Valve Sizing'!$W$6*'Valve Sizing'!$G$8/U751)</f>
        <v>7.8687101279876996</v>
      </c>
      <c r="V753" s="111"/>
      <c r="W753" s="28"/>
      <c r="X753" s="96">
        <f ca="1">(X746/(N_9*X$27*X748*X752))*SQRT(M*'Valve Sizing'!$W$6*'Valve Sizing'!$G$8/X751)</f>
        <v>19.467966377191701</v>
      </c>
      <c r="Y753" s="111"/>
      <c r="Z753" s="28"/>
      <c r="AA753" s="96">
        <f ca="1">(AA746/(N_9*AA$27*AA748*AA752))*SQRT(M*'Valve Sizing'!$W$6*'Valve Sizing'!$G$8/AA751)</f>
        <v>39.055021955689384</v>
      </c>
      <c r="AB753" s="111"/>
      <c r="AC753" s="28"/>
      <c r="AD753" s="96">
        <f ca="1">(AD746/(N_9*AD$27*AD748*AD752))*SQRT(M*'Valve Sizing'!$W$6*'Valve Sizing'!$G$8/AD751)</f>
        <v>70.454324553144858</v>
      </c>
      <c r="AE753" s="111"/>
      <c r="AF753" s="28"/>
      <c r="AG753" s="96">
        <f ca="1">(AG746/(N_9*AG$27*AG748*AG752))*SQRT(M*'Valve Sizing'!$W$6*'Valve Sizing'!$G$8/AG751)</f>
        <v>118.48220327809256</v>
      </c>
      <c r="AH753" s="111"/>
      <c r="AI753" s="28"/>
      <c r="AJ753" s="96">
        <f ca="1">(AJ746/(N_9*AJ$27*AJ748*AJ752))*SQRT(M*'Valve Sizing'!$W$6*'Valve Sizing'!$G$8/AJ751)</f>
        <v>205.18191074912048</v>
      </c>
      <c r="AK753" s="111"/>
      <c r="AL753" s="28"/>
      <c r="AM753" s="96">
        <f ca="1">(AM746/(N_9*AM$27*AM748*AM752))*SQRT(M*'Valve Sizing'!$W$6*'Valve Sizing'!$G$8/AM751)</f>
        <v>422.91545382578096</v>
      </c>
      <c r="AN753" s="111"/>
      <c r="AO753" s="28"/>
      <c r="AP753" s="96" t="e">
        <f ca="1">(AP746/(N_9*AP$27*AP748*AP752))*SQRT(M*'Valve Sizing'!$W$6*'Valve Sizing'!$G$8/AP751)</f>
        <v>#NUM!</v>
      </c>
      <c r="AQ753" s="111"/>
      <c r="AR753" s="28"/>
      <c r="AS753" s="96" t="e">
        <f ca="1">(AS746/(N_9*AS$27*AS748*AS752))*SQRT(M*'Valve Sizing'!$W$6*'Valve Sizing'!$G$8/AS751)</f>
        <v>#NUM!</v>
      </c>
      <c r="AT753" s="111"/>
      <c r="AU753" s="28"/>
    </row>
    <row r="754" spans="15:47" x14ac:dyDescent="0.25">
      <c r="O754" s="2" t="s">
        <v>59</v>
      </c>
      <c r="P754" s="143">
        <v>7</v>
      </c>
      <c r="Q754" s="2"/>
      <c r="R754" s="96">
        <f ca="1">(R746/(N_9*R$27*R748*0.667))*SQRT(M*'Valve Sizing'!$W$6*'Valve Sizing'!$G$8/R755)</f>
        <v>0.3162435872287262</v>
      </c>
      <c r="S754" s="107"/>
      <c r="T754" s="22"/>
      <c r="U754" s="96">
        <f ca="1">(U746/(N_9*U$27*U748*0.667))*SQRT(M*'Valve Sizing'!$W$6*'Valve Sizing'!$G$8/U755)</f>
        <v>7.0404460423862769</v>
      </c>
      <c r="V754" s="111"/>
      <c r="W754" s="28"/>
      <c r="X754" s="96">
        <f ca="1">(X746/(N_9*X$27*X748*0.667))*SQRT(M*'Valve Sizing'!$W$6*'Valve Sizing'!$G$8/X755)</f>
        <v>17.427854496277813</v>
      </c>
      <c r="Y754" s="111"/>
      <c r="Z754" s="28"/>
      <c r="AA754" s="96">
        <f ca="1">(AA746/(N_9*AA$27*AA748*0.667))*SQRT(M*'Valve Sizing'!$W$6*'Valve Sizing'!$G$8/AA755)</f>
        <v>34.834408997742514</v>
      </c>
      <c r="AB754" s="111"/>
      <c r="AC754" s="28"/>
      <c r="AD754" s="96">
        <f ca="1">(AD746/(N_9*AD$27*AD748*0.667))*SQRT(M*'Valve Sizing'!$W$6*'Valve Sizing'!$G$8/AD755)</f>
        <v>62.069027229269068</v>
      </c>
      <c r="AE754" s="111"/>
      <c r="AF754" s="28"/>
      <c r="AG754" s="96">
        <f ca="1">(AG746/(N_9*AG$27*AG748*0.667))*SQRT(M*'Valve Sizing'!$W$6*'Valve Sizing'!$G$8/AG755)</f>
        <v>101.25864859318261</v>
      </c>
      <c r="AH754" s="111"/>
      <c r="AI754" s="28"/>
      <c r="AJ754" s="96">
        <f ca="1">(AJ746/(N_9*AJ$27*AJ748*0.667))*SQRT(M*'Valve Sizing'!$W$6*'Valve Sizing'!$G$8/AJ755)</f>
        <v>159.74982604125179</v>
      </c>
      <c r="AK754" s="111"/>
      <c r="AL754" s="28"/>
      <c r="AM754" s="96">
        <f ca="1">(AM746/(N_9*AM$27*AM748*0.667))*SQRT(M*'Valve Sizing'!$W$6*'Valve Sizing'!$G$8/AM755)</f>
        <v>246.1232398155019</v>
      </c>
      <c r="AN754" s="111"/>
      <c r="AO754" s="28"/>
      <c r="AP754" s="96">
        <f ca="1">(AP746/(N_9*AP$27*AP748*0.667))*SQRT(M*'Valve Sizing'!$W$6*'Valve Sizing'!$G$8/AP755)</f>
        <v>336.62820614392837</v>
      </c>
      <c r="AQ754" s="111"/>
      <c r="AR754" s="28"/>
      <c r="AS754" s="96">
        <f ca="1">(AS746/(N_9*AS$27*AS748*0.667))*SQRT(M*'Valve Sizing'!$W$6*'Valve Sizing'!$G$8/AS755)</f>
        <v>851.60701764147257</v>
      </c>
      <c r="AT754" s="111"/>
      <c r="AU754" s="28"/>
    </row>
    <row r="755" spans="15:47" ht="15.6" x14ac:dyDescent="0.35">
      <c r="O755" s="2" t="s">
        <v>68</v>
      </c>
      <c r="P755" s="143">
        <v>10</v>
      </c>
      <c r="Q755" s="2"/>
      <c r="R755" s="96">
        <f ca="1">F_GAMMA*R$29</f>
        <v>0.64002969751372984</v>
      </c>
      <c r="S755" s="107"/>
      <c r="T755" s="1"/>
      <c r="U755" s="96">
        <f ca="1">F_GAMMA*U$29</f>
        <v>0.64017842058782071</v>
      </c>
      <c r="V755" s="111"/>
      <c r="W755" s="28"/>
      <c r="X755" s="96">
        <f ca="1">F_GAMMA*X$29</f>
        <v>0.63413873724904268</v>
      </c>
      <c r="Y755" s="111"/>
      <c r="Z755" s="28"/>
      <c r="AA755" s="96">
        <f ca="1">F_GAMMA*AA$29</f>
        <v>0.62532411750377137</v>
      </c>
      <c r="AB755" s="111"/>
      <c r="AC755" s="28"/>
      <c r="AD755" s="96">
        <f ca="1">F_GAMMA*AD$29</f>
        <v>0.60651359509139569</v>
      </c>
      <c r="AE755" s="111"/>
      <c r="AF755" s="28"/>
      <c r="AG755" s="96">
        <f ca="1">F_GAMMA*AG$29</f>
        <v>0.57217930198481592</v>
      </c>
      <c r="AH755" s="111"/>
      <c r="AI755" s="28"/>
      <c r="AJ755" s="96">
        <f ca="1">F_GAMMA*AJ$29</f>
        <v>0.53183282018848232</v>
      </c>
      <c r="AK755" s="111"/>
      <c r="AL755" s="28"/>
      <c r="AM755" s="96">
        <f ca="1">F_GAMMA*AM$29</f>
        <v>0.47566512503094399</v>
      </c>
      <c r="AN755" s="111"/>
      <c r="AO755" s="28"/>
      <c r="AP755" s="96">
        <f ca="1">F_GAMMA*AP$29</f>
        <v>0.59054158265645496</v>
      </c>
      <c r="AQ755" s="111"/>
      <c r="AR755" s="28"/>
      <c r="AS755" s="96">
        <f ca="1">F_GAMMA*AS$29</f>
        <v>0.3766899554102966</v>
      </c>
      <c r="AT755" s="111"/>
      <c r="AU755" s="28"/>
    </row>
    <row r="756" spans="15:47" x14ac:dyDescent="0.25">
      <c r="O756" s="2" t="s">
        <v>145</v>
      </c>
      <c r="P756" s="12"/>
      <c r="Q756" s="2"/>
      <c r="R756" s="96">
        <f ca="1">IF(R751&lt;R755,R753,R754)</f>
        <v>0.35326875023353432</v>
      </c>
      <c r="S756" s="116"/>
      <c r="T756" s="1"/>
      <c r="U756" s="96">
        <f ca="1">IF(U751&lt;U755,U753,U754)</f>
        <v>7.8687101279876996</v>
      </c>
      <c r="V756" s="111"/>
      <c r="W756" s="28"/>
      <c r="X756" s="96">
        <f ca="1">IF(X751&lt;X755,X753,X754)</f>
        <v>19.467966377191701</v>
      </c>
      <c r="Y756" s="111"/>
      <c r="Z756" s="28"/>
      <c r="AA756" s="96">
        <f ca="1">IF(AA751&lt;AA755,AA753,AA754)</f>
        <v>39.055021955689384</v>
      </c>
      <c r="AB756" s="111"/>
      <c r="AC756" s="28"/>
      <c r="AD756" s="96">
        <f ca="1">IF(AD751&lt;AD755,AD753,AD754)</f>
        <v>70.454324553144858</v>
      </c>
      <c r="AE756" s="111"/>
      <c r="AF756" s="28"/>
      <c r="AG756" s="96">
        <f ca="1">IF(AG751&lt;AG755,AG753,AG754)</f>
        <v>118.48220327809256</v>
      </c>
      <c r="AH756" s="111"/>
      <c r="AI756" s="28"/>
      <c r="AJ756" s="96">
        <f ca="1">IF(AJ751&lt;AJ755,AJ753,AJ754)</f>
        <v>205.18191074912048</v>
      </c>
      <c r="AK756" s="111"/>
      <c r="AL756" s="28"/>
      <c r="AM756" s="96">
        <f ca="1">IF(AM751&lt;AM755,AM753,AM754)</f>
        <v>422.91545382578096</v>
      </c>
      <c r="AN756" s="111"/>
      <c r="AO756" s="28"/>
      <c r="AP756" s="96" t="e">
        <f ca="1">IF(AP751&lt;AP755,AP753,AP754)</f>
        <v>#NUM!</v>
      </c>
      <c r="AQ756" s="111"/>
      <c r="AR756" s="28"/>
      <c r="AS756" s="96" t="e">
        <f ca="1">IF(AS751&lt;AS755,AS753,AS754)</f>
        <v>#NUM!</v>
      </c>
      <c r="AT756" s="111"/>
      <c r="AU756" s="28"/>
    </row>
    <row r="757" spans="15:47" x14ac:dyDescent="0.25">
      <c r="O757" s="13" t="s">
        <v>143</v>
      </c>
      <c r="P757" s="1"/>
      <c r="Q757" s="1"/>
      <c r="R757" s="113"/>
      <c r="S757" s="106">
        <f ca="1">IF(R750&lt;=0,Q_max,ABS(R$23-R756))</f>
        <v>4.3767312497664665</v>
      </c>
      <c r="T757" s="7">
        <f>R746</f>
        <v>874.7731075777981</v>
      </c>
      <c r="U757" s="98"/>
      <c r="V757" s="106">
        <f ca="1">IF(U750&lt;=0,Q_max,ABS(U$23-U756))</f>
        <v>3.7312898720123</v>
      </c>
      <c r="W757" s="9">
        <f ca="1">U746</f>
        <v>19449.479668330958</v>
      </c>
      <c r="X757" s="98"/>
      <c r="Y757" s="106">
        <f ca="1">IF(X750&lt;=0,Q_max,ABS(X$23-X756))</f>
        <v>3.5320336228082994</v>
      </c>
      <c r="Z757" s="9">
        <f ca="1">X746</f>
        <v>47624.6314207865</v>
      </c>
      <c r="AA757" s="98"/>
      <c r="AB757" s="106">
        <f ca="1">IF(AA750&lt;=0,Q_max,ABS(AA$23-AA756))</f>
        <v>0.34497804431061496</v>
      </c>
      <c r="AC757" s="9">
        <f ca="1">AA746</f>
        <v>92760.626038959686</v>
      </c>
      <c r="AD757" s="98"/>
      <c r="AE757" s="106">
        <f ca="1">IF(AD750&lt;=0,Q_max,ABS(AD$23-AD756))</f>
        <v>9.4543245531448576</v>
      </c>
      <c r="AF757" s="9">
        <f ca="1">AD746</f>
        <v>155623.47465352982</v>
      </c>
      <c r="AG757" s="98"/>
      <c r="AH757" s="106">
        <f ca="1">IF(AG750&lt;=0,Q_max,ABS(AG$23-AG756))</f>
        <v>30.282203278092553</v>
      </c>
      <c r="AI757" s="9">
        <f ca="1">AG746</f>
        <v>227136.69983984553</v>
      </c>
      <c r="AJ757" s="98"/>
      <c r="AK757" s="106">
        <f ca="1">IF(AJ750&lt;=0,Q_max,ABS(AJ$23-AJ756))</f>
        <v>84.181910749120476</v>
      </c>
      <c r="AL757" s="9">
        <f ca="1">AJ746</f>
        <v>303114.80644696194</v>
      </c>
      <c r="AM757" s="98"/>
      <c r="AN757" s="106">
        <f ca="1">IF(AM750&lt;=0,Q_max,ABS(AM$23-AM756))</f>
        <v>257.91545382578096</v>
      </c>
      <c r="AO757" s="9">
        <f ca="1">AM746</f>
        <v>369857.66778733872</v>
      </c>
      <c r="AP757" s="98"/>
      <c r="AQ757" s="106">
        <f ca="1">IF(AP750&lt;=0,Q_max,ABS(AP$23-AP756))</f>
        <v>236393</v>
      </c>
      <c r="AR757" s="9">
        <f ca="1">AP746</f>
        <v>429393.2702066506</v>
      </c>
      <c r="AS757" s="98"/>
      <c r="AT757" s="106">
        <f ca="1">IF(AS750&lt;=0,Q_max,ABS(AS$23-AS756))</f>
        <v>236393</v>
      </c>
      <c r="AU757" s="9">
        <f ca="1">AS746</f>
        <v>503497.37891826994</v>
      </c>
    </row>
    <row r="758" spans="15:47" x14ac:dyDescent="0.25">
      <c r="O758" s="21"/>
      <c r="P758" s="14"/>
      <c r="Q758" s="21"/>
      <c r="R758" s="97"/>
      <c r="S758" s="106"/>
      <c r="T758" s="28"/>
      <c r="U758" s="97"/>
      <c r="V758" s="111"/>
      <c r="W758" s="28"/>
      <c r="X758" s="97"/>
      <c r="Y758" s="111"/>
      <c r="Z758" s="28"/>
      <c r="AA758" s="97"/>
      <c r="AB758" s="111"/>
      <c r="AC758" s="28"/>
      <c r="AD758" s="97"/>
      <c r="AE758" s="111"/>
      <c r="AF758" s="28"/>
      <c r="AG758" s="97"/>
      <c r="AH758" s="111"/>
      <c r="AI758" s="28"/>
      <c r="AJ758" s="97"/>
      <c r="AK758" s="111"/>
      <c r="AL758" s="28"/>
      <c r="AM758" s="97"/>
      <c r="AN758" s="111"/>
      <c r="AO758" s="28"/>
      <c r="AP758" s="97"/>
      <c r="AQ758" s="111"/>
      <c r="AR758" s="28"/>
      <c r="AS758" s="97"/>
      <c r="AT758" s="111"/>
      <c r="AU758" s="28"/>
    </row>
    <row r="759" spans="15:47" x14ac:dyDescent="0.25">
      <c r="O759" s="1"/>
      <c r="P759" s="1"/>
      <c r="Q759" s="1"/>
      <c r="R759" s="98"/>
      <c r="S759" s="108" t="s">
        <v>137</v>
      </c>
      <c r="T759" s="26" t="s">
        <v>146</v>
      </c>
      <c r="U759" s="98"/>
      <c r="V759" s="108" t="s">
        <v>137</v>
      </c>
      <c r="W759" s="26" t="s">
        <v>146</v>
      </c>
      <c r="X759" s="98"/>
      <c r="Y759" s="108" t="s">
        <v>137</v>
      </c>
      <c r="Z759" s="26" t="s">
        <v>146</v>
      </c>
      <c r="AA759" s="98"/>
      <c r="AB759" s="108" t="s">
        <v>137</v>
      </c>
      <c r="AC759" s="26" t="s">
        <v>146</v>
      </c>
      <c r="AD759" s="98"/>
      <c r="AE759" s="108" t="s">
        <v>137</v>
      </c>
      <c r="AF759" s="26" t="s">
        <v>146</v>
      </c>
      <c r="AG759" s="98"/>
      <c r="AH759" s="108" t="s">
        <v>137</v>
      </c>
      <c r="AI759" s="26" t="s">
        <v>146</v>
      </c>
      <c r="AJ759" s="98"/>
      <c r="AK759" s="108" t="s">
        <v>137</v>
      </c>
      <c r="AL759" s="26" t="s">
        <v>146</v>
      </c>
      <c r="AM759" s="98"/>
      <c r="AN759" s="108" t="s">
        <v>137</v>
      </c>
      <c r="AO759" s="26" t="s">
        <v>146</v>
      </c>
      <c r="AP759" s="98"/>
      <c r="AQ759" s="108" t="s">
        <v>137</v>
      </c>
      <c r="AR759" s="26" t="s">
        <v>146</v>
      </c>
      <c r="AS759" s="98"/>
      <c r="AT759" s="108" t="s">
        <v>137</v>
      </c>
      <c r="AU759" s="26" t="s">
        <v>146</v>
      </c>
    </row>
    <row r="760" spans="15:47" ht="13.8" x14ac:dyDescent="0.25">
      <c r="O760" s="20" t="s">
        <v>136</v>
      </c>
      <c r="P760" s="1"/>
      <c r="Q760" s="1"/>
      <c r="R760" s="96">
        <f>R746*1.02</f>
        <v>892.26856972935411</v>
      </c>
      <c r="S760" s="109" t="s">
        <v>144</v>
      </c>
      <c r="T760" s="23" t="s">
        <v>147</v>
      </c>
      <c r="U760" s="96">
        <f ca="1">U746*1.01</f>
        <v>19643.974465014267</v>
      </c>
      <c r="V760" s="109" t="s">
        <v>144</v>
      </c>
      <c r="W760" s="23" t="s">
        <v>147</v>
      </c>
      <c r="X760" s="96">
        <f ca="1">X746*1.01</f>
        <v>48100.877734994363</v>
      </c>
      <c r="Y760" s="109" t="s">
        <v>144</v>
      </c>
      <c r="Z760" s="23" t="s">
        <v>147</v>
      </c>
      <c r="AA760" s="96">
        <f ca="1">AA746*1.01</f>
        <v>93688.232299349285</v>
      </c>
      <c r="AB760" s="109" t="s">
        <v>144</v>
      </c>
      <c r="AC760" s="23" t="s">
        <v>147</v>
      </c>
      <c r="AD760" s="96">
        <f ca="1">AD746*1.01</f>
        <v>157179.70940006513</v>
      </c>
      <c r="AE760" s="109" t="s">
        <v>144</v>
      </c>
      <c r="AF760" s="23" t="s">
        <v>147</v>
      </c>
      <c r="AG760" s="96">
        <f ca="1">AG746*1.01</f>
        <v>229408.06683824398</v>
      </c>
      <c r="AH760" s="109" t="s">
        <v>144</v>
      </c>
      <c r="AI760" s="23" t="s">
        <v>147</v>
      </c>
      <c r="AJ760" s="96">
        <f ca="1">AJ746*1.01</f>
        <v>306145.95451143157</v>
      </c>
      <c r="AK760" s="109" t="s">
        <v>144</v>
      </c>
      <c r="AL760" s="23" t="s">
        <v>147</v>
      </c>
      <c r="AM760" s="96">
        <f ca="1">AM746*1.01</f>
        <v>373556.2444652121</v>
      </c>
      <c r="AN760" s="109" t="s">
        <v>144</v>
      </c>
      <c r="AO760" s="23" t="s">
        <v>147</v>
      </c>
      <c r="AP760" s="96">
        <f ca="1">AP746*1.01</f>
        <v>433687.2029087171</v>
      </c>
      <c r="AQ760" s="109" t="s">
        <v>144</v>
      </c>
      <c r="AR760" s="23" t="s">
        <v>147</v>
      </c>
      <c r="AS760" s="96">
        <f ca="1">AS746*1.01</f>
        <v>508532.35270745266</v>
      </c>
      <c r="AT760" s="109" t="s">
        <v>144</v>
      </c>
      <c r="AU760" s="23" t="s">
        <v>147</v>
      </c>
    </row>
    <row r="761" spans="15:47" x14ac:dyDescent="0.25">
      <c r="O761" s="1"/>
      <c r="P761" s="1"/>
      <c r="Q761" s="1"/>
      <c r="R761" s="98"/>
      <c r="S761" s="107"/>
      <c r="T761" s="1"/>
      <c r="U761" s="47"/>
      <c r="V761" s="107"/>
      <c r="W761" s="1"/>
      <c r="X761" s="47"/>
      <c r="Y761" s="107"/>
      <c r="Z761" s="1"/>
      <c r="AA761" s="47"/>
      <c r="AB761" s="107"/>
      <c r="AC761" s="1"/>
      <c r="AD761" s="47"/>
      <c r="AE761" s="107"/>
      <c r="AF761" s="1"/>
      <c r="AG761" s="47"/>
      <c r="AH761" s="107"/>
      <c r="AI761" s="1"/>
      <c r="AJ761" s="47"/>
      <c r="AK761" s="107"/>
      <c r="AL761" s="1"/>
      <c r="AM761" s="47"/>
      <c r="AN761" s="107"/>
      <c r="AO761" s="1"/>
      <c r="AP761" s="47"/>
      <c r="AQ761" s="107"/>
      <c r="AR761" s="1"/>
      <c r="AS761" s="47"/>
      <c r="AT761" s="107"/>
      <c r="AU761" s="1"/>
    </row>
    <row r="762" spans="15:47" x14ac:dyDescent="0.25">
      <c r="O762" s="8" t="s">
        <v>132</v>
      </c>
      <c r="P762" s="8"/>
      <c r="Q762" s="8"/>
      <c r="R762" s="96">
        <f>P_1_minQ-(R760^2*R_up)+dpup_minQ</f>
        <v>90.184895424470369</v>
      </c>
      <c r="S762" s="106"/>
      <c r="T762" s="22"/>
      <c r="U762" s="96">
        <f ca="1">P_1_minQ-(U760^2*R_up)+dpup_minQ</f>
        <v>90.114708644979174</v>
      </c>
      <c r="V762" s="107"/>
      <c r="W762" s="1"/>
      <c r="X762" s="96">
        <f ca="1">P_1_minQ-(X760^2*R_up)+dpup_minQ</f>
        <v>89.763344473584951</v>
      </c>
      <c r="Y762" s="107"/>
      <c r="Z762" s="1"/>
      <c r="AA762" s="96">
        <f ca="1">P_1_minQ-(AA760^2*R_up)+dpup_minQ</f>
        <v>88.585248139544618</v>
      </c>
      <c r="AB762" s="107"/>
      <c r="AC762" s="1"/>
      <c r="AD762" s="96">
        <f ca="1">P_1_minQ-(AD760^2*R_up)+dpup_minQ</f>
        <v>85.682200688170084</v>
      </c>
      <c r="AE762" s="107"/>
      <c r="AF762" s="1"/>
      <c r="AG762" s="96">
        <f ca="1">P_1_minQ-(AG760^2*R_up)+dpup_minQ</f>
        <v>80.593002153871197</v>
      </c>
      <c r="AH762" s="107"/>
      <c r="AI762" s="1"/>
      <c r="AJ762" s="96">
        <f ca="1">P_1_minQ-(AJ760^2*R_up)+dpup_minQ</f>
        <v>73.102573663401799</v>
      </c>
      <c r="AK762" s="107"/>
      <c r="AL762" s="1"/>
      <c r="AM762" s="96">
        <f ca="1">P_1_minQ-(AM760^2*R_up)+dpup_minQ</f>
        <v>64.75157513197459</v>
      </c>
      <c r="AN762" s="107"/>
      <c r="AO762" s="1"/>
      <c r="AP762" s="96">
        <f ca="1">P_1_minQ-(AP760^2*R_up)+dpup_minQ</f>
        <v>55.904571780025584</v>
      </c>
      <c r="AQ762" s="107"/>
      <c r="AR762" s="1"/>
      <c r="AS762" s="96">
        <f ca="1">P_1_minQ-(AS760^2*R_up)+dpup_minQ</f>
        <v>43.051429566450274</v>
      </c>
      <c r="AT762" s="107"/>
      <c r="AU762" s="1"/>
    </row>
    <row r="763" spans="15:47" x14ac:dyDescent="0.25">
      <c r="O763" s="8" t="s">
        <v>134</v>
      </c>
      <c r="P763" s="1"/>
      <c r="Q763" s="8"/>
      <c r="R763" s="97">
        <f>P_2_minQ+(R760^2*R_dn)-dpdn_minQ</f>
        <v>60</v>
      </c>
      <c r="S763" s="106"/>
      <c r="T763" s="22"/>
      <c r="U763" s="97">
        <f ca="1">P_2_minQ+(U760^2*R_dn)-dpdn_minQ</f>
        <v>60</v>
      </c>
      <c r="V763" s="107"/>
      <c r="W763" s="1"/>
      <c r="X763" s="97">
        <f ca="1">P_2_minQ+(X760^2*R_dn)-dpdn_minQ</f>
        <v>60</v>
      </c>
      <c r="Y763" s="107"/>
      <c r="Z763" s="1"/>
      <c r="AA763" s="97">
        <f ca="1">P_2_minQ+(AA760^2*R_dn)-dpdn_minQ</f>
        <v>60</v>
      </c>
      <c r="AB763" s="107"/>
      <c r="AC763" s="1"/>
      <c r="AD763" s="97">
        <f ca="1">P_2_minQ+(AD760^2*R_dn)-dpdn_minQ</f>
        <v>60</v>
      </c>
      <c r="AE763" s="107"/>
      <c r="AF763" s="1"/>
      <c r="AG763" s="97">
        <f ca="1">P_2_minQ+(AG760^2*R_dn)-dpdn_minQ</f>
        <v>60</v>
      </c>
      <c r="AH763" s="107"/>
      <c r="AI763" s="1"/>
      <c r="AJ763" s="97">
        <f ca="1">P_2_minQ+(AJ760^2*R_dn)-dpdn_minQ</f>
        <v>60</v>
      </c>
      <c r="AK763" s="107"/>
      <c r="AL763" s="1"/>
      <c r="AM763" s="97">
        <f ca="1">P_2_minQ+(AM760^2*R_dn)-dpdn_minQ</f>
        <v>60</v>
      </c>
      <c r="AN763" s="107"/>
      <c r="AO763" s="1"/>
      <c r="AP763" s="97">
        <f ca="1">P_2_minQ+(AP760^2*R_dn)-dpdn_minQ</f>
        <v>60</v>
      </c>
      <c r="AQ763" s="107"/>
      <c r="AR763" s="1"/>
      <c r="AS763" s="97">
        <f ca="1">P_2_minQ+(AS760^2*R_dn)-dpdn_minQ</f>
        <v>60</v>
      </c>
      <c r="AT763" s="107"/>
      <c r="AU763" s="1"/>
    </row>
    <row r="764" spans="15:47" x14ac:dyDescent="0.25">
      <c r="O764" s="8" t="s">
        <v>138</v>
      </c>
      <c r="P764" s="1"/>
      <c r="Q764" s="8"/>
      <c r="R764" s="97">
        <f>R762-R763</f>
        <v>30.184895424470369</v>
      </c>
      <c r="S764" s="106"/>
      <c r="T764" s="22"/>
      <c r="U764" s="97">
        <f ca="1">U762-U763</f>
        <v>30.114708644979174</v>
      </c>
      <c r="V764" s="110"/>
      <c r="W764" s="25"/>
      <c r="X764" s="97">
        <f ca="1">X762-X763</f>
        <v>29.763344473584951</v>
      </c>
      <c r="Y764" s="110"/>
      <c r="Z764" s="25"/>
      <c r="AA764" s="97">
        <f ca="1">AA762-AA763</f>
        <v>28.585248139544618</v>
      </c>
      <c r="AB764" s="110"/>
      <c r="AC764" s="25"/>
      <c r="AD764" s="97">
        <f ca="1">AD762-AD763</f>
        <v>25.682200688170084</v>
      </c>
      <c r="AE764" s="110"/>
      <c r="AF764" s="25"/>
      <c r="AG764" s="97">
        <f ca="1">AG762-AG763</f>
        <v>20.593002153871197</v>
      </c>
      <c r="AH764" s="110"/>
      <c r="AI764" s="25"/>
      <c r="AJ764" s="97">
        <f ca="1">AJ762-AJ763</f>
        <v>13.102573663401799</v>
      </c>
      <c r="AK764" s="110"/>
      <c r="AL764" s="25"/>
      <c r="AM764" s="97">
        <f ca="1">AM762-AM763</f>
        <v>4.7515751319745902</v>
      </c>
      <c r="AN764" s="110"/>
      <c r="AO764" s="25"/>
      <c r="AP764" s="97">
        <f ca="1">AP762-AP763</f>
        <v>-4.0954282199744156</v>
      </c>
      <c r="AQ764" s="110"/>
      <c r="AR764" s="25"/>
      <c r="AS764" s="97">
        <f ca="1">AS762-AS763</f>
        <v>-16.948570433549726</v>
      </c>
      <c r="AT764" s="110"/>
      <c r="AU764" s="25"/>
    </row>
    <row r="765" spans="15:47" ht="14.4" x14ac:dyDescent="0.3">
      <c r="O765" s="2" t="s">
        <v>140</v>
      </c>
      <c r="P765" s="11"/>
      <c r="Q765" s="2"/>
      <c r="R765" s="96">
        <f>R764/R762</f>
        <v>0.33470012115000064</v>
      </c>
      <c r="S765" s="106"/>
      <c r="T765" s="22"/>
      <c r="U765" s="96">
        <f ca="1">U764/U762</f>
        <v>0.33418194540938623</v>
      </c>
      <c r="V765" s="111"/>
      <c r="W765" s="28"/>
      <c r="X765" s="96">
        <f ca="1">X764/X762</f>
        <v>0.33157570774720341</v>
      </c>
      <c r="Y765" s="111"/>
      <c r="Z765" s="28"/>
      <c r="AA765" s="96">
        <f ca="1">AA764/AA762</f>
        <v>0.3226863246408192</v>
      </c>
      <c r="AB765" s="111"/>
      <c r="AC765" s="28"/>
      <c r="AD765" s="96">
        <f ca="1">AD764/AD762</f>
        <v>0.29973787416638981</v>
      </c>
      <c r="AE765" s="111"/>
      <c r="AF765" s="28"/>
      <c r="AG765" s="96">
        <f ca="1">AG764/AG762</f>
        <v>0.25551848924245635</v>
      </c>
      <c r="AH765" s="111"/>
      <c r="AI765" s="28"/>
      <c r="AJ765" s="96">
        <f ca="1">AJ764/AJ762</f>
        <v>0.17923546336045751</v>
      </c>
      <c r="AK765" s="111"/>
      <c r="AL765" s="28"/>
      <c r="AM765" s="96">
        <f ca="1">AM764/AM762</f>
        <v>7.3381614613854285E-2</v>
      </c>
      <c r="AN765" s="111"/>
      <c r="AO765" s="28"/>
      <c r="AP765" s="96">
        <f ca="1">AP764/AP762</f>
        <v>-7.3257483056827402E-2</v>
      </c>
      <c r="AQ765" s="111"/>
      <c r="AR765" s="28"/>
      <c r="AS765" s="96">
        <f ca="1">AS764/AS762</f>
        <v>-0.39368194283512592</v>
      </c>
      <c r="AT765" s="111"/>
      <c r="AU765" s="28"/>
    </row>
    <row r="766" spans="15:47" x14ac:dyDescent="0.25">
      <c r="O766" s="2" t="s">
        <v>21</v>
      </c>
      <c r="P766" s="8">
        <v>12</v>
      </c>
      <c r="Q766" s="2"/>
      <c r="R766" s="96">
        <f ca="1">1-R765/(3*F_GAMMA*R$29)</f>
        <v>0.82568510885761381</v>
      </c>
      <c r="S766" s="106"/>
      <c r="T766" s="22"/>
      <c r="U766" s="96">
        <f ca="1">1-U765/(3*F_GAMMA*U$29)</f>
        <v>0.82599541280875222</v>
      </c>
      <c r="V766" s="111"/>
      <c r="W766" s="28"/>
      <c r="X766" s="96">
        <f ca="1">1-X765/(3*F_GAMMA*X$29)</f>
        <v>0.8257081149226051</v>
      </c>
      <c r="Y766" s="111"/>
      <c r="Z766" s="28"/>
      <c r="AA766" s="96">
        <f ca="1">1-AA765/(3*F_GAMMA*AA$29)</f>
        <v>0.82798982926968634</v>
      </c>
      <c r="AB766" s="111"/>
      <c r="AC766" s="28"/>
      <c r="AD766" s="96">
        <f ca="1">1-AD765/(3*F_GAMMA*AD$29)</f>
        <v>0.83526729568679481</v>
      </c>
      <c r="AE766" s="111"/>
      <c r="AF766" s="28"/>
      <c r="AG766" s="96">
        <f ca="1">1-AG765/(3*F_GAMMA*AG$29)</f>
        <v>0.85114311291577316</v>
      </c>
      <c r="AH766" s="111"/>
      <c r="AI766" s="28"/>
      <c r="AJ766" s="96">
        <f ca="1">1-AJ765/(3*F_GAMMA*AJ$29)</f>
        <v>0.8876617760590404</v>
      </c>
      <c r="AK766" s="111"/>
      <c r="AL766" s="28"/>
      <c r="AM766" s="96">
        <f ca="1">1-AM765/(3*F_GAMMA*AM$29)</f>
        <v>0.94857613703963095</v>
      </c>
      <c r="AN766" s="111"/>
      <c r="AO766" s="28"/>
      <c r="AP766" s="96">
        <f ca="1">1-AP765/(3*F_GAMMA*AP$29)</f>
        <v>1.0413504514095295</v>
      </c>
      <c r="AQ766" s="111"/>
      <c r="AR766" s="28"/>
      <c r="AS766" s="96">
        <f ca="1">1-AS765/(3*F_GAMMA*AS$29)</f>
        <v>1.3483695606787296</v>
      </c>
      <c r="AT766" s="111"/>
      <c r="AU766" s="28"/>
    </row>
    <row r="767" spans="15:47" x14ac:dyDescent="0.25">
      <c r="O767" s="2" t="s">
        <v>57</v>
      </c>
      <c r="P767" s="143">
        <v>7</v>
      </c>
      <c r="Q767" s="2"/>
      <c r="R767" s="96">
        <f ca="1">(R760/(N_9*R$27*R762*R766))*SQRT(M*'Valve Sizing'!$W$6*'Valve Sizing'!$G$8/R765)</f>
        <v>0.36033416067916718</v>
      </c>
      <c r="S767" s="107"/>
      <c r="T767" s="22"/>
      <c r="U767" s="96">
        <f ca="1">(U760/(N_9*U$27*U762*U766))*SQRT(M*'Valve Sizing'!$W$6*'Valve Sizing'!$G$8/U765)</f>
        <v>7.947589900987027</v>
      </c>
      <c r="V767" s="111"/>
      <c r="W767" s="28"/>
      <c r="X767" s="96">
        <f ca="1">(X760/(N_9*X$27*X762*X766))*SQRT(M*'Valve Sizing'!$W$6*'Valve Sizing'!$G$8/X765)</f>
        <v>19.665526069518979</v>
      </c>
      <c r="Y767" s="111"/>
      <c r="Z767" s="28"/>
      <c r="AA767" s="96">
        <f ca="1">(AA760/(N_9*AA$27*AA762*AA766))*SQRT(M*'Valve Sizing'!$W$6*'Valve Sizing'!$G$8/AA765)</f>
        <v>39.468213933368574</v>
      </c>
      <c r="AB767" s="111"/>
      <c r="AC767" s="28"/>
      <c r="AD767" s="96">
        <f ca="1">(AD760/(N_9*AD$27*AD762*AD766))*SQRT(M*'Valve Sizing'!$W$6*'Valve Sizing'!$G$8/AD765)</f>
        <v>71.284581850290849</v>
      </c>
      <c r="AE767" s="111"/>
      <c r="AF767" s="28"/>
      <c r="AG767" s="96">
        <f ca="1">(AG760/(N_9*AG$27*AG762*AG766))*SQRT(M*'Valve Sizing'!$W$6*'Valve Sizing'!$G$8/AG765)</f>
        <v>120.21230819702909</v>
      </c>
      <c r="AH767" s="111"/>
      <c r="AI767" s="28"/>
      <c r="AJ767" s="96">
        <f ca="1">(AJ760/(N_9*AJ$27*AJ762*AJ766))*SQRT(M*'Valve Sizing'!$W$6*'Valve Sizing'!$G$8/AJ765)</f>
        <v>209.80254216659534</v>
      </c>
      <c r="AK767" s="111"/>
      <c r="AL767" s="28"/>
      <c r="AM767" s="96">
        <f ca="1">(AM760/(N_9*AM$27*AM762*AM766))*SQRT(M*'Valve Sizing'!$W$6*'Valve Sizing'!$G$8/AM765)</f>
        <v>448.46949510187022</v>
      </c>
      <c r="AN767" s="111"/>
      <c r="AO767" s="28"/>
      <c r="AP767" s="96" t="e">
        <f ca="1">(AP760/(N_9*AP$27*AP762*AP766))*SQRT(M*'Valve Sizing'!$W$6*'Valve Sizing'!$G$8/AP765)</f>
        <v>#NUM!</v>
      </c>
      <c r="AQ767" s="111"/>
      <c r="AR767" s="28"/>
      <c r="AS767" s="96" t="e">
        <f ca="1">(AS760/(N_9*AS$27*AS762*AS766))*SQRT(M*'Valve Sizing'!$W$6*'Valve Sizing'!$G$8/AS765)</f>
        <v>#NUM!</v>
      </c>
      <c r="AT767" s="111"/>
      <c r="AU767" s="28"/>
    </row>
    <row r="768" spans="15:47" x14ac:dyDescent="0.25">
      <c r="O768" s="2" t="s">
        <v>59</v>
      </c>
      <c r="P768" s="143">
        <v>7</v>
      </c>
      <c r="Q768" s="2"/>
      <c r="R768" s="96">
        <f ca="1">(R760/(N_9*R$27*R762*0.667))*SQRT(M*'Valve Sizing'!$W$6*'Valve Sizing'!$G$8/R769)</f>
        <v>0.3225684791269568</v>
      </c>
      <c r="S768" s="107"/>
      <c r="T768" s="22"/>
      <c r="U768" s="96">
        <f ca="1">(U760/(N_9*U$27*U762*0.667))*SQRT(M*'Valve Sizing'!$W$6*'Valve Sizing'!$G$8/U769)</f>
        <v>7.1109598559944978</v>
      </c>
      <c r="V768" s="111"/>
      <c r="W768" s="28"/>
      <c r="X768" s="96">
        <f ca="1">(X760/(N_9*X$27*X762*0.667))*SQRT(M*'Valve Sizing'!$W$6*'Valve Sizing'!$G$8/X769)</f>
        <v>17.603762409018103</v>
      </c>
      <c r="Y768" s="111"/>
      <c r="Z768" s="28"/>
      <c r="AA768" s="96">
        <f ca="1">(AA760/(N_9*AA$27*AA762*0.667))*SQRT(M*'Valve Sizing'!$W$6*'Valve Sizing'!$G$8/AA769)</f>
        <v>35.195272540632239</v>
      </c>
      <c r="AB768" s="111"/>
      <c r="AC768" s="28"/>
      <c r="AD768" s="96">
        <f ca="1">(AD760/(N_9*AD$27*AD762*0.667))*SQRT(M*'Valve Sizing'!$W$6*'Valve Sizing'!$G$8/AD769)</f>
        <v>62.754632568652603</v>
      </c>
      <c r="AE768" s="111"/>
      <c r="AF768" s="28"/>
      <c r="AG768" s="96">
        <f ca="1">(AG760/(N_9*AG$27*AG762*0.667))*SQRT(M*'Valve Sizing'!$W$6*'Valve Sizing'!$G$8/AG769)</f>
        <v>102.51107439920756</v>
      </c>
      <c r="AH768" s="111"/>
      <c r="AI768" s="28"/>
      <c r="AJ768" s="96">
        <f ca="1">(AJ760/(N_9*AJ$27*AJ762*0.667))*SQRT(M*'Valve Sizing'!$W$6*'Valve Sizing'!$G$8/AJ769)</f>
        <v>162.09022881618694</v>
      </c>
      <c r="AK768" s="111"/>
      <c r="AL768" s="28"/>
      <c r="AM768" s="96">
        <f ca="1">(AM760/(N_9*AM$27*AM762*0.667))*SQRT(M*'Valve Sizing'!$W$6*'Valve Sizing'!$G$8/AM769)</f>
        <v>250.50837227193287</v>
      </c>
      <c r="AN768" s="111"/>
      <c r="AO768" s="28"/>
      <c r="AP768" s="96">
        <f ca="1">(AP760/(N_9*AP$27*AP762*0.667))*SQRT(M*'Valve Sizing'!$W$6*'Valve Sizing'!$G$8/AP769)</f>
        <v>344.10243313649607</v>
      </c>
      <c r="AQ768" s="111"/>
      <c r="AR768" s="28"/>
      <c r="AS768" s="96">
        <f ca="1">(AS760/(N_9*AS$27*AS762*0.667))*SQRT(M*'Valve Sizing'!$W$6*'Valve Sizing'!$G$8/AS769)</f>
        <v>878.67792085883843</v>
      </c>
      <c r="AT768" s="111"/>
      <c r="AU768" s="28"/>
    </row>
    <row r="769" spans="15:47" ht="15.6" x14ac:dyDescent="0.35">
      <c r="O769" s="2" t="s">
        <v>68</v>
      </c>
      <c r="P769" s="143">
        <v>10</v>
      </c>
      <c r="Q769" s="2"/>
      <c r="R769" s="96">
        <f ca="1">F_GAMMA*R$29</f>
        <v>0.64002969751372984</v>
      </c>
      <c r="S769" s="107"/>
      <c r="T769" s="1"/>
      <c r="U769" s="96">
        <f ca="1">F_GAMMA*U$29</f>
        <v>0.64017842058782071</v>
      </c>
      <c r="V769" s="111"/>
      <c r="W769" s="28"/>
      <c r="X769" s="96">
        <f ca="1">F_GAMMA*X$29</f>
        <v>0.63413873724904268</v>
      </c>
      <c r="Y769" s="111"/>
      <c r="Z769" s="28"/>
      <c r="AA769" s="96">
        <f ca="1">F_GAMMA*AA$29</f>
        <v>0.62532411750377137</v>
      </c>
      <c r="AB769" s="111"/>
      <c r="AC769" s="28"/>
      <c r="AD769" s="96">
        <f ca="1">F_GAMMA*AD$29</f>
        <v>0.60651359509139569</v>
      </c>
      <c r="AE769" s="111"/>
      <c r="AF769" s="28"/>
      <c r="AG769" s="96">
        <f ca="1">F_GAMMA*AG$29</f>
        <v>0.57217930198481592</v>
      </c>
      <c r="AH769" s="111"/>
      <c r="AI769" s="28"/>
      <c r="AJ769" s="96">
        <f ca="1">F_GAMMA*AJ$29</f>
        <v>0.53183282018848232</v>
      </c>
      <c r="AK769" s="111"/>
      <c r="AL769" s="28"/>
      <c r="AM769" s="96">
        <f ca="1">F_GAMMA*AM$29</f>
        <v>0.47566512503094399</v>
      </c>
      <c r="AN769" s="111"/>
      <c r="AO769" s="28"/>
      <c r="AP769" s="96">
        <f ca="1">F_GAMMA*AP$29</f>
        <v>0.59054158265645496</v>
      </c>
      <c r="AQ769" s="111"/>
      <c r="AR769" s="28"/>
      <c r="AS769" s="96">
        <f ca="1">F_GAMMA*AS$29</f>
        <v>0.3766899554102966</v>
      </c>
      <c r="AT769" s="111"/>
      <c r="AU769" s="28"/>
    </row>
    <row r="770" spans="15:47" x14ac:dyDescent="0.25">
      <c r="O770" s="2" t="s">
        <v>145</v>
      </c>
      <c r="P770" s="12"/>
      <c r="Q770" s="2"/>
      <c r="R770" s="96">
        <f ca="1">IF(R765&lt;R769,R767,R768)</f>
        <v>0.36033416067916718</v>
      </c>
      <c r="S770" s="116"/>
      <c r="T770" s="1"/>
      <c r="U770" s="96">
        <f ca="1">IF(U765&lt;U769,U767,U768)</f>
        <v>7.947589900987027</v>
      </c>
      <c r="V770" s="111"/>
      <c r="W770" s="28"/>
      <c r="X770" s="96">
        <f ca="1">IF(X765&lt;X769,X767,X768)</f>
        <v>19.665526069518979</v>
      </c>
      <c r="Y770" s="111"/>
      <c r="Z770" s="28"/>
      <c r="AA770" s="96">
        <f ca="1">IF(AA765&lt;AA769,AA767,AA768)</f>
        <v>39.468213933368574</v>
      </c>
      <c r="AB770" s="111"/>
      <c r="AC770" s="28"/>
      <c r="AD770" s="96">
        <f ca="1">IF(AD765&lt;AD769,AD767,AD768)</f>
        <v>71.284581850290849</v>
      </c>
      <c r="AE770" s="111"/>
      <c r="AF770" s="28"/>
      <c r="AG770" s="96">
        <f ca="1">IF(AG765&lt;AG769,AG767,AG768)</f>
        <v>120.21230819702909</v>
      </c>
      <c r="AH770" s="111"/>
      <c r="AI770" s="28"/>
      <c r="AJ770" s="96">
        <f ca="1">IF(AJ765&lt;AJ769,AJ767,AJ768)</f>
        <v>209.80254216659534</v>
      </c>
      <c r="AK770" s="111"/>
      <c r="AL770" s="28"/>
      <c r="AM770" s="96">
        <f ca="1">IF(AM765&lt;AM769,AM767,AM768)</f>
        <v>448.46949510187022</v>
      </c>
      <c r="AN770" s="111"/>
      <c r="AO770" s="28"/>
      <c r="AP770" s="96" t="e">
        <f ca="1">IF(AP765&lt;AP769,AP767,AP768)</f>
        <v>#NUM!</v>
      </c>
      <c r="AQ770" s="111"/>
      <c r="AR770" s="28"/>
      <c r="AS770" s="96" t="e">
        <f ca="1">IF(AS765&lt;AS769,AS767,AS768)</f>
        <v>#NUM!</v>
      </c>
      <c r="AT770" s="111"/>
      <c r="AU770" s="28"/>
    </row>
    <row r="771" spans="15:47" x14ac:dyDescent="0.25">
      <c r="O771" s="13" t="s">
        <v>143</v>
      </c>
      <c r="P771" s="1"/>
      <c r="Q771" s="1"/>
      <c r="R771" s="113"/>
      <c r="S771" s="106">
        <f ca="1">IF(R764&lt;=0,Q_max,ABS(R$23-R770))</f>
        <v>4.3696658393208336</v>
      </c>
      <c r="T771" s="7">
        <f>R760</f>
        <v>892.26856972935411</v>
      </c>
      <c r="U771" s="98"/>
      <c r="V771" s="106">
        <f ca="1">IF(U764&lt;=0,Q_max,ABS(U$23-U770))</f>
        <v>3.6524100990129726</v>
      </c>
      <c r="W771" s="9">
        <f ca="1">U760</f>
        <v>19643.974465014267</v>
      </c>
      <c r="X771" s="98"/>
      <c r="Y771" s="106">
        <f ca="1">IF(X764&lt;=0,Q_max,ABS(X$23-X770))</f>
        <v>3.3344739304810211</v>
      </c>
      <c r="Z771" s="9">
        <f ca="1">X760</f>
        <v>48100.877734994363</v>
      </c>
      <c r="AA771" s="98"/>
      <c r="AB771" s="106">
        <f ca="1">IF(AA764&lt;=0,Q_max,ABS(AA$23-AA770))</f>
        <v>6.8213933368575397E-2</v>
      </c>
      <c r="AC771" s="9">
        <f ca="1">AA760</f>
        <v>93688.232299349285</v>
      </c>
      <c r="AD771" s="98"/>
      <c r="AE771" s="106">
        <f ca="1">IF(AD764&lt;=0,Q_max,ABS(AD$23-AD770))</f>
        <v>10.284581850290849</v>
      </c>
      <c r="AF771" s="9">
        <f ca="1">AD760</f>
        <v>157179.70940006513</v>
      </c>
      <c r="AG771" s="98"/>
      <c r="AH771" s="106">
        <f ca="1">IF(AG764&lt;=0,Q_max,ABS(AG$23-AG770))</f>
        <v>32.012308197029085</v>
      </c>
      <c r="AI771" s="9">
        <f ca="1">AG760</f>
        <v>229408.06683824398</v>
      </c>
      <c r="AJ771" s="98"/>
      <c r="AK771" s="106">
        <f ca="1">IF(AJ764&lt;=0,Q_max,ABS(AJ$23-AJ770))</f>
        <v>88.802542166595344</v>
      </c>
      <c r="AL771" s="9">
        <f ca="1">AJ760</f>
        <v>306145.95451143157</v>
      </c>
      <c r="AM771" s="98"/>
      <c r="AN771" s="106">
        <f ca="1">IF(AM764&lt;=0,Q_max,ABS(AM$23-AM770))</f>
        <v>283.46949510187022</v>
      </c>
      <c r="AO771" s="9">
        <f ca="1">AM760</f>
        <v>373556.2444652121</v>
      </c>
      <c r="AP771" s="98"/>
      <c r="AQ771" s="106">
        <f ca="1">IF(AP764&lt;=0,Q_max,ABS(AP$23-AP770))</f>
        <v>236393</v>
      </c>
      <c r="AR771" s="9">
        <f ca="1">AP760</f>
        <v>433687.2029087171</v>
      </c>
      <c r="AS771" s="98"/>
      <c r="AT771" s="106">
        <f ca="1">IF(AS764&lt;=0,Q_max,ABS(AS$23-AS770))</f>
        <v>236393</v>
      </c>
      <c r="AU771" s="9">
        <f ca="1">AS760</f>
        <v>508532.35270745266</v>
      </c>
    </row>
    <row r="772" spans="15:47" x14ac:dyDescent="0.25">
      <c r="O772" s="21"/>
      <c r="P772" s="14"/>
      <c r="Q772" s="21"/>
      <c r="R772" s="97"/>
      <c r="S772" s="106"/>
      <c r="T772" s="28"/>
      <c r="U772" s="99"/>
      <c r="V772" s="110"/>
      <c r="W772" s="25"/>
      <c r="X772" s="99"/>
      <c r="Y772" s="110"/>
      <c r="Z772" s="25"/>
      <c r="AA772" s="99"/>
      <c r="AB772" s="110"/>
      <c r="AC772" s="25"/>
      <c r="AD772" s="99"/>
      <c r="AE772" s="110"/>
      <c r="AF772" s="25"/>
      <c r="AG772" s="99"/>
      <c r="AH772" s="110"/>
      <c r="AI772" s="25"/>
      <c r="AJ772" s="99"/>
      <c r="AK772" s="110"/>
      <c r="AL772" s="25"/>
      <c r="AM772" s="99"/>
      <c r="AN772" s="110"/>
      <c r="AO772" s="25"/>
      <c r="AP772" s="99"/>
      <c r="AQ772" s="110"/>
      <c r="AR772" s="25"/>
      <c r="AS772" s="99"/>
      <c r="AT772" s="110"/>
      <c r="AU772" s="25"/>
    </row>
    <row r="773" spans="15:47" x14ac:dyDescent="0.25">
      <c r="O773" s="1"/>
      <c r="P773" s="1"/>
      <c r="Q773" s="1"/>
      <c r="R773" s="98"/>
      <c r="S773" s="108" t="s">
        <v>137</v>
      </c>
      <c r="T773" s="26" t="s">
        <v>146</v>
      </c>
      <c r="U773" s="98"/>
      <c r="V773" s="108" t="s">
        <v>137</v>
      </c>
      <c r="W773" s="26" t="s">
        <v>146</v>
      </c>
      <c r="X773" s="98"/>
      <c r="Y773" s="108" t="s">
        <v>137</v>
      </c>
      <c r="Z773" s="26" t="s">
        <v>146</v>
      </c>
      <c r="AA773" s="98"/>
      <c r="AB773" s="108" t="s">
        <v>137</v>
      </c>
      <c r="AC773" s="26" t="s">
        <v>146</v>
      </c>
      <c r="AD773" s="98"/>
      <c r="AE773" s="108" t="s">
        <v>137</v>
      </c>
      <c r="AF773" s="26" t="s">
        <v>146</v>
      </c>
      <c r="AG773" s="98"/>
      <c r="AH773" s="108" t="s">
        <v>137</v>
      </c>
      <c r="AI773" s="26" t="s">
        <v>146</v>
      </c>
      <c r="AJ773" s="98"/>
      <c r="AK773" s="108" t="s">
        <v>137</v>
      </c>
      <c r="AL773" s="26" t="s">
        <v>146</v>
      </c>
      <c r="AM773" s="98"/>
      <c r="AN773" s="108" t="s">
        <v>137</v>
      </c>
      <c r="AO773" s="26" t="s">
        <v>146</v>
      </c>
      <c r="AP773" s="98"/>
      <c r="AQ773" s="108" t="s">
        <v>137</v>
      </c>
      <c r="AR773" s="26" t="s">
        <v>146</v>
      </c>
      <c r="AS773" s="98"/>
      <c r="AT773" s="108" t="s">
        <v>137</v>
      </c>
      <c r="AU773" s="26" t="s">
        <v>146</v>
      </c>
    </row>
    <row r="774" spans="15:47" ht="13.8" x14ac:dyDescent="0.25">
      <c r="O774" s="20" t="s">
        <v>136</v>
      </c>
      <c r="P774" s="1"/>
      <c r="Q774" s="1"/>
      <c r="R774" s="96">
        <f>R760*1.02</f>
        <v>910.11394112394123</v>
      </c>
      <c r="S774" s="109" t="s">
        <v>144</v>
      </c>
      <c r="T774" s="23" t="s">
        <v>147</v>
      </c>
      <c r="U774" s="96">
        <f ca="1">U760*1.01</f>
        <v>19840.41420966441</v>
      </c>
      <c r="V774" s="109" t="s">
        <v>144</v>
      </c>
      <c r="W774" s="23" t="s">
        <v>147</v>
      </c>
      <c r="X774" s="96">
        <f ca="1">X760*1.01</f>
        <v>48581.88651234431</v>
      </c>
      <c r="Y774" s="109" t="s">
        <v>144</v>
      </c>
      <c r="Z774" s="23" t="s">
        <v>147</v>
      </c>
      <c r="AA774" s="96">
        <f ca="1">AA760*1.01</f>
        <v>94625.114622342779</v>
      </c>
      <c r="AB774" s="109" t="s">
        <v>144</v>
      </c>
      <c r="AC774" s="23" t="s">
        <v>147</v>
      </c>
      <c r="AD774" s="96">
        <f ca="1">AD760*1.01</f>
        <v>158751.50649406578</v>
      </c>
      <c r="AE774" s="109" t="s">
        <v>144</v>
      </c>
      <c r="AF774" s="23" t="s">
        <v>147</v>
      </c>
      <c r="AG774" s="96">
        <f ca="1">AG760*1.01</f>
        <v>231702.14750662641</v>
      </c>
      <c r="AH774" s="109" t="s">
        <v>144</v>
      </c>
      <c r="AI774" s="23" t="s">
        <v>147</v>
      </c>
      <c r="AJ774" s="96">
        <f ca="1">AJ760*1.01</f>
        <v>309207.41405654588</v>
      </c>
      <c r="AK774" s="109" t="s">
        <v>144</v>
      </c>
      <c r="AL774" s="23" t="s">
        <v>147</v>
      </c>
      <c r="AM774" s="96">
        <f ca="1">AM760*1.01</f>
        <v>377291.80690986424</v>
      </c>
      <c r="AN774" s="109" t="s">
        <v>144</v>
      </c>
      <c r="AO774" s="23" t="s">
        <v>147</v>
      </c>
      <c r="AP774" s="96">
        <f ca="1">AP760*1.01</f>
        <v>438024.07493780425</v>
      </c>
      <c r="AQ774" s="109" t="s">
        <v>144</v>
      </c>
      <c r="AR774" s="23" t="s">
        <v>147</v>
      </c>
      <c r="AS774" s="96">
        <f ca="1">AS760*1.01</f>
        <v>513617.6762345272</v>
      </c>
      <c r="AT774" s="109" t="s">
        <v>144</v>
      </c>
      <c r="AU774" s="23" t="s">
        <v>147</v>
      </c>
    </row>
    <row r="775" spans="15:47" x14ac:dyDescent="0.25">
      <c r="O775" s="1"/>
      <c r="P775" s="1"/>
      <c r="Q775" s="1"/>
      <c r="R775" s="98"/>
      <c r="S775" s="107"/>
      <c r="T775" s="1"/>
      <c r="U775" s="47"/>
      <c r="V775" s="107"/>
      <c r="W775" s="1"/>
      <c r="X775" s="47"/>
      <c r="Y775" s="107"/>
      <c r="Z775" s="1"/>
      <c r="AA775" s="47"/>
      <c r="AB775" s="107"/>
      <c r="AC775" s="1"/>
      <c r="AD775" s="47"/>
      <c r="AE775" s="107"/>
      <c r="AF775" s="1"/>
      <c r="AG775" s="47"/>
      <c r="AH775" s="107"/>
      <c r="AI775" s="1"/>
      <c r="AJ775" s="47"/>
      <c r="AK775" s="107"/>
      <c r="AL775" s="1"/>
      <c r="AM775" s="47"/>
      <c r="AN775" s="107"/>
      <c r="AO775" s="1"/>
      <c r="AP775" s="47"/>
      <c r="AQ775" s="107"/>
      <c r="AR775" s="1"/>
      <c r="AS775" s="47"/>
      <c r="AT775" s="107"/>
      <c r="AU775" s="1"/>
    </row>
    <row r="776" spans="15:47" x14ac:dyDescent="0.25">
      <c r="O776" s="8" t="s">
        <v>132</v>
      </c>
      <c r="P776" s="8"/>
      <c r="Q776" s="8"/>
      <c r="R776" s="96">
        <f>P_1_minQ-(R774^2*R_up)+dpup_minQ</f>
        <v>90.184889562196659</v>
      </c>
      <c r="S776" s="106"/>
      <c r="T776" s="22"/>
      <c r="U776" s="96">
        <f ca="1">P_1_minQ-(U774^2*R_up)+dpup_minQ</f>
        <v>90.113294974085122</v>
      </c>
      <c r="V776" s="107"/>
      <c r="W776" s="1"/>
      <c r="X776" s="96">
        <f ca="1">P_1_minQ-(X774^2*R_up)+dpup_minQ</f>
        <v>89.754868382845871</v>
      </c>
      <c r="Y776" s="107"/>
      <c r="Z776" s="1"/>
      <c r="AA776" s="96">
        <f ca="1">P_1_minQ-(AA774^2*R_up)+dpup_minQ</f>
        <v>88.55309231249133</v>
      </c>
      <c r="AB776" s="107"/>
      <c r="AC776" s="1"/>
      <c r="AD776" s="96">
        <f ca="1">P_1_minQ-(AD774^2*R_up)+dpup_minQ</f>
        <v>85.591693607344169</v>
      </c>
      <c r="AE776" s="107"/>
      <c r="AF776" s="1"/>
      <c r="AG776" s="96">
        <f ca="1">P_1_minQ-(AG774^2*R_up)+dpup_minQ</f>
        <v>80.400202182505865</v>
      </c>
      <c r="AH776" s="107"/>
      <c r="AI776" s="1"/>
      <c r="AJ776" s="96">
        <f ca="1">P_1_minQ-(AJ774^2*R_up)+dpup_minQ</f>
        <v>72.759216079378035</v>
      </c>
      <c r="AK776" s="107"/>
      <c r="AL776" s="1"/>
      <c r="AM776" s="96">
        <f ca="1">P_1_minQ-(AM774^2*R_up)+dpup_minQ</f>
        <v>64.240362477469148</v>
      </c>
      <c r="AN776" s="107"/>
      <c r="AO776" s="1"/>
      <c r="AP776" s="96">
        <f ca="1">P_1_minQ-(AP774^2*R_up)+dpup_minQ</f>
        <v>55.215534358145966</v>
      </c>
      <c r="AQ776" s="107"/>
      <c r="AR776" s="1"/>
      <c r="AS776" s="96">
        <f ca="1">P_1_minQ-(AS774^2*R_up)+dpup_minQ</f>
        <v>42.104043986077784</v>
      </c>
      <c r="AT776" s="107"/>
      <c r="AU776" s="1"/>
    </row>
    <row r="777" spans="15:47" x14ac:dyDescent="0.25">
      <c r="O777" s="8" t="s">
        <v>134</v>
      </c>
      <c r="P777" s="1"/>
      <c r="Q777" s="8"/>
      <c r="R777" s="97">
        <f>P_2_minQ+(R774^2*R_dn)-dpdn_minQ</f>
        <v>60</v>
      </c>
      <c r="S777" s="106"/>
      <c r="T777" s="22"/>
      <c r="U777" s="97">
        <f ca="1">P_2_minQ+(U774^2*R_dn)-dpdn_minQ</f>
        <v>60</v>
      </c>
      <c r="V777" s="107"/>
      <c r="W777" s="1"/>
      <c r="X777" s="97">
        <f ca="1">P_2_minQ+(X774^2*R_dn)-dpdn_minQ</f>
        <v>60</v>
      </c>
      <c r="Y777" s="107"/>
      <c r="Z777" s="1"/>
      <c r="AA777" s="97">
        <f ca="1">P_2_minQ+(AA774^2*R_dn)-dpdn_minQ</f>
        <v>60</v>
      </c>
      <c r="AB777" s="107"/>
      <c r="AC777" s="1"/>
      <c r="AD777" s="97">
        <f ca="1">P_2_minQ+(AD774^2*R_dn)-dpdn_minQ</f>
        <v>60</v>
      </c>
      <c r="AE777" s="107"/>
      <c r="AF777" s="1"/>
      <c r="AG777" s="97">
        <f ca="1">P_2_minQ+(AG774^2*R_dn)-dpdn_minQ</f>
        <v>60</v>
      </c>
      <c r="AH777" s="107"/>
      <c r="AI777" s="1"/>
      <c r="AJ777" s="97">
        <f ca="1">P_2_minQ+(AJ774^2*R_dn)-dpdn_minQ</f>
        <v>60</v>
      </c>
      <c r="AK777" s="107"/>
      <c r="AL777" s="1"/>
      <c r="AM777" s="97">
        <f ca="1">P_2_minQ+(AM774^2*R_dn)-dpdn_minQ</f>
        <v>60</v>
      </c>
      <c r="AN777" s="107"/>
      <c r="AO777" s="1"/>
      <c r="AP777" s="97">
        <f ca="1">P_2_minQ+(AP774^2*R_dn)-dpdn_minQ</f>
        <v>60</v>
      </c>
      <c r="AQ777" s="107"/>
      <c r="AR777" s="1"/>
      <c r="AS777" s="97">
        <f ca="1">P_2_minQ+(AS774^2*R_dn)-dpdn_minQ</f>
        <v>60</v>
      </c>
      <c r="AT777" s="107"/>
      <c r="AU777" s="1"/>
    </row>
    <row r="778" spans="15:47" x14ac:dyDescent="0.25">
      <c r="O778" s="8" t="s">
        <v>138</v>
      </c>
      <c r="P778" s="1"/>
      <c r="Q778" s="8"/>
      <c r="R778" s="97">
        <f>R776-R777</f>
        <v>30.184889562196659</v>
      </c>
      <c r="S778" s="106"/>
      <c r="T778" s="22"/>
      <c r="U778" s="97">
        <f ca="1">U776-U777</f>
        <v>30.113294974085122</v>
      </c>
      <c r="V778" s="110"/>
      <c r="W778" s="25"/>
      <c r="X778" s="97">
        <f ca="1">X776-X777</f>
        <v>29.754868382845871</v>
      </c>
      <c r="Y778" s="110"/>
      <c r="Z778" s="25"/>
      <c r="AA778" s="97">
        <f ca="1">AA776-AA777</f>
        <v>28.55309231249133</v>
      </c>
      <c r="AB778" s="110"/>
      <c r="AC778" s="25"/>
      <c r="AD778" s="97">
        <f ca="1">AD776-AD777</f>
        <v>25.591693607344169</v>
      </c>
      <c r="AE778" s="110"/>
      <c r="AF778" s="25"/>
      <c r="AG778" s="97">
        <f ca="1">AG776-AG777</f>
        <v>20.400202182505865</v>
      </c>
      <c r="AH778" s="110"/>
      <c r="AI778" s="25"/>
      <c r="AJ778" s="97">
        <f ca="1">AJ776-AJ777</f>
        <v>12.759216079378035</v>
      </c>
      <c r="AK778" s="110"/>
      <c r="AL778" s="25"/>
      <c r="AM778" s="97">
        <f ca="1">AM776-AM777</f>
        <v>4.240362477469148</v>
      </c>
      <c r="AN778" s="110"/>
      <c r="AO778" s="25"/>
      <c r="AP778" s="97">
        <f ca="1">AP776-AP777</f>
        <v>-4.7844656418540339</v>
      </c>
      <c r="AQ778" s="110"/>
      <c r="AR778" s="25"/>
      <c r="AS778" s="97">
        <f ca="1">AS776-AS777</f>
        <v>-17.895956013922216</v>
      </c>
      <c r="AT778" s="110"/>
      <c r="AU778" s="25"/>
    </row>
    <row r="779" spans="15:47" ht="14.4" x14ac:dyDescent="0.3">
      <c r="O779" s="2" t="s">
        <v>140</v>
      </c>
      <c r="P779" s="11"/>
      <c r="Q779" s="2"/>
      <c r="R779" s="96">
        <f>R778/R776</f>
        <v>0.33470007790362077</v>
      </c>
      <c r="S779" s="106"/>
      <c r="T779" s="22"/>
      <c r="U779" s="96">
        <f ca="1">U778/U776</f>
        <v>0.33417150025137948</v>
      </c>
      <c r="V779" s="111"/>
      <c r="W779" s="28"/>
      <c r="X779" s="96">
        <f ca="1">X778/X776</f>
        <v>0.33151258443082604</v>
      </c>
      <c r="Y779" s="111"/>
      <c r="Z779" s="28"/>
      <c r="AA779" s="96">
        <f ca="1">AA778/AA776</f>
        <v>0.32244037522406904</v>
      </c>
      <c r="AB779" s="111"/>
      <c r="AC779" s="28"/>
      <c r="AD779" s="96">
        <f ca="1">AD778/AD776</f>
        <v>0.29899739716271112</v>
      </c>
      <c r="AE779" s="111"/>
      <c r="AF779" s="28"/>
      <c r="AG779" s="96">
        <f ca="1">AG778/AG776</f>
        <v>0.25373321992646319</v>
      </c>
      <c r="AH779" s="111"/>
      <c r="AI779" s="28"/>
      <c r="AJ779" s="96">
        <f ca="1">AJ778/AJ776</f>
        <v>0.17536219831530522</v>
      </c>
      <c r="AK779" s="111"/>
      <c r="AL779" s="28"/>
      <c r="AM779" s="96">
        <f ca="1">AM778/AM776</f>
        <v>6.6007760758765313E-2</v>
      </c>
      <c r="AN779" s="111"/>
      <c r="AO779" s="28"/>
      <c r="AP779" s="96">
        <f ca="1">AP778/AP776</f>
        <v>-8.6650717003306149E-2</v>
      </c>
      <c r="AQ779" s="111"/>
      <c r="AR779" s="28"/>
      <c r="AS779" s="96">
        <f ca="1">AS778/AS776</f>
        <v>-0.42504126254095054</v>
      </c>
      <c r="AT779" s="111"/>
      <c r="AU779" s="28"/>
    </row>
    <row r="780" spans="15:47" x14ac:dyDescent="0.25">
      <c r="O780" s="2" t="s">
        <v>21</v>
      </c>
      <c r="P780" s="8">
        <v>12</v>
      </c>
      <c r="Q780" s="2"/>
      <c r="R780" s="96">
        <f ca="1">1-R779/(3*F_GAMMA*R$29)</f>
        <v>0.82568513138072475</v>
      </c>
      <c r="S780" s="106"/>
      <c r="T780" s="22"/>
      <c r="U780" s="96">
        <f ca="1">1-U779/(3*F_GAMMA*U$29)</f>
        <v>0.82600085147900981</v>
      </c>
      <c r="V780" s="111"/>
      <c r="W780" s="28"/>
      <c r="X780" s="96">
        <f ca="1">1-X779/(3*F_GAMMA*X$29)</f>
        <v>0.82574129552524478</v>
      </c>
      <c r="Y780" s="111"/>
      <c r="Z780" s="28"/>
      <c r="AA780" s="96">
        <f ca="1">1-AA779/(3*F_GAMMA*AA$29)</f>
        <v>0.82812093430245559</v>
      </c>
      <c r="AB780" s="111"/>
      <c r="AC780" s="28"/>
      <c r="AD780" s="96">
        <f ca="1">1-AD779/(3*F_GAMMA*AD$29)</f>
        <v>0.83567425386529315</v>
      </c>
      <c r="AE780" s="111"/>
      <c r="AF780" s="28"/>
      <c r="AG780" s="96">
        <f ca="1">1-AG779/(3*F_GAMMA*AG$29)</f>
        <v>0.85218315363366259</v>
      </c>
      <c r="AH780" s="111"/>
      <c r="AI780" s="28"/>
      <c r="AJ780" s="96">
        <f ca="1">1-AJ779/(3*F_GAMMA*AJ$29)</f>
        <v>0.89008939673112775</v>
      </c>
      <c r="AK780" s="111"/>
      <c r="AL780" s="28"/>
      <c r="AM780" s="96">
        <f ca="1">1-AM779/(3*F_GAMMA*AM$29)</f>
        <v>0.95374353560573299</v>
      </c>
      <c r="AN780" s="111"/>
      <c r="AO780" s="28"/>
      <c r="AP780" s="96">
        <f ca="1">1-AP779/(3*F_GAMMA*AP$29)</f>
        <v>1.0489103107769437</v>
      </c>
      <c r="AQ780" s="111"/>
      <c r="AR780" s="28"/>
      <c r="AS780" s="96">
        <f ca="1">1-AS779/(3*F_GAMMA*AS$29)</f>
        <v>1.3761194553028711</v>
      </c>
      <c r="AT780" s="111"/>
      <c r="AU780" s="28"/>
    </row>
    <row r="781" spans="15:47" x14ac:dyDescent="0.25">
      <c r="O781" s="2" t="s">
        <v>57</v>
      </c>
      <c r="P781" s="143">
        <v>7</v>
      </c>
      <c r="Q781" s="2"/>
      <c r="R781" s="96">
        <f ca="1">(R774/(N_9*R$27*R776*R780))*SQRT(M*'Valve Sizing'!$W$6*'Valve Sizing'!$G$8/R779)</f>
        <v>0.36754088150299363</v>
      </c>
      <c r="S781" s="107"/>
      <c r="T781" s="22"/>
      <c r="U781" s="96">
        <f ca="1">(U774/(N_9*U$27*U776*U780))*SQRT(M*'Valve Sizing'!$W$6*'Valve Sizing'!$G$8/U779)</f>
        <v>8.0272643231611127</v>
      </c>
      <c r="V781" s="111"/>
      <c r="W781" s="28"/>
      <c r="X781" s="96">
        <f ca="1">(X774/(N_9*X$27*X776*X780))*SQRT(M*'Valve Sizing'!$W$6*'Valve Sizing'!$G$8/X779)</f>
        <v>19.86514983331038</v>
      </c>
      <c r="Y781" s="111"/>
      <c r="Z781" s="28"/>
      <c r="AA781" s="96">
        <f ca="1">(AA774/(N_9*AA$27*AA776*AA780))*SQRT(M*'Valve Sizing'!$W$6*'Valve Sizing'!$G$8/AA779)</f>
        <v>39.886261464855671</v>
      </c>
      <c r="AB781" s="111"/>
      <c r="AC781" s="28"/>
      <c r="AD781" s="96">
        <f ca="1">(AD774/(N_9*AD$27*AD776*AD780))*SQRT(M*'Valve Sizing'!$W$6*'Valve Sizing'!$G$8/AD779)</f>
        <v>72.127608936796889</v>
      </c>
      <c r="AE781" s="111"/>
      <c r="AF781" s="28"/>
      <c r="AG781" s="96">
        <f ca="1">(AG774/(N_9*AG$27*AG776*AG780))*SQRT(M*'Valve Sizing'!$W$6*'Valve Sizing'!$G$8/AG779)</f>
        <v>121.98393751168386</v>
      </c>
      <c r="AH781" s="111"/>
      <c r="AI781" s="28"/>
      <c r="AJ781" s="96">
        <f ca="1">(AJ774/(N_9*AJ$27*AJ776*AJ780))*SQRT(M*'Valve Sizing'!$W$6*'Valve Sizing'!$G$8/AJ779)</f>
        <v>214.65185611254412</v>
      </c>
      <c r="AK781" s="111"/>
      <c r="AL781" s="28"/>
      <c r="AM781" s="96">
        <f ca="1">(AM774/(N_9*AM$27*AM776*AM780))*SQRT(M*'Valve Sizing'!$W$6*'Valve Sizing'!$G$8/AM779)</f>
        <v>478.777084117676</v>
      </c>
      <c r="AN781" s="111"/>
      <c r="AO781" s="28"/>
      <c r="AP781" s="96" t="e">
        <f ca="1">(AP774/(N_9*AP$27*AP776*AP780))*SQRT(M*'Valve Sizing'!$W$6*'Valve Sizing'!$G$8/AP779)</f>
        <v>#NUM!</v>
      </c>
      <c r="AQ781" s="111"/>
      <c r="AR781" s="28"/>
      <c r="AS781" s="96" t="e">
        <f ca="1">(AS774/(N_9*AS$27*AS776*AS780))*SQRT(M*'Valve Sizing'!$W$6*'Valve Sizing'!$G$8/AS779)</f>
        <v>#NUM!</v>
      </c>
      <c r="AT781" s="111"/>
      <c r="AU781" s="28"/>
    </row>
    <row r="782" spans="15:47" x14ac:dyDescent="0.25">
      <c r="O782" s="2" t="s">
        <v>59</v>
      </c>
      <c r="P782" s="143">
        <v>7</v>
      </c>
      <c r="Q782" s="2"/>
      <c r="R782" s="96">
        <f ca="1">(R774/(N_9*R$27*R776*0.667))*SQRT(M*'Valve Sizing'!$W$6*'Valve Sizing'!$G$8/R783)</f>
        <v>0.32901987009671968</v>
      </c>
      <c r="S782" s="107"/>
      <c r="T782" s="22"/>
      <c r="U782" s="96">
        <f ca="1">(U774/(N_9*U$27*U776*0.667))*SQRT(M*'Valve Sizing'!$W$6*'Valve Sizing'!$G$8/U783)</f>
        <v>7.1821821247497759</v>
      </c>
      <c r="V782" s="111"/>
      <c r="W782" s="28"/>
      <c r="X782" s="96">
        <f ca="1">(X774/(N_9*X$27*X776*0.667))*SQRT(M*'Valve Sizing'!$W$6*'Valve Sizing'!$G$8/X783)</f>
        <v>17.781479086301932</v>
      </c>
      <c r="Y782" s="111"/>
      <c r="Z782" s="28"/>
      <c r="AA782" s="96">
        <f ca="1">(AA774/(N_9*AA$27*AA776*0.667))*SQRT(M*'Valve Sizing'!$W$6*'Valve Sizing'!$G$8/AA783)</f>
        <v>35.560133346355457</v>
      </c>
      <c r="AB782" s="111"/>
      <c r="AC782" s="28"/>
      <c r="AD782" s="96">
        <f ca="1">(AD774/(N_9*AD$27*AD776*0.667))*SQRT(M*'Valve Sizing'!$W$6*'Valve Sizing'!$G$8/AD783)</f>
        <v>63.449201005321413</v>
      </c>
      <c r="AE782" s="111"/>
      <c r="AF782" s="28"/>
      <c r="AG782" s="96">
        <f ca="1">(AG774/(N_9*AG$27*AG776*0.667))*SQRT(M*'Valve Sizing'!$W$6*'Valve Sizing'!$G$8/AG783)</f>
        <v>103.78446528415714</v>
      </c>
      <c r="AH782" s="111"/>
      <c r="AI782" s="28"/>
      <c r="AJ782" s="96">
        <f ca="1">(AJ774/(N_9*AJ$27*AJ776*0.667))*SQRT(M*'Valve Sizing'!$W$6*'Valve Sizing'!$G$8/AJ783)</f>
        <v>164.48369932982914</v>
      </c>
      <c r="AK782" s="111"/>
      <c r="AL782" s="28"/>
      <c r="AM782" s="96">
        <f ca="1">(AM774/(N_9*AM$27*AM776*0.667))*SQRT(M*'Valve Sizing'!$W$6*'Valve Sizing'!$G$8/AM783)</f>
        <v>255.02688922379983</v>
      </c>
      <c r="AN782" s="111"/>
      <c r="AO782" s="28"/>
      <c r="AP782" s="96">
        <f ca="1">(AP774/(N_9*AP$27*AP776*0.667))*SQRT(M*'Valve Sizing'!$W$6*'Valve Sizing'!$G$8/AP783)</f>
        <v>351.88046970017052</v>
      </c>
      <c r="AQ782" s="111"/>
      <c r="AR782" s="28"/>
      <c r="AS782" s="96">
        <f ca="1">(AS774/(N_9*AS$27*AS776*0.667))*SQRT(M*'Valve Sizing'!$W$6*'Valve Sizing'!$G$8/AS783)</f>
        <v>907.43359569682264</v>
      </c>
      <c r="AT782" s="111"/>
      <c r="AU782" s="28"/>
    </row>
    <row r="783" spans="15:47" ht="15.6" x14ac:dyDescent="0.35">
      <c r="O783" s="2" t="s">
        <v>68</v>
      </c>
      <c r="P783" s="143">
        <v>10</v>
      </c>
      <c r="Q783" s="2"/>
      <c r="R783" s="96">
        <f ca="1">F_GAMMA*R$29</f>
        <v>0.64002969751372984</v>
      </c>
      <c r="S783" s="107"/>
      <c r="T783" s="1"/>
      <c r="U783" s="96">
        <f ca="1">F_GAMMA*U$29</f>
        <v>0.64017842058782071</v>
      </c>
      <c r="V783" s="111"/>
      <c r="W783" s="28"/>
      <c r="X783" s="96">
        <f ca="1">F_GAMMA*X$29</f>
        <v>0.63413873724904268</v>
      </c>
      <c r="Y783" s="111"/>
      <c r="Z783" s="28"/>
      <c r="AA783" s="96">
        <f ca="1">F_GAMMA*AA$29</f>
        <v>0.62532411750377137</v>
      </c>
      <c r="AB783" s="111"/>
      <c r="AC783" s="28"/>
      <c r="AD783" s="96">
        <f ca="1">F_GAMMA*AD$29</f>
        <v>0.60651359509139569</v>
      </c>
      <c r="AE783" s="111"/>
      <c r="AF783" s="28"/>
      <c r="AG783" s="96">
        <f ca="1">F_GAMMA*AG$29</f>
        <v>0.57217930198481592</v>
      </c>
      <c r="AH783" s="111"/>
      <c r="AI783" s="28"/>
      <c r="AJ783" s="96">
        <f ca="1">F_GAMMA*AJ$29</f>
        <v>0.53183282018848232</v>
      </c>
      <c r="AK783" s="111"/>
      <c r="AL783" s="28"/>
      <c r="AM783" s="96">
        <f ca="1">F_GAMMA*AM$29</f>
        <v>0.47566512503094399</v>
      </c>
      <c r="AN783" s="111"/>
      <c r="AO783" s="28"/>
      <c r="AP783" s="96">
        <f ca="1">F_GAMMA*AP$29</f>
        <v>0.59054158265645496</v>
      </c>
      <c r="AQ783" s="111"/>
      <c r="AR783" s="28"/>
      <c r="AS783" s="96">
        <f ca="1">F_GAMMA*AS$29</f>
        <v>0.3766899554102966</v>
      </c>
      <c r="AT783" s="111"/>
      <c r="AU783" s="28"/>
    </row>
    <row r="784" spans="15:47" x14ac:dyDescent="0.25">
      <c r="O784" s="2" t="s">
        <v>145</v>
      </c>
      <c r="P784" s="12"/>
      <c r="Q784" s="2"/>
      <c r="R784" s="96">
        <f ca="1">IF(R779&lt;R783,R781,R782)</f>
        <v>0.36754088150299363</v>
      </c>
      <c r="S784" s="116"/>
      <c r="T784" s="1"/>
      <c r="U784" s="96">
        <f ca="1">IF(U779&lt;U783,U781,U782)</f>
        <v>8.0272643231611127</v>
      </c>
      <c r="V784" s="111"/>
      <c r="W784" s="28"/>
      <c r="X784" s="96">
        <f ca="1">IF(X779&lt;X783,X781,X782)</f>
        <v>19.86514983331038</v>
      </c>
      <c r="Y784" s="111"/>
      <c r="Z784" s="28"/>
      <c r="AA784" s="96">
        <f ca="1">IF(AA779&lt;AA783,AA781,AA782)</f>
        <v>39.886261464855671</v>
      </c>
      <c r="AB784" s="111"/>
      <c r="AC784" s="28"/>
      <c r="AD784" s="96">
        <f ca="1">IF(AD779&lt;AD783,AD781,AD782)</f>
        <v>72.127608936796889</v>
      </c>
      <c r="AE784" s="111"/>
      <c r="AF784" s="28"/>
      <c r="AG784" s="96">
        <f ca="1">IF(AG779&lt;AG783,AG781,AG782)</f>
        <v>121.98393751168386</v>
      </c>
      <c r="AH784" s="111"/>
      <c r="AI784" s="28"/>
      <c r="AJ784" s="96">
        <f ca="1">IF(AJ779&lt;AJ783,AJ781,AJ782)</f>
        <v>214.65185611254412</v>
      </c>
      <c r="AK784" s="111"/>
      <c r="AL784" s="28"/>
      <c r="AM784" s="96">
        <f ca="1">IF(AM779&lt;AM783,AM781,AM782)</f>
        <v>478.777084117676</v>
      </c>
      <c r="AN784" s="111"/>
      <c r="AO784" s="28"/>
      <c r="AP784" s="96" t="e">
        <f ca="1">IF(AP779&lt;AP783,AP781,AP782)</f>
        <v>#NUM!</v>
      </c>
      <c r="AQ784" s="111"/>
      <c r="AR784" s="28"/>
      <c r="AS784" s="96" t="e">
        <f ca="1">IF(AS779&lt;AS783,AS781,AS782)</f>
        <v>#NUM!</v>
      </c>
      <c r="AT784" s="111"/>
      <c r="AU784" s="28"/>
    </row>
    <row r="785" spans="15:47" x14ac:dyDescent="0.25">
      <c r="O785" s="13" t="s">
        <v>143</v>
      </c>
      <c r="P785" s="1"/>
      <c r="Q785" s="1"/>
      <c r="R785" s="113"/>
      <c r="S785" s="106">
        <f ca="1">IF(R778&lt;=0,Q_max,ABS(R$23-R784))</f>
        <v>4.3624591184970072</v>
      </c>
      <c r="T785" s="7">
        <f>R774</f>
        <v>910.11394112394123</v>
      </c>
      <c r="U785" s="98"/>
      <c r="V785" s="106">
        <f ca="1">IF(U778&lt;=0,Q_max,ABS(U$23-U784))</f>
        <v>3.5727356768388869</v>
      </c>
      <c r="W785" s="9">
        <f ca="1">U774</f>
        <v>19840.41420966441</v>
      </c>
      <c r="X785" s="98"/>
      <c r="Y785" s="106">
        <f ca="1">IF(X778&lt;=0,Q_max,ABS(X$23-X784))</f>
        <v>3.1348501666896205</v>
      </c>
      <c r="Z785" s="9">
        <f ca="1">X774</f>
        <v>48581.88651234431</v>
      </c>
      <c r="AA785" s="98"/>
      <c r="AB785" s="106">
        <f ca="1">IF(AA778&lt;=0,Q_max,ABS(AA$23-AA784))</f>
        <v>0.4862614648556729</v>
      </c>
      <c r="AC785" s="9">
        <f ca="1">AA774</f>
        <v>94625.114622342779</v>
      </c>
      <c r="AD785" s="98"/>
      <c r="AE785" s="106">
        <f ca="1">IF(AD778&lt;=0,Q_max,ABS(AD$23-AD784))</f>
        <v>11.127608936796889</v>
      </c>
      <c r="AF785" s="9">
        <f ca="1">AD774</f>
        <v>158751.50649406578</v>
      </c>
      <c r="AG785" s="98"/>
      <c r="AH785" s="106">
        <f ca="1">IF(AG778&lt;=0,Q_max,ABS(AG$23-AG784))</f>
        <v>33.78393751168386</v>
      </c>
      <c r="AI785" s="9">
        <f ca="1">AG774</f>
        <v>231702.14750662641</v>
      </c>
      <c r="AJ785" s="98"/>
      <c r="AK785" s="106">
        <f ca="1">IF(AJ778&lt;=0,Q_max,ABS(AJ$23-AJ784))</f>
        <v>93.651856112544124</v>
      </c>
      <c r="AL785" s="9">
        <f ca="1">AJ774</f>
        <v>309207.41405654588</v>
      </c>
      <c r="AM785" s="98"/>
      <c r="AN785" s="106">
        <f ca="1">IF(AM778&lt;=0,Q_max,ABS(AM$23-AM784))</f>
        <v>313.777084117676</v>
      </c>
      <c r="AO785" s="9">
        <f ca="1">AM774</f>
        <v>377291.80690986424</v>
      </c>
      <c r="AP785" s="98"/>
      <c r="AQ785" s="106">
        <f ca="1">IF(AP778&lt;=0,Q_max,ABS(AP$23-AP784))</f>
        <v>236393</v>
      </c>
      <c r="AR785" s="9">
        <f ca="1">AP774</f>
        <v>438024.07493780425</v>
      </c>
      <c r="AS785" s="98"/>
      <c r="AT785" s="106">
        <f ca="1">IF(AS778&lt;=0,Q_max,ABS(AS$23-AS784))</f>
        <v>236393</v>
      </c>
      <c r="AU785" s="9">
        <f ca="1">AS774</f>
        <v>513617.6762345272</v>
      </c>
    </row>
    <row r="786" spans="15:47" x14ac:dyDescent="0.25">
      <c r="O786" s="21"/>
      <c r="P786" s="14"/>
      <c r="Q786" s="21"/>
      <c r="R786" s="97"/>
      <c r="S786" s="106"/>
      <c r="T786" s="28"/>
      <c r="U786" s="97"/>
      <c r="V786" s="111"/>
      <c r="W786" s="28"/>
      <c r="X786" s="97"/>
      <c r="Y786" s="111"/>
      <c r="Z786" s="28"/>
      <c r="AA786" s="97"/>
      <c r="AB786" s="111"/>
      <c r="AC786" s="28"/>
      <c r="AD786" s="97"/>
      <c r="AE786" s="111"/>
      <c r="AF786" s="28"/>
      <c r="AG786" s="97"/>
      <c r="AH786" s="111"/>
      <c r="AI786" s="28"/>
      <c r="AJ786" s="97"/>
      <c r="AK786" s="111"/>
      <c r="AL786" s="28"/>
      <c r="AM786" s="97"/>
      <c r="AN786" s="111"/>
      <c r="AO786" s="28"/>
      <c r="AP786" s="97"/>
      <c r="AQ786" s="111"/>
      <c r="AR786" s="28"/>
      <c r="AS786" s="97"/>
      <c r="AT786" s="111"/>
      <c r="AU786" s="28"/>
    </row>
    <row r="787" spans="15:47" x14ac:dyDescent="0.25">
      <c r="O787" s="1"/>
      <c r="P787" s="1"/>
      <c r="Q787" s="1"/>
      <c r="R787" s="98"/>
      <c r="S787" s="108" t="s">
        <v>137</v>
      </c>
      <c r="T787" s="26" t="s">
        <v>146</v>
      </c>
      <c r="U787" s="98"/>
      <c r="V787" s="108" t="s">
        <v>137</v>
      </c>
      <c r="W787" s="26" t="s">
        <v>146</v>
      </c>
      <c r="X787" s="98"/>
      <c r="Y787" s="108" t="s">
        <v>137</v>
      </c>
      <c r="Z787" s="26" t="s">
        <v>146</v>
      </c>
      <c r="AA787" s="98"/>
      <c r="AB787" s="108" t="s">
        <v>137</v>
      </c>
      <c r="AC787" s="26" t="s">
        <v>146</v>
      </c>
      <c r="AD787" s="98"/>
      <c r="AE787" s="108" t="s">
        <v>137</v>
      </c>
      <c r="AF787" s="26" t="s">
        <v>146</v>
      </c>
      <c r="AG787" s="98"/>
      <c r="AH787" s="108" t="s">
        <v>137</v>
      </c>
      <c r="AI787" s="26" t="s">
        <v>146</v>
      </c>
      <c r="AJ787" s="98"/>
      <c r="AK787" s="108" t="s">
        <v>137</v>
      </c>
      <c r="AL787" s="26" t="s">
        <v>146</v>
      </c>
      <c r="AM787" s="98"/>
      <c r="AN787" s="108" t="s">
        <v>137</v>
      </c>
      <c r="AO787" s="26" t="s">
        <v>146</v>
      </c>
      <c r="AP787" s="98"/>
      <c r="AQ787" s="108" t="s">
        <v>137</v>
      </c>
      <c r="AR787" s="26" t="s">
        <v>146</v>
      </c>
      <c r="AS787" s="98"/>
      <c r="AT787" s="108" t="s">
        <v>137</v>
      </c>
      <c r="AU787" s="26" t="s">
        <v>146</v>
      </c>
    </row>
    <row r="788" spans="15:47" ht="13.8" x14ac:dyDescent="0.25">
      <c r="O788" s="20" t="s">
        <v>136</v>
      </c>
      <c r="P788" s="1"/>
      <c r="Q788" s="1"/>
      <c r="R788" s="96">
        <f>R774*1.02</f>
        <v>928.31621994642012</v>
      </c>
      <c r="S788" s="109" t="s">
        <v>144</v>
      </c>
      <c r="T788" s="23" t="s">
        <v>147</v>
      </c>
      <c r="U788" s="96">
        <f ca="1">U774*1.01</f>
        <v>20038.818351761056</v>
      </c>
      <c r="V788" s="109" t="s">
        <v>144</v>
      </c>
      <c r="W788" s="23" t="s">
        <v>147</v>
      </c>
      <c r="X788" s="96">
        <f ca="1">X774*1.01</f>
        <v>49067.705377467755</v>
      </c>
      <c r="Y788" s="109" t="s">
        <v>144</v>
      </c>
      <c r="Z788" s="23" t="s">
        <v>147</v>
      </c>
      <c r="AA788" s="96">
        <f ca="1">AA774*1.01</f>
        <v>95571.365768566204</v>
      </c>
      <c r="AB788" s="109" t="s">
        <v>144</v>
      </c>
      <c r="AC788" s="23" t="s">
        <v>147</v>
      </c>
      <c r="AD788" s="96">
        <f ca="1">AD774*1.01</f>
        <v>160339.02155900645</v>
      </c>
      <c r="AE788" s="109" t="s">
        <v>144</v>
      </c>
      <c r="AF788" s="23" t="s">
        <v>147</v>
      </c>
      <c r="AG788" s="96">
        <f ca="1">AG774*1.01</f>
        <v>234019.16898169267</v>
      </c>
      <c r="AH788" s="109" t="s">
        <v>144</v>
      </c>
      <c r="AI788" s="23" t="s">
        <v>147</v>
      </c>
      <c r="AJ788" s="96">
        <f ca="1">AJ774*1.01</f>
        <v>312299.48819711135</v>
      </c>
      <c r="AK788" s="109" t="s">
        <v>144</v>
      </c>
      <c r="AL788" s="23" t="s">
        <v>147</v>
      </c>
      <c r="AM788" s="96">
        <f ca="1">AM774*1.01</f>
        <v>381064.72497896291</v>
      </c>
      <c r="AN788" s="109" t="s">
        <v>144</v>
      </c>
      <c r="AO788" s="23" t="s">
        <v>147</v>
      </c>
      <c r="AP788" s="96">
        <f ca="1">AP774*1.01</f>
        <v>442404.3156871823</v>
      </c>
      <c r="AQ788" s="109" t="s">
        <v>144</v>
      </c>
      <c r="AR788" s="23" t="s">
        <v>147</v>
      </c>
      <c r="AS788" s="96">
        <f ca="1">AS774*1.01</f>
        <v>518753.85299687251</v>
      </c>
      <c r="AT788" s="109" t="s">
        <v>144</v>
      </c>
      <c r="AU788" s="23" t="s">
        <v>147</v>
      </c>
    </row>
    <row r="789" spans="15:47" x14ac:dyDescent="0.25">
      <c r="O789" s="1"/>
      <c r="P789" s="1"/>
      <c r="Q789" s="1"/>
      <c r="R789" s="98"/>
      <c r="S789" s="107"/>
      <c r="T789" s="1"/>
      <c r="U789" s="47"/>
      <c r="V789" s="107"/>
      <c r="W789" s="1"/>
      <c r="X789" s="47"/>
      <c r="Y789" s="107"/>
      <c r="Z789" s="1"/>
      <c r="AA789" s="47"/>
      <c r="AB789" s="107"/>
      <c r="AC789" s="1"/>
      <c r="AD789" s="47"/>
      <c r="AE789" s="107"/>
      <c r="AF789" s="1"/>
      <c r="AG789" s="47"/>
      <c r="AH789" s="107"/>
      <c r="AI789" s="1"/>
      <c r="AJ789" s="47"/>
      <c r="AK789" s="107"/>
      <c r="AL789" s="1"/>
      <c r="AM789" s="47"/>
      <c r="AN789" s="107"/>
      <c r="AO789" s="1"/>
      <c r="AP789" s="47"/>
      <c r="AQ789" s="107"/>
      <c r="AR789" s="1"/>
      <c r="AS789" s="47"/>
      <c r="AT789" s="107"/>
      <c r="AU789" s="1"/>
    </row>
    <row r="790" spans="15:47" x14ac:dyDescent="0.25">
      <c r="O790" s="8" t="s">
        <v>132</v>
      </c>
      <c r="P790" s="8"/>
      <c r="Q790" s="8"/>
      <c r="R790" s="96">
        <f>P_1_minQ-(R788^2*R_up)+dpup_minQ</f>
        <v>90.184883463087075</v>
      </c>
      <c r="S790" s="106"/>
      <c r="T790" s="22"/>
      <c r="U790" s="96">
        <f ca="1">P_1_minQ-(U788^2*R_up)+dpup_minQ</f>
        <v>90.111852888406091</v>
      </c>
      <c r="V790" s="107"/>
      <c r="W790" s="1"/>
      <c r="X790" s="96">
        <f ca="1">P_1_minQ-(X788^2*R_up)+dpup_minQ</f>
        <v>89.746221922682935</v>
      </c>
      <c r="Y790" s="107"/>
      <c r="Z790" s="1"/>
      <c r="AA790" s="96">
        <f ca="1">P_1_minQ-(AA788^2*R_up)+dpup_minQ</f>
        <v>88.520290153314278</v>
      </c>
      <c r="AB790" s="107"/>
      <c r="AC790" s="1"/>
      <c r="AD790" s="96">
        <f ca="1">P_1_minQ-(AD788^2*R_up)+dpup_minQ</f>
        <v>85.49936733419365</v>
      </c>
      <c r="AE790" s="107"/>
      <c r="AF790" s="1"/>
      <c r="AG790" s="96">
        <f ca="1">P_1_minQ-(AG788^2*R_up)+dpup_minQ</f>
        <v>80.203526931716098</v>
      </c>
      <c r="AH790" s="107"/>
      <c r="AI790" s="1"/>
      <c r="AJ790" s="96">
        <f ca="1">P_1_minQ-(AJ788^2*R_up)+dpup_minQ</f>
        <v>72.408957007915404</v>
      </c>
      <c r="AK790" s="107"/>
      <c r="AL790" s="1"/>
      <c r="AM790" s="96">
        <f ca="1">P_1_minQ-(AM788^2*R_up)+dpup_minQ</f>
        <v>63.71887444860814</v>
      </c>
      <c r="AN790" s="107"/>
      <c r="AO790" s="1"/>
      <c r="AP790" s="96">
        <f ca="1">P_1_minQ-(AP788^2*R_up)+dpup_minQ</f>
        <v>54.512647284086562</v>
      </c>
      <c r="AQ790" s="107"/>
      <c r="AR790" s="1"/>
      <c r="AS790" s="96">
        <f ca="1">P_1_minQ-(AS788^2*R_up)+dpup_minQ</f>
        <v>41.137615955539808</v>
      </c>
      <c r="AT790" s="107"/>
      <c r="AU790" s="1"/>
    </row>
    <row r="791" spans="15:47" x14ac:dyDescent="0.25">
      <c r="O791" s="8" t="s">
        <v>134</v>
      </c>
      <c r="P791" s="1"/>
      <c r="Q791" s="8"/>
      <c r="R791" s="97">
        <f>P_2_minQ+(R788^2*R_dn)-dpdn_minQ</f>
        <v>60</v>
      </c>
      <c r="S791" s="106"/>
      <c r="T791" s="22"/>
      <c r="U791" s="97">
        <f ca="1">P_2_minQ+(U788^2*R_dn)-dpdn_minQ</f>
        <v>60</v>
      </c>
      <c r="V791" s="107"/>
      <c r="W791" s="1"/>
      <c r="X791" s="97">
        <f ca="1">P_2_minQ+(X788^2*R_dn)-dpdn_minQ</f>
        <v>60</v>
      </c>
      <c r="Y791" s="107"/>
      <c r="Z791" s="1"/>
      <c r="AA791" s="97">
        <f ca="1">P_2_minQ+(AA788^2*R_dn)-dpdn_minQ</f>
        <v>60</v>
      </c>
      <c r="AB791" s="107"/>
      <c r="AC791" s="1"/>
      <c r="AD791" s="97">
        <f ca="1">P_2_minQ+(AD788^2*R_dn)-dpdn_minQ</f>
        <v>60</v>
      </c>
      <c r="AE791" s="107"/>
      <c r="AF791" s="1"/>
      <c r="AG791" s="97">
        <f ca="1">P_2_minQ+(AG788^2*R_dn)-dpdn_minQ</f>
        <v>60</v>
      </c>
      <c r="AH791" s="107"/>
      <c r="AI791" s="1"/>
      <c r="AJ791" s="97">
        <f ca="1">P_2_minQ+(AJ788^2*R_dn)-dpdn_minQ</f>
        <v>60</v>
      </c>
      <c r="AK791" s="107"/>
      <c r="AL791" s="1"/>
      <c r="AM791" s="97">
        <f ca="1">P_2_minQ+(AM788^2*R_dn)-dpdn_minQ</f>
        <v>60</v>
      </c>
      <c r="AN791" s="107"/>
      <c r="AO791" s="1"/>
      <c r="AP791" s="97">
        <f ca="1">P_2_minQ+(AP788^2*R_dn)-dpdn_minQ</f>
        <v>60</v>
      </c>
      <c r="AQ791" s="107"/>
      <c r="AR791" s="1"/>
      <c r="AS791" s="97">
        <f ca="1">P_2_minQ+(AS788^2*R_dn)-dpdn_minQ</f>
        <v>60</v>
      </c>
      <c r="AT791" s="107"/>
      <c r="AU791" s="1"/>
    </row>
    <row r="792" spans="15:47" x14ac:dyDescent="0.25">
      <c r="O792" s="8" t="s">
        <v>138</v>
      </c>
      <c r="P792" s="1"/>
      <c r="Q792" s="8"/>
      <c r="R792" s="97">
        <f>R790-R791</f>
        <v>30.184883463087075</v>
      </c>
      <c r="S792" s="106"/>
      <c r="T792" s="22"/>
      <c r="U792" s="97">
        <f ca="1">U790-U791</f>
        <v>30.111852888406091</v>
      </c>
      <c r="V792" s="110"/>
      <c r="W792" s="25"/>
      <c r="X792" s="97">
        <f ca="1">X790-X791</f>
        <v>29.746221922682935</v>
      </c>
      <c r="Y792" s="110"/>
      <c r="Z792" s="25"/>
      <c r="AA792" s="97">
        <f ca="1">AA790-AA791</f>
        <v>28.520290153314278</v>
      </c>
      <c r="AB792" s="110"/>
      <c r="AC792" s="25"/>
      <c r="AD792" s="97">
        <f ca="1">AD790-AD791</f>
        <v>25.49936733419365</v>
      </c>
      <c r="AE792" s="110"/>
      <c r="AF792" s="25"/>
      <c r="AG792" s="97">
        <f ca="1">AG790-AG791</f>
        <v>20.203526931716098</v>
      </c>
      <c r="AH792" s="110"/>
      <c r="AI792" s="25"/>
      <c r="AJ792" s="97">
        <f ca="1">AJ790-AJ791</f>
        <v>12.408957007915404</v>
      </c>
      <c r="AK792" s="110"/>
      <c r="AL792" s="25"/>
      <c r="AM792" s="97">
        <f ca="1">AM790-AM791</f>
        <v>3.7188744486081404</v>
      </c>
      <c r="AN792" s="110"/>
      <c r="AO792" s="25"/>
      <c r="AP792" s="97">
        <f ca="1">AP790-AP791</f>
        <v>-5.4873527159134383</v>
      </c>
      <c r="AQ792" s="110"/>
      <c r="AR792" s="25"/>
      <c r="AS792" s="97">
        <f ca="1">AS790-AS791</f>
        <v>-18.862384044460192</v>
      </c>
      <c r="AT792" s="110"/>
      <c r="AU792" s="25"/>
    </row>
    <row r="793" spans="15:47" ht="14.4" x14ac:dyDescent="0.3">
      <c r="O793" s="2" t="s">
        <v>140</v>
      </c>
      <c r="P793" s="11"/>
      <c r="Q793" s="2"/>
      <c r="R793" s="96">
        <f>R792/R790</f>
        <v>0.3347000329100811</v>
      </c>
      <c r="S793" s="106"/>
      <c r="T793" s="22"/>
      <c r="U793" s="96">
        <f ca="1">U792/U790</f>
        <v>0.33416084480802327</v>
      </c>
      <c r="V793" s="111"/>
      <c r="W793" s="28"/>
      <c r="X793" s="96">
        <f ca="1">X792/X790</f>
        <v>0.33144818005051552</v>
      </c>
      <c r="Y793" s="111"/>
      <c r="Z793" s="28"/>
      <c r="AA793" s="96">
        <f ca="1">AA792/AA790</f>
        <v>0.32218929811366476</v>
      </c>
      <c r="AB793" s="111"/>
      <c r="AC793" s="28"/>
      <c r="AD793" s="96">
        <f ca="1">AD792/AD790</f>
        <v>0.29824042129485701</v>
      </c>
      <c r="AE793" s="111"/>
      <c r="AF793" s="28"/>
      <c r="AG793" s="96">
        <f ca="1">AG792/AG790</f>
        <v>0.25190322302056656</v>
      </c>
      <c r="AH793" s="111"/>
      <c r="AI793" s="28"/>
      <c r="AJ793" s="96">
        <f ca="1">AJ792/AJ790</f>
        <v>0.1713732322723405</v>
      </c>
      <c r="AK793" s="111"/>
      <c r="AL793" s="28"/>
      <c r="AM793" s="96">
        <f ca="1">AM792/AM790</f>
        <v>5.8363781231063075E-2</v>
      </c>
      <c r="AN793" s="111"/>
      <c r="AO793" s="28"/>
      <c r="AP793" s="96">
        <f ca="1">AP792/AP790</f>
        <v>-0.10066201128183545</v>
      </c>
      <c r="AQ793" s="111"/>
      <c r="AR793" s="28"/>
      <c r="AS793" s="96">
        <f ca="1">AS792/AS790</f>
        <v>-0.45851913404136113</v>
      </c>
      <c r="AT793" s="111"/>
      <c r="AU793" s="28"/>
    </row>
    <row r="794" spans="15:47" x14ac:dyDescent="0.25">
      <c r="O794" s="2" t="s">
        <v>21</v>
      </c>
      <c r="P794" s="8">
        <v>12</v>
      </c>
      <c r="Q794" s="2"/>
      <c r="R794" s="96">
        <f ca="1">1-R793/(3*F_GAMMA*R$29)</f>
        <v>0.82568515481377269</v>
      </c>
      <c r="S794" s="106"/>
      <c r="T794" s="22"/>
      <c r="U794" s="96">
        <f ca="1">1-U793/(3*F_GAMMA*U$29)</f>
        <v>0.82600639964236211</v>
      </c>
      <c r="V794" s="111"/>
      <c r="W794" s="28"/>
      <c r="X794" s="96">
        <f ca="1">1-X793/(3*F_GAMMA*X$29)</f>
        <v>0.82577514951571906</v>
      </c>
      <c r="Y794" s="111"/>
      <c r="Z794" s="28"/>
      <c r="AA794" s="96">
        <f ca="1">1-AA793/(3*F_GAMMA*AA$29)</f>
        <v>0.82825477268768988</v>
      </c>
      <c r="AB794" s="111"/>
      <c r="AC794" s="28"/>
      <c r="AD794" s="96">
        <f ca="1">1-AD793/(3*F_GAMMA*AD$29)</f>
        <v>0.83609027964167615</v>
      </c>
      <c r="AE794" s="111"/>
      <c r="AF794" s="28"/>
      <c r="AG794" s="96">
        <f ca="1">1-AG793/(3*F_GAMMA*AG$29)</f>
        <v>0.853249251212719</v>
      </c>
      <c r="AH794" s="111"/>
      <c r="AI794" s="28"/>
      <c r="AJ794" s="96">
        <f ca="1">1-AJ793/(3*F_GAMMA*AJ$29)</f>
        <v>0.89258953455109846</v>
      </c>
      <c r="AK794" s="111"/>
      <c r="AL794" s="28"/>
      <c r="AM794" s="96">
        <f ca="1">1-AM793/(3*F_GAMMA*AM$29)</f>
        <v>0.9591002309819916</v>
      </c>
      <c r="AN794" s="111"/>
      <c r="AO794" s="28"/>
      <c r="AP794" s="96">
        <f ca="1">1-AP793/(3*F_GAMMA*AP$29)</f>
        <v>1.0568190365353691</v>
      </c>
      <c r="AQ794" s="111"/>
      <c r="AR794" s="28"/>
      <c r="AS794" s="96">
        <f ca="1">1-AS793/(3*F_GAMMA*AS$29)</f>
        <v>1.4057440586135219</v>
      </c>
      <c r="AT794" s="111"/>
      <c r="AU794" s="28"/>
    </row>
    <row r="795" spans="15:47" x14ac:dyDescent="0.25">
      <c r="O795" s="2" t="s">
        <v>57</v>
      </c>
      <c r="P795" s="143">
        <v>7</v>
      </c>
      <c r="Q795" s="2"/>
      <c r="R795" s="96">
        <f ca="1">(R788/(N_9*R$27*R790*R794))*SQRT(M*'Valve Sizing'!$W$6*'Valve Sizing'!$G$8/R793)</f>
        <v>0.37489173904535567</v>
      </c>
      <c r="S795" s="107"/>
      <c r="T795" s="22"/>
      <c r="U795" s="96">
        <f ca="1">(U788/(N_9*U$27*U790*U794))*SQRT(M*'Valve Sizing'!$W$6*'Valve Sizing'!$G$8/U793)</f>
        <v>8.1077415189863515</v>
      </c>
      <c r="V795" s="111"/>
      <c r="W795" s="28"/>
      <c r="X795" s="96">
        <f ca="1">(X788/(N_9*X$27*X790*X794))*SQRT(M*'Valve Sizing'!$W$6*'Valve Sizing'!$G$8/X793)</f>
        <v>20.0668610526041</v>
      </c>
      <c r="Y795" s="111"/>
      <c r="Z795" s="28"/>
      <c r="AA795" s="96">
        <f ca="1">(AA788/(N_9*AA$27*AA790*AA794))*SQRT(M*'Valve Sizing'!$W$6*'Valve Sizing'!$G$8/AA793)</f>
        <v>40.309237059491622</v>
      </c>
      <c r="AB795" s="111"/>
      <c r="AC795" s="28"/>
      <c r="AD795" s="96">
        <f ca="1">(AD788/(N_9*AD$27*AD790*AD794))*SQRT(M*'Valve Sizing'!$W$6*'Valve Sizing'!$G$8/AD793)</f>
        <v>72.98370855428621</v>
      </c>
      <c r="AE795" s="111"/>
      <c r="AF795" s="28"/>
      <c r="AG795" s="96">
        <f ca="1">(AG788/(N_9*AG$27*AG790*AG794))*SQRT(M*'Valve Sizing'!$W$6*'Valve Sizing'!$G$8/AG793)</f>
        <v>123.79882645746503</v>
      </c>
      <c r="AH795" s="111"/>
      <c r="AI795" s="28"/>
      <c r="AJ795" s="96">
        <f ca="1">(AJ788/(N_9*AJ$27*AJ790*AJ794))*SQRT(M*'Valve Sizing'!$W$6*'Valve Sizing'!$G$8/AJ793)</f>
        <v>219.75060271123047</v>
      </c>
      <c r="AK795" s="111"/>
      <c r="AL795" s="28"/>
      <c r="AM795" s="96">
        <f ca="1">(AM788/(N_9*AM$27*AM790*AM794))*SQRT(M*'Valve Sizing'!$W$6*'Valve Sizing'!$G$8/AM793)</f>
        <v>515.57044993562317</v>
      </c>
      <c r="AN795" s="111"/>
      <c r="AO795" s="28"/>
      <c r="AP795" s="96" t="e">
        <f ca="1">(AP788/(N_9*AP$27*AP790*AP794))*SQRT(M*'Valve Sizing'!$W$6*'Valve Sizing'!$G$8/AP793)</f>
        <v>#NUM!</v>
      </c>
      <c r="AQ795" s="111"/>
      <c r="AR795" s="28"/>
      <c r="AS795" s="96" t="e">
        <f ca="1">(AS788/(N_9*AS$27*AS790*AS794))*SQRT(M*'Valve Sizing'!$W$6*'Valve Sizing'!$G$8/AS793)</f>
        <v>#NUM!</v>
      </c>
      <c r="AT795" s="111"/>
      <c r="AU795" s="28"/>
    </row>
    <row r="796" spans="15:47" x14ac:dyDescent="0.25">
      <c r="O796" s="2" t="s">
        <v>59</v>
      </c>
      <c r="P796" s="143">
        <v>7</v>
      </c>
      <c r="Q796" s="2"/>
      <c r="R796" s="96">
        <f ca="1">(R788/(N_9*R$27*R790*0.667))*SQRT(M*'Valve Sizing'!$W$6*'Valve Sizing'!$G$8/R797)</f>
        <v>0.33560029019495002</v>
      </c>
      <c r="S796" s="107"/>
      <c r="T796" s="22"/>
      <c r="U796" s="96">
        <f ca="1">(U788/(N_9*U$27*U790*0.667))*SQRT(M*'Valve Sizing'!$W$6*'Valve Sizing'!$G$8/U797)</f>
        <v>7.254120033891053</v>
      </c>
      <c r="V796" s="111"/>
      <c r="W796" s="28"/>
      <c r="X796" s="96">
        <f ca="1">(X788/(N_9*X$27*X790*0.667))*SQRT(M*'Valve Sizing'!$W$6*'Valve Sizing'!$G$8/X797)</f>
        <v>17.961024137400276</v>
      </c>
      <c r="Y796" s="111"/>
      <c r="Z796" s="28"/>
      <c r="AA796" s="96">
        <f ca="1">(AA788/(N_9*AA$27*AA790*0.667))*SQRT(M*'Valve Sizing'!$W$6*'Valve Sizing'!$G$8/AA797)</f>
        <v>35.929043647106482</v>
      </c>
      <c r="AB796" s="111"/>
      <c r="AC796" s="28"/>
      <c r="AD796" s="96">
        <f ca="1">(AD788/(N_9*AD$27*AD790*0.667))*SQRT(M*'Valve Sizing'!$W$6*'Valve Sizing'!$G$8/AD797)</f>
        <v>64.152893627382724</v>
      </c>
      <c r="AE796" s="111"/>
      <c r="AF796" s="28"/>
      <c r="AG796" s="96">
        <f ca="1">(AG788/(N_9*AG$27*AG790*0.667))*SQRT(M*'Valve Sizing'!$W$6*'Valve Sizing'!$G$8/AG797)</f>
        <v>105.07935541721524</v>
      </c>
      <c r="AH796" s="111"/>
      <c r="AI796" s="28"/>
      <c r="AJ796" s="96">
        <f ca="1">(AJ788/(N_9*AJ$27*AJ790*0.667))*SQRT(M*'Valve Sizing'!$W$6*'Valve Sizing'!$G$8/AJ797)</f>
        <v>166.93213893363907</v>
      </c>
      <c r="AK796" s="111"/>
      <c r="AL796" s="28"/>
      <c r="AM796" s="96">
        <f ca="1">(AM788/(N_9*AM$27*AM790*0.667))*SQRT(M*'Valve Sizing'!$W$6*'Valve Sizing'!$G$8/AM797)</f>
        <v>259.68522116058972</v>
      </c>
      <c r="AN796" s="111"/>
      <c r="AO796" s="28"/>
      <c r="AP796" s="96">
        <f ca="1">(AP788/(N_9*AP$27*AP790*0.667))*SQRT(M*'Valve Sizing'!$W$6*'Valve Sizing'!$G$8/AP797)</f>
        <v>359.98179916068318</v>
      </c>
      <c r="AQ796" s="111"/>
      <c r="AR796" s="28"/>
      <c r="AS796" s="96">
        <f ca="1">(AS788/(N_9*AS$27*AS790*0.667))*SQRT(M*'Valve Sizing'!$W$6*'Valve Sizing'!$G$8/AS797)</f>
        <v>938.03905188977842</v>
      </c>
      <c r="AT796" s="111"/>
      <c r="AU796" s="28"/>
    </row>
    <row r="797" spans="15:47" ht="15.6" x14ac:dyDescent="0.35">
      <c r="O797" s="2" t="s">
        <v>68</v>
      </c>
      <c r="P797" s="143">
        <v>10</v>
      </c>
      <c r="Q797" s="2"/>
      <c r="R797" s="96">
        <f ca="1">F_GAMMA*R$29</f>
        <v>0.64002969751372984</v>
      </c>
      <c r="S797" s="107"/>
      <c r="T797" s="1"/>
      <c r="U797" s="96">
        <f ca="1">F_GAMMA*U$29</f>
        <v>0.64017842058782071</v>
      </c>
      <c r="V797" s="111"/>
      <c r="W797" s="28"/>
      <c r="X797" s="96">
        <f ca="1">F_GAMMA*X$29</f>
        <v>0.63413873724904268</v>
      </c>
      <c r="Y797" s="111"/>
      <c r="Z797" s="28"/>
      <c r="AA797" s="96">
        <f ca="1">F_GAMMA*AA$29</f>
        <v>0.62532411750377137</v>
      </c>
      <c r="AB797" s="111"/>
      <c r="AC797" s="28"/>
      <c r="AD797" s="96">
        <f ca="1">F_GAMMA*AD$29</f>
        <v>0.60651359509139569</v>
      </c>
      <c r="AE797" s="111"/>
      <c r="AF797" s="28"/>
      <c r="AG797" s="96">
        <f ca="1">F_GAMMA*AG$29</f>
        <v>0.57217930198481592</v>
      </c>
      <c r="AH797" s="111"/>
      <c r="AI797" s="28"/>
      <c r="AJ797" s="96">
        <f ca="1">F_GAMMA*AJ$29</f>
        <v>0.53183282018848232</v>
      </c>
      <c r="AK797" s="111"/>
      <c r="AL797" s="28"/>
      <c r="AM797" s="96">
        <f ca="1">F_GAMMA*AM$29</f>
        <v>0.47566512503094399</v>
      </c>
      <c r="AN797" s="111"/>
      <c r="AO797" s="28"/>
      <c r="AP797" s="96">
        <f ca="1">F_GAMMA*AP$29</f>
        <v>0.59054158265645496</v>
      </c>
      <c r="AQ797" s="111"/>
      <c r="AR797" s="28"/>
      <c r="AS797" s="96">
        <f ca="1">F_GAMMA*AS$29</f>
        <v>0.3766899554102966</v>
      </c>
      <c r="AT797" s="111"/>
      <c r="AU797" s="28"/>
    </row>
    <row r="798" spans="15:47" x14ac:dyDescent="0.25">
      <c r="O798" s="2" t="s">
        <v>145</v>
      </c>
      <c r="P798" s="12"/>
      <c r="Q798" s="2"/>
      <c r="R798" s="96">
        <f ca="1">IF(R793&lt;R797,R795,R796)</f>
        <v>0.37489173904535567</v>
      </c>
      <c r="S798" s="116"/>
      <c r="T798" s="1"/>
      <c r="U798" s="96">
        <f ca="1">IF(U793&lt;U797,U795,U796)</f>
        <v>8.1077415189863515</v>
      </c>
      <c r="V798" s="111"/>
      <c r="W798" s="28"/>
      <c r="X798" s="96">
        <f ca="1">IF(X793&lt;X797,X795,X796)</f>
        <v>20.0668610526041</v>
      </c>
      <c r="Y798" s="111"/>
      <c r="Z798" s="28"/>
      <c r="AA798" s="96">
        <f ca="1">IF(AA793&lt;AA797,AA795,AA796)</f>
        <v>40.309237059491622</v>
      </c>
      <c r="AB798" s="111"/>
      <c r="AC798" s="28"/>
      <c r="AD798" s="96">
        <f ca="1">IF(AD793&lt;AD797,AD795,AD796)</f>
        <v>72.98370855428621</v>
      </c>
      <c r="AE798" s="111"/>
      <c r="AF798" s="28"/>
      <c r="AG798" s="96">
        <f ca="1">IF(AG793&lt;AG797,AG795,AG796)</f>
        <v>123.79882645746503</v>
      </c>
      <c r="AH798" s="111"/>
      <c r="AI798" s="28"/>
      <c r="AJ798" s="96">
        <f ca="1">IF(AJ793&lt;AJ797,AJ795,AJ796)</f>
        <v>219.75060271123047</v>
      </c>
      <c r="AK798" s="111"/>
      <c r="AL798" s="28"/>
      <c r="AM798" s="96">
        <f ca="1">IF(AM793&lt;AM797,AM795,AM796)</f>
        <v>515.57044993562317</v>
      </c>
      <c r="AN798" s="111"/>
      <c r="AO798" s="28"/>
      <c r="AP798" s="96" t="e">
        <f ca="1">IF(AP793&lt;AP797,AP795,AP796)</f>
        <v>#NUM!</v>
      </c>
      <c r="AQ798" s="111"/>
      <c r="AR798" s="28"/>
      <c r="AS798" s="96" t="e">
        <f ca="1">IF(AS793&lt;AS797,AS795,AS796)</f>
        <v>#NUM!</v>
      </c>
      <c r="AT798" s="111"/>
      <c r="AU798" s="28"/>
    </row>
    <row r="799" spans="15:47" x14ac:dyDescent="0.25">
      <c r="O799" s="13" t="s">
        <v>143</v>
      </c>
      <c r="P799" s="1"/>
      <c r="Q799" s="1"/>
      <c r="R799" s="113"/>
      <c r="S799" s="106">
        <f ca="1">IF(R792&lt;=0,Q_max,ABS(R$23-R798))</f>
        <v>4.355108260954645</v>
      </c>
      <c r="T799" s="7">
        <f>R788</f>
        <v>928.31621994642012</v>
      </c>
      <c r="U799" s="98"/>
      <c r="V799" s="106">
        <f ca="1">IF(U792&lt;=0,Q_max,ABS(U$23-U798))</f>
        <v>3.4922584810136481</v>
      </c>
      <c r="W799" s="9">
        <f ca="1">U788</f>
        <v>20038.818351761056</v>
      </c>
      <c r="X799" s="98"/>
      <c r="Y799" s="106">
        <f ca="1">IF(X792&lt;=0,Q_max,ABS(X$23-X798))</f>
        <v>2.9331389473959</v>
      </c>
      <c r="Z799" s="9">
        <f ca="1">X788</f>
        <v>49067.705377467755</v>
      </c>
      <c r="AA799" s="98"/>
      <c r="AB799" s="106">
        <f ca="1">IF(AA792&lt;=0,Q_max,ABS(AA$23-AA798))</f>
        <v>0.90923705949162326</v>
      </c>
      <c r="AC799" s="9">
        <f ca="1">AA788</f>
        <v>95571.365768566204</v>
      </c>
      <c r="AD799" s="98"/>
      <c r="AE799" s="106">
        <f ca="1">IF(AD792&lt;=0,Q_max,ABS(AD$23-AD798))</f>
        <v>11.98370855428621</v>
      </c>
      <c r="AF799" s="9">
        <f ca="1">AD788</f>
        <v>160339.02155900645</v>
      </c>
      <c r="AG799" s="98"/>
      <c r="AH799" s="106">
        <f ca="1">IF(AG792&lt;=0,Q_max,ABS(AG$23-AG798))</f>
        <v>35.598826457465023</v>
      </c>
      <c r="AI799" s="9">
        <f ca="1">AG788</f>
        <v>234019.16898169267</v>
      </c>
      <c r="AJ799" s="98"/>
      <c r="AK799" s="106">
        <f ca="1">IF(AJ792&lt;=0,Q_max,ABS(AJ$23-AJ798))</f>
        <v>98.750602711230471</v>
      </c>
      <c r="AL799" s="9">
        <f ca="1">AJ788</f>
        <v>312299.48819711135</v>
      </c>
      <c r="AM799" s="98"/>
      <c r="AN799" s="106">
        <f ca="1">IF(AM792&lt;=0,Q_max,ABS(AM$23-AM798))</f>
        <v>350.57044993562317</v>
      </c>
      <c r="AO799" s="9">
        <f ca="1">AM788</f>
        <v>381064.72497896291</v>
      </c>
      <c r="AP799" s="98"/>
      <c r="AQ799" s="106">
        <f ca="1">IF(AP792&lt;=0,Q_max,ABS(AP$23-AP798))</f>
        <v>236393</v>
      </c>
      <c r="AR799" s="9">
        <f ca="1">AP788</f>
        <v>442404.3156871823</v>
      </c>
      <c r="AS799" s="98"/>
      <c r="AT799" s="106">
        <f ca="1">IF(AS792&lt;=0,Q_max,ABS(AS$23-AS798))</f>
        <v>236393</v>
      </c>
      <c r="AU799" s="9">
        <f ca="1">AS788</f>
        <v>518753.85299687251</v>
      </c>
    </row>
    <row r="800" spans="15:47" x14ac:dyDescent="0.25">
      <c r="O800" s="21"/>
      <c r="P800" s="14"/>
      <c r="Q800" s="21"/>
      <c r="R800" s="97"/>
      <c r="S800" s="106"/>
      <c r="T800" s="28"/>
      <c r="U800" s="97"/>
      <c r="V800" s="111"/>
      <c r="W800" s="28"/>
      <c r="X800" s="97"/>
      <c r="Y800" s="111"/>
      <c r="Z800" s="28"/>
      <c r="AA800" s="97"/>
      <c r="AB800" s="111"/>
      <c r="AC800" s="28"/>
      <c r="AD800" s="97"/>
      <c r="AE800" s="111"/>
      <c r="AF800" s="28"/>
      <c r="AG800" s="97"/>
      <c r="AH800" s="111"/>
      <c r="AI800" s="28"/>
      <c r="AJ800" s="97"/>
      <c r="AK800" s="111"/>
      <c r="AL800" s="28"/>
      <c r="AM800" s="97"/>
      <c r="AN800" s="111"/>
      <c r="AO800" s="28"/>
      <c r="AP800" s="97"/>
      <c r="AQ800" s="111"/>
      <c r="AR800" s="28"/>
      <c r="AS800" s="97"/>
      <c r="AT800" s="111"/>
      <c r="AU800" s="28"/>
    </row>
    <row r="801" spans="15:47" x14ac:dyDescent="0.25">
      <c r="O801" s="1"/>
      <c r="P801" s="1"/>
      <c r="Q801" s="1"/>
      <c r="R801" s="98"/>
      <c r="S801" s="108" t="s">
        <v>137</v>
      </c>
      <c r="T801" s="26" t="s">
        <v>146</v>
      </c>
      <c r="U801" s="98"/>
      <c r="V801" s="108" t="s">
        <v>137</v>
      </c>
      <c r="W801" s="26" t="s">
        <v>146</v>
      </c>
      <c r="X801" s="98"/>
      <c r="Y801" s="108" t="s">
        <v>137</v>
      </c>
      <c r="Z801" s="26" t="s">
        <v>146</v>
      </c>
      <c r="AA801" s="98"/>
      <c r="AB801" s="108" t="s">
        <v>137</v>
      </c>
      <c r="AC801" s="26" t="s">
        <v>146</v>
      </c>
      <c r="AD801" s="98"/>
      <c r="AE801" s="108" t="s">
        <v>137</v>
      </c>
      <c r="AF801" s="26" t="s">
        <v>146</v>
      </c>
      <c r="AG801" s="98"/>
      <c r="AH801" s="108" t="s">
        <v>137</v>
      </c>
      <c r="AI801" s="26" t="s">
        <v>146</v>
      </c>
      <c r="AJ801" s="98"/>
      <c r="AK801" s="108" t="s">
        <v>137</v>
      </c>
      <c r="AL801" s="26" t="s">
        <v>146</v>
      </c>
      <c r="AM801" s="98"/>
      <c r="AN801" s="108" t="s">
        <v>137</v>
      </c>
      <c r="AO801" s="26" t="s">
        <v>146</v>
      </c>
      <c r="AP801" s="98"/>
      <c r="AQ801" s="108" t="s">
        <v>137</v>
      </c>
      <c r="AR801" s="26" t="s">
        <v>146</v>
      </c>
      <c r="AS801" s="98"/>
      <c r="AT801" s="108" t="s">
        <v>137</v>
      </c>
      <c r="AU801" s="26" t="s">
        <v>146</v>
      </c>
    </row>
    <row r="802" spans="15:47" ht="13.8" x14ac:dyDescent="0.25">
      <c r="O802" s="20" t="s">
        <v>136</v>
      </c>
      <c r="P802" s="1"/>
      <c r="Q802" s="1"/>
      <c r="R802" s="96">
        <f>R788*1.02</f>
        <v>946.88254434534849</v>
      </c>
      <c r="S802" s="109" t="s">
        <v>144</v>
      </c>
      <c r="T802" s="23" t="s">
        <v>147</v>
      </c>
      <c r="U802" s="96">
        <f ca="1">U788*1.01</f>
        <v>20239.206535278667</v>
      </c>
      <c r="V802" s="109" t="s">
        <v>144</v>
      </c>
      <c r="W802" s="23" t="s">
        <v>147</v>
      </c>
      <c r="X802" s="96">
        <f ca="1">X788*1.01</f>
        <v>49558.382431242433</v>
      </c>
      <c r="Y802" s="109" t="s">
        <v>144</v>
      </c>
      <c r="Z802" s="23" t="s">
        <v>147</v>
      </c>
      <c r="AA802" s="96">
        <f ca="1">AA788*1.01</f>
        <v>96527.079426251861</v>
      </c>
      <c r="AB802" s="109" t="s">
        <v>144</v>
      </c>
      <c r="AC802" s="23" t="s">
        <v>147</v>
      </c>
      <c r="AD802" s="96">
        <f ca="1">AD788*1.01</f>
        <v>161942.41177459652</v>
      </c>
      <c r="AE802" s="109" t="s">
        <v>144</v>
      </c>
      <c r="AF802" s="23" t="s">
        <v>147</v>
      </c>
      <c r="AG802" s="96">
        <f ca="1">AG788*1.01</f>
        <v>236359.36067150958</v>
      </c>
      <c r="AH802" s="109" t="s">
        <v>144</v>
      </c>
      <c r="AI802" s="23" t="s">
        <v>147</v>
      </c>
      <c r="AJ802" s="96">
        <f ca="1">AJ788*1.01</f>
        <v>315422.48307908245</v>
      </c>
      <c r="AK802" s="109" t="s">
        <v>144</v>
      </c>
      <c r="AL802" s="23" t="s">
        <v>147</v>
      </c>
      <c r="AM802" s="96">
        <f ca="1">AM788*1.01</f>
        <v>384875.37222875253</v>
      </c>
      <c r="AN802" s="109" t="s">
        <v>144</v>
      </c>
      <c r="AO802" s="23" t="s">
        <v>147</v>
      </c>
      <c r="AP802" s="96">
        <f ca="1">AP788*1.01</f>
        <v>446828.35884405411</v>
      </c>
      <c r="AQ802" s="109" t="s">
        <v>144</v>
      </c>
      <c r="AR802" s="23" t="s">
        <v>147</v>
      </c>
      <c r="AS802" s="96">
        <f ca="1">AS788*1.01</f>
        <v>523941.39152684121</v>
      </c>
      <c r="AT802" s="109" t="s">
        <v>144</v>
      </c>
      <c r="AU802" s="23" t="s">
        <v>147</v>
      </c>
    </row>
    <row r="803" spans="15:47" x14ac:dyDescent="0.25">
      <c r="O803" s="1"/>
      <c r="P803" s="1"/>
      <c r="Q803" s="1"/>
      <c r="R803" s="98"/>
      <c r="S803" s="107"/>
      <c r="T803" s="1"/>
      <c r="U803" s="47"/>
      <c r="V803" s="107"/>
      <c r="W803" s="1"/>
      <c r="X803" s="47"/>
      <c r="Y803" s="107"/>
      <c r="Z803" s="1"/>
      <c r="AA803" s="47"/>
      <c r="AB803" s="107"/>
      <c r="AC803" s="1"/>
      <c r="AD803" s="47"/>
      <c r="AE803" s="107"/>
      <c r="AF803" s="1"/>
      <c r="AG803" s="47"/>
      <c r="AH803" s="107"/>
      <c r="AI803" s="1"/>
      <c r="AJ803" s="47"/>
      <c r="AK803" s="107"/>
      <c r="AL803" s="1"/>
      <c r="AM803" s="47"/>
      <c r="AN803" s="107"/>
      <c r="AO803" s="1"/>
      <c r="AP803" s="47"/>
      <c r="AQ803" s="107"/>
      <c r="AR803" s="1"/>
      <c r="AS803" s="47"/>
      <c r="AT803" s="107"/>
      <c r="AU803" s="1"/>
    </row>
    <row r="804" spans="15:47" x14ac:dyDescent="0.25">
      <c r="O804" s="8" t="s">
        <v>132</v>
      </c>
      <c r="P804" s="8"/>
      <c r="Q804" s="8"/>
      <c r="R804" s="96">
        <f>P_1_minQ-(R802^2*R_up)+dpup_minQ</f>
        <v>90.184877117573464</v>
      </c>
      <c r="S804" s="106"/>
      <c r="T804" s="22"/>
      <c r="U804" s="96">
        <f ca="1">P_1_minQ-(U802^2*R_up)+dpup_minQ</f>
        <v>90.110381816804917</v>
      </c>
      <c r="V804" s="107"/>
      <c r="W804" s="1"/>
      <c r="X804" s="96">
        <f ca="1">P_1_minQ-(X802^2*R_up)+dpup_minQ</f>
        <v>89.737401668670728</v>
      </c>
      <c r="Y804" s="107"/>
      <c r="Z804" s="1"/>
      <c r="AA804" s="96">
        <f ca="1">P_1_minQ-(AA802^2*R_up)+dpup_minQ</f>
        <v>88.486828670737751</v>
      </c>
      <c r="AB804" s="107"/>
      <c r="AC804" s="1"/>
      <c r="AD804" s="96">
        <f ca="1">P_1_minQ-(AD802^2*R_up)+dpup_minQ</f>
        <v>85.405185302952802</v>
      </c>
      <c r="AE804" s="107"/>
      <c r="AF804" s="1"/>
      <c r="AG804" s="96">
        <f ca="1">P_1_minQ-(AG802^2*R_up)+dpup_minQ</f>
        <v>80.002898508385456</v>
      </c>
      <c r="AH804" s="107"/>
      <c r="AI804" s="1"/>
      <c r="AJ804" s="96">
        <f ca="1">P_1_minQ-(AJ802^2*R_up)+dpup_minQ</f>
        <v>72.051657729116357</v>
      </c>
      <c r="AK804" s="107"/>
      <c r="AL804" s="1"/>
      <c r="AM804" s="96">
        <f ca="1">P_1_minQ-(AM802^2*R_up)+dpup_minQ</f>
        <v>63.186904510367029</v>
      </c>
      <c r="AN804" s="107"/>
      <c r="AO804" s="1"/>
      <c r="AP804" s="96">
        <f ca="1">P_1_minQ-(AP802^2*R_up)+dpup_minQ</f>
        <v>53.795632179838563</v>
      </c>
      <c r="AQ804" s="107"/>
      <c r="AR804" s="1"/>
      <c r="AS804" s="96">
        <f ca="1">P_1_minQ-(AS802^2*R_up)+dpup_minQ</f>
        <v>40.151762721588021</v>
      </c>
      <c r="AT804" s="107"/>
      <c r="AU804" s="1"/>
    </row>
    <row r="805" spans="15:47" x14ac:dyDescent="0.25">
      <c r="O805" s="8" t="s">
        <v>134</v>
      </c>
      <c r="P805" s="1"/>
      <c r="Q805" s="8"/>
      <c r="R805" s="97">
        <f>P_2_minQ+(R802^2*R_dn)-dpdn_minQ</f>
        <v>60</v>
      </c>
      <c r="S805" s="106"/>
      <c r="T805" s="22"/>
      <c r="U805" s="97">
        <f ca="1">P_2_minQ+(U802^2*R_dn)-dpdn_minQ</f>
        <v>60</v>
      </c>
      <c r="V805" s="107"/>
      <c r="W805" s="1"/>
      <c r="X805" s="97">
        <f ca="1">P_2_minQ+(X802^2*R_dn)-dpdn_minQ</f>
        <v>60</v>
      </c>
      <c r="Y805" s="107"/>
      <c r="Z805" s="1"/>
      <c r="AA805" s="97">
        <f ca="1">P_2_minQ+(AA802^2*R_dn)-dpdn_minQ</f>
        <v>60</v>
      </c>
      <c r="AB805" s="107"/>
      <c r="AC805" s="1"/>
      <c r="AD805" s="97">
        <f ca="1">P_2_minQ+(AD802^2*R_dn)-dpdn_minQ</f>
        <v>60</v>
      </c>
      <c r="AE805" s="107"/>
      <c r="AF805" s="1"/>
      <c r="AG805" s="97">
        <f ca="1">P_2_minQ+(AG802^2*R_dn)-dpdn_minQ</f>
        <v>60</v>
      </c>
      <c r="AH805" s="107"/>
      <c r="AI805" s="1"/>
      <c r="AJ805" s="97">
        <f ca="1">P_2_minQ+(AJ802^2*R_dn)-dpdn_minQ</f>
        <v>60</v>
      </c>
      <c r="AK805" s="107"/>
      <c r="AL805" s="1"/>
      <c r="AM805" s="97">
        <f ca="1">P_2_minQ+(AM802^2*R_dn)-dpdn_minQ</f>
        <v>60</v>
      </c>
      <c r="AN805" s="107"/>
      <c r="AO805" s="1"/>
      <c r="AP805" s="97">
        <f ca="1">P_2_minQ+(AP802^2*R_dn)-dpdn_minQ</f>
        <v>60</v>
      </c>
      <c r="AQ805" s="107"/>
      <c r="AR805" s="1"/>
      <c r="AS805" s="97">
        <f ca="1">P_2_minQ+(AS802^2*R_dn)-dpdn_minQ</f>
        <v>60</v>
      </c>
      <c r="AT805" s="107"/>
      <c r="AU805" s="1"/>
    </row>
    <row r="806" spans="15:47" x14ac:dyDescent="0.25">
      <c r="O806" s="8" t="s">
        <v>138</v>
      </c>
      <c r="P806" s="1"/>
      <c r="Q806" s="8"/>
      <c r="R806" s="97">
        <f>R804-R805</f>
        <v>30.184877117573464</v>
      </c>
      <c r="S806" s="106"/>
      <c r="T806" s="22"/>
      <c r="U806" s="97">
        <f ca="1">U804-U805</f>
        <v>30.110381816804917</v>
      </c>
      <c r="V806" s="110"/>
      <c r="W806" s="25"/>
      <c r="X806" s="97">
        <f ca="1">X804-X805</f>
        <v>29.737401668670728</v>
      </c>
      <c r="Y806" s="110"/>
      <c r="Z806" s="25"/>
      <c r="AA806" s="97">
        <f ca="1">AA804-AA805</f>
        <v>28.486828670737751</v>
      </c>
      <c r="AB806" s="110"/>
      <c r="AC806" s="25"/>
      <c r="AD806" s="97">
        <f ca="1">AD804-AD805</f>
        <v>25.405185302952802</v>
      </c>
      <c r="AE806" s="110"/>
      <c r="AF806" s="25"/>
      <c r="AG806" s="97">
        <f ca="1">AG804-AG805</f>
        <v>20.002898508385456</v>
      </c>
      <c r="AH806" s="110"/>
      <c r="AI806" s="25"/>
      <c r="AJ806" s="97">
        <f ca="1">AJ804-AJ805</f>
        <v>12.051657729116357</v>
      </c>
      <c r="AK806" s="110"/>
      <c r="AL806" s="25"/>
      <c r="AM806" s="97">
        <f ca="1">AM804-AM805</f>
        <v>3.1869045103670288</v>
      </c>
      <c r="AN806" s="110"/>
      <c r="AO806" s="25"/>
      <c r="AP806" s="97">
        <f ca="1">AP804-AP805</f>
        <v>-6.204367820161437</v>
      </c>
      <c r="AQ806" s="110"/>
      <c r="AR806" s="25"/>
      <c r="AS806" s="97">
        <f ca="1">AS804-AS805</f>
        <v>-19.848237278411979</v>
      </c>
      <c r="AT806" s="110"/>
      <c r="AU806" s="25"/>
    </row>
    <row r="807" spans="15:47" ht="14.4" x14ac:dyDescent="0.3">
      <c r="O807" s="2" t="s">
        <v>140</v>
      </c>
      <c r="P807" s="11"/>
      <c r="Q807" s="2"/>
      <c r="R807" s="96">
        <f>R806/R804</f>
        <v>0.33469998609879598</v>
      </c>
      <c r="S807" s="106"/>
      <c r="T807" s="22"/>
      <c r="U807" s="96">
        <f ca="1">U806/U804</f>
        <v>0.33414997483885428</v>
      </c>
      <c r="V807" s="111"/>
      <c r="W807" s="28"/>
      <c r="X807" s="96">
        <f ca="1">X806/X804</f>
        <v>0.33138246835435953</v>
      </c>
      <c r="Y807" s="111"/>
      <c r="Z807" s="28"/>
      <c r="AA807" s="96">
        <f ca="1">AA806/AA804</f>
        <v>0.32193298255425257</v>
      </c>
      <c r="AB807" s="111"/>
      <c r="AC807" s="28"/>
      <c r="AD807" s="96">
        <f ca="1">AD806/AD804</f>
        <v>0.29746654389700672</v>
      </c>
      <c r="AE807" s="111"/>
      <c r="AF807" s="28"/>
      <c r="AG807" s="96">
        <f ca="1">AG806/AG804</f>
        <v>0.25002717253161599</v>
      </c>
      <c r="AH807" s="111"/>
      <c r="AI807" s="28"/>
      <c r="AJ807" s="96">
        <f ca="1">AJ806/AJ804</f>
        <v>0.16726412839001531</v>
      </c>
      <c r="AK807" s="111"/>
      <c r="AL807" s="28"/>
      <c r="AM807" s="96">
        <f ca="1">AM806/AM804</f>
        <v>5.0436155008102286E-2</v>
      </c>
      <c r="AN807" s="111"/>
      <c r="AO807" s="28"/>
      <c r="AP807" s="96">
        <f ca="1">AP806/AP804</f>
        <v>-0.11533218532352706</v>
      </c>
      <c r="AQ807" s="111"/>
      <c r="AR807" s="28"/>
      <c r="AS807" s="96">
        <f ca="1">AS806/AS804</f>
        <v>-0.49433040875538858</v>
      </c>
      <c r="AT807" s="111"/>
      <c r="AU807" s="28"/>
    </row>
    <row r="808" spans="15:47" x14ac:dyDescent="0.25">
      <c r="O808" s="2" t="s">
        <v>21</v>
      </c>
      <c r="P808" s="8">
        <v>12</v>
      </c>
      <c r="Q808" s="2"/>
      <c r="R808" s="96">
        <f ca="1">1-R807/(3*F_GAMMA*R$29)</f>
        <v>0.82568517919351914</v>
      </c>
      <c r="S808" s="106"/>
      <c r="T808" s="22"/>
      <c r="U808" s="96">
        <f ca="1">1-U807/(3*F_GAMMA*U$29)</f>
        <v>0.82601205950676837</v>
      </c>
      <c r="V808" s="111"/>
      <c r="W808" s="28"/>
      <c r="X808" s="96">
        <f ca="1">1-X807/(3*F_GAMMA*X$29)</f>
        <v>0.82580969069327537</v>
      </c>
      <c r="Y808" s="111"/>
      <c r="Z808" s="28"/>
      <c r="AA808" s="96">
        <f ca="1">1-AA807/(3*F_GAMMA*AA$29)</f>
        <v>0.82839140346429441</v>
      </c>
      <c r="AB808" s="111"/>
      <c r="AC808" s="28"/>
      <c r="AD808" s="96">
        <f ca="1">1-AD807/(3*F_GAMMA*AD$29)</f>
        <v>0.83651559431673772</v>
      </c>
      <c r="AE808" s="111"/>
      <c r="AF808" s="28"/>
      <c r="AG808" s="96">
        <f ca="1">1-AG807/(3*F_GAMMA*AG$29)</f>
        <v>0.85434217813407787</v>
      </c>
      <c r="AH808" s="111"/>
      <c r="AI808" s="28"/>
      <c r="AJ808" s="96">
        <f ca="1">1-AJ807/(3*F_GAMMA*AJ$29)</f>
        <v>0.89516497036873566</v>
      </c>
      <c r="AK808" s="111"/>
      <c r="AL808" s="28"/>
      <c r="AM808" s="96">
        <f ca="1">1-AM807/(3*F_GAMMA*AM$29)</f>
        <v>0.96465569833761988</v>
      </c>
      <c r="AN808" s="111"/>
      <c r="AO808" s="28"/>
      <c r="AP808" s="96">
        <f ca="1">1-AP807/(3*F_GAMMA*AP$29)</f>
        <v>1.0650996693604109</v>
      </c>
      <c r="AQ808" s="111"/>
      <c r="AR808" s="28"/>
      <c r="AS808" s="96">
        <f ca="1">1-AS807/(3*F_GAMMA*AS$29)</f>
        <v>1.4374334928548476</v>
      </c>
      <c r="AT808" s="111"/>
      <c r="AU808" s="28"/>
    </row>
    <row r="809" spans="15:47" x14ac:dyDescent="0.25">
      <c r="O809" s="2" t="s">
        <v>57</v>
      </c>
      <c r="P809" s="143">
        <v>7</v>
      </c>
      <c r="Q809" s="2"/>
      <c r="R809" s="96">
        <f ca="1">(R802/(N_9*R$27*R804*R808))*SQRT(M*'Valve Sizing'!$W$6*'Valve Sizing'!$G$8/R807)</f>
        <v>0.38238961618152972</v>
      </c>
      <c r="S809" s="107"/>
      <c r="T809" s="22"/>
      <c r="U809" s="96">
        <f ca="1">(U802/(N_9*U$27*U804*U808))*SQRT(M*'Valve Sizing'!$W$6*'Valve Sizing'!$G$8/U807)</f>
        <v>8.1890296996118064</v>
      </c>
      <c r="V809" s="111"/>
      <c r="W809" s="28"/>
      <c r="X809" s="96">
        <f ca="1">(X802/(N_9*X$27*X804*X808))*SQRT(M*'Valve Sizing'!$W$6*'Valve Sizing'!$G$8/X807)</f>
        <v>20.270683431655854</v>
      </c>
      <c r="Y809" s="111"/>
      <c r="Z809" s="28"/>
      <c r="AA809" s="96">
        <f ca="1">(AA802/(N_9*AA$27*AA804*AA808))*SQRT(M*'Valve Sizing'!$W$6*'Valve Sizing'!$G$8/AA807)</f>
        <v>40.737214789392056</v>
      </c>
      <c r="AB809" s="111"/>
      <c r="AC809" s="28"/>
      <c r="AD809" s="96">
        <f ca="1">(AD802/(N_9*AD$27*AD804*AD808))*SQRT(M*'Valve Sizing'!$W$6*'Valve Sizing'!$G$8/AD807)</f>
        <v>73.853194324316519</v>
      </c>
      <c r="AE809" s="111"/>
      <c r="AF809" s="28"/>
      <c r="AG809" s="96">
        <f ca="1">(AG802/(N_9*AG$27*AG804*AG808))*SQRT(M*'Valve Sizing'!$W$6*'Valve Sizing'!$G$8/AG807)</f>
        <v>125.65881851283675</v>
      </c>
      <c r="AH809" s="111"/>
      <c r="AI809" s="28"/>
      <c r="AJ809" s="96">
        <f ca="1">(AJ802/(N_9*AJ$27*AJ804*AJ808))*SQRT(M*'Valve Sizing'!$W$6*'Valve Sizing'!$G$8/AJ807)</f>
        <v>225.12232369075625</v>
      </c>
      <c r="AK809" s="111"/>
      <c r="AL809" s="28"/>
      <c r="AM809" s="96">
        <f ca="1">(AM802/(N_9*AM$27*AM804*AM808))*SQRT(M*'Valve Sizing'!$W$6*'Valve Sizing'!$G$8/AM807)</f>
        <v>561.62029545727557</v>
      </c>
      <c r="AN809" s="111"/>
      <c r="AO809" s="28"/>
      <c r="AP809" s="96" t="e">
        <f ca="1">(AP802/(N_9*AP$27*AP804*AP808))*SQRT(M*'Valve Sizing'!$W$6*'Valve Sizing'!$G$8/AP807)</f>
        <v>#NUM!</v>
      </c>
      <c r="AQ809" s="111"/>
      <c r="AR809" s="28"/>
      <c r="AS809" s="96" t="e">
        <f ca="1">(AS802/(N_9*AS$27*AS804*AS808))*SQRT(M*'Valve Sizing'!$W$6*'Valve Sizing'!$G$8/AS807)</f>
        <v>#NUM!</v>
      </c>
      <c r="AT809" s="111"/>
      <c r="AU809" s="28"/>
    </row>
    <row r="810" spans="15:47" x14ac:dyDescent="0.25">
      <c r="O810" s="2" t="s">
        <v>59</v>
      </c>
      <c r="P810" s="143">
        <v>7</v>
      </c>
      <c r="Q810" s="2"/>
      <c r="R810" s="96">
        <f ca="1">(R802/(N_9*R$27*R804*0.667))*SQRT(M*'Valve Sizing'!$W$6*'Valve Sizing'!$G$8/R811)</f>
        <v>0.34231232008434326</v>
      </c>
      <c r="S810" s="107"/>
      <c r="T810" s="22"/>
      <c r="U810" s="96">
        <f ca="1">(U802/(N_9*U$27*U804*0.667))*SQRT(M*'Valve Sizing'!$W$6*'Valve Sizing'!$G$8/U811)</f>
        <v>7.326780843569705</v>
      </c>
      <c r="V810" s="111"/>
      <c r="W810" s="28"/>
      <c r="X810" s="96">
        <f ca="1">(X802/(N_9*X$27*X804*0.667))*SQRT(M*'Valve Sizing'!$W$6*'Valve Sizing'!$G$8/X811)</f>
        <v>18.142417414612044</v>
      </c>
      <c r="Y810" s="111"/>
      <c r="Z810" s="28"/>
      <c r="AA810" s="96">
        <f ca="1">(AA802/(N_9*AA$27*AA804*0.667))*SQRT(M*'Valve Sizing'!$W$6*'Valve Sizing'!$G$8/AA811)</f>
        <v>36.302056594338865</v>
      </c>
      <c r="AB810" s="111"/>
      <c r="AC810" s="28"/>
      <c r="AD810" s="96">
        <f ca="1">(AD802/(N_9*AD$27*AD804*0.667))*SQRT(M*'Valve Sizing'!$W$6*'Valve Sizing'!$G$8/AD811)</f>
        <v>64.865875723186363</v>
      </c>
      <c r="AE810" s="111"/>
      <c r="AF810" s="28"/>
      <c r="AG810" s="96">
        <f ca="1">(AG802/(N_9*AG$27*AG804*0.667))*SQRT(M*'Valve Sizing'!$W$6*'Valve Sizing'!$G$8/AG811)</f>
        <v>106.39629838413327</v>
      </c>
      <c r="AH810" s="111"/>
      <c r="AI810" s="28"/>
      <c r="AJ810" s="96">
        <f ca="1">(AJ802/(N_9*AJ$27*AJ804*0.667))*SQRT(M*'Valve Sizing'!$W$6*'Valve Sizing'!$G$8/AJ811)</f>
        <v>169.43754351767925</v>
      </c>
      <c r="AK810" s="111"/>
      <c r="AL810" s="28"/>
      <c r="AM810" s="96">
        <f ca="1">(AM802/(N_9*AM$27*AM804*0.667))*SQRT(M*'Valve Sizing'!$W$6*'Valve Sizing'!$G$8/AM811)</f>
        <v>264.4902236124193</v>
      </c>
      <c r="AN810" s="111"/>
      <c r="AO810" s="28"/>
      <c r="AP810" s="96">
        <f ca="1">(AP802/(N_9*AP$27*AP804*0.667))*SQRT(M*'Valve Sizing'!$W$6*'Valve Sizing'!$G$8/AP811)</f>
        <v>368.42761487667048</v>
      </c>
      <c r="AQ810" s="111"/>
      <c r="AR810" s="28"/>
      <c r="AS810" s="96">
        <f ca="1">(AS802/(N_9*AS$27*AS804*0.667))*SQRT(M*'Valve Sizing'!$W$6*'Valve Sizing'!$G$8/AS811)</f>
        <v>970.68159724067834</v>
      </c>
      <c r="AT810" s="111"/>
      <c r="AU810" s="28"/>
    </row>
    <row r="811" spans="15:47" ht="15.6" x14ac:dyDescent="0.35">
      <c r="O811" s="2" t="s">
        <v>68</v>
      </c>
      <c r="P811" s="143">
        <v>10</v>
      </c>
      <c r="Q811" s="2"/>
      <c r="R811" s="96">
        <f ca="1">F_GAMMA*R$29</f>
        <v>0.64002969751372984</v>
      </c>
      <c r="S811" s="107"/>
      <c r="T811" s="1"/>
      <c r="U811" s="96">
        <f ca="1">F_GAMMA*U$29</f>
        <v>0.64017842058782071</v>
      </c>
      <c r="V811" s="111"/>
      <c r="W811" s="28"/>
      <c r="X811" s="96">
        <f ca="1">F_GAMMA*X$29</f>
        <v>0.63413873724904268</v>
      </c>
      <c r="Y811" s="111"/>
      <c r="Z811" s="28"/>
      <c r="AA811" s="96">
        <f ca="1">F_GAMMA*AA$29</f>
        <v>0.62532411750377137</v>
      </c>
      <c r="AB811" s="111"/>
      <c r="AC811" s="28"/>
      <c r="AD811" s="96">
        <f ca="1">F_GAMMA*AD$29</f>
        <v>0.60651359509139569</v>
      </c>
      <c r="AE811" s="111"/>
      <c r="AF811" s="28"/>
      <c r="AG811" s="96">
        <f ca="1">F_GAMMA*AG$29</f>
        <v>0.57217930198481592</v>
      </c>
      <c r="AH811" s="111"/>
      <c r="AI811" s="28"/>
      <c r="AJ811" s="96">
        <f ca="1">F_GAMMA*AJ$29</f>
        <v>0.53183282018848232</v>
      </c>
      <c r="AK811" s="111"/>
      <c r="AL811" s="28"/>
      <c r="AM811" s="96">
        <f ca="1">F_GAMMA*AM$29</f>
        <v>0.47566512503094399</v>
      </c>
      <c r="AN811" s="111"/>
      <c r="AO811" s="28"/>
      <c r="AP811" s="96">
        <f ca="1">F_GAMMA*AP$29</f>
        <v>0.59054158265645496</v>
      </c>
      <c r="AQ811" s="111"/>
      <c r="AR811" s="28"/>
      <c r="AS811" s="96">
        <f ca="1">F_GAMMA*AS$29</f>
        <v>0.3766899554102966</v>
      </c>
      <c r="AT811" s="111"/>
      <c r="AU811" s="28"/>
    </row>
    <row r="812" spans="15:47" x14ac:dyDescent="0.25">
      <c r="O812" s="2" t="s">
        <v>145</v>
      </c>
      <c r="P812" s="12"/>
      <c r="Q812" s="2"/>
      <c r="R812" s="96">
        <f ca="1">IF(R807&lt;R811,R809,R810)</f>
        <v>0.38238961618152972</v>
      </c>
      <c r="S812" s="116"/>
      <c r="T812" s="1"/>
      <c r="U812" s="96">
        <f ca="1">IF(U807&lt;U811,U809,U810)</f>
        <v>8.1890296996118064</v>
      </c>
      <c r="V812" s="111"/>
      <c r="W812" s="28"/>
      <c r="X812" s="96">
        <f ca="1">IF(X807&lt;X811,X809,X810)</f>
        <v>20.270683431655854</v>
      </c>
      <c r="Y812" s="111"/>
      <c r="Z812" s="28"/>
      <c r="AA812" s="96">
        <f ca="1">IF(AA807&lt;AA811,AA809,AA810)</f>
        <v>40.737214789392056</v>
      </c>
      <c r="AB812" s="111"/>
      <c r="AC812" s="28"/>
      <c r="AD812" s="96">
        <f ca="1">IF(AD807&lt;AD811,AD809,AD810)</f>
        <v>73.853194324316519</v>
      </c>
      <c r="AE812" s="111"/>
      <c r="AF812" s="28"/>
      <c r="AG812" s="96">
        <f ca="1">IF(AG807&lt;AG811,AG809,AG810)</f>
        <v>125.65881851283675</v>
      </c>
      <c r="AH812" s="111"/>
      <c r="AI812" s="28"/>
      <c r="AJ812" s="96">
        <f ca="1">IF(AJ807&lt;AJ811,AJ809,AJ810)</f>
        <v>225.12232369075625</v>
      </c>
      <c r="AK812" s="111"/>
      <c r="AL812" s="28"/>
      <c r="AM812" s="96">
        <f ca="1">IF(AM807&lt;AM811,AM809,AM810)</f>
        <v>561.62029545727557</v>
      </c>
      <c r="AN812" s="111"/>
      <c r="AO812" s="28"/>
      <c r="AP812" s="96" t="e">
        <f ca="1">IF(AP807&lt;AP811,AP809,AP810)</f>
        <v>#NUM!</v>
      </c>
      <c r="AQ812" s="111"/>
      <c r="AR812" s="28"/>
      <c r="AS812" s="96" t="e">
        <f ca="1">IF(AS807&lt;AS811,AS809,AS810)</f>
        <v>#NUM!</v>
      </c>
      <c r="AT812" s="111"/>
      <c r="AU812" s="28"/>
    </row>
    <row r="813" spans="15:47" x14ac:dyDescent="0.25">
      <c r="O813" s="13" t="s">
        <v>143</v>
      </c>
      <c r="P813" s="1"/>
      <c r="Q813" s="1"/>
      <c r="R813" s="113"/>
      <c r="S813" s="106">
        <f ca="1">IF(R806&lt;=0,Q_max,ABS(R$23-R812))</f>
        <v>4.3476103838184708</v>
      </c>
      <c r="T813" s="7">
        <f>R802</f>
        <v>946.88254434534849</v>
      </c>
      <c r="U813" s="98"/>
      <c r="V813" s="106">
        <f ca="1">IF(U806&lt;=0,Q_max,ABS(U$23-U812))</f>
        <v>3.4109703003881933</v>
      </c>
      <c r="W813" s="9">
        <f ca="1">U802</f>
        <v>20239.206535278667</v>
      </c>
      <c r="X813" s="98"/>
      <c r="Y813" s="106">
        <f ca="1">IF(X806&lt;=0,Q_max,ABS(X$23-X812))</f>
        <v>2.7293165683441458</v>
      </c>
      <c r="Z813" s="9">
        <f ca="1">X802</f>
        <v>49558.382431242433</v>
      </c>
      <c r="AA813" s="98"/>
      <c r="AB813" s="106">
        <f ca="1">IF(AA806&lt;=0,Q_max,ABS(AA$23-AA812))</f>
        <v>1.337214789392057</v>
      </c>
      <c r="AC813" s="9">
        <f ca="1">AA802</f>
        <v>96527.079426251861</v>
      </c>
      <c r="AD813" s="98"/>
      <c r="AE813" s="106">
        <f ca="1">IF(AD806&lt;=0,Q_max,ABS(AD$23-AD812))</f>
        <v>12.853194324316519</v>
      </c>
      <c r="AF813" s="9">
        <f ca="1">AD802</f>
        <v>161942.41177459652</v>
      </c>
      <c r="AG813" s="98"/>
      <c r="AH813" s="106">
        <f ca="1">IF(AG806&lt;=0,Q_max,ABS(AG$23-AG812))</f>
        <v>37.458818512836743</v>
      </c>
      <c r="AI813" s="9">
        <f ca="1">AG802</f>
        <v>236359.36067150958</v>
      </c>
      <c r="AJ813" s="98"/>
      <c r="AK813" s="106">
        <f ca="1">IF(AJ806&lt;=0,Q_max,ABS(AJ$23-AJ812))</f>
        <v>104.12232369075625</v>
      </c>
      <c r="AL813" s="9">
        <f ca="1">AJ802</f>
        <v>315422.48307908245</v>
      </c>
      <c r="AM813" s="98"/>
      <c r="AN813" s="106">
        <f ca="1">IF(AM806&lt;=0,Q_max,ABS(AM$23-AM812))</f>
        <v>396.62029545727557</v>
      </c>
      <c r="AO813" s="9">
        <f ca="1">AM802</f>
        <v>384875.37222875253</v>
      </c>
      <c r="AP813" s="98"/>
      <c r="AQ813" s="106">
        <f ca="1">IF(AP806&lt;=0,Q_max,ABS(AP$23-AP812))</f>
        <v>236393</v>
      </c>
      <c r="AR813" s="9">
        <f ca="1">AP802</f>
        <v>446828.35884405411</v>
      </c>
      <c r="AS813" s="98"/>
      <c r="AT813" s="106">
        <f ca="1">IF(AS806&lt;=0,Q_max,ABS(AS$23-AS812))</f>
        <v>236393</v>
      </c>
      <c r="AU813" s="9">
        <f ca="1">AS802</f>
        <v>523941.39152684121</v>
      </c>
    </row>
    <row r="814" spans="15:47" x14ac:dyDescent="0.25">
      <c r="O814" s="21"/>
      <c r="P814" s="14"/>
      <c r="Q814" s="21"/>
      <c r="R814" s="97"/>
      <c r="S814" s="106"/>
      <c r="T814" s="28"/>
      <c r="U814" s="97"/>
      <c r="V814" s="111"/>
      <c r="W814" s="28"/>
      <c r="X814" s="97"/>
      <c r="Y814" s="111"/>
      <c r="Z814" s="28"/>
      <c r="AA814" s="97"/>
      <c r="AB814" s="111"/>
      <c r="AC814" s="28"/>
      <c r="AD814" s="97"/>
      <c r="AE814" s="111"/>
      <c r="AF814" s="28"/>
      <c r="AG814" s="97"/>
      <c r="AH814" s="111"/>
      <c r="AI814" s="28"/>
      <c r="AJ814" s="97"/>
      <c r="AK814" s="111"/>
      <c r="AL814" s="28"/>
      <c r="AM814" s="97"/>
      <c r="AN814" s="111"/>
      <c r="AO814" s="28"/>
      <c r="AP814" s="97"/>
      <c r="AQ814" s="111"/>
      <c r="AR814" s="28"/>
      <c r="AS814" s="97"/>
      <c r="AT814" s="111"/>
      <c r="AU814" s="28"/>
    </row>
    <row r="815" spans="15:47" x14ac:dyDescent="0.25">
      <c r="O815" s="1"/>
      <c r="P815" s="1"/>
      <c r="Q815" s="1"/>
      <c r="R815" s="98"/>
      <c r="S815" s="108" t="s">
        <v>137</v>
      </c>
      <c r="T815" s="26" t="s">
        <v>146</v>
      </c>
      <c r="U815" s="98"/>
      <c r="V815" s="108" t="s">
        <v>137</v>
      </c>
      <c r="W815" s="26" t="s">
        <v>146</v>
      </c>
      <c r="X815" s="98"/>
      <c r="Y815" s="108" t="s">
        <v>137</v>
      </c>
      <c r="Z815" s="26" t="s">
        <v>146</v>
      </c>
      <c r="AA815" s="98"/>
      <c r="AB815" s="108" t="s">
        <v>137</v>
      </c>
      <c r="AC815" s="26" t="s">
        <v>146</v>
      </c>
      <c r="AD815" s="98"/>
      <c r="AE815" s="108" t="s">
        <v>137</v>
      </c>
      <c r="AF815" s="26" t="s">
        <v>146</v>
      </c>
      <c r="AG815" s="98"/>
      <c r="AH815" s="108" t="s">
        <v>137</v>
      </c>
      <c r="AI815" s="26" t="s">
        <v>146</v>
      </c>
      <c r="AJ815" s="98"/>
      <c r="AK815" s="108" t="s">
        <v>137</v>
      </c>
      <c r="AL815" s="26" t="s">
        <v>146</v>
      </c>
      <c r="AM815" s="98"/>
      <c r="AN815" s="108" t="s">
        <v>137</v>
      </c>
      <c r="AO815" s="26" t="s">
        <v>146</v>
      </c>
      <c r="AP815" s="98"/>
      <c r="AQ815" s="108" t="s">
        <v>137</v>
      </c>
      <c r="AR815" s="26" t="s">
        <v>146</v>
      </c>
      <c r="AS815" s="98"/>
      <c r="AT815" s="108" t="s">
        <v>137</v>
      </c>
      <c r="AU815" s="26" t="s">
        <v>146</v>
      </c>
    </row>
    <row r="816" spans="15:47" ht="13.8" x14ac:dyDescent="0.25">
      <c r="O816" s="20" t="s">
        <v>136</v>
      </c>
      <c r="P816" s="1"/>
      <c r="Q816" s="1"/>
      <c r="R816" s="96">
        <f>R802*1.02</f>
        <v>965.82019523225551</v>
      </c>
      <c r="S816" s="109" t="s">
        <v>144</v>
      </c>
      <c r="T816" s="23" t="s">
        <v>147</v>
      </c>
      <c r="U816" s="96">
        <f ca="1">U802*1.01</f>
        <v>20441.598600631452</v>
      </c>
      <c r="V816" s="109" t="s">
        <v>144</v>
      </c>
      <c r="W816" s="23" t="s">
        <v>147</v>
      </c>
      <c r="X816" s="96">
        <f ca="1">X802*1.01</f>
        <v>50053.966255554857</v>
      </c>
      <c r="Y816" s="109" t="s">
        <v>144</v>
      </c>
      <c r="Z816" s="23" t="s">
        <v>147</v>
      </c>
      <c r="AA816" s="96">
        <f ca="1">AA802*1.01</f>
        <v>97492.350220514374</v>
      </c>
      <c r="AB816" s="109" t="s">
        <v>144</v>
      </c>
      <c r="AC816" s="23" t="s">
        <v>147</v>
      </c>
      <c r="AD816" s="96">
        <f ca="1">AD802*1.01</f>
        <v>163561.8358923425</v>
      </c>
      <c r="AE816" s="109" t="s">
        <v>144</v>
      </c>
      <c r="AF816" s="23" t="s">
        <v>147</v>
      </c>
      <c r="AG816" s="96">
        <f ca="1">AG802*1.01</f>
        <v>238722.95427822467</v>
      </c>
      <c r="AH816" s="109" t="s">
        <v>144</v>
      </c>
      <c r="AI816" s="23" t="s">
        <v>147</v>
      </c>
      <c r="AJ816" s="96">
        <f ca="1">AJ802*1.01</f>
        <v>318576.70790987328</v>
      </c>
      <c r="AK816" s="109" t="s">
        <v>144</v>
      </c>
      <c r="AL816" s="23" t="s">
        <v>147</v>
      </c>
      <c r="AM816" s="96">
        <f ca="1">AM802*1.01</f>
        <v>388724.12595104007</v>
      </c>
      <c r="AN816" s="109" t="s">
        <v>144</v>
      </c>
      <c r="AO816" s="23" t="s">
        <v>147</v>
      </c>
      <c r="AP816" s="96">
        <f ca="1">AP802*1.01</f>
        <v>451296.64243249467</v>
      </c>
      <c r="AQ816" s="109" t="s">
        <v>144</v>
      </c>
      <c r="AR816" s="23" t="s">
        <v>147</v>
      </c>
      <c r="AS816" s="96">
        <f ca="1">AS802*1.01</f>
        <v>529180.80544210959</v>
      </c>
      <c r="AT816" s="109" t="s">
        <v>144</v>
      </c>
      <c r="AU816" s="23" t="s">
        <v>147</v>
      </c>
    </row>
    <row r="817" spans="15:47" x14ac:dyDescent="0.25">
      <c r="O817" s="1"/>
      <c r="P817" s="1"/>
      <c r="Q817" s="1"/>
      <c r="R817" s="98"/>
      <c r="S817" s="107"/>
      <c r="T817" s="1"/>
      <c r="U817" s="47"/>
      <c r="V817" s="107"/>
      <c r="W817" s="1"/>
      <c r="X817" s="47"/>
      <c r="Y817" s="107"/>
      <c r="Z817" s="1"/>
      <c r="AA817" s="47"/>
      <c r="AB817" s="107"/>
      <c r="AC817" s="1"/>
      <c r="AD817" s="47"/>
      <c r="AE817" s="107"/>
      <c r="AF817" s="1"/>
      <c r="AG817" s="47"/>
      <c r="AH817" s="107"/>
      <c r="AI817" s="1"/>
      <c r="AJ817" s="47"/>
      <c r="AK817" s="107"/>
      <c r="AL817" s="1"/>
      <c r="AM817" s="47"/>
      <c r="AN817" s="107"/>
      <c r="AO817" s="1"/>
      <c r="AP817" s="47"/>
      <c r="AQ817" s="107"/>
      <c r="AR817" s="1"/>
      <c r="AS817" s="47"/>
      <c r="AT817" s="107"/>
      <c r="AU817" s="1"/>
    </row>
    <row r="818" spans="15:47" x14ac:dyDescent="0.25">
      <c r="O818" s="8" t="s">
        <v>132</v>
      </c>
      <c r="P818" s="8"/>
      <c r="Q818" s="8"/>
      <c r="R818" s="96">
        <f>P_1_minQ-(R816^2*R_up)+dpup_minQ</f>
        <v>90.184870515701107</v>
      </c>
      <c r="S818" s="106"/>
      <c r="T818" s="22"/>
      <c r="U818" s="96">
        <f ca="1">P_1_minQ-(U816^2*R_up)+dpup_minQ</f>
        <v>90.108881176664568</v>
      </c>
      <c r="V818" s="107"/>
      <c r="W818" s="1"/>
      <c r="X818" s="96">
        <f ca="1">P_1_minQ-(X816^2*R_up)+dpup_minQ</f>
        <v>89.728404127552878</v>
      </c>
      <c r="Y818" s="107"/>
      <c r="Z818" s="1"/>
      <c r="AA818" s="96">
        <f ca="1">P_1_minQ-(AA816^2*R_up)+dpup_minQ</f>
        <v>88.452694612361441</v>
      </c>
      <c r="AB818" s="107"/>
      <c r="AC818" s="1"/>
      <c r="AD818" s="96">
        <f ca="1">P_1_minQ-(AD816^2*R_up)+dpup_minQ</f>
        <v>85.309110212884022</v>
      </c>
      <c r="AE818" s="107"/>
      <c r="AF818" s="1"/>
      <c r="AG818" s="96">
        <f ca="1">P_1_minQ-(AG816^2*R_up)+dpup_minQ</f>
        <v>79.79823745374587</v>
      </c>
      <c r="AH818" s="107"/>
      <c r="AI818" s="1"/>
      <c r="AJ818" s="96">
        <f ca="1">P_1_minQ-(AJ816^2*R_up)+dpup_minQ</f>
        <v>71.687176734813463</v>
      </c>
      <c r="AK818" s="107"/>
      <c r="AL818" s="1"/>
      <c r="AM818" s="96">
        <f ca="1">P_1_minQ-(AM816^2*R_up)+dpup_minQ</f>
        <v>62.644241976367269</v>
      </c>
      <c r="AN818" s="107"/>
      <c r="AO818" s="1"/>
      <c r="AP818" s="96">
        <f ca="1">P_1_minQ-(AP816^2*R_up)+dpup_minQ</f>
        <v>53.064205071995175</v>
      </c>
      <c r="AQ818" s="107"/>
      <c r="AR818" s="1"/>
      <c r="AS818" s="96">
        <f ca="1">P_1_minQ-(AS816^2*R_up)+dpup_minQ</f>
        <v>39.146093837633806</v>
      </c>
      <c r="AT818" s="107"/>
      <c r="AU818" s="1"/>
    </row>
    <row r="819" spans="15:47" x14ac:dyDescent="0.25">
      <c r="O819" s="8" t="s">
        <v>134</v>
      </c>
      <c r="P819" s="1"/>
      <c r="Q819" s="8"/>
      <c r="R819" s="97">
        <f>P_2_minQ+(R816^2*R_dn)-dpdn_minQ</f>
        <v>60</v>
      </c>
      <c r="S819" s="106"/>
      <c r="T819" s="22"/>
      <c r="U819" s="97">
        <f ca="1">P_2_minQ+(U816^2*R_dn)-dpdn_minQ</f>
        <v>60</v>
      </c>
      <c r="V819" s="107"/>
      <c r="W819" s="1"/>
      <c r="X819" s="97">
        <f ca="1">P_2_minQ+(X816^2*R_dn)-dpdn_minQ</f>
        <v>60</v>
      </c>
      <c r="Y819" s="107"/>
      <c r="Z819" s="1"/>
      <c r="AA819" s="97">
        <f ca="1">P_2_minQ+(AA816^2*R_dn)-dpdn_minQ</f>
        <v>60</v>
      </c>
      <c r="AB819" s="107"/>
      <c r="AC819" s="1"/>
      <c r="AD819" s="97">
        <f ca="1">P_2_minQ+(AD816^2*R_dn)-dpdn_minQ</f>
        <v>60</v>
      </c>
      <c r="AE819" s="107"/>
      <c r="AF819" s="1"/>
      <c r="AG819" s="97">
        <f ca="1">P_2_minQ+(AG816^2*R_dn)-dpdn_minQ</f>
        <v>60</v>
      </c>
      <c r="AH819" s="107"/>
      <c r="AI819" s="1"/>
      <c r="AJ819" s="97">
        <f ca="1">P_2_minQ+(AJ816^2*R_dn)-dpdn_minQ</f>
        <v>60</v>
      </c>
      <c r="AK819" s="107"/>
      <c r="AL819" s="1"/>
      <c r="AM819" s="97">
        <f ca="1">P_2_minQ+(AM816^2*R_dn)-dpdn_minQ</f>
        <v>60</v>
      </c>
      <c r="AN819" s="107"/>
      <c r="AO819" s="1"/>
      <c r="AP819" s="97">
        <f ca="1">P_2_minQ+(AP816^2*R_dn)-dpdn_minQ</f>
        <v>60</v>
      </c>
      <c r="AQ819" s="107"/>
      <c r="AR819" s="1"/>
      <c r="AS819" s="97">
        <f ca="1">P_2_minQ+(AS816^2*R_dn)-dpdn_minQ</f>
        <v>60</v>
      </c>
      <c r="AT819" s="107"/>
      <c r="AU819" s="1"/>
    </row>
    <row r="820" spans="15:47" x14ac:dyDescent="0.25">
      <c r="O820" s="8" t="s">
        <v>138</v>
      </c>
      <c r="P820" s="1"/>
      <c r="Q820" s="8"/>
      <c r="R820" s="97">
        <f>R818-R819</f>
        <v>30.184870515701107</v>
      </c>
      <c r="S820" s="106"/>
      <c r="T820" s="22"/>
      <c r="U820" s="97">
        <f ca="1">U818-U819</f>
        <v>30.108881176664568</v>
      </c>
      <c r="V820" s="110"/>
      <c r="W820" s="25"/>
      <c r="X820" s="97">
        <f ca="1">X818-X819</f>
        <v>29.728404127552878</v>
      </c>
      <c r="Y820" s="110"/>
      <c r="Z820" s="25"/>
      <c r="AA820" s="97">
        <f ca="1">AA818-AA819</f>
        <v>28.452694612361441</v>
      </c>
      <c r="AB820" s="110"/>
      <c r="AC820" s="25"/>
      <c r="AD820" s="97">
        <f ca="1">AD818-AD819</f>
        <v>25.309110212884022</v>
      </c>
      <c r="AE820" s="110"/>
      <c r="AF820" s="25"/>
      <c r="AG820" s="97">
        <f ca="1">AG818-AG819</f>
        <v>19.79823745374587</v>
      </c>
      <c r="AH820" s="110"/>
      <c r="AI820" s="25"/>
      <c r="AJ820" s="97">
        <f ca="1">AJ818-AJ819</f>
        <v>11.687176734813463</v>
      </c>
      <c r="AK820" s="110"/>
      <c r="AL820" s="25"/>
      <c r="AM820" s="97">
        <f ca="1">AM818-AM819</f>
        <v>2.6442419763672689</v>
      </c>
      <c r="AN820" s="110"/>
      <c r="AO820" s="25"/>
      <c r="AP820" s="97">
        <f ca="1">AP818-AP819</f>
        <v>-6.9357949280048246</v>
      </c>
      <c r="AQ820" s="110"/>
      <c r="AR820" s="25"/>
      <c r="AS820" s="97">
        <f ca="1">AS818-AS819</f>
        <v>-20.853906162366194</v>
      </c>
      <c r="AT820" s="110"/>
      <c r="AU820" s="25"/>
    </row>
    <row r="821" spans="15:47" ht="14.4" x14ac:dyDescent="0.3">
      <c r="O821" s="2" t="s">
        <v>140</v>
      </c>
      <c r="P821" s="11"/>
      <c r="Q821" s="2"/>
      <c r="R821" s="96">
        <f>R820/R818</f>
        <v>0.33469993739632797</v>
      </c>
      <c r="S821" s="106"/>
      <c r="T821" s="22"/>
      <c r="U821" s="96">
        <f ca="1">U820/U818</f>
        <v>0.3341388860176176</v>
      </c>
      <c r="V821" s="111"/>
      <c r="W821" s="28"/>
      <c r="X821" s="96">
        <f ca="1">X820/X818</f>
        <v>0.33131542254214891</v>
      </c>
      <c r="Y821" s="111"/>
      <c r="Z821" s="28"/>
      <c r="AA821" s="96">
        <f ca="1">AA820/AA818</f>
        <v>0.3216713152386555</v>
      </c>
      <c r="AB821" s="111"/>
      <c r="AC821" s="28"/>
      <c r="AD821" s="96">
        <f ca="1">AD820/AD818</f>
        <v>0.29667535096458725</v>
      </c>
      <c r="AE821" s="111"/>
      <c r="AF821" s="28"/>
      <c r="AG821" s="96">
        <f ca="1">AG820/AG818</f>
        <v>0.24810369358372972</v>
      </c>
      <c r="AH821" s="111"/>
      <c r="AI821" s="28"/>
      <c r="AJ821" s="96">
        <f ca="1">AJ820/AJ818</f>
        <v>0.16303022754051097</v>
      </c>
      <c r="AK821" s="111"/>
      <c r="AL821" s="28"/>
      <c r="AM821" s="96">
        <f ca="1">AM820/AM818</f>
        <v>4.2210455309920063E-2</v>
      </c>
      <c r="AN821" s="111"/>
      <c r="AO821" s="28"/>
      <c r="AP821" s="96">
        <f ca="1">AP820/AP818</f>
        <v>-0.13070571619031404</v>
      </c>
      <c r="AQ821" s="111"/>
      <c r="AR821" s="28"/>
      <c r="AS821" s="96">
        <f ca="1">AS820/AS818</f>
        <v>-0.53271997581321673</v>
      </c>
      <c r="AT821" s="111"/>
      <c r="AU821" s="28"/>
    </row>
    <row r="822" spans="15:47" x14ac:dyDescent="0.25">
      <c r="O822" s="2" t="s">
        <v>21</v>
      </c>
      <c r="P822" s="8">
        <v>12</v>
      </c>
      <c r="Q822" s="2"/>
      <c r="R822" s="96">
        <f ca="1">1-R821/(3*F_GAMMA*R$29)</f>
        <v>0.82568520455821082</v>
      </c>
      <c r="S822" s="106"/>
      <c r="T822" s="22"/>
      <c r="U822" s="96">
        <f ca="1">1-U821/(3*F_GAMMA*U$29)</f>
        <v>0.82601783332485823</v>
      </c>
      <c r="V822" s="111"/>
      <c r="W822" s="28"/>
      <c r="X822" s="96">
        <f ca="1">1-X821/(3*F_GAMMA*X$29)</f>
        <v>0.82584493314537211</v>
      </c>
      <c r="Y822" s="111"/>
      <c r="Z822" s="28"/>
      <c r="AA822" s="96">
        <f ca="1">1-AA821/(3*F_GAMMA*AA$29)</f>
        <v>0.82853088703144118</v>
      </c>
      <c r="AB822" s="111"/>
      <c r="AC822" s="28"/>
      <c r="AD822" s="96">
        <f ca="1">1-AD821/(3*F_GAMMA*AD$29)</f>
        <v>0.8369504254229283</v>
      </c>
      <c r="AE822" s="111"/>
      <c r="AF822" s="28"/>
      <c r="AG822" s="96">
        <f ca="1">1-AG821/(3*F_GAMMA*AG$29)</f>
        <v>0.85546273535638795</v>
      </c>
      <c r="AH822" s="111"/>
      <c r="AI822" s="28"/>
      <c r="AJ822" s="96">
        <f ca="1">1-AJ821/(3*F_GAMMA*AJ$29)</f>
        <v>0.8978186243547156</v>
      </c>
      <c r="AK822" s="111"/>
      <c r="AL822" s="28"/>
      <c r="AM822" s="96">
        <f ca="1">1-AM821/(3*F_GAMMA*AM$29)</f>
        <v>0.97042004757221156</v>
      </c>
      <c r="AN822" s="111"/>
      <c r="AO822" s="28"/>
      <c r="AP822" s="96">
        <f ca="1">1-AP821/(3*F_GAMMA*AP$29)</f>
        <v>1.0737773144906273</v>
      </c>
      <c r="AQ822" s="111"/>
      <c r="AR822" s="28"/>
      <c r="AS822" s="96">
        <f ca="1">1-AS821/(3*F_GAMMA*AS$29)</f>
        <v>1.4714044606728538</v>
      </c>
      <c r="AT822" s="111"/>
      <c r="AU822" s="28"/>
    </row>
    <row r="823" spans="15:47" x14ac:dyDescent="0.25">
      <c r="O823" s="2" t="s">
        <v>57</v>
      </c>
      <c r="P823" s="143">
        <v>7</v>
      </c>
      <c r="Q823" s="2"/>
      <c r="R823" s="96">
        <f ca="1">(R816/(N_9*R$27*R818*R822))*SQRT(M*'Valve Sizing'!$W$6*'Valve Sizing'!$G$8/R821)</f>
        <v>0.39003745345292234</v>
      </c>
      <c r="S823" s="107"/>
      <c r="T823" s="22"/>
      <c r="U823" s="96">
        <f ca="1">(U816/(N_9*U$27*U818*U822))*SQRT(M*'Valve Sizing'!$W$6*'Valve Sizing'!$G$8/U821)</f>
        <v>8.2711371638922095</v>
      </c>
      <c r="V823" s="111"/>
      <c r="W823" s="28"/>
      <c r="X823" s="96">
        <f ca="1">(X816/(N_9*X$27*X818*X822))*SQRT(M*'Valve Sizing'!$W$6*'Valve Sizing'!$G$8/X821)</f>
        <v>20.476641000928968</v>
      </c>
      <c r="Y823" s="111"/>
      <c r="Z823" s="28"/>
      <c r="AA823" s="96">
        <f ca="1">(AA816/(N_9*AA$27*AA818*AA822))*SQRT(M*'Valve Sizing'!$W$6*'Valve Sizing'!$G$8/AA821)</f>
        <v>41.170270336820991</v>
      </c>
      <c r="AB823" s="111"/>
      <c r="AC823" s="28"/>
      <c r="AD823" s="96">
        <f ca="1">(AD816/(N_9*AD$27*AD818*AD822))*SQRT(M*'Valve Sizing'!$W$6*'Valve Sizing'!$G$8/AD821)</f>
        <v>74.736391272187419</v>
      </c>
      <c r="AE823" s="111"/>
      <c r="AF823" s="28"/>
      <c r="AG823" s="96">
        <f ca="1">(AG816/(N_9*AG$27*AG818*AG822))*SQRT(M*'Valve Sizing'!$W$6*'Valve Sizing'!$G$8/AG821)</f>
        <v>127.56587435432715</v>
      </c>
      <c r="AH823" s="111"/>
      <c r="AI823" s="28"/>
      <c r="AJ823" s="96">
        <f ca="1">(AJ816/(N_9*AJ$27*AJ818*AJ822))*SQRT(M*'Valve Sizing'!$W$6*'Valve Sizing'!$G$8/AJ821)</f>
        <v>230.79385667903966</v>
      </c>
      <c r="AK823" s="111"/>
      <c r="AL823" s="28"/>
      <c r="AM823" s="96">
        <f ca="1">(AM816/(N_9*AM$27*AM818*AM822))*SQRT(M*'Valve Sizing'!$W$6*'Valve Sizing'!$G$8/AM821)</f>
        <v>621.70395510443564</v>
      </c>
      <c r="AN823" s="111"/>
      <c r="AO823" s="28"/>
      <c r="AP823" s="96" t="e">
        <f ca="1">(AP816/(N_9*AP$27*AP818*AP822))*SQRT(M*'Valve Sizing'!$W$6*'Valve Sizing'!$G$8/AP821)</f>
        <v>#NUM!</v>
      </c>
      <c r="AQ823" s="111"/>
      <c r="AR823" s="28"/>
      <c r="AS823" s="96" t="e">
        <f ca="1">(AS816/(N_9*AS$27*AS818*AS822))*SQRT(M*'Valve Sizing'!$W$6*'Valve Sizing'!$G$8/AS821)</f>
        <v>#NUM!</v>
      </c>
      <c r="AT823" s="111"/>
      <c r="AU823" s="28"/>
    </row>
    <row r="824" spans="15:47" x14ac:dyDescent="0.25">
      <c r="O824" s="2" t="s">
        <v>59</v>
      </c>
      <c r="P824" s="143">
        <v>7</v>
      </c>
      <c r="Q824" s="2"/>
      <c r="R824" s="96">
        <f ca="1">(R816/(N_9*R$27*R818*0.667))*SQRT(M*'Valve Sizing'!$W$6*'Valve Sizing'!$G$8/R825)</f>
        <v>0.34915859204575295</v>
      </c>
      <c r="S824" s="107"/>
      <c r="T824" s="22"/>
      <c r="U824" s="96">
        <f ca="1">(U816/(N_9*U$27*U818*0.667))*SQRT(M*'Valve Sizing'!$W$6*'Valve Sizing'!$G$8/U825)</f>
        <v>7.4001718896918849</v>
      </c>
      <c r="V824" s="111"/>
      <c r="W824" s="28"/>
      <c r="X824" s="96">
        <f ca="1">(X816/(N_9*X$27*X818*0.667))*SQRT(M*'Valve Sizing'!$W$6*'Valve Sizing'!$G$8/X825)</f>
        <v>18.325679017159292</v>
      </c>
      <c r="Y824" s="111"/>
      <c r="Z824" s="28"/>
      <c r="AA824" s="96">
        <f ca="1">(AA816/(N_9*AA$27*AA818*0.667))*SQRT(M*'Valve Sizing'!$W$6*'Valve Sizing'!$G$8/AA825)</f>
        <v>36.679226281342338</v>
      </c>
      <c r="AB824" s="111"/>
      <c r="AC824" s="28"/>
      <c r="AD824" s="96">
        <f ca="1">(AD816/(N_9*AD$27*AD818*0.667))*SQRT(M*'Valve Sizing'!$W$6*'Valve Sizing'!$G$8/AD825)</f>
        <v>65.588316926223996</v>
      </c>
      <c r="AE824" s="111"/>
      <c r="AF824" s="28"/>
      <c r="AG824" s="96">
        <f ca="1">(AG816/(N_9*AG$27*AG818*0.667))*SQRT(M*'Valve Sizing'!$W$6*'Valve Sizing'!$G$8/AG825)</f>
        <v>107.73586808718521</v>
      </c>
      <c r="AH824" s="111"/>
      <c r="AI824" s="28"/>
      <c r="AJ824" s="96">
        <f ca="1">(AJ816/(N_9*AJ$27*AJ818*0.667))*SQRT(M*'Valve Sizing'!$W$6*'Valve Sizing'!$G$8/AJ825)</f>
        <v>172.00200946022304</v>
      </c>
      <c r="AK824" s="111"/>
      <c r="AL824" s="28"/>
      <c r="AM824" s="96">
        <f ca="1">(AM816/(N_9*AM$27*AM818*0.667))*SQRT(M*'Valve Sizing'!$W$6*'Valve Sizing'!$G$8/AM825)</f>
        <v>269.44921282190012</v>
      </c>
      <c r="AN824" s="111"/>
      <c r="AO824" s="28"/>
      <c r="AP824" s="96">
        <f ca="1">(AP816/(N_9*AP$27*AP818*0.667))*SQRT(M*'Valve Sizing'!$W$6*'Valve Sizing'!$G$8/AP825)</f>
        <v>377.24101194372093</v>
      </c>
      <c r="AQ824" s="111"/>
      <c r="AR824" s="28"/>
      <c r="AS824" s="96">
        <f ca="1">(AS816/(N_9*AS$27*AS818*0.667))*SQRT(M*'Valve Sizing'!$W$6*'Valve Sizing'!$G$8/AS825)</f>
        <v>1005.5747351344256</v>
      </c>
      <c r="AT824" s="111"/>
      <c r="AU824" s="28"/>
    </row>
    <row r="825" spans="15:47" ht="15.6" x14ac:dyDescent="0.35">
      <c r="O825" s="2" t="s">
        <v>68</v>
      </c>
      <c r="P825" s="143">
        <v>10</v>
      </c>
      <c r="Q825" s="2"/>
      <c r="R825" s="96">
        <f ca="1">F_GAMMA*R$29</f>
        <v>0.64002969751372984</v>
      </c>
      <c r="S825" s="107"/>
      <c r="T825" s="1"/>
      <c r="U825" s="96">
        <f ca="1">F_GAMMA*U$29</f>
        <v>0.64017842058782071</v>
      </c>
      <c r="V825" s="111"/>
      <c r="W825" s="28"/>
      <c r="X825" s="96">
        <f ca="1">F_GAMMA*X$29</f>
        <v>0.63413873724904268</v>
      </c>
      <c r="Y825" s="111"/>
      <c r="Z825" s="28"/>
      <c r="AA825" s="96">
        <f ca="1">F_GAMMA*AA$29</f>
        <v>0.62532411750377137</v>
      </c>
      <c r="AB825" s="111"/>
      <c r="AC825" s="28"/>
      <c r="AD825" s="96">
        <f ca="1">F_GAMMA*AD$29</f>
        <v>0.60651359509139569</v>
      </c>
      <c r="AE825" s="111"/>
      <c r="AF825" s="28"/>
      <c r="AG825" s="96">
        <f ca="1">F_GAMMA*AG$29</f>
        <v>0.57217930198481592</v>
      </c>
      <c r="AH825" s="111"/>
      <c r="AI825" s="28"/>
      <c r="AJ825" s="96">
        <f ca="1">F_GAMMA*AJ$29</f>
        <v>0.53183282018848232</v>
      </c>
      <c r="AK825" s="111"/>
      <c r="AL825" s="28"/>
      <c r="AM825" s="96">
        <f ca="1">F_GAMMA*AM$29</f>
        <v>0.47566512503094399</v>
      </c>
      <c r="AN825" s="111"/>
      <c r="AO825" s="28"/>
      <c r="AP825" s="96">
        <f ca="1">F_GAMMA*AP$29</f>
        <v>0.59054158265645496</v>
      </c>
      <c r="AQ825" s="111"/>
      <c r="AR825" s="28"/>
      <c r="AS825" s="96">
        <f ca="1">F_GAMMA*AS$29</f>
        <v>0.3766899554102966</v>
      </c>
      <c r="AT825" s="111"/>
      <c r="AU825" s="28"/>
    </row>
    <row r="826" spans="15:47" x14ac:dyDescent="0.25">
      <c r="O826" s="2" t="s">
        <v>145</v>
      </c>
      <c r="P826" s="12"/>
      <c r="Q826" s="2"/>
      <c r="R826" s="96">
        <f ca="1">IF(R821&lt;R825,R823,R824)</f>
        <v>0.39003745345292234</v>
      </c>
      <c r="S826" s="116"/>
      <c r="T826" s="1"/>
      <c r="U826" s="96">
        <f ca="1">IF(U821&lt;U825,U823,U824)</f>
        <v>8.2711371638922095</v>
      </c>
      <c r="V826" s="111"/>
      <c r="W826" s="28"/>
      <c r="X826" s="96">
        <f ca="1">IF(X821&lt;X825,X823,X824)</f>
        <v>20.476641000928968</v>
      </c>
      <c r="Y826" s="111"/>
      <c r="Z826" s="28"/>
      <c r="AA826" s="96">
        <f ca="1">IF(AA821&lt;AA825,AA823,AA824)</f>
        <v>41.170270336820991</v>
      </c>
      <c r="AB826" s="111"/>
      <c r="AC826" s="28"/>
      <c r="AD826" s="96">
        <f ca="1">IF(AD821&lt;AD825,AD823,AD824)</f>
        <v>74.736391272187419</v>
      </c>
      <c r="AE826" s="111"/>
      <c r="AF826" s="28"/>
      <c r="AG826" s="96">
        <f ca="1">IF(AG821&lt;AG825,AG823,AG824)</f>
        <v>127.56587435432715</v>
      </c>
      <c r="AH826" s="111"/>
      <c r="AI826" s="28"/>
      <c r="AJ826" s="96">
        <f ca="1">IF(AJ821&lt;AJ825,AJ823,AJ824)</f>
        <v>230.79385667903966</v>
      </c>
      <c r="AK826" s="111"/>
      <c r="AL826" s="28"/>
      <c r="AM826" s="96">
        <f ca="1">IF(AM821&lt;AM825,AM823,AM824)</f>
        <v>621.70395510443564</v>
      </c>
      <c r="AN826" s="111"/>
      <c r="AO826" s="28"/>
      <c r="AP826" s="96" t="e">
        <f ca="1">IF(AP821&lt;AP825,AP823,AP824)</f>
        <v>#NUM!</v>
      </c>
      <c r="AQ826" s="111"/>
      <c r="AR826" s="28"/>
      <c r="AS826" s="96" t="e">
        <f ca="1">IF(AS821&lt;AS825,AS823,AS824)</f>
        <v>#NUM!</v>
      </c>
      <c r="AT826" s="111"/>
      <c r="AU826" s="28"/>
    </row>
    <row r="827" spans="15:47" x14ac:dyDescent="0.25">
      <c r="O827" s="13" t="s">
        <v>143</v>
      </c>
      <c r="P827" s="1"/>
      <c r="Q827" s="1"/>
      <c r="R827" s="113"/>
      <c r="S827" s="106">
        <f ca="1">IF(R820&lt;=0,Q_max,ABS(R$23-R826))</f>
        <v>4.3399625465470777</v>
      </c>
      <c r="T827" s="7">
        <f>R816</f>
        <v>965.82019523225551</v>
      </c>
      <c r="U827" s="98"/>
      <c r="V827" s="106">
        <f ca="1">IF(U820&lt;=0,Q_max,ABS(U$23-U826))</f>
        <v>3.3288628361077901</v>
      </c>
      <c r="W827" s="9">
        <f ca="1">U816</f>
        <v>20441.598600631452</v>
      </c>
      <c r="X827" s="98"/>
      <c r="Y827" s="106">
        <f ca="1">IF(X820&lt;=0,Q_max,ABS(X$23-X826))</f>
        <v>2.5233589990710321</v>
      </c>
      <c r="Z827" s="9">
        <f ca="1">X816</f>
        <v>50053.966255554857</v>
      </c>
      <c r="AA827" s="98"/>
      <c r="AB827" s="106">
        <f ca="1">IF(AA820&lt;=0,Q_max,ABS(AA$23-AA826))</f>
        <v>1.7702703368209924</v>
      </c>
      <c r="AC827" s="9">
        <f ca="1">AA816</f>
        <v>97492.350220514374</v>
      </c>
      <c r="AD827" s="98"/>
      <c r="AE827" s="106">
        <f ca="1">IF(AD820&lt;=0,Q_max,ABS(AD$23-AD826))</f>
        <v>13.736391272187419</v>
      </c>
      <c r="AF827" s="9">
        <f ca="1">AD816</f>
        <v>163561.8358923425</v>
      </c>
      <c r="AG827" s="98"/>
      <c r="AH827" s="106">
        <f ca="1">IF(AG820&lt;=0,Q_max,ABS(AG$23-AG826))</f>
        <v>39.365874354327147</v>
      </c>
      <c r="AI827" s="9">
        <f ca="1">AG816</f>
        <v>238722.95427822467</v>
      </c>
      <c r="AJ827" s="98"/>
      <c r="AK827" s="106">
        <f ca="1">IF(AJ820&lt;=0,Q_max,ABS(AJ$23-AJ826))</f>
        <v>109.79385667903966</v>
      </c>
      <c r="AL827" s="9">
        <f ca="1">AJ816</f>
        <v>318576.70790987328</v>
      </c>
      <c r="AM827" s="98"/>
      <c r="AN827" s="106">
        <f ca="1">IF(AM820&lt;=0,Q_max,ABS(AM$23-AM826))</f>
        <v>456.70395510443564</v>
      </c>
      <c r="AO827" s="9">
        <f ca="1">AM816</f>
        <v>388724.12595104007</v>
      </c>
      <c r="AP827" s="98"/>
      <c r="AQ827" s="106">
        <f ca="1">IF(AP820&lt;=0,Q_max,ABS(AP$23-AP826))</f>
        <v>236393</v>
      </c>
      <c r="AR827" s="9">
        <f ca="1">AP816</f>
        <v>451296.64243249467</v>
      </c>
      <c r="AS827" s="98"/>
      <c r="AT827" s="106">
        <f ca="1">IF(AS820&lt;=0,Q_max,ABS(AS$23-AS826))</f>
        <v>236393</v>
      </c>
      <c r="AU827" s="9">
        <f ca="1">AS816</f>
        <v>529180.80544210959</v>
      </c>
    </row>
    <row r="828" spans="15:47" x14ac:dyDescent="0.25">
      <c r="O828" s="21"/>
      <c r="P828" s="14"/>
      <c r="Q828" s="21"/>
      <c r="R828" s="97"/>
      <c r="S828" s="106"/>
      <c r="T828" s="28"/>
      <c r="U828" s="97"/>
      <c r="V828" s="111"/>
      <c r="W828" s="28"/>
      <c r="X828" s="97"/>
      <c r="Y828" s="111"/>
      <c r="Z828" s="28"/>
      <c r="AA828" s="97"/>
      <c r="AB828" s="111"/>
      <c r="AC828" s="28"/>
      <c r="AD828" s="97"/>
      <c r="AE828" s="111"/>
      <c r="AF828" s="28"/>
      <c r="AG828" s="97"/>
      <c r="AH828" s="111"/>
      <c r="AI828" s="28"/>
      <c r="AJ828" s="97"/>
      <c r="AK828" s="111"/>
      <c r="AL828" s="28"/>
      <c r="AM828" s="97"/>
      <c r="AN828" s="111"/>
      <c r="AO828" s="28"/>
      <c r="AP828" s="97"/>
      <c r="AQ828" s="111"/>
      <c r="AR828" s="28"/>
      <c r="AS828" s="97"/>
      <c r="AT828" s="111"/>
      <c r="AU828" s="28"/>
    </row>
    <row r="829" spans="15:47" x14ac:dyDescent="0.25">
      <c r="O829" s="1"/>
      <c r="P829" s="1"/>
      <c r="Q829" s="1"/>
      <c r="R829" s="98"/>
      <c r="S829" s="108" t="s">
        <v>137</v>
      </c>
      <c r="T829" s="26" t="s">
        <v>146</v>
      </c>
      <c r="U829" s="98"/>
      <c r="V829" s="108" t="s">
        <v>137</v>
      </c>
      <c r="W829" s="26" t="s">
        <v>146</v>
      </c>
      <c r="X829" s="98"/>
      <c r="Y829" s="108" t="s">
        <v>137</v>
      </c>
      <c r="Z829" s="26" t="s">
        <v>146</v>
      </c>
      <c r="AA829" s="98"/>
      <c r="AB829" s="108" t="s">
        <v>137</v>
      </c>
      <c r="AC829" s="26" t="s">
        <v>146</v>
      </c>
      <c r="AD829" s="98"/>
      <c r="AE829" s="108" t="s">
        <v>137</v>
      </c>
      <c r="AF829" s="26" t="s">
        <v>146</v>
      </c>
      <c r="AG829" s="98"/>
      <c r="AH829" s="108" t="s">
        <v>137</v>
      </c>
      <c r="AI829" s="26" t="s">
        <v>146</v>
      </c>
      <c r="AJ829" s="98"/>
      <c r="AK829" s="108" t="s">
        <v>137</v>
      </c>
      <c r="AL829" s="26" t="s">
        <v>146</v>
      </c>
      <c r="AM829" s="98"/>
      <c r="AN829" s="108" t="s">
        <v>137</v>
      </c>
      <c r="AO829" s="26" t="s">
        <v>146</v>
      </c>
      <c r="AP829" s="98"/>
      <c r="AQ829" s="108" t="s">
        <v>137</v>
      </c>
      <c r="AR829" s="26" t="s">
        <v>146</v>
      </c>
      <c r="AS829" s="98"/>
      <c r="AT829" s="108" t="s">
        <v>137</v>
      </c>
      <c r="AU829" s="26" t="s">
        <v>146</v>
      </c>
    </row>
    <row r="830" spans="15:47" ht="13.8" x14ac:dyDescent="0.25">
      <c r="O830" s="20" t="s">
        <v>136</v>
      </c>
      <c r="P830" s="1"/>
      <c r="Q830" s="1"/>
      <c r="R830" s="96">
        <f>R816*1.02</f>
        <v>985.1365991369006</v>
      </c>
      <c r="S830" s="109" t="s">
        <v>144</v>
      </c>
      <c r="T830" s="23" t="s">
        <v>147</v>
      </c>
      <c r="U830" s="96">
        <f ca="1">U816*1.01</f>
        <v>20646.014586637768</v>
      </c>
      <c r="V830" s="109" t="s">
        <v>144</v>
      </c>
      <c r="W830" s="23" t="s">
        <v>147</v>
      </c>
      <c r="X830" s="96">
        <f ca="1">X816*1.01</f>
        <v>50554.505918110408</v>
      </c>
      <c r="Y830" s="109" t="s">
        <v>144</v>
      </c>
      <c r="Z830" s="23" t="s">
        <v>147</v>
      </c>
      <c r="AA830" s="96">
        <f ca="1">AA816*1.01</f>
        <v>98467.273722719518</v>
      </c>
      <c r="AB830" s="109" t="s">
        <v>144</v>
      </c>
      <c r="AC830" s="23" t="s">
        <v>147</v>
      </c>
      <c r="AD830" s="96">
        <f ca="1">AD816*1.01</f>
        <v>165197.45425126591</v>
      </c>
      <c r="AE830" s="109" t="s">
        <v>144</v>
      </c>
      <c r="AF830" s="23" t="s">
        <v>147</v>
      </c>
      <c r="AG830" s="96">
        <f ca="1">AG816*1.01</f>
        <v>241110.18382100691</v>
      </c>
      <c r="AH830" s="109" t="s">
        <v>144</v>
      </c>
      <c r="AI830" s="23" t="s">
        <v>147</v>
      </c>
      <c r="AJ830" s="96">
        <f ca="1">AJ816*1.01</f>
        <v>321762.47498897201</v>
      </c>
      <c r="AK830" s="109" t="s">
        <v>144</v>
      </c>
      <c r="AL830" s="23" t="s">
        <v>147</v>
      </c>
      <c r="AM830" s="96">
        <f ca="1">AM816*1.01</f>
        <v>392611.36721055047</v>
      </c>
      <c r="AN830" s="109" t="s">
        <v>144</v>
      </c>
      <c r="AO830" s="23" t="s">
        <v>147</v>
      </c>
      <c r="AP830" s="96">
        <f ca="1">AP816*1.01</f>
        <v>455809.60885681963</v>
      </c>
      <c r="AQ830" s="109" t="s">
        <v>144</v>
      </c>
      <c r="AR830" s="23" t="s">
        <v>147</v>
      </c>
      <c r="AS830" s="96">
        <f ca="1">AS816*1.01</f>
        <v>534472.61349653068</v>
      </c>
      <c r="AT830" s="109" t="s">
        <v>144</v>
      </c>
      <c r="AU830" s="23" t="s">
        <v>147</v>
      </c>
    </row>
    <row r="831" spans="15:47" x14ac:dyDescent="0.25">
      <c r="O831" s="1"/>
      <c r="P831" s="1"/>
      <c r="Q831" s="1"/>
      <c r="R831" s="98"/>
      <c r="S831" s="107"/>
      <c r="T831" s="1"/>
      <c r="U831" s="47"/>
      <c r="V831" s="107"/>
      <c r="W831" s="1"/>
      <c r="X831" s="47"/>
      <c r="Y831" s="107"/>
      <c r="Z831" s="1"/>
      <c r="AA831" s="47"/>
      <c r="AB831" s="107"/>
      <c r="AC831" s="1"/>
      <c r="AD831" s="47"/>
      <c r="AE831" s="107"/>
      <c r="AF831" s="1"/>
      <c r="AG831" s="47"/>
      <c r="AH831" s="107"/>
      <c r="AI831" s="1"/>
      <c r="AJ831" s="47"/>
      <c r="AK831" s="107"/>
      <c r="AL831" s="1"/>
      <c r="AM831" s="47"/>
      <c r="AN831" s="107"/>
      <c r="AO831" s="1"/>
      <c r="AP831" s="47"/>
      <c r="AQ831" s="107"/>
      <c r="AR831" s="1"/>
      <c r="AS831" s="47"/>
      <c r="AT831" s="107"/>
      <c r="AU831" s="1"/>
    </row>
    <row r="832" spans="15:47" x14ac:dyDescent="0.25">
      <c r="O832" s="8" t="s">
        <v>132</v>
      </c>
      <c r="P832" s="8"/>
      <c r="Q832" s="8"/>
      <c r="R832" s="96">
        <f>P_1_minQ-(R830^2*R_up)+dpup_minQ</f>
        <v>90.184863647113119</v>
      </c>
      <c r="S832" s="106"/>
      <c r="T832" s="22"/>
      <c r="U832" s="96">
        <f ca="1">P_1_minQ-(U830^2*R_up)+dpup_minQ</f>
        <v>90.107350373657383</v>
      </c>
      <c r="V832" s="107"/>
      <c r="W832" s="1"/>
      <c r="X832" s="96">
        <f ca="1">P_1_minQ-(X830^2*R_up)+dpup_minQ</f>
        <v>89.719225735858558</v>
      </c>
      <c r="Y832" s="107"/>
      <c r="Z832" s="1"/>
      <c r="AA832" s="96">
        <f ca="1">P_1_minQ-(AA830^2*R_up)+dpup_minQ</f>
        <v>88.417874459411777</v>
      </c>
      <c r="AB832" s="107"/>
      <c r="AC832" s="1"/>
      <c r="AD832" s="96">
        <f ca="1">P_1_minQ-(AD830^2*R_up)+dpup_minQ</f>
        <v>85.211104013504851</v>
      </c>
      <c r="AE832" s="107"/>
      <c r="AF832" s="1"/>
      <c r="AG832" s="96">
        <f ca="1">P_1_minQ-(AG830^2*R_up)+dpup_minQ</f>
        <v>79.589462711908027</v>
      </c>
      <c r="AH832" s="107"/>
      <c r="AI832" s="1"/>
      <c r="AJ832" s="96">
        <f ca="1">P_1_minQ-(AJ830^2*R_up)+dpup_minQ</f>
        <v>71.31536967252508</v>
      </c>
      <c r="AK832" s="107"/>
      <c r="AL832" s="1"/>
      <c r="AM832" s="96">
        <f ca="1">P_1_minQ-(AM830^2*R_up)+dpup_minQ</f>
        <v>62.090671925434108</v>
      </c>
      <c r="AN832" s="107"/>
      <c r="AO832" s="1"/>
      <c r="AP832" s="96">
        <f ca="1">P_1_minQ-(AP830^2*R_up)+dpup_minQ</f>
        <v>52.318076279284142</v>
      </c>
      <c r="AQ832" s="107"/>
      <c r="AR832" s="1"/>
      <c r="AS832" s="96">
        <f ca="1">P_1_minQ-(AS830^2*R_up)+dpup_minQ</f>
        <v>38.120211009112111</v>
      </c>
      <c r="AT832" s="107"/>
      <c r="AU832" s="1"/>
    </row>
    <row r="833" spans="15:47" x14ac:dyDescent="0.25">
      <c r="O833" s="8" t="s">
        <v>134</v>
      </c>
      <c r="P833" s="1"/>
      <c r="Q833" s="8"/>
      <c r="R833" s="97">
        <f>P_2_minQ+(R830^2*R_dn)-dpdn_minQ</f>
        <v>60</v>
      </c>
      <c r="S833" s="106"/>
      <c r="T833" s="22"/>
      <c r="U833" s="97">
        <f ca="1">P_2_minQ+(U830^2*R_dn)-dpdn_minQ</f>
        <v>60</v>
      </c>
      <c r="V833" s="107"/>
      <c r="W833" s="1"/>
      <c r="X833" s="97">
        <f ca="1">P_2_minQ+(X830^2*R_dn)-dpdn_minQ</f>
        <v>60</v>
      </c>
      <c r="Y833" s="107"/>
      <c r="Z833" s="1"/>
      <c r="AA833" s="97">
        <f ca="1">P_2_minQ+(AA830^2*R_dn)-dpdn_minQ</f>
        <v>60</v>
      </c>
      <c r="AB833" s="107"/>
      <c r="AC833" s="1"/>
      <c r="AD833" s="97">
        <f ca="1">P_2_minQ+(AD830^2*R_dn)-dpdn_minQ</f>
        <v>60</v>
      </c>
      <c r="AE833" s="107"/>
      <c r="AF833" s="1"/>
      <c r="AG833" s="97">
        <f ca="1">P_2_minQ+(AG830^2*R_dn)-dpdn_minQ</f>
        <v>60</v>
      </c>
      <c r="AH833" s="107"/>
      <c r="AI833" s="1"/>
      <c r="AJ833" s="97">
        <f ca="1">P_2_minQ+(AJ830^2*R_dn)-dpdn_minQ</f>
        <v>60</v>
      </c>
      <c r="AK833" s="107"/>
      <c r="AL833" s="1"/>
      <c r="AM833" s="97">
        <f ca="1">P_2_minQ+(AM830^2*R_dn)-dpdn_minQ</f>
        <v>60</v>
      </c>
      <c r="AN833" s="107"/>
      <c r="AO833" s="1"/>
      <c r="AP833" s="97">
        <f ca="1">P_2_minQ+(AP830^2*R_dn)-dpdn_minQ</f>
        <v>60</v>
      </c>
      <c r="AQ833" s="107"/>
      <c r="AR833" s="1"/>
      <c r="AS833" s="97">
        <f ca="1">P_2_minQ+(AS830^2*R_dn)-dpdn_minQ</f>
        <v>60</v>
      </c>
      <c r="AT833" s="107"/>
      <c r="AU833" s="1"/>
    </row>
    <row r="834" spans="15:47" x14ac:dyDescent="0.25">
      <c r="O834" s="8" t="s">
        <v>138</v>
      </c>
      <c r="P834" s="1"/>
      <c r="Q834" s="8"/>
      <c r="R834" s="97">
        <f>R832-R833</f>
        <v>30.184863647113119</v>
      </c>
      <c r="S834" s="106"/>
      <c r="T834" s="22"/>
      <c r="U834" s="97">
        <f ca="1">U832-U833</f>
        <v>30.107350373657383</v>
      </c>
      <c r="V834" s="110"/>
      <c r="W834" s="25"/>
      <c r="X834" s="97">
        <f ca="1">X832-X833</f>
        <v>29.719225735858558</v>
      </c>
      <c r="Y834" s="110"/>
      <c r="Z834" s="25"/>
      <c r="AA834" s="97">
        <f ca="1">AA832-AA833</f>
        <v>28.417874459411777</v>
      </c>
      <c r="AB834" s="110"/>
      <c r="AC834" s="25"/>
      <c r="AD834" s="97">
        <f ca="1">AD832-AD833</f>
        <v>25.211104013504851</v>
      </c>
      <c r="AE834" s="110"/>
      <c r="AF834" s="25"/>
      <c r="AG834" s="97">
        <f ca="1">AG832-AG833</f>
        <v>19.589462711908027</v>
      </c>
      <c r="AH834" s="110"/>
      <c r="AI834" s="25"/>
      <c r="AJ834" s="97">
        <f ca="1">AJ832-AJ833</f>
        <v>11.31536967252508</v>
      </c>
      <c r="AK834" s="110"/>
      <c r="AL834" s="25"/>
      <c r="AM834" s="97">
        <f ca="1">AM832-AM833</f>
        <v>2.0906719254341084</v>
      </c>
      <c r="AN834" s="110"/>
      <c r="AO834" s="25"/>
      <c r="AP834" s="97">
        <f ca="1">AP832-AP833</f>
        <v>-7.6819237207158579</v>
      </c>
      <c r="AQ834" s="110"/>
      <c r="AR834" s="25"/>
      <c r="AS834" s="97">
        <f ca="1">AS832-AS833</f>
        <v>-21.879788990887889</v>
      </c>
      <c r="AT834" s="110"/>
      <c r="AU834" s="25"/>
    </row>
    <row r="835" spans="15:47" ht="14.4" x14ac:dyDescent="0.3">
      <c r="O835" s="2" t="s">
        <v>140</v>
      </c>
      <c r="P835" s="11"/>
      <c r="Q835" s="2"/>
      <c r="R835" s="96">
        <f>R834/R832</f>
        <v>0.33469988672627282</v>
      </c>
      <c r="S835" s="106"/>
      <c r="T835" s="22"/>
      <c r="U835" s="96">
        <f ca="1">U834/U832</f>
        <v>0.33412757393051895</v>
      </c>
      <c r="V835" s="111"/>
      <c r="W835" s="28"/>
      <c r="X835" s="96">
        <f ca="1">X834/X832</f>
        <v>0.33124701525350453</v>
      </c>
      <c r="Y835" s="111"/>
      <c r="Z835" s="28"/>
      <c r="AA835" s="96">
        <f ca="1">AA834/AA832</f>
        <v>0.32140418024250289</v>
      </c>
      <c r="AB835" s="111"/>
      <c r="AC835" s="28"/>
      <c r="AD835" s="96">
        <f ca="1">AD834/AD832</f>
        <v>0.29586641677015729</v>
      </c>
      <c r="AE835" s="111"/>
      <c r="AF835" s="28"/>
      <c r="AG835" s="96">
        <f ca="1">AG834/AG832</f>
        <v>0.24613136016279563</v>
      </c>
      <c r="AH835" s="111"/>
      <c r="AI835" s="28"/>
      <c r="AJ835" s="96">
        <f ca="1">AJ834/AJ832</f>
        <v>0.1586666341979916</v>
      </c>
      <c r="AK835" s="111"/>
      <c r="AL835" s="28"/>
      <c r="AM835" s="96">
        <f ca="1">AM834/AM832</f>
        <v>3.3671272360280412E-2</v>
      </c>
      <c r="AN835" s="111"/>
      <c r="AO835" s="28"/>
      <c r="AP835" s="96">
        <f ca="1">AP834/AP832</f>
        <v>-0.14683115792920681</v>
      </c>
      <c r="AQ835" s="111"/>
      <c r="AR835" s="28"/>
      <c r="AS835" s="96">
        <f ca="1">AS834/AS832</f>
        <v>-0.57396820247552738</v>
      </c>
      <c r="AT835" s="111"/>
      <c r="AU835" s="28"/>
    </row>
    <row r="836" spans="15:47" x14ac:dyDescent="0.25">
      <c r="O836" s="2" t="s">
        <v>21</v>
      </c>
      <c r="P836" s="8">
        <v>12</v>
      </c>
      <c r="Q836" s="2"/>
      <c r="R836" s="96">
        <f ca="1">1-R835/(3*F_GAMMA*R$29)</f>
        <v>0.82568523094764013</v>
      </c>
      <c r="S836" s="106"/>
      <c r="T836" s="22"/>
      <c r="U836" s="96">
        <f ca="1">1-U835/(3*F_GAMMA*U$29)</f>
        <v>0.82602372339484231</v>
      </c>
      <c r="V836" s="111"/>
      <c r="W836" s="28"/>
      <c r="X836" s="96">
        <f ca="1">1-X835/(3*F_GAMMA*X$29)</f>
        <v>0.82588089125391961</v>
      </c>
      <c r="Y836" s="111"/>
      <c r="Z836" s="28"/>
      <c r="AA836" s="96">
        <f ca="1">1-AA835/(3*F_GAMMA*AA$29)</f>
        <v>0.82867328518341554</v>
      </c>
      <c r="AB836" s="111"/>
      <c r="AC836" s="28"/>
      <c r="AD836" s="96">
        <f ca="1">1-AD835/(3*F_GAMMA*AD$29)</f>
        <v>0.83739500693545976</v>
      </c>
      <c r="AE836" s="111"/>
      <c r="AF836" s="28"/>
      <c r="AG836" s="96">
        <f ca="1">1-AG835/(3*F_GAMMA*AG$29)</f>
        <v>0.85661175362979292</v>
      </c>
      <c r="AH836" s="111"/>
      <c r="AI836" s="28"/>
      <c r="AJ836" s="96">
        <f ca="1">1-AJ835/(3*F_GAMMA*AJ$29)</f>
        <v>0.90055356484533378</v>
      </c>
      <c r="AK836" s="111"/>
      <c r="AL836" s="28"/>
      <c r="AM836" s="96">
        <f ca="1">1-AM835/(3*F_GAMMA*AM$29)</f>
        <v>0.97640407744272473</v>
      </c>
      <c r="AN836" s="111"/>
      <c r="AO836" s="28"/>
      <c r="AP836" s="96">
        <f ca="1">1-AP835/(3*F_GAMMA*AP$29)</f>
        <v>1.0828793784335564</v>
      </c>
      <c r="AQ836" s="111"/>
      <c r="AR836" s="28"/>
      <c r="AS836" s="96">
        <f ca="1">1-AS835/(3*F_GAMMA*AS$29)</f>
        <v>1.5079050593481247</v>
      </c>
      <c r="AT836" s="111"/>
      <c r="AU836" s="28"/>
    </row>
    <row r="837" spans="15:47" x14ac:dyDescent="0.25">
      <c r="O837" s="2" t="s">
        <v>57</v>
      </c>
      <c r="P837" s="143">
        <v>7</v>
      </c>
      <c r="Q837" s="2"/>
      <c r="R837" s="96">
        <f ca="1">(R830/(N_9*R$27*R832*R836))*SQRT(M*'Valve Sizing'!$W$6*'Valve Sizing'!$G$8/R835)</f>
        <v>0.39783825022092056</v>
      </c>
      <c r="S837" s="107"/>
      <c r="T837" s="22"/>
      <c r="U837" s="96">
        <f ca="1">(U830/(N_9*U$27*U832*U836))*SQRT(M*'Valve Sizing'!$W$6*'Valve Sizing'!$G$8/U835)</f>
        <v>8.3540722994364014</v>
      </c>
      <c r="V837" s="111"/>
      <c r="W837" s="28"/>
      <c r="X837" s="96">
        <f ca="1">(X830/(N_9*X$27*X832*X836))*SQRT(M*'Valve Sizing'!$W$6*'Valve Sizing'!$G$8/X835)</f>
        <v>20.684758123238122</v>
      </c>
      <c r="Y837" s="111"/>
      <c r="Z837" s="28"/>
      <c r="AA837" s="96">
        <f ca="1">(AA830/(N_9*AA$27*AA832*AA836))*SQRT(M*'Valve Sizing'!$W$6*'Valve Sizing'!$G$8/AA835)</f>
        <v>41.608481043376912</v>
      </c>
      <c r="AB837" s="111"/>
      <c r="AC837" s="28"/>
      <c r="AD837" s="96">
        <f ca="1">(AD830/(N_9*AD$27*AD832*AD836))*SQRT(M*'Valve Sizing'!$W$6*'Valve Sizing'!$G$8/AD835)</f>
        <v>75.633636382061283</v>
      </c>
      <c r="AE837" s="111"/>
      <c r="AF837" s="28"/>
      <c r="AG837" s="96">
        <f ca="1">(AG830/(N_9*AG$27*AG832*AG836))*SQRT(M*'Valve Sizing'!$W$6*'Valve Sizing'!$G$8/AG835)</f>
        <v>129.52208173849564</v>
      </c>
      <c r="AH837" s="111"/>
      <c r="AI837" s="28"/>
      <c r="AJ837" s="96">
        <f ca="1">(AJ830/(N_9*AJ$27*AJ832*AJ836))*SQRT(M*'Valve Sizing'!$W$6*'Valve Sizing'!$G$8/AJ835)</f>
        <v>236.79595564240014</v>
      </c>
      <c r="AK837" s="111"/>
      <c r="AL837" s="28"/>
      <c r="AM837" s="96">
        <f ca="1">(AM830/(N_9*AM$27*AM832*AM836))*SQRT(M*'Valve Sizing'!$W$6*'Valve Sizing'!$G$8/AM835)</f>
        <v>704.96934564903574</v>
      </c>
      <c r="AN837" s="111"/>
      <c r="AO837" s="28"/>
      <c r="AP837" s="96" t="e">
        <f ca="1">(AP830/(N_9*AP$27*AP832*AP836))*SQRT(M*'Valve Sizing'!$W$6*'Valve Sizing'!$G$8/AP835)</f>
        <v>#NUM!</v>
      </c>
      <c r="AQ837" s="111"/>
      <c r="AR837" s="28"/>
      <c r="AS837" s="96" t="e">
        <f ca="1">(AS830/(N_9*AS$27*AS832*AS836))*SQRT(M*'Valve Sizing'!$W$6*'Valve Sizing'!$G$8/AS835)</f>
        <v>#NUM!</v>
      </c>
      <c r="AT837" s="111"/>
      <c r="AU837" s="28"/>
    </row>
    <row r="838" spans="15:47" x14ac:dyDescent="0.25">
      <c r="O838" s="2" t="s">
        <v>59</v>
      </c>
      <c r="P838" s="143">
        <v>7</v>
      </c>
      <c r="Q838" s="2"/>
      <c r="R838" s="96">
        <f ca="1">(R830/(N_9*R$27*R832*0.667))*SQRT(M*'Valve Sizing'!$W$6*'Valve Sizing'!$G$8/R839)</f>
        <v>0.35614179101085425</v>
      </c>
      <c r="S838" s="107"/>
      <c r="T838" s="22"/>
      <c r="U838" s="96">
        <f ca="1">(U830/(N_9*U$27*U832*0.667))*SQRT(M*'Valve Sizing'!$W$6*'Valve Sizing'!$G$8/U839)</f>
        <v>7.4743005847720863</v>
      </c>
      <c r="V838" s="111"/>
      <c r="W838" s="28"/>
      <c r="X838" s="96">
        <f ca="1">(X830/(N_9*X$27*X832*0.667))*SQRT(M*'Valve Sizing'!$W$6*'Valve Sizing'!$G$8/X839)</f>
        <v>18.510829295167984</v>
      </c>
      <c r="Y838" s="111"/>
      <c r="Z838" s="28"/>
      <c r="AA838" s="96">
        <f ca="1">(AA830/(N_9*AA$27*AA832*0.667))*SQRT(M*'Valve Sizing'!$W$6*'Valve Sizing'!$G$8/AA839)</f>
        <v>37.060607766524768</v>
      </c>
      <c r="AB838" s="111"/>
      <c r="AC838" s="28"/>
      <c r="AD838" s="96">
        <f ca="1">(AD830/(N_9*AD$27*AD832*0.667))*SQRT(M*'Valve Sizing'!$W$6*'Valve Sizing'!$G$8/AD839)</f>
        <v>66.320391366065735</v>
      </c>
      <c r="AE838" s="111"/>
      <c r="AF838" s="28"/>
      <c r="AG838" s="96">
        <f ca="1">(AG830/(N_9*AG$27*AG832*0.667))*SQRT(M*'Valve Sizing'!$W$6*'Valve Sizing'!$G$8/AG839)</f>
        <v>109.0986596953941</v>
      </c>
      <c r="AH838" s="111"/>
      <c r="AI838" s="28"/>
      <c r="AJ838" s="96">
        <f ca="1">(AJ830/(N_9*AJ$27*AJ832*0.667))*SQRT(M*'Valve Sizing'!$W$6*'Valve Sizing'!$G$8/AJ839)</f>
        <v>174.62774003154513</v>
      </c>
      <c r="AK838" s="111"/>
      <c r="AL838" s="28"/>
      <c r="AM838" s="96">
        <f ca="1">(AM830/(N_9*AM$27*AM832*0.667))*SQRT(M*'Valve Sizing'!$W$6*'Valve Sizing'!$G$8/AM839)</f>
        <v>274.57000506797414</v>
      </c>
      <c r="AN838" s="111"/>
      <c r="AO838" s="28"/>
      <c r="AP838" s="96">
        <f ca="1">(AP830/(N_9*AP$27*AP832*0.667))*SQRT(M*'Valve Sizing'!$W$6*'Valve Sizing'!$G$8/AP839)</f>
        <v>386.44720527592608</v>
      </c>
      <c r="AQ838" s="111"/>
      <c r="AR838" s="28"/>
      <c r="AS838" s="96">
        <f ca="1">(AS830/(N_9*AS$27*AS832*0.667))*SQRT(M*'Valve Sizing'!$W$6*'Valve Sizing'!$G$8/AS839)</f>
        <v>1042.962909157183</v>
      </c>
      <c r="AT838" s="111"/>
      <c r="AU838" s="28"/>
    </row>
    <row r="839" spans="15:47" ht="15.6" x14ac:dyDescent="0.35">
      <c r="O839" s="2" t="s">
        <v>68</v>
      </c>
      <c r="P839" s="143">
        <v>10</v>
      </c>
      <c r="Q839" s="2"/>
      <c r="R839" s="96">
        <f ca="1">F_GAMMA*R$29</f>
        <v>0.64002969751372984</v>
      </c>
      <c r="S839" s="107"/>
      <c r="T839" s="1"/>
      <c r="U839" s="96">
        <f ca="1">F_GAMMA*U$29</f>
        <v>0.64017842058782071</v>
      </c>
      <c r="V839" s="111"/>
      <c r="W839" s="28"/>
      <c r="X839" s="96">
        <f ca="1">F_GAMMA*X$29</f>
        <v>0.63413873724904268</v>
      </c>
      <c r="Y839" s="111"/>
      <c r="Z839" s="28"/>
      <c r="AA839" s="96">
        <f ca="1">F_GAMMA*AA$29</f>
        <v>0.62532411750377137</v>
      </c>
      <c r="AB839" s="111"/>
      <c r="AC839" s="28"/>
      <c r="AD839" s="96">
        <f ca="1">F_GAMMA*AD$29</f>
        <v>0.60651359509139569</v>
      </c>
      <c r="AE839" s="111"/>
      <c r="AF839" s="28"/>
      <c r="AG839" s="96">
        <f ca="1">F_GAMMA*AG$29</f>
        <v>0.57217930198481592</v>
      </c>
      <c r="AH839" s="111"/>
      <c r="AI839" s="28"/>
      <c r="AJ839" s="96">
        <f ca="1">F_GAMMA*AJ$29</f>
        <v>0.53183282018848232</v>
      </c>
      <c r="AK839" s="111"/>
      <c r="AL839" s="28"/>
      <c r="AM839" s="96">
        <f ca="1">F_GAMMA*AM$29</f>
        <v>0.47566512503094399</v>
      </c>
      <c r="AN839" s="111"/>
      <c r="AO839" s="28"/>
      <c r="AP839" s="96">
        <f ca="1">F_GAMMA*AP$29</f>
        <v>0.59054158265645496</v>
      </c>
      <c r="AQ839" s="111"/>
      <c r="AR839" s="28"/>
      <c r="AS839" s="96">
        <f ca="1">F_GAMMA*AS$29</f>
        <v>0.3766899554102966</v>
      </c>
      <c r="AT839" s="111"/>
      <c r="AU839" s="28"/>
    </row>
    <row r="840" spans="15:47" x14ac:dyDescent="0.25">
      <c r="O840" s="2" t="s">
        <v>145</v>
      </c>
      <c r="P840" s="12"/>
      <c r="Q840" s="2"/>
      <c r="R840" s="96">
        <f ca="1">IF(R835&lt;R839,R837,R838)</f>
        <v>0.39783825022092056</v>
      </c>
      <c r="S840" s="116"/>
      <c r="T840" s="1"/>
      <c r="U840" s="96">
        <f ca="1">IF(U835&lt;U839,U837,U838)</f>
        <v>8.3540722994364014</v>
      </c>
      <c r="V840" s="111"/>
      <c r="W840" s="28"/>
      <c r="X840" s="96">
        <f ca="1">IF(X835&lt;X839,X837,X838)</f>
        <v>20.684758123238122</v>
      </c>
      <c r="Y840" s="111"/>
      <c r="Z840" s="28"/>
      <c r="AA840" s="96">
        <f ca="1">IF(AA835&lt;AA839,AA837,AA838)</f>
        <v>41.608481043376912</v>
      </c>
      <c r="AB840" s="111"/>
      <c r="AC840" s="28"/>
      <c r="AD840" s="96">
        <f ca="1">IF(AD835&lt;AD839,AD837,AD838)</f>
        <v>75.633636382061283</v>
      </c>
      <c r="AE840" s="111"/>
      <c r="AF840" s="28"/>
      <c r="AG840" s="96">
        <f ca="1">IF(AG835&lt;AG839,AG837,AG838)</f>
        <v>129.52208173849564</v>
      </c>
      <c r="AH840" s="111"/>
      <c r="AI840" s="28"/>
      <c r="AJ840" s="96">
        <f ca="1">IF(AJ835&lt;AJ839,AJ837,AJ838)</f>
        <v>236.79595564240014</v>
      </c>
      <c r="AK840" s="111"/>
      <c r="AL840" s="28"/>
      <c r="AM840" s="96">
        <f ca="1">IF(AM835&lt;AM839,AM837,AM838)</f>
        <v>704.96934564903574</v>
      </c>
      <c r="AN840" s="111"/>
      <c r="AO840" s="28"/>
      <c r="AP840" s="96" t="e">
        <f ca="1">IF(AP835&lt;AP839,AP837,AP838)</f>
        <v>#NUM!</v>
      </c>
      <c r="AQ840" s="111"/>
      <c r="AR840" s="28"/>
      <c r="AS840" s="96" t="e">
        <f ca="1">IF(AS835&lt;AS839,AS837,AS838)</f>
        <v>#NUM!</v>
      </c>
      <c r="AT840" s="111"/>
      <c r="AU840" s="28"/>
    </row>
    <row r="841" spans="15:47" x14ac:dyDescent="0.25">
      <c r="O841" s="13" t="s">
        <v>143</v>
      </c>
      <c r="P841" s="1"/>
      <c r="Q841" s="1"/>
      <c r="R841" s="113"/>
      <c r="S841" s="106">
        <f ca="1">IF(R834&lt;=0,Q_max,ABS(R$23-R840))</f>
        <v>4.3321617497790799</v>
      </c>
      <c r="T841" s="7">
        <f>R830</f>
        <v>985.1365991369006</v>
      </c>
      <c r="U841" s="98"/>
      <c r="V841" s="106">
        <f ca="1">IF(U834&lt;=0,Q_max,ABS(U$23-U840))</f>
        <v>3.2459277005635983</v>
      </c>
      <c r="W841" s="9">
        <f ca="1">U830</f>
        <v>20646.014586637768</v>
      </c>
      <c r="X841" s="98"/>
      <c r="Y841" s="106">
        <f ca="1">IF(X834&lt;=0,Q_max,ABS(X$23-X840))</f>
        <v>2.3152418767618776</v>
      </c>
      <c r="Z841" s="9">
        <f ca="1">X830</f>
        <v>50554.505918110408</v>
      </c>
      <c r="AA841" s="98"/>
      <c r="AB841" s="106">
        <f ca="1">IF(AA834&lt;=0,Q_max,ABS(AA$23-AA840))</f>
        <v>2.2084810433769135</v>
      </c>
      <c r="AC841" s="9">
        <f ca="1">AA830</f>
        <v>98467.273722719518</v>
      </c>
      <c r="AD841" s="98"/>
      <c r="AE841" s="106">
        <f ca="1">IF(AD834&lt;=0,Q_max,ABS(AD$23-AD840))</f>
        <v>14.633636382061283</v>
      </c>
      <c r="AF841" s="9">
        <f ca="1">AD830</f>
        <v>165197.45425126591</v>
      </c>
      <c r="AG841" s="98"/>
      <c r="AH841" s="106">
        <f ca="1">IF(AG834&lt;=0,Q_max,ABS(AG$23-AG840))</f>
        <v>41.32208173849564</v>
      </c>
      <c r="AI841" s="9">
        <f ca="1">AG830</f>
        <v>241110.18382100691</v>
      </c>
      <c r="AJ841" s="98"/>
      <c r="AK841" s="106">
        <f ca="1">IF(AJ834&lt;=0,Q_max,ABS(AJ$23-AJ840))</f>
        <v>115.79595564240014</v>
      </c>
      <c r="AL841" s="9">
        <f ca="1">AJ830</f>
        <v>321762.47498897201</v>
      </c>
      <c r="AM841" s="98"/>
      <c r="AN841" s="106">
        <f ca="1">IF(AM834&lt;=0,Q_max,ABS(AM$23-AM840))</f>
        <v>539.96934564903574</v>
      </c>
      <c r="AO841" s="9">
        <f ca="1">AM830</f>
        <v>392611.36721055047</v>
      </c>
      <c r="AP841" s="98"/>
      <c r="AQ841" s="106">
        <f ca="1">IF(AP834&lt;=0,Q_max,ABS(AP$23-AP840))</f>
        <v>236393</v>
      </c>
      <c r="AR841" s="9">
        <f ca="1">AP830</f>
        <v>455809.60885681963</v>
      </c>
      <c r="AS841" s="98"/>
      <c r="AT841" s="106">
        <f ca="1">IF(AS834&lt;=0,Q_max,ABS(AS$23-AS840))</f>
        <v>236393</v>
      </c>
      <c r="AU841" s="9">
        <f ca="1">AS830</f>
        <v>534472.61349653068</v>
      </c>
    </row>
    <row r="842" spans="15:47" x14ac:dyDescent="0.25">
      <c r="O842" s="21"/>
      <c r="P842" s="14"/>
      <c r="Q842" s="21"/>
      <c r="R842" s="97"/>
      <c r="S842" s="106"/>
      <c r="T842" s="28"/>
      <c r="U842" s="97"/>
      <c r="V842" s="111"/>
      <c r="W842" s="28"/>
      <c r="X842" s="97"/>
      <c r="Y842" s="111"/>
      <c r="Z842" s="28"/>
      <c r="AA842" s="97"/>
      <c r="AB842" s="111"/>
      <c r="AC842" s="28"/>
      <c r="AD842" s="97"/>
      <c r="AE842" s="111"/>
      <c r="AF842" s="28"/>
      <c r="AG842" s="97"/>
      <c r="AH842" s="111"/>
      <c r="AI842" s="28"/>
      <c r="AJ842" s="97"/>
      <c r="AK842" s="111"/>
      <c r="AL842" s="28"/>
      <c r="AM842" s="97"/>
      <c r="AN842" s="111"/>
      <c r="AO842" s="28"/>
      <c r="AP842" s="97"/>
      <c r="AQ842" s="111"/>
      <c r="AR842" s="28"/>
      <c r="AS842" s="97"/>
      <c r="AT842" s="111"/>
      <c r="AU842" s="28"/>
    </row>
    <row r="843" spans="15:47" x14ac:dyDescent="0.25">
      <c r="O843" s="1"/>
      <c r="P843" s="1"/>
      <c r="Q843" s="1"/>
      <c r="R843" s="98"/>
      <c r="S843" s="108" t="s">
        <v>137</v>
      </c>
      <c r="T843" s="26" t="s">
        <v>146</v>
      </c>
      <c r="U843" s="98"/>
      <c r="V843" s="108" t="s">
        <v>137</v>
      </c>
      <c r="W843" s="26" t="s">
        <v>146</v>
      </c>
      <c r="X843" s="98"/>
      <c r="Y843" s="108" t="s">
        <v>137</v>
      </c>
      <c r="Z843" s="26" t="s">
        <v>146</v>
      </c>
      <c r="AA843" s="98"/>
      <c r="AB843" s="108" t="s">
        <v>137</v>
      </c>
      <c r="AC843" s="26" t="s">
        <v>146</v>
      </c>
      <c r="AD843" s="98"/>
      <c r="AE843" s="108" t="s">
        <v>137</v>
      </c>
      <c r="AF843" s="26" t="s">
        <v>146</v>
      </c>
      <c r="AG843" s="98"/>
      <c r="AH843" s="108" t="s">
        <v>137</v>
      </c>
      <c r="AI843" s="26" t="s">
        <v>146</v>
      </c>
      <c r="AJ843" s="98"/>
      <c r="AK843" s="108" t="s">
        <v>137</v>
      </c>
      <c r="AL843" s="26" t="s">
        <v>146</v>
      </c>
      <c r="AM843" s="98"/>
      <c r="AN843" s="108" t="s">
        <v>137</v>
      </c>
      <c r="AO843" s="26" t="s">
        <v>146</v>
      </c>
      <c r="AP843" s="98"/>
      <c r="AQ843" s="108" t="s">
        <v>137</v>
      </c>
      <c r="AR843" s="26" t="s">
        <v>146</v>
      </c>
      <c r="AS843" s="98"/>
      <c r="AT843" s="108" t="s">
        <v>137</v>
      </c>
      <c r="AU843" s="26" t="s">
        <v>146</v>
      </c>
    </row>
    <row r="844" spans="15:47" ht="13.8" x14ac:dyDescent="0.25">
      <c r="O844" s="20" t="s">
        <v>136</v>
      </c>
      <c r="P844" s="1"/>
      <c r="Q844" s="1"/>
      <c r="R844" s="96">
        <f>R830*1.02</f>
        <v>1004.8393311196386</v>
      </c>
      <c r="S844" s="109" t="s">
        <v>144</v>
      </c>
      <c r="T844" s="23" t="s">
        <v>147</v>
      </c>
      <c r="U844" s="96">
        <f ca="1">U830*1.01</f>
        <v>20852.474732504146</v>
      </c>
      <c r="V844" s="109" t="s">
        <v>144</v>
      </c>
      <c r="W844" s="23" t="s">
        <v>147</v>
      </c>
      <c r="X844" s="96">
        <f ca="1">X830*1.01</f>
        <v>51060.05097729151</v>
      </c>
      <c r="Y844" s="109" t="s">
        <v>144</v>
      </c>
      <c r="Z844" s="23" t="s">
        <v>147</v>
      </c>
      <c r="AA844" s="96">
        <f ca="1">AA830*1.01</f>
        <v>99451.946459946717</v>
      </c>
      <c r="AB844" s="109" t="s">
        <v>144</v>
      </c>
      <c r="AC844" s="23" t="s">
        <v>147</v>
      </c>
      <c r="AD844" s="96">
        <f ca="1">AD830*1.01</f>
        <v>166849.42879377858</v>
      </c>
      <c r="AE844" s="109" t="s">
        <v>144</v>
      </c>
      <c r="AF844" s="23" t="s">
        <v>147</v>
      </c>
      <c r="AG844" s="96">
        <f ca="1">AG830*1.01</f>
        <v>243521.28565921698</v>
      </c>
      <c r="AH844" s="109" t="s">
        <v>144</v>
      </c>
      <c r="AI844" s="23" t="s">
        <v>147</v>
      </c>
      <c r="AJ844" s="96">
        <f ca="1">AJ830*1.01</f>
        <v>324980.09973886173</v>
      </c>
      <c r="AK844" s="109" t="s">
        <v>144</v>
      </c>
      <c r="AL844" s="23" t="s">
        <v>147</v>
      </c>
      <c r="AM844" s="96">
        <f ca="1">AM830*1.01</f>
        <v>396537.48088265595</v>
      </c>
      <c r="AN844" s="109" t="s">
        <v>144</v>
      </c>
      <c r="AO844" s="23" t="s">
        <v>147</v>
      </c>
      <c r="AP844" s="96">
        <f ca="1">AP830*1.01</f>
        <v>460367.70494538784</v>
      </c>
      <c r="AQ844" s="109" t="s">
        <v>144</v>
      </c>
      <c r="AR844" s="23" t="s">
        <v>147</v>
      </c>
      <c r="AS844" s="96">
        <f ca="1">AS830*1.01</f>
        <v>539817.339631496</v>
      </c>
      <c r="AT844" s="109" t="s">
        <v>144</v>
      </c>
      <c r="AU844" s="23" t="s">
        <v>147</v>
      </c>
    </row>
    <row r="845" spans="15:47" x14ac:dyDescent="0.25">
      <c r="O845" s="1"/>
      <c r="P845" s="1"/>
      <c r="Q845" s="1"/>
      <c r="R845" s="98"/>
      <c r="S845" s="107"/>
      <c r="T845" s="1"/>
      <c r="U845" s="47"/>
      <c r="V845" s="107"/>
      <c r="W845" s="1"/>
      <c r="X845" s="47"/>
      <c r="Y845" s="107"/>
      <c r="Z845" s="1"/>
      <c r="AA845" s="47"/>
      <c r="AB845" s="107"/>
      <c r="AC845" s="1"/>
      <c r="AD845" s="47"/>
      <c r="AE845" s="107"/>
      <c r="AF845" s="1"/>
      <c r="AG845" s="47"/>
      <c r="AH845" s="107"/>
      <c r="AI845" s="1"/>
      <c r="AJ845" s="47"/>
      <c r="AK845" s="107"/>
      <c r="AL845" s="1"/>
      <c r="AM845" s="47"/>
      <c r="AN845" s="107"/>
      <c r="AO845" s="1"/>
      <c r="AP845" s="47"/>
      <c r="AQ845" s="107"/>
      <c r="AR845" s="1"/>
      <c r="AS845" s="47"/>
      <c r="AT845" s="107"/>
      <c r="AU845" s="1"/>
    </row>
    <row r="846" spans="15:47" x14ac:dyDescent="0.25">
      <c r="O846" s="8" t="s">
        <v>132</v>
      </c>
      <c r="P846" s="8"/>
      <c r="Q846" s="8"/>
      <c r="R846" s="96">
        <f>P_1_minQ-(R844^2*R_up)+dpup_minQ</f>
        <v>90.184856501034162</v>
      </c>
      <c r="S846" s="106"/>
      <c r="T846" s="22"/>
      <c r="U846" s="96">
        <f ca="1">P_1_minQ-(U844^2*R_up)+dpup_minQ</f>
        <v>90.10578880150976</v>
      </c>
      <c r="V846" s="107"/>
      <c r="W846" s="1"/>
      <c r="X846" s="96">
        <f ca="1">P_1_minQ-(X844^2*R_up)+dpup_minQ</f>
        <v>89.709862858491178</v>
      </c>
      <c r="Y846" s="107"/>
      <c r="Z846" s="1"/>
      <c r="AA846" s="96">
        <f ca="1">P_1_minQ-(AA844^2*R_up)+dpup_minQ</f>
        <v>88.382354421387817</v>
      </c>
      <c r="AB846" s="107"/>
      <c r="AC846" s="1"/>
      <c r="AD846" s="96">
        <f ca="1">P_1_minQ-(AD844^2*R_up)+dpup_minQ</f>
        <v>85.111127889518158</v>
      </c>
      <c r="AE846" s="107"/>
      <c r="AF846" s="1"/>
      <c r="AG846" s="96">
        <f ca="1">P_1_minQ-(AG844^2*R_up)+dpup_minQ</f>
        <v>79.376491597759241</v>
      </c>
      <c r="AH846" s="107"/>
      <c r="AI846" s="1"/>
      <c r="AJ846" s="96">
        <f ca="1">P_1_minQ-(AJ844^2*R_up)+dpup_minQ</f>
        <v>70.936089288284705</v>
      </c>
      <c r="AK846" s="107"/>
      <c r="AL846" s="1"/>
      <c r="AM846" s="96">
        <f ca="1">P_1_minQ-(AM844^2*R_up)+dpup_minQ</f>
        <v>61.525975116477206</v>
      </c>
      <c r="AN846" s="107"/>
      <c r="AO846" s="1"/>
      <c r="AP846" s="96">
        <f ca="1">P_1_minQ-(AP844^2*R_up)+dpup_minQ</f>
        <v>51.556950297839613</v>
      </c>
      <c r="AQ846" s="107"/>
      <c r="AR846" s="1"/>
      <c r="AS846" s="96">
        <f ca="1">P_1_minQ-(AS844^2*R_up)+dpup_minQ</f>
        <v>37.073707935737126</v>
      </c>
      <c r="AT846" s="107"/>
      <c r="AU846" s="1"/>
    </row>
    <row r="847" spans="15:47" x14ac:dyDescent="0.25">
      <c r="O847" s="8" t="s">
        <v>134</v>
      </c>
      <c r="P847" s="1"/>
      <c r="Q847" s="8"/>
      <c r="R847" s="97">
        <f>P_2_minQ+(R844^2*R_dn)-dpdn_minQ</f>
        <v>60</v>
      </c>
      <c r="S847" s="106"/>
      <c r="T847" s="22"/>
      <c r="U847" s="97">
        <f ca="1">P_2_minQ+(U844^2*R_dn)-dpdn_minQ</f>
        <v>60</v>
      </c>
      <c r="V847" s="107"/>
      <c r="W847" s="1"/>
      <c r="X847" s="97">
        <f ca="1">P_2_minQ+(X844^2*R_dn)-dpdn_minQ</f>
        <v>60</v>
      </c>
      <c r="Y847" s="107"/>
      <c r="Z847" s="1"/>
      <c r="AA847" s="97">
        <f ca="1">P_2_minQ+(AA844^2*R_dn)-dpdn_minQ</f>
        <v>60</v>
      </c>
      <c r="AB847" s="107"/>
      <c r="AC847" s="1"/>
      <c r="AD847" s="97">
        <f ca="1">P_2_minQ+(AD844^2*R_dn)-dpdn_minQ</f>
        <v>60</v>
      </c>
      <c r="AE847" s="107"/>
      <c r="AF847" s="1"/>
      <c r="AG847" s="97">
        <f ca="1">P_2_minQ+(AG844^2*R_dn)-dpdn_minQ</f>
        <v>60</v>
      </c>
      <c r="AH847" s="107"/>
      <c r="AI847" s="1"/>
      <c r="AJ847" s="97">
        <f ca="1">P_2_minQ+(AJ844^2*R_dn)-dpdn_minQ</f>
        <v>60</v>
      </c>
      <c r="AK847" s="107"/>
      <c r="AL847" s="1"/>
      <c r="AM847" s="97">
        <f ca="1">P_2_minQ+(AM844^2*R_dn)-dpdn_minQ</f>
        <v>60</v>
      </c>
      <c r="AN847" s="107"/>
      <c r="AO847" s="1"/>
      <c r="AP847" s="97">
        <f ca="1">P_2_minQ+(AP844^2*R_dn)-dpdn_minQ</f>
        <v>60</v>
      </c>
      <c r="AQ847" s="107"/>
      <c r="AR847" s="1"/>
      <c r="AS847" s="97">
        <f ca="1">P_2_minQ+(AS844^2*R_dn)-dpdn_minQ</f>
        <v>60</v>
      </c>
      <c r="AT847" s="107"/>
      <c r="AU847" s="1"/>
    </row>
    <row r="848" spans="15:47" x14ac:dyDescent="0.25">
      <c r="O848" s="8" t="s">
        <v>138</v>
      </c>
      <c r="P848" s="1"/>
      <c r="Q848" s="8"/>
      <c r="R848" s="97">
        <f>R846-R847</f>
        <v>30.184856501034162</v>
      </c>
      <c r="S848" s="106"/>
      <c r="T848" s="22"/>
      <c r="U848" s="97">
        <f ca="1">U846-U847</f>
        <v>30.10578880150976</v>
      </c>
      <c r="V848" s="110"/>
      <c r="W848" s="25"/>
      <c r="X848" s="97">
        <f ca="1">X846-X847</f>
        <v>29.709862858491178</v>
      </c>
      <c r="Y848" s="110"/>
      <c r="Z848" s="25"/>
      <c r="AA848" s="97">
        <f ca="1">AA846-AA847</f>
        <v>28.382354421387817</v>
      </c>
      <c r="AB848" s="110"/>
      <c r="AC848" s="25"/>
      <c r="AD848" s="97">
        <f ca="1">AD846-AD847</f>
        <v>25.111127889518158</v>
      </c>
      <c r="AE848" s="110"/>
      <c r="AF848" s="25"/>
      <c r="AG848" s="97">
        <f ca="1">AG846-AG847</f>
        <v>19.376491597759241</v>
      </c>
      <c r="AH848" s="110"/>
      <c r="AI848" s="25"/>
      <c r="AJ848" s="97">
        <f ca="1">AJ846-AJ847</f>
        <v>10.936089288284705</v>
      </c>
      <c r="AK848" s="110"/>
      <c r="AL848" s="25"/>
      <c r="AM848" s="97">
        <f ca="1">AM846-AM847</f>
        <v>1.5259751164772055</v>
      </c>
      <c r="AN848" s="110"/>
      <c r="AO848" s="25"/>
      <c r="AP848" s="97">
        <f ca="1">AP846-AP847</f>
        <v>-8.443049702160387</v>
      </c>
      <c r="AQ848" s="110"/>
      <c r="AR848" s="25"/>
      <c r="AS848" s="97">
        <f ca="1">AS846-AS847</f>
        <v>-22.926292064262874</v>
      </c>
      <c r="AT848" s="110"/>
      <c r="AU848" s="25"/>
    </row>
    <row r="849" spans="15:47" ht="14.4" x14ac:dyDescent="0.3">
      <c r="O849" s="2" t="s">
        <v>140</v>
      </c>
      <c r="P849" s="11"/>
      <c r="Q849" s="2"/>
      <c r="R849" s="96">
        <f>R848/R846</f>
        <v>0.33469983400913911</v>
      </c>
      <c r="S849" s="106"/>
      <c r="T849" s="22"/>
      <c r="U849" s="96">
        <f ca="1">U848/U846</f>
        <v>0.33411603407444257</v>
      </c>
      <c r="V849" s="111"/>
      <c r="W849" s="28"/>
      <c r="X849" s="96">
        <f ca="1">X848/X846</f>
        <v>0.3311772185557309</v>
      </c>
      <c r="Y849" s="111"/>
      <c r="Z849" s="28"/>
      <c r="AA849" s="96">
        <f ca="1">AA848/AA846</f>
        <v>0.32113145895691952</v>
      </c>
      <c r="AB849" s="111"/>
      <c r="AC849" s="28"/>
      <c r="AD849" s="96">
        <f ca="1">AD848/AD846</f>
        <v>0.29503930346352175</v>
      </c>
      <c r="AE849" s="111"/>
      <c r="AF849" s="28"/>
      <c r="AG849" s="96">
        <f ca="1">AG848/AG846</f>
        <v>0.24410869273423808</v>
      </c>
      <c r="AH849" s="111"/>
      <c r="AI849" s="28"/>
      <c r="AJ849" s="96">
        <f ca="1">AJ848/AJ846</f>
        <v>0.1541682012359093</v>
      </c>
      <c r="AK849" s="111"/>
      <c r="AL849" s="28"/>
      <c r="AM849" s="96">
        <f ca="1">AM848/AM846</f>
        <v>2.4802128102615568E-2</v>
      </c>
      <c r="AN849" s="111"/>
      <c r="AO849" s="28"/>
      <c r="AP849" s="96">
        <f ca="1">AP848/AP846</f>
        <v>-0.16376161998306124</v>
      </c>
      <c r="AQ849" s="111"/>
      <c r="AR849" s="28"/>
      <c r="AS849" s="96">
        <f ca="1">AS848/AS846</f>
        <v>-0.61839760144852196</v>
      </c>
      <c r="AT849" s="111"/>
      <c r="AU849" s="28"/>
    </row>
    <row r="850" spans="15:47" x14ac:dyDescent="0.25">
      <c r="O850" s="2" t="s">
        <v>21</v>
      </c>
      <c r="P850" s="8">
        <v>12</v>
      </c>
      <c r="Q850" s="2"/>
      <c r="R850" s="96">
        <f ca="1">1-R849/(3*F_GAMMA*R$29)</f>
        <v>0.8256852584032065</v>
      </c>
      <c r="S850" s="106"/>
      <c r="T850" s="22"/>
      <c r="U850" s="96">
        <f ca="1">1-U849/(3*F_GAMMA*U$29)</f>
        <v>0.8260297320614397</v>
      </c>
      <c r="V850" s="111"/>
      <c r="W850" s="28"/>
      <c r="X850" s="96">
        <f ca="1">1-X849/(3*F_GAMMA*X$29)</f>
        <v>0.82591757970166446</v>
      </c>
      <c r="Y850" s="111"/>
      <c r="Z850" s="28"/>
      <c r="AA850" s="96">
        <f ca="1">1-AA849/(3*F_GAMMA*AA$29)</f>
        <v>0.8288186611454964</v>
      </c>
      <c r="AB850" s="111"/>
      <c r="AC850" s="28"/>
      <c r="AD850" s="96">
        <f ca="1">1-AD849/(3*F_GAMMA*AD$29)</f>
        <v>0.83784957949207928</v>
      </c>
      <c r="AE850" s="111"/>
      <c r="AF850" s="28"/>
      <c r="AG850" s="96">
        <f ca="1">1-AG849/(3*F_GAMMA*AG$29)</f>
        <v>0.85779009488374447</v>
      </c>
      <c r="AH850" s="111"/>
      <c r="AI850" s="28"/>
      <c r="AJ850" s="96">
        <f ca="1">1-AJ849/(3*F_GAMMA*AJ$29)</f>
        <v>0.903373017870997</v>
      </c>
      <c r="AK850" s="111"/>
      <c r="AL850" s="28"/>
      <c r="AM850" s="96">
        <f ca="1">1-AM849/(3*F_GAMMA*AM$29)</f>
        <v>0.98261933532825774</v>
      </c>
      <c r="AN850" s="111"/>
      <c r="AO850" s="28"/>
      <c r="AP850" s="96">
        <f ca="1">1-AP849/(3*F_GAMMA*AP$29)</f>
        <v>1.0924358390064062</v>
      </c>
      <c r="AQ850" s="111"/>
      <c r="AR850" s="28"/>
      <c r="AS850" s="96">
        <f ca="1">1-AS849/(3*F_GAMMA*AS$29)</f>
        <v>1.5472206807098192</v>
      </c>
      <c r="AT850" s="111"/>
      <c r="AU850" s="28"/>
    </row>
    <row r="851" spans="15:47" x14ac:dyDescent="0.25">
      <c r="O851" s="2" t="s">
        <v>57</v>
      </c>
      <c r="P851" s="143">
        <v>7</v>
      </c>
      <c r="Q851" s="2"/>
      <c r="R851" s="96">
        <f ca="1">(R844/(N_9*R$27*R846*R850))*SQRT(M*'Valve Sizing'!$W$6*'Valve Sizing'!$G$8/R849)</f>
        <v>0.40579506584385261</v>
      </c>
      <c r="S851" s="107"/>
      <c r="T851" s="22"/>
      <c r="U851" s="96">
        <f ca="1">(U844/(N_9*U$27*U846*U850))*SQRT(M*'Valve Sizing'!$W$6*'Valve Sizing'!$G$8/U849)</f>
        <v>8.4378435836715369</v>
      </c>
      <c r="V851" s="111"/>
      <c r="W851" s="28"/>
      <c r="X851" s="96">
        <f ca="1">(X844/(N_9*X$27*X846*X850))*SQRT(M*'Valve Sizing'!$W$6*'Valve Sizing'!$G$8/X849)</f>
        <v>20.89505950005119</v>
      </c>
      <c r="Y851" s="111"/>
      <c r="Z851" s="28"/>
      <c r="AA851" s="96">
        <f ca="1">(AA844/(N_9*AA$27*AA846*AA850))*SQRT(M*'Valve Sizing'!$W$6*'Valve Sizing'!$G$8/AA849)</f>
        <v>42.051925961073607</v>
      </c>
      <c r="AB851" s="111"/>
      <c r="AC851" s="28"/>
      <c r="AD851" s="96">
        <f ca="1">(AD844/(N_9*AD$27*AD846*AD850))*SQRT(M*'Valve Sizing'!$W$6*'Valve Sizing'!$G$8/AD849)</f>
        <v>76.545279185641562</v>
      </c>
      <c r="AE851" s="111"/>
      <c r="AF851" s="28"/>
      <c r="AG851" s="96">
        <f ca="1">(AG844/(N_9*AG$27*AG846*AG850))*SQRT(M*'Valve Sizing'!$W$6*'Valve Sizing'!$G$8/AG849)</f>
        <v>131.52966642672936</v>
      </c>
      <c r="AH851" s="111"/>
      <c r="AI851" s="28"/>
      <c r="AJ851" s="96">
        <f ca="1">(AJ844/(N_9*AJ$27*AJ846*AJ850))*SQRT(M*'Valve Sizing'!$W$6*'Valve Sizing'!$G$8/AJ849)</f>
        <v>243.16406047714227</v>
      </c>
      <c r="AK851" s="111"/>
      <c r="AL851" s="28"/>
      <c r="AM851" s="96">
        <f ca="1">(AM844/(N_9*AM$27*AM846*AM850))*SQRT(M*'Valve Sizing'!$W$6*'Valve Sizing'!$G$8/AM849)</f>
        <v>831.934299894373</v>
      </c>
      <c r="AN851" s="111"/>
      <c r="AO851" s="28"/>
      <c r="AP851" s="96" t="e">
        <f ca="1">(AP844/(N_9*AP$27*AP846*AP850))*SQRT(M*'Valve Sizing'!$W$6*'Valve Sizing'!$G$8/AP849)</f>
        <v>#NUM!</v>
      </c>
      <c r="AQ851" s="111"/>
      <c r="AR851" s="28"/>
      <c r="AS851" s="96" t="e">
        <f ca="1">(AS844/(N_9*AS$27*AS846*AS850))*SQRT(M*'Valve Sizing'!$W$6*'Valve Sizing'!$G$8/AS849)</f>
        <v>#NUM!</v>
      </c>
      <c r="AT851" s="111"/>
      <c r="AU851" s="28"/>
    </row>
    <row r="852" spans="15:47" x14ac:dyDescent="0.25">
      <c r="O852" s="2" t="s">
        <v>59</v>
      </c>
      <c r="P852" s="143">
        <v>7</v>
      </c>
      <c r="Q852" s="2"/>
      <c r="R852" s="96">
        <f ca="1">(R844/(N_9*R$27*R846*0.667))*SQRT(M*'Valve Sizing'!$W$6*'Valve Sizing'!$G$8/R853)</f>
        <v>0.36326465561547933</v>
      </c>
      <c r="S852" s="107"/>
      <c r="T852" s="22"/>
      <c r="U852" s="96">
        <f ca="1">(U844/(N_9*U$27*U846*0.667))*SQRT(M*'Valve Sizing'!$W$6*'Valve Sizing'!$G$8/U853)</f>
        <v>7.5491744187982093</v>
      </c>
      <c r="V852" s="111"/>
      <c r="W852" s="28"/>
      <c r="X852" s="96">
        <f ca="1">(X844/(N_9*X$27*X846*0.667))*SQRT(M*'Valve Sizing'!$W$6*'Valve Sizing'!$G$8/X853)</f>
        <v>18.697888853736711</v>
      </c>
      <c r="Y852" s="111"/>
      <c r="Z852" s="28"/>
      <c r="AA852" s="96">
        <f ca="1">(AA844/(N_9*AA$27*AA846*0.667))*SQRT(M*'Valve Sizing'!$W$6*'Valve Sizing'!$G$8/AA853)</f>
        <v>37.446257097424592</v>
      </c>
      <c r="AB852" s="111"/>
      <c r="AC852" s="28"/>
      <c r="AD852" s="96">
        <f ca="1">(AD844/(N_9*AD$27*AD846*0.667))*SQRT(M*'Valve Sizing'!$W$6*'Valve Sizing'!$G$8/AD853)</f>
        <v>67.06227782562631</v>
      </c>
      <c r="AE852" s="111"/>
      <c r="AF852" s="28"/>
      <c r="AG852" s="96">
        <f ca="1">(AG844/(N_9*AG$27*AG846*0.667))*SQRT(M*'Valve Sizing'!$W$6*'Valve Sizing'!$G$8/AG853)</f>
        <v>110.48529064833021</v>
      </c>
      <c r="AH852" s="111"/>
      <c r="AI852" s="28"/>
      <c r="AJ852" s="96">
        <f ca="1">(AJ844/(N_9*AJ$27*AJ846*0.667))*SQRT(M*'Valve Sizing'!$W$6*'Valve Sizing'!$G$8/AJ853)</f>
        <v>177.31705229285652</v>
      </c>
      <c r="AK852" s="111"/>
      <c r="AL852" s="28"/>
      <c r="AM852" s="96">
        <f ca="1">(AM844/(N_9*AM$27*AM846*0.667))*SQRT(M*'Valve Sizing'!$W$6*'Valve Sizing'!$G$8/AM853)</f>
        <v>279.86096008548168</v>
      </c>
      <c r="AN852" s="111"/>
      <c r="AO852" s="28"/>
      <c r="AP852" s="96">
        <f ca="1">(AP844/(N_9*AP$27*AP846*0.667))*SQRT(M*'Valve Sizing'!$W$6*'Valve Sizing'!$G$8/AP853)</f>
        <v>396.07377839866479</v>
      </c>
      <c r="AQ852" s="111"/>
      <c r="AR852" s="28"/>
      <c r="AS852" s="96">
        <f ca="1">(AS844/(N_9*AS$27*AS846*0.667))*SQRT(M*'Valve Sizing'!$W$6*'Valve Sizing'!$G$8/AS853)</f>
        <v>1083.1273176956458</v>
      </c>
      <c r="AT852" s="111"/>
      <c r="AU852" s="28"/>
    </row>
    <row r="853" spans="15:47" ht="15.6" x14ac:dyDescent="0.35">
      <c r="O853" s="2" t="s">
        <v>68</v>
      </c>
      <c r="P853" s="143">
        <v>10</v>
      </c>
      <c r="Q853" s="2"/>
      <c r="R853" s="96">
        <f ca="1">F_GAMMA*R$29</f>
        <v>0.64002969751372984</v>
      </c>
      <c r="S853" s="107"/>
      <c r="T853" s="1"/>
      <c r="U853" s="96">
        <f ca="1">F_GAMMA*U$29</f>
        <v>0.64017842058782071</v>
      </c>
      <c r="V853" s="111"/>
      <c r="W853" s="28"/>
      <c r="X853" s="96">
        <f ca="1">F_GAMMA*X$29</f>
        <v>0.63413873724904268</v>
      </c>
      <c r="Y853" s="111"/>
      <c r="Z853" s="28"/>
      <c r="AA853" s="96">
        <f ca="1">F_GAMMA*AA$29</f>
        <v>0.62532411750377137</v>
      </c>
      <c r="AB853" s="111"/>
      <c r="AC853" s="28"/>
      <c r="AD853" s="96">
        <f ca="1">F_GAMMA*AD$29</f>
        <v>0.60651359509139569</v>
      </c>
      <c r="AE853" s="111"/>
      <c r="AF853" s="28"/>
      <c r="AG853" s="96">
        <f ca="1">F_GAMMA*AG$29</f>
        <v>0.57217930198481592</v>
      </c>
      <c r="AH853" s="111"/>
      <c r="AI853" s="28"/>
      <c r="AJ853" s="96">
        <f ca="1">F_GAMMA*AJ$29</f>
        <v>0.53183282018848232</v>
      </c>
      <c r="AK853" s="111"/>
      <c r="AL853" s="28"/>
      <c r="AM853" s="96">
        <f ca="1">F_GAMMA*AM$29</f>
        <v>0.47566512503094399</v>
      </c>
      <c r="AN853" s="111"/>
      <c r="AO853" s="28"/>
      <c r="AP853" s="96">
        <f ca="1">F_GAMMA*AP$29</f>
        <v>0.59054158265645496</v>
      </c>
      <c r="AQ853" s="111"/>
      <c r="AR853" s="28"/>
      <c r="AS853" s="96">
        <f ca="1">F_GAMMA*AS$29</f>
        <v>0.3766899554102966</v>
      </c>
      <c r="AT853" s="111"/>
      <c r="AU853" s="28"/>
    </row>
    <row r="854" spans="15:47" x14ac:dyDescent="0.25">
      <c r="O854" s="2" t="s">
        <v>145</v>
      </c>
      <c r="P854" s="12"/>
      <c r="Q854" s="2"/>
      <c r="R854" s="96">
        <f ca="1">IF(R849&lt;R853,R851,R852)</f>
        <v>0.40579506584385261</v>
      </c>
      <c r="S854" s="116"/>
      <c r="T854" s="1"/>
      <c r="U854" s="96">
        <f ca="1">IF(U849&lt;U853,U851,U852)</f>
        <v>8.4378435836715369</v>
      </c>
      <c r="V854" s="111"/>
      <c r="W854" s="28"/>
      <c r="X854" s="96">
        <f ca="1">IF(X849&lt;X853,X851,X852)</f>
        <v>20.89505950005119</v>
      </c>
      <c r="Y854" s="111"/>
      <c r="Z854" s="28"/>
      <c r="AA854" s="96">
        <f ca="1">IF(AA849&lt;AA853,AA851,AA852)</f>
        <v>42.051925961073607</v>
      </c>
      <c r="AB854" s="111"/>
      <c r="AC854" s="28"/>
      <c r="AD854" s="96">
        <f ca="1">IF(AD849&lt;AD853,AD851,AD852)</f>
        <v>76.545279185641562</v>
      </c>
      <c r="AE854" s="111"/>
      <c r="AF854" s="28"/>
      <c r="AG854" s="96">
        <f ca="1">IF(AG849&lt;AG853,AG851,AG852)</f>
        <v>131.52966642672936</v>
      </c>
      <c r="AH854" s="111"/>
      <c r="AI854" s="28"/>
      <c r="AJ854" s="96">
        <f ca="1">IF(AJ849&lt;AJ853,AJ851,AJ852)</f>
        <v>243.16406047714227</v>
      </c>
      <c r="AK854" s="111"/>
      <c r="AL854" s="28"/>
      <c r="AM854" s="96">
        <f ca="1">IF(AM849&lt;AM853,AM851,AM852)</f>
        <v>831.934299894373</v>
      </c>
      <c r="AN854" s="111"/>
      <c r="AO854" s="28"/>
      <c r="AP854" s="96" t="e">
        <f ca="1">IF(AP849&lt;AP853,AP851,AP852)</f>
        <v>#NUM!</v>
      </c>
      <c r="AQ854" s="111"/>
      <c r="AR854" s="28"/>
      <c r="AS854" s="96" t="e">
        <f ca="1">IF(AS849&lt;AS853,AS851,AS852)</f>
        <v>#NUM!</v>
      </c>
      <c r="AT854" s="111"/>
      <c r="AU854" s="28"/>
    </row>
    <row r="855" spans="15:47" x14ac:dyDescent="0.25">
      <c r="O855" s="13" t="s">
        <v>143</v>
      </c>
      <c r="P855" s="1"/>
      <c r="Q855" s="1"/>
      <c r="R855" s="113"/>
      <c r="S855" s="106">
        <f ca="1">IF(R848&lt;=0,Q_max,ABS(R$23-R854))</f>
        <v>4.3242049341561479</v>
      </c>
      <c r="T855" s="7">
        <f>R844</f>
        <v>1004.8393311196386</v>
      </c>
      <c r="U855" s="98"/>
      <c r="V855" s="106">
        <f ca="1">IF(U848&lt;=0,Q_max,ABS(U$23-U854))</f>
        <v>3.1621564163284628</v>
      </c>
      <c r="W855" s="9">
        <f ca="1">U844</f>
        <v>20852.474732504146</v>
      </c>
      <c r="X855" s="98"/>
      <c r="Y855" s="106">
        <f ca="1">IF(X848&lt;=0,Q_max,ABS(X$23-X854))</f>
        <v>2.1049404999488104</v>
      </c>
      <c r="Z855" s="9">
        <f ca="1">X844</f>
        <v>51060.05097729151</v>
      </c>
      <c r="AA855" s="98"/>
      <c r="AB855" s="106">
        <f ca="1">IF(AA848&lt;=0,Q_max,ABS(AA$23-AA854))</f>
        <v>2.6519259610736086</v>
      </c>
      <c r="AC855" s="9">
        <f ca="1">AA844</f>
        <v>99451.946459946717</v>
      </c>
      <c r="AD855" s="98"/>
      <c r="AE855" s="106">
        <f ca="1">IF(AD848&lt;=0,Q_max,ABS(AD$23-AD854))</f>
        <v>15.545279185641562</v>
      </c>
      <c r="AF855" s="9">
        <f ca="1">AD844</f>
        <v>166849.42879377858</v>
      </c>
      <c r="AG855" s="98"/>
      <c r="AH855" s="106">
        <f ca="1">IF(AG848&lt;=0,Q_max,ABS(AG$23-AG854))</f>
        <v>43.329666426729361</v>
      </c>
      <c r="AI855" s="9">
        <f ca="1">AG844</f>
        <v>243521.28565921698</v>
      </c>
      <c r="AJ855" s="98"/>
      <c r="AK855" s="106">
        <f ca="1">IF(AJ848&lt;=0,Q_max,ABS(AJ$23-AJ854))</f>
        <v>122.16406047714227</v>
      </c>
      <c r="AL855" s="9">
        <f ca="1">AJ844</f>
        <v>324980.09973886173</v>
      </c>
      <c r="AM855" s="98"/>
      <c r="AN855" s="106">
        <f ca="1">IF(AM848&lt;=0,Q_max,ABS(AM$23-AM854))</f>
        <v>666.934299894373</v>
      </c>
      <c r="AO855" s="9">
        <f ca="1">AM844</f>
        <v>396537.48088265595</v>
      </c>
      <c r="AP855" s="98"/>
      <c r="AQ855" s="106">
        <f ca="1">IF(AP848&lt;=0,Q_max,ABS(AP$23-AP854))</f>
        <v>236393</v>
      </c>
      <c r="AR855" s="9">
        <f ca="1">AP844</f>
        <v>460367.70494538784</v>
      </c>
      <c r="AS855" s="98"/>
      <c r="AT855" s="106">
        <f ca="1">IF(AS848&lt;=0,Q_max,ABS(AS$23-AS854))</f>
        <v>236393</v>
      </c>
      <c r="AU855" s="9">
        <f ca="1">AS844</f>
        <v>539817.339631496</v>
      </c>
    </row>
    <row r="856" spans="15:47" x14ac:dyDescent="0.25">
      <c r="O856" s="21"/>
      <c r="P856" s="14"/>
      <c r="Q856" s="21"/>
      <c r="R856" s="97"/>
      <c r="S856" s="106"/>
      <c r="T856" s="28"/>
      <c r="U856" s="97"/>
      <c r="V856" s="111"/>
      <c r="W856" s="28"/>
      <c r="X856" s="97"/>
      <c r="Y856" s="111"/>
      <c r="Z856" s="28"/>
      <c r="AA856" s="97"/>
      <c r="AB856" s="111"/>
      <c r="AC856" s="28"/>
      <c r="AD856" s="97"/>
      <c r="AE856" s="111"/>
      <c r="AF856" s="28"/>
      <c r="AG856" s="97"/>
      <c r="AH856" s="111"/>
      <c r="AI856" s="28"/>
      <c r="AJ856" s="97"/>
      <c r="AK856" s="111"/>
      <c r="AL856" s="28"/>
      <c r="AM856" s="97"/>
      <c r="AN856" s="111"/>
      <c r="AO856" s="28"/>
      <c r="AP856" s="97"/>
      <c r="AQ856" s="111"/>
      <c r="AR856" s="28"/>
      <c r="AS856" s="97"/>
      <c r="AT856" s="111"/>
      <c r="AU856" s="28"/>
    </row>
    <row r="857" spans="15:47" x14ac:dyDescent="0.25">
      <c r="O857" s="1"/>
      <c r="P857" s="1"/>
      <c r="Q857" s="1"/>
      <c r="R857" s="98"/>
      <c r="S857" s="108" t="s">
        <v>137</v>
      </c>
      <c r="T857" s="26" t="s">
        <v>146</v>
      </c>
      <c r="U857" s="98"/>
      <c r="V857" s="108" t="s">
        <v>137</v>
      </c>
      <c r="W857" s="26" t="s">
        <v>146</v>
      </c>
      <c r="X857" s="98"/>
      <c r="Y857" s="108" t="s">
        <v>137</v>
      </c>
      <c r="Z857" s="26" t="s">
        <v>146</v>
      </c>
      <c r="AA857" s="98"/>
      <c r="AB857" s="108" t="s">
        <v>137</v>
      </c>
      <c r="AC857" s="26" t="s">
        <v>146</v>
      </c>
      <c r="AD857" s="98"/>
      <c r="AE857" s="108" t="s">
        <v>137</v>
      </c>
      <c r="AF857" s="26" t="s">
        <v>146</v>
      </c>
      <c r="AG857" s="98"/>
      <c r="AH857" s="108" t="s">
        <v>137</v>
      </c>
      <c r="AI857" s="26" t="s">
        <v>146</v>
      </c>
      <c r="AJ857" s="98"/>
      <c r="AK857" s="108" t="s">
        <v>137</v>
      </c>
      <c r="AL857" s="26" t="s">
        <v>146</v>
      </c>
      <c r="AM857" s="98"/>
      <c r="AN857" s="108" t="s">
        <v>137</v>
      </c>
      <c r="AO857" s="26" t="s">
        <v>146</v>
      </c>
      <c r="AP857" s="98"/>
      <c r="AQ857" s="108" t="s">
        <v>137</v>
      </c>
      <c r="AR857" s="26" t="s">
        <v>146</v>
      </c>
      <c r="AS857" s="98"/>
      <c r="AT857" s="108" t="s">
        <v>137</v>
      </c>
      <c r="AU857" s="26" t="s">
        <v>146</v>
      </c>
    </row>
    <row r="858" spans="15:47" ht="13.8" x14ac:dyDescent="0.25">
      <c r="O858" s="20" t="s">
        <v>136</v>
      </c>
      <c r="P858" s="1"/>
      <c r="Q858" s="1"/>
      <c r="R858" s="96">
        <f>R844*1.02</f>
        <v>1024.9361177420315</v>
      </c>
      <c r="S858" s="109" t="s">
        <v>144</v>
      </c>
      <c r="T858" s="23" t="s">
        <v>147</v>
      </c>
      <c r="U858" s="96">
        <f ca="1">U844*1.01</f>
        <v>21060.999479829188</v>
      </c>
      <c r="V858" s="109" t="s">
        <v>144</v>
      </c>
      <c r="W858" s="23" t="s">
        <v>147</v>
      </c>
      <c r="X858" s="96">
        <f ca="1">X844*1.01</f>
        <v>51570.651487064424</v>
      </c>
      <c r="Y858" s="109" t="s">
        <v>144</v>
      </c>
      <c r="Z858" s="23" t="s">
        <v>147</v>
      </c>
      <c r="AA858" s="96">
        <f ca="1">AA844*1.01</f>
        <v>100446.46592454618</v>
      </c>
      <c r="AB858" s="109" t="s">
        <v>144</v>
      </c>
      <c r="AC858" s="23" t="s">
        <v>147</v>
      </c>
      <c r="AD858" s="96">
        <f ca="1">AD844*1.01</f>
        <v>168517.92308171638</v>
      </c>
      <c r="AE858" s="109" t="s">
        <v>144</v>
      </c>
      <c r="AF858" s="23" t="s">
        <v>147</v>
      </c>
      <c r="AG858" s="96">
        <f ca="1">AG844*1.01</f>
        <v>245956.49851580916</v>
      </c>
      <c r="AH858" s="109" t="s">
        <v>144</v>
      </c>
      <c r="AI858" s="23" t="s">
        <v>147</v>
      </c>
      <c r="AJ858" s="96">
        <f ca="1">AJ844*1.01</f>
        <v>328229.90073625033</v>
      </c>
      <c r="AK858" s="109" t="s">
        <v>144</v>
      </c>
      <c r="AL858" s="23" t="s">
        <v>147</v>
      </c>
      <c r="AM858" s="96">
        <f ca="1">AM844*1.01</f>
        <v>400502.85569148249</v>
      </c>
      <c r="AN858" s="109" t="s">
        <v>144</v>
      </c>
      <c r="AO858" s="23" t="s">
        <v>147</v>
      </c>
      <c r="AP858" s="96">
        <f ca="1">AP844*1.01</f>
        <v>464971.38199484174</v>
      </c>
      <c r="AQ858" s="109" t="s">
        <v>144</v>
      </c>
      <c r="AR858" s="23" t="s">
        <v>147</v>
      </c>
      <c r="AS858" s="96">
        <f ca="1">AS844*1.01</f>
        <v>545215.51302781096</v>
      </c>
      <c r="AT858" s="109" t="s">
        <v>144</v>
      </c>
      <c r="AU858" s="23" t="s">
        <v>147</v>
      </c>
    </row>
    <row r="859" spans="15:47" x14ac:dyDescent="0.25">
      <c r="O859" s="1"/>
      <c r="P859" s="1"/>
      <c r="Q859" s="1"/>
      <c r="R859" s="98"/>
      <c r="S859" s="107"/>
      <c r="T859" s="1"/>
      <c r="U859" s="47"/>
      <c r="V859" s="107"/>
      <c r="W859" s="1"/>
      <c r="X859" s="47"/>
      <c r="Y859" s="107"/>
      <c r="Z859" s="1"/>
      <c r="AA859" s="47"/>
      <c r="AB859" s="107"/>
      <c r="AC859" s="1"/>
      <c r="AD859" s="47"/>
      <c r="AE859" s="107"/>
      <c r="AF859" s="1"/>
      <c r="AG859" s="47"/>
      <c r="AH859" s="107"/>
      <c r="AI859" s="1"/>
      <c r="AJ859" s="47"/>
      <c r="AK859" s="107"/>
      <c r="AL859" s="1"/>
      <c r="AM859" s="47"/>
      <c r="AN859" s="107"/>
      <c r="AO859" s="1"/>
      <c r="AP859" s="47"/>
      <c r="AQ859" s="107"/>
      <c r="AR859" s="1"/>
      <c r="AS859" s="47"/>
      <c r="AT859" s="107"/>
      <c r="AU859" s="1"/>
    </row>
    <row r="860" spans="15:47" x14ac:dyDescent="0.25">
      <c r="O860" s="8" t="s">
        <v>132</v>
      </c>
      <c r="P860" s="8"/>
      <c r="Q860" s="8"/>
      <c r="R860" s="96">
        <f>P_1_minQ-(R858^2*R_up)+dpup_minQ</f>
        <v>90.184849066253619</v>
      </c>
      <c r="S860" s="106"/>
      <c r="T860" s="22"/>
      <c r="U860" s="96">
        <f ca="1">P_1_minQ-(U858^2*R_up)+dpup_minQ</f>
        <v>90.104195841761978</v>
      </c>
      <c r="V860" s="107"/>
      <c r="W860" s="1"/>
      <c r="X860" s="96">
        <f ca="1">P_1_minQ-(X858^2*R_up)+dpup_minQ</f>
        <v>89.700311787288712</v>
      </c>
      <c r="Y860" s="107"/>
      <c r="Z860" s="1"/>
      <c r="AA860" s="96">
        <f ca="1">P_1_minQ-(AA858^2*R_up)+dpup_minQ</f>
        <v>88.346120430599569</v>
      </c>
      <c r="AB860" s="107"/>
      <c r="AC860" s="1"/>
      <c r="AD860" s="96">
        <f ca="1">P_1_minQ-(AD858^2*R_up)+dpup_minQ</f>
        <v>85.009142245439335</v>
      </c>
      <c r="AE860" s="107"/>
      <c r="AF860" s="1"/>
      <c r="AG860" s="96">
        <f ca="1">P_1_minQ-(AG858^2*R_up)+dpup_minQ</f>
        <v>79.159239764216068</v>
      </c>
      <c r="AH860" s="107"/>
      <c r="AI860" s="1"/>
      <c r="AJ860" s="96">
        <f ca="1">P_1_minQ-(AJ858^2*R_up)+dpup_minQ</f>
        <v>70.549185368321076</v>
      </c>
      <c r="AK860" s="107"/>
      <c r="AL860" s="1"/>
      <c r="AM860" s="96">
        <f ca="1">P_1_minQ-(AM858^2*R_up)+dpup_minQ</f>
        <v>60.94992790166026</v>
      </c>
      <c r="AN860" s="107"/>
      <c r="AO860" s="1"/>
      <c r="AP860" s="96">
        <f ca="1">P_1_minQ-(AP858^2*R_up)+dpup_minQ</f>
        <v>50.780525684168055</v>
      </c>
      <c r="AQ860" s="107"/>
      <c r="AR860" s="1"/>
      <c r="AS860" s="96">
        <f ca="1">P_1_minQ-(AS858^2*R_up)+dpup_minQ</f>
        <v>36.006170150587316</v>
      </c>
      <c r="AT860" s="107"/>
      <c r="AU860" s="1"/>
    </row>
    <row r="861" spans="15:47" x14ac:dyDescent="0.25">
      <c r="O861" s="8" t="s">
        <v>134</v>
      </c>
      <c r="P861" s="1"/>
      <c r="Q861" s="8"/>
      <c r="R861" s="97">
        <f>P_2_minQ+(R858^2*R_dn)-dpdn_minQ</f>
        <v>60</v>
      </c>
      <c r="S861" s="106"/>
      <c r="T861" s="22"/>
      <c r="U861" s="97">
        <f ca="1">P_2_minQ+(U858^2*R_dn)-dpdn_minQ</f>
        <v>60</v>
      </c>
      <c r="V861" s="107"/>
      <c r="W861" s="1"/>
      <c r="X861" s="97">
        <f ca="1">P_2_minQ+(X858^2*R_dn)-dpdn_minQ</f>
        <v>60</v>
      </c>
      <c r="Y861" s="107"/>
      <c r="Z861" s="1"/>
      <c r="AA861" s="97">
        <f ca="1">P_2_minQ+(AA858^2*R_dn)-dpdn_minQ</f>
        <v>60</v>
      </c>
      <c r="AB861" s="107"/>
      <c r="AC861" s="1"/>
      <c r="AD861" s="97">
        <f ca="1">P_2_minQ+(AD858^2*R_dn)-dpdn_minQ</f>
        <v>60</v>
      </c>
      <c r="AE861" s="107"/>
      <c r="AF861" s="1"/>
      <c r="AG861" s="97">
        <f ca="1">P_2_minQ+(AG858^2*R_dn)-dpdn_minQ</f>
        <v>60</v>
      </c>
      <c r="AH861" s="107"/>
      <c r="AI861" s="1"/>
      <c r="AJ861" s="97">
        <f ca="1">P_2_minQ+(AJ858^2*R_dn)-dpdn_minQ</f>
        <v>60</v>
      </c>
      <c r="AK861" s="107"/>
      <c r="AL861" s="1"/>
      <c r="AM861" s="97">
        <f ca="1">P_2_minQ+(AM858^2*R_dn)-dpdn_minQ</f>
        <v>60</v>
      </c>
      <c r="AN861" s="107"/>
      <c r="AO861" s="1"/>
      <c r="AP861" s="97">
        <f ca="1">P_2_minQ+(AP858^2*R_dn)-dpdn_minQ</f>
        <v>60</v>
      </c>
      <c r="AQ861" s="107"/>
      <c r="AR861" s="1"/>
      <c r="AS861" s="97">
        <f ca="1">P_2_minQ+(AS858^2*R_dn)-dpdn_minQ</f>
        <v>60</v>
      </c>
      <c r="AT861" s="107"/>
      <c r="AU861" s="1"/>
    </row>
    <row r="862" spans="15:47" x14ac:dyDescent="0.25">
      <c r="O862" s="8" t="s">
        <v>138</v>
      </c>
      <c r="P862" s="1"/>
      <c r="Q862" s="8"/>
      <c r="R862" s="97">
        <f>R860-R861</f>
        <v>30.184849066253619</v>
      </c>
      <c r="S862" s="106"/>
      <c r="T862" s="22"/>
      <c r="U862" s="97">
        <f ca="1">U860-U861</f>
        <v>30.104195841761978</v>
      </c>
      <c r="V862" s="110"/>
      <c r="W862" s="25"/>
      <c r="X862" s="97">
        <f ca="1">X860-X861</f>
        <v>29.700311787288712</v>
      </c>
      <c r="Y862" s="110"/>
      <c r="Z862" s="25"/>
      <c r="AA862" s="97">
        <f ca="1">AA860-AA861</f>
        <v>28.346120430599569</v>
      </c>
      <c r="AB862" s="110"/>
      <c r="AC862" s="25"/>
      <c r="AD862" s="97">
        <f ca="1">AD860-AD861</f>
        <v>25.009142245439335</v>
      </c>
      <c r="AE862" s="110"/>
      <c r="AF862" s="25"/>
      <c r="AG862" s="97">
        <f ca="1">AG860-AG861</f>
        <v>19.159239764216068</v>
      </c>
      <c r="AH862" s="110"/>
      <c r="AI862" s="25"/>
      <c r="AJ862" s="97">
        <f ca="1">AJ860-AJ861</f>
        <v>10.549185368321076</v>
      </c>
      <c r="AK862" s="110"/>
      <c r="AL862" s="25"/>
      <c r="AM862" s="97">
        <f ca="1">AM860-AM861</f>
        <v>0.94992790166025998</v>
      </c>
      <c r="AN862" s="110"/>
      <c r="AO862" s="25"/>
      <c r="AP862" s="97">
        <f ca="1">AP860-AP861</f>
        <v>-9.2194743158319454</v>
      </c>
      <c r="AQ862" s="110"/>
      <c r="AR862" s="25"/>
      <c r="AS862" s="97">
        <f ca="1">AS860-AS861</f>
        <v>-23.993829849412684</v>
      </c>
      <c r="AT862" s="110"/>
      <c r="AU862" s="25"/>
    </row>
    <row r="863" spans="15:47" ht="14.4" x14ac:dyDescent="0.3">
      <c r="O863" s="2" t="s">
        <v>140</v>
      </c>
      <c r="P863" s="11"/>
      <c r="Q863" s="2"/>
      <c r="R863" s="96">
        <f>R862/R860</f>
        <v>0.33469977916222432</v>
      </c>
      <c r="S863" s="106"/>
      <c r="T863" s="22"/>
      <c r="U863" s="96">
        <f ca="1">U862/U860</f>
        <v>0.3341042618551302</v>
      </c>
      <c r="V863" s="111"/>
      <c r="W863" s="28"/>
      <c r="X863" s="96">
        <f ca="1">X862/X860</f>
        <v>0.33110600393138762</v>
      </c>
      <c r="Y863" s="111"/>
      <c r="Z863" s="28"/>
      <c r="AA863" s="96">
        <f ca="1">AA862/AA860</f>
        <v>0.32085303001920618</v>
      </c>
      <c r="AB863" s="111"/>
      <c r="AC863" s="28"/>
      <c r="AD863" s="96">
        <f ca="1">AD862/AD860</f>
        <v>0.29419356065530766</v>
      </c>
      <c r="AE863" s="111"/>
      <c r="AF863" s="28"/>
      <c r="AG863" s="96">
        <f ca="1">AG862/AG860</f>
        <v>0.2420341557256466</v>
      </c>
      <c r="AH863" s="111"/>
      <c r="AI863" s="28"/>
      <c r="AJ863" s="96">
        <f ca="1">AJ862/AJ860</f>
        <v>0.14952951353366031</v>
      </c>
      <c r="AK863" s="111"/>
      <c r="AL863" s="28"/>
      <c r="AM863" s="96">
        <f ca="1">AM862/AM860</f>
        <v>1.5585381875970753E-2</v>
      </c>
      <c r="AN863" s="111"/>
      <c r="AO863" s="28"/>
      <c r="AP863" s="96">
        <f ca="1">AP862/AP860</f>
        <v>-0.18155531459388416</v>
      </c>
      <c r="AQ863" s="111"/>
      <c r="AR863" s="28"/>
      <c r="AS863" s="96">
        <f ca="1">AS862/AS860</f>
        <v>-0.6663810604978021</v>
      </c>
      <c r="AT863" s="111"/>
      <c r="AU863" s="28"/>
    </row>
    <row r="864" spans="15:47" x14ac:dyDescent="0.25">
      <c r="O864" s="2" t="s">
        <v>21</v>
      </c>
      <c r="P864" s="8">
        <v>12</v>
      </c>
      <c r="Q864" s="2"/>
      <c r="R864" s="96">
        <f ca="1">1-R863/(3*F_GAMMA*R$29)</f>
        <v>0.82568528696798249</v>
      </c>
      <c r="S864" s="106"/>
      <c r="T864" s="22"/>
      <c r="U864" s="96">
        <f ca="1">1-U863/(3*F_GAMMA*U$29)</f>
        <v>0.82603586171682619</v>
      </c>
      <c r="V864" s="111"/>
      <c r="W864" s="28"/>
      <c r="X864" s="96">
        <f ca="1">1-X863/(3*F_GAMMA*X$29)</f>
        <v>0.82595501347872302</v>
      </c>
      <c r="Y864" s="111"/>
      <c r="Z864" s="28"/>
      <c r="AA864" s="96">
        <f ca="1">1-AA863/(3*F_GAMMA*AA$29)</f>
        <v>0.82896707961090743</v>
      </c>
      <c r="AB864" s="111"/>
      <c r="AC864" s="28"/>
      <c r="AD864" s="96">
        <f ca="1">1-AD863/(3*F_GAMMA*AD$29)</f>
        <v>0.83831439062193069</v>
      </c>
      <c r="AE864" s="111"/>
      <c r="AF864" s="28"/>
      <c r="AG864" s="96">
        <f ca="1">1-AG863/(3*F_GAMMA*AG$29)</f>
        <v>0.85899865369354123</v>
      </c>
      <c r="AH864" s="111"/>
      <c r="AI864" s="28"/>
      <c r="AJ864" s="96">
        <f ca="1">1-AJ863/(3*F_GAMMA*AJ$29)</f>
        <v>0.90628037743097112</v>
      </c>
      <c r="AK864" s="111"/>
      <c r="AL864" s="28"/>
      <c r="AM864" s="96">
        <f ca="1">1-AM863/(3*F_GAMMA*AM$29)</f>
        <v>0.98907818332981157</v>
      </c>
      <c r="AN864" s="111"/>
      <c r="AO864" s="28"/>
      <c r="AP864" s="96">
        <f ca="1">1-AP863/(3*F_GAMMA*AP$29)</f>
        <v>1.1024795543198314</v>
      </c>
      <c r="AQ864" s="111"/>
      <c r="AR864" s="28"/>
      <c r="AS864" s="96">
        <f ca="1">1-AS863/(3*F_GAMMA*AS$29)</f>
        <v>1.5896812935295548</v>
      </c>
      <c r="AT864" s="111"/>
      <c r="AU864" s="28"/>
    </row>
    <row r="865" spans="15:47" x14ac:dyDescent="0.25">
      <c r="O865" s="2" t="s">
        <v>57</v>
      </c>
      <c r="P865" s="143">
        <v>7</v>
      </c>
      <c r="Q865" s="2"/>
      <c r="R865" s="96">
        <f ca="1">(R858/(N_9*R$27*R860*R864))*SQRT(M*'Valve Sizing'!$W$6*'Valve Sizing'!$G$8/R863)</f>
        <v>0.41391102087751991</v>
      </c>
      <c r="S865" s="107"/>
      <c r="T865" s="22"/>
      <c r="U865" s="96">
        <f ca="1">(U858/(N_9*U$27*U860*U864))*SQRT(M*'Valve Sizing'!$W$6*'Valve Sizing'!$G$8/U863)</f>
        <v>8.5224595849234124</v>
      </c>
      <c r="V865" s="111"/>
      <c r="W865" s="28"/>
      <c r="X865" s="96">
        <f ca="1">(X858/(N_9*X$27*X860*X864))*SQRT(M*'Valve Sizing'!$W$6*'Valve Sizing'!$G$8/X863)</f>
        <v>21.107570177954582</v>
      </c>
      <c r="Y865" s="111"/>
      <c r="Z865" s="28"/>
      <c r="AA865" s="96">
        <f ca="1">(AA858/(N_9*AA$27*AA860*AA864))*SQRT(M*'Valve Sizing'!$W$6*'Valve Sizing'!$G$8/AA863)</f>
        <v>42.500685905401916</v>
      </c>
      <c r="AB865" s="111"/>
      <c r="AC865" s="28"/>
      <c r="AD865" s="96">
        <f ca="1">(AD858/(N_9*AD$27*AD860*AD864))*SQRT(M*'Valve Sizing'!$W$6*'Valve Sizing'!$G$8/AD863)</f>
        <v>77.471682386840911</v>
      </c>
      <c r="AE865" s="111"/>
      <c r="AF865" s="28"/>
      <c r="AG865" s="96">
        <f ca="1">(AG858/(N_9*AG$27*AG860*AG864))*SQRT(M*'Valve Sizing'!$W$6*'Valve Sizing'!$G$8/AG863)</f>
        <v>133.59100428579583</v>
      </c>
      <c r="AH865" s="111"/>
      <c r="AI865" s="28"/>
      <c r="AJ865" s="96">
        <f ca="1">(AJ858/(N_9*AJ$27*AJ860*AJ864))*SQRT(M*'Valve Sizing'!$W$6*'Valve Sizing'!$G$8/AJ863)</f>
        <v>249.93926008920528</v>
      </c>
      <c r="AK865" s="111"/>
      <c r="AL865" s="28"/>
      <c r="AM865" s="96">
        <f ca="1">(AM858/(N_9*AM$27*AM860*AM864))*SQRT(M*'Valve Sizing'!$W$6*'Valve Sizing'!$G$8/AM863)</f>
        <v>1063.007051989073</v>
      </c>
      <c r="AN865" s="111"/>
      <c r="AO865" s="28"/>
      <c r="AP865" s="96" t="e">
        <f ca="1">(AP858/(N_9*AP$27*AP860*AP864))*SQRT(M*'Valve Sizing'!$W$6*'Valve Sizing'!$G$8/AP863)</f>
        <v>#NUM!</v>
      </c>
      <c r="AQ865" s="111"/>
      <c r="AR865" s="28"/>
      <c r="AS865" s="96" t="e">
        <f ca="1">(AS858/(N_9*AS$27*AS860*AS864))*SQRT(M*'Valve Sizing'!$W$6*'Valve Sizing'!$G$8/AS863)</f>
        <v>#NUM!</v>
      </c>
      <c r="AT865" s="111"/>
      <c r="AU865" s="28"/>
    </row>
    <row r="866" spans="15:47" x14ac:dyDescent="0.25">
      <c r="O866" s="2" t="s">
        <v>59</v>
      </c>
      <c r="P866" s="143">
        <v>7</v>
      </c>
      <c r="Q866" s="2"/>
      <c r="R866" s="96">
        <f ca="1">(R858/(N_9*R$27*R860*0.667))*SQRT(M*'Valve Sizing'!$W$6*'Valve Sizing'!$G$8/R867)</f>
        <v>0.37052997927403786</v>
      </c>
      <c r="S866" s="107"/>
      <c r="T866" s="22"/>
      <c r="U866" s="96">
        <f ca="1">(U858/(N_9*U$27*U860*0.667))*SQRT(M*'Valve Sizing'!$W$6*'Valve Sizing'!$G$8/U867)</f>
        <v>7.6248009601082858</v>
      </c>
      <c r="V866" s="111"/>
      <c r="W866" s="28"/>
      <c r="X866" s="96">
        <f ca="1">(X858/(N_9*X$27*X860*0.667))*SQRT(M*'Valve Sizing'!$W$6*'Valve Sizing'!$G$8/X867)</f>
        <v>18.886878557095805</v>
      </c>
      <c r="Y866" s="111"/>
      <c r="Z866" s="28"/>
      <c r="AA866" s="96">
        <f ca="1">(AA858/(N_9*AA$27*AA860*0.667))*SQRT(M*'Valve Sizing'!$W$6*'Valve Sizing'!$G$8/AA867)</f>
        <v>37.83623133548042</v>
      </c>
      <c r="AB866" s="111"/>
      <c r="AC866" s="28"/>
      <c r="AD866" s="96">
        <f ca="1">(AD858/(N_9*AD$27*AD860*0.667))*SQRT(M*'Valve Sizing'!$W$6*'Valve Sizing'!$G$8/AD867)</f>
        <v>67.814159905070085</v>
      </c>
      <c r="AE866" s="111"/>
      <c r="AF866" s="28"/>
      <c r="AG866" s="96">
        <f ca="1">(AG858/(N_9*AG$27*AG860*0.667))*SQRT(M*'Valve Sizing'!$W$6*'Valve Sizing'!$G$8/AG867)</f>
        <v>111.89640171702982</v>
      </c>
      <c r="AH866" s="111"/>
      <c r="AI866" s="28"/>
      <c r="AJ866" s="96">
        <f ca="1">(AJ858/(N_9*AJ$27*AJ860*0.667))*SQRT(M*'Valve Sizing'!$W$6*'Valve Sizing'!$G$8/AJ867)</f>
        <v>180.07238453562402</v>
      </c>
      <c r="AK866" s="111"/>
      <c r="AL866" s="28"/>
      <c r="AM866" s="96">
        <f ca="1">(AM858/(N_9*AM$27*AM860*0.667))*SQRT(M*'Valve Sizing'!$W$6*'Valve Sizing'!$G$8/AM867)</f>
        <v>285.33102908694286</v>
      </c>
      <c r="AN866" s="111"/>
      <c r="AO866" s="28"/>
      <c r="AP866" s="96">
        <f ca="1">(AP858/(N_9*AP$27*AP860*0.667))*SQRT(M*'Valve Sizing'!$W$6*'Valve Sizing'!$G$8/AP867)</f>
        <v>406.15096811964344</v>
      </c>
      <c r="AQ866" s="111"/>
      <c r="AR866" s="28"/>
      <c r="AS866" s="96">
        <f ca="1">(AS858/(N_9*AS$27*AS860*0.667))*SQRT(M*'Valve Sizing'!$W$6*'Valve Sizing'!$G$8/AS867)</f>
        <v>1126.3930910224799</v>
      </c>
      <c r="AT866" s="111"/>
      <c r="AU866" s="28"/>
    </row>
    <row r="867" spans="15:47" ht="15.6" x14ac:dyDescent="0.35">
      <c r="O867" s="2" t="s">
        <v>68</v>
      </c>
      <c r="P867" s="143">
        <v>10</v>
      </c>
      <c r="Q867" s="2"/>
      <c r="R867" s="96">
        <f ca="1">F_GAMMA*R$29</f>
        <v>0.64002969751372984</v>
      </c>
      <c r="S867" s="107"/>
      <c r="T867" s="1"/>
      <c r="U867" s="96">
        <f ca="1">F_GAMMA*U$29</f>
        <v>0.64017842058782071</v>
      </c>
      <c r="V867" s="111"/>
      <c r="W867" s="28"/>
      <c r="X867" s="96">
        <f ca="1">F_GAMMA*X$29</f>
        <v>0.63413873724904268</v>
      </c>
      <c r="Y867" s="111"/>
      <c r="Z867" s="28"/>
      <c r="AA867" s="96">
        <f ca="1">F_GAMMA*AA$29</f>
        <v>0.62532411750377137</v>
      </c>
      <c r="AB867" s="111"/>
      <c r="AC867" s="28"/>
      <c r="AD867" s="96">
        <f ca="1">F_GAMMA*AD$29</f>
        <v>0.60651359509139569</v>
      </c>
      <c r="AE867" s="111"/>
      <c r="AF867" s="28"/>
      <c r="AG867" s="96">
        <f ca="1">F_GAMMA*AG$29</f>
        <v>0.57217930198481592</v>
      </c>
      <c r="AH867" s="111"/>
      <c r="AI867" s="28"/>
      <c r="AJ867" s="96">
        <f ca="1">F_GAMMA*AJ$29</f>
        <v>0.53183282018848232</v>
      </c>
      <c r="AK867" s="111"/>
      <c r="AL867" s="28"/>
      <c r="AM867" s="96">
        <f ca="1">F_GAMMA*AM$29</f>
        <v>0.47566512503094399</v>
      </c>
      <c r="AN867" s="111"/>
      <c r="AO867" s="28"/>
      <c r="AP867" s="96">
        <f ca="1">F_GAMMA*AP$29</f>
        <v>0.59054158265645496</v>
      </c>
      <c r="AQ867" s="111"/>
      <c r="AR867" s="28"/>
      <c r="AS867" s="96">
        <f ca="1">F_GAMMA*AS$29</f>
        <v>0.3766899554102966</v>
      </c>
      <c r="AT867" s="111"/>
      <c r="AU867" s="28"/>
    </row>
    <row r="868" spans="15:47" x14ac:dyDescent="0.25">
      <c r="O868" s="2" t="s">
        <v>145</v>
      </c>
      <c r="P868" s="12"/>
      <c r="Q868" s="2"/>
      <c r="R868" s="96">
        <f ca="1">IF(R863&lt;R867,R865,R866)</f>
        <v>0.41391102087751991</v>
      </c>
      <c r="S868" s="116"/>
      <c r="T868" s="1"/>
      <c r="U868" s="96">
        <f ca="1">IF(U863&lt;U867,U865,U866)</f>
        <v>8.5224595849234124</v>
      </c>
      <c r="V868" s="111"/>
      <c r="W868" s="28"/>
      <c r="X868" s="96">
        <f ca="1">IF(X863&lt;X867,X865,X866)</f>
        <v>21.107570177954582</v>
      </c>
      <c r="Y868" s="111"/>
      <c r="Z868" s="28"/>
      <c r="AA868" s="96">
        <f ca="1">IF(AA863&lt;AA867,AA865,AA866)</f>
        <v>42.500685905401916</v>
      </c>
      <c r="AB868" s="111"/>
      <c r="AC868" s="28"/>
      <c r="AD868" s="96">
        <f ca="1">IF(AD863&lt;AD867,AD865,AD866)</f>
        <v>77.471682386840911</v>
      </c>
      <c r="AE868" s="111"/>
      <c r="AF868" s="28"/>
      <c r="AG868" s="96">
        <f ca="1">IF(AG863&lt;AG867,AG865,AG866)</f>
        <v>133.59100428579583</v>
      </c>
      <c r="AH868" s="111"/>
      <c r="AI868" s="28"/>
      <c r="AJ868" s="96">
        <f ca="1">IF(AJ863&lt;AJ867,AJ865,AJ866)</f>
        <v>249.93926008920528</v>
      </c>
      <c r="AK868" s="111"/>
      <c r="AL868" s="28"/>
      <c r="AM868" s="96">
        <f ca="1">IF(AM863&lt;AM867,AM865,AM866)</f>
        <v>1063.007051989073</v>
      </c>
      <c r="AN868" s="111"/>
      <c r="AO868" s="28"/>
      <c r="AP868" s="96" t="e">
        <f ca="1">IF(AP863&lt;AP867,AP865,AP866)</f>
        <v>#NUM!</v>
      </c>
      <c r="AQ868" s="111"/>
      <c r="AR868" s="28"/>
      <c r="AS868" s="96" t="e">
        <f ca="1">IF(AS863&lt;AS867,AS865,AS866)</f>
        <v>#NUM!</v>
      </c>
      <c r="AT868" s="111"/>
      <c r="AU868" s="28"/>
    </row>
    <row r="869" spans="15:47" x14ac:dyDescent="0.25">
      <c r="O869" s="13" t="s">
        <v>143</v>
      </c>
      <c r="P869" s="1"/>
      <c r="Q869" s="1"/>
      <c r="R869" s="113"/>
      <c r="S869" s="106">
        <f ca="1">IF(R862&lt;=0,Q_max,ABS(R$23-R868))</f>
        <v>4.3160889791224806</v>
      </c>
      <c r="T869" s="7">
        <f>R858</f>
        <v>1024.9361177420315</v>
      </c>
      <c r="U869" s="98"/>
      <c r="V869" s="106">
        <f ca="1">IF(U862&lt;=0,Q_max,ABS(U$23-U868))</f>
        <v>3.0775404150765873</v>
      </c>
      <c r="W869" s="9">
        <f ca="1">U858</f>
        <v>21060.999479829188</v>
      </c>
      <c r="X869" s="98"/>
      <c r="Y869" s="106">
        <f ca="1">IF(X862&lt;=0,Q_max,ABS(X$23-X868))</f>
        <v>1.8924298220454183</v>
      </c>
      <c r="Z869" s="9">
        <f ca="1">X858</f>
        <v>51570.651487064424</v>
      </c>
      <c r="AA869" s="98"/>
      <c r="AB869" s="106">
        <f ca="1">IF(AA862&lt;=0,Q_max,ABS(AA$23-AA868))</f>
        <v>3.1006859054019174</v>
      </c>
      <c r="AC869" s="9">
        <f ca="1">AA858</f>
        <v>100446.46592454618</v>
      </c>
      <c r="AD869" s="98"/>
      <c r="AE869" s="106">
        <f ca="1">IF(AD862&lt;=0,Q_max,ABS(AD$23-AD868))</f>
        <v>16.471682386840911</v>
      </c>
      <c r="AF869" s="9">
        <f ca="1">AD858</f>
        <v>168517.92308171638</v>
      </c>
      <c r="AG869" s="98"/>
      <c r="AH869" s="106">
        <f ca="1">IF(AG862&lt;=0,Q_max,ABS(AG$23-AG868))</f>
        <v>45.39100428579583</v>
      </c>
      <c r="AI869" s="9">
        <f ca="1">AG858</f>
        <v>245956.49851580916</v>
      </c>
      <c r="AJ869" s="98"/>
      <c r="AK869" s="106">
        <f ca="1">IF(AJ862&lt;=0,Q_max,ABS(AJ$23-AJ868))</f>
        <v>128.93926008920528</v>
      </c>
      <c r="AL869" s="9">
        <f ca="1">AJ858</f>
        <v>328229.90073625033</v>
      </c>
      <c r="AM869" s="98"/>
      <c r="AN869" s="106">
        <f ca="1">IF(AM862&lt;=0,Q_max,ABS(AM$23-AM868))</f>
        <v>898.00705198907303</v>
      </c>
      <c r="AO869" s="9">
        <f ca="1">AM858</f>
        <v>400502.85569148249</v>
      </c>
      <c r="AP869" s="98"/>
      <c r="AQ869" s="106">
        <f ca="1">IF(AP862&lt;=0,Q_max,ABS(AP$23-AP868))</f>
        <v>236393</v>
      </c>
      <c r="AR869" s="9">
        <f ca="1">AP858</f>
        <v>464971.38199484174</v>
      </c>
      <c r="AS869" s="98"/>
      <c r="AT869" s="106">
        <f ca="1">IF(AS862&lt;=0,Q_max,ABS(AS$23-AS868))</f>
        <v>236393</v>
      </c>
      <c r="AU869" s="9">
        <f ca="1">AS858</f>
        <v>545215.51302781096</v>
      </c>
    </row>
    <row r="870" spans="15:47" x14ac:dyDescent="0.25">
      <c r="O870" s="21"/>
      <c r="P870" s="14"/>
      <c r="Q870" s="21"/>
      <c r="R870" s="97"/>
      <c r="S870" s="106"/>
      <c r="T870" s="28"/>
      <c r="U870" s="97"/>
      <c r="V870" s="111"/>
      <c r="W870" s="28"/>
      <c r="X870" s="97"/>
      <c r="Y870" s="111"/>
      <c r="Z870" s="28"/>
      <c r="AA870" s="97"/>
      <c r="AB870" s="111"/>
      <c r="AC870" s="28"/>
      <c r="AD870" s="97"/>
      <c r="AE870" s="111"/>
      <c r="AF870" s="28"/>
      <c r="AG870" s="97"/>
      <c r="AH870" s="111"/>
      <c r="AI870" s="28"/>
      <c r="AJ870" s="97"/>
      <c r="AK870" s="111"/>
      <c r="AL870" s="28"/>
      <c r="AM870" s="97"/>
      <c r="AN870" s="111"/>
      <c r="AO870" s="28"/>
      <c r="AP870" s="97"/>
      <c r="AQ870" s="111"/>
      <c r="AR870" s="28"/>
      <c r="AS870" s="97"/>
      <c r="AT870" s="111"/>
      <c r="AU870" s="28"/>
    </row>
    <row r="871" spans="15:47" x14ac:dyDescent="0.25">
      <c r="O871" s="1"/>
      <c r="P871" s="1"/>
      <c r="Q871" s="1"/>
      <c r="R871" s="98"/>
      <c r="S871" s="108" t="s">
        <v>137</v>
      </c>
      <c r="T871" s="26" t="s">
        <v>146</v>
      </c>
      <c r="U871" s="98"/>
      <c r="V871" s="108" t="s">
        <v>137</v>
      </c>
      <c r="W871" s="26" t="s">
        <v>146</v>
      </c>
      <c r="X871" s="98"/>
      <c r="Y871" s="108" t="s">
        <v>137</v>
      </c>
      <c r="Z871" s="26" t="s">
        <v>146</v>
      </c>
      <c r="AA871" s="98"/>
      <c r="AB871" s="108" t="s">
        <v>137</v>
      </c>
      <c r="AC871" s="26" t="s">
        <v>146</v>
      </c>
      <c r="AD871" s="98"/>
      <c r="AE871" s="108" t="s">
        <v>137</v>
      </c>
      <c r="AF871" s="26" t="s">
        <v>146</v>
      </c>
      <c r="AG871" s="98"/>
      <c r="AH871" s="108" t="s">
        <v>137</v>
      </c>
      <c r="AI871" s="26" t="s">
        <v>146</v>
      </c>
      <c r="AJ871" s="98"/>
      <c r="AK871" s="108" t="s">
        <v>137</v>
      </c>
      <c r="AL871" s="26" t="s">
        <v>146</v>
      </c>
      <c r="AM871" s="98"/>
      <c r="AN871" s="108" t="s">
        <v>137</v>
      </c>
      <c r="AO871" s="26" t="s">
        <v>146</v>
      </c>
      <c r="AP871" s="98"/>
      <c r="AQ871" s="108" t="s">
        <v>137</v>
      </c>
      <c r="AR871" s="26" t="s">
        <v>146</v>
      </c>
      <c r="AS871" s="98"/>
      <c r="AT871" s="108" t="s">
        <v>137</v>
      </c>
      <c r="AU871" s="26" t="s">
        <v>146</v>
      </c>
    </row>
    <row r="872" spans="15:47" ht="13.8" x14ac:dyDescent="0.25">
      <c r="O872" s="20" t="s">
        <v>136</v>
      </c>
      <c r="P872" s="1"/>
      <c r="Q872" s="1"/>
      <c r="R872" s="96">
        <f>R858*1.02</f>
        <v>1045.434840096872</v>
      </c>
      <c r="S872" s="109" t="s">
        <v>144</v>
      </c>
      <c r="T872" s="23" t="s">
        <v>147</v>
      </c>
      <c r="U872" s="96">
        <f ca="1">U858*1.01</f>
        <v>21271.609474627479</v>
      </c>
      <c r="V872" s="109" t="s">
        <v>144</v>
      </c>
      <c r="W872" s="23" t="s">
        <v>147</v>
      </c>
      <c r="X872" s="96">
        <f ca="1">X858*1.01</f>
        <v>52086.35800193507</v>
      </c>
      <c r="Y872" s="109" t="s">
        <v>144</v>
      </c>
      <c r="Z872" s="23" t="s">
        <v>147</v>
      </c>
      <c r="AA872" s="96">
        <f ca="1">AA858*1.01</f>
        <v>101450.93058379165</v>
      </c>
      <c r="AB872" s="109" t="s">
        <v>144</v>
      </c>
      <c r="AC872" s="23" t="s">
        <v>147</v>
      </c>
      <c r="AD872" s="96">
        <f ca="1">AD858*1.01</f>
        <v>170203.10231253353</v>
      </c>
      <c r="AE872" s="109" t="s">
        <v>144</v>
      </c>
      <c r="AF872" s="23" t="s">
        <v>147</v>
      </c>
      <c r="AG872" s="96">
        <f ca="1">AG858*1.01</f>
        <v>248416.06350096726</v>
      </c>
      <c r="AH872" s="109" t="s">
        <v>144</v>
      </c>
      <c r="AI872" s="23" t="s">
        <v>147</v>
      </c>
      <c r="AJ872" s="96">
        <f ca="1">AJ858*1.01</f>
        <v>331512.19974361284</v>
      </c>
      <c r="AK872" s="109" t="s">
        <v>144</v>
      </c>
      <c r="AL872" s="23" t="s">
        <v>147</v>
      </c>
      <c r="AM872" s="96">
        <f ca="1">AM858*1.01</f>
        <v>404507.88424839731</v>
      </c>
      <c r="AN872" s="109" t="s">
        <v>144</v>
      </c>
      <c r="AO872" s="23" t="s">
        <v>147</v>
      </c>
      <c r="AP872" s="96">
        <f ca="1">AP858*1.01</f>
        <v>469621.09581479017</v>
      </c>
      <c r="AQ872" s="109" t="s">
        <v>144</v>
      </c>
      <c r="AR872" s="23" t="s">
        <v>147</v>
      </c>
      <c r="AS872" s="96">
        <f ca="1">AS858*1.01</f>
        <v>550667.66815808904</v>
      </c>
      <c r="AT872" s="109" t="s">
        <v>144</v>
      </c>
      <c r="AU872" s="23" t="s">
        <v>147</v>
      </c>
    </row>
    <row r="873" spans="15:47" x14ac:dyDescent="0.25">
      <c r="O873" s="1"/>
      <c r="P873" s="1"/>
      <c r="Q873" s="1"/>
      <c r="R873" s="98"/>
      <c r="S873" s="107"/>
      <c r="T873" s="1"/>
      <c r="U873" s="47"/>
      <c r="V873" s="107"/>
      <c r="W873" s="1"/>
      <c r="X873" s="47"/>
      <c r="Y873" s="107"/>
      <c r="Z873" s="1"/>
      <c r="AA873" s="47"/>
      <c r="AB873" s="107"/>
      <c r="AC873" s="1"/>
      <c r="AD873" s="47"/>
      <c r="AE873" s="107"/>
      <c r="AF873" s="1"/>
      <c r="AG873" s="47"/>
      <c r="AH873" s="107"/>
      <c r="AI873" s="1"/>
      <c r="AJ873" s="47"/>
      <c r="AK873" s="107"/>
      <c r="AL873" s="1"/>
      <c r="AM873" s="47"/>
      <c r="AN873" s="107"/>
      <c r="AO873" s="1"/>
      <c r="AP873" s="47"/>
      <c r="AQ873" s="107"/>
      <c r="AR873" s="1"/>
      <c r="AS873" s="47"/>
      <c r="AT873" s="107"/>
      <c r="AU873" s="1"/>
    </row>
    <row r="874" spans="15:47" x14ac:dyDescent="0.25">
      <c r="O874" s="8" t="s">
        <v>132</v>
      </c>
      <c r="P874" s="8"/>
      <c r="Q874" s="8"/>
      <c r="R874" s="96">
        <f>P_1_minQ-(R872^2*R_up)+dpup_minQ</f>
        <v>90.184841331107933</v>
      </c>
      <c r="S874" s="106"/>
      <c r="T874" s="22"/>
      <c r="U874" s="96">
        <f ca="1">P_1_minQ-(U872^2*R_up)+dpup_minQ</f>
        <v>90.102570863523255</v>
      </c>
      <c r="V874" s="107"/>
      <c r="W874" s="1"/>
      <c r="X874" s="96">
        <f ca="1">P_1_minQ-(X872^2*R_up)+dpup_minQ</f>
        <v>89.690568739555076</v>
      </c>
      <c r="Y874" s="107"/>
      <c r="Z874" s="1"/>
      <c r="AA874" s="96">
        <f ca="1">P_1_minQ-(AA872^2*R_up)+dpup_minQ</f>
        <v>88.309158136596494</v>
      </c>
      <c r="AB874" s="107"/>
      <c r="AC874" s="1"/>
      <c r="AD874" s="96">
        <f ca="1">P_1_minQ-(AD872^2*R_up)+dpup_minQ</f>
        <v>84.905106689914533</v>
      </c>
      <c r="AE874" s="107"/>
      <c r="AF874" s="1"/>
      <c r="AG874" s="96">
        <f ca="1">P_1_minQ-(AG872^2*R_up)+dpup_minQ</f>
        <v>78.93762116881868</v>
      </c>
      <c r="AH874" s="107"/>
      <c r="AI874" s="1"/>
      <c r="AJ874" s="96">
        <f ca="1">P_1_minQ-(AJ872^2*R_up)+dpup_minQ</f>
        <v>70.154504679566202</v>
      </c>
      <c r="AK874" s="107"/>
      <c r="AL874" s="1"/>
      <c r="AM874" s="96">
        <f ca="1">P_1_minQ-(AM872^2*R_up)+dpup_minQ</f>
        <v>60.362302137825495</v>
      </c>
      <c r="AN874" s="107"/>
      <c r="AO874" s="1"/>
      <c r="AP874" s="96">
        <f ca="1">P_1_minQ-(AP872^2*R_up)+dpup_minQ</f>
        <v>49.988494935761686</v>
      </c>
      <c r="AQ874" s="107"/>
      <c r="AR874" s="1"/>
      <c r="AS874" s="96">
        <f ca="1">P_1_minQ-(AS872^2*R_up)+dpup_minQ</f>
        <v>34.917174855955977</v>
      </c>
      <c r="AT874" s="107"/>
      <c r="AU874" s="1"/>
    </row>
    <row r="875" spans="15:47" x14ac:dyDescent="0.25">
      <c r="O875" s="8" t="s">
        <v>134</v>
      </c>
      <c r="P875" s="1"/>
      <c r="Q875" s="8"/>
      <c r="R875" s="97">
        <f>P_2_minQ+(R872^2*R_dn)-dpdn_minQ</f>
        <v>60</v>
      </c>
      <c r="S875" s="106"/>
      <c r="T875" s="22"/>
      <c r="U875" s="97">
        <f ca="1">P_2_minQ+(U872^2*R_dn)-dpdn_minQ</f>
        <v>60</v>
      </c>
      <c r="V875" s="107"/>
      <c r="W875" s="1"/>
      <c r="X875" s="97">
        <f ca="1">P_2_minQ+(X872^2*R_dn)-dpdn_minQ</f>
        <v>60</v>
      </c>
      <c r="Y875" s="107"/>
      <c r="Z875" s="1"/>
      <c r="AA875" s="97">
        <f ca="1">P_2_minQ+(AA872^2*R_dn)-dpdn_minQ</f>
        <v>60</v>
      </c>
      <c r="AB875" s="107"/>
      <c r="AC875" s="1"/>
      <c r="AD875" s="97">
        <f ca="1">P_2_minQ+(AD872^2*R_dn)-dpdn_minQ</f>
        <v>60</v>
      </c>
      <c r="AE875" s="107"/>
      <c r="AF875" s="1"/>
      <c r="AG875" s="97">
        <f ca="1">P_2_minQ+(AG872^2*R_dn)-dpdn_minQ</f>
        <v>60</v>
      </c>
      <c r="AH875" s="107"/>
      <c r="AI875" s="1"/>
      <c r="AJ875" s="97">
        <f ca="1">P_2_minQ+(AJ872^2*R_dn)-dpdn_minQ</f>
        <v>60</v>
      </c>
      <c r="AK875" s="107"/>
      <c r="AL875" s="1"/>
      <c r="AM875" s="97">
        <f ca="1">P_2_minQ+(AM872^2*R_dn)-dpdn_minQ</f>
        <v>60</v>
      </c>
      <c r="AN875" s="107"/>
      <c r="AO875" s="1"/>
      <c r="AP875" s="97">
        <f ca="1">P_2_minQ+(AP872^2*R_dn)-dpdn_minQ</f>
        <v>60</v>
      </c>
      <c r="AQ875" s="107"/>
      <c r="AR875" s="1"/>
      <c r="AS875" s="97">
        <f ca="1">P_2_minQ+(AS872^2*R_dn)-dpdn_minQ</f>
        <v>60</v>
      </c>
      <c r="AT875" s="107"/>
      <c r="AU875" s="1"/>
    </row>
    <row r="876" spans="15:47" x14ac:dyDescent="0.25">
      <c r="O876" s="8" t="s">
        <v>138</v>
      </c>
      <c r="P876" s="1"/>
      <c r="Q876" s="8"/>
      <c r="R876" s="97">
        <f>R874-R875</f>
        <v>30.184841331107933</v>
      </c>
      <c r="S876" s="106"/>
      <c r="T876" s="22"/>
      <c r="U876" s="97">
        <f ca="1">U874-U875</f>
        <v>30.102570863523255</v>
      </c>
      <c r="V876" s="110"/>
      <c r="W876" s="25"/>
      <c r="X876" s="97">
        <f ca="1">X874-X875</f>
        <v>29.690568739555076</v>
      </c>
      <c r="Y876" s="110"/>
      <c r="Z876" s="25"/>
      <c r="AA876" s="97">
        <f ca="1">AA874-AA875</f>
        <v>28.309158136596494</v>
      </c>
      <c r="AB876" s="110"/>
      <c r="AC876" s="25"/>
      <c r="AD876" s="97">
        <f ca="1">AD874-AD875</f>
        <v>24.905106689914533</v>
      </c>
      <c r="AE876" s="110"/>
      <c r="AF876" s="25"/>
      <c r="AG876" s="97">
        <f ca="1">AG874-AG875</f>
        <v>18.93762116881868</v>
      </c>
      <c r="AH876" s="110"/>
      <c r="AI876" s="25"/>
      <c r="AJ876" s="97">
        <f ca="1">AJ874-AJ875</f>
        <v>10.154504679566202</v>
      </c>
      <c r="AK876" s="110"/>
      <c r="AL876" s="25"/>
      <c r="AM876" s="97">
        <f ca="1">AM874-AM875</f>
        <v>0.3623021378254947</v>
      </c>
      <c r="AN876" s="110"/>
      <c r="AO876" s="25"/>
      <c r="AP876" s="97">
        <f ca="1">AP874-AP875</f>
        <v>-10.011505064238314</v>
      </c>
      <c r="AQ876" s="110"/>
      <c r="AR876" s="25"/>
      <c r="AS876" s="97">
        <f ca="1">AS874-AS875</f>
        <v>-25.082825144044023</v>
      </c>
      <c r="AT876" s="110"/>
      <c r="AU876" s="25"/>
    </row>
    <row r="877" spans="15:47" ht="14.4" x14ac:dyDescent="0.3">
      <c r="O877" s="2" t="s">
        <v>140</v>
      </c>
      <c r="P877" s="11"/>
      <c r="Q877" s="2"/>
      <c r="R877" s="96">
        <f>R876/R874</f>
        <v>0.33469972209948456</v>
      </c>
      <c r="S877" s="106"/>
      <c r="T877" s="22"/>
      <c r="U877" s="96">
        <f ca="1">U876/U874</f>
        <v>0.33409225258532388</v>
      </c>
      <c r="V877" s="111"/>
      <c r="W877" s="28"/>
      <c r="X877" s="96">
        <f ca="1">X876/X874</f>
        <v>0.3310333422655734</v>
      </c>
      <c r="Y877" s="111"/>
      <c r="Z877" s="28"/>
      <c r="AA877" s="96">
        <f ca="1">AA876/AA874</f>
        <v>0.32056876924144068</v>
      </c>
      <c r="AB877" s="111"/>
      <c r="AC877" s="28"/>
      <c r="AD877" s="96">
        <f ca="1">AD876/AD874</f>
        <v>0.29332872498319218</v>
      </c>
      <c r="AE877" s="111"/>
      <c r="AF877" s="28"/>
      <c r="AG877" s="96">
        <f ca="1">AG876/AG874</f>
        <v>0.23990615486521996</v>
      </c>
      <c r="AH877" s="111"/>
      <c r="AI877" s="28"/>
      <c r="AJ877" s="96">
        <f ca="1">AJ876/AJ874</f>
        <v>0.14474487028234823</v>
      </c>
      <c r="AK877" s="111"/>
      <c r="AL877" s="28"/>
      <c r="AM877" s="96">
        <f ca="1">AM876/AM874</f>
        <v>6.0021259129290454E-3</v>
      </c>
      <c r="AN877" s="111"/>
      <c r="AO877" s="28"/>
      <c r="AP877" s="96">
        <f ca="1">AP876/AP874</f>
        <v>-0.20027618509226411</v>
      </c>
      <c r="AQ877" s="111"/>
      <c r="AR877" s="28"/>
      <c r="AS877" s="96">
        <f ca="1">AS876/AS874</f>
        <v>-0.71835207881274321</v>
      </c>
      <c r="AT877" s="111"/>
      <c r="AU877" s="28"/>
    </row>
    <row r="878" spans="15:47" x14ac:dyDescent="0.25">
      <c r="O878" s="2" t="s">
        <v>21</v>
      </c>
      <c r="P878" s="8">
        <v>12</v>
      </c>
      <c r="Q878" s="2"/>
      <c r="R878" s="96">
        <f ca="1">1-R877/(3*F_GAMMA*R$29)</f>
        <v>0.82568531668678047</v>
      </c>
      <c r="S878" s="106"/>
      <c r="T878" s="22"/>
      <c r="U878" s="96">
        <f ca="1">1-U877/(3*F_GAMMA*U$29)</f>
        <v>0.82604211480160183</v>
      </c>
      <c r="V878" s="111"/>
      <c r="W878" s="28"/>
      <c r="X878" s="96">
        <f ca="1">1-X877/(3*F_GAMMA*X$29)</f>
        <v>0.82599320788926556</v>
      </c>
      <c r="Y878" s="111"/>
      <c r="Z878" s="28"/>
      <c r="AA878" s="96">
        <f ca="1">1-AA877/(3*F_GAMMA*AA$29)</f>
        <v>0.82911860677887717</v>
      </c>
      <c r="AB878" s="111"/>
      <c r="AC878" s="28"/>
      <c r="AD878" s="96">
        <f ca="1">1-AD877/(3*F_GAMMA*AD$29)</f>
        <v>0.83878969498395151</v>
      </c>
      <c r="AE878" s="111"/>
      <c r="AF878" s="28"/>
      <c r="AG878" s="96">
        <f ca="1">1-AG877/(3*F_GAMMA*AG$29)</f>
        <v>0.8602383588308673</v>
      </c>
      <c r="AH878" s="111"/>
      <c r="AI878" s="28"/>
      <c r="AJ878" s="96">
        <f ca="1">1-AJ877/(3*F_GAMMA*AJ$29)</f>
        <v>0.90927921658348043</v>
      </c>
      <c r="AK878" s="111"/>
      <c r="AL878" s="28"/>
      <c r="AM878" s="96">
        <f ca="1">1-AM877/(3*F_GAMMA*AM$29)</f>
        <v>0.99579387150253473</v>
      </c>
      <c r="AN878" s="111"/>
      <c r="AO878" s="28"/>
      <c r="AP878" s="96">
        <f ca="1">1-AP877/(3*F_GAMMA*AP$29)</f>
        <v>1.1130466174181755</v>
      </c>
      <c r="AQ878" s="111"/>
      <c r="AR878" s="28"/>
      <c r="AS878" s="96">
        <f ca="1">1-AS877/(3*F_GAMMA*AS$29)</f>
        <v>1.6356705016908868</v>
      </c>
      <c r="AT878" s="111"/>
      <c r="AU878" s="28"/>
    </row>
    <row r="879" spans="15:47" x14ac:dyDescent="0.25">
      <c r="O879" s="2" t="s">
        <v>57</v>
      </c>
      <c r="P879" s="143">
        <v>7</v>
      </c>
      <c r="Q879" s="2"/>
      <c r="R879" s="96">
        <f ca="1">(R872/(N_9*R$27*R874*R878))*SQRT(M*'Valve Sizing'!$W$6*'Valve Sizing'!$G$8/R877)</f>
        <v>0.42218929829977858</v>
      </c>
      <c r="S879" s="107"/>
      <c r="T879" s="22"/>
      <c r="U879" s="96">
        <f ca="1">(U872/(N_9*U$27*U874*U878))*SQRT(M*'Valve Sizing'!$W$6*'Valve Sizing'!$G$8/U877)</f>
        <v>8.6079289635131797</v>
      </c>
      <c r="V879" s="111"/>
      <c r="W879" s="28"/>
      <c r="X879" s="96">
        <f ca="1">(X872/(N_9*X$27*X874*X878))*SQRT(M*'Valve Sizing'!$W$6*'Valve Sizing'!$G$8/X877)</f>
        <v>21.322315555287041</v>
      </c>
      <c r="Y879" s="111"/>
      <c r="Z879" s="28"/>
      <c r="AA879" s="96">
        <f ca="1">(AA872/(N_9*AA$27*AA874*AA878))*SQRT(M*'Valve Sizing'!$W$6*'Valve Sizing'!$G$8/AA877)</f>
        <v>42.954843510463675</v>
      </c>
      <c r="AB879" s="111"/>
      <c r="AC879" s="28"/>
      <c r="AD879" s="96">
        <f ca="1">(AD872/(N_9*AD$27*AD874*AD878))*SQRT(M*'Valve Sizing'!$W$6*'Valve Sizing'!$G$8/AD877)</f>
        <v>78.413222525077984</v>
      </c>
      <c r="AE879" s="111"/>
      <c r="AF879" s="28"/>
      <c r="AG879" s="96">
        <f ca="1">(AG872/(N_9*AG$27*AG874*AG878))*SQRT(M*'Valve Sizing'!$W$6*'Valve Sizing'!$G$8/AG877)</f>
        <v>135.70863471704476</v>
      </c>
      <c r="AH879" s="111"/>
      <c r="AI879" s="28"/>
      <c r="AJ879" s="96">
        <f ca="1">(AJ872/(N_9*AJ$27*AJ874*AJ878))*SQRT(M*'Valve Sizing'!$W$6*'Valve Sizing'!$G$8/AJ877)</f>
        <v>257.16950923710783</v>
      </c>
      <c r="AK879" s="111"/>
      <c r="AL879" s="28"/>
      <c r="AM879" s="96">
        <f ca="1">(AM872/(N_9*AM$27*AM874*AM878))*SQRT(M*'Valve Sizing'!$W$6*'Valve Sizing'!$G$8/AM877)</f>
        <v>1735.1309928159937</v>
      </c>
      <c r="AN879" s="111"/>
      <c r="AO879" s="28"/>
      <c r="AP879" s="96" t="e">
        <f ca="1">(AP872/(N_9*AP$27*AP874*AP878))*SQRT(M*'Valve Sizing'!$W$6*'Valve Sizing'!$G$8/AP877)</f>
        <v>#NUM!</v>
      </c>
      <c r="AQ879" s="111"/>
      <c r="AR879" s="28"/>
      <c r="AS879" s="96" t="e">
        <f ca="1">(AS872/(N_9*AS$27*AS874*AS878))*SQRT(M*'Valve Sizing'!$W$6*'Valve Sizing'!$G$8/AS877)</f>
        <v>#NUM!</v>
      </c>
      <c r="AT879" s="111"/>
      <c r="AU879" s="28"/>
    </row>
    <row r="880" spans="15:47" x14ac:dyDescent="0.25">
      <c r="O880" s="2" t="s">
        <v>59</v>
      </c>
      <c r="P880" s="143">
        <v>7</v>
      </c>
      <c r="Q880" s="2"/>
      <c r="R880" s="96">
        <f ca="1">(R872/(N_9*R$27*R874*0.667))*SQRT(M*'Valve Sizing'!$W$6*'Valve Sizing'!$G$8/R881)</f>
        <v>0.37794061127544792</v>
      </c>
      <c r="S880" s="107"/>
      <c r="T880" s="22"/>
      <c r="U880" s="96">
        <f ca="1">(U872/(N_9*U$27*U874*0.667))*SQRT(M*'Valve Sizing'!$W$6*'Valve Sizing'!$G$8/U881)</f>
        <v>7.7011878562790974</v>
      </c>
      <c r="V880" s="111"/>
      <c r="W880" s="28"/>
      <c r="X880" s="96">
        <f ca="1">(X872/(N_9*X$27*X874*0.667))*SQRT(M*'Valve Sizing'!$W$6*'Valve Sizing'!$G$8/X881)</f>
        <v>19.077819532859404</v>
      </c>
      <c r="Y880" s="111"/>
      <c r="Z880" s="28"/>
      <c r="AA880" s="96">
        <f ca="1">(AA872/(N_9*AA$27*AA874*0.667))*SQRT(M*'Valve Sizing'!$W$6*'Valve Sizing'!$G$8/AA881)</f>
        <v>38.23058858158582</v>
      </c>
      <c r="AB880" s="111"/>
      <c r="AC880" s="28"/>
      <c r="AD880" s="96">
        <f ca="1">(AD872/(N_9*AD$27*AD874*0.667))*SQRT(M*'Valve Sizing'!$W$6*'Valve Sizing'!$G$8/AD881)</f>
        <v>68.576226192681347</v>
      </c>
      <c r="AE880" s="111"/>
      <c r="AF880" s="28"/>
      <c r="AG880" s="96">
        <f ca="1">(AG872/(N_9*AG$27*AG874*0.667))*SQRT(M*'Valve Sizing'!$W$6*'Valve Sizing'!$G$8/AG881)</f>
        <v>113.33265812585671</v>
      </c>
      <c r="AH880" s="111"/>
      <c r="AI880" s="28"/>
      <c r="AJ880" s="96">
        <f ca="1">(AJ872/(N_9*AJ$27*AJ874*0.667))*SQRT(M*'Valve Sizing'!$W$6*'Valve Sizing'!$G$8/AJ881)</f>
        <v>182.89630431130095</v>
      </c>
      <c r="AK880" s="111"/>
      <c r="AL880" s="28"/>
      <c r="AM880" s="96">
        <f ca="1">(AM872/(N_9*AM$27*AM874*0.667))*SQRT(M*'Valve Sizing'!$W$6*'Valve Sizing'!$G$8/AM881)</f>
        <v>290.98980796589632</v>
      </c>
      <c r="AN880" s="111"/>
      <c r="AO880" s="28"/>
      <c r="AP880" s="96">
        <f ca="1">(AP872/(N_9*AP$27*AP874*0.667))*SQRT(M*'Valve Sizing'!$W$6*'Valve Sizing'!$G$8/AP881)</f>
        <v>416.71199126320249</v>
      </c>
      <c r="AQ880" s="111"/>
      <c r="AR880" s="28"/>
      <c r="AS880" s="96">
        <f ca="1">(AS872/(N_9*AS$27*AS874*0.667))*SQRT(M*'Valve Sizing'!$W$6*'Valve Sizing'!$G$8/AS881)</f>
        <v>1173.1382184756631</v>
      </c>
      <c r="AT880" s="111"/>
      <c r="AU880" s="28"/>
    </row>
    <row r="881" spans="15:47" ht="15.6" x14ac:dyDescent="0.35">
      <c r="O881" s="2" t="s">
        <v>68</v>
      </c>
      <c r="P881" s="143">
        <v>10</v>
      </c>
      <c r="Q881" s="2"/>
      <c r="R881" s="96">
        <f ca="1">F_GAMMA*R$29</f>
        <v>0.64002969751372984</v>
      </c>
      <c r="S881" s="107"/>
      <c r="T881" s="1"/>
      <c r="U881" s="96">
        <f ca="1">F_GAMMA*U$29</f>
        <v>0.64017842058782071</v>
      </c>
      <c r="V881" s="111"/>
      <c r="W881" s="28"/>
      <c r="X881" s="96">
        <f ca="1">F_GAMMA*X$29</f>
        <v>0.63413873724904268</v>
      </c>
      <c r="Y881" s="111"/>
      <c r="Z881" s="28"/>
      <c r="AA881" s="96">
        <f ca="1">F_GAMMA*AA$29</f>
        <v>0.62532411750377137</v>
      </c>
      <c r="AB881" s="111"/>
      <c r="AC881" s="28"/>
      <c r="AD881" s="96">
        <f ca="1">F_GAMMA*AD$29</f>
        <v>0.60651359509139569</v>
      </c>
      <c r="AE881" s="111"/>
      <c r="AF881" s="28"/>
      <c r="AG881" s="96">
        <f ca="1">F_GAMMA*AG$29</f>
        <v>0.57217930198481592</v>
      </c>
      <c r="AH881" s="111"/>
      <c r="AI881" s="28"/>
      <c r="AJ881" s="96">
        <f ca="1">F_GAMMA*AJ$29</f>
        <v>0.53183282018848232</v>
      </c>
      <c r="AK881" s="111"/>
      <c r="AL881" s="28"/>
      <c r="AM881" s="96">
        <f ca="1">F_GAMMA*AM$29</f>
        <v>0.47566512503094399</v>
      </c>
      <c r="AN881" s="111"/>
      <c r="AO881" s="28"/>
      <c r="AP881" s="96">
        <f ca="1">F_GAMMA*AP$29</f>
        <v>0.59054158265645496</v>
      </c>
      <c r="AQ881" s="111"/>
      <c r="AR881" s="28"/>
      <c r="AS881" s="96">
        <f ca="1">F_GAMMA*AS$29</f>
        <v>0.3766899554102966</v>
      </c>
      <c r="AT881" s="111"/>
      <c r="AU881" s="28"/>
    </row>
    <row r="882" spans="15:47" x14ac:dyDescent="0.25">
      <c r="O882" s="2" t="s">
        <v>145</v>
      </c>
      <c r="P882" s="12"/>
      <c r="Q882" s="2"/>
      <c r="R882" s="96">
        <f ca="1">IF(R877&lt;R881,R879,R880)</f>
        <v>0.42218929829977858</v>
      </c>
      <c r="S882" s="116"/>
      <c r="T882" s="1"/>
      <c r="U882" s="96">
        <f ca="1">IF(U877&lt;U881,U879,U880)</f>
        <v>8.6079289635131797</v>
      </c>
      <c r="V882" s="111"/>
      <c r="W882" s="28"/>
      <c r="X882" s="96">
        <f ca="1">IF(X877&lt;X881,X879,X880)</f>
        <v>21.322315555287041</v>
      </c>
      <c r="Y882" s="111"/>
      <c r="Z882" s="28"/>
      <c r="AA882" s="96">
        <f ca="1">IF(AA877&lt;AA881,AA879,AA880)</f>
        <v>42.954843510463675</v>
      </c>
      <c r="AB882" s="111"/>
      <c r="AC882" s="28"/>
      <c r="AD882" s="96">
        <f ca="1">IF(AD877&lt;AD881,AD879,AD880)</f>
        <v>78.413222525077984</v>
      </c>
      <c r="AE882" s="111"/>
      <c r="AF882" s="28"/>
      <c r="AG882" s="96">
        <f ca="1">IF(AG877&lt;AG881,AG879,AG880)</f>
        <v>135.70863471704476</v>
      </c>
      <c r="AH882" s="111"/>
      <c r="AI882" s="28"/>
      <c r="AJ882" s="96">
        <f ca="1">IF(AJ877&lt;AJ881,AJ879,AJ880)</f>
        <v>257.16950923710783</v>
      </c>
      <c r="AK882" s="111"/>
      <c r="AL882" s="28"/>
      <c r="AM882" s="96">
        <f ca="1">IF(AM877&lt;AM881,AM879,AM880)</f>
        <v>1735.1309928159937</v>
      </c>
      <c r="AN882" s="111"/>
      <c r="AO882" s="28"/>
      <c r="AP882" s="96" t="e">
        <f ca="1">IF(AP877&lt;AP881,AP879,AP880)</f>
        <v>#NUM!</v>
      </c>
      <c r="AQ882" s="111"/>
      <c r="AR882" s="28"/>
      <c r="AS882" s="96" t="e">
        <f ca="1">IF(AS877&lt;AS881,AS879,AS880)</f>
        <v>#NUM!</v>
      </c>
      <c r="AT882" s="111"/>
      <c r="AU882" s="28"/>
    </row>
    <row r="883" spans="15:47" x14ac:dyDescent="0.25">
      <c r="O883" s="13" t="s">
        <v>143</v>
      </c>
      <c r="P883" s="1"/>
      <c r="Q883" s="1"/>
      <c r="R883" s="113"/>
      <c r="S883" s="106">
        <f ca="1">IF(R876&lt;=0,Q_max,ABS(R$23-R882))</f>
        <v>4.3078107017002214</v>
      </c>
      <c r="T883" s="7">
        <f>R872</f>
        <v>1045.434840096872</v>
      </c>
      <c r="U883" s="98"/>
      <c r="V883" s="106">
        <f ca="1">IF(U876&lt;=0,Q_max,ABS(U$23-U882))</f>
        <v>2.9920710364868199</v>
      </c>
      <c r="W883" s="9">
        <f ca="1">U872</f>
        <v>21271.609474627479</v>
      </c>
      <c r="X883" s="98"/>
      <c r="Y883" s="106">
        <f ca="1">IF(X876&lt;=0,Q_max,ABS(X$23-X882))</f>
        <v>1.6776844447129591</v>
      </c>
      <c r="Z883" s="9">
        <f ca="1">X872</f>
        <v>52086.35800193507</v>
      </c>
      <c r="AA883" s="98"/>
      <c r="AB883" s="106">
        <f ca="1">IF(AA876&lt;=0,Q_max,ABS(AA$23-AA882))</f>
        <v>3.5548435104636766</v>
      </c>
      <c r="AC883" s="9">
        <f ca="1">AA872</f>
        <v>101450.93058379165</v>
      </c>
      <c r="AD883" s="98"/>
      <c r="AE883" s="106">
        <f ca="1">IF(AD876&lt;=0,Q_max,ABS(AD$23-AD882))</f>
        <v>17.413222525077984</v>
      </c>
      <c r="AF883" s="9">
        <f ca="1">AD872</f>
        <v>170203.10231253353</v>
      </c>
      <c r="AG883" s="98"/>
      <c r="AH883" s="106">
        <f ca="1">IF(AG876&lt;=0,Q_max,ABS(AG$23-AG882))</f>
        <v>47.508634717044757</v>
      </c>
      <c r="AI883" s="9">
        <f ca="1">AG872</f>
        <v>248416.06350096726</v>
      </c>
      <c r="AJ883" s="98"/>
      <c r="AK883" s="106">
        <f ca="1">IF(AJ876&lt;=0,Q_max,ABS(AJ$23-AJ882))</f>
        <v>136.16950923710783</v>
      </c>
      <c r="AL883" s="9">
        <f ca="1">AJ872</f>
        <v>331512.19974361284</v>
      </c>
      <c r="AM883" s="98"/>
      <c r="AN883" s="106">
        <f ca="1">IF(AM876&lt;=0,Q_max,ABS(AM$23-AM882))</f>
        <v>1570.1309928159937</v>
      </c>
      <c r="AO883" s="9">
        <f ca="1">AM872</f>
        <v>404507.88424839731</v>
      </c>
      <c r="AP883" s="98"/>
      <c r="AQ883" s="106">
        <f ca="1">IF(AP876&lt;=0,Q_max,ABS(AP$23-AP882))</f>
        <v>236393</v>
      </c>
      <c r="AR883" s="9">
        <f ca="1">AP872</f>
        <v>469621.09581479017</v>
      </c>
      <c r="AS883" s="98"/>
      <c r="AT883" s="106">
        <f ca="1">IF(AS876&lt;=0,Q_max,ABS(AS$23-AS882))</f>
        <v>236393</v>
      </c>
      <c r="AU883" s="9">
        <f ca="1">AS872</f>
        <v>550667.66815808904</v>
      </c>
    </row>
    <row r="884" spans="15:47" x14ac:dyDescent="0.25">
      <c r="O884" s="21"/>
      <c r="P884" s="14"/>
      <c r="Q884" s="21"/>
      <c r="R884" s="97"/>
      <c r="S884" s="106"/>
      <c r="T884" s="28"/>
      <c r="U884" s="97"/>
      <c r="V884" s="111"/>
      <c r="W884" s="28"/>
      <c r="X884" s="97"/>
      <c r="Y884" s="111"/>
      <c r="Z884" s="28"/>
      <c r="AA884" s="97"/>
      <c r="AB884" s="111"/>
      <c r="AC884" s="28"/>
      <c r="AD884" s="97"/>
      <c r="AE884" s="111"/>
      <c r="AF884" s="28"/>
      <c r="AG884" s="97"/>
      <c r="AH884" s="111"/>
      <c r="AI884" s="28"/>
      <c r="AJ884" s="97"/>
      <c r="AK884" s="111"/>
      <c r="AL884" s="28"/>
      <c r="AM884" s="97"/>
      <c r="AN884" s="111"/>
      <c r="AO884" s="28"/>
      <c r="AP884" s="97"/>
      <c r="AQ884" s="111"/>
      <c r="AR884" s="28"/>
      <c r="AS884" s="97"/>
      <c r="AT884" s="111"/>
      <c r="AU884" s="28"/>
    </row>
    <row r="885" spans="15:47" x14ac:dyDescent="0.25">
      <c r="O885" s="1"/>
      <c r="P885" s="1"/>
      <c r="Q885" s="1"/>
      <c r="R885" s="98"/>
      <c r="S885" s="108" t="s">
        <v>137</v>
      </c>
      <c r="T885" s="26" t="s">
        <v>146</v>
      </c>
      <c r="U885" s="98"/>
      <c r="V885" s="108" t="s">
        <v>137</v>
      </c>
      <c r="W885" s="26" t="s">
        <v>146</v>
      </c>
      <c r="X885" s="98"/>
      <c r="Y885" s="108" t="s">
        <v>137</v>
      </c>
      <c r="Z885" s="26" t="s">
        <v>146</v>
      </c>
      <c r="AA885" s="98"/>
      <c r="AB885" s="108" t="s">
        <v>137</v>
      </c>
      <c r="AC885" s="26" t="s">
        <v>146</v>
      </c>
      <c r="AD885" s="98"/>
      <c r="AE885" s="108" t="s">
        <v>137</v>
      </c>
      <c r="AF885" s="26" t="s">
        <v>146</v>
      </c>
      <c r="AG885" s="98"/>
      <c r="AH885" s="108" t="s">
        <v>137</v>
      </c>
      <c r="AI885" s="26" t="s">
        <v>146</v>
      </c>
      <c r="AJ885" s="98"/>
      <c r="AK885" s="108" t="s">
        <v>137</v>
      </c>
      <c r="AL885" s="26" t="s">
        <v>146</v>
      </c>
      <c r="AM885" s="98"/>
      <c r="AN885" s="108" t="s">
        <v>137</v>
      </c>
      <c r="AO885" s="26" t="s">
        <v>146</v>
      </c>
      <c r="AP885" s="98"/>
      <c r="AQ885" s="108" t="s">
        <v>137</v>
      </c>
      <c r="AR885" s="26" t="s">
        <v>146</v>
      </c>
      <c r="AS885" s="98"/>
      <c r="AT885" s="108" t="s">
        <v>137</v>
      </c>
      <c r="AU885" s="26" t="s">
        <v>146</v>
      </c>
    </row>
    <row r="886" spans="15:47" ht="13.8" x14ac:dyDescent="0.25">
      <c r="O886" s="20" t="s">
        <v>136</v>
      </c>
      <c r="P886" s="1"/>
      <c r="Q886" s="1"/>
      <c r="R886" s="96">
        <f>R872*1.02</f>
        <v>1066.3435368988094</v>
      </c>
      <c r="S886" s="109" t="s">
        <v>144</v>
      </c>
      <c r="T886" s="23" t="s">
        <v>147</v>
      </c>
      <c r="U886" s="96">
        <f ca="1">U872*1.01</f>
        <v>21484.325569373756</v>
      </c>
      <c r="V886" s="109" t="s">
        <v>144</v>
      </c>
      <c r="W886" s="23" t="s">
        <v>147</v>
      </c>
      <c r="X886" s="96">
        <f ca="1">X872*1.01</f>
        <v>52607.221581954422</v>
      </c>
      <c r="Y886" s="109" t="s">
        <v>144</v>
      </c>
      <c r="Z886" s="23" t="s">
        <v>147</v>
      </c>
      <c r="AA886" s="96">
        <f ca="1">AA872*1.01</f>
        <v>102465.43988962956</v>
      </c>
      <c r="AB886" s="109" t="s">
        <v>144</v>
      </c>
      <c r="AC886" s="23" t="s">
        <v>147</v>
      </c>
      <c r="AD886" s="96">
        <f ca="1">AD872*1.01</f>
        <v>171905.13333565887</v>
      </c>
      <c r="AE886" s="109" t="s">
        <v>144</v>
      </c>
      <c r="AF886" s="23" t="s">
        <v>147</v>
      </c>
      <c r="AG886" s="96">
        <f ca="1">AG872*1.01</f>
        <v>250900.22413597693</v>
      </c>
      <c r="AH886" s="109" t="s">
        <v>144</v>
      </c>
      <c r="AI886" s="23" t="s">
        <v>147</v>
      </c>
      <c r="AJ886" s="96">
        <f ca="1">AJ872*1.01</f>
        <v>334827.321741049</v>
      </c>
      <c r="AK886" s="109" t="s">
        <v>144</v>
      </c>
      <c r="AL886" s="23" t="s">
        <v>147</v>
      </c>
      <c r="AM886" s="96">
        <f ca="1">AM872*1.01</f>
        <v>408552.9630908813</v>
      </c>
      <c r="AN886" s="109" t="s">
        <v>144</v>
      </c>
      <c r="AO886" s="23" t="s">
        <v>147</v>
      </c>
      <c r="AP886" s="96">
        <f ca="1">AP872*1.01</f>
        <v>474317.30677293806</v>
      </c>
      <c r="AQ886" s="109" t="s">
        <v>144</v>
      </c>
      <c r="AR886" s="23" t="s">
        <v>147</v>
      </c>
      <c r="AS886" s="96">
        <f ca="1">AS872*1.01</f>
        <v>556174.34483967</v>
      </c>
      <c r="AT886" s="109" t="s">
        <v>144</v>
      </c>
      <c r="AU886" s="23" t="s">
        <v>147</v>
      </c>
    </row>
    <row r="887" spans="15:47" x14ac:dyDescent="0.25">
      <c r="O887" s="1"/>
      <c r="P887" s="1"/>
      <c r="Q887" s="1"/>
      <c r="R887" s="98"/>
      <c r="S887" s="107"/>
      <c r="T887" s="1"/>
      <c r="U887" s="47"/>
      <c r="V887" s="107"/>
      <c r="W887" s="1"/>
      <c r="X887" s="47"/>
      <c r="Y887" s="107"/>
      <c r="Z887" s="1"/>
      <c r="AA887" s="47"/>
      <c r="AB887" s="107"/>
      <c r="AC887" s="1"/>
      <c r="AD887" s="47"/>
      <c r="AE887" s="107"/>
      <c r="AF887" s="1"/>
      <c r="AG887" s="47"/>
      <c r="AH887" s="107"/>
      <c r="AI887" s="1"/>
      <c r="AJ887" s="47"/>
      <c r="AK887" s="107"/>
      <c r="AL887" s="1"/>
      <c r="AM887" s="47"/>
      <c r="AN887" s="107"/>
      <c r="AO887" s="1"/>
      <c r="AP887" s="47"/>
      <c r="AQ887" s="107"/>
      <c r="AR887" s="1"/>
      <c r="AS887" s="47"/>
      <c r="AT887" s="107"/>
      <c r="AU887" s="1"/>
    </row>
    <row r="888" spans="15:47" x14ac:dyDescent="0.25">
      <c r="O888" s="8" t="s">
        <v>132</v>
      </c>
      <c r="P888" s="8"/>
      <c r="Q888" s="8"/>
      <c r="R888" s="96">
        <f>P_1_minQ-(R886^2*R_up)+dpup_minQ</f>
        <v>90.184833283462368</v>
      </c>
      <c r="S888" s="106"/>
      <c r="T888" s="22"/>
      <c r="U888" s="96">
        <f ca="1">P_1_minQ-(U886^2*R_up)+dpup_minQ</f>
        <v>90.100913223221937</v>
      </c>
      <c r="V888" s="107"/>
      <c r="W888" s="1"/>
      <c r="X888" s="96">
        <f ca="1">P_1_minQ-(X886^2*R_up)+dpup_minQ</f>
        <v>89.680629856561993</v>
      </c>
      <c r="Y888" s="107"/>
      <c r="Z888" s="1"/>
      <c r="AA888" s="96">
        <f ca="1">P_1_minQ-(AA886^2*R_up)+dpup_minQ</f>
        <v>88.271452900483936</v>
      </c>
      <c r="AB888" s="107"/>
      <c r="AC888" s="1"/>
      <c r="AD888" s="96">
        <f ca="1">P_1_minQ-(AD886^2*R_up)+dpup_minQ</f>
        <v>84.798980019723672</v>
      </c>
      <c r="AE888" s="107"/>
      <c r="AF888" s="1"/>
      <c r="AG888" s="96">
        <f ca="1">P_1_minQ-(AG886^2*R_up)+dpup_minQ</f>
        <v>78.711548039653792</v>
      </c>
      <c r="AH888" s="107"/>
      <c r="AI888" s="1"/>
      <c r="AJ888" s="96">
        <f ca="1">P_1_minQ-(AJ886^2*R_up)+dpup_minQ</f>
        <v>69.75189090896734</v>
      </c>
      <c r="AK888" s="107"/>
      <c r="AL888" s="1"/>
      <c r="AM888" s="96">
        <f ca="1">P_1_minQ-(AM886^2*R_up)+dpup_minQ</f>
        <v>59.762865096137645</v>
      </c>
      <c r="AN888" s="107"/>
      <c r="AO888" s="1"/>
      <c r="AP888" s="96">
        <f ca="1">P_1_minQ-(AP886^2*R_up)+dpup_minQ</f>
        <v>49.180544369312365</v>
      </c>
      <c r="AQ888" s="107"/>
      <c r="AR888" s="1"/>
      <c r="AS888" s="96">
        <f ca="1">P_1_minQ-(AS886^2*R_up)+dpup_minQ</f>
        <v>33.806290755902545</v>
      </c>
      <c r="AT888" s="107"/>
      <c r="AU888" s="1"/>
    </row>
    <row r="889" spans="15:47" x14ac:dyDescent="0.25">
      <c r="O889" s="8" t="s">
        <v>134</v>
      </c>
      <c r="P889" s="1"/>
      <c r="Q889" s="8"/>
      <c r="R889" s="97">
        <f>P_2_minQ+(R886^2*R_dn)-dpdn_minQ</f>
        <v>60</v>
      </c>
      <c r="S889" s="106"/>
      <c r="T889" s="22"/>
      <c r="U889" s="97">
        <f ca="1">P_2_minQ+(U886^2*R_dn)-dpdn_minQ</f>
        <v>60</v>
      </c>
      <c r="V889" s="107"/>
      <c r="W889" s="1"/>
      <c r="X889" s="97">
        <f ca="1">P_2_minQ+(X886^2*R_dn)-dpdn_minQ</f>
        <v>60</v>
      </c>
      <c r="Y889" s="107"/>
      <c r="Z889" s="1"/>
      <c r="AA889" s="97">
        <f ca="1">P_2_minQ+(AA886^2*R_dn)-dpdn_minQ</f>
        <v>60</v>
      </c>
      <c r="AB889" s="107"/>
      <c r="AC889" s="1"/>
      <c r="AD889" s="97">
        <f ca="1">P_2_minQ+(AD886^2*R_dn)-dpdn_minQ</f>
        <v>60</v>
      </c>
      <c r="AE889" s="107"/>
      <c r="AF889" s="1"/>
      <c r="AG889" s="97">
        <f ca="1">P_2_minQ+(AG886^2*R_dn)-dpdn_minQ</f>
        <v>60</v>
      </c>
      <c r="AH889" s="107"/>
      <c r="AI889" s="1"/>
      <c r="AJ889" s="97">
        <f ca="1">P_2_minQ+(AJ886^2*R_dn)-dpdn_minQ</f>
        <v>60</v>
      </c>
      <c r="AK889" s="107"/>
      <c r="AL889" s="1"/>
      <c r="AM889" s="97">
        <f ca="1">P_2_minQ+(AM886^2*R_dn)-dpdn_minQ</f>
        <v>60</v>
      </c>
      <c r="AN889" s="107"/>
      <c r="AO889" s="1"/>
      <c r="AP889" s="97">
        <f ca="1">P_2_minQ+(AP886^2*R_dn)-dpdn_minQ</f>
        <v>60</v>
      </c>
      <c r="AQ889" s="107"/>
      <c r="AR889" s="1"/>
      <c r="AS889" s="97">
        <f ca="1">P_2_minQ+(AS886^2*R_dn)-dpdn_minQ</f>
        <v>60</v>
      </c>
      <c r="AT889" s="107"/>
      <c r="AU889" s="1"/>
    </row>
    <row r="890" spans="15:47" x14ac:dyDescent="0.25">
      <c r="O890" s="8" t="s">
        <v>138</v>
      </c>
      <c r="P890" s="1"/>
      <c r="Q890" s="8"/>
      <c r="R890" s="97">
        <f>R888-R889</f>
        <v>30.184833283462368</v>
      </c>
      <c r="S890" s="106"/>
      <c r="T890" s="22"/>
      <c r="U890" s="97">
        <f ca="1">U888-U889</f>
        <v>30.100913223221937</v>
      </c>
      <c r="V890" s="110"/>
      <c r="W890" s="25"/>
      <c r="X890" s="97">
        <f ca="1">X888-X889</f>
        <v>29.680629856561993</v>
      </c>
      <c r="Y890" s="110"/>
      <c r="Z890" s="25"/>
      <c r="AA890" s="97">
        <f ca="1">AA888-AA889</f>
        <v>28.271452900483936</v>
      </c>
      <c r="AB890" s="110"/>
      <c r="AC890" s="25"/>
      <c r="AD890" s="97">
        <f ca="1">AD888-AD889</f>
        <v>24.798980019723672</v>
      </c>
      <c r="AE890" s="110"/>
      <c r="AF890" s="25"/>
      <c r="AG890" s="97">
        <f ca="1">AG888-AG889</f>
        <v>18.711548039653792</v>
      </c>
      <c r="AH890" s="110"/>
      <c r="AI890" s="25"/>
      <c r="AJ890" s="97">
        <f ca="1">AJ888-AJ889</f>
        <v>9.75189090896734</v>
      </c>
      <c r="AK890" s="110"/>
      <c r="AL890" s="25"/>
      <c r="AM890" s="97">
        <f ca="1">AM888-AM889</f>
        <v>-0.23713490386235492</v>
      </c>
      <c r="AN890" s="110"/>
      <c r="AO890" s="25"/>
      <c r="AP890" s="97">
        <f ca="1">AP888-AP889</f>
        <v>-10.819455630687635</v>
      </c>
      <c r="AQ890" s="110"/>
      <c r="AR890" s="25"/>
      <c r="AS890" s="97">
        <f ca="1">AS888-AS889</f>
        <v>-26.193709244097455</v>
      </c>
      <c r="AT890" s="110"/>
      <c r="AU890" s="25"/>
    </row>
    <row r="891" spans="15:47" ht="14.4" x14ac:dyDescent="0.3">
      <c r="O891" s="2" t="s">
        <v>140</v>
      </c>
      <c r="P891" s="11"/>
      <c r="Q891" s="2"/>
      <c r="R891" s="96">
        <f>R890/R888</f>
        <v>0.33469966273139973</v>
      </c>
      <c r="S891" s="106"/>
      <c r="T891" s="22"/>
      <c r="U891" s="96">
        <f ca="1">U890/U888</f>
        <v>0.33408000148287015</v>
      </c>
      <c r="V891" s="111"/>
      <c r="W891" s="28"/>
      <c r="X891" s="96">
        <f ca="1">X890/X888</f>
        <v>0.33095920383291377</v>
      </c>
      <c r="Y891" s="111"/>
      <c r="Z891" s="28"/>
      <c r="AA891" s="96">
        <f ca="1">AA890/AA888</f>
        <v>0.32027854953692442</v>
      </c>
      <c r="AB891" s="111"/>
      <c r="AC891" s="28"/>
      <c r="AD891" s="96">
        <f ca="1">AD890/AD888</f>
        <v>0.29244431965992512</v>
      </c>
      <c r="AE891" s="111"/>
      <c r="AF891" s="28"/>
      <c r="AG891" s="96">
        <f ca="1">AG890/AG888</f>
        <v>0.23772303436628095</v>
      </c>
      <c r="AH891" s="111"/>
      <c r="AI891" s="28"/>
      <c r="AJ891" s="96">
        <f ca="1">AJ890/AJ888</f>
        <v>0.13980826586757997</v>
      </c>
      <c r="AK891" s="111"/>
      <c r="AL891" s="28"/>
      <c r="AM891" s="96">
        <f ca="1">AM890/AM888</f>
        <v>-3.9679306452407763E-3</v>
      </c>
      <c r="AN891" s="111"/>
      <c r="AO891" s="28"/>
      <c r="AP891" s="96">
        <f ca="1">AP890/AP888</f>
        <v>-0.21999462936890041</v>
      </c>
      <c r="AQ891" s="111"/>
      <c r="AR891" s="28"/>
      <c r="AS891" s="96">
        <f ca="1">AS890/AS888</f>
        <v>-0.77481760519746046</v>
      </c>
      <c r="AT891" s="111"/>
      <c r="AU891" s="28"/>
    </row>
    <row r="892" spans="15:47" x14ac:dyDescent="0.25">
      <c r="O892" s="2" t="s">
        <v>21</v>
      </c>
      <c r="P892" s="8">
        <v>12</v>
      </c>
      <c r="Q892" s="2"/>
      <c r="R892" s="96">
        <f ca="1">1-R891/(3*F_GAMMA*R$29)</f>
        <v>0.82568534760622325</v>
      </c>
      <c r="S892" s="106"/>
      <c r="T892" s="22"/>
      <c r="U892" s="96">
        <f ca="1">1-U891/(3*F_GAMMA*U$29)</f>
        <v>0.82604849380577727</v>
      </c>
      <c r="V892" s="111"/>
      <c r="W892" s="28"/>
      <c r="X892" s="96">
        <f ca="1">1-X891/(3*F_GAMMA*X$29)</f>
        <v>0.82603217855835565</v>
      </c>
      <c r="Y892" s="111"/>
      <c r="Z892" s="28"/>
      <c r="AA892" s="96">
        <f ca="1">1-AA891/(3*F_GAMMA*AA$29)</f>
        <v>0.82927331039384666</v>
      </c>
      <c r="AB892" s="111"/>
      <c r="AC892" s="28"/>
      <c r="AD892" s="96">
        <f ca="1">1-AD891/(3*F_GAMMA*AD$29)</f>
        <v>0.83927575461527415</v>
      </c>
      <c r="AE892" s="111"/>
      <c r="AF892" s="28"/>
      <c r="AG892" s="96">
        <f ca="1">1-AG891/(3*F_GAMMA*AG$29)</f>
        <v>0.86151017490400272</v>
      </c>
      <c r="AH892" s="111"/>
      <c r="AI892" s="28"/>
      <c r="AJ892" s="96">
        <f ca="1">1-AJ891/(3*F_GAMMA*AJ$29)</f>
        <v>0.9123732994276712</v>
      </c>
      <c r="AK892" s="111"/>
      <c r="AL892" s="28"/>
      <c r="AM892" s="96">
        <f ca="1">1-AM891/(3*F_GAMMA*AM$29)</f>
        <v>1.0027806191347906</v>
      </c>
      <c r="AN892" s="111"/>
      <c r="AO892" s="28"/>
      <c r="AP892" s="96">
        <f ca="1">1-AP891/(3*F_GAMMA*AP$29)</f>
        <v>1.1241767646455934</v>
      </c>
      <c r="AQ892" s="111"/>
      <c r="AR892" s="28"/>
      <c r="AS892" s="96">
        <f ca="1">1-AS891/(3*F_GAMMA*AS$29)</f>
        <v>1.6856369047178485</v>
      </c>
      <c r="AT892" s="111"/>
      <c r="AU892" s="28"/>
    </row>
    <row r="893" spans="15:47" x14ac:dyDescent="0.25">
      <c r="O893" s="2" t="s">
        <v>57</v>
      </c>
      <c r="P893" s="143">
        <v>7</v>
      </c>
      <c r="Q893" s="2"/>
      <c r="R893" s="96">
        <f ca="1">(R886/(N_9*R$27*R888*R892))*SQRT(M*'Valve Sizing'!$W$6*'Valve Sizing'!$G$8/R891)</f>
        <v>0.43063314475964937</v>
      </c>
      <c r="S893" s="107"/>
      <c r="T893" s="22"/>
      <c r="U893" s="96">
        <f ca="1">(U886/(N_9*U$27*U888*U892))*SQRT(M*'Valve Sizing'!$W$6*'Valve Sizing'!$G$8/U891)</f>
        <v>8.694260472870889</v>
      </c>
      <c r="V893" s="111"/>
      <c r="W893" s="28"/>
      <c r="X893" s="96">
        <f ca="1">(X886/(N_9*X$27*X888*X892))*SQRT(M*'Valve Sizing'!$W$6*'Valve Sizing'!$G$8/X891)</f>
        <v>21.539321388947471</v>
      </c>
      <c r="Y893" s="111"/>
      <c r="Z893" s="28"/>
      <c r="AA893" s="96">
        <f ca="1">(AA886/(N_9*AA$27*AA888*AA892))*SQRT(M*'Valve Sizing'!$W$6*'Valve Sizing'!$G$8/AA891)</f>
        <v>43.414483286273835</v>
      </c>
      <c r="AB893" s="111"/>
      <c r="AC893" s="28"/>
      <c r="AD893" s="96">
        <f ca="1">(AD886/(N_9*AD$27*AD888*AD892))*SQRT(M*'Valve Sizing'!$W$6*'Valve Sizing'!$G$8/AD891)</f>
        <v>79.370290680068436</v>
      </c>
      <c r="AE893" s="111"/>
      <c r="AF893" s="28"/>
      <c r="AG893" s="96">
        <f ca="1">(AG886/(N_9*AG$27*AG888*AG892))*SQRT(M*'Valve Sizing'!$W$6*'Valve Sizing'!$G$8/AG891)</f>
        <v>137.88527559058633</v>
      </c>
      <c r="AH893" s="111"/>
      <c r="AI893" s="28"/>
      <c r="AJ893" s="96">
        <f ca="1">(AJ886/(N_9*AJ$27*AJ888*AJ892))*SQRT(M*'Valve Sizing'!$W$6*'Valve Sizing'!$G$8/AJ891)</f>
        <v>264.91118217796674</v>
      </c>
      <c r="AK893" s="111"/>
      <c r="AL893" s="28"/>
      <c r="AM893" s="96" t="e">
        <f ca="1">(AM886/(N_9*AM$27*AM888*AM892))*SQRT(M*'Valve Sizing'!$W$6*'Valve Sizing'!$G$8/AM891)</f>
        <v>#NUM!</v>
      </c>
      <c r="AN893" s="111"/>
      <c r="AO893" s="28"/>
      <c r="AP893" s="96" t="e">
        <f ca="1">(AP886/(N_9*AP$27*AP888*AP892))*SQRT(M*'Valve Sizing'!$W$6*'Valve Sizing'!$G$8/AP891)</f>
        <v>#NUM!</v>
      </c>
      <c r="AQ893" s="111"/>
      <c r="AR893" s="28"/>
      <c r="AS893" s="96" t="e">
        <f ca="1">(AS886/(N_9*AS$27*AS888*AS892))*SQRT(M*'Valve Sizing'!$W$6*'Valve Sizing'!$G$8/AS891)</f>
        <v>#NUM!</v>
      </c>
      <c r="AT893" s="111"/>
      <c r="AU893" s="28"/>
    </row>
    <row r="894" spans="15:47" x14ac:dyDescent="0.25">
      <c r="O894" s="2" t="s">
        <v>59</v>
      </c>
      <c r="P894" s="143">
        <v>7</v>
      </c>
      <c r="Q894" s="2"/>
      <c r="R894" s="96">
        <f ca="1">(R886/(N_9*R$27*R888*0.667))*SQRT(M*'Valve Sizing'!$W$6*'Valve Sizing'!$G$8/R895)</f>
        <v>0.38549945790100631</v>
      </c>
      <c r="S894" s="107"/>
      <c r="T894" s="22"/>
      <c r="U894" s="96">
        <f ca="1">(U886/(N_9*U$27*U888*0.667))*SQRT(M*'Valve Sizing'!$W$6*'Valve Sizing'!$G$8/U895)</f>
        <v>7.7783428350269039</v>
      </c>
      <c r="V894" s="111"/>
      <c r="W894" s="28"/>
      <c r="X894" s="96">
        <f ca="1">(X886/(N_9*X$27*X888*0.667))*SQRT(M*'Valve Sizing'!$W$6*'Valve Sizing'!$G$8/X895)</f>
        <v>19.270733176373049</v>
      </c>
      <c r="Y894" s="111"/>
      <c r="Z894" s="28"/>
      <c r="AA894" s="96">
        <f ca="1">(AA886/(N_9*AA$27*AA888*0.667))*SQRT(M*'Valve Sizing'!$W$6*'Valve Sizing'!$G$8/AA895)</f>
        <v>38.629388002457951</v>
      </c>
      <c r="AB894" s="111"/>
      <c r="AC894" s="28"/>
      <c r="AD894" s="96">
        <f ca="1">(AD886/(N_9*AD$27*AD888*0.667))*SQRT(M*'Valve Sizing'!$W$6*'Valve Sizing'!$G$8/AD895)</f>
        <v>69.34867044304454</v>
      </c>
      <c r="AE894" s="111"/>
      <c r="AF894" s="28"/>
      <c r="AG894" s="96">
        <f ca="1">(AG886/(N_9*AG$27*AG888*0.667))*SQRT(M*'Valve Sizing'!$W$6*'Valve Sizing'!$G$8/AG895)</f>
        <v>114.79475073942147</v>
      </c>
      <c r="AH894" s="111"/>
      <c r="AI894" s="28"/>
      <c r="AJ894" s="96">
        <f ca="1">(AJ886/(N_9*AJ$27*AJ888*0.667))*SQRT(M*'Valve Sizing'!$W$6*'Valve Sizing'!$G$8/AJ895)</f>
        <v>185.79151710686162</v>
      </c>
      <c r="AK894" s="111"/>
      <c r="AL894" s="28"/>
      <c r="AM894" s="96">
        <f ca="1">(AM886/(N_9*AM$27*AM888*0.667))*SQRT(M*'Valve Sizing'!$W$6*'Valve Sizing'!$G$8/AM895)</f>
        <v>296.84759634601977</v>
      </c>
      <c r="AN894" s="111"/>
      <c r="AO894" s="28"/>
      <c r="AP894" s="96">
        <f ca="1">(AP886/(N_9*AP$27*AP888*0.667))*SQRT(M*'Valve Sizing'!$W$6*'Valve Sizing'!$G$8/AP895)</f>
        <v>427.79342090221047</v>
      </c>
      <c r="AQ894" s="111"/>
      <c r="AR894" s="28"/>
      <c r="AS894" s="96">
        <f ca="1">(AS886/(N_9*AS$27*AS888*0.667))*SQRT(M*'Valve Sizing'!$W$6*'Valve Sizing'!$G$8/AS895)</f>
        <v>1223.8047446995663</v>
      </c>
      <c r="AT894" s="111"/>
      <c r="AU894" s="28"/>
    </row>
    <row r="895" spans="15:47" ht="15.6" x14ac:dyDescent="0.35">
      <c r="O895" s="2" t="s">
        <v>68</v>
      </c>
      <c r="P895" s="143">
        <v>10</v>
      </c>
      <c r="Q895" s="2"/>
      <c r="R895" s="96">
        <f ca="1">F_GAMMA*R$29</f>
        <v>0.64002969751372984</v>
      </c>
      <c r="S895" s="107"/>
      <c r="T895" s="1"/>
      <c r="U895" s="96">
        <f ca="1">F_GAMMA*U$29</f>
        <v>0.64017842058782071</v>
      </c>
      <c r="V895" s="111"/>
      <c r="W895" s="28"/>
      <c r="X895" s="96">
        <f ca="1">F_GAMMA*X$29</f>
        <v>0.63413873724904268</v>
      </c>
      <c r="Y895" s="111"/>
      <c r="Z895" s="28"/>
      <c r="AA895" s="96">
        <f ca="1">F_GAMMA*AA$29</f>
        <v>0.62532411750377137</v>
      </c>
      <c r="AB895" s="111"/>
      <c r="AC895" s="28"/>
      <c r="AD895" s="96">
        <f ca="1">F_GAMMA*AD$29</f>
        <v>0.60651359509139569</v>
      </c>
      <c r="AE895" s="111"/>
      <c r="AF895" s="28"/>
      <c r="AG895" s="96">
        <f ca="1">F_GAMMA*AG$29</f>
        <v>0.57217930198481592</v>
      </c>
      <c r="AH895" s="111"/>
      <c r="AI895" s="28"/>
      <c r="AJ895" s="96">
        <f ca="1">F_GAMMA*AJ$29</f>
        <v>0.53183282018848232</v>
      </c>
      <c r="AK895" s="111"/>
      <c r="AL895" s="28"/>
      <c r="AM895" s="96">
        <f ca="1">F_GAMMA*AM$29</f>
        <v>0.47566512503094399</v>
      </c>
      <c r="AN895" s="111"/>
      <c r="AO895" s="28"/>
      <c r="AP895" s="96">
        <f ca="1">F_GAMMA*AP$29</f>
        <v>0.59054158265645496</v>
      </c>
      <c r="AQ895" s="111"/>
      <c r="AR895" s="28"/>
      <c r="AS895" s="96">
        <f ca="1">F_GAMMA*AS$29</f>
        <v>0.3766899554102966</v>
      </c>
      <c r="AT895" s="111"/>
      <c r="AU895" s="28"/>
    </row>
    <row r="896" spans="15:47" x14ac:dyDescent="0.25">
      <c r="O896" s="2" t="s">
        <v>145</v>
      </c>
      <c r="P896" s="12"/>
      <c r="Q896" s="2"/>
      <c r="R896" s="96">
        <f ca="1">IF(R891&lt;R895,R893,R894)</f>
        <v>0.43063314475964937</v>
      </c>
      <c r="S896" s="116"/>
      <c r="T896" s="1"/>
      <c r="U896" s="96">
        <f ca="1">IF(U891&lt;U895,U893,U894)</f>
        <v>8.694260472870889</v>
      </c>
      <c r="V896" s="111"/>
      <c r="W896" s="28"/>
      <c r="X896" s="96">
        <f ca="1">IF(X891&lt;X895,X893,X894)</f>
        <v>21.539321388947471</v>
      </c>
      <c r="Y896" s="111"/>
      <c r="Z896" s="28"/>
      <c r="AA896" s="96">
        <f ca="1">IF(AA891&lt;AA895,AA893,AA894)</f>
        <v>43.414483286273835</v>
      </c>
      <c r="AB896" s="111"/>
      <c r="AC896" s="28"/>
      <c r="AD896" s="96">
        <f ca="1">IF(AD891&lt;AD895,AD893,AD894)</f>
        <v>79.370290680068436</v>
      </c>
      <c r="AE896" s="111"/>
      <c r="AF896" s="28"/>
      <c r="AG896" s="96">
        <f ca="1">IF(AG891&lt;AG895,AG893,AG894)</f>
        <v>137.88527559058633</v>
      </c>
      <c r="AH896" s="111"/>
      <c r="AI896" s="28"/>
      <c r="AJ896" s="96">
        <f ca="1">IF(AJ891&lt;AJ895,AJ893,AJ894)</f>
        <v>264.91118217796674</v>
      </c>
      <c r="AK896" s="111"/>
      <c r="AL896" s="28"/>
      <c r="AM896" s="96" t="e">
        <f ca="1">IF(AM891&lt;AM895,AM893,AM894)</f>
        <v>#NUM!</v>
      </c>
      <c r="AN896" s="111"/>
      <c r="AO896" s="28"/>
      <c r="AP896" s="96" t="e">
        <f ca="1">IF(AP891&lt;AP895,AP893,AP894)</f>
        <v>#NUM!</v>
      </c>
      <c r="AQ896" s="111"/>
      <c r="AR896" s="28"/>
      <c r="AS896" s="96" t="e">
        <f ca="1">IF(AS891&lt;AS895,AS893,AS894)</f>
        <v>#NUM!</v>
      </c>
      <c r="AT896" s="111"/>
      <c r="AU896" s="28"/>
    </row>
    <row r="897" spans="15:47" x14ac:dyDescent="0.25">
      <c r="O897" s="13" t="s">
        <v>143</v>
      </c>
      <c r="P897" s="1"/>
      <c r="Q897" s="1"/>
      <c r="R897" s="113"/>
      <c r="S897" s="106">
        <f ca="1">IF(R890&lt;=0,Q_max,ABS(R$23-R896))</f>
        <v>4.2993668552403514</v>
      </c>
      <c r="T897" s="7">
        <f>R886</f>
        <v>1066.3435368988094</v>
      </c>
      <c r="U897" s="98"/>
      <c r="V897" s="106">
        <f ca="1">IF(U890&lt;=0,Q_max,ABS(U$23-U896))</f>
        <v>2.9057395271291107</v>
      </c>
      <c r="W897" s="9">
        <f ca="1">U886</f>
        <v>21484.325569373756</v>
      </c>
      <c r="X897" s="98"/>
      <c r="Y897" s="106">
        <f ca="1">IF(X890&lt;=0,Q_max,ABS(X$23-X896))</f>
        <v>1.4606786110525292</v>
      </c>
      <c r="Z897" s="9">
        <f ca="1">X886</f>
        <v>52607.221581954422</v>
      </c>
      <c r="AA897" s="98"/>
      <c r="AB897" s="106">
        <f ca="1">IF(AA890&lt;=0,Q_max,ABS(AA$23-AA896))</f>
        <v>4.0144832862738369</v>
      </c>
      <c r="AC897" s="9">
        <f ca="1">AA886</f>
        <v>102465.43988962956</v>
      </c>
      <c r="AD897" s="98"/>
      <c r="AE897" s="106">
        <f ca="1">IF(AD890&lt;=0,Q_max,ABS(AD$23-AD896))</f>
        <v>18.370290680068436</v>
      </c>
      <c r="AF897" s="9">
        <f ca="1">AD886</f>
        <v>171905.13333565887</v>
      </c>
      <c r="AG897" s="98"/>
      <c r="AH897" s="106">
        <f ca="1">IF(AG890&lt;=0,Q_max,ABS(AG$23-AG896))</f>
        <v>49.685275590586329</v>
      </c>
      <c r="AI897" s="9">
        <f ca="1">AG886</f>
        <v>250900.22413597693</v>
      </c>
      <c r="AJ897" s="98"/>
      <c r="AK897" s="106">
        <f ca="1">IF(AJ890&lt;=0,Q_max,ABS(AJ$23-AJ896))</f>
        <v>143.91118217796674</v>
      </c>
      <c r="AL897" s="9">
        <f ca="1">AJ886</f>
        <v>334827.321741049</v>
      </c>
      <c r="AM897" s="98"/>
      <c r="AN897" s="106">
        <f ca="1">IF(AM890&lt;=0,Q_max,ABS(AM$23-AM896))</f>
        <v>236393</v>
      </c>
      <c r="AO897" s="9">
        <f ca="1">AM886</f>
        <v>408552.9630908813</v>
      </c>
      <c r="AP897" s="98"/>
      <c r="AQ897" s="106">
        <f ca="1">IF(AP890&lt;=0,Q_max,ABS(AP$23-AP896))</f>
        <v>236393</v>
      </c>
      <c r="AR897" s="9">
        <f ca="1">AP886</f>
        <v>474317.30677293806</v>
      </c>
      <c r="AS897" s="98"/>
      <c r="AT897" s="106">
        <f ca="1">IF(AS890&lt;=0,Q_max,ABS(AS$23-AS896))</f>
        <v>236393</v>
      </c>
      <c r="AU897" s="9">
        <f ca="1">AS886</f>
        <v>556174.34483967</v>
      </c>
    </row>
    <row r="898" spans="15:47" x14ac:dyDescent="0.25">
      <c r="O898" s="21"/>
      <c r="P898" s="14"/>
      <c r="Q898" s="21"/>
      <c r="R898" s="97"/>
      <c r="S898" s="106"/>
      <c r="T898" s="28"/>
      <c r="U898" s="99"/>
      <c r="V898" s="110"/>
      <c r="W898" s="25"/>
      <c r="X898" s="99"/>
      <c r="Y898" s="110"/>
      <c r="Z898" s="25"/>
      <c r="AA898" s="99"/>
      <c r="AB898" s="110"/>
      <c r="AC898" s="25"/>
      <c r="AD898" s="99"/>
      <c r="AE898" s="110"/>
      <c r="AF898" s="25"/>
      <c r="AG898" s="99"/>
      <c r="AH898" s="110"/>
      <c r="AI898" s="25"/>
      <c r="AJ898" s="99"/>
      <c r="AK898" s="110"/>
      <c r="AL898" s="25"/>
      <c r="AM898" s="99"/>
      <c r="AN898" s="110"/>
      <c r="AO898" s="25"/>
      <c r="AP898" s="99"/>
      <c r="AQ898" s="110"/>
      <c r="AR898" s="25"/>
      <c r="AS898" s="99"/>
      <c r="AT898" s="110"/>
      <c r="AU898" s="25"/>
    </row>
    <row r="899" spans="15:47" x14ac:dyDescent="0.25">
      <c r="O899" s="1"/>
      <c r="P899" s="1"/>
      <c r="Q899" s="1"/>
      <c r="R899" s="98"/>
      <c r="S899" s="108" t="s">
        <v>137</v>
      </c>
      <c r="T899" s="26" t="s">
        <v>146</v>
      </c>
      <c r="U899" s="98"/>
      <c r="V899" s="108" t="s">
        <v>137</v>
      </c>
      <c r="W899" s="26" t="s">
        <v>146</v>
      </c>
      <c r="X899" s="98"/>
      <c r="Y899" s="108" t="s">
        <v>137</v>
      </c>
      <c r="Z899" s="26" t="s">
        <v>146</v>
      </c>
      <c r="AA899" s="98"/>
      <c r="AB899" s="108" t="s">
        <v>137</v>
      </c>
      <c r="AC899" s="26" t="s">
        <v>146</v>
      </c>
      <c r="AD899" s="98"/>
      <c r="AE899" s="108" t="s">
        <v>137</v>
      </c>
      <c r="AF899" s="26" t="s">
        <v>146</v>
      </c>
      <c r="AG899" s="98"/>
      <c r="AH899" s="108" t="s">
        <v>137</v>
      </c>
      <c r="AI899" s="26" t="s">
        <v>146</v>
      </c>
      <c r="AJ899" s="98"/>
      <c r="AK899" s="108" t="s">
        <v>137</v>
      </c>
      <c r="AL899" s="26" t="s">
        <v>146</v>
      </c>
      <c r="AM899" s="98"/>
      <c r="AN899" s="108" t="s">
        <v>137</v>
      </c>
      <c r="AO899" s="26" t="s">
        <v>146</v>
      </c>
      <c r="AP899" s="98"/>
      <c r="AQ899" s="108" t="s">
        <v>137</v>
      </c>
      <c r="AR899" s="26" t="s">
        <v>146</v>
      </c>
      <c r="AS899" s="98"/>
      <c r="AT899" s="108" t="s">
        <v>137</v>
      </c>
      <c r="AU899" s="26" t="s">
        <v>146</v>
      </c>
    </row>
    <row r="900" spans="15:47" ht="13.8" x14ac:dyDescent="0.25">
      <c r="O900" s="20" t="s">
        <v>136</v>
      </c>
      <c r="P900" s="1"/>
      <c r="Q900" s="1"/>
      <c r="R900" s="96">
        <f>R886*1.02</f>
        <v>1087.6704076367855</v>
      </c>
      <c r="S900" s="109" t="s">
        <v>144</v>
      </c>
      <c r="T900" s="23" t="s">
        <v>147</v>
      </c>
      <c r="U900" s="96">
        <f ca="1">U886*1.01</f>
        <v>21699.168825067492</v>
      </c>
      <c r="V900" s="109" t="s">
        <v>144</v>
      </c>
      <c r="W900" s="23" t="s">
        <v>147</v>
      </c>
      <c r="X900" s="96">
        <f ca="1">X886*1.01</f>
        <v>53133.293797773964</v>
      </c>
      <c r="Y900" s="109" t="s">
        <v>144</v>
      </c>
      <c r="Z900" s="23" t="s">
        <v>147</v>
      </c>
      <c r="AA900" s="96">
        <f ca="1">AA886*1.01</f>
        <v>103490.09428852586</v>
      </c>
      <c r="AB900" s="109" t="s">
        <v>144</v>
      </c>
      <c r="AC900" s="23" t="s">
        <v>147</v>
      </c>
      <c r="AD900" s="96">
        <f ca="1">AD886*1.01</f>
        <v>173624.18466901546</v>
      </c>
      <c r="AE900" s="109" t="s">
        <v>144</v>
      </c>
      <c r="AF900" s="23" t="s">
        <v>147</v>
      </c>
      <c r="AG900" s="96">
        <f ca="1">AG886*1.01</f>
        <v>253409.22637733669</v>
      </c>
      <c r="AH900" s="109" t="s">
        <v>144</v>
      </c>
      <c r="AI900" s="23" t="s">
        <v>147</v>
      </c>
      <c r="AJ900" s="96">
        <f ca="1">AJ886*1.01</f>
        <v>338175.59495845949</v>
      </c>
      <c r="AK900" s="109" t="s">
        <v>144</v>
      </c>
      <c r="AL900" s="23" t="s">
        <v>147</v>
      </c>
      <c r="AM900" s="96">
        <f ca="1">AM886*1.01</f>
        <v>412638.4927217901</v>
      </c>
      <c r="AN900" s="109" t="s">
        <v>144</v>
      </c>
      <c r="AO900" s="23" t="s">
        <v>147</v>
      </c>
      <c r="AP900" s="96">
        <f ca="1">AP886*1.01</f>
        <v>479060.47984066745</v>
      </c>
      <c r="AQ900" s="109" t="s">
        <v>144</v>
      </c>
      <c r="AR900" s="23" t="s">
        <v>147</v>
      </c>
      <c r="AS900" s="96">
        <f ca="1">AS886*1.01</f>
        <v>561736.08828806668</v>
      </c>
      <c r="AT900" s="109" t="s">
        <v>144</v>
      </c>
      <c r="AU900" s="23" t="s">
        <v>147</v>
      </c>
    </row>
    <row r="901" spans="15:47" x14ac:dyDescent="0.25">
      <c r="O901" s="1"/>
      <c r="P901" s="1"/>
      <c r="Q901" s="1"/>
      <c r="R901" s="98"/>
      <c r="S901" s="107"/>
      <c r="T901" s="1"/>
      <c r="U901" s="47"/>
      <c r="V901" s="107"/>
      <c r="W901" s="1"/>
      <c r="X901" s="47"/>
      <c r="Y901" s="107"/>
      <c r="Z901" s="1"/>
      <c r="AA901" s="47"/>
      <c r="AB901" s="107"/>
      <c r="AC901" s="1"/>
      <c r="AD901" s="47"/>
      <c r="AE901" s="107"/>
      <c r="AF901" s="1"/>
      <c r="AG901" s="47"/>
      <c r="AH901" s="107"/>
      <c r="AI901" s="1"/>
      <c r="AJ901" s="47"/>
      <c r="AK901" s="107"/>
      <c r="AL901" s="1"/>
      <c r="AM901" s="47"/>
      <c r="AN901" s="107"/>
      <c r="AO901" s="1"/>
      <c r="AP901" s="47"/>
      <c r="AQ901" s="107"/>
      <c r="AR901" s="1"/>
      <c r="AS901" s="47"/>
      <c r="AT901" s="107"/>
      <c r="AU901" s="1"/>
    </row>
    <row r="902" spans="15:47" x14ac:dyDescent="0.25">
      <c r="O902" s="8" t="s">
        <v>132</v>
      </c>
      <c r="P902" s="8"/>
      <c r="Q902" s="8"/>
      <c r="R902" s="96">
        <f>P_1_minQ-(R900^2*R_up)+dpup_minQ</f>
        <v>90.18482491069193</v>
      </c>
      <c r="S902" s="106"/>
      <c r="T902" s="22"/>
      <c r="U902" s="96">
        <f ca="1">P_1_minQ-(U900^2*R_up)+dpup_minQ</f>
        <v>90.099222264350558</v>
      </c>
      <c r="V902" s="107"/>
      <c r="W902" s="1"/>
      <c r="X902" s="96">
        <f ca="1">P_1_minQ-(X900^2*R_up)+dpup_minQ</f>
        <v>89.670491202020756</v>
      </c>
      <c r="Y902" s="107"/>
      <c r="Z902" s="1"/>
      <c r="AA902" s="96">
        <f ca="1">P_1_minQ-(AA900^2*R_up)+dpup_minQ</f>
        <v>88.232989789125526</v>
      </c>
      <c r="AB902" s="107"/>
      <c r="AC902" s="1"/>
      <c r="AD902" s="96">
        <f ca="1">P_1_minQ-(AD900^2*R_up)+dpup_minQ</f>
        <v>84.690720203461979</v>
      </c>
      <c r="AE902" s="107"/>
      <c r="AF902" s="1"/>
      <c r="AG902" s="96">
        <f ca="1">P_1_minQ-(AG900^2*R_up)+dpup_minQ</f>
        <v>78.480930840592691</v>
      </c>
      <c r="AH902" s="107"/>
      <c r="AI902" s="1"/>
      <c r="AJ902" s="96">
        <f ca="1">P_1_minQ-(AJ900^2*R_up)+dpup_minQ</f>
        <v>69.341184601579442</v>
      </c>
      <c r="AK902" s="107"/>
      <c r="AL902" s="1"/>
      <c r="AM902" s="96">
        <f ca="1">P_1_minQ-(AM900^2*R_up)+dpup_minQ</f>
        <v>59.151379369911879</v>
      </c>
      <c r="AN902" s="107"/>
      <c r="AO902" s="1"/>
      <c r="AP902" s="96">
        <f ca="1">P_1_minQ-(AP900^2*R_up)+dpup_minQ</f>
        <v>48.356353996477409</v>
      </c>
      <c r="AQ902" s="107"/>
      <c r="AR902" s="1"/>
      <c r="AS902" s="96">
        <f ca="1">P_1_minQ-(AS900^2*R_up)+dpup_minQ</f>
        <v>32.673077885438055</v>
      </c>
      <c r="AT902" s="107"/>
      <c r="AU902" s="1"/>
    </row>
    <row r="903" spans="15:47" x14ac:dyDescent="0.25">
      <c r="O903" s="8" t="s">
        <v>134</v>
      </c>
      <c r="P903" s="1"/>
      <c r="Q903" s="8"/>
      <c r="R903" s="97">
        <f>P_2_minQ+(R900^2*R_dn)-dpdn_minQ</f>
        <v>60</v>
      </c>
      <c r="S903" s="106"/>
      <c r="T903" s="22"/>
      <c r="U903" s="97">
        <f ca="1">P_2_minQ+(U900^2*R_dn)-dpdn_minQ</f>
        <v>60</v>
      </c>
      <c r="V903" s="107"/>
      <c r="W903" s="1"/>
      <c r="X903" s="97">
        <f ca="1">P_2_minQ+(X900^2*R_dn)-dpdn_minQ</f>
        <v>60</v>
      </c>
      <c r="Y903" s="107"/>
      <c r="Z903" s="1"/>
      <c r="AA903" s="97">
        <f ca="1">P_2_minQ+(AA900^2*R_dn)-dpdn_minQ</f>
        <v>60</v>
      </c>
      <c r="AB903" s="107"/>
      <c r="AC903" s="1"/>
      <c r="AD903" s="97">
        <f ca="1">P_2_minQ+(AD900^2*R_dn)-dpdn_minQ</f>
        <v>60</v>
      </c>
      <c r="AE903" s="107"/>
      <c r="AF903" s="1"/>
      <c r="AG903" s="97">
        <f ca="1">P_2_minQ+(AG900^2*R_dn)-dpdn_minQ</f>
        <v>60</v>
      </c>
      <c r="AH903" s="107"/>
      <c r="AI903" s="1"/>
      <c r="AJ903" s="97">
        <f ca="1">P_2_minQ+(AJ900^2*R_dn)-dpdn_minQ</f>
        <v>60</v>
      </c>
      <c r="AK903" s="107"/>
      <c r="AL903" s="1"/>
      <c r="AM903" s="97">
        <f ca="1">P_2_minQ+(AM900^2*R_dn)-dpdn_minQ</f>
        <v>60</v>
      </c>
      <c r="AN903" s="107"/>
      <c r="AO903" s="1"/>
      <c r="AP903" s="97">
        <f ca="1">P_2_minQ+(AP900^2*R_dn)-dpdn_minQ</f>
        <v>60</v>
      </c>
      <c r="AQ903" s="107"/>
      <c r="AR903" s="1"/>
      <c r="AS903" s="97">
        <f ca="1">P_2_minQ+(AS900^2*R_dn)-dpdn_minQ</f>
        <v>60</v>
      </c>
      <c r="AT903" s="107"/>
      <c r="AU903" s="1"/>
    </row>
    <row r="904" spans="15:47" x14ac:dyDescent="0.25">
      <c r="O904" s="8" t="s">
        <v>138</v>
      </c>
      <c r="P904" s="1"/>
      <c r="Q904" s="8"/>
      <c r="R904" s="97">
        <f>R902-R903</f>
        <v>30.18482491069193</v>
      </c>
      <c r="S904" s="106"/>
      <c r="T904" s="22"/>
      <c r="U904" s="97">
        <f ca="1">U902-U903</f>
        <v>30.099222264350558</v>
      </c>
      <c r="V904" s="110"/>
      <c r="W904" s="25"/>
      <c r="X904" s="97">
        <f ca="1">X902-X903</f>
        <v>29.670491202020756</v>
      </c>
      <c r="Y904" s="110"/>
      <c r="Z904" s="25"/>
      <c r="AA904" s="97">
        <f ca="1">AA902-AA903</f>
        <v>28.232989789125526</v>
      </c>
      <c r="AB904" s="110"/>
      <c r="AC904" s="25"/>
      <c r="AD904" s="97">
        <f ca="1">AD902-AD903</f>
        <v>24.690720203461979</v>
      </c>
      <c r="AE904" s="110"/>
      <c r="AF904" s="25"/>
      <c r="AG904" s="97">
        <f ca="1">AG902-AG903</f>
        <v>18.480930840592691</v>
      </c>
      <c r="AH904" s="110"/>
      <c r="AI904" s="25"/>
      <c r="AJ904" s="97">
        <f ca="1">AJ902-AJ903</f>
        <v>9.3411846015794424</v>
      </c>
      <c r="AK904" s="110"/>
      <c r="AL904" s="25"/>
      <c r="AM904" s="97">
        <f ca="1">AM902-AM903</f>
        <v>-0.84862063008812072</v>
      </c>
      <c r="AN904" s="110"/>
      <c r="AO904" s="25"/>
      <c r="AP904" s="97">
        <f ca="1">AP902-AP903</f>
        <v>-11.643646003522591</v>
      </c>
      <c r="AQ904" s="110"/>
      <c r="AR904" s="25"/>
      <c r="AS904" s="97">
        <f ca="1">AS902-AS903</f>
        <v>-27.326922114561945</v>
      </c>
      <c r="AT904" s="110"/>
      <c r="AU904" s="25"/>
    </row>
    <row r="905" spans="15:47" ht="14.4" x14ac:dyDescent="0.3">
      <c r="O905" s="2" t="s">
        <v>140</v>
      </c>
      <c r="P905" s="11"/>
      <c r="Q905" s="2"/>
      <c r="R905" s="96">
        <f>R904/R902</f>
        <v>0.33469960096483309</v>
      </c>
      <c r="S905" s="106"/>
      <c r="T905" s="22"/>
      <c r="U905" s="96">
        <f ca="1">U904/U902</f>
        <v>0.33406750366878446</v>
      </c>
      <c r="V905" s="111"/>
      <c r="W905" s="28"/>
      <c r="X905" s="96">
        <f ca="1">X904/X902</f>
        <v>0.33088355828424548</v>
      </c>
      <c r="Y905" s="111"/>
      <c r="Z905" s="28"/>
      <c r="AA905" s="96">
        <f ca="1">AA904/AA902</f>
        <v>0.31998224084440086</v>
      </c>
      <c r="AB905" s="111"/>
      <c r="AC905" s="28"/>
      <c r="AD905" s="96">
        <f ca="1">AD904/AD902</f>
        <v>0.29153985400224136</v>
      </c>
      <c r="AE905" s="111"/>
      <c r="AF905" s="28"/>
      <c r="AG905" s="96">
        <f ca="1">AG904/AG902</f>
        <v>0.2354830739473569</v>
      </c>
      <c r="AH905" s="111"/>
      <c r="AI905" s="28"/>
      <c r="AJ905" s="96">
        <f ca="1">AJ904/AJ902</f>
        <v>0.13471336919396487</v>
      </c>
      <c r="AK905" s="111"/>
      <c r="AL905" s="28"/>
      <c r="AM905" s="96">
        <f ca="1">AM904/AM902</f>
        <v>-1.434659071568131E-2</v>
      </c>
      <c r="AN905" s="111"/>
      <c r="AO905" s="28"/>
      <c r="AP905" s="96">
        <f ca="1">AP904/AP902</f>
        <v>-0.24078833578666392</v>
      </c>
      <c r="AQ905" s="111"/>
      <c r="AR905" s="28"/>
      <c r="AS905" s="96">
        <f ca="1">AS904/AS902</f>
        <v>-0.8363742837567556</v>
      </c>
      <c r="AT905" s="111"/>
      <c r="AU905" s="28"/>
    </row>
    <row r="906" spans="15:47" x14ac:dyDescent="0.25">
      <c r="O906" s="2" t="s">
        <v>21</v>
      </c>
      <c r="P906" s="8">
        <v>12</v>
      </c>
      <c r="Q906" s="2"/>
      <c r="R906" s="96">
        <f ca="1">1-R905/(3*F_GAMMA*R$29)</f>
        <v>0.82568537977481737</v>
      </c>
      <c r="S906" s="106"/>
      <c r="T906" s="22"/>
      <c r="U906" s="96">
        <f ca="1">1-U905/(3*F_GAMMA*U$29)</f>
        <v>0.82605500126978193</v>
      </c>
      <c r="V906" s="111"/>
      <c r="W906" s="28"/>
      <c r="X906" s="96">
        <f ca="1">1-X905/(3*F_GAMMA*X$29)</f>
        <v>0.82607194143894991</v>
      </c>
      <c r="Y906" s="111"/>
      <c r="Z906" s="28"/>
      <c r="AA906" s="96">
        <f ca="1">1-AA905/(3*F_GAMMA*AA$29)</f>
        <v>0.82943125978586563</v>
      </c>
      <c r="AB906" s="111"/>
      <c r="AC906" s="28"/>
      <c r="AD906" s="96">
        <f ca="1">1-AD905/(3*F_GAMMA*AD$29)</f>
        <v>0.83977283919013157</v>
      </c>
      <c r="AE906" s="111"/>
      <c r="AF906" s="28"/>
      <c r="AG906" s="96">
        <f ca="1">1-AG905/(3*F_GAMMA*AG$29)</f>
        <v>0.86281510409382944</v>
      </c>
      <c r="AH906" s="111"/>
      <c r="AI906" s="28"/>
      <c r="AJ906" s="96">
        <f ca="1">1-AJ905/(3*F_GAMMA*AJ$29)</f>
        <v>0.91556659406225793</v>
      </c>
      <c r="AK906" s="111"/>
      <c r="AL906" s="28"/>
      <c r="AM906" s="96">
        <f ca="1">1-AM905/(3*F_GAMMA*AM$29)</f>
        <v>1.0100537051248313</v>
      </c>
      <c r="AN906" s="111"/>
      <c r="AO906" s="28"/>
      <c r="AP906" s="96">
        <f ca="1">1-AP905/(3*F_GAMMA*AP$29)</f>
        <v>1.13591384747964</v>
      </c>
      <c r="AQ906" s="111"/>
      <c r="AR906" s="28"/>
      <c r="AS906" s="96">
        <f ca="1">1-AS905/(3*F_GAMMA*AS$29)</f>
        <v>1.7401084735993413</v>
      </c>
      <c r="AT906" s="111"/>
      <c r="AU906" s="28"/>
    </row>
    <row r="907" spans="15:47" x14ac:dyDescent="0.25">
      <c r="O907" s="2" t="s">
        <v>57</v>
      </c>
      <c r="P907" s="143">
        <v>7</v>
      </c>
      <c r="Q907" s="2"/>
      <c r="R907" s="96">
        <f ca="1">(R900/(N_9*R$27*R902*R906))*SQRT(M*'Valve Sizing'!$W$6*'Valve Sizing'!$G$8/R905)</f>
        <v>0.43924587185145175</v>
      </c>
      <c r="S907" s="107"/>
      <c r="T907" s="22"/>
      <c r="U907" s="96">
        <f ca="1">(U900/(N_9*U$27*U902*U906))*SQRT(M*'Valve Sizing'!$W$6*'Valve Sizing'!$G$8/U905)</f>
        <v>8.7814629606660901</v>
      </c>
      <c r="V907" s="111"/>
      <c r="W907" s="28"/>
      <c r="X907" s="96">
        <f ca="1">(X900/(N_9*X$27*X902*X906))*SQRT(M*'Valve Sizing'!$W$6*'Valve Sizing'!$G$8/X905)</f>
        <v>21.758613801382282</v>
      </c>
      <c r="Y907" s="111"/>
      <c r="Z907" s="28"/>
      <c r="AA907" s="96">
        <f ca="1">(AA900/(N_9*AA$27*AA902*AA906))*SQRT(M*'Valve Sizing'!$W$6*'Valve Sizing'!$G$8/AA905)</f>
        <v>43.879691678331397</v>
      </c>
      <c r="AB907" s="111"/>
      <c r="AC907" s="28"/>
      <c r="AD907" s="96">
        <f ca="1">(AD900/(N_9*AD$27*AD902*AD906))*SQRT(M*'Valve Sizing'!$W$6*'Valve Sizing'!$G$8/AD905)</f>
        <v>80.343293221224329</v>
      </c>
      <c r="AE907" s="111"/>
      <c r="AF907" s="28"/>
      <c r="AG907" s="96">
        <f ca="1">(AG900/(N_9*AG$27*AG902*AG906))*SQRT(M*'Valve Sizing'!$W$6*'Valve Sizing'!$G$8/AG905)</f>
        <v>140.12383988836442</v>
      </c>
      <c r="AH907" s="111"/>
      <c r="AI907" s="28"/>
      <c r="AJ907" s="96">
        <f ca="1">(AJ900/(N_9*AJ$27*AJ902*AJ906))*SQRT(M*'Valve Sizing'!$W$6*'Valve Sizing'!$G$8/AJ905)</f>
        <v>273.2310791848081</v>
      </c>
      <c r="AK907" s="111"/>
      <c r="AL907" s="28"/>
      <c r="AM907" s="96" t="e">
        <f ca="1">(AM900/(N_9*AM$27*AM902*AM906))*SQRT(M*'Valve Sizing'!$W$6*'Valve Sizing'!$G$8/AM905)</f>
        <v>#NUM!</v>
      </c>
      <c r="AN907" s="111"/>
      <c r="AO907" s="28"/>
      <c r="AP907" s="96" t="e">
        <f ca="1">(AP900/(N_9*AP$27*AP902*AP906))*SQRT(M*'Valve Sizing'!$W$6*'Valve Sizing'!$G$8/AP905)</f>
        <v>#NUM!</v>
      </c>
      <c r="AQ907" s="111"/>
      <c r="AR907" s="28"/>
      <c r="AS907" s="96" t="e">
        <f ca="1">(AS900/(N_9*AS$27*AS902*AS906))*SQRT(M*'Valve Sizing'!$W$6*'Valve Sizing'!$G$8/AS905)</f>
        <v>#NUM!</v>
      </c>
      <c r="AT907" s="111"/>
      <c r="AU907" s="28"/>
    </row>
    <row r="908" spans="15:47" x14ac:dyDescent="0.25">
      <c r="O908" s="2" t="s">
        <v>59</v>
      </c>
      <c r="P908" s="143">
        <v>7</v>
      </c>
      <c r="Q908" s="2"/>
      <c r="R908" s="96">
        <f ca="1">(R900/(N_9*R$27*R902*0.667))*SQRT(M*'Valve Sizing'!$W$6*'Valve Sizing'!$G$8/R909)</f>
        <v>0.39320948356464069</v>
      </c>
      <c r="S908" s="107"/>
      <c r="T908" s="22"/>
      <c r="U908" s="96">
        <f ca="1">(U900/(N_9*U$27*U902*0.667))*SQRT(M*'Valve Sizing'!$W$6*'Valve Sizing'!$G$8/U909)</f>
        <v>7.8562737051204614</v>
      </c>
      <c r="V908" s="111"/>
      <c r="W908" s="28"/>
      <c r="X908" s="96">
        <f ca="1">(X900/(N_9*X$27*X902*0.667))*SQRT(M*'Valve Sizing'!$W$6*'Valve Sizing'!$G$8/X909)</f>
        <v>19.46564115515957</v>
      </c>
      <c r="Y908" s="111"/>
      <c r="Z908" s="28"/>
      <c r="AA908" s="96">
        <f ca="1">(AA900/(N_9*AA$27*AA902*0.667))*SQRT(M*'Valve Sizing'!$W$6*'Valve Sizing'!$G$8/AA909)</f>
        <v>39.032689857850443</v>
      </c>
      <c r="AB908" s="111"/>
      <c r="AC908" s="28"/>
      <c r="AD908" s="96">
        <f ca="1">(AD900/(N_9*AD$27*AD902*0.667))*SQRT(M*'Valve Sizing'!$W$6*'Valve Sizing'!$G$8/AD909)</f>
        <v>70.131691762898512</v>
      </c>
      <c r="AE908" s="111"/>
      <c r="AF908" s="28"/>
      <c r="AG908" s="96">
        <f ca="1">(AG900/(N_9*AG$27*AG902*0.667))*SQRT(M*'Valve Sizing'!$W$6*'Valve Sizing'!$G$8/AG909)</f>
        <v>116.28339731899641</v>
      </c>
      <c r="AH908" s="111"/>
      <c r="AI908" s="28"/>
      <c r="AJ908" s="96">
        <f ca="1">(AJ900/(N_9*AJ$27*AJ902*0.667))*SQRT(M*'Valve Sizing'!$W$6*'Valve Sizing'!$G$8/AJ909)</f>
        <v>188.76087572755011</v>
      </c>
      <c r="AK908" s="111"/>
      <c r="AL908" s="28"/>
      <c r="AM908" s="96">
        <f ca="1">(AM900/(N_9*AM$27*AM902*0.667))*SQRT(M*'Valve Sizing'!$W$6*'Valve Sizing'!$G$8/AM909)</f>
        <v>302.91546323938235</v>
      </c>
      <c r="AN908" s="111"/>
      <c r="AO908" s="28"/>
      <c r="AP908" s="96">
        <f ca="1">(AP900/(N_9*AP$27*AP902*0.667))*SQRT(M*'Valve Sizing'!$W$6*'Valve Sizing'!$G$8/AP909)</f>
        <v>439.43562106243252</v>
      </c>
      <c r="AQ908" s="111"/>
      <c r="AR908" s="28"/>
      <c r="AS908" s="96">
        <f ca="1">(AS900/(N_9*AS$27*AS902*0.667))*SQRT(M*'Valve Sizing'!$W$6*'Valve Sizing'!$G$8/AS909)</f>
        <v>1278.9129375738348</v>
      </c>
      <c r="AT908" s="111"/>
      <c r="AU908" s="28"/>
    </row>
    <row r="909" spans="15:47" ht="15.6" x14ac:dyDescent="0.35">
      <c r="O909" s="2" t="s">
        <v>68</v>
      </c>
      <c r="P909" s="143">
        <v>10</v>
      </c>
      <c r="Q909" s="2"/>
      <c r="R909" s="96">
        <f ca="1">F_GAMMA*R$29</f>
        <v>0.64002969751372984</v>
      </c>
      <c r="S909" s="107"/>
      <c r="T909" s="1"/>
      <c r="U909" s="96">
        <f ca="1">F_GAMMA*U$29</f>
        <v>0.64017842058782071</v>
      </c>
      <c r="V909" s="111"/>
      <c r="W909" s="28"/>
      <c r="X909" s="96">
        <f ca="1">F_GAMMA*X$29</f>
        <v>0.63413873724904268</v>
      </c>
      <c r="Y909" s="111"/>
      <c r="Z909" s="28"/>
      <c r="AA909" s="96">
        <f ca="1">F_GAMMA*AA$29</f>
        <v>0.62532411750377137</v>
      </c>
      <c r="AB909" s="111"/>
      <c r="AC909" s="28"/>
      <c r="AD909" s="96">
        <f ca="1">F_GAMMA*AD$29</f>
        <v>0.60651359509139569</v>
      </c>
      <c r="AE909" s="111"/>
      <c r="AF909" s="28"/>
      <c r="AG909" s="96">
        <f ca="1">F_GAMMA*AG$29</f>
        <v>0.57217930198481592</v>
      </c>
      <c r="AH909" s="111"/>
      <c r="AI909" s="28"/>
      <c r="AJ909" s="96">
        <f ca="1">F_GAMMA*AJ$29</f>
        <v>0.53183282018848232</v>
      </c>
      <c r="AK909" s="111"/>
      <c r="AL909" s="28"/>
      <c r="AM909" s="96">
        <f ca="1">F_GAMMA*AM$29</f>
        <v>0.47566512503094399</v>
      </c>
      <c r="AN909" s="111"/>
      <c r="AO909" s="28"/>
      <c r="AP909" s="96">
        <f ca="1">F_GAMMA*AP$29</f>
        <v>0.59054158265645496</v>
      </c>
      <c r="AQ909" s="111"/>
      <c r="AR909" s="28"/>
      <c r="AS909" s="96">
        <f ca="1">F_GAMMA*AS$29</f>
        <v>0.3766899554102966</v>
      </c>
      <c r="AT909" s="111"/>
      <c r="AU909" s="28"/>
    </row>
    <row r="910" spans="15:47" x14ac:dyDescent="0.25">
      <c r="O910" s="2" t="s">
        <v>145</v>
      </c>
      <c r="P910" s="12"/>
      <c r="Q910" s="2"/>
      <c r="R910" s="96">
        <f ca="1">IF(R905&lt;R909,R907,R908)</f>
        <v>0.43924587185145175</v>
      </c>
      <c r="S910" s="116"/>
      <c r="T910" s="1"/>
      <c r="U910" s="96">
        <f ca="1">IF(U905&lt;U909,U907,U908)</f>
        <v>8.7814629606660901</v>
      </c>
      <c r="V910" s="111"/>
      <c r="W910" s="28"/>
      <c r="X910" s="96">
        <f ca="1">IF(X905&lt;X909,X907,X908)</f>
        <v>21.758613801382282</v>
      </c>
      <c r="Y910" s="111"/>
      <c r="Z910" s="28"/>
      <c r="AA910" s="96">
        <f ca="1">IF(AA905&lt;AA909,AA907,AA908)</f>
        <v>43.879691678331397</v>
      </c>
      <c r="AB910" s="111"/>
      <c r="AC910" s="28"/>
      <c r="AD910" s="96">
        <f ca="1">IF(AD905&lt;AD909,AD907,AD908)</f>
        <v>80.343293221224329</v>
      </c>
      <c r="AE910" s="111"/>
      <c r="AF910" s="28"/>
      <c r="AG910" s="96">
        <f ca="1">IF(AG905&lt;AG909,AG907,AG908)</f>
        <v>140.12383988836442</v>
      </c>
      <c r="AH910" s="111"/>
      <c r="AI910" s="28"/>
      <c r="AJ910" s="96">
        <f ca="1">IF(AJ905&lt;AJ909,AJ907,AJ908)</f>
        <v>273.2310791848081</v>
      </c>
      <c r="AK910" s="111"/>
      <c r="AL910" s="28"/>
      <c r="AM910" s="96" t="e">
        <f ca="1">IF(AM905&lt;AM909,AM907,AM908)</f>
        <v>#NUM!</v>
      </c>
      <c r="AN910" s="111"/>
      <c r="AO910" s="28"/>
      <c r="AP910" s="96" t="e">
        <f ca="1">IF(AP905&lt;AP909,AP907,AP908)</f>
        <v>#NUM!</v>
      </c>
      <c r="AQ910" s="111"/>
      <c r="AR910" s="28"/>
      <c r="AS910" s="96" t="e">
        <f ca="1">IF(AS905&lt;AS909,AS907,AS908)</f>
        <v>#NUM!</v>
      </c>
      <c r="AT910" s="111"/>
      <c r="AU910" s="28"/>
    </row>
    <row r="911" spans="15:47" x14ac:dyDescent="0.25">
      <c r="O911" s="13" t="s">
        <v>143</v>
      </c>
      <c r="P911" s="1"/>
      <c r="Q911" s="1"/>
      <c r="R911" s="113"/>
      <c r="S911" s="106">
        <f ca="1">IF(R904&lt;=0,Q_max,ABS(R$23-R910))</f>
        <v>4.2907541281485484</v>
      </c>
      <c r="T911" s="7">
        <f>R900</f>
        <v>1087.6704076367855</v>
      </c>
      <c r="U911" s="98"/>
      <c r="V911" s="106">
        <f ca="1">IF(U904&lt;=0,Q_max,ABS(U$23-U910))</f>
        <v>2.8185370393339095</v>
      </c>
      <c r="W911" s="9">
        <f ca="1">U900</f>
        <v>21699.168825067492</v>
      </c>
      <c r="X911" s="98"/>
      <c r="Y911" s="106">
        <f ca="1">IF(X904&lt;=0,Q_max,ABS(X$23-X910))</f>
        <v>1.2413861986177182</v>
      </c>
      <c r="Z911" s="9">
        <f ca="1">X900</f>
        <v>53133.293797773964</v>
      </c>
      <c r="AA911" s="98"/>
      <c r="AB911" s="106">
        <f ca="1">IF(AA904&lt;=0,Q_max,ABS(AA$23-AA910))</f>
        <v>4.4796916783313989</v>
      </c>
      <c r="AC911" s="9">
        <f ca="1">AA900</f>
        <v>103490.09428852586</v>
      </c>
      <c r="AD911" s="98"/>
      <c r="AE911" s="106">
        <f ca="1">IF(AD904&lt;=0,Q_max,ABS(AD$23-AD910))</f>
        <v>19.343293221224329</v>
      </c>
      <c r="AF911" s="9">
        <f ca="1">AD900</f>
        <v>173624.18466901546</v>
      </c>
      <c r="AG911" s="98"/>
      <c r="AH911" s="106">
        <f ca="1">IF(AG904&lt;=0,Q_max,ABS(AG$23-AG910))</f>
        <v>51.923839888364412</v>
      </c>
      <c r="AI911" s="9">
        <f ca="1">AG900</f>
        <v>253409.22637733669</v>
      </c>
      <c r="AJ911" s="98"/>
      <c r="AK911" s="106">
        <f ca="1">IF(AJ904&lt;=0,Q_max,ABS(AJ$23-AJ910))</f>
        <v>152.2310791848081</v>
      </c>
      <c r="AL911" s="9">
        <f ca="1">AJ900</f>
        <v>338175.59495845949</v>
      </c>
      <c r="AM911" s="98"/>
      <c r="AN911" s="106">
        <f ca="1">IF(AM904&lt;=0,Q_max,ABS(AM$23-AM910))</f>
        <v>236393</v>
      </c>
      <c r="AO911" s="9">
        <f ca="1">AM900</f>
        <v>412638.4927217901</v>
      </c>
      <c r="AP911" s="98"/>
      <c r="AQ911" s="106">
        <f ca="1">IF(AP904&lt;=0,Q_max,ABS(AP$23-AP910))</f>
        <v>236393</v>
      </c>
      <c r="AR911" s="9">
        <f ca="1">AP900</f>
        <v>479060.47984066745</v>
      </c>
      <c r="AS911" s="98"/>
      <c r="AT911" s="106">
        <f ca="1">IF(AS904&lt;=0,Q_max,ABS(AS$23-AS910))</f>
        <v>236393</v>
      </c>
      <c r="AU911" s="9">
        <f ca="1">AS900</f>
        <v>561736.08828806668</v>
      </c>
    </row>
    <row r="912" spans="15:47" x14ac:dyDescent="0.25">
      <c r="O912" s="21"/>
      <c r="P912" s="14"/>
      <c r="Q912" s="21"/>
      <c r="R912" s="97"/>
      <c r="S912" s="106"/>
      <c r="T912" s="28"/>
      <c r="U912" s="97"/>
      <c r="V912" s="111"/>
      <c r="W912" s="28"/>
      <c r="X912" s="97"/>
      <c r="Y912" s="111"/>
      <c r="Z912" s="28"/>
      <c r="AA912" s="97"/>
      <c r="AB912" s="111"/>
      <c r="AC912" s="28"/>
      <c r="AD912" s="97"/>
      <c r="AE912" s="111"/>
      <c r="AF912" s="28"/>
      <c r="AG912" s="97"/>
      <c r="AH912" s="111"/>
      <c r="AI912" s="28"/>
      <c r="AJ912" s="97"/>
      <c r="AK912" s="111"/>
      <c r="AL912" s="28"/>
      <c r="AM912" s="97"/>
      <c r="AN912" s="111"/>
      <c r="AO912" s="28"/>
      <c r="AP912" s="97"/>
      <c r="AQ912" s="111"/>
      <c r="AR912" s="28"/>
      <c r="AS912" s="97"/>
      <c r="AT912" s="111"/>
      <c r="AU912" s="28"/>
    </row>
    <row r="913" spans="15:47" x14ac:dyDescent="0.25">
      <c r="O913" s="1"/>
      <c r="P913" s="1"/>
      <c r="Q913" s="1"/>
      <c r="R913" s="98"/>
      <c r="S913" s="108" t="s">
        <v>137</v>
      </c>
      <c r="T913" s="26" t="s">
        <v>146</v>
      </c>
      <c r="U913" s="98"/>
      <c r="V913" s="108" t="s">
        <v>137</v>
      </c>
      <c r="W913" s="26" t="s">
        <v>146</v>
      </c>
      <c r="X913" s="98"/>
      <c r="Y913" s="108" t="s">
        <v>137</v>
      </c>
      <c r="Z913" s="26" t="s">
        <v>146</v>
      </c>
      <c r="AA913" s="98"/>
      <c r="AB913" s="108" t="s">
        <v>137</v>
      </c>
      <c r="AC913" s="26" t="s">
        <v>146</v>
      </c>
      <c r="AD913" s="98"/>
      <c r="AE913" s="108" t="s">
        <v>137</v>
      </c>
      <c r="AF913" s="26" t="s">
        <v>146</v>
      </c>
      <c r="AG913" s="98"/>
      <c r="AH913" s="108" t="s">
        <v>137</v>
      </c>
      <c r="AI913" s="26" t="s">
        <v>146</v>
      </c>
      <c r="AJ913" s="98"/>
      <c r="AK913" s="108" t="s">
        <v>137</v>
      </c>
      <c r="AL913" s="26" t="s">
        <v>146</v>
      </c>
      <c r="AM913" s="98"/>
      <c r="AN913" s="108" t="s">
        <v>137</v>
      </c>
      <c r="AO913" s="26" t="s">
        <v>146</v>
      </c>
      <c r="AP913" s="98"/>
      <c r="AQ913" s="108" t="s">
        <v>137</v>
      </c>
      <c r="AR913" s="26" t="s">
        <v>146</v>
      </c>
      <c r="AS913" s="98"/>
      <c r="AT913" s="108" t="s">
        <v>137</v>
      </c>
      <c r="AU913" s="26" t="s">
        <v>146</v>
      </c>
    </row>
    <row r="914" spans="15:47" ht="13.8" x14ac:dyDescent="0.25">
      <c r="O914" s="20" t="s">
        <v>136</v>
      </c>
      <c r="P914" s="1"/>
      <c r="Q914" s="1"/>
      <c r="R914" s="96">
        <f>R900*1.02</f>
        <v>1109.4238157895213</v>
      </c>
      <c r="S914" s="109" t="s">
        <v>144</v>
      </c>
      <c r="T914" s="23" t="s">
        <v>147</v>
      </c>
      <c r="U914" s="96">
        <f ca="1">U900*1.01</f>
        <v>21916.160513318169</v>
      </c>
      <c r="V914" s="109" t="s">
        <v>144</v>
      </c>
      <c r="W914" s="23" t="s">
        <v>147</v>
      </c>
      <c r="X914" s="96">
        <f ca="1">X900*1.01</f>
        <v>53664.626735751706</v>
      </c>
      <c r="Y914" s="109" t="s">
        <v>144</v>
      </c>
      <c r="Z914" s="23" t="s">
        <v>147</v>
      </c>
      <c r="AA914" s="96">
        <f ca="1">AA900*1.01</f>
        <v>104524.99523141111</v>
      </c>
      <c r="AB914" s="109" t="s">
        <v>144</v>
      </c>
      <c r="AC914" s="23" t="s">
        <v>147</v>
      </c>
      <c r="AD914" s="96">
        <f ca="1">AD900*1.01</f>
        <v>175360.42651570562</v>
      </c>
      <c r="AE914" s="109" t="s">
        <v>144</v>
      </c>
      <c r="AF914" s="23" t="s">
        <v>147</v>
      </c>
      <c r="AG914" s="96">
        <f ca="1">AG900*1.01</f>
        <v>255943.31864111006</v>
      </c>
      <c r="AH914" s="109" t="s">
        <v>144</v>
      </c>
      <c r="AI914" s="23" t="s">
        <v>147</v>
      </c>
      <c r="AJ914" s="96">
        <f ca="1">AJ900*1.01</f>
        <v>341557.35090804409</v>
      </c>
      <c r="AK914" s="109" t="s">
        <v>144</v>
      </c>
      <c r="AL914" s="23" t="s">
        <v>147</v>
      </c>
      <c r="AM914" s="96">
        <f ca="1">AM900*1.01</f>
        <v>416764.87764900801</v>
      </c>
      <c r="AN914" s="109" t="s">
        <v>144</v>
      </c>
      <c r="AO914" s="23" t="s">
        <v>147</v>
      </c>
      <c r="AP914" s="96">
        <f ca="1">AP900*1.01</f>
        <v>483851.08463907411</v>
      </c>
      <c r="AQ914" s="109" t="s">
        <v>144</v>
      </c>
      <c r="AR914" s="23" t="s">
        <v>147</v>
      </c>
      <c r="AS914" s="96">
        <f ca="1">AS900*1.01</f>
        <v>567353.44917094731</v>
      </c>
      <c r="AT914" s="109" t="s">
        <v>144</v>
      </c>
      <c r="AU914" s="23" t="s">
        <v>147</v>
      </c>
    </row>
    <row r="915" spans="15:47" x14ac:dyDescent="0.25">
      <c r="O915" s="1"/>
      <c r="P915" s="1"/>
      <c r="Q915" s="1"/>
      <c r="R915" s="98"/>
      <c r="S915" s="107"/>
      <c r="T915" s="1"/>
      <c r="U915" s="47"/>
      <c r="V915" s="107"/>
      <c r="W915" s="1"/>
      <c r="X915" s="47"/>
      <c r="Y915" s="107"/>
      <c r="Z915" s="1"/>
      <c r="AA915" s="47"/>
      <c r="AB915" s="107"/>
      <c r="AC915" s="1"/>
      <c r="AD915" s="47"/>
      <c r="AE915" s="107"/>
      <c r="AF915" s="1"/>
      <c r="AG915" s="47"/>
      <c r="AH915" s="107"/>
      <c r="AI915" s="1"/>
      <c r="AJ915" s="47"/>
      <c r="AK915" s="107"/>
      <c r="AL915" s="1"/>
      <c r="AM915" s="47"/>
      <c r="AN915" s="107"/>
      <c r="AO915" s="1"/>
      <c r="AP915" s="47"/>
      <c r="AQ915" s="107"/>
      <c r="AR915" s="1"/>
      <c r="AS915" s="47"/>
      <c r="AT915" s="107"/>
      <c r="AU915" s="1"/>
    </row>
    <row r="916" spans="15:47" x14ac:dyDescent="0.25">
      <c r="O916" s="8" t="s">
        <v>132</v>
      </c>
      <c r="P916" s="8"/>
      <c r="Q916" s="8"/>
      <c r="R916" s="96">
        <f>P_1_minQ-(R914^2*R_up)+dpup_minQ</f>
        <v>90.184816199661554</v>
      </c>
      <c r="S916" s="106"/>
      <c r="T916" s="22"/>
      <c r="U916" s="96">
        <f ca="1">P_1_minQ-(U914^2*R_up)+dpup_minQ</f>
        <v>90.097497317205864</v>
      </c>
      <c r="V916" s="107"/>
      <c r="W916" s="1"/>
      <c r="X916" s="96">
        <f ca="1">P_1_minQ-(X914^2*R_up)+dpup_minQ</f>
        <v>89.660148760523242</v>
      </c>
      <c r="Y916" s="107"/>
      <c r="Z916" s="1"/>
      <c r="AA916" s="96">
        <f ca="1">P_1_minQ-(AA914^2*R_up)+dpup_minQ</f>
        <v>88.193753569228818</v>
      </c>
      <c r="AB916" s="107"/>
      <c r="AC916" s="1"/>
      <c r="AD916" s="96">
        <f ca="1">P_1_minQ-(AD914^2*R_up)+dpup_minQ</f>
        <v>84.58028436489343</v>
      </c>
      <c r="AE916" s="107"/>
      <c r="AF916" s="1"/>
      <c r="AG916" s="96">
        <f ca="1">P_1_minQ-(AG914^2*R_up)+dpup_minQ</f>
        <v>78.245678235830468</v>
      </c>
      <c r="AH916" s="107"/>
      <c r="AI916" s="1"/>
      <c r="AJ916" s="96">
        <f ca="1">P_1_minQ-(AJ914^2*R_up)+dpup_minQ</f>
        <v>68.922223097413053</v>
      </c>
      <c r="AK916" s="107"/>
      <c r="AL916" s="1"/>
      <c r="AM916" s="96">
        <f ca="1">P_1_minQ-(AM914^2*R_up)+dpup_minQ</f>
        <v>58.527602780588978</v>
      </c>
      <c r="AN916" s="107"/>
      <c r="AO916" s="1"/>
      <c r="AP916" s="96">
        <f ca="1">P_1_minQ-(AP914^2*R_up)+dpup_minQ</f>
        <v>47.515597397148468</v>
      </c>
      <c r="AQ916" s="107"/>
      <c r="AR916" s="1"/>
      <c r="AS916" s="96">
        <f ca="1">P_1_minQ-(AS914^2*R_up)+dpup_minQ</f>
        <v>31.51708743627723</v>
      </c>
      <c r="AT916" s="107"/>
      <c r="AU916" s="1"/>
    </row>
    <row r="917" spans="15:47" x14ac:dyDescent="0.25">
      <c r="O917" s="8" t="s">
        <v>134</v>
      </c>
      <c r="P917" s="1"/>
      <c r="Q917" s="8"/>
      <c r="R917" s="97">
        <f>P_2_minQ+(R914^2*R_dn)-dpdn_minQ</f>
        <v>60</v>
      </c>
      <c r="S917" s="106"/>
      <c r="T917" s="22"/>
      <c r="U917" s="97">
        <f ca="1">P_2_minQ+(U914^2*R_dn)-dpdn_minQ</f>
        <v>60</v>
      </c>
      <c r="V917" s="107"/>
      <c r="W917" s="1"/>
      <c r="X917" s="97">
        <f ca="1">P_2_minQ+(X914^2*R_dn)-dpdn_minQ</f>
        <v>60</v>
      </c>
      <c r="Y917" s="107"/>
      <c r="Z917" s="1"/>
      <c r="AA917" s="97">
        <f ca="1">P_2_minQ+(AA914^2*R_dn)-dpdn_minQ</f>
        <v>60</v>
      </c>
      <c r="AB917" s="107"/>
      <c r="AC917" s="1"/>
      <c r="AD917" s="97">
        <f ca="1">P_2_minQ+(AD914^2*R_dn)-dpdn_minQ</f>
        <v>60</v>
      </c>
      <c r="AE917" s="107"/>
      <c r="AF917" s="1"/>
      <c r="AG917" s="97">
        <f ca="1">P_2_minQ+(AG914^2*R_dn)-dpdn_minQ</f>
        <v>60</v>
      </c>
      <c r="AH917" s="107"/>
      <c r="AI917" s="1"/>
      <c r="AJ917" s="97">
        <f ca="1">P_2_minQ+(AJ914^2*R_dn)-dpdn_minQ</f>
        <v>60</v>
      </c>
      <c r="AK917" s="107"/>
      <c r="AL917" s="1"/>
      <c r="AM917" s="97">
        <f ca="1">P_2_minQ+(AM914^2*R_dn)-dpdn_minQ</f>
        <v>60</v>
      </c>
      <c r="AN917" s="107"/>
      <c r="AO917" s="1"/>
      <c r="AP917" s="97">
        <f ca="1">P_2_minQ+(AP914^2*R_dn)-dpdn_minQ</f>
        <v>60</v>
      </c>
      <c r="AQ917" s="107"/>
      <c r="AR917" s="1"/>
      <c r="AS917" s="97">
        <f ca="1">P_2_minQ+(AS914^2*R_dn)-dpdn_minQ</f>
        <v>60</v>
      </c>
      <c r="AT917" s="107"/>
      <c r="AU917" s="1"/>
    </row>
    <row r="918" spans="15:47" x14ac:dyDescent="0.25">
      <c r="O918" s="8" t="s">
        <v>138</v>
      </c>
      <c r="P918" s="1"/>
      <c r="Q918" s="8"/>
      <c r="R918" s="97">
        <f>R916-R917</f>
        <v>30.184816199661554</v>
      </c>
      <c r="S918" s="106"/>
      <c r="T918" s="22"/>
      <c r="U918" s="97">
        <f ca="1">U916-U917</f>
        <v>30.097497317205864</v>
      </c>
      <c r="V918" s="110"/>
      <c r="W918" s="25"/>
      <c r="X918" s="97">
        <f ca="1">X916-X917</f>
        <v>29.660148760523242</v>
      </c>
      <c r="Y918" s="110"/>
      <c r="Z918" s="25"/>
      <c r="AA918" s="97">
        <f ca="1">AA916-AA917</f>
        <v>28.193753569228818</v>
      </c>
      <c r="AB918" s="110"/>
      <c r="AC918" s="25"/>
      <c r="AD918" s="97">
        <f ca="1">AD916-AD917</f>
        <v>24.58028436489343</v>
      </c>
      <c r="AE918" s="110"/>
      <c r="AF918" s="25"/>
      <c r="AG918" s="97">
        <f ca="1">AG916-AG917</f>
        <v>18.245678235830468</v>
      </c>
      <c r="AH918" s="110"/>
      <c r="AI918" s="25"/>
      <c r="AJ918" s="97">
        <f ca="1">AJ916-AJ917</f>
        <v>8.9222230974130525</v>
      </c>
      <c r="AK918" s="110"/>
      <c r="AL918" s="25"/>
      <c r="AM918" s="97">
        <f ca="1">AM916-AM917</f>
        <v>-1.4723972194110218</v>
      </c>
      <c r="AN918" s="110"/>
      <c r="AO918" s="25"/>
      <c r="AP918" s="97">
        <f ca="1">AP916-AP917</f>
        <v>-12.484402602851532</v>
      </c>
      <c r="AQ918" s="110"/>
      <c r="AR918" s="25"/>
      <c r="AS918" s="97">
        <f ca="1">AS916-AS917</f>
        <v>-28.48291256372277</v>
      </c>
      <c r="AT918" s="110"/>
      <c r="AU918" s="25"/>
    </row>
    <row r="919" spans="15:47" ht="14.4" x14ac:dyDescent="0.3">
      <c r="O919" s="2" t="s">
        <v>140</v>
      </c>
      <c r="P919" s="11"/>
      <c r="Q919" s="2"/>
      <c r="R919" s="96">
        <f>R918/R916</f>
        <v>0.33469953670288494</v>
      </c>
      <c r="S919" s="106"/>
      <c r="T919" s="22"/>
      <c r="U919" s="96">
        <f ca="1">U918/U916</f>
        <v>0.33405475416527652</v>
      </c>
      <c r="V919" s="111"/>
      <c r="W919" s="28"/>
      <c r="X919" s="96">
        <f ca="1">X918/X916</f>
        <v>0.33080637463298973</v>
      </c>
      <c r="Y919" s="111"/>
      <c r="Z919" s="28"/>
      <c r="AA919" s="96">
        <f ca="1">AA918/AA916</f>
        <v>0.31967971004996143</v>
      </c>
      <c r="AB919" s="111"/>
      <c r="AC919" s="28"/>
      <c r="AD919" s="96">
        <f ca="1">AD918/AD916</f>
        <v>0.29061482293970531</v>
      </c>
      <c r="AE919" s="111"/>
      <c r="AF919" s="28"/>
      <c r="AG919" s="96">
        <f ca="1">AG918/AG916</f>
        <v>0.23318448567649272</v>
      </c>
      <c r="AH919" s="111"/>
      <c r="AI919" s="28"/>
      <c r="AJ919" s="96">
        <f ca="1">AJ918/AJ916</f>
        <v>0.12945350130106209</v>
      </c>
      <c r="AK919" s="111"/>
      <c r="AL919" s="28"/>
      <c r="AM919" s="96">
        <f ca="1">AM918/AM916</f>
        <v>-2.5157312950793723E-2</v>
      </c>
      <c r="AN919" s="111"/>
      <c r="AO919" s="28"/>
      <c r="AP919" s="96">
        <f ca="1">AP918/AP916</f>
        <v>-0.26274325246304808</v>
      </c>
      <c r="AQ919" s="111"/>
      <c r="AR919" s="28"/>
      <c r="AS919" s="96">
        <f ca="1">AS918/AS916</f>
        <v>-0.90372921106085391</v>
      </c>
      <c r="AT919" s="111"/>
      <c r="AU919" s="28"/>
    </row>
    <row r="920" spans="15:47" x14ac:dyDescent="0.25">
      <c r="O920" s="2" t="s">
        <v>21</v>
      </c>
      <c r="P920" s="8">
        <v>12</v>
      </c>
      <c r="Q920" s="2"/>
      <c r="R920" s="96">
        <f ca="1">1-R919/(3*F_GAMMA*R$29)</f>
        <v>0.82568541324302902</v>
      </c>
      <c r="S920" s="106"/>
      <c r="T920" s="22"/>
      <c r="U920" s="96">
        <f ca="1">1-U919/(3*F_GAMMA*U$29)</f>
        <v>0.82606163978549252</v>
      </c>
      <c r="V920" s="111"/>
      <c r="W920" s="28"/>
      <c r="X920" s="96">
        <f ca="1">1-X919/(3*F_GAMMA*X$29)</f>
        <v>0.82611251281906073</v>
      </c>
      <c r="Y920" s="111"/>
      <c r="Z920" s="28"/>
      <c r="AA920" s="96">
        <f ca="1">1-AA919/(3*F_GAMMA*AA$29)</f>
        <v>0.8295925259122211</v>
      </c>
      <c r="AB920" s="111"/>
      <c r="AC920" s="28"/>
      <c r="AD920" s="96">
        <f ca="1">1-AD919/(3*F_GAMMA*AD$29)</f>
        <v>0.84028122628979018</v>
      </c>
      <c r="AE920" s="111"/>
      <c r="AF920" s="28"/>
      <c r="AG920" s="96">
        <f ca="1">1-AG919/(3*F_GAMMA*AG$29)</f>
        <v>0.86415418799223365</v>
      </c>
      <c r="AH920" s="111"/>
      <c r="AI920" s="28"/>
      <c r="AJ920" s="96">
        <f ca="1">1-AJ919/(3*F_GAMMA*AJ$29)</f>
        <v>0.91886328661502836</v>
      </c>
      <c r="AK920" s="111"/>
      <c r="AL920" s="28"/>
      <c r="AM920" s="96">
        <f ca="1">1-AM919/(3*F_GAMMA*AM$29)</f>
        <v>1.0176295686656709</v>
      </c>
      <c r="AN920" s="111"/>
      <c r="AO920" s="28"/>
      <c r="AP920" s="96">
        <f ca="1">1-AP919/(3*F_GAMMA*AP$29)</f>
        <v>1.1483063796462565</v>
      </c>
      <c r="AQ920" s="111"/>
      <c r="AR920" s="28"/>
      <c r="AS920" s="96">
        <f ca="1">1-AS919/(3*F_GAMMA*AS$29)</f>
        <v>1.7997109188258</v>
      </c>
      <c r="AT920" s="111"/>
      <c r="AU920" s="28"/>
    </row>
    <row r="921" spans="15:47" x14ac:dyDescent="0.25">
      <c r="O921" s="2" t="s">
        <v>57</v>
      </c>
      <c r="P921" s="143">
        <v>7</v>
      </c>
      <c r="Q921" s="2"/>
      <c r="R921" s="96">
        <f ca="1">(R914/(N_9*R$27*R916*R920))*SQRT(M*'Valve Sizing'!$W$6*'Valve Sizing'!$G$8/R919)</f>
        <v>0.44803085741446408</v>
      </c>
      <c r="S921" s="107"/>
      <c r="T921" s="22"/>
      <c r="U921" s="96">
        <f ca="1">(U914/(N_9*U$27*U916*U920))*SQRT(M*'Valve Sizing'!$W$6*'Valve Sizing'!$G$8/U919)</f>
        <v>8.8695453699559472</v>
      </c>
      <c r="V921" s="111"/>
      <c r="W921" s="28"/>
      <c r="X921" s="96">
        <f ca="1">(X914/(N_9*X$27*X916*X920))*SQRT(M*'Valve Sizing'!$W$6*'Valve Sizing'!$G$8/X919)</f>
        <v>21.98021928775816</v>
      </c>
      <c r="Y921" s="111"/>
      <c r="Z921" s="28"/>
      <c r="AA921" s="96">
        <f ca="1">(AA914/(N_9*AA$27*AA916*AA920))*SQRT(M*'Valve Sizing'!$W$6*'Valve Sizing'!$G$8/AA919)</f>
        <v>44.35055712956612</v>
      </c>
      <c r="AB921" s="111"/>
      <c r="AC921" s="28"/>
      <c r="AD921" s="96">
        <f ca="1">(AD914/(N_9*AD$27*AD916*AD920))*SQRT(M*'Valve Sizing'!$W$6*'Valve Sizing'!$G$8/AD919)</f>
        <v>81.332652605050257</v>
      </c>
      <c r="AE921" s="111"/>
      <c r="AF921" s="28"/>
      <c r="AG921" s="96">
        <f ca="1">(AG914/(N_9*AG$27*AG916*AG920))*SQRT(M*'Valve Sizing'!$W$6*'Valve Sizing'!$G$8/AG919)</f>
        <v>142.42745429263567</v>
      </c>
      <c r="AH921" s="111"/>
      <c r="AI921" s="28"/>
      <c r="AJ921" s="96">
        <f ca="1">(AJ914/(N_9*AJ$27*AJ916*AJ920))*SQRT(M*'Valve Sizing'!$W$6*'Valve Sizing'!$G$8/AJ919)</f>
        <v>282.20905075921542</v>
      </c>
      <c r="AK921" s="111"/>
      <c r="AL921" s="28"/>
      <c r="AM921" s="96" t="e">
        <f ca="1">(AM914/(N_9*AM$27*AM916*AM920))*SQRT(M*'Valve Sizing'!$W$6*'Valve Sizing'!$G$8/AM919)</f>
        <v>#NUM!</v>
      </c>
      <c r="AN921" s="111"/>
      <c r="AO921" s="28"/>
      <c r="AP921" s="96" t="e">
        <f ca="1">(AP914/(N_9*AP$27*AP916*AP920))*SQRT(M*'Valve Sizing'!$W$6*'Valve Sizing'!$G$8/AP919)</f>
        <v>#NUM!</v>
      </c>
      <c r="AQ921" s="111"/>
      <c r="AR921" s="28"/>
      <c r="AS921" s="96" t="e">
        <f ca="1">(AS914/(N_9*AS$27*AS916*AS920))*SQRT(M*'Valve Sizing'!$W$6*'Valve Sizing'!$G$8/AS919)</f>
        <v>#NUM!</v>
      </c>
      <c r="AT921" s="111"/>
      <c r="AU921" s="28"/>
    </row>
    <row r="922" spans="15:47" x14ac:dyDescent="0.25">
      <c r="O922" s="2" t="s">
        <v>59</v>
      </c>
      <c r="P922" s="143">
        <v>7</v>
      </c>
      <c r="Q922" s="2"/>
      <c r="R922" s="96">
        <f ca="1">(R914/(N_9*R$27*R916*0.667))*SQRT(M*'Valve Sizing'!$W$6*'Valve Sizing'!$G$8/R923)</f>
        <v>0.40107371197599084</v>
      </c>
      <c r="S922" s="107"/>
      <c r="T922" s="22"/>
      <c r="U922" s="96">
        <f ca="1">(U914/(N_9*U$27*U916*0.667))*SQRT(M*'Valve Sizing'!$W$6*'Valve Sizing'!$G$8/U923)</f>
        <v>7.9349883573066284</v>
      </c>
      <c r="V922" s="111"/>
      <c r="W922" s="28"/>
      <c r="X922" s="96">
        <f ca="1">(X914/(N_9*X$27*X916*0.667))*SQRT(M*'Valve Sizing'!$W$6*'Valve Sizing'!$G$8/X923)</f>
        <v>19.662565413466034</v>
      </c>
      <c r="Y922" s="111"/>
      <c r="Z922" s="28"/>
      <c r="AA922" s="96">
        <f ca="1">(AA914/(N_9*AA$27*AA916*0.667))*SQRT(M*'Valve Sizing'!$W$6*'Valve Sizing'!$G$8/AA923)</f>
        <v>39.440555528641795</v>
      </c>
      <c r="AB922" s="111"/>
      <c r="AC922" s="28"/>
      <c r="AD922" s="96">
        <f ca="1">(AD914/(N_9*AD$27*AD916*0.667))*SQRT(M*'Valve Sizing'!$W$6*'Valve Sizing'!$G$8/AD923)</f>
        <v>70.925494805050548</v>
      </c>
      <c r="AE922" s="111"/>
      <c r="AF922" s="28"/>
      <c r="AG922" s="96">
        <f ca="1">(AG914/(N_9*AG$27*AG916*0.667))*SQRT(M*'Valve Sizing'!$W$6*'Valve Sizing'!$G$8/AG923)</f>
        <v>117.79934385321135</v>
      </c>
      <c r="AH922" s="111"/>
      <c r="AI922" s="28"/>
      <c r="AJ922" s="96">
        <f ca="1">(AJ914/(N_9*AJ$27*AJ916*0.667))*SQRT(M*'Valve Sizing'!$W$6*'Valve Sizing'!$G$8/AJ923)</f>
        <v>191.80739045502204</v>
      </c>
      <c r="AK922" s="111"/>
      <c r="AL922" s="28"/>
      <c r="AM922" s="96">
        <f ca="1">(AM914/(N_9*AM$27*AM916*0.667))*SQRT(M*'Valve Sizing'!$W$6*'Valve Sizing'!$G$8/AM923)</f>
        <v>309.2053201932635</v>
      </c>
      <c r="AN922" s="111"/>
      <c r="AO922" s="28"/>
      <c r="AP922" s="96">
        <f ca="1">(AP914/(N_9*AP$27*AP916*0.667))*SQRT(M*'Valve Sizing'!$W$6*'Valve Sizing'!$G$8/AP923)</f>
        <v>451.68325078350904</v>
      </c>
      <c r="AQ922" s="111"/>
      <c r="AR922" s="28"/>
      <c r="AS922" s="96">
        <f ca="1">(AS914/(N_9*AS$27*AS916*0.667))*SQRT(M*'Valve Sizing'!$W$6*'Valve Sizing'!$G$8/AS923)</f>
        <v>1339.0793906180124</v>
      </c>
      <c r="AT922" s="111"/>
      <c r="AU922" s="28"/>
    </row>
    <row r="923" spans="15:47" ht="15.6" x14ac:dyDescent="0.35">
      <c r="O923" s="2" t="s">
        <v>68</v>
      </c>
      <c r="P923" s="143">
        <v>10</v>
      </c>
      <c r="Q923" s="2"/>
      <c r="R923" s="96">
        <f ca="1">F_GAMMA*R$29</f>
        <v>0.64002969751372984</v>
      </c>
      <c r="S923" s="107"/>
      <c r="T923" s="1"/>
      <c r="U923" s="96">
        <f ca="1">F_GAMMA*U$29</f>
        <v>0.64017842058782071</v>
      </c>
      <c r="V923" s="111"/>
      <c r="W923" s="28"/>
      <c r="X923" s="96">
        <f ca="1">F_GAMMA*X$29</f>
        <v>0.63413873724904268</v>
      </c>
      <c r="Y923" s="111"/>
      <c r="Z923" s="28"/>
      <c r="AA923" s="96">
        <f ca="1">F_GAMMA*AA$29</f>
        <v>0.62532411750377137</v>
      </c>
      <c r="AB923" s="111"/>
      <c r="AC923" s="28"/>
      <c r="AD923" s="96">
        <f ca="1">F_GAMMA*AD$29</f>
        <v>0.60651359509139569</v>
      </c>
      <c r="AE923" s="111"/>
      <c r="AF923" s="28"/>
      <c r="AG923" s="96">
        <f ca="1">F_GAMMA*AG$29</f>
        <v>0.57217930198481592</v>
      </c>
      <c r="AH923" s="111"/>
      <c r="AI923" s="28"/>
      <c r="AJ923" s="96">
        <f ca="1">F_GAMMA*AJ$29</f>
        <v>0.53183282018848232</v>
      </c>
      <c r="AK923" s="111"/>
      <c r="AL923" s="28"/>
      <c r="AM923" s="96">
        <f ca="1">F_GAMMA*AM$29</f>
        <v>0.47566512503094399</v>
      </c>
      <c r="AN923" s="111"/>
      <c r="AO923" s="28"/>
      <c r="AP923" s="96">
        <f ca="1">F_GAMMA*AP$29</f>
        <v>0.59054158265645496</v>
      </c>
      <c r="AQ923" s="111"/>
      <c r="AR923" s="28"/>
      <c r="AS923" s="96">
        <f ca="1">F_GAMMA*AS$29</f>
        <v>0.3766899554102966</v>
      </c>
      <c r="AT923" s="111"/>
      <c r="AU923" s="28"/>
    </row>
    <row r="924" spans="15:47" x14ac:dyDescent="0.25">
      <c r="O924" s="2" t="s">
        <v>145</v>
      </c>
      <c r="P924" s="12"/>
      <c r="Q924" s="2"/>
      <c r="R924" s="96">
        <f ca="1">IF(R919&lt;R923,R921,R922)</f>
        <v>0.44803085741446408</v>
      </c>
      <c r="S924" s="116"/>
      <c r="T924" s="1"/>
      <c r="U924" s="96">
        <f ca="1">IF(U919&lt;U923,U921,U922)</f>
        <v>8.8695453699559472</v>
      </c>
      <c r="V924" s="111"/>
      <c r="W924" s="28"/>
      <c r="X924" s="96">
        <f ca="1">IF(X919&lt;X923,X921,X922)</f>
        <v>21.98021928775816</v>
      </c>
      <c r="Y924" s="111"/>
      <c r="Z924" s="28"/>
      <c r="AA924" s="96">
        <f ca="1">IF(AA919&lt;AA923,AA921,AA922)</f>
        <v>44.35055712956612</v>
      </c>
      <c r="AB924" s="111"/>
      <c r="AC924" s="28"/>
      <c r="AD924" s="96">
        <f ca="1">IF(AD919&lt;AD923,AD921,AD922)</f>
        <v>81.332652605050257</v>
      </c>
      <c r="AE924" s="111"/>
      <c r="AF924" s="28"/>
      <c r="AG924" s="96">
        <f ca="1">IF(AG919&lt;AG923,AG921,AG922)</f>
        <v>142.42745429263567</v>
      </c>
      <c r="AH924" s="111"/>
      <c r="AI924" s="28"/>
      <c r="AJ924" s="96">
        <f ca="1">IF(AJ919&lt;AJ923,AJ921,AJ922)</f>
        <v>282.20905075921542</v>
      </c>
      <c r="AK924" s="111"/>
      <c r="AL924" s="28"/>
      <c r="AM924" s="96" t="e">
        <f ca="1">IF(AM919&lt;AM923,AM921,AM922)</f>
        <v>#NUM!</v>
      </c>
      <c r="AN924" s="111"/>
      <c r="AO924" s="28"/>
      <c r="AP924" s="96" t="e">
        <f ca="1">IF(AP919&lt;AP923,AP921,AP922)</f>
        <v>#NUM!</v>
      </c>
      <c r="AQ924" s="111"/>
      <c r="AR924" s="28"/>
      <c r="AS924" s="96" t="e">
        <f ca="1">IF(AS919&lt;AS923,AS921,AS922)</f>
        <v>#NUM!</v>
      </c>
      <c r="AT924" s="111"/>
      <c r="AU924" s="28"/>
    </row>
    <row r="925" spans="15:47" x14ac:dyDescent="0.25">
      <c r="O925" s="13" t="s">
        <v>143</v>
      </c>
      <c r="P925" s="1"/>
      <c r="Q925" s="1"/>
      <c r="R925" s="113"/>
      <c r="S925" s="106">
        <f ca="1">IF(R918&lt;=0,Q_max,ABS(R$23-R924))</f>
        <v>4.2819691425855364</v>
      </c>
      <c r="T925" s="7">
        <f>R914</f>
        <v>1109.4238157895213</v>
      </c>
      <c r="U925" s="98"/>
      <c r="V925" s="106">
        <f ca="1">IF(U918&lt;=0,Q_max,ABS(U$23-U924))</f>
        <v>2.7304546300440524</v>
      </c>
      <c r="W925" s="9">
        <f ca="1">U914</f>
        <v>21916.160513318169</v>
      </c>
      <c r="X925" s="98"/>
      <c r="Y925" s="106">
        <f ca="1">IF(X918&lt;=0,Q_max,ABS(X$23-X924))</f>
        <v>1.0197807122418396</v>
      </c>
      <c r="Z925" s="9">
        <f ca="1">X914</f>
        <v>53664.626735751706</v>
      </c>
      <c r="AA925" s="98"/>
      <c r="AB925" s="106">
        <f ca="1">IF(AA918&lt;=0,Q_max,ABS(AA$23-AA924))</f>
        <v>4.9505571295661213</v>
      </c>
      <c r="AC925" s="9">
        <f ca="1">AA914</f>
        <v>104524.99523141111</v>
      </c>
      <c r="AD925" s="98"/>
      <c r="AE925" s="106">
        <f ca="1">IF(AD918&lt;=0,Q_max,ABS(AD$23-AD924))</f>
        <v>20.332652605050257</v>
      </c>
      <c r="AF925" s="9">
        <f ca="1">AD914</f>
        <v>175360.42651570562</v>
      </c>
      <c r="AG925" s="98"/>
      <c r="AH925" s="106">
        <f ca="1">IF(AG918&lt;=0,Q_max,ABS(AG$23-AG924))</f>
        <v>54.22745429263567</v>
      </c>
      <c r="AI925" s="9">
        <f ca="1">AG914</f>
        <v>255943.31864111006</v>
      </c>
      <c r="AJ925" s="98"/>
      <c r="AK925" s="106">
        <f ca="1">IF(AJ918&lt;=0,Q_max,ABS(AJ$23-AJ924))</f>
        <v>161.20905075921542</v>
      </c>
      <c r="AL925" s="9">
        <f ca="1">AJ914</f>
        <v>341557.35090804409</v>
      </c>
      <c r="AM925" s="98"/>
      <c r="AN925" s="106">
        <f ca="1">IF(AM918&lt;=0,Q_max,ABS(AM$23-AM924))</f>
        <v>236393</v>
      </c>
      <c r="AO925" s="9">
        <f ca="1">AM914</f>
        <v>416764.87764900801</v>
      </c>
      <c r="AP925" s="98"/>
      <c r="AQ925" s="106">
        <f ca="1">IF(AP918&lt;=0,Q_max,ABS(AP$23-AP924))</f>
        <v>236393</v>
      </c>
      <c r="AR925" s="9">
        <f ca="1">AP914</f>
        <v>483851.08463907411</v>
      </c>
      <c r="AS925" s="98"/>
      <c r="AT925" s="106">
        <f ca="1">IF(AS918&lt;=0,Q_max,ABS(AS$23-AS924))</f>
        <v>236393</v>
      </c>
      <c r="AU925" s="9">
        <f ca="1">AS914</f>
        <v>567353.44917094731</v>
      </c>
    </row>
    <row r="926" spans="15:47" x14ac:dyDescent="0.25">
      <c r="O926" s="21"/>
      <c r="P926" s="14"/>
      <c r="Q926" s="21"/>
      <c r="R926" s="97"/>
      <c r="S926" s="106"/>
      <c r="T926" s="28"/>
      <c r="U926" s="97"/>
      <c r="V926" s="111"/>
      <c r="W926" s="28"/>
      <c r="X926" s="97"/>
      <c r="Y926" s="111"/>
      <c r="Z926" s="28"/>
      <c r="AA926" s="97"/>
      <c r="AB926" s="111"/>
      <c r="AC926" s="28"/>
      <c r="AD926" s="97"/>
      <c r="AE926" s="111"/>
      <c r="AF926" s="28"/>
      <c r="AG926" s="97"/>
      <c r="AH926" s="111"/>
      <c r="AI926" s="28"/>
      <c r="AJ926" s="97"/>
      <c r="AK926" s="111"/>
      <c r="AL926" s="28"/>
      <c r="AM926" s="97"/>
      <c r="AN926" s="111"/>
      <c r="AO926" s="28"/>
      <c r="AP926" s="97"/>
      <c r="AQ926" s="111"/>
      <c r="AR926" s="28"/>
      <c r="AS926" s="97"/>
      <c r="AT926" s="111"/>
      <c r="AU926" s="28"/>
    </row>
    <row r="927" spans="15:47" x14ac:dyDescent="0.25">
      <c r="O927" s="1"/>
      <c r="P927" s="1"/>
      <c r="Q927" s="1"/>
      <c r="R927" s="98"/>
      <c r="S927" s="108" t="s">
        <v>137</v>
      </c>
      <c r="T927" s="26" t="s">
        <v>146</v>
      </c>
      <c r="U927" s="98"/>
      <c r="V927" s="108" t="s">
        <v>137</v>
      </c>
      <c r="W927" s="26" t="s">
        <v>146</v>
      </c>
      <c r="X927" s="98"/>
      <c r="Y927" s="108" t="s">
        <v>137</v>
      </c>
      <c r="Z927" s="26" t="s">
        <v>146</v>
      </c>
      <c r="AA927" s="98"/>
      <c r="AB927" s="108" t="s">
        <v>137</v>
      </c>
      <c r="AC927" s="26" t="s">
        <v>146</v>
      </c>
      <c r="AD927" s="98"/>
      <c r="AE927" s="108" t="s">
        <v>137</v>
      </c>
      <c r="AF927" s="26" t="s">
        <v>146</v>
      </c>
      <c r="AG927" s="98"/>
      <c r="AH927" s="108" t="s">
        <v>137</v>
      </c>
      <c r="AI927" s="26" t="s">
        <v>146</v>
      </c>
      <c r="AJ927" s="98"/>
      <c r="AK927" s="108" t="s">
        <v>137</v>
      </c>
      <c r="AL927" s="26" t="s">
        <v>146</v>
      </c>
      <c r="AM927" s="98"/>
      <c r="AN927" s="108" t="s">
        <v>137</v>
      </c>
      <c r="AO927" s="26" t="s">
        <v>146</v>
      </c>
      <c r="AP927" s="98"/>
      <c r="AQ927" s="108" t="s">
        <v>137</v>
      </c>
      <c r="AR927" s="26" t="s">
        <v>146</v>
      </c>
      <c r="AS927" s="98"/>
      <c r="AT927" s="108" t="s">
        <v>137</v>
      </c>
      <c r="AU927" s="26" t="s">
        <v>146</v>
      </c>
    </row>
    <row r="928" spans="15:47" ht="13.8" x14ac:dyDescent="0.25">
      <c r="O928" s="20" t="s">
        <v>136</v>
      </c>
      <c r="P928" s="1"/>
      <c r="Q928" s="1"/>
      <c r="R928" s="96">
        <f>R914*1.02</f>
        <v>1131.6122921053118</v>
      </c>
      <c r="S928" s="109" t="s">
        <v>144</v>
      </c>
      <c r="T928" s="23" t="s">
        <v>147</v>
      </c>
      <c r="U928" s="96">
        <f ca="1">U914*1.01</f>
        <v>22135.32211845135</v>
      </c>
      <c r="V928" s="109" t="s">
        <v>144</v>
      </c>
      <c r="W928" s="23" t="s">
        <v>147</v>
      </c>
      <c r="X928" s="96">
        <f ca="1">X914*1.01</f>
        <v>54201.273003109221</v>
      </c>
      <c r="Y928" s="109" t="s">
        <v>144</v>
      </c>
      <c r="Z928" s="23" t="s">
        <v>147</v>
      </c>
      <c r="AA928" s="96">
        <f ca="1">AA914*1.01</f>
        <v>105570.24518372523</v>
      </c>
      <c r="AB928" s="109" t="s">
        <v>144</v>
      </c>
      <c r="AC928" s="23" t="s">
        <v>147</v>
      </c>
      <c r="AD928" s="96">
        <f ca="1">AD914*1.01</f>
        <v>177114.03078086267</v>
      </c>
      <c r="AE928" s="109" t="s">
        <v>144</v>
      </c>
      <c r="AF928" s="23" t="s">
        <v>147</v>
      </c>
      <c r="AG928" s="96">
        <f ca="1">AG914*1.01</f>
        <v>258502.75182752116</v>
      </c>
      <c r="AH928" s="109" t="s">
        <v>144</v>
      </c>
      <c r="AI928" s="23" t="s">
        <v>147</v>
      </c>
      <c r="AJ928" s="96">
        <f ca="1">AJ914*1.01</f>
        <v>344972.92441712454</v>
      </c>
      <c r="AK928" s="109" t="s">
        <v>144</v>
      </c>
      <c r="AL928" s="23" t="s">
        <v>147</v>
      </c>
      <c r="AM928" s="96">
        <f ca="1">AM914*1.01</f>
        <v>420932.52642549807</v>
      </c>
      <c r="AN928" s="109" t="s">
        <v>144</v>
      </c>
      <c r="AO928" s="23" t="s">
        <v>147</v>
      </c>
      <c r="AP928" s="96">
        <f ca="1">AP914*1.01</f>
        <v>488689.59548546484</v>
      </c>
      <c r="AQ928" s="109" t="s">
        <v>144</v>
      </c>
      <c r="AR928" s="23" t="s">
        <v>147</v>
      </c>
      <c r="AS928" s="96">
        <f ca="1">AS914*1.01</f>
        <v>573026.98366265674</v>
      </c>
      <c r="AT928" s="109" t="s">
        <v>144</v>
      </c>
      <c r="AU928" s="23" t="s">
        <v>147</v>
      </c>
    </row>
    <row r="929" spans="15:47" x14ac:dyDescent="0.25">
      <c r="O929" s="1"/>
      <c r="P929" s="1"/>
      <c r="Q929" s="1"/>
      <c r="R929" s="98"/>
      <c r="S929" s="107"/>
      <c r="T929" s="1"/>
      <c r="U929" s="47"/>
      <c r="V929" s="107"/>
      <c r="W929" s="1"/>
      <c r="X929" s="47"/>
      <c r="Y929" s="107"/>
      <c r="Z929" s="1"/>
      <c r="AA929" s="47"/>
      <c r="AB929" s="107"/>
      <c r="AC929" s="1"/>
      <c r="AD929" s="47"/>
      <c r="AE929" s="107"/>
      <c r="AF929" s="1"/>
      <c r="AG929" s="47"/>
      <c r="AH929" s="107"/>
      <c r="AI929" s="1"/>
      <c r="AJ929" s="47"/>
      <c r="AK929" s="107"/>
      <c r="AL929" s="1"/>
      <c r="AM929" s="47"/>
      <c r="AN929" s="107"/>
      <c r="AO929" s="1"/>
      <c r="AP929" s="47"/>
      <c r="AQ929" s="107"/>
      <c r="AR929" s="1"/>
      <c r="AS929" s="47"/>
      <c r="AT929" s="107"/>
      <c r="AU929" s="1"/>
    </row>
    <row r="930" spans="15:47" x14ac:dyDescent="0.25">
      <c r="O930" s="8" t="s">
        <v>132</v>
      </c>
      <c r="P930" s="8"/>
      <c r="Q930" s="8"/>
      <c r="R930" s="96">
        <f>P_1_minQ-(R928^2*R_up)+dpup_minQ</f>
        <v>90.184807136705558</v>
      </c>
      <c r="S930" s="106"/>
      <c r="T930" s="22"/>
      <c r="U930" s="96">
        <f ca="1">P_1_minQ-(U928^2*R_up)+dpup_minQ</f>
        <v>90.095737698623566</v>
      </c>
      <c r="V930" s="107"/>
      <c r="W930" s="1"/>
      <c r="X930" s="96">
        <f ca="1">P_1_minQ-(X928^2*R_up)+dpup_minQ</f>
        <v>89.649598435951617</v>
      </c>
      <c r="Y930" s="107"/>
      <c r="Z930" s="1"/>
      <c r="AA930" s="96">
        <f ca="1">P_1_minQ-(AA928^2*R_up)+dpup_minQ</f>
        <v>88.153728701312176</v>
      </c>
      <c r="AB930" s="107"/>
      <c r="AC930" s="1"/>
      <c r="AD930" s="96">
        <f ca="1">P_1_minQ-(AD928^2*R_up)+dpup_minQ</f>
        <v>84.467628765969664</v>
      </c>
      <c r="AE930" s="107"/>
      <c r="AF930" s="1"/>
      <c r="AG930" s="96">
        <f ca="1">P_1_minQ-(AG928^2*R_up)+dpup_minQ</f>
        <v>78.005697053712538</v>
      </c>
      <c r="AH930" s="107"/>
      <c r="AI930" s="1"/>
      <c r="AJ930" s="96">
        <f ca="1">P_1_minQ-(AJ928^2*R_up)+dpup_minQ</f>
        <v>68.494840467012921</v>
      </c>
      <c r="AK930" s="107"/>
      <c r="AL930" s="1"/>
      <c r="AM930" s="96">
        <f ca="1">P_1_minQ-(AM928^2*R_up)+dpup_minQ</f>
        <v>57.891288281820678</v>
      </c>
      <c r="AN930" s="107"/>
      <c r="AO930" s="1"/>
      <c r="AP930" s="96">
        <f ca="1">P_1_minQ-(AP928^2*R_up)+dpup_minQ</f>
        <v>46.657941590173017</v>
      </c>
      <c r="AQ930" s="107"/>
      <c r="AR930" s="1"/>
      <c r="AS930" s="96">
        <f ca="1">P_1_minQ-(AS928^2*R_up)+dpup_minQ</f>
        <v>30.337861579088269</v>
      </c>
      <c r="AT930" s="107"/>
      <c r="AU930" s="1"/>
    </row>
    <row r="931" spans="15:47" x14ac:dyDescent="0.25">
      <c r="O931" s="8" t="s">
        <v>134</v>
      </c>
      <c r="P931" s="1"/>
      <c r="Q931" s="8"/>
      <c r="R931" s="97">
        <f>P_2_minQ+(R928^2*R_dn)-dpdn_minQ</f>
        <v>60</v>
      </c>
      <c r="S931" s="106"/>
      <c r="T931" s="22"/>
      <c r="U931" s="97">
        <f ca="1">P_2_minQ+(U928^2*R_dn)-dpdn_minQ</f>
        <v>60</v>
      </c>
      <c r="V931" s="107"/>
      <c r="W931" s="1"/>
      <c r="X931" s="97">
        <f ca="1">P_2_minQ+(X928^2*R_dn)-dpdn_minQ</f>
        <v>60</v>
      </c>
      <c r="Y931" s="107"/>
      <c r="Z931" s="1"/>
      <c r="AA931" s="97">
        <f ca="1">P_2_minQ+(AA928^2*R_dn)-dpdn_minQ</f>
        <v>60</v>
      </c>
      <c r="AB931" s="107"/>
      <c r="AC931" s="1"/>
      <c r="AD931" s="97">
        <f ca="1">P_2_minQ+(AD928^2*R_dn)-dpdn_minQ</f>
        <v>60</v>
      </c>
      <c r="AE931" s="107"/>
      <c r="AF931" s="1"/>
      <c r="AG931" s="97">
        <f ca="1">P_2_minQ+(AG928^2*R_dn)-dpdn_minQ</f>
        <v>60</v>
      </c>
      <c r="AH931" s="107"/>
      <c r="AI931" s="1"/>
      <c r="AJ931" s="97">
        <f ca="1">P_2_minQ+(AJ928^2*R_dn)-dpdn_minQ</f>
        <v>60</v>
      </c>
      <c r="AK931" s="107"/>
      <c r="AL931" s="1"/>
      <c r="AM931" s="97">
        <f ca="1">P_2_minQ+(AM928^2*R_dn)-dpdn_minQ</f>
        <v>60</v>
      </c>
      <c r="AN931" s="107"/>
      <c r="AO931" s="1"/>
      <c r="AP931" s="97">
        <f ca="1">P_2_minQ+(AP928^2*R_dn)-dpdn_minQ</f>
        <v>60</v>
      </c>
      <c r="AQ931" s="107"/>
      <c r="AR931" s="1"/>
      <c r="AS931" s="97">
        <f ca="1">P_2_minQ+(AS928^2*R_dn)-dpdn_minQ</f>
        <v>60</v>
      </c>
      <c r="AT931" s="107"/>
      <c r="AU931" s="1"/>
    </row>
    <row r="932" spans="15:47" x14ac:dyDescent="0.25">
      <c r="O932" s="8" t="s">
        <v>138</v>
      </c>
      <c r="P932" s="1"/>
      <c r="Q932" s="8"/>
      <c r="R932" s="97">
        <f>R930-R931</f>
        <v>30.184807136705558</v>
      </c>
      <c r="S932" s="106"/>
      <c r="T932" s="22"/>
      <c r="U932" s="97">
        <f ca="1">U930-U931</f>
        <v>30.095737698623566</v>
      </c>
      <c r="V932" s="110"/>
      <c r="W932" s="25"/>
      <c r="X932" s="97">
        <f ca="1">X930-X931</f>
        <v>29.649598435951617</v>
      </c>
      <c r="Y932" s="110"/>
      <c r="Z932" s="25"/>
      <c r="AA932" s="97">
        <f ca="1">AA930-AA931</f>
        <v>28.153728701312176</v>
      </c>
      <c r="AB932" s="110"/>
      <c r="AC932" s="25"/>
      <c r="AD932" s="97">
        <f ca="1">AD930-AD931</f>
        <v>24.467628765969664</v>
      </c>
      <c r="AE932" s="110"/>
      <c r="AF932" s="25"/>
      <c r="AG932" s="97">
        <f ca="1">AG930-AG931</f>
        <v>18.005697053712538</v>
      </c>
      <c r="AH932" s="110"/>
      <c r="AI932" s="25"/>
      <c r="AJ932" s="97">
        <f ca="1">AJ930-AJ931</f>
        <v>8.4948404670129207</v>
      </c>
      <c r="AK932" s="110"/>
      <c r="AL932" s="25"/>
      <c r="AM932" s="97">
        <f ca="1">AM930-AM931</f>
        <v>-2.1087117181793218</v>
      </c>
      <c r="AN932" s="110"/>
      <c r="AO932" s="25"/>
      <c r="AP932" s="97">
        <f ca="1">AP930-AP931</f>
        <v>-13.342058409826983</v>
      </c>
      <c r="AQ932" s="110"/>
      <c r="AR932" s="25"/>
      <c r="AS932" s="97">
        <f ca="1">AS930-AS931</f>
        <v>-29.662138420911731</v>
      </c>
      <c r="AT932" s="110"/>
      <c r="AU932" s="25"/>
    </row>
    <row r="933" spans="15:47" ht="14.4" x14ac:dyDescent="0.3">
      <c r="O933" s="2" t="s">
        <v>140</v>
      </c>
      <c r="P933" s="11"/>
      <c r="Q933" s="2"/>
      <c r="R933" s="96">
        <f>R932/R930</f>
        <v>0.33469946984474092</v>
      </c>
      <c r="S933" s="106"/>
      <c r="T933" s="22"/>
      <c r="U933" s="96">
        <f ca="1">U932/U930</f>
        <v>0.33404174789373364</v>
      </c>
      <c r="V933" s="111"/>
      <c r="W933" s="28"/>
      <c r="X933" s="96">
        <f ca="1">X932/X930</f>
        <v>0.33072762124120597</v>
      </c>
      <c r="Y933" s="111"/>
      <c r="Z933" s="28"/>
      <c r="AA933" s="96">
        <f ca="1">AA932/AA930</f>
        <v>0.31937082090655916</v>
      </c>
      <c r="AB933" s="111"/>
      <c r="AC933" s="28"/>
      <c r="AD933" s="96">
        <f ca="1">AD932/AD930</f>
        <v>0.28966870650247478</v>
      </c>
      <c r="AE933" s="111"/>
      <c r="AF933" s="28"/>
      <c r="AG933" s="96">
        <f ca="1">AG932/AG930</f>
        <v>0.23082541062756376</v>
      </c>
      <c r="AH933" s="111"/>
      <c r="AI933" s="28"/>
      <c r="AJ933" s="96">
        <f ca="1">AJ932/AJ930</f>
        <v>0.12402161110374484</v>
      </c>
      <c r="AK933" s="111"/>
      <c r="AL933" s="28"/>
      <c r="AM933" s="96">
        <f ca="1">AM932/AM930</f>
        <v>-3.6425372120134879E-2</v>
      </c>
      <c r="AN933" s="111"/>
      <c r="AO933" s="28"/>
      <c r="AP933" s="96">
        <f ca="1">AP932/AP930</f>
        <v>-0.28595471542698864</v>
      </c>
      <c r="AQ933" s="111"/>
      <c r="AR933" s="28"/>
      <c r="AS933" s="96">
        <f ca="1">AS932/AS930</f>
        <v>-0.97772673738341831</v>
      </c>
      <c r="AT933" s="111"/>
      <c r="AU933" s="28"/>
    </row>
    <row r="934" spans="15:47" x14ac:dyDescent="0.25">
      <c r="O934" s="2" t="s">
        <v>21</v>
      </c>
      <c r="P934" s="8">
        <v>12</v>
      </c>
      <c r="Q934" s="2"/>
      <c r="R934" s="96">
        <f ca="1">1-R933/(3*F_GAMMA*R$29)</f>
        <v>0.8256854480633633</v>
      </c>
      <c r="S934" s="106"/>
      <c r="T934" s="22"/>
      <c r="U934" s="96">
        <f ca="1">1-U933/(3*F_GAMMA*U$29)</f>
        <v>0.82606841199728254</v>
      </c>
      <c r="V934" s="111"/>
      <c r="W934" s="28"/>
      <c r="X934" s="96">
        <f ca="1">1-X933/(3*F_GAMMA*X$29)</f>
        <v>0.82615390932908706</v>
      </c>
      <c r="Y934" s="111"/>
      <c r="Z934" s="28"/>
      <c r="AA934" s="96">
        <f ca="1">1-AA933/(3*F_GAMMA*AA$29)</f>
        <v>0.82975718140034105</v>
      </c>
      <c r="AB934" s="111"/>
      <c r="AC934" s="28"/>
      <c r="AD934" s="96">
        <f ca="1">1-AD933/(3*F_GAMMA*AD$29)</f>
        <v>0.84080120168406969</v>
      </c>
      <c r="AE934" s="111"/>
      <c r="AF934" s="28"/>
      <c r="AG934" s="96">
        <f ca="1">1-AG933/(3*F_GAMMA*AG$29)</f>
        <v>0.86552850955003069</v>
      </c>
      <c r="AH934" s="111"/>
      <c r="AI934" s="28"/>
      <c r="AJ934" s="96">
        <f ca="1">1-AJ933/(3*F_GAMMA*AJ$29)</f>
        <v>0.92226779644789414</v>
      </c>
      <c r="AK934" s="111"/>
      <c r="AL934" s="28"/>
      <c r="AM934" s="96">
        <f ca="1">1-AM933/(3*F_GAMMA*AM$29)</f>
        <v>1.025525921636407</v>
      </c>
      <c r="AN934" s="111"/>
      <c r="AO934" s="28"/>
      <c r="AP934" s="96">
        <f ca="1">1-AP933/(3*F_GAMMA*AP$29)</f>
        <v>1.1614081739119697</v>
      </c>
      <c r="AQ934" s="111"/>
      <c r="AR934" s="28"/>
      <c r="AS934" s="96">
        <f ca="1">1-AS933/(3*F_GAMMA*AS$29)</f>
        <v>1.8651914068325881</v>
      </c>
      <c r="AT934" s="111"/>
      <c r="AU934" s="28"/>
    </row>
    <row r="935" spans="15:47" x14ac:dyDescent="0.25">
      <c r="O935" s="2" t="s">
        <v>57</v>
      </c>
      <c r="P935" s="143">
        <v>7</v>
      </c>
      <c r="Q935" s="2"/>
      <c r="R935" s="96">
        <f ca="1">(R928/(N_9*R$27*R930*R934))*SQRT(M*'Valve Sizing'!$W$6*'Valve Sizing'!$G$8/R933)</f>
        <v>0.45699154685862264</v>
      </c>
      <c r="S935" s="107"/>
      <c r="T935" s="22"/>
      <c r="U935" s="96">
        <f ca="1">(U928/(N_9*U$27*U930*U934))*SQRT(M*'Valve Sizing'!$W$6*'Valve Sizing'!$G$8/U933)</f>
        <v>8.9585167403511754</v>
      </c>
      <c r="V935" s="111"/>
      <c r="W935" s="28"/>
      <c r="X935" s="96">
        <f ca="1">(X928/(N_9*X$27*X930*X934))*SQRT(M*'Valve Sizing'!$W$6*'Valve Sizing'!$G$8/X933)</f>
        <v>22.20416472332624</v>
      </c>
      <c r="Y935" s="111"/>
      <c r="Z935" s="28"/>
      <c r="AA935" s="96">
        <f ca="1">(AA928/(N_9*AA$27*AA930*AA934))*SQRT(M*'Valve Sizing'!$W$6*'Valve Sizing'!$G$8/AA933)</f>
        <v>44.827170144773234</v>
      </c>
      <c r="AB935" s="111"/>
      <c r="AC935" s="28"/>
      <c r="AD935" s="96">
        <f ca="1">(AD928/(N_9*AD$27*AD930*AD934))*SQRT(M*'Valve Sizing'!$W$6*'Valve Sizing'!$G$8/AD933)</f>
        <v>82.338808224225772</v>
      </c>
      <c r="AE935" s="111"/>
      <c r="AF935" s="28"/>
      <c r="AG935" s="96">
        <f ca="1">(AG928/(N_9*AG$27*AG930*AG934))*SQRT(M*'Valve Sizing'!$W$6*'Valve Sizing'!$G$8/AG933)</f>
        <v>144.79947999499259</v>
      </c>
      <c r="AH935" s="111"/>
      <c r="AI935" s="28"/>
      <c r="AJ935" s="96">
        <f ca="1">(AJ928/(N_9*AJ$27*AJ930*AJ934))*SQRT(M*'Valve Sizing'!$W$6*'Valve Sizing'!$G$8/AJ933)</f>
        <v>291.94147771599143</v>
      </c>
      <c r="AK935" s="111"/>
      <c r="AL935" s="28"/>
      <c r="AM935" s="96" t="e">
        <f ca="1">(AM928/(N_9*AM$27*AM930*AM934))*SQRT(M*'Valve Sizing'!$W$6*'Valve Sizing'!$G$8/AM933)</f>
        <v>#NUM!</v>
      </c>
      <c r="AN935" s="111"/>
      <c r="AO935" s="28"/>
      <c r="AP935" s="96" t="e">
        <f ca="1">(AP928/(N_9*AP$27*AP930*AP934))*SQRT(M*'Valve Sizing'!$W$6*'Valve Sizing'!$G$8/AP933)</f>
        <v>#NUM!</v>
      </c>
      <c r="AQ935" s="111"/>
      <c r="AR935" s="28"/>
      <c r="AS935" s="96" t="e">
        <f ca="1">(AS928/(N_9*AS$27*AS930*AS934))*SQRT(M*'Valve Sizing'!$W$6*'Valve Sizing'!$G$8/AS933)</f>
        <v>#NUM!</v>
      </c>
      <c r="AT935" s="111"/>
      <c r="AU935" s="28"/>
    </row>
    <row r="936" spans="15:47" x14ac:dyDescent="0.25">
      <c r="O936" s="2" t="s">
        <v>59</v>
      </c>
      <c r="P936" s="143">
        <v>7</v>
      </c>
      <c r="Q936" s="2"/>
      <c r="R936" s="96">
        <f ca="1">(R928/(N_9*R$27*R930*0.667))*SQRT(M*'Valve Sizing'!$W$6*'Valve Sizing'!$G$8/R937)</f>
        <v>0.40909522732677756</v>
      </c>
      <c r="S936" s="107"/>
      <c r="T936" s="22"/>
      <c r="U936" s="96">
        <f ca="1">(U928/(N_9*U$27*U930*0.667))*SQRT(M*'Valve Sizing'!$W$6*'Valve Sizing'!$G$8/U937)</f>
        <v>8.0144947652487009</v>
      </c>
      <c r="V936" s="111"/>
      <c r="W936" s="28"/>
      <c r="X936" s="96">
        <f ca="1">(X928/(N_9*X$27*X930*0.667))*SQRT(M*'Valve Sizing'!$W$6*'Valve Sizing'!$G$8/X937)</f>
        <v>19.861528176914604</v>
      </c>
      <c r="Y936" s="111"/>
      <c r="Z936" s="28"/>
      <c r="AA936" s="96">
        <f ca="1">(AA928/(N_9*AA$27*AA930*0.667))*SQRT(M*'Valve Sizing'!$W$6*'Valve Sizing'!$G$8/AA937)</f>
        <v>39.853047545832176</v>
      </c>
      <c r="AB936" s="111"/>
      <c r="AC936" s="28"/>
      <c r="AD936" s="96">
        <f ca="1">(AD928/(N_9*AD$27*AD930*0.667))*SQRT(M*'Valve Sizing'!$W$6*'Valve Sizing'!$G$8/AD937)</f>
        <v>71.730289970757084</v>
      </c>
      <c r="AE936" s="111"/>
      <c r="AF936" s="28"/>
      <c r="AG936" s="96">
        <f ca="1">(AG928/(N_9*AG$27*AG930*0.667))*SQRT(M*'Valve Sizing'!$W$6*'Valve Sizing'!$G$8/AG937)</f>
        <v>119.34336596819844</v>
      </c>
      <c r="AH936" s="111"/>
      <c r="AI936" s="28"/>
      <c r="AJ936" s="96">
        <f ca="1">(AJ928/(N_9*AJ$27*AJ930*0.667))*SQRT(M*'Valve Sizing'!$W$6*'Valve Sizing'!$G$8/AJ937)</f>
        <v>194.93424005667543</v>
      </c>
      <c r="AK936" s="111"/>
      <c r="AL936" s="28"/>
      <c r="AM936" s="96">
        <f ca="1">(AM928/(N_9*AM$27*AM930*0.667))*SQRT(M*'Valve Sizing'!$W$6*'Valve Sizing'!$G$8/AM937)</f>
        <v>315.73000294130736</v>
      </c>
      <c r="AN936" s="111"/>
      <c r="AO936" s="28"/>
      <c r="AP936" s="96">
        <f ca="1">(AP928/(N_9*AP$27*AP930*0.667))*SQRT(M*'Valve Sizing'!$W$6*'Valve Sizing'!$G$8/AP937)</f>
        <v>464.58585079935426</v>
      </c>
      <c r="AQ936" s="111"/>
      <c r="AR936" s="28"/>
      <c r="AS936" s="96">
        <f ca="1">(AS928/(N_9*AS$27*AS930*0.667))*SQRT(M*'Valve Sizing'!$W$6*'Valve Sizing'!$G$8/AS937)</f>
        <v>1405.0403964526224</v>
      </c>
      <c r="AT936" s="111"/>
      <c r="AU936" s="28"/>
    </row>
    <row r="937" spans="15:47" ht="15.6" x14ac:dyDescent="0.35">
      <c r="O937" s="2" t="s">
        <v>68</v>
      </c>
      <c r="P937" s="143">
        <v>10</v>
      </c>
      <c r="Q937" s="2"/>
      <c r="R937" s="96">
        <f ca="1">F_GAMMA*R$29</f>
        <v>0.64002969751372984</v>
      </c>
      <c r="S937" s="107"/>
      <c r="T937" s="1"/>
      <c r="U937" s="96">
        <f ca="1">F_GAMMA*U$29</f>
        <v>0.64017842058782071</v>
      </c>
      <c r="V937" s="111"/>
      <c r="W937" s="28"/>
      <c r="X937" s="96">
        <f ca="1">F_GAMMA*X$29</f>
        <v>0.63413873724904268</v>
      </c>
      <c r="Y937" s="111"/>
      <c r="Z937" s="28"/>
      <c r="AA937" s="96">
        <f ca="1">F_GAMMA*AA$29</f>
        <v>0.62532411750377137</v>
      </c>
      <c r="AB937" s="111"/>
      <c r="AC937" s="28"/>
      <c r="AD937" s="96">
        <f ca="1">F_GAMMA*AD$29</f>
        <v>0.60651359509139569</v>
      </c>
      <c r="AE937" s="111"/>
      <c r="AF937" s="28"/>
      <c r="AG937" s="96">
        <f ca="1">F_GAMMA*AG$29</f>
        <v>0.57217930198481592</v>
      </c>
      <c r="AH937" s="111"/>
      <c r="AI937" s="28"/>
      <c r="AJ937" s="96">
        <f ca="1">F_GAMMA*AJ$29</f>
        <v>0.53183282018848232</v>
      </c>
      <c r="AK937" s="111"/>
      <c r="AL937" s="28"/>
      <c r="AM937" s="96">
        <f ca="1">F_GAMMA*AM$29</f>
        <v>0.47566512503094399</v>
      </c>
      <c r="AN937" s="111"/>
      <c r="AO937" s="28"/>
      <c r="AP937" s="96">
        <f ca="1">F_GAMMA*AP$29</f>
        <v>0.59054158265645496</v>
      </c>
      <c r="AQ937" s="111"/>
      <c r="AR937" s="28"/>
      <c r="AS937" s="96">
        <f ca="1">F_GAMMA*AS$29</f>
        <v>0.3766899554102966</v>
      </c>
      <c r="AT937" s="111"/>
      <c r="AU937" s="28"/>
    </row>
    <row r="938" spans="15:47" x14ac:dyDescent="0.25">
      <c r="O938" s="2" t="s">
        <v>145</v>
      </c>
      <c r="P938" s="12"/>
      <c r="Q938" s="2"/>
      <c r="R938" s="96">
        <f ca="1">IF(R933&lt;R937,R935,R936)</f>
        <v>0.45699154685862264</v>
      </c>
      <c r="S938" s="116"/>
      <c r="T938" s="1"/>
      <c r="U938" s="96">
        <f ca="1">IF(U933&lt;U937,U935,U936)</f>
        <v>8.9585167403511754</v>
      </c>
      <c r="V938" s="111"/>
      <c r="W938" s="28"/>
      <c r="X938" s="96">
        <f ca="1">IF(X933&lt;X937,X935,X936)</f>
        <v>22.20416472332624</v>
      </c>
      <c r="Y938" s="111"/>
      <c r="Z938" s="28"/>
      <c r="AA938" s="96">
        <f ca="1">IF(AA933&lt;AA937,AA935,AA936)</f>
        <v>44.827170144773234</v>
      </c>
      <c r="AB938" s="111"/>
      <c r="AC938" s="28"/>
      <c r="AD938" s="96">
        <f ca="1">IF(AD933&lt;AD937,AD935,AD936)</f>
        <v>82.338808224225772</v>
      </c>
      <c r="AE938" s="111"/>
      <c r="AF938" s="28"/>
      <c r="AG938" s="96">
        <f ca="1">IF(AG933&lt;AG937,AG935,AG936)</f>
        <v>144.79947999499259</v>
      </c>
      <c r="AH938" s="111"/>
      <c r="AI938" s="28"/>
      <c r="AJ938" s="96">
        <f ca="1">IF(AJ933&lt;AJ937,AJ935,AJ936)</f>
        <v>291.94147771599143</v>
      </c>
      <c r="AK938" s="111"/>
      <c r="AL938" s="28"/>
      <c r="AM938" s="96" t="e">
        <f ca="1">IF(AM933&lt;AM937,AM935,AM936)</f>
        <v>#NUM!</v>
      </c>
      <c r="AN938" s="111"/>
      <c r="AO938" s="28"/>
      <c r="AP938" s="96" t="e">
        <f ca="1">IF(AP933&lt;AP937,AP935,AP936)</f>
        <v>#NUM!</v>
      </c>
      <c r="AQ938" s="111"/>
      <c r="AR938" s="28"/>
      <c r="AS938" s="96" t="e">
        <f ca="1">IF(AS933&lt;AS937,AS935,AS936)</f>
        <v>#NUM!</v>
      </c>
      <c r="AT938" s="111"/>
      <c r="AU938" s="28"/>
    </row>
    <row r="939" spans="15:47" x14ac:dyDescent="0.25">
      <c r="O939" s="13" t="s">
        <v>143</v>
      </c>
      <c r="P939" s="1"/>
      <c r="Q939" s="1"/>
      <c r="R939" s="113"/>
      <c r="S939" s="106">
        <f ca="1">IF(R932&lt;=0,Q_max,ABS(R$23-R938))</f>
        <v>4.2730084531413777</v>
      </c>
      <c r="T939" s="7">
        <f>R928</f>
        <v>1131.6122921053118</v>
      </c>
      <c r="U939" s="98"/>
      <c r="V939" s="106">
        <f ca="1">IF(U932&lt;=0,Q_max,ABS(U$23-U938))</f>
        <v>2.6414832596488242</v>
      </c>
      <c r="W939" s="9">
        <f ca="1">U928</f>
        <v>22135.32211845135</v>
      </c>
      <c r="X939" s="98"/>
      <c r="Y939" s="106">
        <f ca="1">IF(X932&lt;=0,Q_max,ABS(X$23-X938))</f>
        <v>0.79583527667375975</v>
      </c>
      <c r="Z939" s="9">
        <f ca="1">X928</f>
        <v>54201.273003109221</v>
      </c>
      <c r="AA939" s="98"/>
      <c r="AB939" s="106">
        <f ca="1">IF(AA932&lt;=0,Q_max,ABS(AA$23-AA938))</f>
        <v>5.4271701447732354</v>
      </c>
      <c r="AC939" s="9">
        <f ca="1">AA928</f>
        <v>105570.24518372523</v>
      </c>
      <c r="AD939" s="98"/>
      <c r="AE939" s="106">
        <f ca="1">IF(AD932&lt;=0,Q_max,ABS(AD$23-AD938))</f>
        <v>21.338808224225772</v>
      </c>
      <c r="AF939" s="9">
        <f ca="1">AD928</f>
        <v>177114.03078086267</v>
      </c>
      <c r="AG939" s="98"/>
      <c r="AH939" s="106">
        <f ca="1">IF(AG932&lt;=0,Q_max,ABS(AG$23-AG938))</f>
        <v>56.599479994992592</v>
      </c>
      <c r="AI939" s="9">
        <f ca="1">AG928</f>
        <v>258502.75182752116</v>
      </c>
      <c r="AJ939" s="98"/>
      <c r="AK939" s="106">
        <f ca="1">IF(AJ932&lt;=0,Q_max,ABS(AJ$23-AJ938))</f>
        <v>170.94147771599143</v>
      </c>
      <c r="AL939" s="9">
        <f ca="1">AJ928</f>
        <v>344972.92441712454</v>
      </c>
      <c r="AM939" s="98"/>
      <c r="AN939" s="106">
        <f ca="1">IF(AM932&lt;=0,Q_max,ABS(AM$23-AM938))</f>
        <v>236393</v>
      </c>
      <c r="AO939" s="9">
        <f ca="1">AM928</f>
        <v>420932.52642549807</v>
      </c>
      <c r="AP939" s="98"/>
      <c r="AQ939" s="106">
        <f ca="1">IF(AP932&lt;=0,Q_max,ABS(AP$23-AP938))</f>
        <v>236393</v>
      </c>
      <c r="AR939" s="9">
        <f ca="1">AP928</f>
        <v>488689.59548546484</v>
      </c>
      <c r="AS939" s="98"/>
      <c r="AT939" s="106">
        <f ca="1">IF(AS932&lt;=0,Q_max,ABS(AS$23-AS938))</f>
        <v>236393</v>
      </c>
      <c r="AU939" s="9">
        <f ca="1">AS928</f>
        <v>573026.98366265674</v>
      </c>
    </row>
    <row r="940" spans="15:47" x14ac:dyDescent="0.25">
      <c r="O940" s="21"/>
      <c r="P940" s="14"/>
      <c r="Q940" s="21"/>
      <c r="R940" s="97"/>
      <c r="S940" s="106"/>
      <c r="T940" s="28"/>
      <c r="U940" s="97"/>
      <c r="V940" s="111"/>
      <c r="W940" s="28"/>
      <c r="X940" s="97"/>
      <c r="Y940" s="111"/>
      <c r="Z940" s="28"/>
      <c r="AA940" s="97"/>
      <c r="AB940" s="111"/>
      <c r="AC940" s="28"/>
      <c r="AD940" s="97"/>
      <c r="AE940" s="111"/>
      <c r="AF940" s="28"/>
      <c r="AG940" s="97"/>
      <c r="AH940" s="111"/>
      <c r="AI940" s="28"/>
      <c r="AJ940" s="97"/>
      <c r="AK940" s="111"/>
      <c r="AL940" s="28"/>
      <c r="AM940" s="97"/>
      <c r="AN940" s="111"/>
      <c r="AO940" s="28"/>
      <c r="AP940" s="97"/>
      <c r="AQ940" s="111"/>
      <c r="AR940" s="28"/>
      <c r="AS940" s="97"/>
      <c r="AT940" s="111"/>
      <c r="AU940" s="28"/>
    </row>
    <row r="941" spans="15:47" x14ac:dyDescent="0.25">
      <c r="O941" s="1"/>
      <c r="P941" s="1"/>
      <c r="Q941" s="1"/>
      <c r="R941" s="98"/>
      <c r="S941" s="108" t="s">
        <v>137</v>
      </c>
      <c r="T941" s="26" t="s">
        <v>146</v>
      </c>
      <c r="U941" s="98"/>
      <c r="V941" s="108" t="s">
        <v>137</v>
      </c>
      <c r="W941" s="26" t="s">
        <v>146</v>
      </c>
      <c r="X941" s="98"/>
      <c r="Y941" s="108" t="s">
        <v>137</v>
      </c>
      <c r="Z941" s="26" t="s">
        <v>146</v>
      </c>
      <c r="AA941" s="98"/>
      <c r="AB941" s="108" t="s">
        <v>137</v>
      </c>
      <c r="AC941" s="26" t="s">
        <v>146</v>
      </c>
      <c r="AD941" s="98"/>
      <c r="AE941" s="108" t="s">
        <v>137</v>
      </c>
      <c r="AF941" s="26" t="s">
        <v>146</v>
      </c>
      <c r="AG941" s="98"/>
      <c r="AH941" s="108" t="s">
        <v>137</v>
      </c>
      <c r="AI941" s="26" t="s">
        <v>146</v>
      </c>
      <c r="AJ941" s="98"/>
      <c r="AK941" s="108" t="s">
        <v>137</v>
      </c>
      <c r="AL941" s="26" t="s">
        <v>146</v>
      </c>
      <c r="AM941" s="98"/>
      <c r="AN941" s="108" t="s">
        <v>137</v>
      </c>
      <c r="AO941" s="26" t="s">
        <v>146</v>
      </c>
      <c r="AP941" s="98"/>
      <c r="AQ941" s="108" t="s">
        <v>137</v>
      </c>
      <c r="AR941" s="26" t="s">
        <v>146</v>
      </c>
      <c r="AS941" s="98"/>
      <c r="AT941" s="108" t="s">
        <v>137</v>
      </c>
      <c r="AU941" s="26" t="s">
        <v>146</v>
      </c>
    </row>
    <row r="942" spans="15:47" ht="13.8" x14ac:dyDescent="0.25">
      <c r="O942" s="20" t="s">
        <v>136</v>
      </c>
      <c r="P942" s="1"/>
      <c r="Q942" s="1"/>
      <c r="R942" s="96">
        <f>R928*1.02</f>
        <v>1154.2445379474179</v>
      </c>
      <c r="S942" s="109" t="s">
        <v>144</v>
      </c>
      <c r="T942" s="23" t="s">
        <v>147</v>
      </c>
      <c r="U942" s="96">
        <f ca="1">U928*1.01</f>
        <v>22356.675339635862</v>
      </c>
      <c r="V942" s="109" t="s">
        <v>144</v>
      </c>
      <c r="W942" s="23" t="s">
        <v>147</v>
      </c>
      <c r="X942" s="96">
        <f ca="1">X928*1.01</f>
        <v>54743.285733140314</v>
      </c>
      <c r="Y942" s="109" t="s">
        <v>144</v>
      </c>
      <c r="Z942" s="23" t="s">
        <v>147</v>
      </c>
      <c r="AA942" s="96">
        <f ca="1">AA928*1.01</f>
        <v>106625.94763556248</v>
      </c>
      <c r="AB942" s="109" t="s">
        <v>144</v>
      </c>
      <c r="AC942" s="23" t="s">
        <v>147</v>
      </c>
      <c r="AD942" s="96">
        <f ca="1">AD928*1.01</f>
        <v>178885.17108867128</v>
      </c>
      <c r="AE942" s="109" t="s">
        <v>144</v>
      </c>
      <c r="AF942" s="23" t="s">
        <v>147</v>
      </c>
      <c r="AG942" s="96">
        <f ca="1">AG928*1.01</f>
        <v>261087.77934579639</v>
      </c>
      <c r="AH942" s="109" t="s">
        <v>144</v>
      </c>
      <c r="AI942" s="23" t="s">
        <v>147</v>
      </c>
      <c r="AJ942" s="96">
        <f ca="1">AJ928*1.01</f>
        <v>348422.65366129577</v>
      </c>
      <c r="AK942" s="109" t="s">
        <v>144</v>
      </c>
      <c r="AL942" s="23" t="s">
        <v>147</v>
      </c>
      <c r="AM942" s="96">
        <f ca="1">AM928*1.01</f>
        <v>425141.85168975306</v>
      </c>
      <c r="AN942" s="109" t="s">
        <v>144</v>
      </c>
      <c r="AO942" s="23" t="s">
        <v>147</v>
      </c>
      <c r="AP942" s="96">
        <f ca="1">AP928*1.01</f>
        <v>493576.49144031951</v>
      </c>
      <c r="AQ942" s="109" t="s">
        <v>144</v>
      </c>
      <c r="AR942" s="23" t="s">
        <v>147</v>
      </c>
      <c r="AS942" s="96">
        <f ca="1">AS928*1.01</f>
        <v>578757.25349928334</v>
      </c>
      <c r="AT942" s="109" t="s">
        <v>144</v>
      </c>
      <c r="AU942" s="23" t="s">
        <v>147</v>
      </c>
    </row>
    <row r="943" spans="15:47" x14ac:dyDescent="0.25">
      <c r="O943" s="1"/>
      <c r="P943" s="1"/>
      <c r="Q943" s="1"/>
      <c r="R943" s="98"/>
      <c r="S943" s="107"/>
      <c r="T943" s="1"/>
      <c r="U943" s="47"/>
      <c r="V943" s="107"/>
      <c r="W943" s="1"/>
      <c r="X943" s="47"/>
      <c r="Y943" s="107"/>
      <c r="Z943" s="1"/>
      <c r="AA943" s="47"/>
      <c r="AB943" s="107"/>
      <c r="AC943" s="1"/>
      <c r="AD943" s="47"/>
      <c r="AE943" s="107"/>
      <c r="AF943" s="1"/>
      <c r="AG943" s="47"/>
      <c r="AH943" s="107"/>
      <c r="AI943" s="1"/>
      <c r="AJ943" s="47"/>
      <c r="AK943" s="107"/>
      <c r="AL943" s="1"/>
      <c r="AM943" s="47"/>
      <c r="AN943" s="107"/>
      <c r="AO943" s="1"/>
      <c r="AP943" s="47"/>
      <c r="AQ943" s="107"/>
      <c r="AR943" s="1"/>
      <c r="AS943" s="47"/>
      <c r="AT943" s="107"/>
      <c r="AU943" s="1"/>
    </row>
    <row r="944" spans="15:47" x14ac:dyDescent="0.25">
      <c r="O944" s="8" t="s">
        <v>132</v>
      </c>
      <c r="P944" s="8"/>
      <c r="Q944" s="8"/>
      <c r="R944" s="96">
        <f>P_1_minQ-(R942^2*R_up)+dpup_minQ</f>
        <v>90.184797707606137</v>
      </c>
      <c r="S944" s="106"/>
      <c r="T944" s="22"/>
      <c r="U944" s="96">
        <f ca="1">P_1_minQ-(U942^2*R_up)+dpup_minQ</f>
        <v>90.093942711707768</v>
      </c>
      <c r="V944" s="107"/>
      <c r="W944" s="1"/>
      <c r="X944" s="96">
        <f ca="1">P_1_minQ-(X942^2*R_up)+dpup_minQ</f>
        <v>89.63883604985611</v>
      </c>
      <c r="Y944" s="107"/>
      <c r="Z944" s="1"/>
      <c r="AA944" s="96">
        <f ca="1">P_1_minQ-(AA942^2*R_up)+dpup_minQ</f>
        <v>88.112899333550416</v>
      </c>
      <c r="AB944" s="107"/>
      <c r="AC944" s="1"/>
      <c r="AD944" s="96">
        <f ca="1">P_1_minQ-(AD942^2*R_up)+dpup_minQ</f>
        <v>84.352708789507517</v>
      </c>
      <c r="AE944" s="107"/>
      <c r="AF944" s="1"/>
      <c r="AG944" s="96">
        <f ca="1">P_1_minQ-(AG942^2*R_up)+dpup_minQ</f>
        <v>77.760892249834015</v>
      </c>
      <c r="AH944" s="107"/>
      <c r="AI944" s="1"/>
      <c r="AJ944" s="96">
        <f ca="1">P_1_minQ-(AJ942^2*R_up)+dpup_minQ</f>
        <v>68.058867445741754</v>
      </c>
      <c r="AK944" s="107"/>
      <c r="AL944" s="1"/>
      <c r="AM944" s="96">
        <f ca="1">P_1_minQ-(AM942^2*R_up)+dpup_minQ</f>
        <v>57.242183861627133</v>
      </c>
      <c r="AN944" s="107"/>
      <c r="AO944" s="1"/>
      <c r="AP944" s="96">
        <f ca="1">P_1_minQ-(AP942^2*R_up)+dpup_minQ</f>
        <v>45.783046901477356</v>
      </c>
      <c r="AQ944" s="107"/>
      <c r="AR944" s="1"/>
      <c r="AS944" s="96">
        <f ca="1">P_1_minQ-(AS942^2*R_up)+dpup_minQ</f>
        <v>29.134933282169811</v>
      </c>
      <c r="AT944" s="107"/>
      <c r="AU944" s="1"/>
    </row>
    <row r="945" spans="15:47" x14ac:dyDescent="0.25">
      <c r="O945" s="8" t="s">
        <v>134</v>
      </c>
      <c r="P945" s="1"/>
      <c r="Q945" s="8"/>
      <c r="R945" s="97">
        <f>P_2_minQ+(R942^2*R_dn)-dpdn_minQ</f>
        <v>60</v>
      </c>
      <c r="S945" s="106"/>
      <c r="T945" s="22"/>
      <c r="U945" s="97">
        <f ca="1">P_2_minQ+(U942^2*R_dn)-dpdn_minQ</f>
        <v>60</v>
      </c>
      <c r="V945" s="107"/>
      <c r="W945" s="1"/>
      <c r="X945" s="97">
        <f ca="1">P_2_minQ+(X942^2*R_dn)-dpdn_minQ</f>
        <v>60</v>
      </c>
      <c r="Y945" s="107"/>
      <c r="Z945" s="1"/>
      <c r="AA945" s="97">
        <f ca="1">P_2_minQ+(AA942^2*R_dn)-dpdn_minQ</f>
        <v>60</v>
      </c>
      <c r="AB945" s="107"/>
      <c r="AC945" s="1"/>
      <c r="AD945" s="97">
        <f ca="1">P_2_minQ+(AD942^2*R_dn)-dpdn_minQ</f>
        <v>60</v>
      </c>
      <c r="AE945" s="107"/>
      <c r="AF945" s="1"/>
      <c r="AG945" s="97">
        <f ca="1">P_2_minQ+(AG942^2*R_dn)-dpdn_minQ</f>
        <v>60</v>
      </c>
      <c r="AH945" s="107"/>
      <c r="AI945" s="1"/>
      <c r="AJ945" s="97">
        <f ca="1">P_2_minQ+(AJ942^2*R_dn)-dpdn_minQ</f>
        <v>60</v>
      </c>
      <c r="AK945" s="107"/>
      <c r="AL945" s="1"/>
      <c r="AM945" s="97">
        <f ca="1">P_2_minQ+(AM942^2*R_dn)-dpdn_minQ</f>
        <v>60</v>
      </c>
      <c r="AN945" s="107"/>
      <c r="AO945" s="1"/>
      <c r="AP945" s="97">
        <f ca="1">P_2_minQ+(AP942^2*R_dn)-dpdn_minQ</f>
        <v>60</v>
      </c>
      <c r="AQ945" s="107"/>
      <c r="AR945" s="1"/>
      <c r="AS945" s="97">
        <f ca="1">P_2_minQ+(AS942^2*R_dn)-dpdn_minQ</f>
        <v>60</v>
      </c>
      <c r="AT945" s="107"/>
      <c r="AU945" s="1"/>
    </row>
    <row r="946" spans="15:47" x14ac:dyDescent="0.25">
      <c r="O946" s="8" t="s">
        <v>138</v>
      </c>
      <c r="P946" s="1"/>
      <c r="Q946" s="8"/>
      <c r="R946" s="97">
        <f>R944-R945</f>
        <v>30.184797707606137</v>
      </c>
      <c r="S946" s="106"/>
      <c r="T946" s="22"/>
      <c r="U946" s="97">
        <f ca="1">U944-U945</f>
        <v>30.093942711707768</v>
      </c>
      <c r="V946" s="110"/>
      <c r="W946" s="25"/>
      <c r="X946" s="97">
        <f ca="1">X944-X945</f>
        <v>29.63883604985611</v>
      </c>
      <c r="Y946" s="110"/>
      <c r="Z946" s="25"/>
      <c r="AA946" s="97">
        <f ca="1">AA944-AA945</f>
        <v>28.112899333550416</v>
      </c>
      <c r="AB946" s="110"/>
      <c r="AC946" s="25"/>
      <c r="AD946" s="97">
        <f ca="1">AD944-AD945</f>
        <v>24.352708789507517</v>
      </c>
      <c r="AE946" s="110"/>
      <c r="AF946" s="25"/>
      <c r="AG946" s="97">
        <f ca="1">AG944-AG945</f>
        <v>17.760892249834015</v>
      </c>
      <c r="AH946" s="110"/>
      <c r="AI946" s="25"/>
      <c r="AJ946" s="97">
        <f ca="1">AJ944-AJ945</f>
        <v>8.058867445741754</v>
      </c>
      <c r="AK946" s="110"/>
      <c r="AL946" s="25"/>
      <c r="AM946" s="97">
        <f ca="1">AM944-AM945</f>
        <v>-2.757816138372867</v>
      </c>
      <c r="AN946" s="110"/>
      <c r="AO946" s="25"/>
      <c r="AP946" s="97">
        <f ca="1">AP944-AP945</f>
        <v>-14.216953098522644</v>
      </c>
      <c r="AQ946" s="110"/>
      <c r="AR946" s="25"/>
      <c r="AS946" s="97">
        <f ca="1">AS944-AS945</f>
        <v>-30.865066717830189</v>
      </c>
      <c r="AT946" s="110"/>
      <c r="AU946" s="25"/>
    </row>
    <row r="947" spans="15:47" ht="14.4" x14ac:dyDescent="0.3">
      <c r="O947" s="2" t="s">
        <v>140</v>
      </c>
      <c r="P947" s="11"/>
      <c r="Q947" s="2"/>
      <c r="R947" s="96">
        <f>R946/R944</f>
        <v>0.33469940028551359</v>
      </c>
      <c r="S947" s="106"/>
      <c r="T947" s="22"/>
      <c r="U947" s="96">
        <f ca="1">U946/U944</f>
        <v>0.3340284796726633</v>
      </c>
      <c r="V947" s="111"/>
      <c r="W947" s="28"/>
      <c r="X947" s="96">
        <f ca="1">X946/X944</f>
        <v>0.33064726580531817</v>
      </c>
      <c r="Y947" s="111"/>
      <c r="Z947" s="28"/>
      <c r="AA947" s="96">
        <f ca="1">AA946/AA944</f>
        <v>0.31905543395104208</v>
      </c>
      <c r="AB947" s="111"/>
      <c r="AC947" s="28"/>
      <c r="AD947" s="96">
        <f ca="1">AD946/AD944</f>
        <v>0.28870096928691291</v>
      </c>
      <c r="AE947" s="111"/>
      <c r="AF947" s="28"/>
      <c r="AG947" s="96">
        <f ca="1">AG946/AG944</f>
        <v>0.22840391533537124</v>
      </c>
      <c r="AH947" s="111"/>
      <c r="AI947" s="28"/>
      <c r="AJ947" s="96">
        <f ca="1">AJ946/AJ944</f>
        <v>0.11841024907101909</v>
      </c>
      <c r="AK947" s="111"/>
      <c r="AL947" s="28"/>
      <c r="AM947" s="96">
        <f ca="1">AM946/AM944</f>
        <v>-4.8178038508093969E-2</v>
      </c>
      <c r="AN947" s="111"/>
      <c r="AO947" s="28"/>
      <c r="AP947" s="96">
        <f ca="1">AP946/AP944</f>
        <v>-0.31052876688431769</v>
      </c>
      <c r="AQ947" s="111"/>
      <c r="AR947" s="28"/>
      <c r="AS947" s="96">
        <f ca="1">AS946/AS944</f>
        <v>-1.0593834699707103</v>
      </c>
      <c r="AT947" s="111"/>
      <c r="AU947" s="28"/>
    </row>
    <row r="948" spans="15:47" x14ac:dyDescent="0.25">
      <c r="O948" s="2" t="s">
        <v>21</v>
      </c>
      <c r="P948" s="8">
        <v>12</v>
      </c>
      <c r="Q948" s="2"/>
      <c r="R948" s="96">
        <f ca="1">1-R947/(3*F_GAMMA*R$29)</f>
        <v>0.82568548429044641</v>
      </c>
      <c r="S948" s="106"/>
      <c r="T948" s="22"/>
      <c r="U948" s="96">
        <f ca="1">1-U947/(3*F_GAMMA*U$29)</f>
        <v>0.82607532060309385</v>
      </c>
      <c r="V948" s="111"/>
      <c r="W948" s="28"/>
      <c r="X948" s="96">
        <f ca="1">1-X947/(3*F_GAMMA*X$29)</f>
        <v>0.82619614794931728</v>
      </c>
      <c r="Y948" s="111"/>
      <c r="Z948" s="28"/>
      <c r="AA948" s="96">
        <f ca="1">1-AA947/(3*F_GAMMA*AA$29)</f>
        <v>0.82992530059202041</v>
      </c>
      <c r="AB948" s="111"/>
      <c r="AC948" s="28"/>
      <c r="AD948" s="96">
        <f ca="1">1-AD947/(3*F_GAMMA*AD$29)</f>
        <v>0.84133305962503691</v>
      </c>
      <c r="AE948" s="111"/>
      <c r="AF948" s="28"/>
      <c r="AG948" s="96">
        <f ca="1">1-AG947/(3*F_GAMMA*AG$29)</f>
        <v>0.86693919514211271</v>
      </c>
      <c r="AH948" s="111"/>
      <c r="AI948" s="28"/>
      <c r="AJ948" s="96">
        <f ca="1">1-AJ947/(3*F_GAMMA*AJ$29)</f>
        <v>0.92578479265404345</v>
      </c>
      <c r="AK948" s="111"/>
      <c r="AL948" s="28"/>
      <c r="AM948" s="96">
        <f ca="1">1-AM947/(3*F_GAMMA*AM$29)</f>
        <v>1.0337618743192911</v>
      </c>
      <c r="AN948" s="111"/>
      <c r="AO948" s="28"/>
      <c r="AP948" s="96">
        <f ca="1">1-AP947/(3*F_GAMMA*AP$29)</f>
        <v>1.1752790861835982</v>
      </c>
      <c r="AQ948" s="111"/>
      <c r="AR948" s="28"/>
      <c r="AS948" s="96">
        <f ca="1">1-AS947/(3*F_GAMMA*AS$29)</f>
        <v>1.9374495344292835</v>
      </c>
      <c r="AT948" s="111"/>
      <c r="AU948" s="28"/>
    </row>
    <row r="949" spans="15:47" x14ac:dyDescent="0.25">
      <c r="O949" s="2" t="s">
        <v>57</v>
      </c>
      <c r="P949" s="143">
        <v>7</v>
      </c>
      <c r="Q949" s="2"/>
      <c r="R949" s="96">
        <f ca="1">(R942/(N_9*R$27*R944*R948))*SQRT(M*'Valve Sizing'!$W$6*'Valve Sizing'!$G$8/R947)</f>
        <v>0.46613145451678373</v>
      </c>
      <c r="S949" s="107"/>
      <c r="T949" s="22"/>
      <c r="U949" s="96">
        <f ca="1">(U942/(N_9*U$27*U944*U948))*SQRT(M*'Valve Sizing'!$W$6*'Valve Sizing'!$G$8/U947)</f>
        <v>9.0483862092002205</v>
      </c>
      <c r="V949" s="111"/>
      <c r="W949" s="28"/>
      <c r="X949" s="96">
        <f ca="1">(X942/(N_9*X$27*X944*X948))*SQRT(M*'Valve Sizing'!$W$6*'Valve Sizing'!$G$8/X947)</f>
        <v>22.430477370983958</v>
      </c>
      <c r="Y949" s="111"/>
      <c r="Z949" s="28"/>
      <c r="AA949" s="96">
        <f ca="1">(AA942/(N_9*AA$27*AA944*AA948))*SQRT(M*'Valve Sizing'!$W$6*'Valve Sizing'!$G$8/AA947)</f>
        <v>45.309623357654381</v>
      </c>
      <c r="AB949" s="111"/>
      <c r="AC949" s="28"/>
      <c r="AD949" s="96">
        <f ca="1">(AD942/(N_9*AD$27*AD944*AD948))*SQRT(M*'Valve Sizing'!$W$6*'Valve Sizing'!$G$8/AD947)</f>
        <v>83.362217312396268</v>
      </c>
      <c r="AE949" s="111"/>
      <c r="AF949" s="28"/>
      <c r="AG949" s="96">
        <f ca="1">(AG942/(N_9*AG$27*AG944*AG948))*SQRT(M*'Valve Sizing'!$W$6*'Valve Sizing'!$G$8/AG947)</f>
        <v>147.24353604700718</v>
      </c>
      <c r="AH949" s="111"/>
      <c r="AI949" s="28"/>
      <c r="AJ949" s="96">
        <f ca="1">(AJ942/(N_9*AJ$27*AJ944*AJ948))*SQRT(M*'Valve Sizing'!$W$6*'Valve Sizing'!$G$8/AJ947)</f>
        <v>302.54595801451524</v>
      </c>
      <c r="AK949" s="111"/>
      <c r="AL949" s="28"/>
      <c r="AM949" s="96" t="e">
        <f ca="1">(AM942/(N_9*AM$27*AM944*AM948))*SQRT(M*'Valve Sizing'!$W$6*'Valve Sizing'!$G$8/AM947)</f>
        <v>#NUM!</v>
      </c>
      <c r="AN949" s="111"/>
      <c r="AO949" s="28"/>
      <c r="AP949" s="96" t="e">
        <f ca="1">(AP942/(N_9*AP$27*AP944*AP948))*SQRT(M*'Valve Sizing'!$W$6*'Valve Sizing'!$G$8/AP947)</f>
        <v>#NUM!</v>
      </c>
      <c r="AQ949" s="111"/>
      <c r="AR949" s="28"/>
      <c r="AS949" s="96" t="e">
        <f ca="1">(AS942/(N_9*AS$27*AS944*AS948))*SQRT(M*'Valve Sizing'!$W$6*'Valve Sizing'!$G$8/AS947)</f>
        <v>#NUM!</v>
      </c>
      <c r="AT949" s="111"/>
      <c r="AU949" s="28"/>
    </row>
    <row r="950" spans="15:47" x14ac:dyDescent="0.25">
      <c r="O950" s="2" t="s">
        <v>59</v>
      </c>
      <c r="P950" s="143">
        <v>7</v>
      </c>
      <c r="Q950" s="2"/>
      <c r="R950" s="96">
        <f ca="1">(R942/(N_9*R$27*R944*0.667))*SQRT(M*'Valve Sizing'!$W$6*'Valve Sizing'!$G$8/R951)</f>
        <v>0.41727717550092736</v>
      </c>
      <c r="S950" s="107"/>
      <c r="T950" s="22"/>
      <c r="U950" s="96">
        <f ca="1">(U942/(N_9*U$27*U944*0.667))*SQRT(M*'Valve Sizing'!$W$6*'Valve Sizing'!$G$8/U951)</f>
        <v>8.0948009864778037</v>
      </c>
      <c r="V950" s="111"/>
      <c r="W950" s="28"/>
      <c r="X950" s="96">
        <f ca="1">(X942/(N_9*X$27*X944*0.667))*SQRT(M*'Valve Sizing'!$W$6*'Valve Sizing'!$G$8/X951)</f>
        <v>20.062551957260343</v>
      </c>
      <c r="Y950" s="111"/>
      <c r="Z950" s="28"/>
      <c r="AA950" s="96">
        <f ca="1">(AA942/(N_9*AA$27*AA944*0.667))*SQRT(M*'Valve Sizing'!$W$6*'Valve Sizing'!$G$8/AA951)</f>
        <v>40.270229620482596</v>
      </c>
      <c r="AB950" s="111"/>
      <c r="AC950" s="28"/>
      <c r="AD950" s="96">
        <f ca="1">(AD942/(N_9*AD$27*AD944*0.667))*SQRT(M*'Valve Sizing'!$W$6*'Valve Sizing'!$G$8/AD951)</f>
        <v>72.546293621002363</v>
      </c>
      <c r="AE950" s="111"/>
      <c r="AF950" s="28"/>
      <c r="AG950" s="96">
        <f ca="1">(AG942/(N_9*AG$27*AG944*0.667))*SQRT(M*'Valve Sizing'!$W$6*'Valve Sizing'!$G$8/AG951)</f>
        <v>120.91627042276588</v>
      </c>
      <c r="AH950" s="111"/>
      <c r="AI950" s="28"/>
      <c r="AJ950" s="96">
        <f ca="1">(AJ942/(N_9*AJ$27*AJ944*0.667))*SQRT(M*'Valve Sizing'!$W$6*'Valve Sizing'!$G$8/AJ951)</f>
        <v>198.14478373055167</v>
      </c>
      <c r="AK950" s="111"/>
      <c r="AL950" s="28"/>
      <c r="AM950" s="96">
        <f ca="1">(AM942/(N_9*AM$27*AM944*0.667))*SQRT(M*'Valve Sizing'!$W$6*'Valve Sizing'!$G$8/AM951)</f>
        <v>322.50336273535589</v>
      </c>
      <c r="AN950" s="111"/>
      <c r="AO950" s="28"/>
      <c r="AP950" s="96">
        <f ca="1">(AP942/(N_9*AP$27*AP944*0.667))*SQRT(M*'Valve Sizing'!$W$6*'Valve Sizing'!$G$8/AP951)</f>
        <v>478.19852908070231</v>
      </c>
      <c r="AQ950" s="111"/>
      <c r="AR950" s="28"/>
      <c r="AS950" s="96">
        <f ca="1">(AS942/(N_9*AS$27*AS944*0.667))*SQRT(M*'Valve Sizing'!$W$6*'Valve Sizing'!$G$8/AS951)</f>
        <v>1477.6824732789207</v>
      </c>
      <c r="AT950" s="111"/>
      <c r="AU950" s="28"/>
    </row>
    <row r="951" spans="15:47" ht="15.6" x14ac:dyDescent="0.35">
      <c r="O951" s="2" t="s">
        <v>68</v>
      </c>
      <c r="P951" s="143">
        <v>10</v>
      </c>
      <c r="Q951" s="2"/>
      <c r="R951" s="96">
        <f ca="1">F_GAMMA*R$29</f>
        <v>0.64002969751372984</v>
      </c>
      <c r="S951" s="107"/>
      <c r="T951" s="1"/>
      <c r="U951" s="96">
        <f ca="1">F_GAMMA*U$29</f>
        <v>0.64017842058782071</v>
      </c>
      <c r="V951" s="111"/>
      <c r="W951" s="28"/>
      <c r="X951" s="96">
        <f ca="1">F_GAMMA*X$29</f>
        <v>0.63413873724904268</v>
      </c>
      <c r="Y951" s="111"/>
      <c r="Z951" s="28"/>
      <c r="AA951" s="96">
        <f ca="1">F_GAMMA*AA$29</f>
        <v>0.62532411750377137</v>
      </c>
      <c r="AB951" s="111"/>
      <c r="AC951" s="28"/>
      <c r="AD951" s="96">
        <f ca="1">F_GAMMA*AD$29</f>
        <v>0.60651359509139569</v>
      </c>
      <c r="AE951" s="111"/>
      <c r="AF951" s="28"/>
      <c r="AG951" s="96">
        <f ca="1">F_GAMMA*AG$29</f>
        <v>0.57217930198481592</v>
      </c>
      <c r="AH951" s="111"/>
      <c r="AI951" s="28"/>
      <c r="AJ951" s="96">
        <f ca="1">F_GAMMA*AJ$29</f>
        <v>0.53183282018848232</v>
      </c>
      <c r="AK951" s="111"/>
      <c r="AL951" s="28"/>
      <c r="AM951" s="96">
        <f ca="1">F_GAMMA*AM$29</f>
        <v>0.47566512503094399</v>
      </c>
      <c r="AN951" s="111"/>
      <c r="AO951" s="28"/>
      <c r="AP951" s="96">
        <f ca="1">F_GAMMA*AP$29</f>
        <v>0.59054158265645496</v>
      </c>
      <c r="AQ951" s="111"/>
      <c r="AR951" s="28"/>
      <c r="AS951" s="96">
        <f ca="1">F_GAMMA*AS$29</f>
        <v>0.3766899554102966</v>
      </c>
      <c r="AT951" s="111"/>
      <c r="AU951" s="28"/>
    </row>
    <row r="952" spans="15:47" x14ac:dyDescent="0.25">
      <c r="O952" s="2" t="s">
        <v>145</v>
      </c>
      <c r="P952" s="12"/>
      <c r="Q952" s="2"/>
      <c r="R952" s="96">
        <f ca="1">IF(R947&lt;R951,R949,R950)</f>
        <v>0.46613145451678373</v>
      </c>
      <c r="S952" s="116"/>
      <c r="T952" s="1"/>
      <c r="U952" s="96">
        <f ca="1">IF(U947&lt;U951,U949,U950)</f>
        <v>9.0483862092002205</v>
      </c>
      <c r="V952" s="111"/>
      <c r="W952" s="28"/>
      <c r="X952" s="96">
        <f ca="1">IF(X947&lt;X951,X949,X950)</f>
        <v>22.430477370983958</v>
      </c>
      <c r="Y952" s="111"/>
      <c r="Z952" s="28"/>
      <c r="AA952" s="96">
        <f ca="1">IF(AA947&lt;AA951,AA949,AA950)</f>
        <v>45.309623357654381</v>
      </c>
      <c r="AB952" s="111"/>
      <c r="AC952" s="28"/>
      <c r="AD952" s="96">
        <f ca="1">IF(AD947&lt;AD951,AD949,AD950)</f>
        <v>83.362217312396268</v>
      </c>
      <c r="AE952" s="111"/>
      <c r="AF952" s="28"/>
      <c r="AG952" s="96">
        <f ca="1">IF(AG947&lt;AG951,AG949,AG950)</f>
        <v>147.24353604700718</v>
      </c>
      <c r="AH952" s="111"/>
      <c r="AI952" s="28"/>
      <c r="AJ952" s="96">
        <f ca="1">IF(AJ947&lt;AJ951,AJ949,AJ950)</f>
        <v>302.54595801451524</v>
      </c>
      <c r="AK952" s="111"/>
      <c r="AL952" s="28"/>
      <c r="AM952" s="96" t="e">
        <f ca="1">IF(AM947&lt;AM951,AM949,AM950)</f>
        <v>#NUM!</v>
      </c>
      <c r="AN952" s="111"/>
      <c r="AO952" s="28"/>
      <c r="AP952" s="96" t="e">
        <f ca="1">IF(AP947&lt;AP951,AP949,AP950)</f>
        <v>#NUM!</v>
      </c>
      <c r="AQ952" s="111"/>
      <c r="AR952" s="28"/>
      <c r="AS952" s="96" t="e">
        <f ca="1">IF(AS947&lt;AS951,AS949,AS950)</f>
        <v>#NUM!</v>
      </c>
      <c r="AT952" s="111"/>
      <c r="AU952" s="28"/>
    </row>
    <row r="953" spans="15:47" x14ac:dyDescent="0.25">
      <c r="O953" s="13" t="s">
        <v>143</v>
      </c>
      <c r="P953" s="1"/>
      <c r="Q953" s="1"/>
      <c r="R953" s="113"/>
      <c r="S953" s="106">
        <f ca="1">IF(R946&lt;=0,Q_max,ABS(R$23-R952))</f>
        <v>4.2638685454832164</v>
      </c>
      <c r="T953" s="7">
        <f>R942</f>
        <v>1154.2445379474179</v>
      </c>
      <c r="U953" s="98"/>
      <c r="V953" s="106">
        <f ca="1">IF(U946&lt;=0,Q_max,ABS(U$23-U952))</f>
        <v>2.5516137907997791</v>
      </c>
      <c r="W953" s="9">
        <f ca="1">U942</f>
        <v>22356.675339635862</v>
      </c>
      <c r="X953" s="98"/>
      <c r="Y953" s="106">
        <f ca="1">IF(X946&lt;=0,Q_max,ABS(X$23-X952))</f>
        <v>0.569522629016042</v>
      </c>
      <c r="Z953" s="9">
        <f ca="1">X942</f>
        <v>54743.285733140314</v>
      </c>
      <c r="AA953" s="98"/>
      <c r="AB953" s="106">
        <f ca="1">IF(AA946&lt;=0,Q_max,ABS(AA$23-AA952))</f>
        <v>5.9096233576543824</v>
      </c>
      <c r="AC953" s="9">
        <f ca="1">AA942</f>
        <v>106625.94763556248</v>
      </c>
      <c r="AD953" s="98"/>
      <c r="AE953" s="106">
        <f ca="1">IF(AD946&lt;=0,Q_max,ABS(AD$23-AD952))</f>
        <v>22.362217312396268</v>
      </c>
      <c r="AF953" s="9">
        <f ca="1">AD942</f>
        <v>178885.17108867128</v>
      </c>
      <c r="AG953" s="98"/>
      <c r="AH953" s="106">
        <f ca="1">IF(AG946&lt;=0,Q_max,ABS(AG$23-AG952))</f>
        <v>59.04353604700718</v>
      </c>
      <c r="AI953" s="9">
        <f ca="1">AG942</f>
        <v>261087.77934579639</v>
      </c>
      <c r="AJ953" s="98"/>
      <c r="AK953" s="106">
        <f ca="1">IF(AJ946&lt;=0,Q_max,ABS(AJ$23-AJ952))</f>
        <v>181.54595801451524</v>
      </c>
      <c r="AL953" s="9">
        <f ca="1">AJ942</f>
        <v>348422.65366129577</v>
      </c>
      <c r="AM953" s="98"/>
      <c r="AN953" s="106">
        <f ca="1">IF(AM946&lt;=0,Q_max,ABS(AM$23-AM952))</f>
        <v>236393</v>
      </c>
      <c r="AO953" s="9">
        <f ca="1">AM942</f>
        <v>425141.85168975306</v>
      </c>
      <c r="AP953" s="98"/>
      <c r="AQ953" s="106">
        <f ca="1">IF(AP946&lt;=0,Q_max,ABS(AP$23-AP952))</f>
        <v>236393</v>
      </c>
      <c r="AR953" s="9">
        <f ca="1">AP942</f>
        <v>493576.49144031951</v>
      </c>
      <c r="AS953" s="98"/>
      <c r="AT953" s="106">
        <f ca="1">IF(AS946&lt;=0,Q_max,ABS(AS$23-AS952))</f>
        <v>236393</v>
      </c>
      <c r="AU953" s="9">
        <f ca="1">AS942</f>
        <v>578757.25349928334</v>
      </c>
    </row>
    <row r="954" spans="15:47" ht="13.8" x14ac:dyDescent="0.25">
      <c r="O954" s="21"/>
      <c r="P954" s="21"/>
      <c r="Q954" s="21"/>
      <c r="R954" s="114"/>
      <c r="S954" s="117"/>
      <c r="T954" s="25"/>
      <c r="U954" s="99"/>
      <c r="V954" s="111"/>
      <c r="W954" s="28"/>
      <c r="X954" s="99"/>
      <c r="Y954" s="111"/>
      <c r="Z954" s="28"/>
      <c r="AA954" s="99"/>
      <c r="AB954" s="111"/>
      <c r="AC954" s="28"/>
      <c r="AD954" s="99"/>
      <c r="AE954" s="111"/>
      <c r="AF954" s="28"/>
      <c r="AG954" s="99"/>
      <c r="AH954" s="111"/>
      <c r="AI954" s="28"/>
      <c r="AJ954" s="99"/>
      <c r="AK954" s="111"/>
      <c r="AL954" s="28"/>
      <c r="AM954" s="99"/>
      <c r="AN954" s="111"/>
      <c r="AO954" s="28"/>
      <c r="AP954" s="99"/>
      <c r="AQ954" s="111"/>
      <c r="AR954" s="28"/>
      <c r="AS954" s="99"/>
      <c r="AT954" s="111"/>
      <c r="AU954" s="28"/>
    </row>
    <row r="955" spans="15:47" x14ac:dyDescent="0.25">
      <c r="O955" s="1"/>
      <c r="P955" s="1"/>
      <c r="Q955" s="1"/>
      <c r="R955" s="98"/>
      <c r="S955" s="108" t="s">
        <v>137</v>
      </c>
      <c r="T955" s="26" t="s">
        <v>146</v>
      </c>
      <c r="U955" s="98"/>
      <c r="V955" s="108" t="s">
        <v>137</v>
      </c>
      <c r="W955" s="26" t="s">
        <v>146</v>
      </c>
      <c r="X955" s="98"/>
      <c r="Y955" s="108" t="s">
        <v>137</v>
      </c>
      <c r="Z955" s="26" t="s">
        <v>146</v>
      </c>
      <c r="AA955" s="98"/>
      <c r="AB955" s="108" t="s">
        <v>137</v>
      </c>
      <c r="AC955" s="26" t="s">
        <v>146</v>
      </c>
      <c r="AD955" s="98"/>
      <c r="AE955" s="108" t="s">
        <v>137</v>
      </c>
      <c r="AF955" s="26" t="s">
        <v>146</v>
      </c>
      <c r="AG955" s="98"/>
      <c r="AH955" s="108" t="s">
        <v>137</v>
      </c>
      <c r="AI955" s="26" t="s">
        <v>146</v>
      </c>
      <c r="AJ955" s="98"/>
      <c r="AK955" s="108" t="s">
        <v>137</v>
      </c>
      <c r="AL955" s="26" t="s">
        <v>146</v>
      </c>
      <c r="AM955" s="98"/>
      <c r="AN955" s="108" t="s">
        <v>137</v>
      </c>
      <c r="AO955" s="26" t="s">
        <v>146</v>
      </c>
      <c r="AP955" s="98"/>
      <c r="AQ955" s="108" t="s">
        <v>137</v>
      </c>
      <c r="AR955" s="26" t="s">
        <v>146</v>
      </c>
      <c r="AS955" s="98"/>
      <c r="AT955" s="108" t="s">
        <v>137</v>
      </c>
      <c r="AU955" s="26" t="s">
        <v>146</v>
      </c>
    </row>
    <row r="956" spans="15:47" ht="13.8" x14ac:dyDescent="0.25">
      <c r="O956" s="20" t="s">
        <v>136</v>
      </c>
      <c r="P956" s="1"/>
      <c r="Q956" s="1"/>
      <c r="R956" s="96">
        <f>R942*1.02</f>
        <v>1177.3294287063663</v>
      </c>
      <c r="S956" s="109" t="s">
        <v>144</v>
      </c>
      <c r="T956" s="23" t="s">
        <v>147</v>
      </c>
      <c r="U956" s="96">
        <f ca="1">U942*1.01</f>
        <v>22580.242093032222</v>
      </c>
      <c r="V956" s="109" t="s">
        <v>144</v>
      </c>
      <c r="W956" s="23" t="s">
        <v>147</v>
      </c>
      <c r="X956" s="96">
        <f ca="1">X942*1.01</f>
        <v>55290.718590471719</v>
      </c>
      <c r="Y956" s="109" t="s">
        <v>144</v>
      </c>
      <c r="Z956" s="23" t="s">
        <v>147</v>
      </c>
      <c r="AA956" s="96">
        <f ca="1">AA942*1.01</f>
        <v>107692.20711191811</v>
      </c>
      <c r="AB956" s="109" t="s">
        <v>144</v>
      </c>
      <c r="AC956" s="23" t="s">
        <v>147</v>
      </c>
      <c r="AD956" s="96">
        <f ca="1">AD942*1.01</f>
        <v>180674.02279955801</v>
      </c>
      <c r="AE956" s="109" t="s">
        <v>144</v>
      </c>
      <c r="AF956" s="23" t="s">
        <v>147</v>
      </c>
      <c r="AG956" s="96">
        <f ca="1">AG942*1.01</f>
        <v>263698.65713925433</v>
      </c>
      <c r="AH956" s="109" t="s">
        <v>144</v>
      </c>
      <c r="AI956" s="23" t="s">
        <v>147</v>
      </c>
      <c r="AJ956" s="96">
        <f ca="1">AJ942*1.01</f>
        <v>351906.88019790873</v>
      </c>
      <c r="AK956" s="109" t="s">
        <v>144</v>
      </c>
      <c r="AL956" s="23" t="s">
        <v>147</v>
      </c>
      <c r="AM956" s="96">
        <f ca="1">AM942*1.01</f>
        <v>429393.2702066506</v>
      </c>
      <c r="AN956" s="109" t="s">
        <v>144</v>
      </c>
      <c r="AO956" s="23" t="s">
        <v>147</v>
      </c>
      <c r="AP956" s="96">
        <f ca="1">AP942*1.01</f>
        <v>498512.25635472272</v>
      </c>
      <c r="AQ956" s="109" t="s">
        <v>144</v>
      </c>
      <c r="AR956" s="23" t="s">
        <v>147</v>
      </c>
      <c r="AS956" s="96">
        <f ca="1">AS942*1.01</f>
        <v>584544.82603427616</v>
      </c>
      <c r="AT956" s="109" t="s">
        <v>144</v>
      </c>
      <c r="AU956" s="23" t="s">
        <v>147</v>
      </c>
    </row>
    <row r="957" spans="15:47" x14ac:dyDescent="0.25">
      <c r="O957" s="1"/>
      <c r="P957" s="1"/>
      <c r="Q957" s="1"/>
      <c r="R957" s="98"/>
      <c r="S957" s="107"/>
      <c r="T957" s="1"/>
      <c r="U957" s="47"/>
      <c r="V957" s="107"/>
      <c r="W957" s="1"/>
      <c r="X957" s="47"/>
      <c r="Y957" s="107"/>
      <c r="Z957" s="1"/>
      <c r="AA957" s="47"/>
      <c r="AB957" s="107"/>
      <c r="AC957" s="1"/>
      <c r="AD957" s="47"/>
      <c r="AE957" s="107"/>
      <c r="AF957" s="1"/>
      <c r="AG957" s="47"/>
      <c r="AH957" s="107"/>
      <c r="AI957" s="1"/>
      <c r="AJ957" s="47"/>
      <c r="AK957" s="107"/>
      <c r="AL957" s="1"/>
      <c r="AM957" s="47"/>
      <c r="AN957" s="107"/>
      <c r="AO957" s="1"/>
      <c r="AP957" s="47"/>
      <c r="AQ957" s="107"/>
      <c r="AR957" s="1"/>
      <c r="AS957" s="47"/>
      <c r="AT957" s="107"/>
      <c r="AU957" s="1"/>
    </row>
    <row r="958" spans="15:47" x14ac:dyDescent="0.25">
      <c r="O958" s="8" t="s">
        <v>132</v>
      </c>
      <c r="P958" s="8"/>
      <c r="Q958" s="8"/>
      <c r="R958" s="96">
        <f>P_1_minQ-(R956^2*R_up)+dpup_minQ</f>
        <v>90.184787897571098</v>
      </c>
      <c r="S958" s="106"/>
      <c r="T958" s="22"/>
      <c r="U958" s="96">
        <f ca="1">P_1_minQ-(U956^2*R_up)+dpup_minQ</f>
        <v>90.092111645554951</v>
      </c>
      <c r="V958" s="107"/>
      <c r="W958" s="1"/>
      <c r="X958" s="96">
        <f ca="1">P_1_minQ-(X956^2*R_up)+dpup_minQ</f>
        <v>89.627857339800073</v>
      </c>
      <c r="Y958" s="107"/>
      <c r="Z958" s="1"/>
      <c r="AA958" s="96">
        <f ca="1">P_1_minQ-(AA956^2*R_up)+dpup_minQ</f>
        <v>88.071249295496642</v>
      </c>
      <c r="AB958" s="107"/>
      <c r="AC958" s="1"/>
      <c r="AD958" s="96">
        <f ca="1">P_1_minQ-(AD956^2*R_up)+dpup_minQ</f>
        <v>84.235478921518478</v>
      </c>
      <c r="AE958" s="107"/>
      <c r="AF958" s="1"/>
      <c r="AG958" s="96">
        <f ca="1">P_1_minQ-(AG956^2*R_up)+dpup_minQ</f>
        <v>77.511166869397542</v>
      </c>
      <c r="AH958" s="107"/>
      <c r="AI958" s="1"/>
      <c r="AJ958" s="96">
        <f ca="1">P_1_minQ-(AJ956^2*R_up)+dpup_minQ</f>
        <v>67.614131366743024</v>
      </c>
      <c r="AK958" s="107"/>
      <c r="AL958" s="1"/>
      <c r="AM958" s="96">
        <f ca="1">P_1_minQ-(AM956^2*R_up)+dpup_minQ</f>
        <v>56.580032442587701</v>
      </c>
      <c r="AN958" s="107"/>
      <c r="AO958" s="1"/>
      <c r="AP958" s="96">
        <f ca="1">P_1_minQ-(AP956^2*R_up)+dpup_minQ</f>
        <v>44.890566829538912</v>
      </c>
      <c r="AQ958" s="107"/>
      <c r="AR958" s="1"/>
      <c r="AS958" s="96">
        <f ca="1">P_1_minQ-(AS956^2*R_up)+dpup_minQ</f>
        <v>27.907826126483286</v>
      </c>
      <c r="AT958" s="107"/>
      <c r="AU958" s="1"/>
    </row>
    <row r="959" spans="15:47" x14ac:dyDescent="0.25">
      <c r="O959" s="8" t="s">
        <v>134</v>
      </c>
      <c r="P959" s="1"/>
      <c r="Q959" s="8"/>
      <c r="R959" s="97">
        <f>P_2_minQ+(R956^2*R_dn)-dpdn_minQ</f>
        <v>60</v>
      </c>
      <c r="S959" s="106"/>
      <c r="T959" s="22"/>
      <c r="U959" s="97">
        <f ca="1">P_2_minQ+(U956^2*R_dn)-dpdn_minQ</f>
        <v>60</v>
      </c>
      <c r="V959" s="107"/>
      <c r="W959" s="1"/>
      <c r="X959" s="97">
        <f ca="1">P_2_minQ+(X956^2*R_dn)-dpdn_minQ</f>
        <v>60</v>
      </c>
      <c r="Y959" s="107"/>
      <c r="Z959" s="1"/>
      <c r="AA959" s="97">
        <f ca="1">P_2_minQ+(AA956^2*R_dn)-dpdn_minQ</f>
        <v>60</v>
      </c>
      <c r="AB959" s="107"/>
      <c r="AC959" s="1"/>
      <c r="AD959" s="97">
        <f ca="1">P_2_minQ+(AD956^2*R_dn)-dpdn_minQ</f>
        <v>60</v>
      </c>
      <c r="AE959" s="107"/>
      <c r="AF959" s="1"/>
      <c r="AG959" s="97">
        <f ca="1">P_2_minQ+(AG956^2*R_dn)-dpdn_minQ</f>
        <v>60</v>
      </c>
      <c r="AH959" s="107"/>
      <c r="AI959" s="1"/>
      <c r="AJ959" s="97">
        <f ca="1">P_2_minQ+(AJ956^2*R_dn)-dpdn_minQ</f>
        <v>60</v>
      </c>
      <c r="AK959" s="107"/>
      <c r="AL959" s="1"/>
      <c r="AM959" s="97">
        <f ca="1">P_2_minQ+(AM956^2*R_dn)-dpdn_minQ</f>
        <v>60</v>
      </c>
      <c r="AN959" s="107"/>
      <c r="AO959" s="1"/>
      <c r="AP959" s="97">
        <f ca="1">P_2_minQ+(AP956^2*R_dn)-dpdn_minQ</f>
        <v>60</v>
      </c>
      <c r="AQ959" s="107"/>
      <c r="AR959" s="1"/>
      <c r="AS959" s="97">
        <f ca="1">P_2_minQ+(AS956^2*R_dn)-dpdn_minQ</f>
        <v>60</v>
      </c>
      <c r="AT959" s="107"/>
      <c r="AU959" s="1"/>
    </row>
    <row r="960" spans="15:47" x14ac:dyDescent="0.25">
      <c r="O960" s="8" t="s">
        <v>138</v>
      </c>
      <c r="P960" s="1"/>
      <c r="Q960" s="8"/>
      <c r="R960" s="97">
        <f>R958-R959</f>
        <v>30.184787897571098</v>
      </c>
      <c r="S960" s="106"/>
      <c r="T960" s="22"/>
      <c r="U960" s="97">
        <f ca="1">U958-U959</f>
        <v>30.092111645554951</v>
      </c>
      <c r="V960" s="110"/>
      <c r="W960" s="25"/>
      <c r="X960" s="97">
        <f ca="1">X958-X959</f>
        <v>29.627857339800073</v>
      </c>
      <c r="Y960" s="110"/>
      <c r="Z960" s="25"/>
      <c r="AA960" s="97">
        <f ca="1">AA958-AA959</f>
        <v>28.071249295496642</v>
      </c>
      <c r="AB960" s="110"/>
      <c r="AC960" s="25"/>
      <c r="AD960" s="97">
        <f ca="1">AD958-AD959</f>
        <v>24.235478921518478</v>
      </c>
      <c r="AE960" s="110"/>
      <c r="AF960" s="25"/>
      <c r="AG960" s="97">
        <f ca="1">AG958-AG959</f>
        <v>17.511166869397542</v>
      </c>
      <c r="AH960" s="110"/>
      <c r="AI960" s="25"/>
      <c r="AJ960" s="97">
        <f ca="1">AJ958-AJ959</f>
        <v>7.6141313667430239</v>
      </c>
      <c r="AK960" s="110"/>
      <c r="AL960" s="25"/>
      <c r="AM960" s="97">
        <f ca="1">AM958-AM959</f>
        <v>-3.4199675574122992</v>
      </c>
      <c r="AN960" s="110"/>
      <c r="AO960" s="25"/>
      <c r="AP960" s="97">
        <f ca="1">AP958-AP959</f>
        <v>-15.109433170461088</v>
      </c>
      <c r="AQ960" s="110"/>
      <c r="AR960" s="25"/>
      <c r="AS960" s="97">
        <f ca="1">AS958-AS959</f>
        <v>-32.092173873516714</v>
      </c>
      <c r="AT960" s="110"/>
      <c r="AU960" s="25"/>
    </row>
    <row r="961" spans="15:47" ht="14.4" x14ac:dyDescent="0.3">
      <c r="O961" s="2" t="s">
        <v>140</v>
      </c>
      <c r="P961" s="11"/>
      <c r="Q961" s="2"/>
      <c r="R961" s="96">
        <f>R960/R958</f>
        <v>0.33469932791607809</v>
      </c>
      <c r="S961" s="106"/>
      <c r="T961" s="22"/>
      <c r="U961" s="96">
        <f ca="1">U960/U958</f>
        <v>0.3340149442155923</v>
      </c>
      <c r="V961" s="111"/>
      <c r="W961" s="28"/>
      <c r="X961" s="96">
        <f ca="1">X960/X958</f>
        <v>0.33056527534150426</v>
      </c>
      <c r="Y961" s="111"/>
      <c r="Z961" s="28"/>
      <c r="AA961" s="96">
        <f ca="1">AA960/AA958</f>
        <v>0.31873340641861442</v>
      </c>
      <c r="AB961" s="111"/>
      <c r="AC961" s="28"/>
      <c r="AD961" s="96">
        <f ca="1">AD960/AD958</f>
        <v>0.28771105989791401</v>
      </c>
      <c r="AE961" s="111"/>
      <c r="AF961" s="28"/>
      <c r="AG961" s="96">
        <f ca="1">AG960/AG958</f>
        <v>0.2259179880352335</v>
      </c>
      <c r="AH961" s="111"/>
      <c r="AI961" s="28"/>
      <c r="AJ961" s="96">
        <f ca="1">AJ960/AJ958</f>
        <v>0.11261153863596247</v>
      </c>
      <c r="AK961" s="111"/>
      <c r="AL961" s="28"/>
      <c r="AM961" s="96">
        <f ca="1">AM960/AM958</f>
        <v>-6.0444779010732683E-2</v>
      </c>
      <c r="AN961" s="111"/>
      <c r="AO961" s="28"/>
      <c r="AP961" s="96">
        <f ca="1">AP960/AP958</f>
        <v>-0.33658370204670196</v>
      </c>
      <c r="AQ961" s="111"/>
      <c r="AR961" s="28"/>
      <c r="AS961" s="96">
        <f ca="1">AS960/AS958</f>
        <v>-1.1499345641638017</v>
      </c>
      <c r="AT961" s="111"/>
      <c r="AU961" s="28"/>
    </row>
    <row r="962" spans="15:47" x14ac:dyDescent="0.25">
      <c r="O962" s="2" t="s">
        <v>21</v>
      </c>
      <c r="P962" s="8">
        <v>12</v>
      </c>
      <c r="Q962" s="2"/>
      <c r="R962" s="96">
        <f ca="1">1-R961/(3*F_GAMMA*R$29)</f>
        <v>0.82568552198111189</v>
      </c>
      <c r="S962" s="106"/>
      <c r="T962" s="22"/>
      <c r="U962" s="96">
        <f ca="1">1-U961/(3*F_GAMMA*U$29)</f>
        <v>0.82608236835553073</v>
      </c>
      <c r="V962" s="111"/>
      <c r="W962" s="28"/>
      <c r="X962" s="96">
        <f ca="1">1-X961/(3*F_GAMMA*X$29)</f>
        <v>0.82623924601760934</v>
      </c>
      <c r="Y962" s="111"/>
      <c r="Z962" s="28"/>
      <c r="AA962" s="96">
        <f ca="1">1-AA961/(3*F_GAMMA*AA$29)</f>
        <v>0.83009695958901819</v>
      </c>
      <c r="AB962" s="111"/>
      <c r="AC962" s="28"/>
      <c r="AD962" s="96">
        <f ca="1">1-AD961/(3*F_GAMMA*AD$29)</f>
        <v>0.84187710315349773</v>
      </c>
      <c r="AE962" s="111"/>
      <c r="AF962" s="28"/>
      <c r="AG962" s="96">
        <f ca="1">1-AG961/(3*F_GAMMA*AG$29)</f>
        <v>0.86838741675814246</v>
      </c>
      <c r="AH962" s="111"/>
      <c r="AI962" s="28"/>
      <c r="AJ962" s="96">
        <f ca="1">1-AJ961/(3*F_GAMMA*AJ$29)</f>
        <v>0.92941921197714428</v>
      </c>
      <c r="AK962" s="111"/>
      <c r="AL962" s="28"/>
      <c r="AM962" s="96">
        <f ca="1">1-AM961/(3*F_GAMMA*AM$29)</f>
        <v>1.0423580763229878</v>
      </c>
      <c r="AN962" s="111"/>
      <c r="AO962" s="28"/>
      <c r="AP962" s="96">
        <f ca="1">1-AP961/(3*F_GAMMA*AP$29)</f>
        <v>1.1899858886214443</v>
      </c>
      <c r="AQ962" s="111"/>
      <c r="AR962" s="28"/>
      <c r="AS962" s="96">
        <f ca="1">1-AS961/(3*F_GAMMA*AS$29)</f>
        <v>2.017578291861871</v>
      </c>
      <c r="AT962" s="111"/>
      <c r="AU962" s="28"/>
    </row>
    <row r="963" spans="15:47" x14ac:dyDescent="0.25">
      <c r="O963" s="2" t="s">
        <v>57</v>
      </c>
      <c r="P963" s="143">
        <v>7</v>
      </c>
      <c r="Q963" s="2"/>
      <c r="R963" s="96">
        <f ca="1">(R956/(N_9*R$27*R958*R962))*SQRT(M*'Valve Sizing'!$W$6*'Valve Sizing'!$G$8/R961)</f>
        <v>0.47545416502408361</v>
      </c>
      <c r="S963" s="107"/>
      <c r="T963" s="22"/>
      <c r="U963" s="96">
        <f ca="1">(U956/(N_9*U$27*U958*U962))*SQRT(M*'Valve Sizing'!$W$6*'Valve Sizing'!$G$8/U961)</f>
        <v>9.1391630127920465</v>
      </c>
      <c r="V963" s="111"/>
      <c r="W963" s="28"/>
      <c r="X963" s="96">
        <f ca="1">(X956/(N_9*X$27*X958*X962))*SQRT(M*'Valve Sizing'!$W$6*'Valve Sizing'!$G$8/X961)</f>
        <v>22.659184889041018</v>
      </c>
      <c r="Y963" s="111"/>
      <c r="Z963" s="28"/>
      <c r="AA963" s="96">
        <f ca="1">(AA956/(N_9*AA$27*AA958*AA962))*SQRT(M*'Valve Sizing'!$W$6*'Valve Sizing'!$G$8/AA961)</f>
        <v>45.798011600590144</v>
      </c>
      <c r="AB963" s="111"/>
      <c r="AC963" s="28"/>
      <c r="AD963" s="96">
        <f ca="1">(AD956/(N_9*AD$27*AD958*AD962))*SQRT(M*'Valve Sizing'!$W$6*'Valve Sizing'!$G$8/AD961)</f>
        <v>84.403355909060267</v>
      </c>
      <c r="AE963" s="111"/>
      <c r="AF963" s="28"/>
      <c r="AG963" s="96">
        <f ca="1">(AG956/(N_9*AG$27*AG958*AG962))*SQRT(M*'Valve Sizing'!$W$6*'Valve Sizing'!$G$8/AG961)</f>
        <v>149.76352562840472</v>
      </c>
      <c r="AH963" s="111"/>
      <c r="AI963" s="28"/>
      <c r="AJ963" s="96">
        <f ca="1">(AJ956/(N_9*AJ$27*AJ958*AJ962))*SQRT(M*'Valve Sizing'!$W$6*'Valve Sizing'!$G$8/AJ961)</f>
        <v>314.16772843938458</v>
      </c>
      <c r="AK963" s="111"/>
      <c r="AL963" s="28"/>
      <c r="AM963" s="96" t="e">
        <f ca="1">(AM956/(N_9*AM$27*AM958*AM962))*SQRT(M*'Valve Sizing'!$W$6*'Valve Sizing'!$G$8/AM961)</f>
        <v>#NUM!</v>
      </c>
      <c r="AN963" s="111"/>
      <c r="AO963" s="28"/>
      <c r="AP963" s="96" t="e">
        <f ca="1">(AP956/(N_9*AP$27*AP958*AP962))*SQRT(M*'Valve Sizing'!$W$6*'Valve Sizing'!$G$8/AP961)</f>
        <v>#NUM!</v>
      </c>
      <c r="AQ963" s="111"/>
      <c r="AR963" s="28"/>
      <c r="AS963" s="96" t="e">
        <f ca="1">(AS956/(N_9*AS$27*AS958*AS962))*SQRT(M*'Valve Sizing'!$W$6*'Valve Sizing'!$G$8/AS961)</f>
        <v>#NUM!</v>
      </c>
      <c r="AT963" s="111"/>
      <c r="AU963" s="28"/>
    </row>
    <row r="964" spans="15:47" x14ac:dyDescent="0.25">
      <c r="O964" s="2" t="s">
        <v>59</v>
      </c>
      <c r="P964" s="143">
        <v>7</v>
      </c>
      <c r="Q964" s="2"/>
      <c r="R964" s="96">
        <f ca="1">(R956/(N_9*R$27*R958*0.667))*SQRT(M*'Valve Sizing'!$W$6*'Valve Sizing'!$G$8/R965)</f>
        <v>0.42562276530892901</v>
      </c>
      <c r="S964" s="107"/>
      <c r="T964" s="22"/>
      <c r="U964" s="96">
        <f ca="1">(U956/(N_9*U$27*U958*0.667))*SQRT(M*'Valve Sizing'!$W$6*'Valve Sizing'!$G$8/U965)</f>
        <v>8.1759151633575158</v>
      </c>
      <c r="V964" s="111"/>
      <c r="W964" s="28"/>
      <c r="X964" s="96">
        <f ca="1">(X956/(N_9*X$27*X958*0.667))*SQRT(M*'Valve Sizing'!$W$6*'Valve Sizing'!$G$8/X965)</f>
        <v>20.265659557258999</v>
      </c>
      <c r="Y964" s="111"/>
      <c r="Z964" s="28"/>
      <c r="AA964" s="96">
        <f ca="1">(AA956/(N_9*AA$27*AA958*0.667))*SQRT(M*'Valve Sizing'!$W$6*'Valve Sizing'!$G$8/AA965)</f>
        <v>40.692166674632141</v>
      </c>
      <c r="AB964" s="111"/>
      <c r="AC964" s="28"/>
      <c r="AD964" s="96">
        <f ca="1">(AD956/(N_9*AD$27*AD958*0.667))*SQRT(M*'Valve Sizing'!$W$6*'Valve Sizing'!$G$8/AD965)</f>
        <v>73.373728297131265</v>
      </c>
      <c r="AE964" s="111"/>
      <c r="AF964" s="28"/>
      <c r="AG964" s="96">
        <f ca="1">(AG956/(N_9*AG$27*AG958*0.667))*SQRT(M*'Valve Sizing'!$W$6*'Valve Sizing'!$G$8/AG965)</f>
        <v>122.5188966946366</v>
      </c>
      <c r="AH964" s="111"/>
      <c r="AI964" s="28"/>
      <c r="AJ964" s="96">
        <f ca="1">(AJ956/(N_9*AJ$27*AJ958*0.667))*SQRT(M*'Valve Sizing'!$W$6*'Valve Sizing'!$G$8/AJ965)</f>
        <v>201.44257407989102</v>
      </c>
      <c r="AK964" s="111"/>
      <c r="AL964" s="28"/>
      <c r="AM964" s="96">
        <f ca="1">(AM956/(N_9*AM$27*AM958*0.667))*SQRT(M*'Valve Sizing'!$W$6*'Valve Sizing'!$G$8/AM965)</f>
        <v>329.54036872401662</v>
      </c>
      <c r="AN964" s="111"/>
      <c r="AO964" s="28"/>
      <c r="AP964" s="96">
        <f ca="1">(AP956/(N_9*AP$27*AP958*0.667))*SQRT(M*'Valve Sizing'!$W$6*'Valve Sizing'!$G$8/AP965)</f>
        <v>492.58276523744206</v>
      </c>
      <c r="AQ964" s="111"/>
      <c r="AR964" s="28"/>
      <c r="AS964" s="96">
        <f ca="1">(AS956/(N_9*AS$27*AS958*0.667))*SQRT(M*'Valve Sizing'!$W$6*'Valve Sizing'!$G$8/AS965)</f>
        <v>1558.0827355328122</v>
      </c>
      <c r="AT964" s="111"/>
      <c r="AU964" s="28"/>
    </row>
    <row r="965" spans="15:47" ht="15.6" x14ac:dyDescent="0.35">
      <c r="O965" s="2" t="s">
        <v>68</v>
      </c>
      <c r="P965" s="143">
        <v>10</v>
      </c>
      <c r="Q965" s="2"/>
      <c r="R965" s="96">
        <f ca="1">F_GAMMA*R$29</f>
        <v>0.64002969751372984</v>
      </c>
      <c r="S965" s="107"/>
      <c r="T965" s="1"/>
      <c r="U965" s="96">
        <f ca="1">F_GAMMA*U$29</f>
        <v>0.64017842058782071</v>
      </c>
      <c r="V965" s="111"/>
      <c r="W965" s="28"/>
      <c r="X965" s="96">
        <f ca="1">F_GAMMA*X$29</f>
        <v>0.63413873724904268</v>
      </c>
      <c r="Y965" s="111"/>
      <c r="Z965" s="28"/>
      <c r="AA965" s="96">
        <f ca="1">F_GAMMA*AA$29</f>
        <v>0.62532411750377137</v>
      </c>
      <c r="AB965" s="111"/>
      <c r="AC965" s="28"/>
      <c r="AD965" s="96">
        <f ca="1">F_GAMMA*AD$29</f>
        <v>0.60651359509139569</v>
      </c>
      <c r="AE965" s="111"/>
      <c r="AF965" s="28"/>
      <c r="AG965" s="96">
        <f ca="1">F_GAMMA*AG$29</f>
        <v>0.57217930198481592</v>
      </c>
      <c r="AH965" s="111"/>
      <c r="AI965" s="28"/>
      <c r="AJ965" s="96">
        <f ca="1">F_GAMMA*AJ$29</f>
        <v>0.53183282018848232</v>
      </c>
      <c r="AK965" s="111"/>
      <c r="AL965" s="28"/>
      <c r="AM965" s="96">
        <f ca="1">F_GAMMA*AM$29</f>
        <v>0.47566512503094399</v>
      </c>
      <c r="AN965" s="111"/>
      <c r="AO965" s="28"/>
      <c r="AP965" s="96">
        <f ca="1">F_GAMMA*AP$29</f>
        <v>0.59054158265645496</v>
      </c>
      <c r="AQ965" s="111"/>
      <c r="AR965" s="28"/>
      <c r="AS965" s="96">
        <f ca="1">F_GAMMA*AS$29</f>
        <v>0.3766899554102966</v>
      </c>
      <c r="AT965" s="111"/>
      <c r="AU965" s="28"/>
    </row>
    <row r="966" spans="15:47" x14ac:dyDescent="0.25">
      <c r="O966" s="2" t="s">
        <v>145</v>
      </c>
      <c r="P966" s="12"/>
      <c r="Q966" s="2"/>
      <c r="R966" s="96">
        <f ca="1">IF(R961&lt;R965,R963,R964)</f>
        <v>0.47545416502408361</v>
      </c>
      <c r="S966" s="116"/>
      <c r="T966" s="1"/>
      <c r="U966" s="96">
        <f ca="1">IF(U961&lt;U965,U963,U964)</f>
        <v>9.1391630127920465</v>
      </c>
      <c r="V966" s="111"/>
      <c r="W966" s="28"/>
      <c r="X966" s="96">
        <f ca="1">IF(X961&lt;X965,X963,X964)</f>
        <v>22.659184889041018</v>
      </c>
      <c r="Y966" s="111"/>
      <c r="Z966" s="28"/>
      <c r="AA966" s="96">
        <f ca="1">IF(AA961&lt;AA965,AA963,AA964)</f>
        <v>45.798011600590144</v>
      </c>
      <c r="AB966" s="111"/>
      <c r="AC966" s="28"/>
      <c r="AD966" s="96">
        <f ca="1">IF(AD961&lt;AD965,AD963,AD964)</f>
        <v>84.403355909060267</v>
      </c>
      <c r="AE966" s="111"/>
      <c r="AF966" s="28"/>
      <c r="AG966" s="96">
        <f ca="1">IF(AG961&lt;AG965,AG963,AG964)</f>
        <v>149.76352562840472</v>
      </c>
      <c r="AH966" s="111"/>
      <c r="AI966" s="28"/>
      <c r="AJ966" s="96">
        <f ca="1">IF(AJ961&lt;AJ965,AJ963,AJ964)</f>
        <v>314.16772843938458</v>
      </c>
      <c r="AK966" s="111"/>
      <c r="AL966" s="28"/>
      <c r="AM966" s="96" t="e">
        <f ca="1">IF(AM961&lt;AM965,AM963,AM964)</f>
        <v>#NUM!</v>
      </c>
      <c r="AN966" s="111"/>
      <c r="AO966" s="28"/>
      <c r="AP966" s="96" t="e">
        <f ca="1">IF(AP961&lt;AP965,AP963,AP964)</f>
        <v>#NUM!</v>
      </c>
      <c r="AQ966" s="111"/>
      <c r="AR966" s="28"/>
      <c r="AS966" s="96" t="e">
        <f ca="1">IF(AS961&lt;AS965,AS963,AS964)</f>
        <v>#NUM!</v>
      </c>
      <c r="AT966" s="111"/>
      <c r="AU966" s="28"/>
    </row>
    <row r="967" spans="15:47" x14ac:dyDescent="0.25">
      <c r="O967" s="13" t="s">
        <v>143</v>
      </c>
      <c r="P967" s="1"/>
      <c r="Q967" s="1"/>
      <c r="R967" s="113"/>
      <c r="S967" s="106">
        <f ca="1">IF(R960&lt;=0,Q_max,ABS(R$23-R966))</f>
        <v>4.2545458349759171</v>
      </c>
      <c r="T967" s="7">
        <f>R956</f>
        <v>1177.3294287063663</v>
      </c>
      <c r="U967" s="98"/>
      <c r="V967" s="106">
        <f ca="1">IF(U960&lt;=0,Q_max,ABS(U$23-U966))</f>
        <v>2.4608369872079532</v>
      </c>
      <c r="W967" s="9">
        <f ca="1">U956</f>
        <v>22580.242093032222</v>
      </c>
      <c r="X967" s="98"/>
      <c r="Y967" s="106">
        <f ca="1">IF(X960&lt;=0,Q_max,ABS(X$23-X966))</f>
        <v>0.34081511095898165</v>
      </c>
      <c r="Z967" s="9">
        <f ca="1">X956</f>
        <v>55290.718590471719</v>
      </c>
      <c r="AA967" s="98"/>
      <c r="AB967" s="106">
        <f ca="1">IF(AA960&lt;=0,Q_max,ABS(AA$23-AA966))</f>
        <v>6.3980116005901451</v>
      </c>
      <c r="AC967" s="9">
        <f ca="1">AA956</f>
        <v>107692.20711191811</v>
      </c>
      <c r="AD967" s="98"/>
      <c r="AE967" s="106">
        <f ca="1">IF(AD960&lt;=0,Q_max,ABS(AD$23-AD966))</f>
        <v>23.403355909060267</v>
      </c>
      <c r="AF967" s="9">
        <f ca="1">AD956</f>
        <v>180674.02279955801</v>
      </c>
      <c r="AG967" s="98"/>
      <c r="AH967" s="106">
        <f ca="1">IF(AG960&lt;=0,Q_max,ABS(AG$23-AG966))</f>
        <v>61.563525628404719</v>
      </c>
      <c r="AI967" s="9">
        <f ca="1">AG956</f>
        <v>263698.65713925433</v>
      </c>
      <c r="AJ967" s="98"/>
      <c r="AK967" s="106">
        <f ca="1">IF(AJ960&lt;=0,Q_max,ABS(AJ$23-AJ966))</f>
        <v>193.16772843938458</v>
      </c>
      <c r="AL967" s="9">
        <f ca="1">AJ956</f>
        <v>351906.88019790873</v>
      </c>
      <c r="AM967" s="98"/>
      <c r="AN967" s="106">
        <f ca="1">IF(AM960&lt;=0,Q_max,ABS(AM$23-AM966))</f>
        <v>236393</v>
      </c>
      <c r="AO967" s="9">
        <f ca="1">AM956</f>
        <v>429393.2702066506</v>
      </c>
      <c r="AP967" s="98"/>
      <c r="AQ967" s="106">
        <f ca="1">IF(AP960&lt;=0,Q_max,ABS(AP$23-AP966))</f>
        <v>236393</v>
      </c>
      <c r="AR967" s="9">
        <f ca="1">AP956</f>
        <v>498512.25635472272</v>
      </c>
      <c r="AS967" s="98"/>
      <c r="AT967" s="106">
        <f ca="1">IF(AS960&lt;=0,Q_max,ABS(AS$23-AS966))</f>
        <v>236393</v>
      </c>
      <c r="AU967" s="9">
        <f ca="1">AS956</f>
        <v>584544.82603427616</v>
      </c>
    </row>
    <row r="968" spans="15:47" x14ac:dyDescent="0.25">
      <c r="O968" s="21"/>
      <c r="P968" s="14"/>
      <c r="Q968" s="21"/>
      <c r="R968" s="97"/>
      <c r="S968" s="106"/>
      <c r="T968" s="28"/>
      <c r="U968" s="97"/>
      <c r="V968" s="111"/>
      <c r="W968" s="28"/>
      <c r="X968" s="97"/>
      <c r="Y968" s="111"/>
      <c r="Z968" s="28"/>
      <c r="AA968" s="97"/>
      <c r="AB968" s="111"/>
      <c r="AC968" s="28"/>
      <c r="AD968" s="97"/>
      <c r="AE968" s="111"/>
      <c r="AF968" s="28"/>
      <c r="AG968" s="97"/>
      <c r="AH968" s="111"/>
      <c r="AI968" s="28"/>
      <c r="AJ968" s="97"/>
      <c r="AK968" s="111"/>
      <c r="AL968" s="28"/>
      <c r="AM968" s="97"/>
      <c r="AN968" s="111"/>
      <c r="AO968" s="28"/>
      <c r="AP968" s="97"/>
      <c r="AQ968" s="111"/>
      <c r="AR968" s="28"/>
      <c r="AS968" s="97"/>
      <c r="AT968" s="111"/>
      <c r="AU968" s="28"/>
    </row>
    <row r="969" spans="15:47" x14ac:dyDescent="0.25">
      <c r="O969" s="1"/>
      <c r="P969" s="1"/>
      <c r="Q969" s="1"/>
      <c r="R969" s="98"/>
      <c r="S969" s="108" t="s">
        <v>137</v>
      </c>
      <c r="T969" s="26" t="s">
        <v>146</v>
      </c>
      <c r="U969" s="98"/>
      <c r="V969" s="108" t="s">
        <v>137</v>
      </c>
      <c r="W969" s="26" t="s">
        <v>146</v>
      </c>
      <c r="X969" s="98"/>
      <c r="Y969" s="108" t="s">
        <v>137</v>
      </c>
      <c r="Z969" s="26" t="s">
        <v>146</v>
      </c>
      <c r="AA969" s="98"/>
      <c r="AB969" s="108" t="s">
        <v>137</v>
      </c>
      <c r="AC969" s="26" t="s">
        <v>146</v>
      </c>
      <c r="AD969" s="98"/>
      <c r="AE969" s="108" t="s">
        <v>137</v>
      </c>
      <c r="AF969" s="26" t="s">
        <v>146</v>
      </c>
      <c r="AG969" s="98"/>
      <c r="AH969" s="108" t="s">
        <v>137</v>
      </c>
      <c r="AI969" s="26" t="s">
        <v>146</v>
      </c>
      <c r="AJ969" s="98"/>
      <c r="AK969" s="108" t="s">
        <v>137</v>
      </c>
      <c r="AL969" s="26" t="s">
        <v>146</v>
      </c>
      <c r="AM969" s="98"/>
      <c r="AN969" s="108" t="s">
        <v>137</v>
      </c>
      <c r="AO969" s="26" t="s">
        <v>146</v>
      </c>
      <c r="AP969" s="98"/>
      <c r="AQ969" s="108" t="s">
        <v>137</v>
      </c>
      <c r="AR969" s="26" t="s">
        <v>146</v>
      </c>
      <c r="AS969" s="98"/>
      <c r="AT969" s="108" t="s">
        <v>137</v>
      </c>
      <c r="AU969" s="26" t="s">
        <v>146</v>
      </c>
    </row>
    <row r="970" spans="15:47" ht="13.8" x14ac:dyDescent="0.25">
      <c r="O970" s="20" t="s">
        <v>136</v>
      </c>
      <c r="P970" s="1"/>
      <c r="Q970" s="1"/>
      <c r="R970" s="96">
        <f>R956*1.02</f>
        <v>1200.8760172804937</v>
      </c>
      <c r="S970" s="109" t="s">
        <v>144</v>
      </c>
      <c r="T970" s="23" t="s">
        <v>147</v>
      </c>
      <c r="U970" s="96">
        <f ca="1">U956*1.01</f>
        <v>22806.044513962544</v>
      </c>
      <c r="V970" s="109" t="s">
        <v>144</v>
      </c>
      <c r="W970" s="23" t="s">
        <v>147</v>
      </c>
      <c r="X970" s="96">
        <f ca="1">X956*1.01</f>
        <v>55843.625776376437</v>
      </c>
      <c r="Y970" s="109" t="s">
        <v>144</v>
      </c>
      <c r="Z970" s="23" t="s">
        <v>147</v>
      </c>
      <c r="AA970" s="96">
        <f ca="1">AA956*1.01</f>
        <v>108769.12918303729</v>
      </c>
      <c r="AB970" s="109" t="s">
        <v>144</v>
      </c>
      <c r="AC970" s="23" t="s">
        <v>147</v>
      </c>
      <c r="AD970" s="96">
        <f ca="1">AD956*1.01</f>
        <v>182480.76302755359</v>
      </c>
      <c r="AE970" s="109" t="s">
        <v>144</v>
      </c>
      <c r="AF970" s="23" t="s">
        <v>147</v>
      </c>
      <c r="AG970" s="96">
        <f ca="1">AG956*1.01</f>
        <v>266335.64371064689</v>
      </c>
      <c r="AH970" s="109" t="s">
        <v>144</v>
      </c>
      <c r="AI970" s="23" t="s">
        <v>147</v>
      </c>
      <c r="AJ970" s="96">
        <f ca="1">AJ956*1.01</f>
        <v>355425.9489998878</v>
      </c>
      <c r="AK970" s="109" t="s">
        <v>144</v>
      </c>
      <c r="AL970" s="23" t="s">
        <v>147</v>
      </c>
      <c r="AM970" s="96">
        <f ca="1">AM956*1.01</f>
        <v>433687.2029087171</v>
      </c>
      <c r="AN970" s="109" t="s">
        <v>144</v>
      </c>
      <c r="AO970" s="23" t="s">
        <v>147</v>
      </c>
      <c r="AP970" s="96">
        <f ca="1">AP956*1.01</f>
        <v>503497.37891826994</v>
      </c>
      <c r="AQ970" s="109" t="s">
        <v>144</v>
      </c>
      <c r="AR970" s="23" t="s">
        <v>147</v>
      </c>
      <c r="AS970" s="96">
        <f ca="1">AS956*1.01</f>
        <v>590390.27429461898</v>
      </c>
      <c r="AT970" s="109" t="s">
        <v>144</v>
      </c>
      <c r="AU970" s="23" t="s">
        <v>147</v>
      </c>
    </row>
    <row r="971" spans="15:47" x14ac:dyDescent="0.25">
      <c r="O971" s="1"/>
      <c r="P971" s="1"/>
      <c r="Q971" s="1"/>
      <c r="R971" s="98"/>
      <c r="S971" s="107"/>
      <c r="T971" s="1"/>
      <c r="U971" s="47"/>
      <c r="V971" s="107"/>
      <c r="W971" s="1"/>
      <c r="X971" s="47"/>
      <c r="Y971" s="107"/>
      <c r="Z971" s="1"/>
      <c r="AA971" s="47"/>
      <c r="AB971" s="107"/>
      <c r="AC971" s="1"/>
      <c r="AD971" s="47"/>
      <c r="AE971" s="107"/>
      <c r="AF971" s="1"/>
      <c r="AG971" s="47"/>
      <c r="AH971" s="107"/>
      <c r="AI971" s="1"/>
      <c r="AJ971" s="47"/>
      <c r="AK971" s="107"/>
      <c r="AL971" s="1"/>
      <c r="AM971" s="47"/>
      <c r="AN971" s="107"/>
      <c r="AO971" s="1"/>
      <c r="AP971" s="47"/>
      <c r="AQ971" s="107"/>
      <c r="AR971" s="1"/>
      <c r="AS971" s="47"/>
      <c r="AT971" s="107"/>
      <c r="AU971" s="1"/>
    </row>
    <row r="972" spans="15:47" x14ac:dyDescent="0.25">
      <c r="O972" s="8" t="s">
        <v>132</v>
      </c>
      <c r="P972" s="8"/>
      <c r="Q972" s="8"/>
      <c r="R972" s="96">
        <f>P_1_minQ-(R970^2*R_up)+dpup_minQ</f>
        <v>90.184777691210655</v>
      </c>
      <c r="S972" s="106"/>
      <c r="T972" s="22"/>
      <c r="U972" s="96">
        <f ca="1">P_1_minQ-(U970^2*R_up)+dpup_minQ</f>
        <v>90.090243774972478</v>
      </c>
      <c r="V972" s="107"/>
      <c r="W972" s="1"/>
      <c r="X972" s="96">
        <f ca="1">P_1_minQ-(X970^2*R_up)+dpup_minQ</f>
        <v>89.616657957671919</v>
      </c>
      <c r="Y972" s="107"/>
      <c r="Z972" s="1"/>
      <c r="AA972" s="96">
        <f ca="1">P_1_minQ-(AA970^2*R_up)+dpup_minQ</f>
        <v>88.02876209167799</v>
      </c>
      <c r="AB972" s="107"/>
      <c r="AC972" s="1"/>
      <c r="AD972" s="96">
        <f ca="1">P_1_minQ-(AD970^2*R_up)+dpup_minQ</f>
        <v>84.115892733182861</v>
      </c>
      <c r="AE972" s="107"/>
      <c r="AF972" s="1"/>
      <c r="AG972" s="96">
        <f ca="1">P_1_minQ-(AG970^2*R_up)+dpup_minQ</f>
        <v>77.256422008814297</v>
      </c>
      <c r="AH972" s="107"/>
      <c r="AI972" s="1"/>
      <c r="AJ972" s="96">
        <f ca="1">P_1_minQ-(AJ970^2*R_up)+dpup_minQ</f>
        <v>67.160456092556416</v>
      </c>
      <c r="AK972" s="107"/>
      <c r="AL972" s="1"/>
      <c r="AM972" s="96">
        <f ca="1">P_1_minQ-(AM970^2*R_up)+dpup_minQ</f>
        <v>55.904571780025584</v>
      </c>
      <c r="AN972" s="107"/>
      <c r="AO972" s="1"/>
      <c r="AP972" s="96">
        <f ca="1">P_1_minQ-(AP970^2*R_up)+dpup_minQ</f>
        <v>43.980147908154507</v>
      </c>
      <c r="AQ972" s="107"/>
      <c r="AR972" s="1"/>
      <c r="AS972" s="96">
        <f ca="1">P_1_minQ-(AS970^2*R_up)+dpup_minQ</f>
        <v>26.656054116967454</v>
      </c>
      <c r="AT972" s="107"/>
      <c r="AU972" s="1"/>
    </row>
    <row r="973" spans="15:47" x14ac:dyDescent="0.25">
      <c r="O973" s="8" t="s">
        <v>134</v>
      </c>
      <c r="P973" s="1"/>
      <c r="Q973" s="8"/>
      <c r="R973" s="97">
        <f>P_2_minQ+(R970^2*R_dn)-dpdn_minQ</f>
        <v>60</v>
      </c>
      <c r="S973" s="106"/>
      <c r="T973" s="22"/>
      <c r="U973" s="97">
        <f ca="1">P_2_minQ+(U970^2*R_dn)-dpdn_minQ</f>
        <v>60</v>
      </c>
      <c r="V973" s="107"/>
      <c r="W973" s="1"/>
      <c r="X973" s="97">
        <f ca="1">P_2_minQ+(X970^2*R_dn)-dpdn_minQ</f>
        <v>60</v>
      </c>
      <c r="Y973" s="107"/>
      <c r="Z973" s="1"/>
      <c r="AA973" s="97">
        <f ca="1">P_2_minQ+(AA970^2*R_dn)-dpdn_minQ</f>
        <v>60</v>
      </c>
      <c r="AB973" s="107"/>
      <c r="AC973" s="1"/>
      <c r="AD973" s="97">
        <f ca="1">P_2_minQ+(AD970^2*R_dn)-dpdn_minQ</f>
        <v>60</v>
      </c>
      <c r="AE973" s="107"/>
      <c r="AF973" s="1"/>
      <c r="AG973" s="97">
        <f ca="1">P_2_minQ+(AG970^2*R_dn)-dpdn_minQ</f>
        <v>60</v>
      </c>
      <c r="AH973" s="107"/>
      <c r="AI973" s="1"/>
      <c r="AJ973" s="97">
        <f ca="1">P_2_minQ+(AJ970^2*R_dn)-dpdn_minQ</f>
        <v>60</v>
      </c>
      <c r="AK973" s="107"/>
      <c r="AL973" s="1"/>
      <c r="AM973" s="97">
        <f ca="1">P_2_minQ+(AM970^2*R_dn)-dpdn_minQ</f>
        <v>60</v>
      </c>
      <c r="AN973" s="107"/>
      <c r="AO973" s="1"/>
      <c r="AP973" s="97">
        <f ca="1">P_2_minQ+(AP970^2*R_dn)-dpdn_minQ</f>
        <v>60</v>
      </c>
      <c r="AQ973" s="107"/>
      <c r="AR973" s="1"/>
      <c r="AS973" s="97">
        <f ca="1">P_2_minQ+(AS970^2*R_dn)-dpdn_minQ</f>
        <v>60</v>
      </c>
      <c r="AT973" s="107"/>
      <c r="AU973" s="1"/>
    </row>
    <row r="974" spans="15:47" x14ac:dyDescent="0.25">
      <c r="O974" s="8" t="s">
        <v>138</v>
      </c>
      <c r="P974" s="1"/>
      <c r="Q974" s="8"/>
      <c r="R974" s="97">
        <f>R972-R973</f>
        <v>30.184777691210655</v>
      </c>
      <c r="S974" s="106"/>
      <c r="T974" s="22"/>
      <c r="U974" s="97">
        <f ca="1">U972-U973</f>
        <v>30.090243774972478</v>
      </c>
      <c r="V974" s="110"/>
      <c r="W974" s="25"/>
      <c r="X974" s="97">
        <f ca="1">X972-X973</f>
        <v>29.616657957671919</v>
      </c>
      <c r="Y974" s="110"/>
      <c r="Z974" s="25"/>
      <c r="AA974" s="97">
        <f ca="1">AA972-AA973</f>
        <v>28.02876209167799</v>
      </c>
      <c r="AB974" s="110"/>
      <c r="AC974" s="25"/>
      <c r="AD974" s="97">
        <f ca="1">AD972-AD973</f>
        <v>24.115892733182861</v>
      </c>
      <c r="AE974" s="110"/>
      <c r="AF974" s="25"/>
      <c r="AG974" s="97">
        <f ca="1">AG972-AG973</f>
        <v>17.256422008814297</v>
      </c>
      <c r="AH974" s="110"/>
      <c r="AI974" s="25"/>
      <c r="AJ974" s="97">
        <f ca="1">AJ972-AJ973</f>
        <v>7.1604560925564158</v>
      </c>
      <c r="AK974" s="110"/>
      <c r="AL974" s="25"/>
      <c r="AM974" s="97">
        <f ca="1">AM972-AM973</f>
        <v>-4.0954282199744156</v>
      </c>
      <c r="AN974" s="110"/>
      <c r="AO974" s="25"/>
      <c r="AP974" s="97">
        <f ca="1">AP972-AP973</f>
        <v>-16.019852091845493</v>
      </c>
      <c r="AQ974" s="110"/>
      <c r="AR974" s="25"/>
      <c r="AS974" s="97">
        <f ca="1">AS972-AS973</f>
        <v>-33.343945883032546</v>
      </c>
      <c r="AT974" s="110"/>
      <c r="AU974" s="25"/>
    </row>
    <row r="975" spans="15:47" ht="14.4" x14ac:dyDescent="0.3">
      <c r="O975" s="2" t="s">
        <v>140</v>
      </c>
      <c r="P975" s="11"/>
      <c r="Q975" s="2"/>
      <c r="R975" s="96">
        <f>R974/R972</f>
        <v>0.33469925262290073</v>
      </c>
      <c r="S975" s="106"/>
      <c r="T975" s="22"/>
      <c r="U975" s="96">
        <f ca="1">U974/U972</f>
        <v>0.3340011361289234</v>
      </c>
      <c r="V975" s="111"/>
      <c r="W975" s="28"/>
      <c r="X975" s="96">
        <f ca="1">X974/X972</f>
        <v>0.33048161617074107</v>
      </c>
      <c r="Y975" s="111"/>
      <c r="Z975" s="28"/>
      <c r="AA975" s="96">
        <f ca="1">AA974/AA972</f>
        <v>0.31840459215463346</v>
      </c>
      <c r="AB975" s="111"/>
      <c r="AC975" s="28"/>
      <c r="AD975" s="96">
        <f ca="1">AD974/AD972</f>
        <v>0.28669841036674137</v>
      </c>
      <c r="AE975" s="111"/>
      <c r="AF975" s="28"/>
      <c r="AG975" s="96">
        <f ca="1">AG974/AG972</f>
        <v>0.22336553467160941</v>
      </c>
      <c r="AH975" s="111"/>
      <c r="AI975" s="28"/>
      <c r="AJ975" s="96">
        <f ca="1">AJ974/AJ972</f>
        <v>0.10661714510527319</v>
      </c>
      <c r="AK975" s="111"/>
      <c r="AL975" s="28"/>
      <c r="AM975" s="96">
        <f ca="1">AM974/AM972</f>
        <v>-7.3257483056827402E-2</v>
      </c>
      <c r="AN975" s="111"/>
      <c r="AO975" s="28"/>
      <c r="AP975" s="96">
        <f ca="1">AP974/AP972</f>
        <v>-0.36425189213325038</v>
      </c>
      <c r="AQ975" s="111"/>
      <c r="AR975" s="28"/>
      <c r="AS975" s="96">
        <f ca="1">AS974/AS972</f>
        <v>-1.250895790379118</v>
      </c>
      <c r="AT975" s="111"/>
      <c r="AU975" s="28"/>
    </row>
    <row r="976" spans="15:47" x14ac:dyDescent="0.25">
      <c r="O976" s="2" t="s">
        <v>21</v>
      </c>
      <c r="P976" s="8">
        <v>12</v>
      </c>
      <c r="Q976" s="2"/>
      <c r="R976" s="96">
        <f ca="1">1-R975/(3*F_GAMMA*R$29)</f>
        <v>0.82568556119448877</v>
      </c>
      <c r="S976" s="106"/>
      <c r="T976" s="22"/>
      <c r="U976" s="96">
        <f ca="1">1-U975/(3*F_GAMMA*U$29)</f>
        <v>0.82608955806297513</v>
      </c>
      <c r="V976" s="111"/>
      <c r="W976" s="28"/>
      <c r="X976" s="96">
        <f ca="1">1-X975/(3*F_GAMMA*X$29)</f>
        <v>0.82628322123725195</v>
      </c>
      <c r="Y976" s="111"/>
      <c r="Z976" s="28"/>
      <c r="AA976" s="96">
        <f ca="1">1-AA975/(3*F_GAMMA*AA$29)</f>
        <v>0.83027223630007463</v>
      </c>
      <c r="AB976" s="111"/>
      <c r="AC976" s="28"/>
      <c r="AD976" s="96">
        <f ca="1">1-AD975/(3*F_GAMMA*AD$29)</f>
        <v>0.84243364441894675</v>
      </c>
      <c r="AE976" s="111"/>
      <c r="AF976" s="28"/>
      <c r="AG976" s="96">
        <f ca="1">1-AG975/(3*F_GAMMA*AG$29)</f>
        <v>0.86987439432780178</v>
      </c>
      <c r="AH976" s="111"/>
      <c r="AI976" s="28"/>
      <c r="AJ976" s="96">
        <f ca="1">1-AJ975/(3*F_GAMMA*AJ$29)</f>
        <v>0.93317627829770022</v>
      </c>
      <c r="AK976" s="111"/>
      <c r="AL976" s="28"/>
      <c r="AM976" s="96">
        <f ca="1">1-AM975/(3*F_GAMMA*AM$29)</f>
        <v>1.0513368749019678</v>
      </c>
      <c r="AN976" s="111"/>
      <c r="AO976" s="28"/>
      <c r="AP976" s="96">
        <f ca="1">1-AP975/(3*F_GAMMA*AP$29)</f>
        <v>1.2056032986391478</v>
      </c>
      <c r="AQ976" s="111"/>
      <c r="AR976" s="28"/>
      <c r="AS976" s="96">
        <f ca="1">1-AS975/(3*F_GAMMA*AS$29)</f>
        <v>2.1069189859483801</v>
      </c>
      <c r="AT976" s="111"/>
      <c r="AU976" s="28"/>
    </row>
    <row r="977" spans="15:47" x14ac:dyDescent="0.25">
      <c r="O977" s="2" t="s">
        <v>57</v>
      </c>
      <c r="P977" s="143">
        <v>7</v>
      </c>
      <c r="Q977" s="2"/>
      <c r="R977" s="96">
        <f ca="1">(R970/(N_9*R$27*R972*R976))*SQRT(M*'Valve Sizing'!$W$6*'Valve Sizing'!$G$8/R975)</f>
        <v>0.48496333472494035</v>
      </c>
      <c r="S977" s="107"/>
      <c r="T977" s="22"/>
      <c r="U977" s="96">
        <f ca="1">(U970/(N_9*U$27*U972*U976))*SQRT(M*'Valve Sizing'!$W$6*'Valve Sizing'!$G$8/U975)</f>
        <v>9.2308564875778956</v>
      </c>
      <c r="V977" s="111"/>
      <c r="W977" s="28"/>
      <c r="X977" s="96">
        <f ca="1">(X970/(N_9*X$27*X972*X976))*SQRT(M*'Valve Sizing'!$W$6*'Valve Sizing'!$G$8/X975)</f>
        <v>22.890315339196317</v>
      </c>
      <c r="Y977" s="111"/>
      <c r="Z977" s="28"/>
      <c r="AA977" s="96">
        <f ca="1">(AA970/(N_9*AA$27*AA972*AA976))*SQRT(M*'Valve Sizing'!$W$6*'Valve Sizing'!$G$8/AA975)</f>
        <v>46.292431977276046</v>
      </c>
      <c r="AB977" s="111"/>
      <c r="AC977" s="28"/>
      <c r="AD977" s="96">
        <f ca="1">(AD970/(N_9*AD$27*AD972*AD976))*SQRT(M*'Valve Sizing'!$W$6*'Valve Sizing'!$G$8/AD975)</f>
        <v>85.462719889347809</v>
      </c>
      <c r="AE977" s="111"/>
      <c r="AF977" s="28"/>
      <c r="AG977" s="96">
        <f ca="1">(AG970/(N_9*AG$27*AG972*AG976))*SQRT(M*'Valve Sizing'!$W$6*'Valve Sizing'!$G$8/AG975)</f>
        <v>152.36366567437793</v>
      </c>
      <c r="AH977" s="111"/>
      <c r="AI977" s="28"/>
      <c r="AJ977" s="96">
        <f ca="1">(AJ970/(N_9*AJ$27*AJ972*AJ976))*SQRT(M*'Valve Sizing'!$W$6*'Valve Sizing'!$G$8/AJ975)</f>
        <v>326.98863528619017</v>
      </c>
      <c r="AK977" s="111"/>
      <c r="AL977" s="28"/>
      <c r="AM977" s="96" t="e">
        <f ca="1">(AM970/(N_9*AM$27*AM972*AM976))*SQRT(M*'Valve Sizing'!$W$6*'Valve Sizing'!$G$8/AM975)</f>
        <v>#NUM!</v>
      </c>
      <c r="AN977" s="111"/>
      <c r="AO977" s="28"/>
      <c r="AP977" s="96" t="e">
        <f ca="1">(AP970/(N_9*AP$27*AP972*AP976))*SQRT(M*'Valve Sizing'!$W$6*'Valve Sizing'!$G$8/AP975)</f>
        <v>#NUM!</v>
      </c>
      <c r="AQ977" s="111"/>
      <c r="AR977" s="28"/>
      <c r="AS977" s="96" t="e">
        <f ca="1">(AS970/(N_9*AS$27*AS972*AS976))*SQRT(M*'Valve Sizing'!$W$6*'Valve Sizing'!$G$8/AS975)</f>
        <v>#NUM!</v>
      </c>
      <c r="AT977" s="111"/>
      <c r="AU977" s="28"/>
    </row>
    <row r="978" spans="15:47" x14ac:dyDescent="0.25">
      <c r="O978" s="2" t="s">
        <v>59</v>
      </c>
      <c r="P978" s="143">
        <v>7</v>
      </c>
      <c r="Q978" s="2"/>
      <c r="R978" s="96">
        <f ca="1">(R970/(N_9*R$27*R972*0.667))*SQRT(M*'Valve Sizing'!$W$6*'Valve Sizing'!$G$8/R979)</f>
        <v>0.43413526974690847</v>
      </c>
      <c r="S978" s="107"/>
      <c r="T978" s="22"/>
      <c r="U978" s="96">
        <f ca="1">(U970/(N_9*U$27*U972*0.667))*SQRT(M*'Valve Sizing'!$W$6*'Valve Sizing'!$G$8/U979)</f>
        <v>8.2578455240619775</v>
      </c>
      <c r="V978" s="111"/>
      <c r="W978" s="28"/>
      <c r="X978" s="96">
        <f ca="1">(X970/(N_9*X$27*X972*0.667))*SQRT(M*'Valve Sizing'!$W$6*'Valve Sizing'!$G$8/X979)</f>
        <v>20.470874075647945</v>
      </c>
      <c r="Y978" s="111"/>
      <c r="Z978" s="28"/>
      <c r="AA978" s="96">
        <f ca="1">(AA970/(N_9*AA$27*AA972*0.667))*SQRT(M*'Valve Sizing'!$W$6*'Valve Sizing'!$G$8/AA979)</f>
        <v>41.118924873230441</v>
      </c>
      <c r="AB978" s="111"/>
      <c r="AC978" s="28"/>
      <c r="AD978" s="96">
        <f ca="1">(AD970/(N_9*AD$27*AD972*0.667))*SQRT(M*'Valve Sizing'!$W$6*'Valve Sizing'!$G$8/AD979)</f>
        <v>74.212822951319552</v>
      </c>
      <c r="AE978" s="111"/>
      <c r="AF978" s="28"/>
      <c r="AG978" s="96">
        <f ca="1">(AG970/(N_9*AG$27*AG972*0.667))*SQRT(M*'Valve Sizing'!$W$6*'Valve Sizing'!$G$8/AG979)</f>
        <v>124.15211866427968</v>
      </c>
      <c r="AH978" s="111"/>
      <c r="AI978" s="28"/>
      <c r="AJ978" s="96">
        <f ca="1">(AJ970/(N_9*AJ$27*AJ972*0.667))*SQRT(M*'Valve Sizing'!$W$6*'Valve Sizing'!$G$8/AJ979)</f>
        <v>204.83137122239137</v>
      </c>
      <c r="AK978" s="111"/>
      <c r="AL978" s="28"/>
      <c r="AM978" s="96">
        <f ca="1">(AM970/(N_9*AM$27*AM972*0.667))*SQRT(M*'Valve Sizing'!$W$6*'Valve Sizing'!$G$8/AM979)</f>
        <v>336.85722296885871</v>
      </c>
      <c r="AN978" s="111"/>
      <c r="AO978" s="28"/>
      <c r="AP978" s="96">
        <f ca="1">(AP970/(N_9*AP$27*AP972*0.667))*SQRT(M*'Valve Sizing'!$W$6*'Valve Sizing'!$G$8/AP979)</f>
        <v>507.80735853890241</v>
      </c>
      <c r="AQ978" s="111"/>
      <c r="AR978" s="28"/>
      <c r="AS978" s="96">
        <f ca="1">(AS970/(N_9*AS$27*AS972*0.667))*SQRT(M*'Valve Sizing'!$W$6*'Valve Sizing'!$G$8/AS979)</f>
        <v>1647.5630227172096</v>
      </c>
      <c r="AT978" s="111"/>
      <c r="AU978" s="28"/>
    </row>
    <row r="979" spans="15:47" ht="15.6" x14ac:dyDescent="0.35">
      <c r="O979" s="2" t="s">
        <v>68</v>
      </c>
      <c r="P979" s="143">
        <v>10</v>
      </c>
      <c r="Q979" s="2"/>
      <c r="R979" s="96">
        <f ca="1">F_GAMMA*R$29</f>
        <v>0.64002969751372984</v>
      </c>
      <c r="S979" s="107"/>
      <c r="T979" s="1"/>
      <c r="U979" s="96">
        <f ca="1">F_GAMMA*U$29</f>
        <v>0.64017842058782071</v>
      </c>
      <c r="V979" s="111"/>
      <c r="W979" s="28"/>
      <c r="X979" s="96">
        <f ca="1">F_GAMMA*X$29</f>
        <v>0.63413873724904268</v>
      </c>
      <c r="Y979" s="111"/>
      <c r="Z979" s="28"/>
      <c r="AA979" s="96">
        <f ca="1">F_GAMMA*AA$29</f>
        <v>0.62532411750377137</v>
      </c>
      <c r="AB979" s="111"/>
      <c r="AC979" s="28"/>
      <c r="AD979" s="96">
        <f ca="1">F_GAMMA*AD$29</f>
        <v>0.60651359509139569</v>
      </c>
      <c r="AE979" s="111"/>
      <c r="AF979" s="28"/>
      <c r="AG979" s="96">
        <f ca="1">F_GAMMA*AG$29</f>
        <v>0.57217930198481592</v>
      </c>
      <c r="AH979" s="111"/>
      <c r="AI979" s="28"/>
      <c r="AJ979" s="96">
        <f ca="1">F_GAMMA*AJ$29</f>
        <v>0.53183282018848232</v>
      </c>
      <c r="AK979" s="111"/>
      <c r="AL979" s="28"/>
      <c r="AM979" s="96">
        <f ca="1">F_GAMMA*AM$29</f>
        <v>0.47566512503094399</v>
      </c>
      <c r="AN979" s="111"/>
      <c r="AO979" s="28"/>
      <c r="AP979" s="96">
        <f ca="1">F_GAMMA*AP$29</f>
        <v>0.59054158265645496</v>
      </c>
      <c r="AQ979" s="111"/>
      <c r="AR979" s="28"/>
      <c r="AS979" s="96">
        <f ca="1">F_GAMMA*AS$29</f>
        <v>0.3766899554102966</v>
      </c>
      <c r="AT979" s="111"/>
      <c r="AU979" s="28"/>
    </row>
    <row r="980" spans="15:47" x14ac:dyDescent="0.25">
      <c r="O980" s="2" t="s">
        <v>145</v>
      </c>
      <c r="P980" s="12"/>
      <c r="Q980" s="2"/>
      <c r="R980" s="96">
        <f ca="1">IF(R975&lt;R979,R977,R978)</f>
        <v>0.48496333472494035</v>
      </c>
      <c r="S980" s="116"/>
      <c r="T980" s="1"/>
      <c r="U980" s="96">
        <f ca="1">IF(U975&lt;U979,U977,U978)</f>
        <v>9.2308564875778956</v>
      </c>
      <c r="V980" s="111"/>
      <c r="W980" s="28"/>
      <c r="X980" s="96">
        <f ca="1">IF(X975&lt;X979,X977,X978)</f>
        <v>22.890315339196317</v>
      </c>
      <c r="Y980" s="111"/>
      <c r="Z980" s="28"/>
      <c r="AA980" s="96">
        <f ca="1">IF(AA975&lt;AA979,AA977,AA978)</f>
        <v>46.292431977276046</v>
      </c>
      <c r="AB980" s="111"/>
      <c r="AC980" s="28"/>
      <c r="AD980" s="96">
        <f ca="1">IF(AD975&lt;AD979,AD977,AD978)</f>
        <v>85.462719889347809</v>
      </c>
      <c r="AE980" s="111"/>
      <c r="AF980" s="28"/>
      <c r="AG980" s="96">
        <f ca="1">IF(AG975&lt;AG979,AG977,AG978)</f>
        <v>152.36366567437793</v>
      </c>
      <c r="AH980" s="111"/>
      <c r="AI980" s="28"/>
      <c r="AJ980" s="96">
        <f ca="1">IF(AJ975&lt;AJ979,AJ977,AJ978)</f>
        <v>326.98863528619017</v>
      </c>
      <c r="AK980" s="111"/>
      <c r="AL980" s="28"/>
      <c r="AM980" s="96" t="e">
        <f ca="1">IF(AM975&lt;AM979,AM977,AM978)</f>
        <v>#NUM!</v>
      </c>
      <c r="AN980" s="111"/>
      <c r="AO980" s="28"/>
      <c r="AP980" s="96" t="e">
        <f ca="1">IF(AP975&lt;AP979,AP977,AP978)</f>
        <v>#NUM!</v>
      </c>
      <c r="AQ980" s="111"/>
      <c r="AR980" s="28"/>
      <c r="AS980" s="96" t="e">
        <f ca="1">IF(AS975&lt;AS979,AS977,AS978)</f>
        <v>#NUM!</v>
      </c>
      <c r="AT980" s="111"/>
      <c r="AU980" s="28"/>
    </row>
    <row r="981" spans="15:47" x14ac:dyDescent="0.25">
      <c r="O981" s="13" t="s">
        <v>143</v>
      </c>
      <c r="P981" s="1"/>
      <c r="Q981" s="1"/>
      <c r="R981" s="113"/>
      <c r="S981" s="106">
        <f ca="1">IF(R974&lt;=0,Q_max,ABS(R$23-R980))</f>
        <v>4.2450366652750597</v>
      </c>
      <c r="T981" s="7">
        <f>R970</f>
        <v>1200.8760172804937</v>
      </c>
      <c r="U981" s="98"/>
      <c r="V981" s="106">
        <f ca="1">IF(U974&lt;=0,Q_max,ABS(U$23-U980))</f>
        <v>2.3691435124221041</v>
      </c>
      <c r="W981" s="9">
        <f ca="1">U970</f>
        <v>22806.044513962544</v>
      </c>
      <c r="X981" s="98"/>
      <c r="Y981" s="106">
        <f ca="1">IF(X974&lt;=0,Q_max,ABS(X$23-X980))</f>
        <v>0.10968466080368344</v>
      </c>
      <c r="Z981" s="9">
        <f ca="1">X970</f>
        <v>55843.625776376437</v>
      </c>
      <c r="AA981" s="98"/>
      <c r="AB981" s="106">
        <f ca="1">IF(AA974&lt;=0,Q_max,ABS(AA$23-AA980))</f>
        <v>6.892431977276047</v>
      </c>
      <c r="AC981" s="9">
        <f ca="1">AA970</f>
        <v>108769.12918303729</v>
      </c>
      <c r="AD981" s="98"/>
      <c r="AE981" s="106">
        <f ca="1">IF(AD974&lt;=0,Q_max,ABS(AD$23-AD980))</f>
        <v>24.462719889347809</v>
      </c>
      <c r="AF981" s="9">
        <f ca="1">AD970</f>
        <v>182480.76302755359</v>
      </c>
      <c r="AG981" s="98"/>
      <c r="AH981" s="106">
        <f ca="1">IF(AG974&lt;=0,Q_max,ABS(AG$23-AG980))</f>
        <v>64.163665674377924</v>
      </c>
      <c r="AI981" s="9">
        <f ca="1">AG970</f>
        <v>266335.64371064689</v>
      </c>
      <c r="AJ981" s="98"/>
      <c r="AK981" s="106">
        <f ca="1">IF(AJ974&lt;=0,Q_max,ABS(AJ$23-AJ980))</f>
        <v>205.98863528619017</v>
      </c>
      <c r="AL981" s="9">
        <f ca="1">AJ970</f>
        <v>355425.9489998878</v>
      </c>
      <c r="AM981" s="98"/>
      <c r="AN981" s="106">
        <f ca="1">IF(AM974&lt;=0,Q_max,ABS(AM$23-AM980))</f>
        <v>236393</v>
      </c>
      <c r="AO981" s="9">
        <f ca="1">AM970</f>
        <v>433687.2029087171</v>
      </c>
      <c r="AP981" s="98"/>
      <c r="AQ981" s="106">
        <f ca="1">IF(AP974&lt;=0,Q_max,ABS(AP$23-AP980))</f>
        <v>236393</v>
      </c>
      <c r="AR981" s="9">
        <f ca="1">AP970</f>
        <v>503497.37891826994</v>
      </c>
      <c r="AS981" s="98"/>
      <c r="AT981" s="106">
        <f ca="1">IF(AS974&lt;=0,Q_max,ABS(AS$23-AS980))</f>
        <v>236393</v>
      </c>
      <c r="AU981" s="9">
        <f ca="1">AS970</f>
        <v>590390.27429461898</v>
      </c>
    </row>
    <row r="982" spans="15:47" x14ac:dyDescent="0.25">
      <c r="O982" s="21"/>
      <c r="P982" s="14"/>
      <c r="Q982" s="21"/>
      <c r="R982" s="97"/>
      <c r="S982" s="106"/>
      <c r="T982" s="28"/>
      <c r="U982" s="97"/>
      <c r="V982" s="111"/>
      <c r="W982" s="28"/>
      <c r="X982" s="97"/>
      <c r="Y982" s="111"/>
      <c r="Z982" s="28"/>
      <c r="AA982" s="97"/>
      <c r="AB982" s="111"/>
      <c r="AC982" s="28"/>
      <c r="AD982" s="97"/>
      <c r="AE982" s="111"/>
      <c r="AF982" s="28"/>
      <c r="AG982" s="97"/>
      <c r="AH982" s="111"/>
      <c r="AI982" s="28"/>
      <c r="AJ982" s="97"/>
      <c r="AK982" s="111"/>
      <c r="AL982" s="28"/>
      <c r="AM982" s="97"/>
      <c r="AN982" s="111"/>
      <c r="AO982" s="28"/>
      <c r="AP982" s="97"/>
      <c r="AQ982" s="111"/>
      <c r="AR982" s="28"/>
      <c r="AS982" s="97"/>
      <c r="AT982" s="111"/>
      <c r="AU982" s="28"/>
    </row>
    <row r="983" spans="15:47" x14ac:dyDescent="0.25">
      <c r="O983" s="1"/>
      <c r="P983" s="1"/>
      <c r="Q983" s="1"/>
      <c r="R983" s="98"/>
      <c r="S983" s="108" t="s">
        <v>137</v>
      </c>
      <c r="T983" s="26" t="s">
        <v>146</v>
      </c>
      <c r="U983" s="98"/>
      <c r="V983" s="108" t="s">
        <v>137</v>
      </c>
      <c r="W983" s="26" t="s">
        <v>146</v>
      </c>
      <c r="X983" s="98"/>
      <c r="Y983" s="108" t="s">
        <v>137</v>
      </c>
      <c r="Z983" s="26" t="s">
        <v>146</v>
      </c>
      <c r="AA983" s="98"/>
      <c r="AB983" s="108" t="s">
        <v>137</v>
      </c>
      <c r="AC983" s="26" t="s">
        <v>146</v>
      </c>
      <c r="AD983" s="98"/>
      <c r="AE983" s="108" t="s">
        <v>137</v>
      </c>
      <c r="AF983" s="26" t="s">
        <v>146</v>
      </c>
      <c r="AG983" s="98"/>
      <c r="AH983" s="108" t="s">
        <v>137</v>
      </c>
      <c r="AI983" s="26" t="s">
        <v>146</v>
      </c>
      <c r="AJ983" s="98"/>
      <c r="AK983" s="108" t="s">
        <v>137</v>
      </c>
      <c r="AL983" s="26" t="s">
        <v>146</v>
      </c>
      <c r="AM983" s="98"/>
      <c r="AN983" s="108" t="s">
        <v>137</v>
      </c>
      <c r="AO983" s="26" t="s">
        <v>146</v>
      </c>
      <c r="AP983" s="98"/>
      <c r="AQ983" s="108" t="s">
        <v>137</v>
      </c>
      <c r="AR983" s="26" t="s">
        <v>146</v>
      </c>
      <c r="AS983" s="98"/>
      <c r="AT983" s="108" t="s">
        <v>137</v>
      </c>
      <c r="AU983" s="26" t="s">
        <v>146</v>
      </c>
    </row>
    <row r="984" spans="15:47" ht="13.8" x14ac:dyDescent="0.25">
      <c r="O984" s="20" t="s">
        <v>136</v>
      </c>
      <c r="P984" s="1"/>
      <c r="Q984" s="1"/>
      <c r="R984" s="96">
        <f>R970*1.02</f>
        <v>1224.8935376261036</v>
      </c>
      <c r="S984" s="109" t="s">
        <v>144</v>
      </c>
      <c r="T984" s="23" t="s">
        <v>147</v>
      </c>
      <c r="U984" s="96">
        <f ca="1">U970*1.01</f>
        <v>23034.104959102169</v>
      </c>
      <c r="V984" s="109" t="s">
        <v>144</v>
      </c>
      <c r="W984" s="23" t="s">
        <v>147</v>
      </c>
      <c r="X984" s="96">
        <f ca="1">X970*1.01</f>
        <v>56402.062034140203</v>
      </c>
      <c r="Y984" s="109" t="s">
        <v>144</v>
      </c>
      <c r="Z984" s="23" t="s">
        <v>147</v>
      </c>
      <c r="AA984" s="96">
        <f ca="1">AA970*1.01</f>
        <v>109856.82047486767</v>
      </c>
      <c r="AB984" s="109" t="s">
        <v>144</v>
      </c>
      <c r="AC984" s="23" t="s">
        <v>147</v>
      </c>
      <c r="AD984" s="96">
        <f ca="1">AD970*1.01</f>
        <v>184305.57065782914</v>
      </c>
      <c r="AE984" s="109" t="s">
        <v>144</v>
      </c>
      <c r="AF984" s="23" t="s">
        <v>147</v>
      </c>
      <c r="AG984" s="96">
        <f ca="1">AG970*1.01</f>
        <v>268999.0001477534</v>
      </c>
      <c r="AH984" s="109" t="s">
        <v>144</v>
      </c>
      <c r="AI984" s="23" t="s">
        <v>147</v>
      </c>
      <c r="AJ984" s="96">
        <f ca="1">AJ970*1.01</f>
        <v>358980.20848988666</v>
      </c>
      <c r="AK984" s="109" t="s">
        <v>144</v>
      </c>
      <c r="AL984" s="23" t="s">
        <v>147</v>
      </c>
      <c r="AM984" s="96">
        <f ca="1">AM970*1.01</f>
        <v>438024.07493780425</v>
      </c>
      <c r="AN984" s="109" t="s">
        <v>144</v>
      </c>
      <c r="AO984" s="23" t="s">
        <v>147</v>
      </c>
      <c r="AP984" s="96">
        <f ca="1">AP970*1.01</f>
        <v>508532.35270745266</v>
      </c>
      <c r="AQ984" s="109" t="s">
        <v>144</v>
      </c>
      <c r="AR984" s="23" t="s">
        <v>147</v>
      </c>
      <c r="AS984" s="96">
        <f ca="1">AS970*1.01</f>
        <v>596294.17703756515</v>
      </c>
      <c r="AT984" s="109" t="s">
        <v>144</v>
      </c>
      <c r="AU984" s="23" t="s">
        <v>147</v>
      </c>
    </row>
    <row r="985" spans="15:47" x14ac:dyDescent="0.25">
      <c r="O985" s="1"/>
      <c r="P985" s="1"/>
      <c r="Q985" s="1"/>
      <c r="R985" s="98"/>
      <c r="S985" s="107"/>
      <c r="T985" s="1"/>
      <c r="U985" s="47"/>
      <c r="V985" s="107"/>
      <c r="W985" s="1"/>
      <c r="X985" s="47"/>
      <c r="Y985" s="107"/>
      <c r="Z985" s="1"/>
      <c r="AA985" s="47"/>
      <c r="AB985" s="107"/>
      <c r="AC985" s="1"/>
      <c r="AD985" s="47"/>
      <c r="AE985" s="107"/>
      <c r="AF985" s="1"/>
      <c r="AG985" s="47"/>
      <c r="AH985" s="107"/>
      <c r="AI985" s="1"/>
      <c r="AJ985" s="47"/>
      <c r="AK985" s="107"/>
      <c r="AL985" s="1"/>
      <c r="AM985" s="47"/>
      <c r="AN985" s="107"/>
      <c r="AO985" s="1"/>
      <c r="AP985" s="47"/>
      <c r="AQ985" s="107"/>
      <c r="AR985" s="1"/>
      <c r="AS985" s="47"/>
      <c r="AT985" s="107"/>
      <c r="AU985" s="1"/>
    </row>
    <row r="986" spans="15:47" x14ac:dyDescent="0.25">
      <c r="O986" s="8" t="s">
        <v>132</v>
      </c>
      <c r="P986" s="8"/>
      <c r="Q986" s="8"/>
      <c r="R986" s="96">
        <f>P_1_minQ-(R984^2*R_up)+dpup_minQ</f>
        <v>90.184767072513239</v>
      </c>
      <c r="S986" s="106"/>
      <c r="T986" s="22"/>
      <c r="U986" s="96">
        <f ca="1">P_1_minQ-(U984^2*R_up)+dpup_minQ</f>
        <v>90.088338360191287</v>
      </c>
      <c r="V986" s="107"/>
      <c r="W986" s="1"/>
      <c r="X986" s="96">
        <f ca="1">P_1_minQ-(X984^2*R_up)+dpup_minQ</f>
        <v>89.605233467962989</v>
      </c>
      <c r="Y986" s="107"/>
      <c r="Z986" s="1"/>
      <c r="AA986" s="96">
        <f ca="1">P_1_minQ-(AA984^2*R_up)+dpup_minQ</f>
        <v>87.985420895062589</v>
      </c>
      <c r="AB986" s="107"/>
      <c r="AC986" s="1"/>
      <c r="AD986" s="96">
        <f ca="1">P_1_minQ-(AD984^2*R_up)+dpup_minQ</f>
        <v>83.993902862461695</v>
      </c>
      <c r="AE986" s="107"/>
      <c r="AF986" s="1"/>
      <c r="AG986" s="96">
        <f ca="1">P_1_minQ-(AG984^2*R_up)+dpup_minQ</f>
        <v>76.996556776533325</v>
      </c>
      <c r="AH986" s="107"/>
      <c r="AI986" s="1"/>
      <c r="AJ986" s="96">
        <f ca="1">P_1_minQ-(AJ984^2*R_up)+dpup_minQ</f>
        <v>66.697661945358675</v>
      </c>
      <c r="AK986" s="107"/>
      <c r="AL986" s="1"/>
      <c r="AM986" s="96">
        <f ca="1">P_1_minQ-(AM984^2*R_up)+dpup_minQ</f>
        <v>55.215534358145966</v>
      </c>
      <c r="AN986" s="107"/>
      <c r="AO986" s="1"/>
      <c r="AP986" s="96">
        <f ca="1">P_1_minQ-(AP984^2*R_up)+dpup_minQ</f>
        <v>43.051429566450274</v>
      </c>
      <c r="AQ986" s="107"/>
      <c r="AR986" s="1"/>
      <c r="AS986" s="96">
        <f ca="1">P_1_minQ-(AS984^2*R_up)+dpup_minQ</f>
        <v>25.379121490060371</v>
      </c>
      <c r="AT986" s="107"/>
      <c r="AU986" s="1"/>
    </row>
    <row r="987" spans="15:47" x14ac:dyDescent="0.25">
      <c r="O987" s="8" t="s">
        <v>134</v>
      </c>
      <c r="P987" s="1"/>
      <c r="Q987" s="8"/>
      <c r="R987" s="97">
        <f>P_2_minQ+(R984^2*R_dn)-dpdn_minQ</f>
        <v>60</v>
      </c>
      <c r="S987" s="106"/>
      <c r="T987" s="22"/>
      <c r="U987" s="97">
        <f ca="1">P_2_minQ+(U984^2*R_dn)-dpdn_minQ</f>
        <v>60</v>
      </c>
      <c r="V987" s="107"/>
      <c r="W987" s="1"/>
      <c r="X987" s="97">
        <f ca="1">P_2_minQ+(X984^2*R_dn)-dpdn_minQ</f>
        <v>60</v>
      </c>
      <c r="Y987" s="107"/>
      <c r="Z987" s="1"/>
      <c r="AA987" s="97">
        <f ca="1">P_2_minQ+(AA984^2*R_dn)-dpdn_minQ</f>
        <v>60</v>
      </c>
      <c r="AB987" s="107"/>
      <c r="AC987" s="1"/>
      <c r="AD987" s="97">
        <f ca="1">P_2_minQ+(AD984^2*R_dn)-dpdn_minQ</f>
        <v>60</v>
      </c>
      <c r="AE987" s="107"/>
      <c r="AF987" s="1"/>
      <c r="AG987" s="97">
        <f ca="1">P_2_minQ+(AG984^2*R_dn)-dpdn_minQ</f>
        <v>60</v>
      </c>
      <c r="AH987" s="107"/>
      <c r="AI987" s="1"/>
      <c r="AJ987" s="97">
        <f ca="1">P_2_minQ+(AJ984^2*R_dn)-dpdn_minQ</f>
        <v>60</v>
      </c>
      <c r="AK987" s="107"/>
      <c r="AL987" s="1"/>
      <c r="AM987" s="97">
        <f ca="1">P_2_minQ+(AM984^2*R_dn)-dpdn_minQ</f>
        <v>60</v>
      </c>
      <c r="AN987" s="107"/>
      <c r="AO987" s="1"/>
      <c r="AP987" s="97">
        <f ca="1">P_2_minQ+(AP984^2*R_dn)-dpdn_minQ</f>
        <v>60</v>
      </c>
      <c r="AQ987" s="107"/>
      <c r="AR987" s="1"/>
      <c r="AS987" s="97">
        <f ca="1">P_2_minQ+(AS984^2*R_dn)-dpdn_minQ</f>
        <v>60</v>
      </c>
      <c r="AT987" s="107"/>
      <c r="AU987" s="1"/>
    </row>
    <row r="988" spans="15:47" x14ac:dyDescent="0.25">
      <c r="O988" s="8" t="s">
        <v>138</v>
      </c>
      <c r="P988" s="1"/>
      <c r="Q988" s="8"/>
      <c r="R988" s="97">
        <f>R986-R987</f>
        <v>30.184767072513239</v>
      </c>
      <c r="S988" s="106"/>
      <c r="T988" s="22"/>
      <c r="U988" s="97">
        <f ca="1">U986-U987</f>
        <v>30.088338360191287</v>
      </c>
      <c r="V988" s="110"/>
      <c r="W988" s="25"/>
      <c r="X988" s="97">
        <f ca="1">X986-X987</f>
        <v>29.605233467962989</v>
      </c>
      <c r="Y988" s="110"/>
      <c r="Z988" s="25"/>
      <c r="AA988" s="97">
        <f ca="1">AA986-AA987</f>
        <v>27.985420895062589</v>
      </c>
      <c r="AB988" s="110"/>
      <c r="AC988" s="25"/>
      <c r="AD988" s="97">
        <f ca="1">AD986-AD987</f>
        <v>23.993902862461695</v>
      </c>
      <c r="AE988" s="110"/>
      <c r="AF988" s="25"/>
      <c r="AG988" s="97">
        <f ca="1">AG986-AG987</f>
        <v>16.996556776533325</v>
      </c>
      <c r="AH988" s="110"/>
      <c r="AI988" s="25"/>
      <c r="AJ988" s="97">
        <f ca="1">AJ986-AJ987</f>
        <v>6.697661945358675</v>
      </c>
      <c r="AK988" s="110"/>
      <c r="AL988" s="25"/>
      <c r="AM988" s="97">
        <f ca="1">AM986-AM987</f>
        <v>-4.7844656418540339</v>
      </c>
      <c r="AN988" s="110"/>
      <c r="AO988" s="25"/>
      <c r="AP988" s="97">
        <f ca="1">AP986-AP987</f>
        <v>-16.948570433549726</v>
      </c>
      <c r="AQ988" s="110"/>
      <c r="AR988" s="25"/>
      <c r="AS988" s="97">
        <f ca="1">AS986-AS987</f>
        <v>-34.620878509939629</v>
      </c>
      <c r="AT988" s="110"/>
      <c r="AU988" s="25"/>
    </row>
    <row r="989" spans="15:47" ht="14.4" x14ac:dyDescent="0.3">
      <c r="O989" s="2" t="s">
        <v>140</v>
      </c>
      <c r="P989" s="11"/>
      <c r="Q989" s="2"/>
      <c r="R989" s="96">
        <f>R988/R986</f>
        <v>0.33469917428786078</v>
      </c>
      <c r="S989" s="106"/>
      <c r="T989" s="22"/>
      <c r="U989" s="96">
        <f ca="1">U988/U986</f>
        <v>0.33398704990974593</v>
      </c>
      <c r="V989" s="111"/>
      <c r="W989" s="28"/>
      <c r="X989" s="96">
        <f ca="1">X988/X986</f>
        <v>0.33039625390349436</v>
      </c>
      <c r="Y989" s="111"/>
      <c r="Z989" s="28"/>
      <c r="AA989" s="96">
        <f ca="1">AA988/AA986</f>
        <v>0.31806884152364184</v>
      </c>
      <c r="AB989" s="111"/>
      <c r="AC989" s="28"/>
      <c r="AD989" s="96">
        <f ca="1">AD988/AD986</f>
        <v>0.28566243554310389</v>
      </c>
      <c r="AE989" s="111"/>
      <c r="AF989" s="28"/>
      <c r="AG989" s="96">
        <f ca="1">AG988/AG986</f>
        <v>0.22074437465901672</v>
      </c>
      <c r="AH989" s="111"/>
      <c r="AI989" s="28"/>
      <c r="AJ989" s="96">
        <f ca="1">AJ988/AJ986</f>
        <v>0.10041824180952041</v>
      </c>
      <c r="AK989" s="111"/>
      <c r="AL989" s="28"/>
      <c r="AM989" s="96">
        <f ca="1">AM988/AM986</f>
        <v>-8.6650717003306149E-2</v>
      </c>
      <c r="AN989" s="111"/>
      <c r="AO989" s="28"/>
      <c r="AP989" s="96">
        <f ca="1">AP988/AP986</f>
        <v>-0.39368194283512592</v>
      </c>
      <c r="AQ989" s="111"/>
      <c r="AR989" s="28"/>
      <c r="AS989" s="96">
        <f ca="1">AS988/AS986</f>
        <v>-1.3641480270898563</v>
      </c>
      <c r="AT989" s="111"/>
      <c r="AU989" s="28"/>
    </row>
    <row r="990" spans="15:47" x14ac:dyDescent="0.25">
      <c r="O990" s="2" t="s">
        <v>21</v>
      </c>
      <c r="P990" s="8">
        <v>12</v>
      </c>
      <c r="Q990" s="2"/>
      <c r="R990" s="96">
        <f ca="1">1-R989/(3*F_GAMMA*R$29)</f>
        <v>0.82568560199209573</v>
      </c>
      <c r="S990" s="106"/>
      <c r="T990" s="22"/>
      <c r="U990" s="96">
        <f ca="1">1-U989/(3*F_GAMMA*U$29)</f>
        <v>0.82609689259072783</v>
      </c>
      <c r="V990" s="111"/>
      <c r="W990" s="28"/>
      <c r="X990" s="96">
        <f ca="1">1-X989/(3*F_GAMMA*X$29)</f>
        <v>0.82632809168501176</v>
      </c>
      <c r="Y990" s="111"/>
      <c r="Z990" s="28"/>
      <c r="AA990" s="96">
        <f ca="1">1-AA989/(3*F_GAMMA*AA$29)</f>
        <v>0.83045121048940218</v>
      </c>
      <c r="AB990" s="111"/>
      <c r="AC990" s="28"/>
      <c r="AD990" s="96">
        <f ca="1">1-AD989/(3*F_GAMMA*AD$29)</f>
        <v>0.84300300501367587</v>
      </c>
      <c r="AE990" s="111"/>
      <c r="AF990" s="28"/>
      <c r="AG990" s="96">
        <f ca="1">1-AG989/(3*F_GAMMA*AG$29)</f>
        <v>0.87140139819034401</v>
      </c>
      <c r="AH990" s="111"/>
      <c r="AI990" s="28"/>
      <c r="AJ990" s="96">
        <f ca="1">1-AJ989/(3*F_GAMMA*AJ$29)</f>
        <v>0.93706152384883401</v>
      </c>
      <c r="AK990" s="111"/>
      <c r="AL990" s="28"/>
      <c r="AM990" s="96">
        <f ca="1">1-AM989/(3*F_GAMMA*AM$29)</f>
        <v>1.0607224932299932</v>
      </c>
      <c r="AN990" s="111"/>
      <c r="AO990" s="28"/>
      <c r="AP990" s="96">
        <f ca="1">1-AP989/(3*F_GAMMA*AP$29)</f>
        <v>1.222215197256848</v>
      </c>
      <c r="AQ990" s="111"/>
      <c r="AR990" s="28"/>
      <c r="AS990" s="96">
        <f ca="1">1-AS989/(3*F_GAMMA*AS$29)</f>
        <v>2.2071360080060227</v>
      </c>
      <c r="AT990" s="111"/>
      <c r="AU990" s="28"/>
    </row>
    <row r="991" spans="15:47" x14ac:dyDescent="0.25">
      <c r="O991" s="2" t="s">
        <v>57</v>
      </c>
      <c r="P991" s="143">
        <v>7</v>
      </c>
      <c r="Q991" s="2"/>
      <c r="R991" s="96">
        <f ca="1">(R984/(N_9*R$27*R986*R990))*SQRT(M*'Valve Sizing'!$W$6*'Valve Sizing'!$G$8/R989)</f>
        <v>0.494662693108254</v>
      </c>
      <c r="S991" s="107"/>
      <c r="T991" s="22"/>
      <c r="U991" s="96">
        <f ca="1">(U984/(N_9*U$27*U986*U990))*SQRT(M*'Valve Sizing'!$W$6*'Valve Sizing'!$G$8/U989)</f>
        <v>9.3234760714125358</v>
      </c>
      <c r="V991" s="111"/>
      <c r="W991" s="28"/>
      <c r="X991" s="96">
        <f ca="1">(X984/(N_9*X$27*X986*X990))*SQRT(M*'Valve Sizing'!$W$6*'Valve Sizing'!$G$8/X989)</f>
        <v>23.12389719473267</v>
      </c>
      <c r="Y991" s="111"/>
      <c r="Z991" s="28"/>
      <c r="AA991" s="96">
        <f ca="1">(AA984/(N_9*AA$27*AA986*AA990))*SQRT(M*'Valve Sizing'!$W$6*'Valve Sizing'!$G$8/AA989)</f>
        <v>46.792983938361438</v>
      </c>
      <c r="AB991" s="111"/>
      <c r="AC991" s="28"/>
      <c r="AD991" s="96">
        <f ca="1">(AD984/(N_9*AD$27*AD986*AD990))*SQRT(M*'Valve Sizing'!$W$6*'Valve Sizing'!$G$8/AD989)</f>
        <v>86.540826063931021</v>
      </c>
      <c r="AE991" s="111"/>
      <c r="AF991" s="28"/>
      <c r="AG991" s="96">
        <f ca="1">(AG984/(N_9*AG$27*AG986*AG990))*SQRT(M*'Valve Sizing'!$W$6*'Valve Sizing'!$G$8/AG989)</f>
        <v>155.04852038267614</v>
      </c>
      <c r="AH991" s="111"/>
      <c r="AI991" s="28"/>
      <c r="AJ991" s="96">
        <f ca="1">(AJ984/(N_9*AJ$27*AJ986*AJ990))*SQRT(M*'Valve Sizing'!$W$6*'Valve Sizing'!$G$8/AJ989)</f>
        <v>341.23994361966299</v>
      </c>
      <c r="AK991" s="111"/>
      <c r="AL991" s="28"/>
      <c r="AM991" s="96" t="e">
        <f ca="1">(AM984/(N_9*AM$27*AM986*AM990))*SQRT(M*'Valve Sizing'!$W$6*'Valve Sizing'!$G$8/AM989)</f>
        <v>#NUM!</v>
      </c>
      <c r="AN991" s="111"/>
      <c r="AO991" s="28"/>
      <c r="AP991" s="96" t="e">
        <f ca="1">(AP984/(N_9*AP$27*AP986*AP990))*SQRT(M*'Valve Sizing'!$W$6*'Valve Sizing'!$G$8/AP989)</f>
        <v>#NUM!</v>
      </c>
      <c r="AQ991" s="111"/>
      <c r="AR991" s="28"/>
      <c r="AS991" s="96" t="e">
        <f ca="1">(AS984/(N_9*AS$27*AS986*AS990))*SQRT(M*'Valve Sizing'!$W$6*'Valve Sizing'!$G$8/AS989)</f>
        <v>#NUM!</v>
      </c>
      <c r="AT991" s="111"/>
      <c r="AU991" s="28"/>
    </row>
    <row r="992" spans="15:47" x14ac:dyDescent="0.25">
      <c r="O992" s="2" t="s">
        <v>59</v>
      </c>
      <c r="P992" s="143">
        <v>7</v>
      </c>
      <c r="Q992" s="2"/>
      <c r="R992" s="96">
        <f ca="1">(R984/(N_9*R$27*R986*0.667))*SQRT(M*'Valve Sizing'!$W$6*'Valve Sizing'!$G$8/R993)</f>
        <v>0.4428180272809189</v>
      </c>
      <c r="S992" s="107"/>
      <c r="T992" s="22"/>
      <c r="U992" s="96">
        <f ca="1">(U984/(N_9*U$27*U986*0.667))*SQRT(M*'Valve Sizing'!$W$6*'Valve Sizing'!$G$8/U993)</f>
        <v>8.3406003835677964</v>
      </c>
      <c r="V992" s="111"/>
      <c r="W992" s="28"/>
      <c r="X992" s="96">
        <f ca="1">(X984/(N_9*X$27*X986*0.667))*SQRT(M*'Valve Sizing'!$W$6*'Valve Sizing'!$G$8/X993)</f>
        <v>20.67821891224359</v>
      </c>
      <c r="Y992" s="111"/>
      <c r="Z992" s="28"/>
      <c r="AA992" s="96">
        <f ca="1">(AA984/(N_9*AA$27*AA986*0.667))*SQRT(M*'Valve Sizing'!$W$6*'Valve Sizing'!$G$8/AA993)</f>
        <v>41.550571657123783</v>
      </c>
      <c r="AB992" s="111"/>
      <c r="AC992" s="28"/>
      <c r="AD992" s="96">
        <f ca="1">(AD984/(N_9*AD$27*AD986*0.667))*SQRT(M*'Valve Sizing'!$W$6*'Valve Sizing'!$G$8/AD993)</f>
        <v>75.063813187393322</v>
      </c>
      <c r="AE992" s="111"/>
      <c r="AF992" s="28"/>
      <c r="AG992" s="96">
        <f ca="1">(AG984/(N_9*AG$27*AG986*0.667))*SQRT(M*'Valve Sizing'!$W$6*'Valve Sizing'!$G$8/AG993)</f>
        <v>125.81684640340494</v>
      </c>
      <c r="AH992" s="111"/>
      <c r="AI992" s="28"/>
      <c r="AJ992" s="96">
        <f ca="1">(AJ984/(N_9*AJ$27*AJ986*0.667))*SQRT(M*'Valve Sizing'!$W$6*'Valve Sizing'!$G$8/AJ993)</f>
        <v>208.31515815165679</v>
      </c>
      <c r="AK992" s="111"/>
      <c r="AL992" s="28"/>
      <c r="AM992" s="96">
        <f ca="1">(AM984/(N_9*AM$27*AM986*0.667))*SQRT(M*'Valve Sizing'!$W$6*'Valve Sizing'!$G$8/AM993)</f>
        <v>344.47148995647484</v>
      </c>
      <c r="AN992" s="111"/>
      <c r="AO992" s="28"/>
      <c r="AP992" s="96">
        <f ca="1">(AP984/(N_9*AP$27*AP986*0.667))*SQRT(M*'Valve Sizing'!$W$6*'Valve Sizing'!$G$8/AP993)</f>
        <v>523.94955038479009</v>
      </c>
      <c r="AQ992" s="111"/>
      <c r="AR992" s="28"/>
      <c r="AS992" s="96">
        <f ca="1">(AS984/(N_9*AS$27*AS986*0.667))*SQRT(M*'Valve Sizing'!$W$6*'Valve Sizing'!$G$8/AS993)</f>
        <v>1747.7635860241728</v>
      </c>
      <c r="AT992" s="111"/>
      <c r="AU992" s="28"/>
    </row>
    <row r="993" spans="15:47" ht="15.6" x14ac:dyDescent="0.35">
      <c r="O993" s="2" t="s">
        <v>68</v>
      </c>
      <c r="P993" s="143">
        <v>10</v>
      </c>
      <c r="Q993" s="2"/>
      <c r="R993" s="96">
        <f ca="1">F_GAMMA*R$29</f>
        <v>0.64002969751372984</v>
      </c>
      <c r="S993" s="107"/>
      <c r="T993" s="1"/>
      <c r="U993" s="96">
        <f ca="1">F_GAMMA*U$29</f>
        <v>0.64017842058782071</v>
      </c>
      <c r="V993" s="111"/>
      <c r="W993" s="28"/>
      <c r="X993" s="96">
        <f ca="1">F_GAMMA*X$29</f>
        <v>0.63413873724904268</v>
      </c>
      <c r="Y993" s="111"/>
      <c r="Z993" s="28"/>
      <c r="AA993" s="96">
        <f ca="1">F_GAMMA*AA$29</f>
        <v>0.62532411750377137</v>
      </c>
      <c r="AB993" s="111"/>
      <c r="AC993" s="28"/>
      <c r="AD993" s="96">
        <f ca="1">F_GAMMA*AD$29</f>
        <v>0.60651359509139569</v>
      </c>
      <c r="AE993" s="111"/>
      <c r="AF993" s="28"/>
      <c r="AG993" s="96">
        <f ca="1">F_GAMMA*AG$29</f>
        <v>0.57217930198481592</v>
      </c>
      <c r="AH993" s="111"/>
      <c r="AI993" s="28"/>
      <c r="AJ993" s="96">
        <f ca="1">F_GAMMA*AJ$29</f>
        <v>0.53183282018848232</v>
      </c>
      <c r="AK993" s="111"/>
      <c r="AL993" s="28"/>
      <c r="AM993" s="96">
        <f ca="1">F_GAMMA*AM$29</f>
        <v>0.47566512503094399</v>
      </c>
      <c r="AN993" s="111"/>
      <c r="AO993" s="28"/>
      <c r="AP993" s="96">
        <f ca="1">F_GAMMA*AP$29</f>
        <v>0.59054158265645496</v>
      </c>
      <c r="AQ993" s="111"/>
      <c r="AR993" s="28"/>
      <c r="AS993" s="96">
        <f ca="1">F_GAMMA*AS$29</f>
        <v>0.3766899554102966</v>
      </c>
      <c r="AT993" s="111"/>
      <c r="AU993" s="28"/>
    </row>
    <row r="994" spans="15:47" x14ac:dyDescent="0.25">
      <c r="O994" s="2" t="s">
        <v>145</v>
      </c>
      <c r="P994" s="12"/>
      <c r="Q994" s="2"/>
      <c r="R994" s="96">
        <f ca="1">IF(R989&lt;R993,R991,R992)</f>
        <v>0.494662693108254</v>
      </c>
      <c r="S994" s="116"/>
      <c r="T994" s="1"/>
      <c r="U994" s="96">
        <f ca="1">IF(U989&lt;U993,U991,U992)</f>
        <v>9.3234760714125358</v>
      </c>
      <c r="V994" s="111"/>
      <c r="W994" s="28"/>
      <c r="X994" s="96">
        <f ca="1">IF(X989&lt;X993,X991,X992)</f>
        <v>23.12389719473267</v>
      </c>
      <c r="Y994" s="111"/>
      <c r="Z994" s="28"/>
      <c r="AA994" s="96">
        <f ca="1">IF(AA989&lt;AA993,AA991,AA992)</f>
        <v>46.792983938361438</v>
      </c>
      <c r="AB994" s="111"/>
      <c r="AC994" s="28"/>
      <c r="AD994" s="96">
        <f ca="1">IF(AD989&lt;AD993,AD991,AD992)</f>
        <v>86.540826063931021</v>
      </c>
      <c r="AE994" s="111"/>
      <c r="AF994" s="28"/>
      <c r="AG994" s="96">
        <f ca="1">IF(AG989&lt;AG993,AG991,AG992)</f>
        <v>155.04852038267614</v>
      </c>
      <c r="AH994" s="111"/>
      <c r="AI994" s="28"/>
      <c r="AJ994" s="96">
        <f ca="1">IF(AJ989&lt;AJ993,AJ991,AJ992)</f>
        <v>341.23994361966299</v>
      </c>
      <c r="AK994" s="111"/>
      <c r="AL994" s="28"/>
      <c r="AM994" s="96" t="e">
        <f ca="1">IF(AM989&lt;AM993,AM991,AM992)</f>
        <v>#NUM!</v>
      </c>
      <c r="AN994" s="111"/>
      <c r="AO994" s="28"/>
      <c r="AP994" s="96" t="e">
        <f ca="1">IF(AP989&lt;AP993,AP991,AP992)</f>
        <v>#NUM!</v>
      </c>
      <c r="AQ994" s="111"/>
      <c r="AR994" s="28"/>
      <c r="AS994" s="96" t="e">
        <f ca="1">IF(AS989&lt;AS993,AS991,AS992)</f>
        <v>#NUM!</v>
      </c>
      <c r="AT994" s="111"/>
      <c r="AU994" s="28"/>
    </row>
    <row r="995" spans="15:47" x14ac:dyDescent="0.25">
      <c r="O995" s="13" t="s">
        <v>143</v>
      </c>
      <c r="P995" s="1"/>
      <c r="Q995" s="1"/>
      <c r="R995" s="113"/>
      <c r="S995" s="106">
        <f ca="1">IF(R988&lt;=0,Q_max,ABS(R$23-R994))</f>
        <v>4.2353373068917461</v>
      </c>
      <c r="T995" s="7">
        <f>R984</f>
        <v>1224.8935376261036</v>
      </c>
      <c r="U995" s="98"/>
      <c r="V995" s="106">
        <f ca="1">IF(U988&lt;=0,Q_max,ABS(U$23-U994))</f>
        <v>2.2765239285874639</v>
      </c>
      <c r="W995" s="9">
        <f ca="1">U984</f>
        <v>23034.104959102169</v>
      </c>
      <c r="X995" s="98"/>
      <c r="Y995" s="106">
        <f ca="1">IF(X988&lt;=0,Q_max,ABS(X$23-X994))</f>
        <v>0.12389719473267036</v>
      </c>
      <c r="Z995" s="9">
        <f ca="1">X984</f>
        <v>56402.062034140203</v>
      </c>
      <c r="AA995" s="98"/>
      <c r="AB995" s="106">
        <f ca="1">IF(AA988&lt;=0,Q_max,ABS(AA$23-AA994))</f>
        <v>7.3929839383614393</v>
      </c>
      <c r="AC995" s="9">
        <f ca="1">AA984</f>
        <v>109856.82047486767</v>
      </c>
      <c r="AD995" s="98"/>
      <c r="AE995" s="106">
        <f ca="1">IF(AD988&lt;=0,Q_max,ABS(AD$23-AD994))</f>
        <v>25.540826063931021</v>
      </c>
      <c r="AF995" s="9">
        <f ca="1">AD984</f>
        <v>184305.57065782914</v>
      </c>
      <c r="AG995" s="98"/>
      <c r="AH995" s="106">
        <f ca="1">IF(AG988&lt;=0,Q_max,ABS(AG$23-AG994))</f>
        <v>66.848520382676142</v>
      </c>
      <c r="AI995" s="9">
        <f ca="1">AG984</f>
        <v>268999.0001477534</v>
      </c>
      <c r="AJ995" s="98"/>
      <c r="AK995" s="106">
        <f ca="1">IF(AJ988&lt;=0,Q_max,ABS(AJ$23-AJ994))</f>
        <v>220.23994361966299</v>
      </c>
      <c r="AL995" s="9">
        <f ca="1">AJ984</f>
        <v>358980.20848988666</v>
      </c>
      <c r="AM995" s="98"/>
      <c r="AN995" s="106">
        <f ca="1">IF(AM988&lt;=0,Q_max,ABS(AM$23-AM994))</f>
        <v>236393</v>
      </c>
      <c r="AO995" s="9">
        <f ca="1">AM984</f>
        <v>438024.07493780425</v>
      </c>
      <c r="AP995" s="98"/>
      <c r="AQ995" s="106">
        <f ca="1">IF(AP988&lt;=0,Q_max,ABS(AP$23-AP994))</f>
        <v>236393</v>
      </c>
      <c r="AR995" s="9">
        <f ca="1">AP984</f>
        <v>508532.35270745266</v>
      </c>
      <c r="AS995" s="98"/>
      <c r="AT995" s="106">
        <f ca="1">IF(AS988&lt;=0,Q_max,ABS(AS$23-AS994))</f>
        <v>236393</v>
      </c>
      <c r="AU995" s="9">
        <f ca="1">AS984</f>
        <v>596294.17703756515</v>
      </c>
    </row>
    <row r="996" spans="15:47" x14ac:dyDescent="0.25">
      <c r="O996" s="21"/>
      <c r="P996" s="14"/>
      <c r="Q996" s="21"/>
      <c r="R996" s="97"/>
      <c r="S996" s="106"/>
      <c r="T996" s="28"/>
      <c r="U996" s="97"/>
      <c r="V996" s="111"/>
      <c r="W996" s="28"/>
      <c r="X996" s="97"/>
      <c r="Y996" s="111"/>
      <c r="Z996" s="28"/>
      <c r="AA996" s="97"/>
      <c r="AB996" s="111"/>
      <c r="AC996" s="28"/>
      <c r="AD996" s="97"/>
      <c r="AE996" s="111"/>
      <c r="AF996" s="28"/>
      <c r="AG996" s="97"/>
      <c r="AH996" s="111"/>
      <c r="AI996" s="28"/>
      <c r="AJ996" s="97"/>
      <c r="AK996" s="111"/>
      <c r="AL996" s="28"/>
      <c r="AM996" s="97"/>
      <c r="AN996" s="111"/>
      <c r="AO996" s="28"/>
      <c r="AP996" s="97"/>
      <c r="AQ996" s="111"/>
      <c r="AR996" s="28"/>
      <c r="AS996" s="97"/>
      <c r="AT996" s="111"/>
      <c r="AU996" s="28"/>
    </row>
    <row r="997" spans="15:47" x14ac:dyDescent="0.25">
      <c r="O997" s="1"/>
      <c r="P997" s="1"/>
      <c r="Q997" s="1"/>
      <c r="R997" s="98"/>
      <c r="S997" s="108" t="s">
        <v>137</v>
      </c>
      <c r="T997" s="26" t="s">
        <v>146</v>
      </c>
      <c r="U997" s="98"/>
      <c r="V997" s="108" t="s">
        <v>137</v>
      </c>
      <c r="W997" s="26" t="s">
        <v>146</v>
      </c>
      <c r="X997" s="98"/>
      <c r="Y997" s="108" t="s">
        <v>137</v>
      </c>
      <c r="Z997" s="26" t="s">
        <v>146</v>
      </c>
      <c r="AA997" s="98"/>
      <c r="AB997" s="108" t="s">
        <v>137</v>
      </c>
      <c r="AC997" s="26" t="s">
        <v>146</v>
      </c>
      <c r="AD997" s="98"/>
      <c r="AE997" s="108" t="s">
        <v>137</v>
      </c>
      <c r="AF997" s="26" t="s">
        <v>146</v>
      </c>
      <c r="AG997" s="98"/>
      <c r="AH997" s="108" t="s">
        <v>137</v>
      </c>
      <c r="AI997" s="26" t="s">
        <v>146</v>
      </c>
      <c r="AJ997" s="98"/>
      <c r="AK997" s="108" t="s">
        <v>137</v>
      </c>
      <c r="AL997" s="26" t="s">
        <v>146</v>
      </c>
      <c r="AM997" s="98"/>
      <c r="AN997" s="108" t="s">
        <v>137</v>
      </c>
      <c r="AO997" s="26" t="s">
        <v>146</v>
      </c>
      <c r="AP997" s="98"/>
      <c r="AQ997" s="108" t="s">
        <v>137</v>
      </c>
      <c r="AR997" s="26" t="s">
        <v>146</v>
      </c>
      <c r="AS997" s="98"/>
      <c r="AT997" s="108" t="s">
        <v>137</v>
      </c>
      <c r="AU997" s="26" t="s">
        <v>146</v>
      </c>
    </row>
    <row r="998" spans="15:47" ht="13.8" x14ac:dyDescent="0.25">
      <c r="O998" s="20" t="s">
        <v>136</v>
      </c>
      <c r="P998" s="1"/>
      <c r="Q998" s="1"/>
      <c r="R998" s="96">
        <f>R984*1.02</f>
        <v>1249.3914083786258</v>
      </c>
      <c r="S998" s="109" t="s">
        <v>144</v>
      </c>
      <c r="T998" s="23" t="s">
        <v>147</v>
      </c>
      <c r="U998" s="96">
        <f ca="1">U984*1.01</f>
        <v>23264.44600869319</v>
      </c>
      <c r="V998" s="109" t="s">
        <v>144</v>
      </c>
      <c r="W998" s="23" t="s">
        <v>147</v>
      </c>
      <c r="X998" s="96">
        <f ca="1">X984*1.01</f>
        <v>56966.082654481608</v>
      </c>
      <c r="Y998" s="109" t="s">
        <v>144</v>
      </c>
      <c r="Z998" s="23" t="s">
        <v>147</v>
      </c>
      <c r="AA998" s="96">
        <f ca="1">AA984*1.01</f>
        <v>110955.38867961634</v>
      </c>
      <c r="AB998" s="109" t="s">
        <v>144</v>
      </c>
      <c r="AC998" s="23" t="s">
        <v>147</v>
      </c>
      <c r="AD998" s="96">
        <f ca="1">AD984*1.01</f>
        <v>186148.62636440745</v>
      </c>
      <c r="AE998" s="109" t="s">
        <v>144</v>
      </c>
      <c r="AF998" s="23" t="s">
        <v>147</v>
      </c>
      <c r="AG998" s="96">
        <f ca="1">AG984*1.01</f>
        <v>271688.99014923093</v>
      </c>
      <c r="AH998" s="109" t="s">
        <v>144</v>
      </c>
      <c r="AI998" s="23" t="s">
        <v>147</v>
      </c>
      <c r="AJ998" s="96">
        <f ca="1">AJ984*1.01</f>
        <v>362570.01057478553</v>
      </c>
      <c r="AK998" s="109" t="s">
        <v>144</v>
      </c>
      <c r="AL998" s="23" t="s">
        <v>147</v>
      </c>
      <c r="AM998" s="96">
        <f ca="1">AM984*1.01</f>
        <v>442404.3156871823</v>
      </c>
      <c r="AN998" s="109" t="s">
        <v>144</v>
      </c>
      <c r="AO998" s="23" t="s">
        <v>147</v>
      </c>
      <c r="AP998" s="96">
        <f ca="1">AP984*1.01</f>
        <v>513617.6762345272</v>
      </c>
      <c r="AQ998" s="109" t="s">
        <v>144</v>
      </c>
      <c r="AR998" s="23" t="s">
        <v>147</v>
      </c>
      <c r="AS998" s="96">
        <f ca="1">AS984*1.01</f>
        <v>602257.11880794086</v>
      </c>
      <c r="AT998" s="109" t="s">
        <v>144</v>
      </c>
      <c r="AU998" s="23" t="s">
        <v>147</v>
      </c>
    </row>
    <row r="999" spans="15:47" x14ac:dyDescent="0.25">
      <c r="O999" s="1"/>
      <c r="P999" s="1"/>
      <c r="Q999" s="1"/>
      <c r="R999" s="98"/>
      <c r="S999" s="107"/>
      <c r="T999" s="1"/>
      <c r="U999" s="47"/>
      <c r="V999" s="107"/>
      <c r="W999" s="1"/>
      <c r="X999" s="47"/>
      <c r="Y999" s="107"/>
      <c r="Z999" s="1"/>
      <c r="AA999" s="47"/>
      <c r="AB999" s="107"/>
      <c r="AC999" s="1"/>
      <c r="AD999" s="47"/>
      <c r="AE999" s="107"/>
      <c r="AF999" s="1"/>
      <c r="AG999" s="47"/>
      <c r="AH999" s="107"/>
      <c r="AI999" s="1"/>
      <c r="AJ999" s="47"/>
      <c r="AK999" s="107"/>
      <c r="AL999" s="1"/>
      <c r="AM999" s="47"/>
      <c r="AN999" s="107"/>
      <c r="AO999" s="1"/>
      <c r="AP999" s="47"/>
      <c r="AQ999" s="107"/>
      <c r="AR999" s="1"/>
      <c r="AS999" s="47"/>
      <c r="AT999" s="107"/>
      <c r="AU999" s="1"/>
    </row>
    <row r="1000" spans="15:47" x14ac:dyDescent="0.25">
      <c r="O1000" s="8" t="s">
        <v>132</v>
      </c>
      <c r="P1000" s="8"/>
      <c r="Q1000" s="8"/>
      <c r="R1000" s="96">
        <f>P_1_minQ-(R998^2*R_up)+dpup_minQ</f>
        <v>90.184756024820445</v>
      </c>
      <c r="S1000" s="106"/>
      <c r="T1000" s="22"/>
      <c r="U1000" s="96">
        <f ca="1">P_1_minQ-(U998^2*R_up)+dpup_minQ</f>
        <v>90.086394646572984</v>
      </c>
      <c r="V1000" s="107"/>
      <c r="W1000" s="1"/>
      <c r="X1000" s="96">
        <f ca="1">P_1_minQ-(X998^2*R_up)+dpup_minQ</f>
        <v>89.593579346010912</v>
      </c>
      <c r="Y1000" s="107"/>
      <c r="Z1000" s="1"/>
      <c r="AA1000" s="96">
        <f ca="1">P_1_minQ-(AA998^2*R_up)+dpup_minQ</f>
        <v>87.941208540395209</v>
      </c>
      <c r="AB1000" s="107"/>
      <c r="AC1000" s="1"/>
      <c r="AD1000" s="96">
        <f ca="1">P_1_minQ-(AD998^2*R_up)+dpup_minQ</f>
        <v>83.86946099533904</v>
      </c>
      <c r="AE1000" s="107"/>
      <c r="AF1000" s="1"/>
      <c r="AG1000" s="96">
        <f ca="1">P_1_minQ-(AG998^2*R_up)+dpup_minQ</f>
        <v>76.731468253083506</v>
      </c>
      <c r="AH1000" s="107"/>
      <c r="AI1000" s="1"/>
      <c r="AJ1000" s="96">
        <f ca="1">P_1_minQ-(AJ998^2*R_up)+dpup_minQ</f>
        <v>66.225565635802241</v>
      </c>
      <c r="AK1000" s="107"/>
      <c r="AL1000" s="1"/>
      <c r="AM1000" s="96">
        <f ca="1">P_1_minQ-(AM998^2*R_up)+dpup_minQ</f>
        <v>54.512647284086562</v>
      </c>
      <c r="AN1000" s="107"/>
      <c r="AO1000" s="1"/>
      <c r="AP1000" s="96">
        <f ca="1">P_1_minQ-(AP998^2*R_up)+dpup_minQ</f>
        <v>42.104043986077784</v>
      </c>
      <c r="AQ1000" s="107"/>
      <c r="AR1000" s="1"/>
      <c r="AS1000" s="96">
        <f ca="1">P_1_minQ-(AS998^2*R_up)+dpup_minQ</f>
        <v>24.07652251735243</v>
      </c>
      <c r="AT1000" s="107"/>
      <c r="AU1000" s="1"/>
    </row>
    <row r="1001" spans="15:47" x14ac:dyDescent="0.25">
      <c r="O1001" s="8" t="s">
        <v>134</v>
      </c>
      <c r="P1001" s="1"/>
      <c r="Q1001" s="8"/>
      <c r="R1001" s="97">
        <f>P_2_minQ+(R998^2*R_dn)-dpdn_minQ</f>
        <v>60</v>
      </c>
      <c r="S1001" s="106"/>
      <c r="T1001" s="22"/>
      <c r="U1001" s="97">
        <f ca="1">P_2_minQ+(U998^2*R_dn)-dpdn_minQ</f>
        <v>60</v>
      </c>
      <c r="V1001" s="107"/>
      <c r="W1001" s="1"/>
      <c r="X1001" s="97">
        <f ca="1">P_2_minQ+(X998^2*R_dn)-dpdn_minQ</f>
        <v>60</v>
      </c>
      <c r="Y1001" s="107"/>
      <c r="Z1001" s="1"/>
      <c r="AA1001" s="97">
        <f ca="1">P_2_minQ+(AA998^2*R_dn)-dpdn_minQ</f>
        <v>60</v>
      </c>
      <c r="AB1001" s="107"/>
      <c r="AC1001" s="1"/>
      <c r="AD1001" s="97">
        <f ca="1">P_2_minQ+(AD998^2*R_dn)-dpdn_minQ</f>
        <v>60</v>
      </c>
      <c r="AE1001" s="107"/>
      <c r="AF1001" s="1"/>
      <c r="AG1001" s="97">
        <f ca="1">P_2_minQ+(AG998^2*R_dn)-dpdn_minQ</f>
        <v>60</v>
      </c>
      <c r="AH1001" s="107"/>
      <c r="AI1001" s="1"/>
      <c r="AJ1001" s="97">
        <f ca="1">P_2_minQ+(AJ998^2*R_dn)-dpdn_minQ</f>
        <v>60</v>
      </c>
      <c r="AK1001" s="107"/>
      <c r="AL1001" s="1"/>
      <c r="AM1001" s="97">
        <f ca="1">P_2_minQ+(AM998^2*R_dn)-dpdn_minQ</f>
        <v>60</v>
      </c>
      <c r="AN1001" s="107"/>
      <c r="AO1001" s="1"/>
      <c r="AP1001" s="97">
        <f ca="1">P_2_minQ+(AP998^2*R_dn)-dpdn_minQ</f>
        <v>60</v>
      </c>
      <c r="AQ1001" s="107"/>
      <c r="AR1001" s="1"/>
      <c r="AS1001" s="97">
        <f ca="1">P_2_minQ+(AS998^2*R_dn)-dpdn_minQ</f>
        <v>60</v>
      </c>
      <c r="AT1001" s="107"/>
      <c r="AU1001" s="1"/>
    </row>
    <row r="1002" spans="15:47" x14ac:dyDescent="0.25">
      <c r="O1002" s="8" t="s">
        <v>138</v>
      </c>
      <c r="P1002" s="1"/>
      <c r="Q1002" s="8"/>
      <c r="R1002" s="97">
        <f>R1000-R1001</f>
        <v>30.184756024820445</v>
      </c>
      <c r="S1002" s="106"/>
      <c r="T1002" s="22"/>
      <c r="U1002" s="97">
        <f ca="1">U1000-U1001</f>
        <v>30.086394646572984</v>
      </c>
      <c r="V1002" s="110"/>
      <c r="W1002" s="25"/>
      <c r="X1002" s="97">
        <f ca="1">X1000-X1001</f>
        <v>29.593579346010912</v>
      </c>
      <c r="Y1002" s="110"/>
      <c r="Z1002" s="25"/>
      <c r="AA1002" s="97">
        <f ca="1">AA1000-AA1001</f>
        <v>27.941208540395209</v>
      </c>
      <c r="AB1002" s="110"/>
      <c r="AC1002" s="25"/>
      <c r="AD1002" s="97">
        <f ca="1">AD1000-AD1001</f>
        <v>23.86946099533904</v>
      </c>
      <c r="AE1002" s="110"/>
      <c r="AF1002" s="25"/>
      <c r="AG1002" s="97">
        <f ca="1">AG1000-AG1001</f>
        <v>16.731468253083506</v>
      </c>
      <c r="AH1002" s="110"/>
      <c r="AI1002" s="25"/>
      <c r="AJ1002" s="97">
        <f ca="1">AJ1000-AJ1001</f>
        <v>6.2255656358022406</v>
      </c>
      <c r="AK1002" s="110"/>
      <c r="AL1002" s="25"/>
      <c r="AM1002" s="97">
        <f ca="1">AM1000-AM1001</f>
        <v>-5.4873527159134383</v>
      </c>
      <c r="AN1002" s="110"/>
      <c r="AO1002" s="25"/>
      <c r="AP1002" s="97">
        <f ca="1">AP1000-AP1001</f>
        <v>-17.895956013922216</v>
      </c>
      <c r="AQ1002" s="110"/>
      <c r="AR1002" s="25"/>
      <c r="AS1002" s="97">
        <f ca="1">AS1000-AS1001</f>
        <v>-35.92347748264757</v>
      </c>
      <c r="AT1002" s="110"/>
      <c r="AU1002" s="25"/>
    </row>
    <row r="1003" spans="15:47" ht="14.4" x14ac:dyDescent="0.3">
      <c r="O1003" s="2" t="s">
        <v>140</v>
      </c>
      <c r="P1003" s="11"/>
      <c r="Q1003" s="2"/>
      <c r="R1003" s="96">
        <f>R1002/R1000</f>
        <v>0.3346990927880657</v>
      </c>
      <c r="S1003" s="106"/>
      <c r="T1003" s="22"/>
      <c r="U1003" s="96">
        <f ca="1">U1002/U1000</f>
        <v>0.33397267994360247</v>
      </c>
      <c r="V1003" s="111"/>
      <c r="W1003" s="28"/>
      <c r="X1003" s="96">
        <f ca="1">X1002/X1000</f>
        <v>0.33030915342404549</v>
      </c>
      <c r="Y1003" s="111"/>
      <c r="Z1003" s="28"/>
      <c r="AA1003" s="96">
        <f ca="1">AA1002/AA1000</f>
        <v>0.31772600131553347</v>
      </c>
      <c r="AB1003" s="111"/>
      <c r="AC1003" s="28"/>
      <c r="AD1003" s="96">
        <f ca="1">AD1002/AD1000</f>
        <v>0.28460253246012351</v>
      </c>
      <c r="AE1003" s="111"/>
      <c r="AF1003" s="28"/>
      <c r="AG1003" s="96">
        <f ca="1">AG1002/AG1000</f>
        <v>0.21805223637710255</v>
      </c>
      <c r="AH1003" s="111"/>
      <c r="AI1003" s="28"/>
      <c r="AJ1003" s="96">
        <f ca="1">AJ1002/AJ1000</f>
        <v>9.4005473204091958E-2</v>
      </c>
      <c r="AK1003" s="111"/>
      <c r="AL1003" s="28"/>
      <c r="AM1003" s="96">
        <f ca="1">AM1002/AM1000</f>
        <v>-0.10066201128183545</v>
      </c>
      <c r="AN1003" s="111"/>
      <c r="AO1003" s="28"/>
      <c r="AP1003" s="96">
        <f ca="1">AP1002/AP1000</f>
        <v>-0.42504126254095054</v>
      </c>
      <c r="AQ1003" s="111"/>
      <c r="AR1003" s="28"/>
      <c r="AS1003" s="96">
        <f ca="1">AS1002/AS1000</f>
        <v>-1.4920542390105052</v>
      </c>
      <c r="AT1003" s="111"/>
      <c r="AU1003" s="28"/>
    </row>
    <row r="1004" spans="15:47" x14ac:dyDescent="0.25">
      <c r="O1004" s="2" t="s">
        <v>21</v>
      </c>
      <c r="P1004" s="8">
        <v>12</v>
      </c>
      <c r="Q1004" s="2"/>
      <c r="R1004" s="96">
        <f ca="1">1-R1003/(3*F_GAMMA*R$29)</f>
        <v>0.82568564443793602</v>
      </c>
      <c r="S1004" s="106"/>
      <c r="T1004" s="22"/>
      <c r="U1004" s="96">
        <f ca="1">1-U1003/(3*F_GAMMA*U$29)</f>
        <v>0.82610437486217037</v>
      </c>
      <c r="V1004" s="111"/>
      <c r="W1004" s="28"/>
      <c r="X1004" s="96">
        <f ca="1">1-X1003/(3*F_GAMMA*X$29)</f>
        <v>0.82637387581937261</v>
      </c>
      <c r="Y1004" s="111"/>
      <c r="Z1004" s="28"/>
      <c r="AA1004" s="96">
        <f ca="1">1-AA1003/(3*F_GAMMA*AA$29)</f>
        <v>0.83063396382670451</v>
      </c>
      <c r="AB1004" s="111"/>
      <c r="AC1004" s="28"/>
      <c r="AD1004" s="96">
        <f ca="1">1-AD1003/(3*F_GAMMA*AD$29)</f>
        <v>0.8435855163217808</v>
      </c>
      <c r="AE1004" s="111"/>
      <c r="AF1004" s="28"/>
      <c r="AG1004" s="96">
        <f ca="1">1-AG1003/(3*F_GAMMA*AG$29)</f>
        <v>0.87296975171902258</v>
      </c>
      <c r="AH1004" s="111"/>
      <c r="AI1004" s="28"/>
      <c r="AJ1004" s="96">
        <f ca="1">1-AJ1003/(3*F_GAMMA*AJ$29)</f>
        <v>0.94108081234326213</v>
      </c>
      <c r="AK1004" s="111"/>
      <c r="AL1004" s="28"/>
      <c r="AM1004" s="96">
        <f ca="1">1-AM1003/(3*F_GAMMA*AM$29)</f>
        <v>1.0705412316247254</v>
      </c>
      <c r="AN1004" s="111"/>
      <c r="AO1004" s="28"/>
      <c r="AP1004" s="96">
        <f ca="1">1-AP1003/(3*F_GAMMA*AP$29)</f>
        <v>1.2399160787453058</v>
      </c>
      <c r="AQ1004" s="111"/>
      <c r="AR1004" s="28"/>
      <c r="AS1004" s="96">
        <f ca="1">1-AS1003/(3*F_GAMMA*AS$29)</f>
        <v>2.320320347968341</v>
      </c>
      <c r="AT1004" s="111"/>
      <c r="AU1004" s="28"/>
    </row>
    <row r="1005" spans="15:47" x14ac:dyDescent="0.25">
      <c r="O1005" s="2" t="s">
        <v>57</v>
      </c>
      <c r="P1005" s="143">
        <v>7</v>
      </c>
      <c r="Q1005" s="2"/>
      <c r="R1005" s="96">
        <f ca="1">(R998/(N_9*R$27*R1000*R1004))*SQRT(M*'Valve Sizing'!$W$6*'Valve Sizing'!$G$8/R1003)</f>
        <v>0.50455604427137346</v>
      </c>
      <c r="S1005" s="107"/>
      <c r="T1005" s="22"/>
      <c r="U1005" s="96">
        <f ca="1">(U998/(N_9*U$27*U1000*U1004))*SQRT(M*'Valve Sizing'!$W$6*'Valve Sizing'!$G$8/U1003)</f>
        <v>9.4170313048152714</v>
      </c>
      <c r="V1005" s="111"/>
      <c r="W1005" s="28"/>
      <c r="X1005" s="96">
        <f ca="1">(X998/(N_9*X$27*X1000*X1004))*SQRT(M*'Valve Sizing'!$W$6*'Valve Sizing'!$G$8/X1003)</f>
        <v>23.359959348936748</v>
      </c>
      <c r="Y1005" s="111"/>
      <c r="Z1005" s="28"/>
      <c r="AA1005" s="96">
        <f ca="1">(AA998/(N_9*AA$27*AA1000*AA1004))*SQRT(M*'Valve Sizing'!$W$6*'Valve Sizing'!$G$8/AA1003)</f>
        <v>47.299769360238621</v>
      </c>
      <c r="AB1005" s="111"/>
      <c r="AC1005" s="28"/>
      <c r="AD1005" s="96">
        <f ca="1">(AD998/(N_9*AD$27*AD1000*AD1004))*SQRT(M*'Valve Sizing'!$W$6*'Valve Sizing'!$G$8/AD1003)</f>
        <v>87.638213354805472</v>
      </c>
      <c r="AE1005" s="111"/>
      <c r="AF1005" s="28"/>
      <c r="AG1005" s="96">
        <f ca="1">(AG998/(N_9*AG$27*AG1000*AG1004))*SQRT(M*'Valve Sizing'!$W$6*'Valve Sizing'!$G$8/AG1003)</f>
        <v>157.82303921656026</v>
      </c>
      <c r="AH1005" s="111"/>
      <c r="AI1005" s="28"/>
      <c r="AJ1005" s="96">
        <f ca="1">(AJ998/(N_9*AJ$27*AJ1000*AJ1004))*SQRT(M*'Valve Sizing'!$W$6*'Valve Sizing'!$G$8/AJ1003)</f>
        <v>357.2210914366795</v>
      </c>
      <c r="AK1005" s="111"/>
      <c r="AL1005" s="28"/>
      <c r="AM1005" s="96" t="e">
        <f ca="1">(AM998/(N_9*AM$27*AM1000*AM1004))*SQRT(M*'Valve Sizing'!$W$6*'Valve Sizing'!$G$8/AM1003)</f>
        <v>#NUM!</v>
      </c>
      <c r="AN1005" s="111"/>
      <c r="AO1005" s="28"/>
      <c r="AP1005" s="96" t="e">
        <f ca="1">(AP998/(N_9*AP$27*AP1000*AP1004))*SQRT(M*'Valve Sizing'!$W$6*'Valve Sizing'!$G$8/AP1003)</f>
        <v>#NUM!</v>
      </c>
      <c r="AQ1005" s="111"/>
      <c r="AR1005" s="28"/>
      <c r="AS1005" s="96" t="e">
        <f ca="1">(AS998/(N_9*AS$27*AS1000*AS1004))*SQRT(M*'Valve Sizing'!$W$6*'Valve Sizing'!$G$8/AS1003)</f>
        <v>#NUM!</v>
      </c>
      <c r="AT1005" s="111"/>
      <c r="AU1005" s="28"/>
    </row>
    <row r="1006" spans="15:47" x14ac:dyDescent="0.25">
      <c r="O1006" s="2" t="s">
        <v>59</v>
      </c>
      <c r="P1006" s="143">
        <v>7</v>
      </c>
      <c r="Q1006" s="2"/>
      <c r="R1006" s="96">
        <f ca="1">(R998/(N_9*R$27*R1000*0.667))*SQRT(M*'Valve Sizing'!$W$6*'Valve Sizing'!$G$8/R1007)</f>
        <v>0.45167444315695127</v>
      </c>
      <c r="S1006" s="107"/>
      <c r="T1006" s="22"/>
      <c r="U1006" s="96">
        <f ca="1">(U998/(N_9*U$27*U1000*0.667))*SQRT(M*'Valve Sizing'!$W$6*'Valve Sizing'!$G$8/U1007)</f>
        <v>8.4241881446599418</v>
      </c>
      <c r="V1006" s="111"/>
      <c r="W1006" s="28"/>
      <c r="X1006" s="96">
        <f ca="1">(X998/(N_9*X$27*X1000*0.667))*SQRT(M*'Valve Sizing'!$W$6*'Valve Sizing'!$G$8/X1007)</f>
        <v>20.887717773158595</v>
      </c>
      <c r="Y1006" s="111"/>
      <c r="Z1006" s="28"/>
      <c r="AA1006" s="96">
        <f ca="1">(AA998/(N_9*AA$27*AA1000*0.667))*SQRT(M*'Valve Sizing'!$W$6*'Valve Sizing'!$G$8/AA1007)</f>
        <v>41.987175777135683</v>
      </c>
      <c r="AB1006" s="111"/>
      <c r="AC1006" s="28"/>
      <c r="AD1006" s="96">
        <f ca="1">(AD998/(N_9*AD$27*AD1000*0.667))*SQRT(M*'Valve Sizing'!$W$6*'Valve Sizing'!$G$8/AD1007)</f>
        <v>75.92694151254004</v>
      </c>
      <c r="AE1006" s="111"/>
      <c r="AF1006" s="28"/>
      <c r="AG1006" s="96">
        <f ca="1">(AG998/(N_9*AG$27*AG1000*0.667))*SQRT(M*'Valve Sizing'!$W$6*'Valve Sizing'!$G$8/AG1007)</f>
        <v>127.51402807578093</v>
      </c>
      <c r="AH1006" s="111"/>
      <c r="AI1006" s="28"/>
      <c r="AJ1006" s="96">
        <f ca="1">(AJ998/(N_9*AJ$27*AJ1000*0.667))*SQRT(M*'Valve Sizing'!$W$6*'Valve Sizing'!$G$8/AJ1007)</f>
        <v>211.89815748242751</v>
      </c>
      <c r="AK1006" s="111"/>
      <c r="AL1006" s="28"/>
      <c r="AM1006" s="96">
        <f ca="1">(AM998/(N_9*AM$27*AM1000*0.667))*SQRT(M*'Valve Sizing'!$W$6*'Valve Sizing'!$G$8/AM1007)</f>
        <v>352.40224278361796</v>
      </c>
      <c r="AN1006" s="111"/>
      <c r="AO1006" s="28"/>
      <c r="AP1006" s="96">
        <f ca="1">(AP998/(N_9*AP$27*AP1000*0.667))*SQRT(M*'Valve Sizing'!$W$6*'Valve Sizing'!$G$8/AP1007)</f>
        <v>541.09635986379317</v>
      </c>
      <c r="AQ1006" s="111"/>
      <c r="AR1006" s="28"/>
      <c r="AS1006" s="96">
        <f ca="1">(AS998/(N_9*AS$27*AS1000*0.667))*SQRT(M*'Valve Sizing'!$W$6*'Valve Sizing'!$G$8/AS1007)</f>
        <v>1860.7451054104151</v>
      </c>
      <c r="AT1006" s="111"/>
      <c r="AU1006" s="28"/>
    </row>
    <row r="1007" spans="15:47" ht="15.6" x14ac:dyDescent="0.35">
      <c r="O1007" s="2" t="s">
        <v>68</v>
      </c>
      <c r="P1007" s="143">
        <v>10</v>
      </c>
      <c r="Q1007" s="2"/>
      <c r="R1007" s="96">
        <f ca="1">F_GAMMA*R$29</f>
        <v>0.64002969751372984</v>
      </c>
      <c r="S1007" s="107"/>
      <c r="T1007" s="1"/>
      <c r="U1007" s="96">
        <f ca="1">F_GAMMA*U$29</f>
        <v>0.64017842058782071</v>
      </c>
      <c r="V1007" s="111"/>
      <c r="W1007" s="28"/>
      <c r="X1007" s="96">
        <f ca="1">F_GAMMA*X$29</f>
        <v>0.63413873724904268</v>
      </c>
      <c r="Y1007" s="111"/>
      <c r="Z1007" s="28"/>
      <c r="AA1007" s="96">
        <f ca="1">F_GAMMA*AA$29</f>
        <v>0.62532411750377137</v>
      </c>
      <c r="AB1007" s="111"/>
      <c r="AC1007" s="28"/>
      <c r="AD1007" s="96">
        <f ca="1">F_GAMMA*AD$29</f>
        <v>0.60651359509139569</v>
      </c>
      <c r="AE1007" s="111"/>
      <c r="AF1007" s="28"/>
      <c r="AG1007" s="96">
        <f ca="1">F_GAMMA*AG$29</f>
        <v>0.57217930198481592</v>
      </c>
      <c r="AH1007" s="111"/>
      <c r="AI1007" s="28"/>
      <c r="AJ1007" s="96">
        <f ca="1">F_GAMMA*AJ$29</f>
        <v>0.53183282018848232</v>
      </c>
      <c r="AK1007" s="111"/>
      <c r="AL1007" s="28"/>
      <c r="AM1007" s="96">
        <f ca="1">F_GAMMA*AM$29</f>
        <v>0.47566512503094399</v>
      </c>
      <c r="AN1007" s="111"/>
      <c r="AO1007" s="28"/>
      <c r="AP1007" s="96">
        <f ca="1">F_GAMMA*AP$29</f>
        <v>0.59054158265645496</v>
      </c>
      <c r="AQ1007" s="111"/>
      <c r="AR1007" s="28"/>
      <c r="AS1007" s="96">
        <f ca="1">F_GAMMA*AS$29</f>
        <v>0.3766899554102966</v>
      </c>
      <c r="AT1007" s="111"/>
      <c r="AU1007" s="28"/>
    </row>
    <row r="1008" spans="15:47" x14ac:dyDescent="0.25">
      <c r="O1008" s="2" t="s">
        <v>145</v>
      </c>
      <c r="P1008" s="12"/>
      <c r="Q1008" s="2"/>
      <c r="R1008" s="96">
        <f ca="1">IF(R1003&lt;R1007,R1005,R1006)</f>
        <v>0.50455604427137346</v>
      </c>
      <c r="S1008" s="116"/>
      <c r="T1008" s="1"/>
      <c r="U1008" s="96">
        <f ca="1">IF(U1003&lt;U1007,U1005,U1006)</f>
        <v>9.4170313048152714</v>
      </c>
      <c r="V1008" s="111"/>
      <c r="W1008" s="28"/>
      <c r="X1008" s="96">
        <f ca="1">IF(X1003&lt;X1007,X1005,X1006)</f>
        <v>23.359959348936748</v>
      </c>
      <c r="Y1008" s="111"/>
      <c r="Z1008" s="28"/>
      <c r="AA1008" s="96">
        <f ca="1">IF(AA1003&lt;AA1007,AA1005,AA1006)</f>
        <v>47.299769360238621</v>
      </c>
      <c r="AB1008" s="111"/>
      <c r="AC1008" s="28"/>
      <c r="AD1008" s="96">
        <f ca="1">IF(AD1003&lt;AD1007,AD1005,AD1006)</f>
        <v>87.638213354805472</v>
      </c>
      <c r="AE1008" s="111"/>
      <c r="AF1008" s="28"/>
      <c r="AG1008" s="96">
        <f ca="1">IF(AG1003&lt;AG1007,AG1005,AG1006)</f>
        <v>157.82303921656026</v>
      </c>
      <c r="AH1008" s="111"/>
      <c r="AI1008" s="28"/>
      <c r="AJ1008" s="96">
        <f ca="1">IF(AJ1003&lt;AJ1007,AJ1005,AJ1006)</f>
        <v>357.2210914366795</v>
      </c>
      <c r="AK1008" s="111"/>
      <c r="AL1008" s="28"/>
      <c r="AM1008" s="96" t="e">
        <f ca="1">IF(AM1003&lt;AM1007,AM1005,AM1006)</f>
        <v>#NUM!</v>
      </c>
      <c r="AN1008" s="111"/>
      <c r="AO1008" s="28"/>
      <c r="AP1008" s="96" t="e">
        <f ca="1">IF(AP1003&lt;AP1007,AP1005,AP1006)</f>
        <v>#NUM!</v>
      </c>
      <c r="AQ1008" s="111"/>
      <c r="AR1008" s="28"/>
      <c r="AS1008" s="96" t="e">
        <f ca="1">IF(AS1003&lt;AS1007,AS1005,AS1006)</f>
        <v>#NUM!</v>
      </c>
      <c r="AT1008" s="111"/>
      <c r="AU1008" s="28"/>
    </row>
    <row r="1009" spans="15:47" x14ac:dyDescent="0.25">
      <c r="O1009" s="13" t="s">
        <v>143</v>
      </c>
      <c r="P1009" s="1"/>
      <c r="Q1009" s="1"/>
      <c r="R1009" s="113"/>
      <c r="S1009" s="106">
        <f ca="1">IF(R1002&lt;=0,Q_max,ABS(R$23-R1008))</f>
        <v>4.2254439557286272</v>
      </c>
      <c r="T1009" s="7">
        <f>R998</f>
        <v>1249.3914083786258</v>
      </c>
      <c r="U1009" s="98"/>
      <c r="V1009" s="106">
        <f ca="1">IF(U1002&lt;=0,Q_max,ABS(U$23-U1008))</f>
        <v>2.1829686951847282</v>
      </c>
      <c r="W1009" s="9">
        <f ca="1">U998</f>
        <v>23264.44600869319</v>
      </c>
      <c r="X1009" s="98"/>
      <c r="Y1009" s="106">
        <f ca="1">IF(X1002&lt;=0,Q_max,ABS(X$23-X1008))</f>
        <v>0.35995934893674786</v>
      </c>
      <c r="Z1009" s="9">
        <f ca="1">X998</f>
        <v>56966.082654481608</v>
      </c>
      <c r="AA1009" s="98"/>
      <c r="AB1009" s="106">
        <f ca="1">IF(AA1002&lt;=0,Q_max,ABS(AA$23-AA1008))</f>
        <v>7.8997693602386221</v>
      </c>
      <c r="AC1009" s="9">
        <f ca="1">AA998</f>
        <v>110955.38867961634</v>
      </c>
      <c r="AD1009" s="98"/>
      <c r="AE1009" s="106">
        <f ca="1">IF(AD1002&lt;=0,Q_max,ABS(AD$23-AD1008))</f>
        <v>26.638213354805472</v>
      </c>
      <c r="AF1009" s="9">
        <f ca="1">AD998</f>
        <v>186148.62636440745</v>
      </c>
      <c r="AG1009" s="98"/>
      <c r="AH1009" s="106">
        <f ca="1">IF(AG1002&lt;=0,Q_max,ABS(AG$23-AG1008))</f>
        <v>69.623039216560258</v>
      </c>
      <c r="AI1009" s="9">
        <f ca="1">AG998</f>
        <v>271688.99014923093</v>
      </c>
      <c r="AJ1009" s="98"/>
      <c r="AK1009" s="106">
        <f ca="1">IF(AJ1002&lt;=0,Q_max,ABS(AJ$23-AJ1008))</f>
        <v>236.2210914366795</v>
      </c>
      <c r="AL1009" s="9">
        <f ca="1">AJ998</f>
        <v>362570.01057478553</v>
      </c>
      <c r="AM1009" s="98"/>
      <c r="AN1009" s="106">
        <f ca="1">IF(AM1002&lt;=0,Q_max,ABS(AM$23-AM1008))</f>
        <v>236393</v>
      </c>
      <c r="AO1009" s="9">
        <f ca="1">AM998</f>
        <v>442404.3156871823</v>
      </c>
      <c r="AP1009" s="98"/>
      <c r="AQ1009" s="106">
        <f ca="1">IF(AP1002&lt;=0,Q_max,ABS(AP$23-AP1008))</f>
        <v>236393</v>
      </c>
      <c r="AR1009" s="9">
        <f ca="1">AP998</f>
        <v>513617.6762345272</v>
      </c>
      <c r="AS1009" s="98"/>
      <c r="AT1009" s="106">
        <f ca="1">IF(AS1002&lt;=0,Q_max,ABS(AS$23-AS1008))</f>
        <v>236393</v>
      </c>
      <c r="AU1009" s="9">
        <f ca="1">AS998</f>
        <v>602257.11880794086</v>
      </c>
    </row>
    <row r="1010" spans="15:47" x14ac:dyDescent="0.25">
      <c r="O1010" s="21"/>
      <c r="P1010" s="14"/>
      <c r="Q1010" s="21"/>
      <c r="R1010" s="97"/>
      <c r="S1010" s="106"/>
      <c r="T1010" s="28"/>
      <c r="U1010" s="97"/>
      <c r="V1010" s="111"/>
      <c r="W1010" s="28"/>
      <c r="X1010" s="97"/>
      <c r="Y1010" s="111"/>
      <c r="Z1010" s="28"/>
      <c r="AA1010" s="97"/>
      <c r="AB1010" s="111"/>
      <c r="AC1010" s="28"/>
      <c r="AD1010" s="97"/>
      <c r="AE1010" s="111"/>
      <c r="AF1010" s="28"/>
      <c r="AG1010" s="97"/>
      <c r="AH1010" s="111"/>
      <c r="AI1010" s="28"/>
      <c r="AJ1010" s="97"/>
      <c r="AK1010" s="111"/>
      <c r="AL1010" s="28"/>
      <c r="AM1010" s="97"/>
      <c r="AN1010" s="111"/>
      <c r="AO1010" s="28"/>
      <c r="AP1010" s="97"/>
      <c r="AQ1010" s="111"/>
      <c r="AR1010" s="28"/>
      <c r="AS1010" s="97"/>
      <c r="AT1010" s="111"/>
      <c r="AU1010" s="28"/>
    </row>
    <row r="1011" spans="15:47" x14ac:dyDescent="0.25">
      <c r="O1011" s="1"/>
      <c r="P1011" s="1"/>
      <c r="Q1011" s="1"/>
      <c r="R1011" s="98"/>
      <c r="S1011" s="108" t="s">
        <v>137</v>
      </c>
      <c r="T1011" s="26" t="s">
        <v>146</v>
      </c>
      <c r="U1011" s="98"/>
      <c r="V1011" s="108" t="s">
        <v>137</v>
      </c>
      <c r="W1011" s="26" t="s">
        <v>146</v>
      </c>
      <c r="X1011" s="98"/>
      <c r="Y1011" s="108" t="s">
        <v>137</v>
      </c>
      <c r="Z1011" s="26" t="s">
        <v>146</v>
      </c>
      <c r="AA1011" s="98"/>
      <c r="AB1011" s="108" t="s">
        <v>137</v>
      </c>
      <c r="AC1011" s="26" t="s">
        <v>146</v>
      </c>
      <c r="AD1011" s="98"/>
      <c r="AE1011" s="108" t="s">
        <v>137</v>
      </c>
      <c r="AF1011" s="26" t="s">
        <v>146</v>
      </c>
      <c r="AG1011" s="98"/>
      <c r="AH1011" s="108" t="s">
        <v>137</v>
      </c>
      <c r="AI1011" s="26" t="s">
        <v>146</v>
      </c>
      <c r="AJ1011" s="98"/>
      <c r="AK1011" s="108" t="s">
        <v>137</v>
      </c>
      <c r="AL1011" s="26" t="s">
        <v>146</v>
      </c>
      <c r="AM1011" s="98"/>
      <c r="AN1011" s="108" t="s">
        <v>137</v>
      </c>
      <c r="AO1011" s="26" t="s">
        <v>146</v>
      </c>
      <c r="AP1011" s="98"/>
      <c r="AQ1011" s="108" t="s">
        <v>137</v>
      </c>
      <c r="AR1011" s="26" t="s">
        <v>146</v>
      </c>
      <c r="AS1011" s="98"/>
      <c r="AT1011" s="108" t="s">
        <v>137</v>
      </c>
      <c r="AU1011" s="26" t="s">
        <v>146</v>
      </c>
    </row>
    <row r="1012" spans="15:47" ht="13.8" x14ac:dyDescent="0.25">
      <c r="O1012" s="20" t="s">
        <v>136</v>
      </c>
      <c r="P1012" s="1"/>
      <c r="Q1012" s="1"/>
      <c r="R1012" s="96">
        <f>R998*1.02</f>
        <v>1274.3792365461984</v>
      </c>
      <c r="S1012" s="109" t="s">
        <v>144</v>
      </c>
      <c r="T1012" s="23" t="s">
        <v>147</v>
      </c>
      <c r="U1012" s="96">
        <f ca="1">U998*1.01</f>
        <v>23497.090468780123</v>
      </c>
      <c r="V1012" s="109" t="s">
        <v>144</v>
      </c>
      <c r="W1012" s="23" t="s">
        <v>147</v>
      </c>
      <c r="X1012" s="96">
        <f ca="1">X998*1.01</f>
        <v>57535.743481026424</v>
      </c>
      <c r="Y1012" s="109" t="s">
        <v>144</v>
      </c>
      <c r="Z1012" s="23" t="s">
        <v>147</v>
      </c>
      <c r="AA1012" s="96">
        <f ca="1">AA998*1.01</f>
        <v>112064.9425664125</v>
      </c>
      <c r="AB1012" s="109" t="s">
        <v>144</v>
      </c>
      <c r="AC1012" s="23" t="s">
        <v>147</v>
      </c>
      <c r="AD1012" s="96">
        <f ca="1">AD998*1.01</f>
        <v>188010.11262805152</v>
      </c>
      <c r="AE1012" s="109" t="s">
        <v>144</v>
      </c>
      <c r="AF1012" s="23" t="s">
        <v>147</v>
      </c>
      <c r="AG1012" s="96">
        <f ca="1">AG998*1.01</f>
        <v>274405.88005072327</v>
      </c>
      <c r="AH1012" s="109" t="s">
        <v>144</v>
      </c>
      <c r="AI1012" s="23" t="s">
        <v>147</v>
      </c>
      <c r="AJ1012" s="96">
        <f ca="1">AJ998*1.01</f>
        <v>366195.71068053338</v>
      </c>
      <c r="AK1012" s="109" t="s">
        <v>144</v>
      </c>
      <c r="AL1012" s="23" t="s">
        <v>147</v>
      </c>
      <c r="AM1012" s="96">
        <f ca="1">AM998*1.01</f>
        <v>446828.35884405411</v>
      </c>
      <c r="AN1012" s="109" t="s">
        <v>144</v>
      </c>
      <c r="AO1012" s="23" t="s">
        <v>147</v>
      </c>
      <c r="AP1012" s="96">
        <f ca="1">AP998*1.01</f>
        <v>518753.85299687251</v>
      </c>
      <c r="AQ1012" s="109" t="s">
        <v>144</v>
      </c>
      <c r="AR1012" s="23" t="s">
        <v>147</v>
      </c>
      <c r="AS1012" s="96">
        <f ca="1">AS998*1.01</f>
        <v>608279.68999602029</v>
      </c>
      <c r="AT1012" s="109" t="s">
        <v>144</v>
      </c>
      <c r="AU1012" s="23" t="s">
        <v>147</v>
      </c>
    </row>
    <row r="1013" spans="15:47" x14ac:dyDescent="0.25">
      <c r="O1013" s="1"/>
      <c r="P1013" s="1"/>
      <c r="Q1013" s="1"/>
      <c r="R1013" s="98"/>
      <c r="S1013" s="107"/>
      <c r="T1013" s="1"/>
      <c r="U1013" s="47"/>
      <c r="V1013" s="107"/>
      <c r="W1013" s="1"/>
      <c r="X1013" s="47"/>
      <c r="Y1013" s="107"/>
      <c r="Z1013" s="1"/>
      <c r="AA1013" s="47"/>
      <c r="AB1013" s="107"/>
      <c r="AC1013" s="1"/>
      <c r="AD1013" s="47"/>
      <c r="AE1013" s="107"/>
      <c r="AF1013" s="1"/>
      <c r="AG1013" s="47"/>
      <c r="AH1013" s="107"/>
      <c r="AI1013" s="1"/>
      <c r="AJ1013" s="47"/>
      <c r="AK1013" s="107"/>
      <c r="AL1013" s="1"/>
      <c r="AM1013" s="47"/>
      <c r="AN1013" s="107"/>
      <c r="AO1013" s="1"/>
      <c r="AP1013" s="47"/>
      <c r="AQ1013" s="107"/>
      <c r="AR1013" s="1"/>
      <c r="AS1013" s="47"/>
      <c r="AT1013" s="107"/>
      <c r="AU1013" s="1"/>
    </row>
    <row r="1014" spans="15:47" x14ac:dyDescent="0.25">
      <c r="O1014" s="8" t="s">
        <v>132</v>
      </c>
      <c r="P1014" s="8"/>
      <c r="Q1014" s="8"/>
      <c r="R1014" s="96">
        <f>P_1_minQ-(R1012^2*R_up)+dpup_minQ</f>
        <v>90.18474453080087</v>
      </c>
      <c r="S1014" s="106"/>
      <c r="T1014" s="22"/>
      <c r="U1014" s="96">
        <f ca="1">P_1_minQ-(U1012^2*R_up)+dpup_minQ</f>
        <v>90.084411864310965</v>
      </c>
      <c r="V1014" s="107"/>
      <c r="W1014" s="1"/>
      <c r="X1014" s="96">
        <f ca="1">P_1_minQ-(X1012^2*R_up)+dpup_minQ</f>
        <v>89.581690976207597</v>
      </c>
      <c r="Y1014" s="107"/>
      <c r="Z1014" s="1"/>
      <c r="AA1014" s="96">
        <f ca="1">P_1_minQ-(AA1012^2*R_up)+dpup_minQ</f>
        <v>87.896107517399017</v>
      </c>
      <c r="AB1014" s="107"/>
      <c r="AC1014" s="1"/>
      <c r="AD1014" s="96">
        <f ca="1">P_1_minQ-(AD1012^2*R_up)+dpup_minQ</f>
        <v>83.742517846687221</v>
      </c>
      <c r="AE1014" s="107"/>
      <c r="AF1014" s="1"/>
      <c r="AG1014" s="96">
        <f ca="1">P_1_minQ-(AG1012^2*R_up)+dpup_minQ</f>
        <v>76.46105145031234</v>
      </c>
      <c r="AH1014" s="107"/>
      <c r="AI1014" s="1"/>
      <c r="AJ1014" s="96">
        <f ca="1">P_1_minQ-(AJ1012^2*R_up)+dpup_minQ</f>
        <v>65.743980190423727</v>
      </c>
      <c r="AK1014" s="107"/>
      <c r="AL1014" s="1"/>
      <c r="AM1014" s="96">
        <f ca="1">P_1_minQ-(AM1012^2*R_up)+dpup_minQ</f>
        <v>53.795632179838563</v>
      </c>
      <c r="AN1014" s="107"/>
      <c r="AO1014" s="1"/>
      <c r="AP1014" s="96">
        <f ca="1">P_1_minQ-(AP1012^2*R_up)+dpup_minQ</f>
        <v>41.137615955539808</v>
      </c>
      <c r="AQ1014" s="107"/>
      <c r="AR1014" s="1"/>
      <c r="AS1014" s="96">
        <f ca="1">P_1_minQ-(AS1012^2*R_up)+dpup_minQ</f>
        <v>22.747741305293076</v>
      </c>
      <c r="AT1014" s="107"/>
      <c r="AU1014" s="1"/>
    </row>
    <row r="1015" spans="15:47" x14ac:dyDescent="0.25">
      <c r="O1015" s="8" t="s">
        <v>134</v>
      </c>
      <c r="P1015" s="1"/>
      <c r="Q1015" s="8"/>
      <c r="R1015" s="97">
        <f>P_2_minQ+(R1012^2*R_dn)-dpdn_minQ</f>
        <v>60</v>
      </c>
      <c r="S1015" s="106"/>
      <c r="T1015" s="22"/>
      <c r="U1015" s="97">
        <f ca="1">P_2_minQ+(U1012^2*R_dn)-dpdn_minQ</f>
        <v>60</v>
      </c>
      <c r="V1015" s="107"/>
      <c r="W1015" s="1"/>
      <c r="X1015" s="97">
        <f ca="1">P_2_minQ+(X1012^2*R_dn)-dpdn_minQ</f>
        <v>60</v>
      </c>
      <c r="Y1015" s="107"/>
      <c r="Z1015" s="1"/>
      <c r="AA1015" s="97">
        <f ca="1">P_2_minQ+(AA1012^2*R_dn)-dpdn_minQ</f>
        <v>60</v>
      </c>
      <c r="AB1015" s="107"/>
      <c r="AC1015" s="1"/>
      <c r="AD1015" s="97">
        <f ca="1">P_2_minQ+(AD1012^2*R_dn)-dpdn_minQ</f>
        <v>60</v>
      </c>
      <c r="AE1015" s="107"/>
      <c r="AF1015" s="1"/>
      <c r="AG1015" s="97">
        <f ca="1">P_2_minQ+(AG1012^2*R_dn)-dpdn_minQ</f>
        <v>60</v>
      </c>
      <c r="AH1015" s="107"/>
      <c r="AI1015" s="1"/>
      <c r="AJ1015" s="97">
        <f ca="1">P_2_minQ+(AJ1012^2*R_dn)-dpdn_minQ</f>
        <v>60</v>
      </c>
      <c r="AK1015" s="107"/>
      <c r="AL1015" s="1"/>
      <c r="AM1015" s="97">
        <f ca="1">P_2_minQ+(AM1012^2*R_dn)-dpdn_minQ</f>
        <v>60</v>
      </c>
      <c r="AN1015" s="107"/>
      <c r="AO1015" s="1"/>
      <c r="AP1015" s="97">
        <f ca="1">P_2_minQ+(AP1012^2*R_dn)-dpdn_minQ</f>
        <v>60</v>
      </c>
      <c r="AQ1015" s="107"/>
      <c r="AR1015" s="1"/>
      <c r="AS1015" s="97">
        <f ca="1">P_2_minQ+(AS1012^2*R_dn)-dpdn_minQ</f>
        <v>60</v>
      </c>
      <c r="AT1015" s="107"/>
      <c r="AU1015" s="1"/>
    </row>
    <row r="1016" spans="15:47" x14ac:dyDescent="0.25">
      <c r="O1016" s="8" t="s">
        <v>138</v>
      </c>
      <c r="P1016" s="1"/>
      <c r="Q1016" s="8"/>
      <c r="R1016" s="97">
        <f>R1014-R1015</f>
        <v>30.18474453080087</v>
      </c>
      <c r="S1016" s="106"/>
      <c r="T1016" s="22"/>
      <c r="U1016" s="97">
        <f ca="1">U1014-U1015</f>
        <v>30.084411864310965</v>
      </c>
      <c r="V1016" s="110"/>
      <c r="W1016" s="25"/>
      <c r="X1016" s="97">
        <f ca="1">X1014-X1015</f>
        <v>29.581690976207597</v>
      </c>
      <c r="Y1016" s="110"/>
      <c r="Z1016" s="25"/>
      <c r="AA1016" s="97">
        <f ca="1">AA1014-AA1015</f>
        <v>27.896107517399017</v>
      </c>
      <c r="AB1016" s="110"/>
      <c r="AC1016" s="25"/>
      <c r="AD1016" s="97">
        <f ca="1">AD1014-AD1015</f>
        <v>23.742517846687221</v>
      </c>
      <c r="AE1016" s="110"/>
      <c r="AF1016" s="25"/>
      <c r="AG1016" s="97">
        <f ca="1">AG1014-AG1015</f>
        <v>16.46105145031234</v>
      </c>
      <c r="AH1016" s="110"/>
      <c r="AI1016" s="25"/>
      <c r="AJ1016" s="97">
        <f ca="1">AJ1014-AJ1015</f>
        <v>5.7439801904237271</v>
      </c>
      <c r="AK1016" s="110"/>
      <c r="AL1016" s="25"/>
      <c r="AM1016" s="97">
        <f ca="1">AM1014-AM1015</f>
        <v>-6.204367820161437</v>
      </c>
      <c r="AN1016" s="110"/>
      <c r="AO1016" s="25"/>
      <c r="AP1016" s="97">
        <f ca="1">AP1014-AP1015</f>
        <v>-18.862384044460192</v>
      </c>
      <c r="AQ1016" s="110"/>
      <c r="AR1016" s="25"/>
      <c r="AS1016" s="97">
        <f ca="1">AS1014-AS1015</f>
        <v>-37.252258694706924</v>
      </c>
      <c r="AT1016" s="110"/>
      <c r="AU1016" s="25"/>
    </row>
    <row r="1017" spans="15:47" ht="14.4" x14ac:dyDescent="0.3">
      <c r="O1017" s="2" t="s">
        <v>140</v>
      </c>
      <c r="P1017" s="11"/>
      <c r="Q1017" s="2"/>
      <c r="R1017" s="96">
        <f>R1016/R1014</f>
        <v>0.33469900799565772</v>
      </c>
      <c r="S1017" s="106"/>
      <c r="T1017" s="22"/>
      <c r="U1017" s="96">
        <f ca="1">U1016/U1014</f>
        <v>0.33395802050220863</v>
      </c>
      <c r="V1017" s="111"/>
      <c r="W1017" s="28"/>
      <c r="X1017" s="96">
        <f ca="1">X1016/X1014</f>
        <v>0.33022027887444466</v>
      </c>
      <c r="Y1017" s="111"/>
      <c r="Z1017" s="28"/>
      <c r="AA1017" s="96">
        <f ca="1">AA1016/AA1014</f>
        <v>0.31737591464874582</v>
      </c>
      <c r="AB1017" s="111"/>
      <c r="AC1017" s="28"/>
      <c r="AD1017" s="96">
        <f ca="1">AD1016/AD1014</f>
        <v>0.28351807967076137</v>
      </c>
      <c r="AE1017" s="111"/>
      <c r="AF1017" s="28"/>
      <c r="AG1017" s="96">
        <f ca="1">AG1016/AG1014</f>
        <v>0.21528675238018974</v>
      </c>
      <c r="AH1017" s="111"/>
      <c r="AI1017" s="28"/>
      <c r="AJ1017" s="96">
        <f ca="1">AJ1016/AJ1014</f>
        <v>8.7368914595474939E-2</v>
      </c>
      <c r="AK1017" s="111"/>
      <c r="AL1017" s="28"/>
      <c r="AM1017" s="96">
        <f ca="1">AM1016/AM1014</f>
        <v>-0.11533218532352706</v>
      </c>
      <c r="AN1017" s="111"/>
      <c r="AO1017" s="28"/>
      <c r="AP1017" s="96">
        <f ca="1">AP1016/AP1014</f>
        <v>-0.45851913404136113</v>
      </c>
      <c r="AQ1017" s="111"/>
      <c r="AR1017" s="28"/>
      <c r="AS1017" s="96">
        <f ca="1">AS1016/AS1014</f>
        <v>-1.6376245093854156</v>
      </c>
      <c r="AT1017" s="111"/>
      <c r="AU1017" s="28"/>
    </row>
    <row r="1018" spans="15:47" x14ac:dyDescent="0.25">
      <c r="O1018" s="2" t="s">
        <v>21</v>
      </c>
      <c r="P1018" s="8">
        <v>12</v>
      </c>
      <c r="Q1018" s="2"/>
      <c r="R1018" s="96">
        <f ca="1">1-R1017/(3*F_GAMMA*R$29)</f>
        <v>0.82568568859859937</v>
      </c>
      <c r="S1018" s="106"/>
      <c r="T1018" s="22"/>
      <c r="U1018" s="96">
        <f ca="1">1-U1017/(3*F_GAMMA*U$29)</f>
        <v>0.82611200785995265</v>
      </c>
      <c r="V1018" s="111"/>
      <c r="W1018" s="28"/>
      <c r="X1018" s="96">
        <f ca="1">1-X1017/(3*F_GAMMA*X$29)</f>
        <v>0.82642059248897004</v>
      </c>
      <c r="Y1018" s="111"/>
      <c r="Z1018" s="28"/>
      <c r="AA1018" s="96">
        <f ca="1">1-AA1017/(3*F_GAMMA*AA$29)</f>
        <v>0.83082057993878045</v>
      </c>
      <c r="AB1018" s="111"/>
      <c r="AC1018" s="28"/>
      <c r="AD1018" s="96">
        <f ca="1">1-AD1017/(3*F_GAMMA*AD$29)</f>
        <v>0.8441815198838547</v>
      </c>
      <c r="AE1018" s="111"/>
      <c r="AF1018" s="28"/>
      <c r="AG1018" s="96">
        <f ca="1">1-AG1017/(3*F_GAMMA*AG$29)</f>
        <v>0.87458083411185505</v>
      </c>
      <c r="AH1018" s="111"/>
      <c r="AI1018" s="28"/>
      <c r="AJ1018" s="96">
        <f ca="1">1-AJ1017/(3*F_GAMMA*AJ$29)</f>
        <v>0.94524036421538682</v>
      </c>
      <c r="AK1018" s="111"/>
      <c r="AL1018" s="28"/>
      <c r="AM1018" s="96">
        <f ca="1">1-AM1017/(3*F_GAMMA*AM$29)</f>
        <v>1.0808216952462262</v>
      </c>
      <c r="AN1018" s="111"/>
      <c r="AO1018" s="28"/>
      <c r="AP1018" s="96">
        <f ca="1">1-AP1017/(3*F_GAMMA*AP$29)</f>
        <v>1.2588127844606571</v>
      </c>
      <c r="AQ1018" s="111"/>
      <c r="AR1018" s="28"/>
      <c r="AS1018" s="96">
        <f ca="1">1-AS1017/(3*F_GAMMA*AS$29)</f>
        <v>2.4491356316290136</v>
      </c>
      <c r="AT1018" s="111"/>
      <c r="AU1018" s="28"/>
    </row>
    <row r="1019" spans="15:47" x14ac:dyDescent="0.25">
      <c r="O1019" s="2" t="s">
        <v>57</v>
      </c>
      <c r="P1019" s="143">
        <v>7</v>
      </c>
      <c r="Q1019" s="2"/>
      <c r="R1019" s="96">
        <f ca="1">(R1012/(N_9*R$27*R1014*R1018))*SQRT(M*'Valve Sizing'!$W$6*'Valve Sizing'!$G$8/R1017)</f>
        <v>0.51464726841340747</v>
      </c>
      <c r="S1019" s="107"/>
      <c r="T1019" s="22"/>
      <c r="U1019" s="96">
        <f ca="1">(U1012/(N_9*U$27*U1014*U1018))*SQRT(M*'Valve Sizing'!$W$6*'Valve Sizing'!$G$8/U1017)</f>
        <v>9.5115318322512845</v>
      </c>
      <c r="V1019" s="111"/>
      <c r="W1019" s="28"/>
      <c r="X1019" s="96">
        <f ca="1">(X1012/(N_9*X$27*X1014*X1018))*SQRT(M*'Valve Sizing'!$W$6*'Valve Sizing'!$G$8/X1017)</f>
        <v>23.598531123751535</v>
      </c>
      <c r="Y1019" s="111"/>
      <c r="Z1019" s="28"/>
      <c r="AA1019" s="96">
        <f ca="1">(AA1012/(N_9*AA$27*AA1014*AA1018))*SQRT(M*'Valve Sizing'!$W$6*'Valve Sizing'!$G$8/AA1017)</f>
        <v>47.812892627137927</v>
      </c>
      <c r="AB1019" s="111"/>
      <c r="AC1019" s="28"/>
      <c r="AD1019" s="96">
        <f ca="1">(AD1012/(N_9*AD$27*AD1014*AD1018))*SQRT(M*'Valve Sizing'!$W$6*'Valve Sizing'!$G$8/AD1017)</f>
        <v>88.755444053230434</v>
      </c>
      <c r="AE1019" s="111"/>
      <c r="AF1019" s="28"/>
      <c r="AG1019" s="96">
        <f ca="1">(AG1012/(N_9*AG$27*AG1014*AG1018))*SQRT(M*'Valve Sizing'!$W$6*'Valve Sizing'!$G$8/AG1017)</f>
        <v>160.69260013550308</v>
      </c>
      <c r="AH1019" s="111"/>
      <c r="AI1019" s="28"/>
      <c r="AJ1019" s="96">
        <f ca="1">(AJ1012/(N_9*AJ$27*AJ1014*AJ1018))*SQRT(M*'Valve Sizing'!$W$6*'Valve Sizing'!$G$8/AJ1017)</f>
        <v>375.32795254371604</v>
      </c>
      <c r="AK1019" s="111"/>
      <c r="AL1019" s="28"/>
      <c r="AM1019" s="96" t="e">
        <f ca="1">(AM1012/(N_9*AM$27*AM1014*AM1018))*SQRT(M*'Valve Sizing'!$W$6*'Valve Sizing'!$G$8/AM1017)</f>
        <v>#NUM!</v>
      </c>
      <c r="AN1019" s="111"/>
      <c r="AO1019" s="28"/>
      <c r="AP1019" s="96" t="e">
        <f ca="1">(AP1012/(N_9*AP$27*AP1014*AP1018))*SQRT(M*'Valve Sizing'!$W$6*'Valve Sizing'!$G$8/AP1017)</f>
        <v>#NUM!</v>
      </c>
      <c r="AQ1019" s="111"/>
      <c r="AR1019" s="28"/>
      <c r="AS1019" s="96" t="e">
        <f ca="1">(AS1012/(N_9*AS$27*AS1014*AS1018))*SQRT(M*'Valve Sizing'!$W$6*'Valve Sizing'!$G$8/AS1017)</f>
        <v>#NUM!</v>
      </c>
      <c r="AT1019" s="111"/>
      <c r="AU1019" s="28"/>
    </row>
    <row r="1020" spans="15:47" x14ac:dyDescent="0.25">
      <c r="O1020" s="2" t="s">
        <v>59</v>
      </c>
      <c r="P1020" s="143">
        <v>7</v>
      </c>
      <c r="Q1020" s="2"/>
      <c r="R1020" s="96">
        <f ca="1">(R1012/(N_9*R$27*R1014*0.667))*SQRT(M*'Valve Sizing'!$W$6*'Valve Sizing'!$G$8/R1021)</f>
        <v>0.46070799073718288</v>
      </c>
      <c r="S1020" s="107"/>
      <c r="T1020" s="22"/>
      <c r="U1020" s="96">
        <f ca="1">(U1012/(N_9*U$27*U1014*0.667))*SQRT(M*'Valve Sizing'!$W$6*'Valve Sizing'!$G$8/U1021)</f>
        <v>8.5086172989519131</v>
      </c>
      <c r="V1020" s="111"/>
      <c r="W1020" s="28"/>
      <c r="X1020" s="96">
        <f ca="1">(X1012/(N_9*X$27*X1014*0.667))*SQRT(M*'Valve Sizing'!$W$6*'Valve Sizing'!$G$8/X1021)</f>
        <v>21.099394676142452</v>
      </c>
      <c r="Y1020" s="111"/>
      <c r="Z1020" s="28"/>
      <c r="AA1020" s="96">
        <f ca="1">(AA1012/(N_9*AA$27*AA1014*0.667))*SQRT(M*'Valve Sizing'!$W$6*'Valve Sizing'!$G$8/AA1021)</f>
        <v>42.428807329283529</v>
      </c>
      <c r="AB1020" s="111"/>
      <c r="AC1020" s="28"/>
      <c r="AD1020" s="96">
        <f ca="1">(AD1012/(N_9*AD$27*AD1014*0.667))*SQRT(M*'Valve Sizing'!$W$6*'Valve Sizing'!$G$8/AD1021)</f>
        <v>76.802457600486491</v>
      </c>
      <c r="AE1020" s="111"/>
      <c r="AF1020" s="28"/>
      <c r="AG1020" s="96">
        <f ca="1">(AG1012/(N_9*AG$27*AG1014*0.667))*SQRT(M*'Valve Sizing'!$W$6*'Valve Sizing'!$G$8/AG1021)</f>
        <v>129.24465195868572</v>
      </c>
      <c r="AH1020" s="111"/>
      <c r="AI1020" s="28"/>
      <c r="AJ1020" s="96">
        <f ca="1">(AJ1012/(N_9*AJ$27*AJ1014*0.667))*SQRT(M*'Valve Sizing'!$W$6*'Valve Sizing'!$G$8/AJ1021)</f>
        <v>215.58484972723238</v>
      </c>
      <c r="AK1020" s="111"/>
      <c r="AL1020" s="28"/>
      <c r="AM1020" s="96">
        <f ca="1">(AM1012/(N_9*AM$27*AM1014*0.667))*SQRT(M*'Valve Sizing'!$W$6*'Valve Sizing'!$G$8/AM1021)</f>
        <v>360.67022857453992</v>
      </c>
      <c r="AN1020" s="111"/>
      <c r="AO1020" s="28"/>
      <c r="AP1020" s="96">
        <f ca="1">(AP1012/(N_9*AP$27*AP1014*0.667))*SQRT(M*'Valve Sizing'!$W$6*'Valve Sizing'!$G$8/AP1021)</f>
        <v>559.34618113612805</v>
      </c>
      <c r="AQ1020" s="111"/>
      <c r="AR1020" s="28"/>
      <c r="AS1020" s="96">
        <f ca="1">(AS1012/(N_9*AS$27*AS1014*0.667))*SQRT(M*'Valve Sizing'!$W$6*'Valve Sizing'!$G$8/AS1021)</f>
        <v>1989.1326148162773</v>
      </c>
      <c r="AT1020" s="111"/>
      <c r="AU1020" s="28"/>
    </row>
    <row r="1021" spans="15:47" ht="15.6" x14ac:dyDescent="0.35">
      <c r="O1021" s="2" t="s">
        <v>68</v>
      </c>
      <c r="P1021" s="143">
        <v>10</v>
      </c>
      <c r="Q1021" s="2"/>
      <c r="R1021" s="96">
        <f ca="1">F_GAMMA*R$29</f>
        <v>0.64002969751372984</v>
      </c>
      <c r="S1021" s="107"/>
      <c r="T1021" s="1"/>
      <c r="U1021" s="96">
        <f ca="1">F_GAMMA*U$29</f>
        <v>0.64017842058782071</v>
      </c>
      <c r="V1021" s="111"/>
      <c r="W1021" s="28"/>
      <c r="X1021" s="96">
        <f ca="1">F_GAMMA*X$29</f>
        <v>0.63413873724904268</v>
      </c>
      <c r="Y1021" s="111"/>
      <c r="Z1021" s="28"/>
      <c r="AA1021" s="96">
        <f ca="1">F_GAMMA*AA$29</f>
        <v>0.62532411750377137</v>
      </c>
      <c r="AB1021" s="111"/>
      <c r="AC1021" s="28"/>
      <c r="AD1021" s="96">
        <f ca="1">F_GAMMA*AD$29</f>
        <v>0.60651359509139569</v>
      </c>
      <c r="AE1021" s="111"/>
      <c r="AF1021" s="28"/>
      <c r="AG1021" s="96">
        <f ca="1">F_GAMMA*AG$29</f>
        <v>0.57217930198481592</v>
      </c>
      <c r="AH1021" s="111"/>
      <c r="AI1021" s="28"/>
      <c r="AJ1021" s="96">
        <f ca="1">F_GAMMA*AJ$29</f>
        <v>0.53183282018848232</v>
      </c>
      <c r="AK1021" s="111"/>
      <c r="AL1021" s="28"/>
      <c r="AM1021" s="96">
        <f ca="1">F_GAMMA*AM$29</f>
        <v>0.47566512503094399</v>
      </c>
      <c r="AN1021" s="111"/>
      <c r="AO1021" s="28"/>
      <c r="AP1021" s="96">
        <f ca="1">F_GAMMA*AP$29</f>
        <v>0.59054158265645496</v>
      </c>
      <c r="AQ1021" s="111"/>
      <c r="AR1021" s="28"/>
      <c r="AS1021" s="96">
        <f ca="1">F_GAMMA*AS$29</f>
        <v>0.3766899554102966</v>
      </c>
      <c r="AT1021" s="111"/>
      <c r="AU1021" s="28"/>
    </row>
    <row r="1022" spans="15:47" x14ac:dyDescent="0.25">
      <c r="O1022" s="2" t="s">
        <v>145</v>
      </c>
      <c r="P1022" s="12"/>
      <c r="Q1022" s="2"/>
      <c r="R1022" s="96">
        <f ca="1">IF(R1017&lt;R1021,R1019,R1020)</f>
        <v>0.51464726841340747</v>
      </c>
      <c r="S1022" s="116"/>
      <c r="T1022" s="1"/>
      <c r="U1022" s="96">
        <f ca="1">IF(U1017&lt;U1021,U1019,U1020)</f>
        <v>9.5115318322512845</v>
      </c>
      <c r="V1022" s="111"/>
      <c r="W1022" s="28"/>
      <c r="X1022" s="96">
        <f ca="1">IF(X1017&lt;X1021,X1019,X1020)</f>
        <v>23.598531123751535</v>
      </c>
      <c r="Y1022" s="111"/>
      <c r="Z1022" s="28"/>
      <c r="AA1022" s="96">
        <f ca="1">IF(AA1017&lt;AA1021,AA1019,AA1020)</f>
        <v>47.812892627137927</v>
      </c>
      <c r="AB1022" s="111"/>
      <c r="AC1022" s="28"/>
      <c r="AD1022" s="96">
        <f ca="1">IF(AD1017&lt;AD1021,AD1019,AD1020)</f>
        <v>88.755444053230434</v>
      </c>
      <c r="AE1022" s="111"/>
      <c r="AF1022" s="28"/>
      <c r="AG1022" s="96">
        <f ca="1">IF(AG1017&lt;AG1021,AG1019,AG1020)</f>
        <v>160.69260013550308</v>
      </c>
      <c r="AH1022" s="111"/>
      <c r="AI1022" s="28"/>
      <c r="AJ1022" s="96">
        <f ca="1">IF(AJ1017&lt;AJ1021,AJ1019,AJ1020)</f>
        <v>375.32795254371604</v>
      </c>
      <c r="AK1022" s="111"/>
      <c r="AL1022" s="28"/>
      <c r="AM1022" s="96" t="e">
        <f ca="1">IF(AM1017&lt;AM1021,AM1019,AM1020)</f>
        <v>#NUM!</v>
      </c>
      <c r="AN1022" s="111"/>
      <c r="AO1022" s="28"/>
      <c r="AP1022" s="96" t="e">
        <f ca="1">IF(AP1017&lt;AP1021,AP1019,AP1020)</f>
        <v>#NUM!</v>
      </c>
      <c r="AQ1022" s="111"/>
      <c r="AR1022" s="28"/>
      <c r="AS1022" s="96" t="e">
        <f ca="1">IF(AS1017&lt;AS1021,AS1019,AS1020)</f>
        <v>#NUM!</v>
      </c>
      <c r="AT1022" s="111"/>
      <c r="AU1022" s="28"/>
    </row>
    <row r="1023" spans="15:47" x14ac:dyDescent="0.25">
      <c r="O1023" s="13" t="s">
        <v>143</v>
      </c>
      <c r="P1023" s="1"/>
      <c r="Q1023" s="1"/>
      <c r="R1023" s="113"/>
      <c r="S1023" s="106">
        <f ca="1">IF(R1016&lt;=0,Q_max,ABS(R$23-R1022))</f>
        <v>4.2153527315865933</v>
      </c>
      <c r="T1023" s="7">
        <f>R1012</f>
        <v>1274.3792365461984</v>
      </c>
      <c r="U1023" s="98"/>
      <c r="V1023" s="106">
        <f ca="1">IF(U1016&lt;=0,Q_max,ABS(U$23-U1022))</f>
        <v>2.0884681677487151</v>
      </c>
      <c r="W1023" s="9">
        <f ca="1">U1012</f>
        <v>23497.090468780123</v>
      </c>
      <c r="X1023" s="98"/>
      <c r="Y1023" s="106">
        <f ca="1">IF(X1016&lt;=0,Q_max,ABS(X$23-X1022))</f>
        <v>0.59853112375153472</v>
      </c>
      <c r="Z1023" s="9">
        <f ca="1">X1012</f>
        <v>57535.743481026424</v>
      </c>
      <c r="AA1023" s="98"/>
      <c r="AB1023" s="106">
        <f ca="1">IF(AA1016&lt;=0,Q_max,ABS(AA$23-AA1022))</f>
        <v>8.4128926271379285</v>
      </c>
      <c r="AC1023" s="9">
        <f ca="1">AA1012</f>
        <v>112064.9425664125</v>
      </c>
      <c r="AD1023" s="98"/>
      <c r="AE1023" s="106">
        <f ca="1">IF(AD1016&lt;=0,Q_max,ABS(AD$23-AD1022))</f>
        <v>27.755444053230434</v>
      </c>
      <c r="AF1023" s="9">
        <f ca="1">AD1012</f>
        <v>188010.11262805152</v>
      </c>
      <c r="AG1023" s="98"/>
      <c r="AH1023" s="106">
        <f ca="1">IF(AG1016&lt;=0,Q_max,ABS(AG$23-AG1022))</f>
        <v>72.492600135503082</v>
      </c>
      <c r="AI1023" s="9">
        <f ca="1">AG1012</f>
        <v>274405.88005072327</v>
      </c>
      <c r="AJ1023" s="98"/>
      <c r="AK1023" s="106">
        <f ca="1">IF(AJ1016&lt;=0,Q_max,ABS(AJ$23-AJ1022))</f>
        <v>254.32795254371604</v>
      </c>
      <c r="AL1023" s="9">
        <f ca="1">AJ1012</f>
        <v>366195.71068053338</v>
      </c>
      <c r="AM1023" s="98"/>
      <c r="AN1023" s="106">
        <f ca="1">IF(AM1016&lt;=0,Q_max,ABS(AM$23-AM1022))</f>
        <v>236393</v>
      </c>
      <c r="AO1023" s="9">
        <f ca="1">AM1012</f>
        <v>446828.35884405411</v>
      </c>
      <c r="AP1023" s="98"/>
      <c r="AQ1023" s="106">
        <f ca="1">IF(AP1016&lt;=0,Q_max,ABS(AP$23-AP1022))</f>
        <v>236393</v>
      </c>
      <c r="AR1023" s="9">
        <f ca="1">AP1012</f>
        <v>518753.85299687251</v>
      </c>
      <c r="AS1023" s="98"/>
      <c r="AT1023" s="106">
        <f ca="1">IF(AS1016&lt;=0,Q_max,ABS(AS$23-AS1022))</f>
        <v>236393</v>
      </c>
      <c r="AU1023" s="9">
        <f ca="1">AS1012</f>
        <v>608279.68999602029</v>
      </c>
    </row>
    <row r="1024" spans="15:47" x14ac:dyDescent="0.25">
      <c r="O1024" s="21"/>
      <c r="P1024" s="14"/>
      <c r="Q1024" s="21"/>
      <c r="R1024" s="97"/>
      <c r="S1024" s="106"/>
      <c r="T1024" s="28"/>
      <c r="U1024" s="99"/>
      <c r="V1024" s="110"/>
      <c r="W1024" s="25"/>
      <c r="X1024" s="99"/>
      <c r="Y1024" s="110"/>
      <c r="Z1024" s="25"/>
      <c r="AA1024" s="99"/>
      <c r="AB1024" s="110"/>
      <c r="AC1024" s="25"/>
      <c r="AD1024" s="99"/>
      <c r="AE1024" s="110"/>
      <c r="AF1024" s="25"/>
      <c r="AG1024" s="99"/>
      <c r="AH1024" s="110"/>
      <c r="AI1024" s="25"/>
      <c r="AJ1024" s="99"/>
      <c r="AK1024" s="110"/>
      <c r="AL1024" s="25"/>
      <c r="AM1024" s="99"/>
      <c r="AN1024" s="110"/>
      <c r="AO1024" s="25"/>
      <c r="AP1024" s="99"/>
      <c r="AQ1024" s="110"/>
      <c r="AR1024" s="25"/>
      <c r="AS1024" s="99"/>
      <c r="AT1024" s="110"/>
      <c r="AU1024" s="25"/>
    </row>
    <row r="1025" spans="15:47" x14ac:dyDescent="0.25">
      <c r="O1025" s="1"/>
      <c r="P1025" s="1"/>
      <c r="Q1025" s="1"/>
      <c r="R1025" s="98"/>
      <c r="S1025" s="108" t="s">
        <v>137</v>
      </c>
      <c r="T1025" s="26" t="s">
        <v>146</v>
      </c>
      <c r="U1025" s="98"/>
      <c r="V1025" s="108" t="s">
        <v>137</v>
      </c>
      <c r="W1025" s="26" t="s">
        <v>146</v>
      </c>
      <c r="X1025" s="98"/>
      <c r="Y1025" s="108" t="s">
        <v>137</v>
      </c>
      <c r="Z1025" s="26" t="s">
        <v>146</v>
      </c>
      <c r="AA1025" s="98"/>
      <c r="AB1025" s="108" t="s">
        <v>137</v>
      </c>
      <c r="AC1025" s="26" t="s">
        <v>146</v>
      </c>
      <c r="AD1025" s="98"/>
      <c r="AE1025" s="108" t="s">
        <v>137</v>
      </c>
      <c r="AF1025" s="26" t="s">
        <v>146</v>
      </c>
      <c r="AG1025" s="98"/>
      <c r="AH1025" s="108" t="s">
        <v>137</v>
      </c>
      <c r="AI1025" s="26" t="s">
        <v>146</v>
      </c>
      <c r="AJ1025" s="98"/>
      <c r="AK1025" s="108" t="s">
        <v>137</v>
      </c>
      <c r="AL1025" s="26" t="s">
        <v>146</v>
      </c>
      <c r="AM1025" s="98"/>
      <c r="AN1025" s="108" t="s">
        <v>137</v>
      </c>
      <c r="AO1025" s="26" t="s">
        <v>146</v>
      </c>
      <c r="AP1025" s="98"/>
      <c r="AQ1025" s="108" t="s">
        <v>137</v>
      </c>
      <c r="AR1025" s="26" t="s">
        <v>146</v>
      </c>
      <c r="AS1025" s="98"/>
      <c r="AT1025" s="108" t="s">
        <v>137</v>
      </c>
      <c r="AU1025" s="26" t="s">
        <v>146</v>
      </c>
    </row>
    <row r="1026" spans="15:47" ht="13.8" x14ac:dyDescent="0.25">
      <c r="O1026" s="20" t="s">
        <v>136</v>
      </c>
      <c r="P1026" s="1"/>
      <c r="Q1026" s="1"/>
      <c r="R1026" s="96">
        <f>R1012*1.02</f>
        <v>1299.8668212771224</v>
      </c>
      <c r="S1026" s="109" t="s">
        <v>144</v>
      </c>
      <c r="T1026" s="23" t="s">
        <v>147</v>
      </c>
      <c r="U1026" s="96">
        <f ca="1">U1012*1.01</f>
        <v>23732.061373467925</v>
      </c>
      <c r="V1026" s="109" t="s">
        <v>144</v>
      </c>
      <c r="W1026" s="23" t="s">
        <v>147</v>
      </c>
      <c r="X1026" s="96">
        <f ca="1">X1012*1.01</f>
        <v>58111.100915836687</v>
      </c>
      <c r="Y1026" s="109" t="s">
        <v>144</v>
      </c>
      <c r="Z1026" s="23" t="s">
        <v>147</v>
      </c>
      <c r="AA1026" s="96">
        <f ca="1">AA1012*1.01</f>
        <v>113185.59199207663</v>
      </c>
      <c r="AB1026" s="109" t="s">
        <v>144</v>
      </c>
      <c r="AC1026" s="23" t="s">
        <v>147</v>
      </c>
      <c r="AD1026" s="96">
        <f ca="1">AD1012*1.01</f>
        <v>189890.21375433204</v>
      </c>
      <c r="AE1026" s="109" t="s">
        <v>144</v>
      </c>
      <c r="AF1026" s="23" t="s">
        <v>147</v>
      </c>
      <c r="AG1026" s="96">
        <f ca="1">AG1012*1.01</f>
        <v>277149.93885123049</v>
      </c>
      <c r="AH1026" s="109" t="s">
        <v>144</v>
      </c>
      <c r="AI1026" s="23" t="s">
        <v>147</v>
      </c>
      <c r="AJ1026" s="96">
        <f ca="1">AJ1012*1.01</f>
        <v>369857.66778733872</v>
      </c>
      <c r="AK1026" s="109" t="s">
        <v>144</v>
      </c>
      <c r="AL1026" s="23" t="s">
        <v>147</v>
      </c>
      <c r="AM1026" s="96">
        <f ca="1">AM1012*1.01</f>
        <v>451296.64243249467</v>
      </c>
      <c r="AN1026" s="109" t="s">
        <v>144</v>
      </c>
      <c r="AO1026" s="23" t="s">
        <v>147</v>
      </c>
      <c r="AP1026" s="96">
        <f ca="1">AP1012*1.01</f>
        <v>523941.39152684121</v>
      </c>
      <c r="AQ1026" s="109" t="s">
        <v>144</v>
      </c>
      <c r="AR1026" s="23" t="s">
        <v>147</v>
      </c>
      <c r="AS1026" s="96">
        <f ca="1">AS1012*1.01</f>
        <v>614362.48689598055</v>
      </c>
      <c r="AT1026" s="109" t="s">
        <v>144</v>
      </c>
      <c r="AU1026" s="23" t="s">
        <v>147</v>
      </c>
    </row>
    <row r="1027" spans="15:47" x14ac:dyDescent="0.25">
      <c r="O1027" s="1"/>
      <c r="P1027" s="1"/>
      <c r="Q1027" s="1"/>
      <c r="R1027" s="98"/>
      <c r="S1027" s="107"/>
      <c r="T1027" s="1"/>
      <c r="U1027" s="47"/>
      <c r="V1027" s="107"/>
      <c r="W1027" s="1"/>
      <c r="X1027" s="47"/>
      <c r="Y1027" s="107"/>
      <c r="Z1027" s="1"/>
      <c r="AA1027" s="47"/>
      <c r="AB1027" s="107"/>
      <c r="AC1027" s="1"/>
      <c r="AD1027" s="47"/>
      <c r="AE1027" s="107"/>
      <c r="AF1027" s="1"/>
      <c r="AG1027" s="47"/>
      <c r="AH1027" s="107"/>
      <c r="AI1027" s="1"/>
      <c r="AJ1027" s="47"/>
      <c r="AK1027" s="107"/>
      <c r="AL1027" s="1"/>
      <c r="AM1027" s="47"/>
      <c r="AN1027" s="107"/>
      <c r="AO1027" s="1"/>
      <c r="AP1027" s="47"/>
      <c r="AQ1027" s="107"/>
      <c r="AR1027" s="1"/>
      <c r="AS1027" s="47"/>
      <c r="AT1027" s="107"/>
      <c r="AU1027" s="1"/>
    </row>
    <row r="1028" spans="15:47" x14ac:dyDescent="0.25">
      <c r="O1028" s="8" t="s">
        <v>132</v>
      </c>
      <c r="P1028" s="8"/>
      <c r="Q1028" s="8"/>
      <c r="R1028" s="96">
        <f>P_1_minQ-(R1026^2*R_up)+dpup_minQ</f>
        <v>90.184732572422902</v>
      </c>
      <c r="S1028" s="106"/>
      <c r="T1028" s="22"/>
      <c r="U1028" s="96">
        <f ca="1">P_1_minQ-(U1026^2*R_up)+dpup_minQ</f>
        <v>90.082389228125479</v>
      </c>
      <c r="V1028" s="107"/>
      <c r="W1028" s="1"/>
      <c r="X1028" s="96">
        <f ca="1">P_1_minQ-(X1026^2*R_up)+dpup_minQ</f>
        <v>89.569563650171233</v>
      </c>
      <c r="Y1028" s="107"/>
      <c r="Z1028" s="1"/>
      <c r="AA1028" s="96">
        <f ca="1">P_1_minQ-(AA1026^2*R_up)+dpup_minQ</f>
        <v>87.850099963840591</v>
      </c>
      <c r="AB1028" s="107"/>
      <c r="AC1028" s="1"/>
      <c r="AD1028" s="96">
        <f ca="1">P_1_minQ-(AD1026^2*R_up)+dpup_minQ</f>
        <v>83.613023140747487</v>
      </c>
      <c r="AE1028" s="107"/>
      <c r="AF1028" s="1"/>
      <c r="AG1028" s="96">
        <f ca="1">P_1_minQ-(AG1026^2*R_up)+dpup_minQ</f>
        <v>76.185199269805494</v>
      </c>
      <c r="AH1028" s="107"/>
      <c r="AI1028" s="1"/>
      <c r="AJ1028" s="96">
        <f ca="1">P_1_minQ-(AJ1026^2*R_up)+dpup_minQ</f>
        <v>65.252714877593107</v>
      </c>
      <c r="AK1028" s="107"/>
      <c r="AL1028" s="1"/>
      <c r="AM1028" s="96">
        <f ca="1">P_1_minQ-(AM1026^2*R_up)+dpup_minQ</f>
        <v>53.064205071995175</v>
      </c>
      <c r="AN1028" s="107"/>
      <c r="AO1028" s="1"/>
      <c r="AP1028" s="96">
        <f ca="1">P_1_minQ-(AP1026^2*R_up)+dpup_minQ</f>
        <v>40.151762721588021</v>
      </c>
      <c r="AQ1028" s="107"/>
      <c r="AR1028" s="1"/>
      <c r="AS1028" s="96">
        <f ca="1">P_1_minQ-(AS1026^2*R_up)+dpup_minQ</f>
        <v>21.392251590871311</v>
      </c>
      <c r="AT1028" s="107"/>
      <c r="AU1028" s="1"/>
    </row>
    <row r="1029" spans="15:47" x14ac:dyDescent="0.25">
      <c r="O1029" s="8" t="s">
        <v>134</v>
      </c>
      <c r="P1029" s="1"/>
      <c r="Q1029" s="8"/>
      <c r="R1029" s="97">
        <f>P_2_minQ+(R1026^2*R_dn)-dpdn_minQ</f>
        <v>60</v>
      </c>
      <c r="S1029" s="106"/>
      <c r="T1029" s="22"/>
      <c r="U1029" s="97">
        <f ca="1">P_2_minQ+(U1026^2*R_dn)-dpdn_minQ</f>
        <v>60</v>
      </c>
      <c r="V1029" s="107"/>
      <c r="W1029" s="1"/>
      <c r="X1029" s="97">
        <f ca="1">P_2_minQ+(X1026^2*R_dn)-dpdn_minQ</f>
        <v>60</v>
      </c>
      <c r="Y1029" s="107"/>
      <c r="Z1029" s="1"/>
      <c r="AA1029" s="97">
        <f ca="1">P_2_minQ+(AA1026^2*R_dn)-dpdn_minQ</f>
        <v>60</v>
      </c>
      <c r="AB1029" s="107"/>
      <c r="AC1029" s="1"/>
      <c r="AD1029" s="97">
        <f ca="1">P_2_minQ+(AD1026^2*R_dn)-dpdn_minQ</f>
        <v>60</v>
      </c>
      <c r="AE1029" s="107"/>
      <c r="AF1029" s="1"/>
      <c r="AG1029" s="97">
        <f ca="1">P_2_minQ+(AG1026^2*R_dn)-dpdn_minQ</f>
        <v>60</v>
      </c>
      <c r="AH1029" s="107"/>
      <c r="AI1029" s="1"/>
      <c r="AJ1029" s="97">
        <f ca="1">P_2_minQ+(AJ1026^2*R_dn)-dpdn_minQ</f>
        <v>60</v>
      </c>
      <c r="AK1029" s="107"/>
      <c r="AL1029" s="1"/>
      <c r="AM1029" s="97">
        <f ca="1">P_2_minQ+(AM1026^2*R_dn)-dpdn_minQ</f>
        <v>60</v>
      </c>
      <c r="AN1029" s="107"/>
      <c r="AO1029" s="1"/>
      <c r="AP1029" s="97">
        <f ca="1">P_2_minQ+(AP1026^2*R_dn)-dpdn_minQ</f>
        <v>60</v>
      </c>
      <c r="AQ1029" s="107"/>
      <c r="AR1029" s="1"/>
      <c r="AS1029" s="97">
        <f ca="1">P_2_minQ+(AS1026^2*R_dn)-dpdn_minQ</f>
        <v>60</v>
      </c>
      <c r="AT1029" s="107"/>
      <c r="AU1029" s="1"/>
    </row>
    <row r="1030" spans="15:47" x14ac:dyDescent="0.25">
      <c r="O1030" s="8" t="s">
        <v>138</v>
      </c>
      <c r="P1030" s="1"/>
      <c r="Q1030" s="8"/>
      <c r="R1030" s="97">
        <f>R1028-R1029</f>
        <v>30.184732572422902</v>
      </c>
      <c r="S1030" s="106"/>
      <c r="T1030" s="22"/>
      <c r="U1030" s="97">
        <f ca="1">U1028-U1029</f>
        <v>30.082389228125479</v>
      </c>
      <c r="V1030" s="110"/>
      <c r="W1030" s="25"/>
      <c r="X1030" s="97">
        <f ca="1">X1028-X1029</f>
        <v>29.569563650171233</v>
      </c>
      <c r="Y1030" s="110"/>
      <c r="Z1030" s="25"/>
      <c r="AA1030" s="97">
        <f ca="1">AA1028-AA1029</f>
        <v>27.850099963840591</v>
      </c>
      <c r="AB1030" s="110"/>
      <c r="AC1030" s="25"/>
      <c r="AD1030" s="97">
        <f ca="1">AD1028-AD1029</f>
        <v>23.613023140747487</v>
      </c>
      <c r="AE1030" s="110"/>
      <c r="AF1030" s="25"/>
      <c r="AG1030" s="97">
        <f ca="1">AG1028-AG1029</f>
        <v>16.185199269805494</v>
      </c>
      <c r="AH1030" s="110"/>
      <c r="AI1030" s="25"/>
      <c r="AJ1030" s="97">
        <f ca="1">AJ1028-AJ1029</f>
        <v>5.2527148775931067</v>
      </c>
      <c r="AK1030" s="110"/>
      <c r="AL1030" s="25"/>
      <c r="AM1030" s="97">
        <f ca="1">AM1028-AM1029</f>
        <v>-6.9357949280048246</v>
      </c>
      <c r="AN1030" s="110"/>
      <c r="AO1030" s="25"/>
      <c r="AP1030" s="97">
        <f ca="1">AP1028-AP1029</f>
        <v>-19.848237278411979</v>
      </c>
      <c r="AQ1030" s="110"/>
      <c r="AR1030" s="25"/>
      <c r="AS1030" s="97">
        <f ca="1">AS1028-AS1029</f>
        <v>-38.607748409128689</v>
      </c>
      <c r="AT1030" s="110"/>
      <c r="AU1030" s="25"/>
    </row>
    <row r="1031" spans="15:47" ht="14.4" x14ac:dyDescent="0.3">
      <c r="O1031" s="2" t="s">
        <v>140</v>
      </c>
      <c r="P1031" s="11"/>
      <c r="Q1031" s="2"/>
      <c r="R1031" s="96">
        <f>R1030/R1028</f>
        <v>0.33469891977761351</v>
      </c>
      <c r="S1031" s="106"/>
      <c r="T1031" s="22"/>
      <c r="U1031" s="96">
        <f ca="1">U1030/U1028</f>
        <v>0.33394306574112459</v>
      </c>
      <c r="V1031" s="111"/>
      <c r="W1031" s="28"/>
      <c r="X1031" s="96">
        <f ca="1">X1030/X1028</f>
        <v>0.3301295936380807</v>
      </c>
      <c r="Y1031" s="111"/>
      <c r="Z1031" s="28"/>
      <c r="AA1031" s="96">
        <f ca="1">AA1030/AA1028</f>
        <v>0.31701842087036658</v>
      </c>
      <c r="AB1031" s="111"/>
      <c r="AC1031" s="28"/>
      <c r="AD1031" s="96">
        <f ca="1">AD1030/AD1028</f>
        <v>0.28240843655418618</v>
      </c>
      <c r="AE1031" s="111"/>
      <c r="AF1031" s="28"/>
      <c r="AG1031" s="96">
        <f ca="1">AG1030/AG1028</f>
        <v>0.21244545429994274</v>
      </c>
      <c r="AH1031" s="111"/>
      <c r="AI1031" s="28"/>
      <c r="AJ1031" s="96">
        <f ca="1">AJ1030/AJ1028</f>
        <v>8.0498028127206966E-2</v>
      </c>
      <c r="AK1031" s="111"/>
      <c r="AL1031" s="28"/>
      <c r="AM1031" s="96">
        <f ca="1">AM1030/AM1028</f>
        <v>-0.13070571619031404</v>
      </c>
      <c r="AN1031" s="111"/>
      <c r="AO1031" s="28"/>
      <c r="AP1031" s="96">
        <f ca="1">AP1030/AP1028</f>
        <v>-0.49433040875538858</v>
      </c>
      <c r="AQ1031" s="111"/>
      <c r="AR1031" s="28"/>
      <c r="AS1031" s="96">
        <f ca="1">AS1030/AS1028</f>
        <v>-1.8047538495482041</v>
      </c>
      <c r="AT1031" s="111"/>
      <c r="AU1031" s="28"/>
    </row>
    <row r="1032" spans="15:47" x14ac:dyDescent="0.25">
      <c r="O1032" s="2" t="s">
        <v>21</v>
      </c>
      <c r="P1032" s="8">
        <v>12</v>
      </c>
      <c r="Q1032" s="2"/>
      <c r="R1032" s="96">
        <f ca="1">1-R1031/(3*F_GAMMA*R$29)</f>
        <v>0.82568573454336547</v>
      </c>
      <c r="S1032" s="106"/>
      <c r="T1032" s="22"/>
      <c r="U1032" s="96">
        <f ca="1">1-U1031/(3*F_GAMMA*U$29)</f>
        <v>0.82611979462720542</v>
      </c>
      <c r="V1032" s="111"/>
      <c r="W1032" s="28"/>
      <c r="X1032" s="96">
        <f ca="1">1-X1031/(3*F_GAMMA*X$29)</f>
        <v>0.82646826094122772</v>
      </c>
      <c r="Y1032" s="111"/>
      <c r="Z1032" s="28"/>
      <c r="AA1032" s="96">
        <f ca="1">1-AA1031/(3*F_GAMMA*AA$29)</f>
        <v>0.83101114446277291</v>
      </c>
      <c r="AB1032" s="111"/>
      <c r="AC1032" s="28"/>
      <c r="AD1032" s="96">
        <f ca="1">1-AD1031/(3*F_GAMMA*AD$29)</f>
        <v>0.84479136777820019</v>
      </c>
      <c r="AE1032" s="111"/>
      <c r="AF1032" s="28"/>
      <c r="AG1032" s="96">
        <f ca="1">1-AG1031/(3*F_GAMMA*AG$29)</f>
        <v>0.87623608336116732</v>
      </c>
      <c r="AH1032" s="111"/>
      <c r="AI1032" s="28"/>
      <c r="AJ1032" s="96">
        <f ca="1">1-AJ1031/(3*F_GAMMA*AJ$29)</f>
        <v>0.94954678420769001</v>
      </c>
      <c r="AK1032" s="111"/>
      <c r="AL1032" s="28"/>
      <c r="AM1032" s="96">
        <f ca="1">1-AM1031/(3*F_GAMMA*AM$29)</f>
        <v>1.0915950524239162</v>
      </c>
      <c r="AN1032" s="111"/>
      <c r="AO1032" s="28"/>
      <c r="AP1032" s="96">
        <f ca="1">1-AP1031/(3*F_GAMMA*AP$29)</f>
        <v>1.2790265880638605</v>
      </c>
      <c r="AQ1032" s="111"/>
      <c r="AR1032" s="28"/>
      <c r="AS1032" s="96">
        <f ca="1">1-AS1031/(3*F_GAMMA*AS$29)</f>
        <v>2.5970285585683124</v>
      </c>
      <c r="AT1032" s="111"/>
      <c r="AU1032" s="28"/>
    </row>
    <row r="1033" spans="15:47" x14ac:dyDescent="0.25">
      <c r="O1033" s="2" t="s">
        <v>57</v>
      </c>
      <c r="P1033" s="143">
        <v>7</v>
      </c>
      <c r="Q1033" s="2"/>
      <c r="R1033" s="96">
        <f ca="1">(R1026/(N_9*R$27*R1028*R1032))*SQRT(M*'Valve Sizing'!$W$6*'Valve Sizing'!$G$8/R1031)</f>
        <v>0.52494032335847385</v>
      </c>
      <c r="S1033" s="107"/>
      <c r="T1033" s="22"/>
      <c r="U1033" s="96">
        <f ca="1">(U1026/(N_9*U$27*U1028*U1032))*SQRT(M*'Valve Sizing'!$W$6*'Valve Sizing'!$G$8/U1031)</f>
        <v>9.6069874034336618</v>
      </c>
      <c r="V1033" s="111"/>
      <c r="W1033" s="28"/>
      <c r="X1033" s="96">
        <f ca="1">(X1026/(N_9*X$27*X1028*X1032))*SQRT(M*'Valve Sizing'!$W$6*'Valve Sizing'!$G$8/X1031)</f>
        <v>23.83964227866942</v>
      </c>
      <c r="Y1033" s="111"/>
      <c r="Z1033" s="28"/>
      <c r="AA1033" s="96">
        <f ca="1">(AA1026/(N_9*AA$27*AA1028*AA1032))*SQRT(M*'Valve Sizing'!$W$6*'Valve Sizing'!$G$8/AA1031)</f>
        <v>48.332460716693404</v>
      </c>
      <c r="AB1033" s="111"/>
      <c r="AC1033" s="28"/>
      <c r="AD1033" s="96">
        <f ca="1">(AD1026/(N_9*AD$27*AD1028*AD1032))*SQRT(M*'Valve Sizing'!$W$6*'Valve Sizing'!$G$8/AD1031)</f>
        <v>89.893105166727892</v>
      </c>
      <c r="AE1033" s="111"/>
      <c r="AF1033" s="28"/>
      <c r="AG1033" s="96">
        <f ca="1">(AG1026/(N_9*AG$27*AG1028*AG1032))*SQRT(M*'Valve Sizing'!$W$6*'Valve Sizing'!$G$8/AG1031)</f>
        <v>163.66305892661578</v>
      </c>
      <c r="AH1033" s="111"/>
      <c r="AI1033" s="28"/>
      <c r="AJ1033" s="96">
        <f ca="1">(AJ1026/(N_9*AJ$27*AJ1028*AJ1032))*SQRT(M*'Valve Sizing'!$W$6*'Valve Sizing'!$G$8/AJ1031)</f>
        <v>396.09688935143117</v>
      </c>
      <c r="AK1033" s="111"/>
      <c r="AL1033" s="28"/>
      <c r="AM1033" s="96" t="e">
        <f ca="1">(AM1026/(N_9*AM$27*AM1028*AM1032))*SQRT(M*'Valve Sizing'!$W$6*'Valve Sizing'!$G$8/AM1031)</f>
        <v>#NUM!</v>
      </c>
      <c r="AN1033" s="111"/>
      <c r="AO1033" s="28"/>
      <c r="AP1033" s="96" t="e">
        <f ca="1">(AP1026/(N_9*AP$27*AP1028*AP1032))*SQRT(M*'Valve Sizing'!$W$6*'Valve Sizing'!$G$8/AP1031)</f>
        <v>#NUM!</v>
      </c>
      <c r="AQ1033" s="111"/>
      <c r="AR1033" s="28"/>
      <c r="AS1033" s="96" t="e">
        <f ca="1">(AS1026/(N_9*AS$27*AS1028*AS1032))*SQRT(M*'Valve Sizing'!$W$6*'Valve Sizing'!$G$8/AS1031)</f>
        <v>#NUM!</v>
      </c>
      <c r="AT1033" s="111"/>
      <c r="AU1033" s="28"/>
    </row>
    <row r="1034" spans="15:47" x14ac:dyDescent="0.25">
      <c r="O1034" s="2" t="s">
        <v>59</v>
      </c>
      <c r="P1034" s="143">
        <v>7</v>
      </c>
      <c r="Q1034" s="2"/>
      <c r="R1034" s="96">
        <f ca="1">(R1026/(N_9*R$27*R1028*0.667))*SQRT(M*'Valve Sizing'!$W$6*'Valve Sizing'!$G$8/R1035)</f>
        <v>0.46992221286299102</v>
      </c>
      <c r="S1034" s="107"/>
      <c r="T1034" s="22"/>
      <c r="U1034" s="96">
        <f ca="1">(U1026/(N_9*U$27*U1028*0.667))*SQRT(M*'Valve Sizing'!$W$6*'Valve Sizing'!$G$8/U1035)</f>
        <v>8.593896427920491</v>
      </c>
      <c r="V1034" s="111"/>
      <c r="W1034" s="28"/>
      <c r="X1034" s="96">
        <f ca="1">(X1026/(N_9*X$27*X1028*0.667))*SQRT(M*'Valve Sizing'!$W$6*'Valve Sizing'!$G$8/X1035)</f>
        <v>21.31327395604897</v>
      </c>
      <c r="Y1034" s="111"/>
      <c r="Z1034" s="28"/>
      <c r="AA1034" s="96">
        <f ca="1">(AA1026/(N_9*AA$27*AA1028*0.667))*SQRT(M*'Valve Sizing'!$W$6*'Valve Sizing'!$G$8/AA1035)</f>
        <v>42.875537791175702</v>
      </c>
      <c r="AB1034" s="111"/>
      <c r="AC1034" s="28"/>
      <c r="AD1034" s="96">
        <f ca="1">(AD1026/(N_9*AD$27*AD1028*0.667))*SQRT(M*'Valve Sizing'!$W$6*'Valve Sizing'!$G$8/AD1035)</f>
        <v>77.690618566753685</v>
      </c>
      <c r="AE1034" s="111"/>
      <c r="AF1034" s="28"/>
      <c r="AG1034" s="96">
        <f ca="1">(AG1026/(N_9*AG$27*AG1028*0.667))*SQRT(M*'Valve Sizing'!$W$6*'Valve Sizing'!$G$8/AG1035)</f>
        <v>131.0097485940089</v>
      </c>
      <c r="AH1034" s="111"/>
      <c r="AI1034" s="28"/>
      <c r="AJ1034" s="96">
        <f ca="1">(AJ1026/(N_9*AJ$27*AJ1028*0.667))*SQRT(M*'Valve Sizing'!$W$6*'Valve Sizing'!$G$8/AJ1035)</f>
        <v>219.37999327038719</v>
      </c>
      <c r="AK1034" s="111"/>
      <c r="AL1034" s="28"/>
      <c r="AM1034" s="96">
        <f ca="1">(AM1026/(N_9*AM$27*AM1028*0.667))*SQRT(M*'Valve Sizing'!$W$6*'Valve Sizing'!$G$8/AM1035)</f>
        <v>369.29805614863574</v>
      </c>
      <c r="AN1034" s="111"/>
      <c r="AO1034" s="28"/>
      <c r="AP1034" s="96">
        <f ca="1">(AP1026/(N_9*AP$27*AP1028*0.667))*SQRT(M*'Valve Sizing'!$W$6*'Valve Sizing'!$G$8/AP1035)</f>
        <v>578.81070454568658</v>
      </c>
      <c r="AQ1034" s="111"/>
      <c r="AR1034" s="28"/>
      <c r="AS1034" s="96">
        <f ca="1">(AS1026/(N_9*AS$27*AS1028*0.667))*SQRT(M*'Valve Sizing'!$W$6*'Valve Sizing'!$G$8/AS1035)</f>
        <v>2136.3228966838301</v>
      </c>
      <c r="AT1034" s="111"/>
      <c r="AU1034" s="28"/>
    </row>
    <row r="1035" spans="15:47" ht="15.6" x14ac:dyDescent="0.35">
      <c r="O1035" s="2" t="s">
        <v>68</v>
      </c>
      <c r="P1035" s="143">
        <v>10</v>
      </c>
      <c r="Q1035" s="2"/>
      <c r="R1035" s="96">
        <f ca="1">F_GAMMA*R$29</f>
        <v>0.64002969751372984</v>
      </c>
      <c r="S1035" s="107"/>
      <c r="T1035" s="1"/>
      <c r="U1035" s="96">
        <f ca="1">F_GAMMA*U$29</f>
        <v>0.64017842058782071</v>
      </c>
      <c r="V1035" s="111"/>
      <c r="W1035" s="28"/>
      <c r="X1035" s="96">
        <f ca="1">F_GAMMA*X$29</f>
        <v>0.63413873724904268</v>
      </c>
      <c r="Y1035" s="111"/>
      <c r="Z1035" s="28"/>
      <c r="AA1035" s="96">
        <f ca="1">F_GAMMA*AA$29</f>
        <v>0.62532411750377137</v>
      </c>
      <c r="AB1035" s="111"/>
      <c r="AC1035" s="28"/>
      <c r="AD1035" s="96">
        <f ca="1">F_GAMMA*AD$29</f>
        <v>0.60651359509139569</v>
      </c>
      <c r="AE1035" s="111"/>
      <c r="AF1035" s="28"/>
      <c r="AG1035" s="96">
        <f ca="1">F_GAMMA*AG$29</f>
        <v>0.57217930198481592</v>
      </c>
      <c r="AH1035" s="111"/>
      <c r="AI1035" s="28"/>
      <c r="AJ1035" s="96">
        <f ca="1">F_GAMMA*AJ$29</f>
        <v>0.53183282018848232</v>
      </c>
      <c r="AK1035" s="111"/>
      <c r="AL1035" s="28"/>
      <c r="AM1035" s="96">
        <f ca="1">F_GAMMA*AM$29</f>
        <v>0.47566512503094399</v>
      </c>
      <c r="AN1035" s="111"/>
      <c r="AO1035" s="28"/>
      <c r="AP1035" s="96">
        <f ca="1">F_GAMMA*AP$29</f>
        <v>0.59054158265645496</v>
      </c>
      <c r="AQ1035" s="111"/>
      <c r="AR1035" s="28"/>
      <c r="AS1035" s="96">
        <f ca="1">F_GAMMA*AS$29</f>
        <v>0.3766899554102966</v>
      </c>
      <c r="AT1035" s="111"/>
      <c r="AU1035" s="28"/>
    </row>
    <row r="1036" spans="15:47" x14ac:dyDescent="0.25">
      <c r="O1036" s="2" t="s">
        <v>145</v>
      </c>
      <c r="P1036" s="12"/>
      <c r="Q1036" s="2"/>
      <c r="R1036" s="96">
        <f ca="1">IF(R1031&lt;R1035,R1033,R1034)</f>
        <v>0.52494032335847385</v>
      </c>
      <c r="S1036" s="116"/>
      <c r="T1036" s="1"/>
      <c r="U1036" s="96">
        <f ca="1">IF(U1031&lt;U1035,U1033,U1034)</f>
        <v>9.6069874034336618</v>
      </c>
      <c r="V1036" s="111"/>
      <c r="W1036" s="28"/>
      <c r="X1036" s="96">
        <f ca="1">IF(X1031&lt;X1035,X1033,X1034)</f>
        <v>23.83964227866942</v>
      </c>
      <c r="Y1036" s="111"/>
      <c r="Z1036" s="28"/>
      <c r="AA1036" s="96">
        <f ca="1">IF(AA1031&lt;AA1035,AA1033,AA1034)</f>
        <v>48.332460716693404</v>
      </c>
      <c r="AB1036" s="111"/>
      <c r="AC1036" s="28"/>
      <c r="AD1036" s="96">
        <f ca="1">IF(AD1031&lt;AD1035,AD1033,AD1034)</f>
        <v>89.893105166727892</v>
      </c>
      <c r="AE1036" s="111"/>
      <c r="AF1036" s="28"/>
      <c r="AG1036" s="96">
        <f ca="1">IF(AG1031&lt;AG1035,AG1033,AG1034)</f>
        <v>163.66305892661578</v>
      </c>
      <c r="AH1036" s="111"/>
      <c r="AI1036" s="28"/>
      <c r="AJ1036" s="96">
        <f ca="1">IF(AJ1031&lt;AJ1035,AJ1033,AJ1034)</f>
        <v>396.09688935143117</v>
      </c>
      <c r="AK1036" s="111"/>
      <c r="AL1036" s="28"/>
      <c r="AM1036" s="96" t="e">
        <f ca="1">IF(AM1031&lt;AM1035,AM1033,AM1034)</f>
        <v>#NUM!</v>
      </c>
      <c r="AN1036" s="111"/>
      <c r="AO1036" s="28"/>
      <c r="AP1036" s="96" t="e">
        <f ca="1">IF(AP1031&lt;AP1035,AP1033,AP1034)</f>
        <v>#NUM!</v>
      </c>
      <c r="AQ1036" s="111"/>
      <c r="AR1036" s="28"/>
      <c r="AS1036" s="96" t="e">
        <f ca="1">IF(AS1031&lt;AS1035,AS1033,AS1034)</f>
        <v>#NUM!</v>
      </c>
      <c r="AT1036" s="111"/>
      <c r="AU1036" s="28"/>
    </row>
    <row r="1037" spans="15:47" x14ac:dyDescent="0.25">
      <c r="O1037" s="13" t="s">
        <v>143</v>
      </c>
      <c r="P1037" s="1"/>
      <c r="Q1037" s="1"/>
      <c r="R1037" s="113"/>
      <c r="S1037" s="106">
        <f ca="1">IF(R1030&lt;=0,Q_max,ABS(R$23-R1036))</f>
        <v>4.2050596766415262</v>
      </c>
      <c r="T1037" s="7">
        <f>R1026</f>
        <v>1299.8668212771224</v>
      </c>
      <c r="U1037" s="98"/>
      <c r="V1037" s="106">
        <f ca="1">IF(U1030&lt;=0,Q_max,ABS(U$23-U1036))</f>
        <v>1.9930125965663379</v>
      </c>
      <c r="W1037" s="9">
        <f ca="1">U1026</f>
        <v>23732.061373467925</v>
      </c>
      <c r="X1037" s="98"/>
      <c r="Y1037" s="106">
        <f ca="1">IF(X1030&lt;=0,Q_max,ABS(X$23-X1036))</f>
        <v>0.83964227866941954</v>
      </c>
      <c r="Z1037" s="9">
        <f ca="1">X1026</f>
        <v>58111.100915836687</v>
      </c>
      <c r="AA1037" s="98"/>
      <c r="AB1037" s="106">
        <f ca="1">IF(AA1030&lt;=0,Q_max,ABS(AA$23-AA1036))</f>
        <v>8.9324607166934058</v>
      </c>
      <c r="AC1037" s="9">
        <f ca="1">AA1026</f>
        <v>113185.59199207663</v>
      </c>
      <c r="AD1037" s="98"/>
      <c r="AE1037" s="106">
        <f ca="1">IF(AD1030&lt;=0,Q_max,ABS(AD$23-AD1036))</f>
        <v>28.893105166727892</v>
      </c>
      <c r="AF1037" s="9">
        <f ca="1">AD1026</f>
        <v>189890.21375433204</v>
      </c>
      <c r="AG1037" s="98"/>
      <c r="AH1037" s="106">
        <f ca="1">IF(AG1030&lt;=0,Q_max,ABS(AG$23-AG1036))</f>
        <v>75.463058926615773</v>
      </c>
      <c r="AI1037" s="9">
        <f ca="1">AG1026</f>
        <v>277149.93885123049</v>
      </c>
      <c r="AJ1037" s="98"/>
      <c r="AK1037" s="106">
        <f ca="1">IF(AJ1030&lt;=0,Q_max,ABS(AJ$23-AJ1036))</f>
        <v>275.09688935143117</v>
      </c>
      <c r="AL1037" s="9">
        <f ca="1">AJ1026</f>
        <v>369857.66778733872</v>
      </c>
      <c r="AM1037" s="98"/>
      <c r="AN1037" s="106">
        <f ca="1">IF(AM1030&lt;=0,Q_max,ABS(AM$23-AM1036))</f>
        <v>236393</v>
      </c>
      <c r="AO1037" s="9">
        <f ca="1">AM1026</f>
        <v>451296.64243249467</v>
      </c>
      <c r="AP1037" s="98"/>
      <c r="AQ1037" s="106">
        <f ca="1">IF(AP1030&lt;=0,Q_max,ABS(AP$23-AP1036))</f>
        <v>236393</v>
      </c>
      <c r="AR1037" s="9">
        <f ca="1">AP1026</f>
        <v>523941.39152684121</v>
      </c>
      <c r="AS1037" s="98"/>
      <c r="AT1037" s="106">
        <f ca="1">IF(AS1030&lt;=0,Q_max,ABS(AS$23-AS1036))</f>
        <v>236393</v>
      </c>
      <c r="AU1037" s="9">
        <f ca="1">AS1026</f>
        <v>614362.48689598055</v>
      </c>
    </row>
    <row r="1038" spans="15:47" x14ac:dyDescent="0.25">
      <c r="O1038" s="21"/>
      <c r="P1038" s="14"/>
      <c r="Q1038" s="21"/>
      <c r="R1038" s="97"/>
      <c r="S1038" s="106"/>
      <c r="T1038" s="28"/>
      <c r="U1038" s="97"/>
      <c r="V1038" s="111"/>
      <c r="W1038" s="28"/>
      <c r="X1038" s="97"/>
      <c r="Y1038" s="111"/>
      <c r="Z1038" s="28"/>
      <c r="AA1038" s="97"/>
      <c r="AB1038" s="111"/>
      <c r="AC1038" s="28"/>
      <c r="AD1038" s="97"/>
      <c r="AE1038" s="111"/>
      <c r="AF1038" s="28"/>
      <c r="AG1038" s="97"/>
      <c r="AH1038" s="111"/>
      <c r="AI1038" s="28"/>
      <c r="AJ1038" s="97"/>
      <c r="AK1038" s="111"/>
      <c r="AL1038" s="28"/>
      <c r="AM1038" s="97"/>
      <c r="AN1038" s="111"/>
      <c r="AO1038" s="28"/>
      <c r="AP1038" s="97"/>
      <c r="AQ1038" s="111"/>
      <c r="AR1038" s="28"/>
      <c r="AS1038" s="97"/>
      <c r="AT1038" s="111"/>
      <c r="AU1038" s="28"/>
    </row>
    <row r="1039" spans="15:47" x14ac:dyDescent="0.25">
      <c r="O1039" s="1"/>
      <c r="P1039" s="1"/>
      <c r="Q1039" s="1"/>
      <c r="R1039" s="98"/>
      <c r="S1039" s="108" t="s">
        <v>137</v>
      </c>
      <c r="T1039" s="26" t="s">
        <v>146</v>
      </c>
      <c r="U1039" s="98"/>
      <c r="V1039" s="108" t="s">
        <v>137</v>
      </c>
      <c r="W1039" s="26" t="s">
        <v>146</v>
      </c>
      <c r="X1039" s="98"/>
      <c r="Y1039" s="108" t="s">
        <v>137</v>
      </c>
      <c r="Z1039" s="26" t="s">
        <v>146</v>
      </c>
      <c r="AA1039" s="98"/>
      <c r="AB1039" s="108" t="s">
        <v>137</v>
      </c>
      <c r="AC1039" s="26" t="s">
        <v>146</v>
      </c>
      <c r="AD1039" s="98"/>
      <c r="AE1039" s="108" t="s">
        <v>137</v>
      </c>
      <c r="AF1039" s="26" t="s">
        <v>146</v>
      </c>
      <c r="AG1039" s="98"/>
      <c r="AH1039" s="108" t="s">
        <v>137</v>
      </c>
      <c r="AI1039" s="26" t="s">
        <v>146</v>
      </c>
      <c r="AJ1039" s="98"/>
      <c r="AK1039" s="108" t="s">
        <v>137</v>
      </c>
      <c r="AL1039" s="26" t="s">
        <v>146</v>
      </c>
      <c r="AM1039" s="98"/>
      <c r="AN1039" s="108" t="s">
        <v>137</v>
      </c>
      <c r="AO1039" s="26" t="s">
        <v>146</v>
      </c>
      <c r="AP1039" s="98"/>
      <c r="AQ1039" s="108" t="s">
        <v>137</v>
      </c>
      <c r="AR1039" s="26" t="s">
        <v>146</v>
      </c>
      <c r="AS1039" s="98"/>
      <c r="AT1039" s="108" t="s">
        <v>137</v>
      </c>
      <c r="AU1039" s="26" t="s">
        <v>146</v>
      </c>
    </row>
    <row r="1040" spans="15:47" ht="13.8" x14ac:dyDescent="0.25">
      <c r="O1040" s="20" t="s">
        <v>136</v>
      </c>
      <c r="P1040" s="1"/>
      <c r="Q1040" s="1"/>
      <c r="R1040" s="96">
        <f>R1026*1.02</f>
        <v>1325.8641577026649</v>
      </c>
      <c r="S1040" s="109" t="s">
        <v>144</v>
      </c>
      <c r="T1040" s="23" t="s">
        <v>147</v>
      </c>
      <c r="U1040" s="96">
        <f ca="1">U1026*1.01</f>
        <v>23969.381987202603</v>
      </c>
      <c r="V1040" s="109" t="s">
        <v>144</v>
      </c>
      <c r="W1040" s="23" t="s">
        <v>147</v>
      </c>
      <c r="X1040" s="96">
        <f ca="1">X1026*1.01</f>
        <v>58692.211924995056</v>
      </c>
      <c r="Y1040" s="109" t="s">
        <v>144</v>
      </c>
      <c r="Z1040" s="23" t="s">
        <v>147</v>
      </c>
      <c r="AA1040" s="96">
        <f ca="1">AA1026*1.01</f>
        <v>114317.4479119974</v>
      </c>
      <c r="AB1040" s="109" t="s">
        <v>144</v>
      </c>
      <c r="AC1040" s="23" t="s">
        <v>147</v>
      </c>
      <c r="AD1040" s="96">
        <f ca="1">AD1026*1.01</f>
        <v>191789.11589187535</v>
      </c>
      <c r="AE1040" s="109" t="s">
        <v>144</v>
      </c>
      <c r="AF1040" s="23" t="s">
        <v>147</v>
      </c>
      <c r="AG1040" s="96">
        <f ca="1">AG1026*1.01</f>
        <v>279921.43823974277</v>
      </c>
      <c r="AH1040" s="109" t="s">
        <v>144</v>
      </c>
      <c r="AI1040" s="23" t="s">
        <v>147</v>
      </c>
      <c r="AJ1040" s="96">
        <f ca="1">AJ1026*1.01</f>
        <v>373556.2444652121</v>
      </c>
      <c r="AK1040" s="109" t="s">
        <v>144</v>
      </c>
      <c r="AL1040" s="23" t="s">
        <v>147</v>
      </c>
      <c r="AM1040" s="96">
        <f ca="1">AM1026*1.01</f>
        <v>455809.60885681963</v>
      </c>
      <c r="AN1040" s="109" t="s">
        <v>144</v>
      </c>
      <c r="AO1040" s="23" t="s">
        <v>147</v>
      </c>
      <c r="AP1040" s="96">
        <f ca="1">AP1026*1.01</f>
        <v>529180.80544210959</v>
      </c>
      <c r="AQ1040" s="109" t="s">
        <v>144</v>
      </c>
      <c r="AR1040" s="23" t="s">
        <v>147</v>
      </c>
      <c r="AS1040" s="96">
        <f ca="1">AS1026*1.01</f>
        <v>620506.11176494032</v>
      </c>
      <c r="AT1040" s="109" t="s">
        <v>144</v>
      </c>
      <c r="AU1040" s="23" t="s">
        <v>147</v>
      </c>
    </row>
    <row r="1041" spans="15:47" x14ac:dyDescent="0.25">
      <c r="O1041" s="1"/>
      <c r="P1041" s="1"/>
      <c r="Q1041" s="1"/>
      <c r="R1041" s="98"/>
      <c r="S1041" s="107"/>
      <c r="T1041" s="1"/>
      <c r="U1041" s="47"/>
      <c r="V1041" s="107"/>
      <c r="W1041" s="1"/>
      <c r="X1041" s="47"/>
      <c r="Y1041" s="107"/>
      <c r="Z1041" s="1"/>
      <c r="AA1041" s="47"/>
      <c r="AB1041" s="107"/>
      <c r="AC1041" s="1"/>
      <c r="AD1041" s="47"/>
      <c r="AE1041" s="107"/>
      <c r="AF1041" s="1"/>
      <c r="AG1041" s="47"/>
      <c r="AH1041" s="107"/>
      <c r="AI1041" s="1"/>
      <c r="AJ1041" s="47"/>
      <c r="AK1041" s="107"/>
      <c r="AL1041" s="1"/>
      <c r="AM1041" s="47"/>
      <c r="AN1041" s="107"/>
      <c r="AO1041" s="1"/>
      <c r="AP1041" s="47"/>
      <c r="AQ1041" s="107"/>
      <c r="AR1041" s="1"/>
      <c r="AS1041" s="47"/>
      <c r="AT1041" s="107"/>
      <c r="AU1041" s="1"/>
    </row>
    <row r="1042" spans="15:47" x14ac:dyDescent="0.25">
      <c r="O1042" s="8" t="s">
        <v>132</v>
      </c>
      <c r="P1042" s="8"/>
      <c r="Q1042" s="8"/>
      <c r="R1042" s="96">
        <f>P_1_minQ-(R1040^2*R_up)+dpup_minQ</f>
        <v>90.184720130926465</v>
      </c>
      <c r="S1042" s="106"/>
      <c r="T1042" s="22"/>
      <c r="U1042" s="96">
        <f ca="1">P_1_minQ-(U1040^2*R_up)+dpup_minQ</f>
        <v>90.080325936952676</v>
      </c>
      <c r="V1042" s="107"/>
      <c r="W1042" s="1"/>
      <c r="X1042" s="96">
        <f ca="1">P_1_minQ-(X1040^2*R_up)+dpup_minQ</f>
        <v>89.557192564881532</v>
      </c>
      <c r="Y1042" s="107"/>
      <c r="Z1042" s="1"/>
      <c r="AA1042" s="96">
        <f ca="1">P_1_minQ-(AA1040^2*R_up)+dpup_minQ</f>
        <v>87.803167658455649</v>
      </c>
      <c r="AB1042" s="107"/>
      <c r="AC1042" s="1"/>
      <c r="AD1042" s="96">
        <f ca="1">P_1_minQ-(AD1040^2*R_up)+dpup_minQ</f>
        <v>83.48092559121838</v>
      </c>
      <c r="AE1042" s="107"/>
      <c r="AF1042" s="1"/>
      <c r="AG1042" s="96">
        <f ca="1">P_1_minQ-(AG1040^2*R_up)+dpup_minQ</f>
        <v>75.903802460470445</v>
      </c>
      <c r="AH1042" s="107"/>
      <c r="AI1042" s="1"/>
      <c r="AJ1042" s="96">
        <f ca="1">P_1_minQ-(AJ1040^2*R_up)+dpup_minQ</f>
        <v>64.75157513197459</v>
      </c>
      <c r="AK1042" s="107"/>
      <c r="AL1042" s="1"/>
      <c r="AM1042" s="96">
        <f ca="1">P_1_minQ-(AM1040^2*R_up)+dpup_minQ</f>
        <v>52.318076279284142</v>
      </c>
      <c r="AN1042" s="107"/>
      <c r="AO1042" s="1"/>
      <c r="AP1042" s="96">
        <f ca="1">P_1_minQ-(AP1040^2*R_up)+dpup_minQ</f>
        <v>39.146093837633806</v>
      </c>
      <c r="AQ1042" s="107"/>
      <c r="AR1042" s="1"/>
      <c r="AS1042" s="96">
        <f ca="1">P_1_minQ-(AS1040^2*R_up)+dpup_minQ</f>
        <v>20.009516533189696</v>
      </c>
      <c r="AT1042" s="107"/>
      <c r="AU1042" s="1"/>
    </row>
    <row r="1043" spans="15:47" x14ac:dyDescent="0.25">
      <c r="O1043" s="8" t="s">
        <v>134</v>
      </c>
      <c r="P1043" s="1"/>
      <c r="Q1043" s="8"/>
      <c r="R1043" s="97">
        <f>P_2_minQ+(R1040^2*R_dn)-dpdn_minQ</f>
        <v>60</v>
      </c>
      <c r="S1043" s="106"/>
      <c r="T1043" s="22"/>
      <c r="U1043" s="97">
        <f ca="1">P_2_minQ+(U1040^2*R_dn)-dpdn_minQ</f>
        <v>60</v>
      </c>
      <c r="V1043" s="107"/>
      <c r="W1043" s="1"/>
      <c r="X1043" s="97">
        <f ca="1">P_2_minQ+(X1040^2*R_dn)-dpdn_minQ</f>
        <v>60</v>
      </c>
      <c r="Y1043" s="107"/>
      <c r="Z1043" s="1"/>
      <c r="AA1043" s="97">
        <f ca="1">P_2_minQ+(AA1040^2*R_dn)-dpdn_minQ</f>
        <v>60</v>
      </c>
      <c r="AB1043" s="107"/>
      <c r="AC1043" s="1"/>
      <c r="AD1043" s="97">
        <f ca="1">P_2_minQ+(AD1040^2*R_dn)-dpdn_minQ</f>
        <v>60</v>
      </c>
      <c r="AE1043" s="107"/>
      <c r="AF1043" s="1"/>
      <c r="AG1043" s="97">
        <f ca="1">P_2_minQ+(AG1040^2*R_dn)-dpdn_minQ</f>
        <v>60</v>
      </c>
      <c r="AH1043" s="107"/>
      <c r="AI1043" s="1"/>
      <c r="AJ1043" s="97">
        <f ca="1">P_2_minQ+(AJ1040^2*R_dn)-dpdn_minQ</f>
        <v>60</v>
      </c>
      <c r="AK1043" s="107"/>
      <c r="AL1043" s="1"/>
      <c r="AM1043" s="97">
        <f ca="1">P_2_minQ+(AM1040^2*R_dn)-dpdn_minQ</f>
        <v>60</v>
      </c>
      <c r="AN1043" s="107"/>
      <c r="AO1043" s="1"/>
      <c r="AP1043" s="97">
        <f ca="1">P_2_minQ+(AP1040^2*R_dn)-dpdn_minQ</f>
        <v>60</v>
      </c>
      <c r="AQ1043" s="107"/>
      <c r="AR1043" s="1"/>
      <c r="AS1043" s="97">
        <f ca="1">P_2_minQ+(AS1040^2*R_dn)-dpdn_minQ</f>
        <v>60</v>
      </c>
      <c r="AT1043" s="107"/>
      <c r="AU1043" s="1"/>
    </row>
    <row r="1044" spans="15:47" x14ac:dyDescent="0.25">
      <c r="O1044" s="8" t="s">
        <v>138</v>
      </c>
      <c r="P1044" s="1"/>
      <c r="Q1044" s="8"/>
      <c r="R1044" s="97">
        <f>R1042-R1043</f>
        <v>30.184720130926465</v>
      </c>
      <c r="S1044" s="106"/>
      <c r="T1044" s="22"/>
      <c r="U1044" s="97">
        <f ca="1">U1042-U1043</f>
        <v>30.080325936952676</v>
      </c>
      <c r="V1044" s="110"/>
      <c r="W1044" s="25"/>
      <c r="X1044" s="97">
        <f ca="1">X1042-X1043</f>
        <v>29.557192564881532</v>
      </c>
      <c r="Y1044" s="110"/>
      <c r="Z1044" s="25"/>
      <c r="AA1044" s="97">
        <f ca="1">AA1042-AA1043</f>
        <v>27.803167658455649</v>
      </c>
      <c r="AB1044" s="110"/>
      <c r="AC1044" s="25"/>
      <c r="AD1044" s="97">
        <f ca="1">AD1042-AD1043</f>
        <v>23.48092559121838</v>
      </c>
      <c r="AE1044" s="110"/>
      <c r="AF1044" s="25"/>
      <c r="AG1044" s="97">
        <f ca="1">AG1042-AG1043</f>
        <v>15.903802460470445</v>
      </c>
      <c r="AH1044" s="110"/>
      <c r="AI1044" s="25"/>
      <c r="AJ1044" s="97">
        <f ca="1">AJ1042-AJ1043</f>
        <v>4.7515751319745902</v>
      </c>
      <c r="AK1044" s="110"/>
      <c r="AL1044" s="25"/>
      <c r="AM1044" s="97">
        <f ca="1">AM1042-AM1043</f>
        <v>-7.6819237207158579</v>
      </c>
      <c r="AN1044" s="110"/>
      <c r="AO1044" s="25"/>
      <c r="AP1044" s="97">
        <f ca="1">AP1042-AP1043</f>
        <v>-20.853906162366194</v>
      </c>
      <c r="AQ1044" s="110"/>
      <c r="AR1044" s="25"/>
      <c r="AS1044" s="97">
        <f ca="1">AS1042-AS1043</f>
        <v>-39.990483466810304</v>
      </c>
      <c r="AT1044" s="110"/>
      <c r="AU1044" s="25"/>
    </row>
    <row r="1045" spans="15:47" ht="14.4" x14ac:dyDescent="0.3">
      <c r="O1045" s="2" t="s">
        <v>140</v>
      </c>
      <c r="P1045" s="11"/>
      <c r="Q1045" s="2"/>
      <c r="R1045" s="96">
        <f>R1044/R1042</f>
        <v>0.33469882799553552</v>
      </c>
      <c r="S1045" s="106"/>
      <c r="T1045" s="22"/>
      <c r="U1045" s="96">
        <f ca="1">U1044/U1042</f>
        <v>0.33392780969737978</v>
      </c>
      <c r="V1045" s="111"/>
      <c r="W1045" s="28"/>
      <c r="X1045" s="96">
        <f ca="1">X1044/X1042</f>
        <v>0.33003706032285707</v>
      </c>
      <c r="Y1045" s="111"/>
      <c r="Z1045" s="28"/>
      <c r="AA1045" s="96">
        <f ca="1">AA1044/AA1042</f>
        <v>0.31665335545303802</v>
      </c>
      <c r="AB1045" s="111"/>
      <c r="AC1045" s="28"/>
      <c r="AD1045" s="96">
        <f ca="1">AD1044/AD1042</f>
        <v>0.28127294259047375</v>
      </c>
      <c r="AE1045" s="111"/>
      <c r="AF1045" s="28"/>
      <c r="AG1045" s="96">
        <f ca="1">AG1044/AG1042</f>
        <v>0.20952576741794859</v>
      </c>
      <c r="AH1045" s="111"/>
      <c r="AI1045" s="28"/>
      <c r="AJ1045" s="96">
        <f ca="1">AJ1044/AJ1042</f>
        <v>7.3381614613854285E-2</v>
      </c>
      <c r="AK1045" s="111"/>
      <c r="AL1045" s="28"/>
      <c r="AM1045" s="96">
        <f ca="1">AM1044/AM1042</f>
        <v>-0.14683115792920681</v>
      </c>
      <c r="AN1045" s="111"/>
      <c r="AO1045" s="28"/>
      <c r="AP1045" s="96">
        <f ca="1">AP1044/AP1042</f>
        <v>-0.53271997581321673</v>
      </c>
      <c r="AQ1045" s="111"/>
      <c r="AR1045" s="28"/>
      <c r="AS1045" s="96">
        <f ca="1">AS1044/AS1042</f>
        <v>-1.9985731989315316</v>
      </c>
      <c r="AT1045" s="111"/>
      <c r="AU1045" s="28"/>
    </row>
    <row r="1046" spans="15:47" x14ac:dyDescent="0.25">
      <c r="O1046" s="2" t="s">
        <v>21</v>
      </c>
      <c r="P1046" s="8">
        <v>12</v>
      </c>
      <c r="Q1046" s="2"/>
      <c r="R1046" s="96">
        <f ca="1">1-R1045/(3*F_GAMMA*R$29)</f>
        <v>0.825685782344313</v>
      </c>
      <c r="S1046" s="106"/>
      <c r="T1046" s="22"/>
      <c r="U1046" s="96">
        <f ca="1">1-U1045/(3*F_GAMMA*U$29)</f>
        <v>0.82612773826877683</v>
      </c>
      <c r="V1046" s="111"/>
      <c r="W1046" s="28"/>
      <c r="X1046" s="96">
        <f ca="1">1-X1045/(3*F_GAMMA*X$29)</f>
        <v>0.82651690083120144</v>
      </c>
      <c r="Y1046" s="111"/>
      <c r="Z1046" s="28"/>
      <c r="AA1046" s="96">
        <f ca="1">1-AA1045/(3*F_GAMMA*AA$29)</f>
        <v>0.83120574510112444</v>
      </c>
      <c r="AB1046" s="111"/>
      <c r="AC1046" s="28"/>
      <c r="AD1046" s="96">
        <f ca="1">1-AD1045/(3*F_GAMMA*AD$29)</f>
        <v>0.84541542301944683</v>
      </c>
      <c r="AE1046" s="111"/>
      <c r="AF1046" s="28"/>
      <c r="AG1046" s="96">
        <f ca="1">1-AG1045/(3*F_GAMMA*AG$29)</f>
        <v>0.87793699941543335</v>
      </c>
      <c r="AH1046" s="111"/>
      <c r="AI1046" s="28"/>
      <c r="AJ1046" s="96">
        <f ca="1">1-AJ1045/(3*F_GAMMA*AJ$29)</f>
        <v>0.95400709155943164</v>
      </c>
      <c r="AK1046" s="111"/>
      <c r="AL1046" s="28"/>
      <c r="AM1046" s="96">
        <f ca="1">1-AM1045/(3*F_GAMMA*AM$29)</f>
        <v>1.1028953285287662</v>
      </c>
      <c r="AN1046" s="111"/>
      <c r="AO1046" s="28"/>
      <c r="AP1046" s="96">
        <f ca="1">1-AP1045/(3*F_GAMMA*AP$29)</f>
        <v>1.3006957181106327</v>
      </c>
      <c r="AQ1046" s="111"/>
      <c r="AR1046" s="28"/>
      <c r="AS1046" s="96">
        <f ca="1">1-AS1045/(3*F_GAMMA*AS$29)</f>
        <v>2.7685395024268296</v>
      </c>
      <c r="AT1046" s="111"/>
      <c r="AU1046" s="28"/>
    </row>
    <row r="1047" spans="15:47" x14ac:dyDescent="0.25">
      <c r="O1047" s="2" t="s">
        <v>57</v>
      </c>
      <c r="P1047" s="143">
        <v>7</v>
      </c>
      <c r="Q1047" s="2"/>
      <c r="R1047" s="96">
        <f ca="1">(R1040/(N_9*R$27*R1042*R1046))*SQRT(M*'Valve Sizing'!$W$6*'Valve Sizing'!$G$8/R1045)</f>
        <v>0.5354392461094859</v>
      </c>
      <c r="S1047" s="107"/>
      <c r="T1047" s="22"/>
      <c r="U1047" s="96">
        <f ca="1">(U1040/(N_9*U$27*U1042*U1046))*SQRT(M*'Valve Sizing'!$W$6*'Valve Sizing'!$G$8/U1045)</f>
        <v>9.7034078746466044</v>
      </c>
      <c r="V1047" s="111"/>
      <c r="W1047" s="28"/>
      <c r="X1047" s="96">
        <f ca="1">(X1040/(N_9*X$27*X1042*X1046))*SQRT(M*'Valve Sizing'!$W$6*'Valve Sizing'!$G$8/X1045)</f>
        <v>24.083323019873678</v>
      </c>
      <c r="Y1047" s="111"/>
      <c r="Z1047" s="28"/>
      <c r="AA1047" s="96">
        <f ca="1">(AA1040/(N_9*AA$27*AA1042*AA1046))*SQRT(M*'Valve Sizing'!$W$6*'Valve Sizing'!$G$8/AA1045)</f>
        <v>48.858583289153394</v>
      </c>
      <c r="AB1047" s="111"/>
      <c r="AC1047" s="28"/>
      <c r="AD1047" s="96">
        <f ca="1">(AD1040/(N_9*AD$27*AD1042*AD1046))*SQRT(M*'Valve Sizing'!$W$6*'Valve Sizing'!$G$8/AD1045)</f>
        <v>91.051809862718486</v>
      </c>
      <c r="AE1047" s="111"/>
      <c r="AF1047" s="28"/>
      <c r="AG1047" s="96">
        <f ca="1">(AG1040/(N_9*AG$27*AG1042*AG1046))*SQRT(M*'Valve Sizing'!$W$6*'Valve Sizing'!$G$8/AG1045)</f>
        <v>166.74080568253353</v>
      </c>
      <c r="AH1047" s="111"/>
      <c r="AI1047" s="28"/>
      <c r="AJ1047" s="96">
        <f ca="1">(AJ1040/(N_9*AJ$27*AJ1042*AJ1046))*SQRT(M*'Valve Sizing'!$W$6*'Valve Sizing'!$G$8/AJ1045)</f>
        <v>420.27621008651698</v>
      </c>
      <c r="AK1047" s="111"/>
      <c r="AL1047" s="28"/>
      <c r="AM1047" s="96" t="e">
        <f ca="1">(AM1040/(N_9*AM$27*AM1042*AM1046))*SQRT(M*'Valve Sizing'!$W$6*'Valve Sizing'!$G$8/AM1045)</f>
        <v>#NUM!</v>
      </c>
      <c r="AN1047" s="111"/>
      <c r="AO1047" s="28"/>
      <c r="AP1047" s="96" t="e">
        <f ca="1">(AP1040/(N_9*AP$27*AP1042*AP1046))*SQRT(M*'Valve Sizing'!$W$6*'Valve Sizing'!$G$8/AP1045)</f>
        <v>#NUM!</v>
      </c>
      <c r="AQ1047" s="111"/>
      <c r="AR1047" s="28"/>
      <c r="AS1047" s="96" t="e">
        <f ca="1">(AS1040/(N_9*AS$27*AS1042*AS1046))*SQRT(M*'Valve Sizing'!$W$6*'Valve Sizing'!$G$8/AS1045)</f>
        <v>#NUM!</v>
      </c>
      <c r="AT1047" s="111"/>
      <c r="AU1047" s="28"/>
    </row>
    <row r="1048" spans="15:47" x14ac:dyDescent="0.25">
      <c r="O1048" s="2" t="s">
        <v>59</v>
      </c>
      <c r="P1048" s="143">
        <v>7</v>
      </c>
      <c r="Q1048" s="2"/>
      <c r="R1048" s="96">
        <f ca="1">(R1040/(N_9*R$27*R1042*0.667))*SQRT(M*'Valve Sizing'!$W$6*'Valve Sizing'!$G$8/R1049)</f>
        <v>0.47932072324526903</v>
      </c>
      <c r="S1048" s="107"/>
      <c r="T1048" s="22"/>
      <c r="U1048" s="96">
        <f ca="1">(U1040/(N_9*U$27*U1042*0.667))*SQRT(M*'Valve Sizing'!$W$6*'Valve Sizing'!$G$8/U1049)</f>
        <v>8.680034203955314</v>
      </c>
      <c r="V1048" s="111"/>
      <c r="W1048" s="28"/>
      <c r="X1048" s="96">
        <f ca="1">(X1040/(N_9*X$27*X1042*0.667))*SQRT(M*'Valve Sizing'!$W$6*'Valve Sizing'!$G$8/X1049)</f>
        <v>21.529380270434498</v>
      </c>
      <c r="Y1048" s="111"/>
      <c r="Z1048" s="28"/>
      <c r="AA1048" s="96">
        <f ca="1">(AA1040/(N_9*AA$27*AA1042*0.667))*SQRT(M*'Valve Sizing'!$W$6*'Valve Sizing'!$G$8/AA1049)</f>
        <v>43.327440059634682</v>
      </c>
      <c r="AB1048" s="111"/>
      <c r="AC1048" s="28"/>
      <c r="AD1048" s="96">
        <f ca="1">(AD1040/(N_9*AD$27*AD1042*0.667))*SQRT(M*'Valve Sizing'!$W$6*'Valve Sizing'!$G$8/AD1049)</f>
        <v>78.591689256635803</v>
      </c>
      <c r="AE1048" s="111"/>
      <c r="AF1048" s="28"/>
      <c r="AG1048" s="96">
        <f ca="1">(AG1040/(N_9*AG$27*AG1042*0.667))*SQRT(M*'Valve Sizing'!$W$6*'Valve Sizing'!$G$8/AG1049)</f>
        <v>132.81039307880312</v>
      </c>
      <c r="AH1048" s="111"/>
      <c r="AI1048" s="28"/>
      <c r="AJ1048" s="96">
        <f ca="1">(AJ1040/(N_9*AJ$27*AJ1042*0.667))*SQRT(M*'Valve Sizing'!$W$6*'Valve Sizing'!$G$8/AJ1049)</f>
        <v>223.28864622612892</v>
      </c>
      <c r="AK1048" s="111"/>
      <c r="AL1048" s="28"/>
      <c r="AM1048" s="96">
        <f ca="1">(AM1040/(N_9*AM$27*AM1042*0.667))*SQRT(M*'Valve Sizing'!$W$6*'Valve Sizing'!$G$8/AM1049)</f>
        <v>378.31040951020253</v>
      </c>
      <c r="AN1048" s="111"/>
      <c r="AO1048" s="28"/>
      <c r="AP1048" s="96">
        <f ca="1">(AP1040/(N_9*AP$27*AP1042*0.667))*SQRT(M*'Valve Sizing'!$W$6*'Valve Sizing'!$G$8/AP1049)</f>
        <v>599.61724068019407</v>
      </c>
      <c r="AQ1048" s="111"/>
      <c r="AR1048" s="28"/>
      <c r="AS1048" s="96">
        <f ca="1">(AS1040/(N_9*AS$27*AS1042*0.667))*SQRT(M*'Valve Sizing'!$W$6*'Valve Sizing'!$G$8/AS1049)</f>
        <v>2306.7905902418875</v>
      </c>
      <c r="AT1048" s="111"/>
      <c r="AU1048" s="28"/>
    </row>
    <row r="1049" spans="15:47" ht="15.6" x14ac:dyDescent="0.35">
      <c r="O1049" s="2" t="s">
        <v>68</v>
      </c>
      <c r="P1049" s="143">
        <v>10</v>
      </c>
      <c r="Q1049" s="2"/>
      <c r="R1049" s="96">
        <f ca="1">F_GAMMA*R$29</f>
        <v>0.64002969751372984</v>
      </c>
      <c r="S1049" s="107"/>
      <c r="T1049" s="1"/>
      <c r="U1049" s="96">
        <f ca="1">F_GAMMA*U$29</f>
        <v>0.64017842058782071</v>
      </c>
      <c r="V1049" s="111"/>
      <c r="W1049" s="28"/>
      <c r="X1049" s="96">
        <f ca="1">F_GAMMA*X$29</f>
        <v>0.63413873724904268</v>
      </c>
      <c r="Y1049" s="111"/>
      <c r="Z1049" s="28"/>
      <c r="AA1049" s="96">
        <f ca="1">F_GAMMA*AA$29</f>
        <v>0.62532411750377137</v>
      </c>
      <c r="AB1049" s="111"/>
      <c r="AC1049" s="28"/>
      <c r="AD1049" s="96">
        <f ca="1">F_GAMMA*AD$29</f>
        <v>0.60651359509139569</v>
      </c>
      <c r="AE1049" s="111"/>
      <c r="AF1049" s="28"/>
      <c r="AG1049" s="96">
        <f ca="1">F_GAMMA*AG$29</f>
        <v>0.57217930198481592</v>
      </c>
      <c r="AH1049" s="111"/>
      <c r="AI1049" s="28"/>
      <c r="AJ1049" s="96">
        <f ca="1">F_GAMMA*AJ$29</f>
        <v>0.53183282018848232</v>
      </c>
      <c r="AK1049" s="111"/>
      <c r="AL1049" s="28"/>
      <c r="AM1049" s="96">
        <f ca="1">F_GAMMA*AM$29</f>
        <v>0.47566512503094399</v>
      </c>
      <c r="AN1049" s="111"/>
      <c r="AO1049" s="28"/>
      <c r="AP1049" s="96">
        <f ca="1">F_GAMMA*AP$29</f>
        <v>0.59054158265645496</v>
      </c>
      <c r="AQ1049" s="111"/>
      <c r="AR1049" s="28"/>
      <c r="AS1049" s="96">
        <f ca="1">F_GAMMA*AS$29</f>
        <v>0.3766899554102966</v>
      </c>
      <c r="AT1049" s="111"/>
      <c r="AU1049" s="28"/>
    </row>
    <row r="1050" spans="15:47" x14ac:dyDescent="0.25">
      <c r="O1050" s="2" t="s">
        <v>145</v>
      </c>
      <c r="P1050" s="12"/>
      <c r="Q1050" s="2"/>
      <c r="R1050" s="96">
        <f ca="1">IF(R1045&lt;R1049,R1047,R1048)</f>
        <v>0.5354392461094859</v>
      </c>
      <c r="S1050" s="116"/>
      <c r="T1050" s="1"/>
      <c r="U1050" s="96">
        <f ca="1">IF(U1045&lt;U1049,U1047,U1048)</f>
        <v>9.7034078746466044</v>
      </c>
      <c r="V1050" s="111"/>
      <c r="W1050" s="28"/>
      <c r="X1050" s="96">
        <f ca="1">IF(X1045&lt;X1049,X1047,X1048)</f>
        <v>24.083323019873678</v>
      </c>
      <c r="Y1050" s="111"/>
      <c r="Z1050" s="28"/>
      <c r="AA1050" s="96">
        <f ca="1">IF(AA1045&lt;AA1049,AA1047,AA1048)</f>
        <v>48.858583289153394</v>
      </c>
      <c r="AB1050" s="111"/>
      <c r="AC1050" s="28"/>
      <c r="AD1050" s="96">
        <f ca="1">IF(AD1045&lt;AD1049,AD1047,AD1048)</f>
        <v>91.051809862718486</v>
      </c>
      <c r="AE1050" s="111"/>
      <c r="AF1050" s="28"/>
      <c r="AG1050" s="96">
        <f ca="1">IF(AG1045&lt;AG1049,AG1047,AG1048)</f>
        <v>166.74080568253353</v>
      </c>
      <c r="AH1050" s="111"/>
      <c r="AI1050" s="28"/>
      <c r="AJ1050" s="96">
        <f ca="1">IF(AJ1045&lt;AJ1049,AJ1047,AJ1048)</f>
        <v>420.27621008651698</v>
      </c>
      <c r="AK1050" s="111"/>
      <c r="AL1050" s="28"/>
      <c r="AM1050" s="96" t="e">
        <f ca="1">IF(AM1045&lt;AM1049,AM1047,AM1048)</f>
        <v>#NUM!</v>
      </c>
      <c r="AN1050" s="111"/>
      <c r="AO1050" s="28"/>
      <c r="AP1050" s="96" t="e">
        <f ca="1">IF(AP1045&lt;AP1049,AP1047,AP1048)</f>
        <v>#NUM!</v>
      </c>
      <c r="AQ1050" s="111"/>
      <c r="AR1050" s="28"/>
      <c r="AS1050" s="96" t="e">
        <f ca="1">IF(AS1045&lt;AS1049,AS1047,AS1048)</f>
        <v>#NUM!</v>
      </c>
      <c r="AT1050" s="111"/>
      <c r="AU1050" s="28"/>
    </row>
    <row r="1051" spans="15:47" x14ac:dyDescent="0.25">
      <c r="O1051" s="13" t="s">
        <v>143</v>
      </c>
      <c r="P1051" s="1"/>
      <c r="Q1051" s="1"/>
      <c r="R1051" s="113"/>
      <c r="S1051" s="106">
        <f ca="1">IF(R1044&lt;=0,Q_max,ABS(R$23-R1050))</f>
        <v>4.1945607538905145</v>
      </c>
      <c r="T1051" s="7">
        <f>R1040</f>
        <v>1325.8641577026649</v>
      </c>
      <c r="U1051" s="98"/>
      <c r="V1051" s="106">
        <f ca="1">IF(U1044&lt;=0,Q_max,ABS(U$23-U1050))</f>
        <v>1.8965921253533953</v>
      </c>
      <c r="W1051" s="9">
        <f ca="1">U1040</f>
        <v>23969.381987202603</v>
      </c>
      <c r="X1051" s="98"/>
      <c r="Y1051" s="106">
        <f ca="1">IF(X1044&lt;=0,Q_max,ABS(X$23-X1050))</f>
        <v>1.0833230198736779</v>
      </c>
      <c r="Z1051" s="9">
        <f ca="1">X1040</f>
        <v>58692.211924995056</v>
      </c>
      <c r="AA1051" s="98"/>
      <c r="AB1051" s="106">
        <f ca="1">IF(AA1044&lt;=0,Q_max,ABS(AA$23-AA1050))</f>
        <v>9.4585832891533954</v>
      </c>
      <c r="AC1051" s="9">
        <f ca="1">AA1040</f>
        <v>114317.4479119974</v>
      </c>
      <c r="AD1051" s="98"/>
      <c r="AE1051" s="106">
        <f ca="1">IF(AD1044&lt;=0,Q_max,ABS(AD$23-AD1050))</f>
        <v>30.051809862718486</v>
      </c>
      <c r="AF1051" s="9">
        <f ca="1">AD1040</f>
        <v>191789.11589187535</v>
      </c>
      <c r="AG1051" s="98"/>
      <c r="AH1051" s="106">
        <f ca="1">IF(AG1044&lt;=0,Q_max,ABS(AG$23-AG1050))</f>
        <v>78.540805682533531</v>
      </c>
      <c r="AI1051" s="9">
        <f ca="1">AG1040</f>
        <v>279921.43823974277</v>
      </c>
      <c r="AJ1051" s="98"/>
      <c r="AK1051" s="106">
        <f ca="1">IF(AJ1044&lt;=0,Q_max,ABS(AJ$23-AJ1050))</f>
        <v>299.27621008651698</v>
      </c>
      <c r="AL1051" s="9">
        <f ca="1">AJ1040</f>
        <v>373556.2444652121</v>
      </c>
      <c r="AM1051" s="98"/>
      <c r="AN1051" s="106">
        <f ca="1">IF(AM1044&lt;=0,Q_max,ABS(AM$23-AM1050))</f>
        <v>236393</v>
      </c>
      <c r="AO1051" s="9">
        <f ca="1">AM1040</f>
        <v>455809.60885681963</v>
      </c>
      <c r="AP1051" s="98"/>
      <c r="AQ1051" s="106">
        <f ca="1">IF(AP1044&lt;=0,Q_max,ABS(AP$23-AP1050))</f>
        <v>236393</v>
      </c>
      <c r="AR1051" s="9">
        <f ca="1">AP1040</f>
        <v>529180.80544210959</v>
      </c>
      <c r="AS1051" s="98"/>
      <c r="AT1051" s="106">
        <f ca="1">IF(AS1044&lt;=0,Q_max,ABS(AS$23-AS1050))</f>
        <v>236393</v>
      </c>
      <c r="AU1051" s="9">
        <f ca="1">AS1040</f>
        <v>620506.11176494032</v>
      </c>
    </row>
    <row r="1052" spans="15:47" x14ac:dyDescent="0.25">
      <c r="O1052" s="21"/>
      <c r="P1052" s="14"/>
      <c r="Q1052" s="21"/>
      <c r="R1052" s="97"/>
      <c r="S1052" s="106"/>
      <c r="T1052" s="28"/>
      <c r="U1052" s="97"/>
      <c r="V1052" s="111"/>
      <c r="W1052" s="28"/>
      <c r="X1052" s="97"/>
      <c r="Y1052" s="111"/>
      <c r="Z1052" s="28"/>
      <c r="AA1052" s="97"/>
      <c r="AB1052" s="111"/>
      <c r="AC1052" s="28"/>
      <c r="AD1052" s="97"/>
      <c r="AE1052" s="111"/>
      <c r="AF1052" s="28"/>
      <c r="AG1052" s="97"/>
      <c r="AH1052" s="111"/>
      <c r="AI1052" s="28"/>
      <c r="AJ1052" s="97"/>
      <c r="AK1052" s="111"/>
      <c r="AL1052" s="28"/>
      <c r="AM1052" s="97"/>
      <c r="AN1052" s="111"/>
      <c r="AO1052" s="28"/>
      <c r="AP1052" s="97"/>
      <c r="AQ1052" s="111"/>
      <c r="AR1052" s="28"/>
      <c r="AS1052" s="97"/>
      <c r="AT1052" s="111"/>
      <c r="AU1052" s="28"/>
    </row>
    <row r="1053" spans="15:47" x14ac:dyDescent="0.25">
      <c r="O1053" s="1"/>
      <c r="P1053" s="1"/>
      <c r="Q1053" s="1"/>
      <c r="R1053" s="98"/>
      <c r="S1053" s="108" t="s">
        <v>137</v>
      </c>
      <c r="T1053" s="26" t="s">
        <v>146</v>
      </c>
      <c r="U1053" s="98"/>
      <c r="V1053" s="108" t="s">
        <v>137</v>
      </c>
      <c r="W1053" s="26" t="s">
        <v>146</v>
      </c>
      <c r="X1053" s="98"/>
      <c r="Y1053" s="108" t="s">
        <v>137</v>
      </c>
      <c r="Z1053" s="26" t="s">
        <v>146</v>
      </c>
      <c r="AA1053" s="98"/>
      <c r="AB1053" s="108" t="s">
        <v>137</v>
      </c>
      <c r="AC1053" s="26" t="s">
        <v>146</v>
      </c>
      <c r="AD1053" s="98"/>
      <c r="AE1053" s="108" t="s">
        <v>137</v>
      </c>
      <c r="AF1053" s="26" t="s">
        <v>146</v>
      </c>
      <c r="AG1053" s="98"/>
      <c r="AH1053" s="108" t="s">
        <v>137</v>
      </c>
      <c r="AI1053" s="26" t="s">
        <v>146</v>
      </c>
      <c r="AJ1053" s="98"/>
      <c r="AK1053" s="108" t="s">
        <v>137</v>
      </c>
      <c r="AL1053" s="26" t="s">
        <v>146</v>
      </c>
      <c r="AM1053" s="98"/>
      <c r="AN1053" s="108" t="s">
        <v>137</v>
      </c>
      <c r="AO1053" s="26" t="s">
        <v>146</v>
      </c>
      <c r="AP1053" s="98"/>
      <c r="AQ1053" s="108" t="s">
        <v>137</v>
      </c>
      <c r="AR1053" s="26" t="s">
        <v>146</v>
      </c>
      <c r="AS1053" s="98"/>
      <c r="AT1053" s="108" t="s">
        <v>137</v>
      </c>
      <c r="AU1053" s="26" t="s">
        <v>146</v>
      </c>
    </row>
    <row r="1054" spans="15:47" ht="13.8" x14ac:dyDescent="0.25">
      <c r="O1054" s="20" t="s">
        <v>136</v>
      </c>
      <c r="P1054" s="1"/>
      <c r="Q1054" s="1"/>
      <c r="R1054" s="96">
        <f>R1040*1.02</f>
        <v>1352.3814408567182</v>
      </c>
      <c r="S1054" s="109" t="s">
        <v>144</v>
      </c>
      <c r="T1054" s="23" t="s">
        <v>147</v>
      </c>
      <c r="U1054" s="96">
        <f ca="1">U1040*1.01</f>
        <v>24209.075807074631</v>
      </c>
      <c r="V1054" s="109" t="s">
        <v>144</v>
      </c>
      <c r="W1054" s="23" t="s">
        <v>147</v>
      </c>
      <c r="X1054" s="96">
        <f ca="1">X1040*1.01</f>
        <v>59279.134044245009</v>
      </c>
      <c r="Y1054" s="109" t="s">
        <v>144</v>
      </c>
      <c r="Z1054" s="23" t="s">
        <v>147</v>
      </c>
      <c r="AA1054" s="96">
        <f ca="1">AA1040*1.01</f>
        <v>115460.62239111737</v>
      </c>
      <c r="AB1054" s="109" t="s">
        <v>144</v>
      </c>
      <c r="AC1054" s="23" t="s">
        <v>147</v>
      </c>
      <c r="AD1054" s="96">
        <f ca="1">AD1040*1.01</f>
        <v>193707.00705079411</v>
      </c>
      <c r="AE1054" s="109" t="s">
        <v>144</v>
      </c>
      <c r="AF1054" s="23" t="s">
        <v>147</v>
      </c>
      <c r="AG1054" s="96">
        <f ca="1">AG1040*1.01</f>
        <v>282720.65262214019</v>
      </c>
      <c r="AH1054" s="109" t="s">
        <v>144</v>
      </c>
      <c r="AI1054" s="23" t="s">
        <v>147</v>
      </c>
      <c r="AJ1054" s="96">
        <f ca="1">AJ1040*1.01</f>
        <v>377291.80690986424</v>
      </c>
      <c r="AK1054" s="109" t="s">
        <v>144</v>
      </c>
      <c r="AL1054" s="23" t="s">
        <v>147</v>
      </c>
      <c r="AM1054" s="96">
        <f ca="1">AM1040*1.01</f>
        <v>460367.70494538784</v>
      </c>
      <c r="AN1054" s="109" t="s">
        <v>144</v>
      </c>
      <c r="AO1054" s="23" t="s">
        <v>147</v>
      </c>
      <c r="AP1054" s="96">
        <f ca="1">AP1040*1.01</f>
        <v>534472.61349653068</v>
      </c>
      <c r="AQ1054" s="109" t="s">
        <v>144</v>
      </c>
      <c r="AR1054" s="23" t="s">
        <v>147</v>
      </c>
      <c r="AS1054" s="96">
        <f ca="1">AS1040*1.01</f>
        <v>626711.17288258974</v>
      </c>
      <c r="AT1054" s="109" t="s">
        <v>144</v>
      </c>
      <c r="AU1054" s="23" t="s">
        <v>147</v>
      </c>
    </row>
    <row r="1055" spans="15:47" x14ac:dyDescent="0.25">
      <c r="O1055" s="1"/>
      <c r="P1055" s="1"/>
      <c r="Q1055" s="1"/>
      <c r="R1055" s="98"/>
      <c r="S1055" s="107"/>
      <c r="T1055" s="1"/>
      <c r="U1055" s="47"/>
      <c r="V1055" s="107"/>
      <c r="W1055" s="1"/>
      <c r="X1055" s="47"/>
      <c r="Y1055" s="107"/>
      <c r="Z1055" s="1"/>
      <c r="AA1055" s="47"/>
      <c r="AB1055" s="107"/>
      <c r="AC1055" s="1"/>
      <c r="AD1055" s="47"/>
      <c r="AE1055" s="107"/>
      <c r="AF1055" s="1"/>
      <c r="AG1055" s="47"/>
      <c r="AH1055" s="107"/>
      <c r="AI1055" s="1"/>
      <c r="AJ1055" s="47"/>
      <c r="AK1055" s="107"/>
      <c r="AL1055" s="1"/>
      <c r="AM1055" s="47"/>
      <c r="AN1055" s="107"/>
      <c r="AO1055" s="1"/>
      <c r="AP1055" s="47"/>
      <c r="AQ1055" s="107"/>
      <c r="AR1055" s="1"/>
      <c r="AS1055" s="47"/>
      <c r="AT1055" s="107"/>
      <c r="AU1055" s="1"/>
    </row>
    <row r="1056" spans="15:47" x14ac:dyDescent="0.25">
      <c r="O1056" s="8" t="s">
        <v>132</v>
      </c>
      <c r="P1056" s="8"/>
      <c r="Q1056" s="8"/>
      <c r="R1056" s="96">
        <f>P_1_minQ-(R1054^2*R_up)+dpup_minQ</f>
        <v>90.184707186793574</v>
      </c>
      <c r="S1056" s="106"/>
      <c r="T1056" s="22"/>
      <c r="U1056" s="96">
        <f ca="1">P_1_minQ-(U1054^2*R_up)+dpup_minQ</f>
        <v>90.078221173627284</v>
      </c>
      <c r="V1056" s="107"/>
      <c r="W1056" s="1"/>
      <c r="X1056" s="96">
        <f ca="1">P_1_minQ-(X1054^2*R_up)+dpup_minQ</f>
        <v>89.544572820777518</v>
      </c>
      <c r="Y1056" s="107"/>
      <c r="Z1056" s="1"/>
      <c r="AA1056" s="96">
        <f ca="1">P_1_minQ-(AA1054^2*R_up)+dpup_minQ</f>
        <v>87.755292013732472</v>
      </c>
      <c r="AB1056" s="107"/>
      <c r="AC1056" s="1"/>
      <c r="AD1056" s="96">
        <f ca="1">P_1_minQ-(AD1054^2*R_up)+dpup_minQ</f>
        <v>83.34617288094374</v>
      </c>
      <c r="AE1056" s="107"/>
      <c r="AF1056" s="1"/>
      <c r="AG1056" s="96">
        <f ca="1">P_1_minQ-(AG1054^2*R_up)+dpup_minQ</f>
        <v>75.616749575267761</v>
      </c>
      <c r="AH1056" s="107"/>
      <c r="AI1056" s="1"/>
      <c r="AJ1056" s="96">
        <f ca="1">P_1_minQ-(AJ1054^2*R_up)+dpup_minQ</f>
        <v>64.240362477469148</v>
      </c>
      <c r="AK1056" s="107"/>
      <c r="AL1056" s="1"/>
      <c r="AM1056" s="96">
        <f ca="1">P_1_minQ-(AM1054^2*R_up)+dpup_minQ</f>
        <v>51.556950297839613</v>
      </c>
      <c r="AN1056" s="107"/>
      <c r="AO1056" s="1"/>
      <c r="AP1056" s="96">
        <f ca="1">P_1_minQ-(AP1054^2*R_up)+dpup_minQ</f>
        <v>38.120211009112111</v>
      </c>
      <c r="AQ1056" s="107"/>
      <c r="AR1056" s="1"/>
      <c r="AS1056" s="96">
        <f ca="1">P_1_minQ-(AS1054^2*R_up)+dpup_minQ</f>
        <v>18.598988500848677</v>
      </c>
      <c r="AT1056" s="107"/>
      <c r="AU1056" s="1"/>
    </row>
    <row r="1057" spans="15:47" x14ac:dyDescent="0.25">
      <c r="O1057" s="8" t="s">
        <v>134</v>
      </c>
      <c r="P1057" s="1"/>
      <c r="Q1057" s="8"/>
      <c r="R1057" s="97">
        <f>P_2_minQ+(R1054^2*R_dn)-dpdn_minQ</f>
        <v>60</v>
      </c>
      <c r="S1057" s="106"/>
      <c r="T1057" s="22"/>
      <c r="U1057" s="97">
        <f ca="1">P_2_minQ+(U1054^2*R_dn)-dpdn_minQ</f>
        <v>60</v>
      </c>
      <c r="V1057" s="107"/>
      <c r="W1057" s="1"/>
      <c r="X1057" s="97">
        <f ca="1">P_2_minQ+(X1054^2*R_dn)-dpdn_minQ</f>
        <v>60</v>
      </c>
      <c r="Y1057" s="107"/>
      <c r="Z1057" s="1"/>
      <c r="AA1057" s="97">
        <f ca="1">P_2_minQ+(AA1054^2*R_dn)-dpdn_minQ</f>
        <v>60</v>
      </c>
      <c r="AB1057" s="107"/>
      <c r="AC1057" s="1"/>
      <c r="AD1057" s="97">
        <f ca="1">P_2_minQ+(AD1054^2*R_dn)-dpdn_minQ</f>
        <v>60</v>
      </c>
      <c r="AE1057" s="107"/>
      <c r="AF1057" s="1"/>
      <c r="AG1057" s="97">
        <f ca="1">P_2_minQ+(AG1054^2*R_dn)-dpdn_minQ</f>
        <v>60</v>
      </c>
      <c r="AH1057" s="107"/>
      <c r="AI1057" s="1"/>
      <c r="AJ1057" s="97">
        <f ca="1">P_2_minQ+(AJ1054^2*R_dn)-dpdn_minQ</f>
        <v>60</v>
      </c>
      <c r="AK1057" s="107"/>
      <c r="AL1057" s="1"/>
      <c r="AM1057" s="97">
        <f ca="1">P_2_minQ+(AM1054^2*R_dn)-dpdn_minQ</f>
        <v>60</v>
      </c>
      <c r="AN1057" s="107"/>
      <c r="AO1057" s="1"/>
      <c r="AP1057" s="97">
        <f ca="1">P_2_minQ+(AP1054^2*R_dn)-dpdn_minQ</f>
        <v>60</v>
      </c>
      <c r="AQ1057" s="107"/>
      <c r="AR1057" s="1"/>
      <c r="AS1057" s="97">
        <f ca="1">P_2_minQ+(AS1054^2*R_dn)-dpdn_minQ</f>
        <v>60</v>
      </c>
      <c r="AT1057" s="107"/>
      <c r="AU1057" s="1"/>
    </row>
    <row r="1058" spans="15:47" x14ac:dyDescent="0.25">
      <c r="O1058" s="8" t="s">
        <v>138</v>
      </c>
      <c r="P1058" s="1"/>
      <c r="Q1058" s="8"/>
      <c r="R1058" s="97">
        <f>R1056-R1057</f>
        <v>30.184707186793574</v>
      </c>
      <c r="S1058" s="106"/>
      <c r="T1058" s="22"/>
      <c r="U1058" s="97">
        <f ca="1">U1056-U1057</f>
        <v>30.078221173627284</v>
      </c>
      <c r="V1058" s="110"/>
      <c r="W1058" s="25"/>
      <c r="X1058" s="97">
        <f ca="1">X1056-X1057</f>
        <v>29.544572820777518</v>
      </c>
      <c r="Y1058" s="110"/>
      <c r="Z1058" s="25"/>
      <c r="AA1058" s="97">
        <f ca="1">AA1056-AA1057</f>
        <v>27.755292013732472</v>
      </c>
      <c r="AB1058" s="110"/>
      <c r="AC1058" s="25"/>
      <c r="AD1058" s="97">
        <f ca="1">AD1056-AD1057</f>
        <v>23.34617288094374</v>
      </c>
      <c r="AE1058" s="110"/>
      <c r="AF1058" s="25"/>
      <c r="AG1058" s="97">
        <f ca="1">AG1056-AG1057</f>
        <v>15.616749575267761</v>
      </c>
      <c r="AH1058" s="110"/>
      <c r="AI1058" s="25"/>
      <c r="AJ1058" s="97">
        <f ca="1">AJ1056-AJ1057</f>
        <v>4.240362477469148</v>
      </c>
      <c r="AK1058" s="110"/>
      <c r="AL1058" s="25"/>
      <c r="AM1058" s="97">
        <f ca="1">AM1056-AM1057</f>
        <v>-8.443049702160387</v>
      </c>
      <c r="AN1058" s="110"/>
      <c r="AO1058" s="25"/>
      <c r="AP1058" s="97">
        <f ca="1">AP1056-AP1057</f>
        <v>-21.879788990887889</v>
      </c>
      <c r="AQ1058" s="110"/>
      <c r="AR1058" s="25"/>
      <c r="AS1058" s="97">
        <f ca="1">AS1056-AS1057</f>
        <v>-41.401011499151323</v>
      </c>
      <c r="AT1058" s="110"/>
      <c r="AU1058" s="25"/>
    </row>
    <row r="1059" spans="15:47" ht="14.4" x14ac:dyDescent="0.3">
      <c r="O1059" s="2" t="s">
        <v>140</v>
      </c>
      <c r="P1059" s="11"/>
      <c r="Q1059" s="2"/>
      <c r="R1059" s="96">
        <f>R1058/R1056</f>
        <v>0.33469873250543469</v>
      </c>
      <c r="S1059" s="106"/>
      <c r="T1059" s="22"/>
      <c r="U1059" s="96">
        <f ca="1">U1058/U1056</f>
        <v>0.33391224628704652</v>
      </c>
      <c r="V1059" s="111"/>
      <c r="W1059" s="28"/>
      <c r="X1059" s="96">
        <f ca="1">X1058/X1056</f>
        <v>0.32994264074396396</v>
      </c>
      <c r="Y1059" s="111"/>
      <c r="Z1059" s="28"/>
      <c r="AA1059" s="96">
        <f ca="1">AA1058/AA1056</f>
        <v>0.31628054988853732</v>
      </c>
      <c r="AB1059" s="111"/>
      <c r="AC1059" s="28"/>
      <c r="AD1059" s="96">
        <f ca="1">AD1058/AD1056</f>
        <v>0.280110916601926</v>
      </c>
      <c r="AE1059" s="111"/>
      <c r="AF1059" s="28"/>
      <c r="AG1059" s="96">
        <f ca="1">AG1058/AG1056</f>
        <v>0.20652500488298675</v>
      </c>
      <c r="AH1059" s="111"/>
      <c r="AI1059" s="28"/>
      <c r="AJ1059" s="96">
        <f ca="1">AJ1058/AJ1056</f>
        <v>6.6007760758765313E-2</v>
      </c>
      <c r="AK1059" s="111"/>
      <c r="AL1059" s="28"/>
      <c r="AM1059" s="96">
        <f ca="1">AM1058/AM1056</f>
        <v>-0.16376161998306124</v>
      </c>
      <c r="AN1059" s="111"/>
      <c r="AO1059" s="28"/>
      <c r="AP1059" s="96">
        <f ca="1">AP1058/AP1056</f>
        <v>-0.57396820247552738</v>
      </c>
      <c r="AQ1059" s="111"/>
      <c r="AR1059" s="28"/>
      <c r="AS1059" s="96">
        <f ca="1">AS1058/AS1056</f>
        <v>-2.2259818859107412</v>
      </c>
      <c r="AT1059" s="111"/>
      <c r="AU1059" s="28"/>
    </row>
    <row r="1060" spans="15:47" x14ac:dyDescent="0.25">
      <c r="O1060" s="2" t="s">
        <v>21</v>
      </c>
      <c r="P1060" s="8">
        <v>12</v>
      </c>
      <c r="Q1060" s="2"/>
      <c r="R1060" s="96">
        <f ca="1">1-R1059/(3*F_GAMMA*R$29)</f>
        <v>0.82568583207643276</v>
      </c>
      <c r="S1060" s="106"/>
      <c r="T1060" s="22"/>
      <c r="U1060" s="96">
        <f ca="1">1-U1059/(3*F_GAMMA*U$29)</f>
        <v>0.82613584195249623</v>
      </c>
      <c r="V1060" s="111"/>
      <c r="W1060" s="28"/>
      <c r="X1060" s="96">
        <f ca="1">1-X1059/(3*F_GAMMA*X$29)</f>
        <v>0.82656653223063448</v>
      </c>
      <c r="Y1060" s="111"/>
      <c r="Z1060" s="28"/>
      <c r="AA1060" s="96">
        <f ca="1">1-AA1059/(3*F_GAMMA*AA$29)</f>
        <v>0.83140447167830533</v>
      </c>
      <c r="AB1060" s="111"/>
      <c r="AC1060" s="28"/>
      <c r="AD1060" s="96">
        <f ca="1">1-AD1059/(3*F_GAMMA*AD$29)</f>
        <v>0.84605405997551408</v>
      </c>
      <c r="AE1060" s="111"/>
      <c r="AF1060" s="28"/>
      <c r="AG1060" s="96">
        <f ca="1">1-AG1059/(3*F_GAMMA*AG$29)</f>
        <v>0.87968514754810934</v>
      </c>
      <c r="AH1060" s="111"/>
      <c r="AI1060" s="28"/>
      <c r="AJ1060" s="96">
        <f ca="1">1-AJ1059/(3*F_GAMMA*AJ$29)</f>
        <v>0.95862875308862905</v>
      </c>
      <c r="AK1060" s="111"/>
      <c r="AL1060" s="28"/>
      <c r="AM1060" s="96">
        <f ca="1">1-AM1059/(3*F_GAMMA*AM$29)</f>
        <v>1.1147597412307015</v>
      </c>
      <c r="AN1060" s="111"/>
      <c r="AO1060" s="28"/>
      <c r="AP1060" s="96">
        <f ca="1">1-AP1059/(3*F_GAMMA*AP$29)</f>
        <v>1.3239784289158352</v>
      </c>
      <c r="AQ1060" s="111"/>
      <c r="AR1060" s="28"/>
      <c r="AS1060" s="96">
        <f ca="1">1-AS1059/(3*F_GAMMA*AS$29)</f>
        <v>2.9697736860598143</v>
      </c>
      <c r="AT1060" s="111"/>
      <c r="AU1060" s="28"/>
    </row>
    <row r="1061" spans="15:47" x14ac:dyDescent="0.25">
      <c r="O1061" s="2" t="s">
        <v>57</v>
      </c>
      <c r="P1061" s="143">
        <v>7</v>
      </c>
      <c r="Q1061" s="2"/>
      <c r="R1061" s="96">
        <f ca="1">(R1054/(N_9*R$27*R1056*R1060))*SQRT(M*'Valve Sizing'!$W$6*'Valve Sizing'!$G$8/R1059)</f>
        <v>0.54614815443309461</v>
      </c>
      <c r="S1061" s="107"/>
      <c r="T1061" s="22"/>
      <c r="U1061" s="96">
        <f ca="1">(U1054/(N_9*U$27*U1056*U1060))*SQRT(M*'Valve Sizing'!$W$6*'Valve Sizing'!$G$8/U1059)</f>
        <v>9.8008032100902653</v>
      </c>
      <c r="V1061" s="111"/>
      <c r="W1061" s="28"/>
      <c r="X1061" s="96">
        <f ca="1">(X1054/(N_9*X$27*X1056*X1060))*SQRT(M*'Valve Sizing'!$W$6*'Valve Sizing'!$G$8/X1059)</f>
        <v>24.329604009637094</v>
      </c>
      <c r="Y1061" s="111"/>
      <c r="Z1061" s="28"/>
      <c r="AA1061" s="96">
        <f ca="1">(AA1054/(N_9*AA$27*AA1056*AA1060))*SQRT(M*'Valve Sizing'!$W$6*'Valve Sizing'!$G$8/AA1059)</f>
        <v>49.391372780420411</v>
      </c>
      <c r="AB1061" s="111"/>
      <c r="AC1061" s="28"/>
      <c r="AD1061" s="96">
        <f ca="1">(AD1054/(N_9*AD$27*AD1056*AD1060))*SQRT(M*'Valve Sizing'!$W$6*'Valve Sizing'!$G$8/AD1059)</f>
        <v>92.232199017130242</v>
      </c>
      <c r="AE1061" s="111"/>
      <c r="AF1061" s="28"/>
      <c r="AG1061" s="96">
        <f ca="1">(AG1054/(N_9*AG$27*AG1056*AG1060))*SQRT(M*'Valve Sizing'!$W$6*'Valve Sizing'!$G$8/AG1059)</f>
        <v>169.9328296840512</v>
      </c>
      <c r="AH1061" s="111"/>
      <c r="AI1061" s="28"/>
      <c r="AJ1061" s="96">
        <f ca="1">(AJ1054/(N_9*AJ$27*AJ1056*AJ1060))*SQRT(M*'Valve Sizing'!$W$6*'Valve Sizing'!$G$8/AJ1059)</f>
        <v>448.94777061171169</v>
      </c>
      <c r="AK1061" s="111"/>
      <c r="AL1061" s="28"/>
      <c r="AM1061" s="96" t="e">
        <f ca="1">(AM1054/(N_9*AM$27*AM1056*AM1060))*SQRT(M*'Valve Sizing'!$W$6*'Valve Sizing'!$G$8/AM1059)</f>
        <v>#NUM!</v>
      </c>
      <c r="AN1061" s="111"/>
      <c r="AO1061" s="28"/>
      <c r="AP1061" s="96" t="e">
        <f ca="1">(AP1054/(N_9*AP$27*AP1056*AP1060))*SQRT(M*'Valve Sizing'!$W$6*'Valve Sizing'!$G$8/AP1059)</f>
        <v>#NUM!</v>
      </c>
      <c r="AQ1061" s="111"/>
      <c r="AR1061" s="28"/>
      <c r="AS1061" s="96" t="e">
        <f ca="1">(AS1054/(N_9*AS$27*AS1056*AS1060))*SQRT(M*'Valve Sizing'!$W$6*'Valve Sizing'!$G$8/AS1059)</f>
        <v>#NUM!</v>
      </c>
      <c r="AT1061" s="111"/>
      <c r="AU1061" s="28"/>
    </row>
    <row r="1062" spans="15:47" x14ac:dyDescent="0.25">
      <c r="O1062" s="2" t="s">
        <v>59</v>
      </c>
      <c r="P1062" s="143">
        <v>7</v>
      </c>
      <c r="Q1062" s="2"/>
      <c r="R1062" s="96">
        <f ca="1">(R1054/(N_9*R$27*R1056*0.667))*SQRT(M*'Valve Sizing'!$W$6*'Valve Sizing'!$G$8/R1063)</f>
        <v>0.48890720788259223</v>
      </c>
      <c r="S1062" s="107"/>
      <c r="T1062" s="22"/>
      <c r="U1062" s="96">
        <f ca="1">(U1054/(N_9*U$27*U1056*0.667))*SQRT(M*'Valve Sizing'!$W$6*'Valve Sizing'!$G$8/U1063)</f>
        <v>8.7670393914235607</v>
      </c>
      <c r="V1062" s="111"/>
      <c r="W1062" s="28"/>
      <c r="X1062" s="96">
        <f ca="1">(X1054/(N_9*X$27*X1056*0.667))*SQRT(M*'Valve Sizing'!$W$6*'Valve Sizing'!$G$8/X1063)</f>
        <v>21.747738605290639</v>
      </c>
      <c r="Y1062" s="111"/>
      <c r="Z1062" s="28"/>
      <c r="AA1062" s="96">
        <f ca="1">(AA1054/(N_9*AA$27*AA1056*0.667))*SQRT(M*'Valve Sizing'!$W$6*'Valve Sizing'!$G$8/AA1063)</f>
        <v>43.784588489594441</v>
      </c>
      <c r="AB1062" s="111"/>
      <c r="AC1062" s="28"/>
      <c r="AD1062" s="96">
        <f ca="1">(AD1054/(N_9*AD$27*AD1056*0.667))*SQRT(M*'Valve Sizing'!$W$6*'Valve Sizing'!$G$8/AD1063)</f>
        <v>79.505942546591371</v>
      </c>
      <c r="AE1062" s="111"/>
      <c r="AF1062" s="28"/>
      <c r="AG1062" s="96">
        <f ca="1">(AG1054/(N_9*AG$27*AG1056*0.667))*SQRT(M*'Valve Sizing'!$W$6*'Valve Sizing'!$G$8/AG1063)</f>
        <v>134.64770750593797</v>
      </c>
      <c r="AH1062" s="111"/>
      <c r="AI1062" s="28"/>
      <c r="AJ1062" s="96">
        <f ca="1">(AJ1054/(N_9*AJ$27*AJ1056*0.667))*SQRT(M*'Valve Sizing'!$W$6*'Valve Sizing'!$G$8/AJ1063)</f>
        <v>227.31619039154688</v>
      </c>
      <c r="AK1062" s="111"/>
      <c r="AL1062" s="28"/>
      <c r="AM1062" s="96">
        <f ca="1">(AM1054/(N_9*AM$27*AM1056*0.667))*SQRT(M*'Valve Sizing'!$W$6*'Valve Sizing'!$G$8/AM1063)</f>
        <v>387.73429140279609</v>
      </c>
      <c r="AN1062" s="111"/>
      <c r="AO1062" s="28"/>
      <c r="AP1062" s="96">
        <f ca="1">(AP1054/(N_9*AP$27*AP1056*0.667))*SQRT(M*'Valve Sizing'!$W$6*'Valve Sizing'!$G$8/AP1063)</f>
        <v>621.91154955480977</v>
      </c>
      <c r="AQ1062" s="111"/>
      <c r="AR1062" s="28"/>
      <c r="AS1062" s="96">
        <f ca="1">(AS1054/(N_9*AS$27*AS1056*0.667))*SQRT(M*'Valve Sizing'!$W$6*'Valve Sizing'!$G$8/AS1063)</f>
        <v>2506.5525523855626</v>
      </c>
      <c r="AT1062" s="111"/>
      <c r="AU1062" s="28"/>
    </row>
    <row r="1063" spans="15:47" ht="15.6" x14ac:dyDescent="0.35">
      <c r="O1063" s="2" t="s">
        <v>68</v>
      </c>
      <c r="P1063" s="143">
        <v>10</v>
      </c>
      <c r="Q1063" s="2"/>
      <c r="R1063" s="96">
        <f ca="1">F_GAMMA*R$29</f>
        <v>0.64002969751372984</v>
      </c>
      <c r="S1063" s="107"/>
      <c r="T1063" s="1"/>
      <c r="U1063" s="96">
        <f ca="1">F_GAMMA*U$29</f>
        <v>0.64017842058782071</v>
      </c>
      <c r="V1063" s="111"/>
      <c r="W1063" s="28"/>
      <c r="X1063" s="96">
        <f ca="1">F_GAMMA*X$29</f>
        <v>0.63413873724904268</v>
      </c>
      <c r="Y1063" s="111"/>
      <c r="Z1063" s="28"/>
      <c r="AA1063" s="96">
        <f ca="1">F_GAMMA*AA$29</f>
        <v>0.62532411750377137</v>
      </c>
      <c r="AB1063" s="111"/>
      <c r="AC1063" s="28"/>
      <c r="AD1063" s="96">
        <f ca="1">F_GAMMA*AD$29</f>
        <v>0.60651359509139569</v>
      </c>
      <c r="AE1063" s="111"/>
      <c r="AF1063" s="28"/>
      <c r="AG1063" s="96">
        <f ca="1">F_GAMMA*AG$29</f>
        <v>0.57217930198481592</v>
      </c>
      <c r="AH1063" s="111"/>
      <c r="AI1063" s="28"/>
      <c r="AJ1063" s="96">
        <f ca="1">F_GAMMA*AJ$29</f>
        <v>0.53183282018848232</v>
      </c>
      <c r="AK1063" s="111"/>
      <c r="AL1063" s="28"/>
      <c r="AM1063" s="96">
        <f ca="1">F_GAMMA*AM$29</f>
        <v>0.47566512503094399</v>
      </c>
      <c r="AN1063" s="111"/>
      <c r="AO1063" s="28"/>
      <c r="AP1063" s="96">
        <f ca="1">F_GAMMA*AP$29</f>
        <v>0.59054158265645496</v>
      </c>
      <c r="AQ1063" s="111"/>
      <c r="AR1063" s="28"/>
      <c r="AS1063" s="96">
        <f ca="1">F_GAMMA*AS$29</f>
        <v>0.3766899554102966</v>
      </c>
      <c r="AT1063" s="111"/>
      <c r="AU1063" s="28"/>
    </row>
    <row r="1064" spans="15:47" x14ac:dyDescent="0.25">
      <c r="O1064" s="2" t="s">
        <v>145</v>
      </c>
      <c r="P1064" s="12"/>
      <c r="Q1064" s="2"/>
      <c r="R1064" s="96">
        <f ca="1">IF(R1059&lt;R1063,R1061,R1062)</f>
        <v>0.54614815443309461</v>
      </c>
      <c r="S1064" s="116"/>
      <c r="T1064" s="1"/>
      <c r="U1064" s="96">
        <f ca="1">IF(U1059&lt;U1063,U1061,U1062)</f>
        <v>9.8008032100902653</v>
      </c>
      <c r="V1064" s="111"/>
      <c r="W1064" s="28"/>
      <c r="X1064" s="96">
        <f ca="1">IF(X1059&lt;X1063,X1061,X1062)</f>
        <v>24.329604009637094</v>
      </c>
      <c r="Y1064" s="111"/>
      <c r="Z1064" s="28"/>
      <c r="AA1064" s="96">
        <f ca="1">IF(AA1059&lt;AA1063,AA1061,AA1062)</f>
        <v>49.391372780420411</v>
      </c>
      <c r="AB1064" s="111"/>
      <c r="AC1064" s="28"/>
      <c r="AD1064" s="96">
        <f ca="1">IF(AD1059&lt;AD1063,AD1061,AD1062)</f>
        <v>92.232199017130242</v>
      </c>
      <c r="AE1064" s="111"/>
      <c r="AF1064" s="28"/>
      <c r="AG1064" s="96">
        <f ca="1">IF(AG1059&lt;AG1063,AG1061,AG1062)</f>
        <v>169.9328296840512</v>
      </c>
      <c r="AH1064" s="111"/>
      <c r="AI1064" s="28"/>
      <c r="AJ1064" s="96">
        <f ca="1">IF(AJ1059&lt;AJ1063,AJ1061,AJ1062)</f>
        <v>448.94777061171169</v>
      </c>
      <c r="AK1064" s="111"/>
      <c r="AL1064" s="28"/>
      <c r="AM1064" s="96" t="e">
        <f ca="1">IF(AM1059&lt;AM1063,AM1061,AM1062)</f>
        <v>#NUM!</v>
      </c>
      <c r="AN1064" s="111"/>
      <c r="AO1064" s="28"/>
      <c r="AP1064" s="96" t="e">
        <f ca="1">IF(AP1059&lt;AP1063,AP1061,AP1062)</f>
        <v>#NUM!</v>
      </c>
      <c r="AQ1064" s="111"/>
      <c r="AR1064" s="28"/>
      <c r="AS1064" s="96" t="e">
        <f ca="1">IF(AS1059&lt;AS1063,AS1061,AS1062)</f>
        <v>#NUM!</v>
      </c>
      <c r="AT1064" s="111"/>
      <c r="AU1064" s="28"/>
    </row>
    <row r="1065" spans="15:47" x14ac:dyDescent="0.25">
      <c r="O1065" s="13" t="s">
        <v>143</v>
      </c>
      <c r="P1065" s="1"/>
      <c r="Q1065" s="1"/>
      <c r="R1065" s="113"/>
      <c r="S1065" s="106">
        <f ca="1">IF(R1058&lt;=0,Q_max,ABS(R$23-R1064))</f>
        <v>4.183851845566906</v>
      </c>
      <c r="T1065" s="7">
        <f>R1054</f>
        <v>1352.3814408567182</v>
      </c>
      <c r="U1065" s="98"/>
      <c r="V1065" s="106">
        <f ca="1">IF(U1058&lt;=0,Q_max,ABS(U$23-U1064))</f>
        <v>1.7991967899097343</v>
      </c>
      <c r="W1065" s="9">
        <f ca="1">U1054</f>
        <v>24209.075807074631</v>
      </c>
      <c r="X1065" s="98"/>
      <c r="Y1065" s="106">
        <f ca="1">IF(X1058&lt;=0,Q_max,ABS(X$23-X1064))</f>
        <v>1.3296040096370945</v>
      </c>
      <c r="Z1065" s="9">
        <f ca="1">X1054</f>
        <v>59279.134044245009</v>
      </c>
      <c r="AA1065" s="98"/>
      <c r="AB1065" s="106">
        <f ca="1">IF(AA1058&lt;=0,Q_max,ABS(AA$23-AA1064))</f>
        <v>9.9913727804204129</v>
      </c>
      <c r="AC1065" s="9">
        <f ca="1">AA1054</f>
        <v>115460.62239111737</v>
      </c>
      <c r="AD1065" s="98"/>
      <c r="AE1065" s="106">
        <f ca="1">IF(AD1058&lt;=0,Q_max,ABS(AD$23-AD1064))</f>
        <v>31.232199017130242</v>
      </c>
      <c r="AF1065" s="9">
        <f ca="1">AD1054</f>
        <v>193707.00705079411</v>
      </c>
      <c r="AG1065" s="98"/>
      <c r="AH1065" s="106">
        <f ca="1">IF(AG1058&lt;=0,Q_max,ABS(AG$23-AG1064))</f>
        <v>81.732829684051197</v>
      </c>
      <c r="AI1065" s="9">
        <f ca="1">AG1054</f>
        <v>282720.65262214019</v>
      </c>
      <c r="AJ1065" s="98"/>
      <c r="AK1065" s="106">
        <f ca="1">IF(AJ1058&lt;=0,Q_max,ABS(AJ$23-AJ1064))</f>
        <v>327.94777061171169</v>
      </c>
      <c r="AL1065" s="9">
        <f ca="1">AJ1054</f>
        <v>377291.80690986424</v>
      </c>
      <c r="AM1065" s="98"/>
      <c r="AN1065" s="106">
        <f ca="1">IF(AM1058&lt;=0,Q_max,ABS(AM$23-AM1064))</f>
        <v>236393</v>
      </c>
      <c r="AO1065" s="9">
        <f ca="1">AM1054</f>
        <v>460367.70494538784</v>
      </c>
      <c r="AP1065" s="98"/>
      <c r="AQ1065" s="106">
        <f ca="1">IF(AP1058&lt;=0,Q_max,ABS(AP$23-AP1064))</f>
        <v>236393</v>
      </c>
      <c r="AR1065" s="9">
        <f ca="1">AP1054</f>
        <v>534472.61349653068</v>
      </c>
      <c r="AS1065" s="98"/>
      <c r="AT1065" s="106">
        <f ca="1">IF(AS1058&lt;=0,Q_max,ABS(AS$23-AS1064))</f>
        <v>236393</v>
      </c>
      <c r="AU1065" s="9">
        <f ca="1">AS1054</f>
        <v>626711.17288258974</v>
      </c>
    </row>
    <row r="1066" spans="15:47" x14ac:dyDescent="0.25">
      <c r="O1066" s="21"/>
      <c r="P1066" s="14"/>
      <c r="Q1066" s="21"/>
      <c r="R1066" s="97"/>
      <c r="S1066" s="106"/>
      <c r="T1066" s="28"/>
      <c r="U1066" s="97"/>
      <c r="V1066" s="111"/>
      <c r="W1066" s="28"/>
      <c r="X1066" s="97"/>
      <c r="Y1066" s="111"/>
      <c r="Z1066" s="28"/>
      <c r="AA1066" s="97"/>
      <c r="AB1066" s="111"/>
      <c r="AC1066" s="28"/>
      <c r="AD1066" s="97"/>
      <c r="AE1066" s="111"/>
      <c r="AF1066" s="28"/>
      <c r="AG1066" s="97"/>
      <c r="AH1066" s="111"/>
      <c r="AI1066" s="28"/>
      <c r="AJ1066" s="97"/>
      <c r="AK1066" s="111"/>
      <c r="AL1066" s="28"/>
      <c r="AM1066" s="97"/>
      <c r="AN1066" s="111"/>
      <c r="AO1066" s="28"/>
      <c r="AP1066" s="97"/>
      <c r="AQ1066" s="111"/>
      <c r="AR1066" s="28"/>
      <c r="AS1066" s="97"/>
      <c r="AT1066" s="111"/>
      <c r="AU1066" s="28"/>
    </row>
    <row r="1067" spans="15:47" x14ac:dyDescent="0.25">
      <c r="O1067" s="1"/>
      <c r="P1067" s="1"/>
      <c r="Q1067" s="1"/>
      <c r="R1067" s="98"/>
      <c r="S1067" s="108" t="s">
        <v>137</v>
      </c>
      <c r="T1067" s="26" t="s">
        <v>146</v>
      </c>
      <c r="U1067" s="98"/>
      <c r="V1067" s="108" t="s">
        <v>137</v>
      </c>
      <c r="W1067" s="26" t="s">
        <v>146</v>
      </c>
      <c r="X1067" s="98"/>
      <c r="Y1067" s="108" t="s">
        <v>137</v>
      </c>
      <c r="Z1067" s="26" t="s">
        <v>146</v>
      </c>
      <c r="AA1067" s="98"/>
      <c r="AB1067" s="108" t="s">
        <v>137</v>
      </c>
      <c r="AC1067" s="26" t="s">
        <v>146</v>
      </c>
      <c r="AD1067" s="98"/>
      <c r="AE1067" s="108" t="s">
        <v>137</v>
      </c>
      <c r="AF1067" s="26" t="s">
        <v>146</v>
      </c>
      <c r="AG1067" s="98"/>
      <c r="AH1067" s="108" t="s">
        <v>137</v>
      </c>
      <c r="AI1067" s="26" t="s">
        <v>146</v>
      </c>
      <c r="AJ1067" s="98"/>
      <c r="AK1067" s="108" t="s">
        <v>137</v>
      </c>
      <c r="AL1067" s="26" t="s">
        <v>146</v>
      </c>
      <c r="AM1067" s="98"/>
      <c r="AN1067" s="108" t="s">
        <v>137</v>
      </c>
      <c r="AO1067" s="26" t="s">
        <v>146</v>
      </c>
      <c r="AP1067" s="98"/>
      <c r="AQ1067" s="108" t="s">
        <v>137</v>
      </c>
      <c r="AR1067" s="26" t="s">
        <v>146</v>
      </c>
      <c r="AS1067" s="98"/>
      <c r="AT1067" s="108" t="s">
        <v>137</v>
      </c>
      <c r="AU1067" s="26" t="s">
        <v>146</v>
      </c>
    </row>
    <row r="1068" spans="15:47" ht="13.8" x14ac:dyDescent="0.25">
      <c r="O1068" s="20" t="s">
        <v>136</v>
      </c>
      <c r="P1068" s="1"/>
      <c r="Q1068" s="1"/>
      <c r="R1068" s="96">
        <f>R1054*1.02</f>
        <v>1379.4290696738526</v>
      </c>
      <c r="S1068" s="109" t="s">
        <v>144</v>
      </c>
      <c r="T1068" s="23" t="s">
        <v>147</v>
      </c>
      <c r="U1068" s="96">
        <f ca="1">U1054*1.01</f>
        <v>24451.166565145377</v>
      </c>
      <c r="V1068" s="109" t="s">
        <v>144</v>
      </c>
      <c r="W1068" s="23" t="s">
        <v>147</v>
      </c>
      <c r="X1068" s="96">
        <f ca="1">X1054*1.01</f>
        <v>59871.925384687456</v>
      </c>
      <c r="Y1068" s="109" t="s">
        <v>144</v>
      </c>
      <c r="Z1068" s="23" t="s">
        <v>147</v>
      </c>
      <c r="AA1068" s="96">
        <f ca="1">AA1054*1.01</f>
        <v>116615.22861502855</v>
      </c>
      <c r="AB1068" s="109" t="s">
        <v>144</v>
      </c>
      <c r="AC1068" s="23" t="s">
        <v>147</v>
      </c>
      <c r="AD1068" s="96">
        <f ca="1">AD1054*1.01</f>
        <v>195644.07712130205</v>
      </c>
      <c r="AE1068" s="109" t="s">
        <v>144</v>
      </c>
      <c r="AF1068" s="23" t="s">
        <v>147</v>
      </c>
      <c r="AG1068" s="96">
        <f ca="1">AG1054*1.01</f>
        <v>285547.8591483616</v>
      </c>
      <c r="AH1068" s="109" t="s">
        <v>144</v>
      </c>
      <c r="AI1068" s="23" t="s">
        <v>147</v>
      </c>
      <c r="AJ1068" s="96">
        <f ca="1">AJ1054*1.01</f>
        <v>381064.72497896291</v>
      </c>
      <c r="AK1068" s="109" t="s">
        <v>144</v>
      </c>
      <c r="AL1068" s="23" t="s">
        <v>147</v>
      </c>
      <c r="AM1068" s="96">
        <f ca="1">AM1054*1.01</f>
        <v>464971.38199484174</v>
      </c>
      <c r="AN1068" s="109" t="s">
        <v>144</v>
      </c>
      <c r="AO1068" s="23" t="s">
        <v>147</v>
      </c>
      <c r="AP1068" s="96">
        <f ca="1">AP1054*1.01</f>
        <v>539817.339631496</v>
      </c>
      <c r="AQ1068" s="109" t="s">
        <v>144</v>
      </c>
      <c r="AR1068" s="23" t="s">
        <v>147</v>
      </c>
      <c r="AS1068" s="96">
        <f ca="1">AS1054*1.01</f>
        <v>632978.2846114157</v>
      </c>
      <c r="AT1068" s="109" t="s">
        <v>144</v>
      </c>
      <c r="AU1068" s="23" t="s">
        <v>147</v>
      </c>
    </row>
    <row r="1069" spans="15:47" x14ac:dyDescent="0.25">
      <c r="O1069" s="1"/>
      <c r="P1069" s="1"/>
      <c r="Q1069" s="1"/>
      <c r="R1069" s="98"/>
      <c r="S1069" s="107"/>
      <c r="T1069" s="1"/>
      <c r="U1069" s="47"/>
      <c r="V1069" s="107"/>
      <c r="W1069" s="1"/>
      <c r="X1069" s="47"/>
      <c r="Y1069" s="107"/>
      <c r="Z1069" s="1"/>
      <c r="AA1069" s="47"/>
      <c r="AB1069" s="107"/>
      <c r="AC1069" s="1"/>
      <c r="AD1069" s="47"/>
      <c r="AE1069" s="107"/>
      <c r="AF1069" s="1"/>
      <c r="AG1069" s="47"/>
      <c r="AH1069" s="107"/>
      <c r="AI1069" s="1"/>
      <c r="AJ1069" s="47"/>
      <c r="AK1069" s="107"/>
      <c r="AL1069" s="1"/>
      <c r="AM1069" s="47"/>
      <c r="AN1069" s="107"/>
      <c r="AO1069" s="1"/>
      <c r="AP1069" s="47"/>
      <c r="AQ1069" s="107"/>
      <c r="AR1069" s="1"/>
      <c r="AS1069" s="47"/>
      <c r="AT1069" s="107"/>
      <c r="AU1069" s="1"/>
    </row>
    <row r="1070" spans="15:47" x14ac:dyDescent="0.25">
      <c r="O1070" s="8" t="s">
        <v>132</v>
      </c>
      <c r="P1070" s="8"/>
      <c r="Q1070" s="8"/>
      <c r="R1070" s="96">
        <f>P_1_minQ-(R1068^2*R_up)+dpup_minQ</f>
        <v>90.1846937197177</v>
      </c>
      <c r="S1070" s="106"/>
      <c r="T1070" s="22"/>
      <c r="U1070" s="96">
        <f ca="1">P_1_minQ-(U1068^2*R_up)+dpup_minQ</f>
        <v>90.076074104559055</v>
      </c>
      <c r="V1070" s="107"/>
      <c r="W1070" s="1"/>
      <c r="X1070" s="96">
        <f ca="1">P_1_minQ-(X1068^2*R_up)+dpup_minQ</f>
        <v>89.531699419817016</v>
      </c>
      <c r="Y1070" s="107"/>
      <c r="Z1070" s="1"/>
      <c r="AA1070" s="96">
        <f ca="1">P_1_minQ-(AA1068^2*R_up)+dpup_minQ</f>
        <v>87.706454068550357</v>
      </c>
      <c r="AB1070" s="107"/>
      <c r="AC1070" s="1"/>
      <c r="AD1070" s="96">
        <f ca="1">P_1_minQ-(AD1068^2*R_up)+dpup_minQ</f>
        <v>83.208711641192565</v>
      </c>
      <c r="AE1070" s="107"/>
      <c r="AF1070" s="1"/>
      <c r="AG1070" s="96">
        <f ca="1">P_1_minQ-(AG1068^2*R_up)+dpup_minQ</f>
        <v>75.323926927072506</v>
      </c>
      <c r="AH1070" s="107"/>
      <c r="AI1070" s="1"/>
      <c r="AJ1070" s="96">
        <f ca="1">P_1_minQ-(AJ1068^2*R_up)+dpup_minQ</f>
        <v>63.71887444860814</v>
      </c>
      <c r="AK1070" s="107"/>
      <c r="AL1070" s="1"/>
      <c r="AM1070" s="96">
        <f ca="1">P_1_minQ-(AM1068^2*R_up)+dpup_minQ</f>
        <v>50.780525684168055</v>
      </c>
      <c r="AN1070" s="107"/>
      <c r="AO1070" s="1"/>
      <c r="AP1070" s="96">
        <f ca="1">P_1_minQ-(AP1068^2*R_up)+dpup_minQ</f>
        <v>37.073707935737126</v>
      </c>
      <c r="AQ1070" s="107"/>
      <c r="AR1070" s="1"/>
      <c r="AS1070" s="96">
        <f ca="1">P_1_minQ-(AS1068^2*R_up)+dpup_minQ</f>
        <v>17.160108855057587</v>
      </c>
      <c r="AT1070" s="107"/>
      <c r="AU1070" s="1"/>
    </row>
    <row r="1071" spans="15:47" x14ac:dyDescent="0.25">
      <c r="O1071" s="8" t="s">
        <v>134</v>
      </c>
      <c r="P1071" s="1"/>
      <c r="Q1071" s="8"/>
      <c r="R1071" s="97">
        <f>P_2_minQ+(R1068^2*R_dn)-dpdn_minQ</f>
        <v>60</v>
      </c>
      <c r="S1071" s="106"/>
      <c r="T1071" s="22"/>
      <c r="U1071" s="97">
        <f ca="1">P_2_minQ+(U1068^2*R_dn)-dpdn_minQ</f>
        <v>60</v>
      </c>
      <c r="V1071" s="107"/>
      <c r="W1071" s="1"/>
      <c r="X1071" s="97">
        <f ca="1">P_2_minQ+(X1068^2*R_dn)-dpdn_minQ</f>
        <v>60</v>
      </c>
      <c r="Y1071" s="107"/>
      <c r="Z1071" s="1"/>
      <c r="AA1071" s="97">
        <f ca="1">P_2_minQ+(AA1068^2*R_dn)-dpdn_minQ</f>
        <v>60</v>
      </c>
      <c r="AB1071" s="107"/>
      <c r="AC1071" s="1"/>
      <c r="AD1071" s="97">
        <f ca="1">P_2_minQ+(AD1068^2*R_dn)-dpdn_minQ</f>
        <v>60</v>
      </c>
      <c r="AE1071" s="107"/>
      <c r="AF1071" s="1"/>
      <c r="AG1071" s="97">
        <f ca="1">P_2_minQ+(AG1068^2*R_dn)-dpdn_minQ</f>
        <v>60</v>
      </c>
      <c r="AH1071" s="107"/>
      <c r="AI1071" s="1"/>
      <c r="AJ1071" s="97">
        <f ca="1">P_2_minQ+(AJ1068^2*R_dn)-dpdn_minQ</f>
        <v>60</v>
      </c>
      <c r="AK1071" s="107"/>
      <c r="AL1071" s="1"/>
      <c r="AM1071" s="97">
        <f ca="1">P_2_minQ+(AM1068^2*R_dn)-dpdn_minQ</f>
        <v>60</v>
      </c>
      <c r="AN1071" s="107"/>
      <c r="AO1071" s="1"/>
      <c r="AP1071" s="97">
        <f ca="1">P_2_minQ+(AP1068^2*R_dn)-dpdn_minQ</f>
        <v>60</v>
      </c>
      <c r="AQ1071" s="107"/>
      <c r="AR1071" s="1"/>
      <c r="AS1071" s="97">
        <f ca="1">P_2_minQ+(AS1068^2*R_dn)-dpdn_minQ</f>
        <v>60</v>
      </c>
      <c r="AT1071" s="107"/>
      <c r="AU1071" s="1"/>
    </row>
    <row r="1072" spans="15:47" x14ac:dyDescent="0.25">
      <c r="O1072" s="8" t="s">
        <v>138</v>
      </c>
      <c r="P1072" s="1"/>
      <c r="Q1072" s="8"/>
      <c r="R1072" s="97">
        <f>R1070-R1071</f>
        <v>30.1846937197177</v>
      </c>
      <c r="S1072" s="106"/>
      <c r="T1072" s="22"/>
      <c r="U1072" s="97">
        <f ca="1">U1070-U1071</f>
        <v>30.076074104559055</v>
      </c>
      <c r="V1072" s="110"/>
      <c r="W1072" s="25"/>
      <c r="X1072" s="97">
        <f ca="1">X1070-X1071</f>
        <v>29.531699419817016</v>
      </c>
      <c r="Y1072" s="110"/>
      <c r="Z1072" s="25"/>
      <c r="AA1072" s="97">
        <f ca="1">AA1070-AA1071</f>
        <v>27.706454068550357</v>
      </c>
      <c r="AB1072" s="110"/>
      <c r="AC1072" s="25"/>
      <c r="AD1072" s="97">
        <f ca="1">AD1070-AD1071</f>
        <v>23.208711641192565</v>
      </c>
      <c r="AE1072" s="110"/>
      <c r="AF1072" s="25"/>
      <c r="AG1072" s="97">
        <f ca="1">AG1070-AG1071</f>
        <v>15.323926927072506</v>
      </c>
      <c r="AH1072" s="110"/>
      <c r="AI1072" s="25"/>
      <c r="AJ1072" s="97">
        <f ca="1">AJ1070-AJ1071</f>
        <v>3.7188744486081404</v>
      </c>
      <c r="AK1072" s="110"/>
      <c r="AL1072" s="25"/>
      <c r="AM1072" s="97">
        <f ca="1">AM1070-AM1071</f>
        <v>-9.2194743158319454</v>
      </c>
      <c r="AN1072" s="110"/>
      <c r="AO1072" s="25"/>
      <c r="AP1072" s="97">
        <f ca="1">AP1070-AP1071</f>
        <v>-22.926292064262874</v>
      </c>
      <c r="AQ1072" s="110"/>
      <c r="AR1072" s="25"/>
      <c r="AS1072" s="97">
        <f ca="1">AS1070-AS1071</f>
        <v>-42.839891144942413</v>
      </c>
      <c r="AT1072" s="110"/>
      <c r="AU1072" s="25"/>
    </row>
    <row r="1073" spans="15:47" ht="14.4" x14ac:dyDescent="0.3">
      <c r="O1073" s="2" t="s">
        <v>140</v>
      </c>
      <c r="P1073" s="11"/>
      <c r="Q1073" s="2"/>
      <c r="R1073" s="96">
        <f>R1072/R1070</f>
        <v>0.33469863315750459</v>
      </c>
      <c r="S1073" s="106"/>
      <c r="T1073" s="22"/>
      <c r="U1073" s="96">
        <f ca="1">U1072/U1070</f>
        <v>0.33389636930276473</v>
      </c>
      <c r="V1073" s="111"/>
      <c r="W1073" s="28"/>
      <c r="X1073" s="96">
        <f ca="1">X1072/X1070</f>
        <v>0.3298462959062346</v>
      </c>
      <c r="Y1073" s="111"/>
      <c r="Z1073" s="28"/>
      <c r="AA1073" s="96">
        <f ca="1">AA1072/AA1070</f>
        <v>0.31589983157790547</v>
      </c>
      <c r="AB1073" s="111"/>
      <c r="AC1073" s="28"/>
      <c r="AD1073" s="96">
        <f ca="1">AD1072/AD1070</f>
        <v>0.27892165595919488</v>
      </c>
      <c r="AE1073" s="111"/>
      <c r="AF1073" s="28"/>
      <c r="AG1073" s="96">
        <f ca="1">AG1072/AG1070</f>
        <v>0.20344036154552725</v>
      </c>
      <c r="AH1073" s="111"/>
      <c r="AI1073" s="28"/>
      <c r="AJ1073" s="96">
        <f ca="1">AJ1072/AJ1070</f>
        <v>5.8363781231063075E-2</v>
      </c>
      <c r="AK1073" s="111"/>
      <c r="AL1073" s="28"/>
      <c r="AM1073" s="96">
        <f ca="1">AM1072/AM1070</f>
        <v>-0.18155531459388416</v>
      </c>
      <c r="AN1073" s="111"/>
      <c r="AO1073" s="28"/>
      <c r="AP1073" s="96">
        <f ca="1">AP1072/AP1070</f>
        <v>-0.61839760144852196</v>
      </c>
      <c r="AQ1073" s="111"/>
      <c r="AR1073" s="28"/>
      <c r="AS1073" s="96">
        <f ca="1">AS1072/AS1070</f>
        <v>-2.4964813164525026</v>
      </c>
      <c r="AT1073" s="111"/>
      <c r="AU1073" s="28"/>
    </row>
    <row r="1074" spans="15:47" x14ac:dyDescent="0.25">
      <c r="O1074" s="2" t="s">
        <v>21</v>
      </c>
      <c r="P1074" s="8">
        <v>12</v>
      </c>
      <c r="Q1074" s="2"/>
      <c r="R1074" s="96">
        <f ca="1">1-R1073/(3*F_GAMMA*R$29)</f>
        <v>0.82568588381774544</v>
      </c>
      <c r="S1074" s="106"/>
      <c r="T1074" s="22"/>
      <c r="U1074" s="96">
        <f ca="1">1-U1073/(3*F_GAMMA*U$29)</f>
        <v>0.82614410891046264</v>
      </c>
      <c r="V1074" s="111"/>
      <c r="W1074" s="28"/>
      <c r="X1074" s="96">
        <f ca="1">1-X1073/(3*F_GAMMA*X$29)</f>
        <v>0.82661717563723203</v>
      </c>
      <c r="Y1074" s="111"/>
      <c r="Z1074" s="28"/>
      <c r="AA1074" s="96">
        <f ca="1">1-AA1073/(3*F_GAMMA*AA$29)</f>
        <v>0.83160741619938117</v>
      </c>
      <c r="AB1074" s="111"/>
      <c r="AC1074" s="28"/>
      <c r="AD1074" s="96">
        <f ca="1">1-AD1073/(3*F_GAMMA*AD$29)</f>
        <v>0.8467076648039169</v>
      </c>
      <c r="AE1074" s="111"/>
      <c r="AF1074" s="28"/>
      <c r="AG1074" s="96">
        <f ca="1">1-AG1073/(3*F_GAMMA*AG$29)</f>
        <v>0.88148216194945705</v>
      </c>
      <c r="AH1074" s="111"/>
      <c r="AI1074" s="28"/>
      <c r="AJ1074" s="96">
        <f ca="1">1-AJ1073/(3*F_GAMMA*AJ$29)</f>
        <v>0.96341971949607597</v>
      </c>
      <c r="AK1074" s="111"/>
      <c r="AL1074" s="28"/>
      <c r="AM1074" s="96">
        <f ca="1">1-AM1073/(3*F_GAMMA*AM$29)</f>
        <v>1.1272290841041257</v>
      </c>
      <c r="AN1074" s="111"/>
      <c r="AO1074" s="28"/>
      <c r="AP1074" s="96">
        <f ca="1">1-AP1073/(3*F_GAMMA*AP$29)</f>
        <v>1.3490567639435658</v>
      </c>
      <c r="AQ1074" s="111"/>
      <c r="AR1074" s="28"/>
      <c r="AS1074" s="96">
        <f ca="1">1-AS1073/(3*F_GAMMA*AS$29)</f>
        <v>3.2091389134894732</v>
      </c>
      <c r="AT1074" s="111"/>
      <c r="AU1074" s="28"/>
    </row>
    <row r="1075" spans="15:47" x14ac:dyDescent="0.25">
      <c r="O1075" s="2" t="s">
        <v>57</v>
      </c>
      <c r="P1075" s="143">
        <v>7</v>
      </c>
      <c r="Q1075" s="2"/>
      <c r="R1075" s="96">
        <f ca="1">(R1068/(N_9*R$27*R1070*R1074))*SQRT(M*'Valve Sizing'!$W$6*'Valve Sizing'!$G$8/R1073)</f>
        <v>0.55707124847641198</v>
      </c>
      <c r="S1075" s="107"/>
      <c r="T1075" s="22"/>
      <c r="U1075" s="96">
        <f ca="1">(U1068/(N_9*U$27*U1070*U1074))*SQRT(M*'Valve Sizing'!$W$6*'Valve Sizing'!$G$8/U1073)</f>
        <v>9.8991834832477181</v>
      </c>
      <c r="V1075" s="111"/>
      <c r="W1075" s="28"/>
      <c r="X1075" s="96">
        <f ca="1">(X1068/(N_9*X$27*X1070*X1074))*SQRT(M*'Valve Sizing'!$W$6*'Valve Sizing'!$G$8/X1073)</f>
        <v>24.57851637598629</v>
      </c>
      <c r="Y1075" s="111"/>
      <c r="Z1075" s="28"/>
      <c r="AA1075" s="96">
        <f ca="1">(AA1068/(N_9*AA$27*AA1070*AA1074))*SQRT(M*'Valve Sizing'!$W$6*'Valve Sizing'!$G$8/AA1073)</f>
        <v>49.930944499115377</v>
      </c>
      <c r="AB1075" s="111"/>
      <c r="AC1075" s="28"/>
      <c r="AD1075" s="96">
        <f ca="1">(AD1068/(N_9*AD$27*AD1070*AD1074))*SQRT(M*'Valve Sizing'!$W$6*'Valve Sizing'!$G$8/AD1073)</f>
        <v>93.434942877157241</v>
      </c>
      <c r="AE1075" s="111"/>
      <c r="AF1075" s="28"/>
      <c r="AG1075" s="96">
        <f ca="1">(AG1068/(N_9*AG$27*AG1070*AG1074))*SQRT(M*'Valve Sizing'!$W$6*'Valve Sizing'!$G$8/AG1073)</f>
        <v>173.246794208712</v>
      </c>
      <c r="AH1075" s="111"/>
      <c r="AI1075" s="28"/>
      <c r="AJ1075" s="96">
        <f ca="1">(AJ1068/(N_9*AJ$27*AJ1070*AJ1074))*SQRT(M*'Valve Sizing'!$W$6*'Valve Sizing'!$G$8/AJ1073)</f>
        <v>483.74644840242973</v>
      </c>
      <c r="AK1075" s="111"/>
      <c r="AL1075" s="28"/>
      <c r="AM1075" s="96" t="e">
        <f ca="1">(AM1068/(N_9*AM$27*AM1070*AM1074))*SQRT(M*'Valve Sizing'!$W$6*'Valve Sizing'!$G$8/AM1073)</f>
        <v>#NUM!</v>
      </c>
      <c r="AN1075" s="111"/>
      <c r="AO1075" s="28"/>
      <c r="AP1075" s="96" t="e">
        <f ca="1">(AP1068/(N_9*AP$27*AP1070*AP1074))*SQRT(M*'Valve Sizing'!$W$6*'Valve Sizing'!$G$8/AP1073)</f>
        <v>#NUM!</v>
      </c>
      <c r="AQ1075" s="111"/>
      <c r="AR1075" s="28"/>
      <c r="AS1075" s="96" t="e">
        <f ca="1">(AS1068/(N_9*AS$27*AS1070*AS1074))*SQRT(M*'Valve Sizing'!$W$6*'Valve Sizing'!$G$8/AS1073)</f>
        <v>#NUM!</v>
      </c>
      <c r="AT1075" s="111"/>
      <c r="AU1075" s="28"/>
    </row>
    <row r="1076" spans="15:47" x14ac:dyDescent="0.25">
      <c r="O1076" s="2" t="s">
        <v>59</v>
      </c>
      <c r="P1076" s="143">
        <v>7</v>
      </c>
      <c r="Q1076" s="2"/>
      <c r="R1076" s="96">
        <f ca="1">(R1068/(N_9*R$27*R1070*0.667))*SQRT(M*'Valve Sizing'!$W$6*'Valve Sizing'!$G$8/R1077)</f>
        <v>0.49868542650779729</v>
      </c>
      <c r="S1076" s="107"/>
      <c r="T1076" s="22"/>
      <c r="U1076" s="96">
        <f ca="1">(U1068/(N_9*U$27*U1070*0.667))*SQRT(M*'Valve Sizing'!$W$6*'Valve Sizing'!$G$8/U1077)</f>
        <v>8.8549208477500656</v>
      </c>
      <c r="V1076" s="111"/>
      <c r="W1076" s="28"/>
      <c r="X1076" s="96">
        <f ca="1">(X1068/(N_9*X$27*X1070*0.667))*SQRT(M*'Valve Sizing'!$W$6*'Valve Sizing'!$G$8/X1077)</f>
        <v>21.96837428091554</v>
      </c>
      <c r="Y1076" s="111"/>
      <c r="Z1076" s="28"/>
      <c r="AA1076" s="96">
        <f ca="1">(AA1068/(N_9*AA$27*AA1070*0.667))*SQRT(M*'Valve Sizing'!$W$6*'Valve Sizing'!$G$8/AA1077)</f>
        <v>44.247058934321679</v>
      </c>
      <c r="AB1076" s="111"/>
      <c r="AC1076" s="28"/>
      <c r="AD1076" s="96">
        <f ca="1">(AD1068/(N_9*AD$27*AD1070*0.667))*SQRT(M*'Valve Sizing'!$W$6*'Valve Sizing'!$G$8/AD1077)</f>
        <v>80.4336596597756</v>
      </c>
      <c r="AE1076" s="111"/>
      <c r="AF1076" s="28"/>
      <c r="AG1076" s="96">
        <f ca="1">(AG1068/(N_9*AG$27*AG1070*0.667))*SQRT(M*'Valve Sizing'!$W$6*'Valve Sizing'!$G$8/AG1077)</f>
        <v>136.52286356645067</v>
      </c>
      <c r="AH1076" s="111"/>
      <c r="AI1076" s="28"/>
      <c r="AJ1076" s="96">
        <f ca="1">(AJ1068/(N_9*AJ$27*AJ1070*0.667))*SQRT(M*'Valve Sizing'!$W$6*'Valve Sizing'!$G$8/AJ1077)</f>
        <v>231.46835753232671</v>
      </c>
      <c r="AK1076" s="111"/>
      <c r="AL1076" s="28"/>
      <c r="AM1076" s="96">
        <f ca="1">(AM1068/(N_9*AM$27*AM1070*0.667))*SQRT(M*'Valve Sizing'!$W$6*'Valve Sizing'!$G$8/AM1077)</f>
        <v>397.59930198641109</v>
      </c>
      <c r="AN1076" s="111"/>
      <c r="AO1076" s="28"/>
      <c r="AP1076" s="96">
        <f ca="1">(AP1068/(N_9*AP$27*AP1070*0.667))*SQRT(M*'Valve Sizing'!$W$6*'Valve Sizing'!$G$8/AP1077)</f>
        <v>645.86130781734767</v>
      </c>
      <c r="AQ1076" s="111"/>
      <c r="AR1076" s="28"/>
      <c r="AS1076" s="96">
        <f ca="1">(AS1068/(N_9*AS$27*AS1070*0.667))*SQRT(M*'Valve Sizing'!$W$6*'Valve Sizing'!$G$8/AS1077)</f>
        <v>2743.8949203227476</v>
      </c>
      <c r="AT1076" s="111"/>
      <c r="AU1076" s="28"/>
    </row>
    <row r="1077" spans="15:47" ht="15.6" x14ac:dyDescent="0.35">
      <c r="O1077" s="2" t="s">
        <v>68</v>
      </c>
      <c r="P1077" s="143">
        <v>10</v>
      </c>
      <c r="Q1077" s="2"/>
      <c r="R1077" s="96">
        <f ca="1">F_GAMMA*R$29</f>
        <v>0.64002969751372984</v>
      </c>
      <c r="S1077" s="107"/>
      <c r="T1077" s="1"/>
      <c r="U1077" s="96">
        <f ca="1">F_GAMMA*U$29</f>
        <v>0.64017842058782071</v>
      </c>
      <c r="V1077" s="111"/>
      <c r="W1077" s="28"/>
      <c r="X1077" s="96">
        <f ca="1">F_GAMMA*X$29</f>
        <v>0.63413873724904268</v>
      </c>
      <c r="Y1077" s="111"/>
      <c r="Z1077" s="28"/>
      <c r="AA1077" s="96">
        <f ca="1">F_GAMMA*AA$29</f>
        <v>0.62532411750377137</v>
      </c>
      <c r="AB1077" s="111"/>
      <c r="AC1077" s="28"/>
      <c r="AD1077" s="96">
        <f ca="1">F_GAMMA*AD$29</f>
        <v>0.60651359509139569</v>
      </c>
      <c r="AE1077" s="111"/>
      <c r="AF1077" s="28"/>
      <c r="AG1077" s="96">
        <f ca="1">F_GAMMA*AG$29</f>
        <v>0.57217930198481592</v>
      </c>
      <c r="AH1077" s="111"/>
      <c r="AI1077" s="28"/>
      <c r="AJ1077" s="96">
        <f ca="1">F_GAMMA*AJ$29</f>
        <v>0.53183282018848232</v>
      </c>
      <c r="AK1077" s="111"/>
      <c r="AL1077" s="28"/>
      <c r="AM1077" s="96">
        <f ca="1">F_GAMMA*AM$29</f>
        <v>0.47566512503094399</v>
      </c>
      <c r="AN1077" s="111"/>
      <c r="AO1077" s="28"/>
      <c r="AP1077" s="96">
        <f ca="1">F_GAMMA*AP$29</f>
        <v>0.59054158265645496</v>
      </c>
      <c r="AQ1077" s="111"/>
      <c r="AR1077" s="28"/>
      <c r="AS1077" s="96">
        <f ca="1">F_GAMMA*AS$29</f>
        <v>0.3766899554102966</v>
      </c>
      <c r="AT1077" s="111"/>
      <c r="AU1077" s="28"/>
    </row>
    <row r="1078" spans="15:47" x14ac:dyDescent="0.25">
      <c r="O1078" s="2" t="s">
        <v>145</v>
      </c>
      <c r="P1078" s="12"/>
      <c r="Q1078" s="2"/>
      <c r="R1078" s="96">
        <f ca="1">IF(R1073&lt;R1077,R1075,R1076)</f>
        <v>0.55707124847641198</v>
      </c>
      <c r="S1078" s="116"/>
      <c r="T1078" s="1"/>
      <c r="U1078" s="96">
        <f ca="1">IF(U1073&lt;U1077,U1075,U1076)</f>
        <v>9.8991834832477181</v>
      </c>
      <c r="V1078" s="111"/>
      <c r="W1078" s="28"/>
      <c r="X1078" s="96">
        <f ca="1">IF(X1073&lt;X1077,X1075,X1076)</f>
        <v>24.57851637598629</v>
      </c>
      <c r="Y1078" s="111"/>
      <c r="Z1078" s="28"/>
      <c r="AA1078" s="96">
        <f ca="1">IF(AA1073&lt;AA1077,AA1075,AA1076)</f>
        <v>49.930944499115377</v>
      </c>
      <c r="AB1078" s="111"/>
      <c r="AC1078" s="28"/>
      <c r="AD1078" s="96">
        <f ca="1">IF(AD1073&lt;AD1077,AD1075,AD1076)</f>
        <v>93.434942877157241</v>
      </c>
      <c r="AE1078" s="111"/>
      <c r="AF1078" s="28"/>
      <c r="AG1078" s="96">
        <f ca="1">IF(AG1073&lt;AG1077,AG1075,AG1076)</f>
        <v>173.246794208712</v>
      </c>
      <c r="AH1078" s="111"/>
      <c r="AI1078" s="28"/>
      <c r="AJ1078" s="96">
        <f ca="1">IF(AJ1073&lt;AJ1077,AJ1075,AJ1076)</f>
        <v>483.74644840242973</v>
      </c>
      <c r="AK1078" s="111"/>
      <c r="AL1078" s="28"/>
      <c r="AM1078" s="96" t="e">
        <f ca="1">IF(AM1073&lt;AM1077,AM1075,AM1076)</f>
        <v>#NUM!</v>
      </c>
      <c r="AN1078" s="111"/>
      <c r="AO1078" s="28"/>
      <c r="AP1078" s="96" t="e">
        <f ca="1">IF(AP1073&lt;AP1077,AP1075,AP1076)</f>
        <v>#NUM!</v>
      </c>
      <c r="AQ1078" s="111"/>
      <c r="AR1078" s="28"/>
      <c r="AS1078" s="96" t="e">
        <f ca="1">IF(AS1073&lt;AS1077,AS1075,AS1076)</f>
        <v>#NUM!</v>
      </c>
      <c r="AT1078" s="111"/>
      <c r="AU1078" s="28"/>
    </row>
    <row r="1079" spans="15:47" x14ac:dyDescent="0.25">
      <c r="O1079" s="13" t="s">
        <v>143</v>
      </c>
      <c r="P1079" s="1"/>
      <c r="Q1079" s="1"/>
      <c r="R1079" s="113"/>
      <c r="S1079" s="106">
        <f ca="1">IF(R1072&lt;=0,Q_max,ABS(R$23-R1078))</f>
        <v>4.1729287515235889</v>
      </c>
      <c r="T1079" s="7">
        <f>R1068</f>
        <v>1379.4290696738526</v>
      </c>
      <c r="U1079" s="98"/>
      <c r="V1079" s="106">
        <f ca="1">IF(U1072&lt;=0,Q_max,ABS(U$23-U1078))</f>
        <v>1.7008165167522815</v>
      </c>
      <c r="W1079" s="9">
        <f ca="1">U1068</f>
        <v>24451.166565145377</v>
      </c>
      <c r="X1079" s="98"/>
      <c r="Y1079" s="106">
        <f ca="1">IF(X1072&lt;=0,Q_max,ABS(X$23-X1078))</f>
        <v>1.5785163759862897</v>
      </c>
      <c r="Z1079" s="9">
        <f ca="1">X1068</f>
        <v>59871.925384687456</v>
      </c>
      <c r="AA1079" s="98"/>
      <c r="AB1079" s="106">
        <f ca="1">IF(AA1072&lt;=0,Q_max,ABS(AA$23-AA1078))</f>
        <v>10.530944499115378</v>
      </c>
      <c r="AC1079" s="9">
        <f ca="1">AA1068</f>
        <v>116615.22861502855</v>
      </c>
      <c r="AD1079" s="98"/>
      <c r="AE1079" s="106">
        <f ca="1">IF(AD1072&lt;=0,Q_max,ABS(AD$23-AD1078))</f>
        <v>32.434942877157241</v>
      </c>
      <c r="AF1079" s="9">
        <f ca="1">AD1068</f>
        <v>195644.07712130205</v>
      </c>
      <c r="AG1079" s="98"/>
      <c r="AH1079" s="106">
        <f ca="1">IF(AG1072&lt;=0,Q_max,ABS(AG$23-AG1078))</f>
        <v>85.046794208712001</v>
      </c>
      <c r="AI1079" s="9">
        <f ca="1">AG1068</f>
        <v>285547.8591483616</v>
      </c>
      <c r="AJ1079" s="98"/>
      <c r="AK1079" s="106">
        <f ca="1">IF(AJ1072&lt;=0,Q_max,ABS(AJ$23-AJ1078))</f>
        <v>362.74644840242973</v>
      </c>
      <c r="AL1079" s="9">
        <f ca="1">AJ1068</f>
        <v>381064.72497896291</v>
      </c>
      <c r="AM1079" s="98"/>
      <c r="AN1079" s="106">
        <f ca="1">IF(AM1072&lt;=0,Q_max,ABS(AM$23-AM1078))</f>
        <v>236393</v>
      </c>
      <c r="AO1079" s="9">
        <f ca="1">AM1068</f>
        <v>464971.38199484174</v>
      </c>
      <c r="AP1079" s="98"/>
      <c r="AQ1079" s="106">
        <f ca="1">IF(AP1072&lt;=0,Q_max,ABS(AP$23-AP1078))</f>
        <v>236393</v>
      </c>
      <c r="AR1079" s="9">
        <f ca="1">AP1068</f>
        <v>539817.339631496</v>
      </c>
      <c r="AS1079" s="98"/>
      <c r="AT1079" s="106">
        <f ca="1">IF(AS1072&lt;=0,Q_max,ABS(AS$23-AS1078))</f>
        <v>236393</v>
      </c>
      <c r="AU1079" s="9">
        <f ca="1">AS1068</f>
        <v>632978.2846114157</v>
      </c>
    </row>
    <row r="1080" spans="15:47" x14ac:dyDescent="0.25">
      <c r="O1080" s="21"/>
      <c r="P1080" s="14"/>
      <c r="Q1080" s="21"/>
      <c r="R1080" s="97"/>
      <c r="S1080" s="106"/>
      <c r="T1080" s="28"/>
      <c r="U1080" s="97"/>
      <c r="V1080" s="111"/>
      <c r="W1080" s="28"/>
      <c r="X1080" s="97"/>
      <c r="Y1080" s="111"/>
      <c r="Z1080" s="28"/>
      <c r="AA1080" s="97"/>
      <c r="AB1080" s="111"/>
      <c r="AC1080" s="28"/>
      <c r="AD1080" s="97"/>
      <c r="AE1080" s="111"/>
      <c r="AF1080" s="28"/>
      <c r="AG1080" s="97"/>
      <c r="AH1080" s="111"/>
      <c r="AI1080" s="28"/>
      <c r="AJ1080" s="97"/>
      <c r="AK1080" s="111"/>
      <c r="AL1080" s="28"/>
      <c r="AM1080" s="97"/>
      <c r="AN1080" s="111"/>
      <c r="AO1080" s="28"/>
      <c r="AP1080" s="97"/>
      <c r="AQ1080" s="111"/>
      <c r="AR1080" s="28"/>
      <c r="AS1080" s="97"/>
      <c r="AT1080" s="111"/>
      <c r="AU1080" s="28"/>
    </row>
    <row r="1081" spans="15:47" x14ac:dyDescent="0.25">
      <c r="O1081" s="1"/>
      <c r="P1081" s="1"/>
      <c r="Q1081" s="1"/>
      <c r="R1081" s="98"/>
      <c r="S1081" s="108" t="s">
        <v>137</v>
      </c>
      <c r="T1081" s="26" t="s">
        <v>146</v>
      </c>
      <c r="U1081" s="98"/>
      <c r="V1081" s="108" t="s">
        <v>137</v>
      </c>
      <c r="W1081" s="26" t="s">
        <v>146</v>
      </c>
      <c r="X1081" s="98"/>
      <c r="Y1081" s="108" t="s">
        <v>137</v>
      </c>
      <c r="Z1081" s="26" t="s">
        <v>146</v>
      </c>
      <c r="AA1081" s="98"/>
      <c r="AB1081" s="108" t="s">
        <v>137</v>
      </c>
      <c r="AC1081" s="26" t="s">
        <v>146</v>
      </c>
      <c r="AD1081" s="98"/>
      <c r="AE1081" s="108" t="s">
        <v>137</v>
      </c>
      <c r="AF1081" s="26" t="s">
        <v>146</v>
      </c>
      <c r="AG1081" s="98"/>
      <c r="AH1081" s="108" t="s">
        <v>137</v>
      </c>
      <c r="AI1081" s="26" t="s">
        <v>146</v>
      </c>
      <c r="AJ1081" s="98"/>
      <c r="AK1081" s="108" t="s">
        <v>137</v>
      </c>
      <c r="AL1081" s="26" t="s">
        <v>146</v>
      </c>
      <c r="AM1081" s="98"/>
      <c r="AN1081" s="108" t="s">
        <v>137</v>
      </c>
      <c r="AO1081" s="26" t="s">
        <v>146</v>
      </c>
      <c r="AP1081" s="98"/>
      <c r="AQ1081" s="108" t="s">
        <v>137</v>
      </c>
      <c r="AR1081" s="26" t="s">
        <v>146</v>
      </c>
      <c r="AS1081" s="98"/>
      <c r="AT1081" s="108" t="s">
        <v>137</v>
      </c>
      <c r="AU1081" s="26" t="s">
        <v>146</v>
      </c>
    </row>
    <row r="1082" spans="15:47" ht="13.8" x14ac:dyDescent="0.25">
      <c r="O1082" s="20" t="s">
        <v>136</v>
      </c>
      <c r="P1082" s="1"/>
      <c r="Q1082" s="1"/>
      <c r="R1082" s="96">
        <f>R1068*1.02</f>
        <v>1407.0176510673298</v>
      </c>
      <c r="S1082" s="109" t="s">
        <v>144</v>
      </c>
      <c r="T1082" s="23" t="s">
        <v>147</v>
      </c>
      <c r="U1082" s="96">
        <f ca="1">U1068*1.01</f>
        <v>24695.678230796831</v>
      </c>
      <c r="V1082" s="109" t="s">
        <v>144</v>
      </c>
      <c r="W1082" s="23" t="s">
        <v>147</v>
      </c>
      <c r="X1082" s="96">
        <f ca="1">X1068*1.01</f>
        <v>60470.64463853433</v>
      </c>
      <c r="Y1082" s="109" t="s">
        <v>144</v>
      </c>
      <c r="Z1082" s="23" t="s">
        <v>147</v>
      </c>
      <c r="AA1082" s="96">
        <f ca="1">AA1068*1.01</f>
        <v>117781.38090117884</v>
      </c>
      <c r="AB1082" s="109" t="s">
        <v>144</v>
      </c>
      <c r="AC1082" s="23" t="s">
        <v>147</v>
      </c>
      <c r="AD1082" s="96">
        <f ca="1">AD1068*1.01</f>
        <v>197600.51789251508</v>
      </c>
      <c r="AE1082" s="109" t="s">
        <v>144</v>
      </c>
      <c r="AF1082" s="23" t="s">
        <v>147</v>
      </c>
      <c r="AG1082" s="96">
        <f ca="1">AG1068*1.01</f>
        <v>288403.33773984521</v>
      </c>
      <c r="AH1082" s="109" t="s">
        <v>144</v>
      </c>
      <c r="AI1082" s="23" t="s">
        <v>147</v>
      </c>
      <c r="AJ1082" s="96">
        <f ca="1">AJ1068*1.01</f>
        <v>384875.37222875253</v>
      </c>
      <c r="AK1082" s="109" t="s">
        <v>144</v>
      </c>
      <c r="AL1082" s="23" t="s">
        <v>147</v>
      </c>
      <c r="AM1082" s="96">
        <f ca="1">AM1068*1.01</f>
        <v>469621.09581479017</v>
      </c>
      <c r="AN1082" s="109" t="s">
        <v>144</v>
      </c>
      <c r="AO1082" s="23" t="s">
        <v>147</v>
      </c>
      <c r="AP1082" s="96">
        <f ca="1">AP1068*1.01</f>
        <v>545215.51302781096</v>
      </c>
      <c r="AQ1082" s="109" t="s">
        <v>144</v>
      </c>
      <c r="AR1082" s="23" t="s">
        <v>147</v>
      </c>
      <c r="AS1082" s="96">
        <f ca="1">AS1068*1.01</f>
        <v>639308.06745752983</v>
      </c>
      <c r="AT1082" s="109" t="s">
        <v>144</v>
      </c>
      <c r="AU1082" s="23" t="s">
        <v>147</v>
      </c>
    </row>
    <row r="1083" spans="15:47" x14ac:dyDescent="0.25">
      <c r="O1083" s="1"/>
      <c r="P1083" s="1"/>
      <c r="Q1083" s="1"/>
      <c r="R1083" s="98"/>
      <c r="S1083" s="107"/>
      <c r="T1083" s="1"/>
      <c r="U1083" s="47"/>
      <c r="V1083" s="107"/>
      <c r="W1083" s="1"/>
      <c r="X1083" s="47"/>
      <c r="Y1083" s="107"/>
      <c r="Z1083" s="1"/>
      <c r="AA1083" s="47"/>
      <c r="AB1083" s="107"/>
      <c r="AC1083" s="1"/>
      <c r="AD1083" s="47"/>
      <c r="AE1083" s="107"/>
      <c r="AF1083" s="1"/>
      <c r="AG1083" s="47"/>
      <c r="AH1083" s="107"/>
      <c r="AI1083" s="1"/>
      <c r="AJ1083" s="47"/>
      <c r="AK1083" s="107"/>
      <c r="AL1083" s="1"/>
      <c r="AM1083" s="47"/>
      <c r="AN1083" s="107"/>
      <c r="AO1083" s="1"/>
      <c r="AP1083" s="47"/>
      <c r="AQ1083" s="107"/>
      <c r="AR1083" s="1"/>
      <c r="AS1083" s="47"/>
      <c r="AT1083" s="107"/>
      <c r="AU1083" s="1"/>
    </row>
    <row r="1084" spans="15:47" x14ac:dyDescent="0.25">
      <c r="O1084" s="8" t="s">
        <v>132</v>
      </c>
      <c r="P1084" s="8"/>
      <c r="Q1084" s="8"/>
      <c r="R1084" s="96">
        <f>P_1_minQ-(R1082^2*R_up)+dpup_minQ</f>
        <v>90.184679708571977</v>
      </c>
      <c r="S1084" s="106"/>
      <c r="T1084" s="22"/>
      <c r="U1084" s="96">
        <f ca="1">P_1_minQ-(U1082^2*R_up)+dpup_minQ</f>
        <v>90.073883879402558</v>
      </c>
      <c r="V1084" s="107"/>
      <c r="W1084" s="1"/>
      <c r="X1084" s="96">
        <f ca="1">P_1_minQ-(X1082^2*R_up)+dpup_minQ</f>
        <v>89.518567263497204</v>
      </c>
      <c r="Y1084" s="107"/>
      <c r="Z1084" s="1"/>
      <c r="AA1084" s="96">
        <f ca="1">P_1_minQ-(AA1082^2*R_up)+dpup_minQ</f>
        <v>87.656634480670093</v>
      </c>
      <c r="AB1084" s="107"/>
      <c r="AC1084" s="1"/>
      <c r="AD1084" s="96">
        <f ca="1">P_1_minQ-(AD1082^2*R_up)+dpup_minQ</f>
        <v>83.068487430522396</v>
      </c>
      <c r="AE1084" s="107"/>
      <c r="AF1084" s="1"/>
      <c r="AG1084" s="96">
        <f ca="1">P_1_minQ-(AG1082^2*R_up)+dpup_minQ</f>
        <v>75.025218543648535</v>
      </c>
      <c r="AH1084" s="107"/>
      <c r="AI1084" s="1"/>
      <c r="AJ1084" s="96">
        <f ca="1">P_1_minQ-(AJ1082^2*R_up)+dpup_minQ</f>
        <v>63.186904510367029</v>
      </c>
      <c r="AK1084" s="107"/>
      <c r="AL1084" s="1"/>
      <c r="AM1084" s="96">
        <f ca="1">P_1_minQ-(AM1082^2*R_up)+dpup_minQ</f>
        <v>49.988494935761686</v>
      </c>
      <c r="AN1084" s="107"/>
      <c r="AO1084" s="1"/>
      <c r="AP1084" s="96">
        <f ca="1">P_1_minQ-(AP1082^2*R_up)+dpup_minQ</f>
        <v>36.006170150587316</v>
      </c>
      <c r="AQ1084" s="107"/>
      <c r="AR1084" s="1"/>
      <c r="AS1084" s="96">
        <f ca="1">P_1_minQ-(AS1082^2*R_up)+dpup_minQ</f>
        <v>15.69230772838611</v>
      </c>
      <c r="AT1084" s="107"/>
      <c r="AU1084" s="1"/>
    </row>
    <row r="1085" spans="15:47" x14ac:dyDescent="0.25">
      <c r="O1085" s="8" t="s">
        <v>134</v>
      </c>
      <c r="P1085" s="1"/>
      <c r="Q1085" s="8"/>
      <c r="R1085" s="97">
        <f>P_2_minQ+(R1082^2*R_dn)-dpdn_minQ</f>
        <v>60</v>
      </c>
      <c r="S1085" s="106"/>
      <c r="T1085" s="22"/>
      <c r="U1085" s="97">
        <f ca="1">P_2_minQ+(U1082^2*R_dn)-dpdn_minQ</f>
        <v>60</v>
      </c>
      <c r="V1085" s="107"/>
      <c r="W1085" s="1"/>
      <c r="X1085" s="97">
        <f ca="1">P_2_minQ+(X1082^2*R_dn)-dpdn_minQ</f>
        <v>60</v>
      </c>
      <c r="Y1085" s="107"/>
      <c r="Z1085" s="1"/>
      <c r="AA1085" s="97">
        <f ca="1">P_2_minQ+(AA1082^2*R_dn)-dpdn_minQ</f>
        <v>60</v>
      </c>
      <c r="AB1085" s="107"/>
      <c r="AC1085" s="1"/>
      <c r="AD1085" s="97">
        <f ca="1">P_2_minQ+(AD1082^2*R_dn)-dpdn_minQ</f>
        <v>60</v>
      </c>
      <c r="AE1085" s="107"/>
      <c r="AF1085" s="1"/>
      <c r="AG1085" s="97">
        <f ca="1">P_2_minQ+(AG1082^2*R_dn)-dpdn_minQ</f>
        <v>60</v>
      </c>
      <c r="AH1085" s="107"/>
      <c r="AI1085" s="1"/>
      <c r="AJ1085" s="97">
        <f ca="1">P_2_minQ+(AJ1082^2*R_dn)-dpdn_minQ</f>
        <v>60</v>
      </c>
      <c r="AK1085" s="107"/>
      <c r="AL1085" s="1"/>
      <c r="AM1085" s="97">
        <f ca="1">P_2_minQ+(AM1082^2*R_dn)-dpdn_minQ</f>
        <v>60</v>
      </c>
      <c r="AN1085" s="107"/>
      <c r="AO1085" s="1"/>
      <c r="AP1085" s="97">
        <f ca="1">P_2_minQ+(AP1082^2*R_dn)-dpdn_minQ</f>
        <v>60</v>
      </c>
      <c r="AQ1085" s="107"/>
      <c r="AR1085" s="1"/>
      <c r="AS1085" s="97">
        <f ca="1">P_2_minQ+(AS1082^2*R_dn)-dpdn_minQ</f>
        <v>60</v>
      </c>
      <c r="AT1085" s="107"/>
      <c r="AU1085" s="1"/>
    </row>
    <row r="1086" spans="15:47" x14ac:dyDescent="0.25">
      <c r="O1086" s="8" t="s">
        <v>138</v>
      </c>
      <c r="P1086" s="1"/>
      <c r="Q1086" s="8"/>
      <c r="R1086" s="97">
        <f>R1084-R1085</f>
        <v>30.184679708571977</v>
      </c>
      <c r="S1086" s="106"/>
      <c r="T1086" s="22"/>
      <c r="U1086" s="97">
        <f ca="1">U1084-U1085</f>
        <v>30.073883879402558</v>
      </c>
      <c r="V1086" s="110"/>
      <c r="W1086" s="25"/>
      <c r="X1086" s="97">
        <f ca="1">X1084-X1085</f>
        <v>29.518567263497204</v>
      </c>
      <c r="Y1086" s="110"/>
      <c r="Z1086" s="25"/>
      <c r="AA1086" s="97">
        <f ca="1">AA1084-AA1085</f>
        <v>27.656634480670093</v>
      </c>
      <c r="AB1086" s="110"/>
      <c r="AC1086" s="25"/>
      <c r="AD1086" s="97">
        <f ca="1">AD1084-AD1085</f>
        <v>23.068487430522396</v>
      </c>
      <c r="AE1086" s="110"/>
      <c r="AF1086" s="25"/>
      <c r="AG1086" s="97">
        <f ca="1">AG1084-AG1085</f>
        <v>15.025218543648535</v>
      </c>
      <c r="AH1086" s="110"/>
      <c r="AI1086" s="25"/>
      <c r="AJ1086" s="97">
        <f ca="1">AJ1084-AJ1085</f>
        <v>3.1869045103670288</v>
      </c>
      <c r="AK1086" s="110"/>
      <c r="AL1086" s="25"/>
      <c r="AM1086" s="97">
        <f ca="1">AM1084-AM1085</f>
        <v>-10.011505064238314</v>
      </c>
      <c r="AN1086" s="110"/>
      <c r="AO1086" s="25"/>
      <c r="AP1086" s="97">
        <f ca="1">AP1084-AP1085</f>
        <v>-23.993829849412684</v>
      </c>
      <c r="AQ1086" s="110"/>
      <c r="AR1086" s="25"/>
      <c r="AS1086" s="97">
        <f ca="1">AS1084-AS1085</f>
        <v>-44.307692271613888</v>
      </c>
      <c r="AT1086" s="110"/>
      <c r="AU1086" s="25"/>
    </row>
    <row r="1087" spans="15:47" ht="14.4" x14ac:dyDescent="0.3">
      <c r="O1087" s="2" t="s">
        <v>140</v>
      </c>
      <c r="P1087" s="11"/>
      <c r="Q1087" s="2"/>
      <c r="R1087" s="96">
        <f>R1086/R1084</f>
        <v>0.33469852979588671</v>
      </c>
      <c r="S1087" s="106"/>
      <c r="T1087" s="22"/>
      <c r="U1087" s="96">
        <f ca="1">U1086/U1084</f>
        <v>0.33388017241121359</v>
      </c>
      <c r="V1087" s="111"/>
      <c r="W1087" s="28"/>
      <c r="X1087" s="96">
        <f ca="1">X1086/X1084</f>
        <v>0.32974798598607519</v>
      </c>
      <c r="Y1087" s="111"/>
      <c r="Z1087" s="28"/>
      <c r="AA1087" s="96">
        <f ca="1">AA1086/AA1084</f>
        <v>0.31551102371799239</v>
      </c>
      <c r="AB1087" s="111"/>
      <c r="AC1087" s="28"/>
      <c r="AD1087" s="96">
        <f ca="1">AD1086/AD1084</f>
        <v>0.27770443575027937</v>
      </c>
      <c r="AE1087" s="111"/>
      <c r="AF1087" s="28"/>
      <c r="AG1087" s="96">
        <f ca="1">AG1086/AG1084</f>
        <v>0.20026890737955119</v>
      </c>
      <c r="AH1087" s="111"/>
      <c r="AI1087" s="28"/>
      <c r="AJ1087" s="96">
        <f ca="1">AJ1086/AJ1084</f>
        <v>5.0436155008102286E-2</v>
      </c>
      <c r="AK1087" s="111"/>
      <c r="AL1087" s="28"/>
      <c r="AM1087" s="96">
        <f ca="1">AM1086/AM1084</f>
        <v>-0.20027618509226411</v>
      </c>
      <c r="AN1087" s="111"/>
      <c r="AO1087" s="28"/>
      <c r="AP1087" s="96">
        <f ca="1">AP1086/AP1084</f>
        <v>-0.6663810604978021</v>
      </c>
      <c r="AQ1087" s="111"/>
      <c r="AR1087" s="28"/>
      <c r="AS1087" s="96">
        <f ca="1">AS1086/AS1084</f>
        <v>-2.8235294029739726</v>
      </c>
      <c r="AT1087" s="111"/>
      <c r="AU1087" s="28"/>
    </row>
    <row r="1088" spans="15:47" x14ac:dyDescent="0.25">
      <c r="O1088" s="2" t="s">
        <v>21</v>
      </c>
      <c r="P1088" s="8">
        <v>12</v>
      </c>
      <c r="Q1088" s="2"/>
      <c r="R1088" s="96">
        <f ca="1">1-R1087/(3*F_GAMMA*R$29)</f>
        <v>0.82568593764942355</v>
      </c>
      <c r="S1088" s="106"/>
      <c r="T1088" s="22"/>
      <c r="U1088" s="96">
        <f ca="1">1-U1087/(3*F_GAMMA*U$29)</f>
        <v>0.82615254244036107</v>
      </c>
      <c r="V1088" s="111"/>
      <c r="W1088" s="28"/>
      <c r="X1088" s="96">
        <f ca="1">1-X1087/(3*F_GAMMA*X$29)</f>
        <v>0.82666885198415996</v>
      </c>
      <c r="Y1088" s="111"/>
      <c r="Z1088" s="28"/>
      <c r="AA1088" s="96">
        <f ca="1">1-AA1087/(3*F_GAMMA*AA$29)</f>
        <v>0.83181467291049027</v>
      </c>
      <c r="AB1088" s="111"/>
      <c r="AC1088" s="28"/>
      <c r="AD1088" s="96">
        <f ca="1">1-AD1087/(3*F_GAMMA*AD$29)</f>
        <v>0.84737663590847623</v>
      </c>
      <c r="AE1088" s="111"/>
      <c r="AF1088" s="28"/>
      <c r="AG1088" s="96">
        <f ca="1">1-AG1087/(3*F_GAMMA*AG$29)</f>
        <v>0.88332974955878085</v>
      </c>
      <c r="AH1088" s="111"/>
      <c r="AI1088" s="28"/>
      <c r="AJ1088" s="96">
        <f ca="1">1-AJ1087/(3*F_GAMMA*AJ$29)</f>
        <v>0.96838846526355926</v>
      </c>
      <c r="AK1088" s="111"/>
      <c r="AL1088" s="28"/>
      <c r="AM1088" s="96">
        <f ca="1">1-AM1087/(3*F_GAMMA*AM$29)</f>
        <v>1.140348166916263</v>
      </c>
      <c r="AN1088" s="111"/>
      <c r="AO1088" s="28"/>
      <c r="AP1088" s="96">
        <f ca="1">1-AP1087/(3*F_GAMMA*AP$29)</f>
        <v>1.3761412010424938</v>
      </c>
      <c r="AQ1088" s="111"/>
      <c r="AR1088" s="28"/>
      <c r="AS1088" s="96">
        <f ca="1">1-AS1087/(3*F_GAMMA*AS$29)</f>
        <v>3.4985441054111641</v>
      </c>
      <c r="AT1088" s="111"/>
      <c r="AU1088" s="28"/>
    </row>
    <row r="1089" spans="15:47" x14ac:dyDescent="0.25">
      <c r="O1089" s="2" t="s">
        <v>57</v>
      </c>
      <c r="P1089" s="143">
        <v>7</v>
      </c>
      <c r="Q1089" s="2"/>
      <c r="R1089" s="96">
        <f ca="1">(R1082/(N_9*R$27*R1084*R1088))*SQRT(M*'Valve Sizing'!$W$6*'Valve Sizing'!$G$8/R1087)</f>
        <v>0.56821281241615962</v>
      </c>
      <c r="S1089" s="107"/>
      <c r="T1089" s="22"/>
      <c r="U1089" s="96">
        <f ca="1">(U1082/(N_9*U$27*U1084*U1088))*SQRT(M*'Valve Sizing'!$W$6*'Valve Sizing'!$G$8/U1087)</f>
        <v>9.9985588782745545</v>
      </c>
      <c r="V1089" s="111"/>
      <c r="W1089" s="28"/>
      <c r="X1089" s="96">
        <f ca="1">(X1082/(N_9*X$27*X1084*X1088))*SQRT(M*'Valve Sizing'!$W$6*'Valve Sizing'!$G$8/X1087)</f>
        <v>24.830091722640869</v>
      </c>
      <c r="Y1089" s="111"/>
      <c r="Z1089" s="28"/>
      <c r="AA1089" s="96">
        <f ca="1">(AA1082/(N_9*AA$27*AA1084*AA1088))*SQRT(M*'Valve Sizing'!$W$6*'Valve Sizing'!$G$8/AA1087)</f>
        <v>50.477416727873404</v>
      </c>
      <c r="AB1089" s="111"/>
      <c r="AC1089" s="28"/>
      <c r="AD1089" s="96">
        <f ca="1">(AD1082/(N_9*AD$27*AD1084*AD1088))*SQRT(M*'Valve Sizing'!$W$6*'Valve Sizing'!$G$8/AD1087)</f>
        <v>94.660742848288024</v>
      </c>
      <c r="AE1089" s="111"/>
      <c r="AF1089" s="28"/>
      <c r="AG1089" s="96">
        <f ca="1">(AG1082/(N_9*AG$27*AG1084*AG1088))*SQRT(M*'Valve Sizing'!$W$6*'Valve Sizing'!$G$8/AG1087)</f>
        <v>176.69112311351896</v>
      </c>
      <c r="AH1089" s="111"/>
      <c r="AI1089" s="28"/>
      <c r="AJ1089" s="96">
        <f ca="1">(AJ1082/(N_9*AJ$27*AJ1084*AJ1088))*SQRT(M*'Valve Sizing'!$W$6*'Valve Sizing'!$G$8/AJ1087)</f>
        <v>527.28671264702189</v>
      </c>
      <c r="AK1089" s="111"/>
      <c r="AL1089" s="28"/>
      <c r="AM1089" s="96" t="e">
        <f ca="1">(AM1082/(N_9*AM$27*AM1084*AM1088))*SQRT(M*'Valve Sizing'!$W$6*'Valve Sizing'!$G$8/AM1087)</f>
        <v>#NUM!</v>
      </c>
      <c r="AN1089" s="111"/>
      <c r="AO1089" s="28"/>
      <c r="AP1089" s="96" t="e">
        <f ca="1">(AP1082/(N_9*AP$27*AP1084*AP1088))*SQRT(M*'Valve Sizing'!$W$6*'Valve Sizing'!$G$8/AP1087)</f>
        <v>#NUM!</v>
      </c>
      <c r="AQ1089" s="111"/>
      <c r="AR1089" s="28"/>
      <c r="AS1089" s="96" t="e">
        <f ca="1">(AS1082/(N_9*AS$27*AS1084*AS1088))*SQRT(M*'Valve Sizing'!$W$6*'Valve Sizing'!$G$8/AS1087)</f>
        <v>#NUM!</v>
      </c>
      <c r="AT1089" s="111"/>
      <c r="AU1089" s="28"/>
    </row>
    <row r="1090" spans="15:47" x14ac:dyDescent="0.25">
      <c r="O1090" s="2" t="s">
        <v>59</v>
      </c>
      <c r="P1090" s="143">
        <v>7</v>
      </c>
      <c r="Q1090" s="2"/>
      <c r="R1090" s="96">
        <f ca="1">(R1082/(N_9*R$27*R1084*0.667))*SQRT(M*'Valve Sizing'!$W$6*'Valve Sizing'!$G$8/R1091)</f>
        <v>0.50865921406354042</v>
      </c>
      <c r="S1090" s="107"/>
      <c r="T1090" s="22"/>
      <c r="U1090" s="96">
        <f ca="1">(U1082/(N_9*U$27*U1084*0.667))*SQRT(M*'Valve Sizing'!$W$6*'Valve Sizing'!$G$8/U1091)</f>
        <v>8.9436875245131535</v>
      </c>
      <c r="V1090" s="111"/>
      <c r="W1090" s="28"/>
      <c r="X1090" s="96">
        <f ca="1">(X1082/(N_9*X$27*X1084*0.667))*SQRT(M*'Valve Sizing'!$W$6*'Valve Sizing'!$G$8/X1091)</f>
        <v>22.191312957927824</v>
      </c>
      <c r="Y1090" s="111"/>
      <c r="Z1090" s="28"/>
      <c r="AA1090" s="96">
        <f ca="1">(AA1082/(N_9*AA$27*AA1084*0.667))*SQRT(M*'Valve Sizing'!$W$6*'Valve Sizing'!$G$8/AA1091)</f>
        <v>44.714928787013555</v>
      </c>
      <c r="AB1090" s="111"/>
      <c r="AC1090" s="28"/>
      <c r="AD1090" s="96">
        <f ca="1">(AD1082/(N_9*AD$27*AD1084*0.667))*SQRT(M*'Valve Sizing'!$W$6*'Valve Sizing'!$G$8/AD1091)</f>
        <v>81.375130496490627</v>
      </c>
      <c r="AE1090" s="111"/>
      <c r="AF1090" s="28"/>
      <c r="AG1090" s="96">
        <f ca="1">(AG1082/(N_9*AG$27*AG1084*0.667))*SQRT(M*'Valve Sizing'!$W$6*'Valve Sizing'!$G$8/AG1091)</f>
        <v>138.43708532622242</v>
      </c>
      <c r="AH1090" s="111"/>
      <c r="AI1090" s="28"/>
      <c r="AJ1090" s="96">
        <f ca="1">(AJ1082/(N_9*AJ$27*AJ1084*0.667))*SQRT(M*'Valve Sizing'!$W$6*'Valve Sizing'!$G$8/AJ1091)</f>
        <v>235.75125827074032</v>
      </c>
      <c r="AK1090" s="111"/>
      <c r="AL1090" s="28"/>
      <c r="AM1090" s="96">
        <f ca="1">(AM1082/(N_9*AM$27*AM1084*0.667))*SQRT(M*'Valve Sizing'!$W$6*'Valve Sizing'!$G$8/AM1091)</f>
        <v>407.93795869227046</v>
      </c>
      <c r="AN1090" s="111"/>
      <c r="AO1090" s="28"/>
      <c r="AP1090" s="96">
        <f ca="1">(AP1082/(N_9*AP$27*AP1084*0.667))*SQRT(M*'Valve Sizing'!$W$6*'Valve Sizing'!$G$8/AP1091)</f>
        <v>671.66038839454916</v>
      </c>
      <c r="AQ1090" s="111"/>
      <c r="AR1090" s="28"/>
      <c r="AS1090" s="96">
        <f ca="1">(AS1082/(N_9*AS$27*AS1084*0.667))*SQRT(M*'Valve Sizing'!$W$6*'Valve Sizing'!$G$8/AS1091)</f>
        <v>3030.5543134836716</v>
      </c>
      <c r="AT1090" s="111"/>
      <c r="AU1090" s="28"/>
    </row>
    <row r="1091" spans="15:47" ht="15.6" x14ac:dyDescent="0.35">
      <c r="O1091" s="2" t="s">
        <v>68</v>
      </c>
      <c r="P1091" s="143">
        <v>10</v>
      </c>
      <c r="Q1091" s="2"/>
      <c r="R1091" s="96">
        <f ca="1">F_GAMMA*R$29</f>
        <v>0.64002969751372984</v>
      </c>
      <c r="S1091" s="107"/>
      <c r="T1091" s="1"/>
      <c r="U1091" s="96">
        <f ca="1">F_GAMMA*U$29</f>
        <v>0.64017842058782071</v>
      </c>
      <c r="V1091" s="111"/>
      <c r="W1091" s="28"/>
      <c r="X1091" s="96">
        <f ca="1">F_GAMMA*X$29</f>
        <v>0.63413873724904268</v>
      </c>
      <c r="Y1091" s="111"/>
      <c r="Z1091" s="28"/>
      <c r="AA1091" s="96">
        <f ca="1">F_GAMMA*AA$29</f>
        <v>0.62532411750377137</v>
      </c>
      <c r="AB1091" s="111"/>
      <c r="AC1091" s="28"/>
      <c r="AD1091" s="96">
        <f ca="1">F_GAMMA*AD$29</f>
        <v>0.60651359509139569</v>
      </c>
      <c r="AE1091" s="111"/>
      <c r="AF1091" s="28"/>
      <c r="AG1091" s="96">
        <f ca="1">F_GAMMA*AG$29</f>
        <v>0.57217930198481592</v>
      </c>
      <c r="AH1091" s="111"/>
      <c r="AI1091" s="28"/>
      <c r="AJ1091" s="96">
        <f ca="1">F_GAMMA*AJ$29</f>
        <v>0.53183282018848232</v>
      </c>
      <c r="AK1091" s="111"/>
      <c r="AL1091" s="28"/>
      <c r="AM1091" s="96">
        <f ca="1">F_GAMMA*AM$29</f>
        <v>0.47566512503094399</v>
      </c>
      <c r="AN1091" s="111"/>
      <c r="AO1091" s="28"/>
      <c r="AP1091" s="96">
        <f ca="1">F_GAMMA*AP$29</f>
        <v>0.59054158265645496</v>
      </c>
      <c r="AQ1091" s="111"/>
      <c r="AR1091" s="28"/>
      <c r="AS1091" s="96">
        <f ca="1">F_GAMMA*AS$29</f>
        <v>0.3766899554102966</v>
      </c>
      <c r="AT1091" s="111"/>
      <c r="AU1091" s="28"/>
    </row>
    <row r="1092" spans="15:47" x14ac:dyDescent="0.25">
      <c r="O1092" s="2" t="s">
        <v>145</v>
      </c>
      <c r="P1092" s="12"/>
      <c r="Q1092" s="2"/>
      <c r="R1092" s="96">
        <f ca="1">IF(R1087&lt;R1091,R1089,R1090)</f>
        <v>0.56821281241615962</v>
      </c>
      <c r="S1092" s="116"/>
      <c r="T1092" s="1"/>
      <c r="U1092" s="96">
        <f ca="1">IF(U1087&lt;U1091,U1089,U1090)</f>
        <v>9.9985588782745545</v>
      </c>
      <c r="V1092" s="111"/>
      <c r="W1092" s="28"/>
      <c r="X1092" s="96">
        <f ca="1">IF(X1087&lt;X1091,X1089,X1090)</f>
        <v>24.830091722640869</v>
      </c>
      <c r="Y1092" s="111"/>
      <c r="Z1092" s="28"/>
      <c r="AA1092" s="96">
        <f ca="1">IF(AA1087&lt;AA1091,AA1089,AA1090)</f>
        <v>50.477416727873404</v>
      </c>
      <c r="AB1092" s="111"/>
      <c r="AC1092" s="28"/>
      <c r="AD1092" s="96">
        <f ca="1">IF(AD1087&lt;AD1091,AD1089,AD1090)</f>
        <v>94.660742848288024</v>
      </c>
      <c r="AE1092" s="111"/>
      <c r="AF1092" s="28"/>
      <c r="AG1092" s="96">
        <f ca="1">IF(AG1087&lt;AG1091,AG1089,AG1090)</f>
        <v>176.69112311351896</v>
      </c>
      <c r="AH1092" s="111"/>
      <c r="AI1092" s="28"/>
      <c r="AJ1092" s="96">
        <f ca="1">IF(AJ1087&lt;AJ1091,AJ1089,AJ1090)</f>
        <v>527.28671264702189</v>
      </c>
      <c r="AK1092" s="111"/>
      <c r="AL1092" s="28"/>
      <c r="AM1092" s="96" t="e">
        <f ca="1">IF(AM1087&lt;AM1091,AM1089,AM1090)</f>
        <v>#NUM!</v>
      </c>
      <c r="AN1092" s="111"/>
      <c r="AO1092" s="28"/>
      <c r="AP1092" s="96" t="e">
        <f ca="1">IF(AP1087&lt;AP1091,AP1089,AP1090)</f>
        <v>#NUM!</v>
      </c>
      <c r="AQ1092" s="111"/>
      <c r="AR1092" s="28"/>
      <c r="AS1092" s="96" t="e">
        <f ca="1">IF(AS1087&lt;AS1091,AS1089,AS1090)</f>
        <v>#NUM!</v>
      </c>
      <c r="AT1092" s="111"/>
      <c r="AU1092" s="28"/>
    </row>
    <row r="1093" spans="15:47" x14ac:dyDescent="0.25">
      <c r="O1093" s="13" t="s">
        <v>143</v>
      </c>
      <c r="P1093" s="1"/>
      <c r="Q1093" s="1"/>
      <c r="R1093" s="113"/>
      <c r="S1093" s="106">
        <f ca="1">IF(R1086&lt;=0,Q_max,ABS(R$23-R1092))</f>
        <v>4.1617871875838404</v>
      </c>
      <c r="T1093" s="7">
        <f>R1082</f>
        <v>1407.0176510673298</v>
      </c>
      <c r="U1093" s="98"/>
      <c r="V1093" s="106">
        <f ca="1">IF(U1086&lt;=0,Q_max,ABS(U$23-U1092))</f>
        <v>1.6014411217254452</v>
      </c>
      <c r="W1093" s="9">
        <f ca="1">U1082</f>
        <v>24695.678230796831</v>
      </c>
      <c r="X1093" s="98"/>
      <c r="Y1093" s="106">
        <f ca="1">IF(X1086&lt;=0,Q_max,ABS(X$23-X1092))</f>
        <v>1.8300917226408693</v>
      </c>
      <c r="Z1093" s="9">
        <f ca="1">X1082</f>
        <v>60470.64463853433</v>
      </c>
      <c r="AA1093" s="98"/>
      <c r="AB1093" s="106">
        <f ca="1">IF(AA1086&lt;=0,Q_max,ABS(AA$23-AA1092))</f>
        <v>11.077416727873405</v>
      </c>
      <c r="AC1093" s="9">
        <f ca="1">AA1082</f>
        <v>117781.38090117884</v>
      </c>
      <c r="AD1093" s="98"/>
      <c r="AE1093" s="106">
        <f ca="1">IF(AD1086&lt;=0,Q_max,ABS(AD$23-AD1092))</f>
        <v>33.660742848288024</v>
      </c>
      <c r="AF1093" s="9">
        <f ca="1">AD1082</f>
        <v>197600.51789251508</v>
      </c>
      <c r="AG1093" s="98"/>
      <c r="AH1093" s="106">
        <f ca="1">IF(AG1086&lt;=0,Q_max,ABS(AG$23-AG1092))</f>
        <v>88.491123113518952</v>
      </c>
      <c r="AI1093" s="9">
        <f ca="1">AG1082</f>
        <v>288403.33773984521</v>
      </c>
      <c r="AJ1093" s="98"/>
      <c r="AK1093" s="106">
        <f ca="1">IF(AJ1086&lt;=0,Q_max,ABS(AJ$23-AJ1092))</f>
        <v>406.28671264702189</v>
      </c>
      <c r="AL1093" s="9">
        <f ca="1">AJ1082</f>
        <v>384875.37222875253</v>
      </c>
      <c r="AM1093" s="98"/>
      <c r="AN1093" s="106">
        <f ca="1">IF(AM1086&lt;=0,Q_max,ABS(AM$23-AM1092))</f>
        <v>236393</v>
      </c>
      <c r="AO1093" s="9">
        <f ca="1">AM1082</f>
        <v>469621.09581479017</v>
      </c>
      <c r="AP1093" s="98"/>
      <c r="AQ1093" s="106">
        <f ca="1">IF(AP1086&lt;=0,Q_max,ABS(AP$23-AP1092))</f>
        <v>236393</v>
      </c>
      <c r="AR1093" s="9">
        <f ca="1">AP1082</f>
        <v>545215.51302781096</v>
      </c>
      <c r="AS1093" s="98"/>
      <c r="AT1093" s="106">
        <f ca="1">IF(AS1086&lt;=0,Q_max,ABS(AS$23-AS1092))</f>
        <v>236393</v>
      </c>
      <c r="AU1093" s="9">
        <f ca="1">AS1082</f>
        <v>639308.06745752983</v>
      </c>
    </row>
    <row r="1094" spans="15:47" x14ac:dyDescent="0.25">
      <c r="O1094" s="21"/>
      <c r="P1094" s="14"/>
      <c r="Q1094" s="21"/>
      <c r="R1094" s="97"/>
      <c r="S1094" s="106"/>
      <c r="T1094" s="28"/>
      <c r="U1094" s="97"/>
      <c r="V1094" s="111"/>
      <c r="W1094" s="28"/>
      <c r="X1094" s="97"/>
      <c r="Y1094" s="111"/>
      <c r="Z1094" s="28"/>
      <c r="AA1094" s="97"/>
      <c r="AB1094" s="111"/>
      <c r="AC1094" s="28"/>
      <c r="AD1094" s="97"/>
      <c r="AE1094" s="111"/>
      <c r="AF1094" s="28"/>
      <c r="AG1094" s="97"/>
      <c r="AH1094" s="111"/>
      <c r="AI1094" s="28"/>
      <c r="AJ1094" s="97"/>
      <c r="AK1094" s="111"/>
      <c r="AL1094" s="28"/>
      <c r="AM1094" s="97"/>
      <c r="AN1094" s="111"/>
      <c r="AO1094" s="28"/>
      <c r="AP1094" s="97"/>
      <c r="AQ1094" s="111"/>
      <c r="AR1094" s="28"/>
      <c r="AS1094" s="97"/>
      <c r="AT1094" s="111"/>
      <c r="AU1094" s="28"/>
    </row>
    <row r="1095" spans="15:47" x14ac:dyDescent="0.25">
      <c r="O1095" s="1"/>
      <c r="P1095" s="1"/>
      <c r="Q1095" s="1"/>
      <c r="R1095" s="98"/>
      <c r="S1095" s="108" t="s">
        <v>137</v>
      </c>
      <c r="T1095" s="26" t="s">
        <v>146</v>
      </c>
      <c r="U1095" s="98"/>
      <c r="V1095" s="108" t="s">
        <v>137</v>
      </c>
      <c r="W1095" s="26" t="s">
        <v>146</v>
      </c>
      <c r="X1095" s="98"/>
      <c r="Y1095" s="108" t="s">
        <v>137</v>
      </c>
      <c r="Z1095" s="26" t="s">
        <v>146</v>
      </c>
      <c r="AA1095" s="98"/>
      <c r="AB1095" s="108" t="s">
        <v>137</v>
      </c>
      <c r="AC1095" s="26" t="s">
        <v>146</v>
      </c>
      <c r="AD1095" s="98"/>
      <c r="AE1095" s="108" t="s">
        <v>137</v>
      </c>
      <c r="AF1095" s="26" t="s">
        <v>146</v>
      </c>
      <c r="AG1095" s="98"/>
      <c r="AH1095" s="108" t="s">
        <v>137</v>
      </c>
      <c r="AI1095" s="26" t="s">
        <v>146</v>
      </c>
      <c r="AJ1095" s="98"/>
      <c r="AK1095" s="108" t="s">
        <v>137</v>
      </c>
      <c r="AL1095" s="26" t="s">
        <v>146</v>
      </c>
      <c r="AM1095" s="98"/>
      <c r="AN1095" s="108" t="s">
        <v>137</v>
      </c>
      <c r="AO1095" s="26" t="s">
        <v>146</v>
      </c>
      <c r="AP1095" s="98"/>
      <c r="AQ1095" s="108" t="s">
        <v>137</v>
      </c>
      <c r="AR1095" s="26" t="s">
        <v>146</v>
      </c>
      <c r="AS1095" s="98"/>
      <c r="AT1095" s="108" t="s">
        <v>137</v>
      </c>
      <c r="AU1095" s="26" t="s">
        <v>146</v>
      </c>
    </row>
    <row r="1096" spans="15:47" ht="13.8" x14ac:dyDescent="0.25">
      <c r="O1096" s="20" t="s">
        <v>136</v>
      </c>
      <c r="P1096" s="1"/>
      <c r="Q1096" s="1"/>
      <c r="R1096" s="96">
        <f>R1082*1.02</f>
        <v>1435.1580040886763</v>
      </c>
      <c r="S1096" s="109" t="s">
        <v>144</v>
      </c>
      <c r="T1096" s="23" t="s">
        <v>147</v>
      </c>
      <c r="U1096" s="96">
        <f ca="1">U1082*1.01</f>
        <v>24942.635013104798</v>
      </c>
      <c r="V1096" s="109" t="s">
        <v>144</v>
      </c>
      <c r="W1096" s="23" t="s">
        <v>147</v>
      </c>
      <c r="X1096" s="96">
        <f ca="1">X1082*1.01</f>
        <v>61075.351084919675</v>
      </c>
      <c r="Y1096" s="109" t="s">
        <v>144</v>
      </c>
      <c r="Z1096" s="23" t="s">
        <v>147</v>
      </c>
      <c r="AA1096" s="96">
        <f ca="1">AA1082*1.01</f>
        <v>118959.19471019063</v>
      </c>
      <c r="AB1096" s="109" t="s">
        <v>144</v>
      </c>
      <c r="AC1096" s="23" t="s">
        <v>147</v>
      </c>
      <c r="AD1096" s="96">
        <f ca="1">AD1082*1.01</f>
        <v>199576.52307144023</v>
      </c>
      <c r="AE1096" s="109" t="s">
        <v>144</v>
      </c>
      <c r="AF1096" s="23" t="s">
        <v>147</v>
      </c>
      <c r="AG1096" s="96">
        <f ca="1">AG1082*1.01</f>
        <v>291287.37111724366</v>
      </c>
      <c r="AH1096" s="109" t="s">
        <v>144</v>
      </c>
      <c r="AI1096" s="23" t="s">
        <v>147</v>
      </c>
      <c r="AJ1096" s="96">
        <f ca="1">AJ1082*1.01</f>
        <v>388724.12595104007</v>
      </c>
      <c r="AK1096" s="109" t="s">
        <v>144</v>
      </c>
      <c r="AL1096" s="23" t="s">
        <v>147</v>
      </c>
      <c r="AM1096" s="96">
        <f ca="1">AM1082*1.01</f>
        <v>474317.30677293806</v>
      </c>
      <c r="AN1096" s="109" t="s">
        <v>144</v>
      </c>
      <c r="AO1096" s="23" t="s">
        <v>147</v>
      </c>
      <c r="AP1096" s="96">
        <f ca="1">AP1082*1.01</f>
        <v>550667.66815808904</v>
      </c>
      <c r="AQ1096" s="109" t="s">
        <v>144</v>
      </c>
      <c r="AR1096" s="23" t="s">
        <v>147</v>
      </c>
      <c r="AS1096" s="96">
        <f ca="1">AS1082*1.01</f>
        <v>645701.14813210513</v>
      </c>
      <c r="AT1096" s="109" t="s">
        <v>144</v>
      </c>
      <c r="AU1096" s="23" t="s">
        <v>147</v>
      </c>
    </row>
    <row r="1097" spans="15:47" x14ac:dyDescent="0.25">
      <c r="O1097" s="1"/>
      <c r="P1097" s="1"/>
      <c r="Q1097" s="1"/>
      <c r="R1097" s="98"/>
      <c r="S1097" s="107"/>
      <c r="T1097" s="1"/>
      <c r="U1097" s="47"/>
      <c r="V1097" s="107"/>
      <c r="W1097" s="1"/>
      <c r="X1097" s="47"/>
      <c r="Y1097" s="107"/>
      <c r="Z1097" s="1"/>
      <c r="AA1097" s="47"/>
      <c r="AB1097" s="107"/>
      <c r="AC1097" s="1"/>
      <c r="AD1097" s="47"/>
      <c r="AE1097" s="107"/>
      <c r="AF1097" s="1"/>
      <c r="AG1097" s="47"/>
      <c r="AH1097" s="107"/>
      <c r="AI1097" s="1"/>
      <c r="AJ1097" s="47"/>
      <c r="AK1097" s="107"/>
      <c r="AL1097" s="1"/>
      <c r="AM1097" s="47"/>
      <c r="AN1097" s="107"/>
      <c r="AO1097" s="1"/>
      <c r="AP1097" s="47"/>
      <c r="AQ1097" s="107"/>
      <c r="AR1097" s="1"/>
      <c r="AS1097" s="47"/>
      <c r="AT1097" s="107"/>
      <c r="AU1097" s="1"/>
    </row>
    <row r="1098" spans="15:47" x14ac:dyDescent="0.25">
      <c r="O1098" s="8" t="s">
        <v>132</v>
      </c>
      <c r="P1098" s="8"/>
      <c r="Q1098" s="8"/>
      <c r="R1098" s="96">
        <f>P_1_minQ-(R1096^2*R_up)+dpup_minQ</f>
        <v>90.184665131375965</v>
      </c>
      <c r="S1098" s="106"/>
      <c r="T1098" s="22"/>
      <c r="U1098" s="96">
        <f ca="1">P_1_minQ-(U1096^2*R_up)+dpup_minQ</f>
        <v>90.071649630720415</v>
      </c>
      <c r="V1098" s="107"/>
      <c r="W1098" s="1"/>
      <c r="X1098" s="96">
        <f ca="1">P_1_minQ-(X1096^2*R_up)+dpup_minQ</f>
        <v>89.505171150835352</v>
      </c>
      <c r="Y1098" s="107"/>
      <c r="Z1098" s="1"/>
      <c r="AA1098" s="96">
        <f ca="1">P_1_minQ-(AA1096^2*R_up)+dpup_minQ</f>
        <v>87.605813519073422</v>
      </c>
      <c r="AB1098" s="107"/>
      <c r="AC1098" s="1"/>
      <c r="AD1098" s="96">
        <f ca="1">P_1_minQ-(AD1096^2*R_up)+dpup_minQ</f>
        <v>82.925444713217772</v>
      </c>
      <c r="AE1098" s="107"/>
      <c r="AF1098" s="1"/>
      <c r="AG1098" s="96">
        <f ca="1">P_1_minQ-(AG1096^2*R_up)+dpup_minQ</f>
        <v>74.720506121717733</v>
      </c>
      <c r="AH1098" s="107"/>
      <c r="AI1098" s="1"/>
      <c r="AJ1098" s="96">
        <f ca="1">P_1_minQ-(AJ1096^2*R_up)+dpup_minQ</f>
        <v>62.644241976367269</v>
      </c>
      <c r="AK1098" s="107"/>
      <c r="AL1098" s="1"/>
      <c r="AM1098" s="96">
        <f ca="1">P_1_minQ-(AM1096^2*R_up)+dpup_minQ</f>
        <v>49.180544369312365</v>
      </c>
      <c r="AN1098" s="107"/>
      <c r="AO1098" s="1"/>
      <c r="AP1098" s="96">
        <f ca="1">P_1_minQ-(AP1096^2*R_up)+dpup_minQ</f>
        <v>34.917174855955977</v>
      </c>
      <c r="AQ1098" s="107"/>
      <c r="AR1098" s="1"/>
      <c r="AS1098" s="96">
        <f ca="1">P_1_minQ-(AS1096^2*R_up)+dpup_minQ</f>
        <v>14.195003799068528</v>
      </c>
      <c r="AT1098" s="107"/>
      <c r="AU1098" s="1"/>
    </row>
    <row r="1099" spans="15:47" x14ac:dyDescent="0.25">
      <c r="O1099" s="8" t="s">
        <v>134</v>
      </c>
      <c r="P1099" s="1"/>
      <c r="Q1099" s="8"/>
      <c r="R1099" s="97">
        <f>P_2_minQ+(R1096^2*R_dn)-dpdn_minQ</f>
        <v>60</v>
      </c>
      <c r="S1099" s="106"/>
      <c r="T1099" s="22"/>
      <c r="U1099" s="97">
        <f ca="1">P_2_minQ+(U1096^2*R_dn)-dpdn_minQ</f>
        <v>60</v>
      </c>
      <c r="V1099" s="107"/>
      <c r="W1099" s="1"/>
      <c r="X1099" s="97">
        <f ca="1">P_2_minQ+(X1096^2*R_dn)-dpdn_minQ</f>
        <v>60</v>
      </c>
      <c r="Y1099" s="107"/>
      <c r="Z1099" s="1"/>
      <c r="AA1099" s="97">
        <f ca="1">P_2_minQ+(AA1096^2*R_dn)-dpdn_minQ</f>
        <v>60</v>
      </c>
      <c r="AB1099" s="107"/>
      <c r="AC1099" s="1"/>
      <c r="AD1099" s="97">
        <f ca="1">P_2_minQ+(AD1096^2*R_dn)-dpdn_minQ</f>
        <v>60</v>
      </c>
      <c r="AE1099" s="107"/>
      <c r="AF1099" s="1"/>
      <c r="AG1099" s="97">
        <f ca="1">P_2_minQ+(AG1096^2*R_dn)-dpdn_minQ</f>
        <v>60</v>
      </c>
      <c r="AH1099" s="107"/>
      <c r="AI1099" s="1"/>
      <c r="AJ1099" s="97">
        <f ca="1">P_2_minQ+(AJ1096^2*R_dn)-dpdn_minQ</f>
        <v>60</v>
      </c>
      <c r="AK1099" s="107"/>
      <c r="AL1099" s="1"/>
      <c r="AM1099" s="97">
        <f ca="1">P_2_minQ+(AM1096^2*R_dn)-dpdn_minQ</f>
        <v>60</v>
      </c>
      <c r="AN1099" s="107"/>
      <c r="AO1099" s="1"/>
      <c r="AP1099" s="97">
        <f ca="1">P_2_minQ+(AP1096^2*R_dn)-dpdn_minQ</f>
        <v>60</v>
      </c>
      <c r="AQ1099" s="107"/>
      <c r="AR1099" s="1"/>
      <c r="AS1099" s="97">
        <f ca="1">P_2_minQ+(AS1096^2*R_dn)-dpdn_minQ</f>
        <v>60</v>
      </c>
      <c r="AT1099" s="107"/>
      <c r="AU1099" s="1"/>
    </row>
    <row r="1100" spans="15:47" x14ac:dyDescent="0.25">
      <c r="O1100" s="8" t="s">
        <v>138</v>
      </c>
      <c r="P1100" s="1"/>
      <c r="Q1100" s="8"/>
      <c r="R1100" s="97">
        <f>R1098-R1099</f>
        <v>30.184665131375965</v>
      </c>
      <c r="S1100" s="106"/>
      <c r="T1100" s="22"/>
      <c r="U1100" s="97">
        <f ca="1">U1098-U1099</f>
        <v>30.071649630720415</v>
      </c>
      <c r="V1100" s="110"/>
      <c r="W1100" s="25"/>
      <c r="X1100" s="97">
        <f ca="1">X1098-X1099</f>
        <v>29.505171150835352</v>
      </c>
      <c r="Y1100" s="110"/>
      <c r="Z1100" s="25"/>
      <c r="AA1100" s="97">
        <f ca="1">AA1098-AA1099</f>
        <v>27.605813519073422</v>
      </c>
      <c r="AB1100" s="110"/>
      <c r="AC1100" s="25"/>
      <c r="AD1100" s="97">
        <f ca="1">AD1098-AD1099</f>
        <v>22.925444713217772</v>
      </c>
      <c r="AE1100" s="110"/>
      <c r="AF1100" s="25"/>
      <c r="AG1100" s="97">
        <f ca="1">AG1098-AG1099</f>
        <v>14.720506121717733</v>
      </c>
      <c r="AH1100" s="110"/>
      <c r="AI1100" s="25"/>
      <c r="AJ1100" s="97">
        <f ca="1">AJ1098-AJ1099</f>
        <v>2.6442419763672689</v>
      </c>
      <c r="AK1100" s="110"/>
      <c r="AL1100" s="25"/>
      <c r="AM1100" s="97">
        <f ca="1">AM1098-AM1099</f>
        <v>-10.819455630687635</v>
      </c>
      <c r="AN1100" s="110"/>
      <c r="AO1100" s="25"/>
      <c r="AP1100" s="97">
        <f ca="1">AP1098-AP1099</f>
        <v>-25.082825144044023</v>
      </c>
      <c r="AQ1100" s="110"/>
      <c r="AR1100" s="25"/>
      <c r="AS1100" s="97">
        <f ca="1">AS1098-AS1099</f>
        <v>-45.80499620093147</v>
      </c>
      <c r="AT1100" s="110"/>
      <c r="AU1100" s="25"/>
    </row>
    <row r="1101" spans="15:47" ht="14.4" x14ac:dyDescent="0.3">
      <c r="O1101" s="2" t="s">
        <v>140</v>
      </c>
      <c r="P1101" s="11"/>
      <c r="Q1101" s="2"/>
      <c r="R1101" s="96">
        <f>R1100/R1098</f>
        <v>0.33469842225842539</v>
      </c>
      <c r="S1101" s="106"/>
      <c r="T1101" s="22"/>
      <c r="U1101" s="96">
        <f ca="1">U1100/U1098</f>
        <v>0.33386364915053124</v>
      </c>
      <c r="V1101" s="111"/>
      <c r="W1101" s="28"/>
      <c r="X1101" s="96">
        <f ca="1">X1100/X1098</f>
        <v>0.32964767031295689</v>
      </c>
      <c r="Y1101" s="111"/>
      <c r="Z1101" s="28"/>
      <c r="AA1101" s="96">
        <f ca="1">AA1100/AA1098</f>
        <v>0.31511394518427843</v>
      </c>
      <c r="AB1101" s="111"/>
      <c r="AC1101" s="28"/>
      <c r="AD1101" s="96">
        <f ca="1">AD1100/AD1098</f>
        <v>0.27645850791034232</v>
      </c>
      <c r="AE1101" s="111"/>
      <c r="AF1101" s="28"/>
      <c r="AG1101" s="96">
        <f ca="1">AG1100/AG1098</f>
        <v>0.19700758045908331</v>
      </c>
      <c r="AH1101" s="111"/>
      <c r="AI1101" s="28"/>
      <c r="AJ1101" s="96">
        <f ca="1">AJ1100/AJ1098</f>
        <v>4.2210455309920063E-2</v>
      </c>
      <c r="AK1101" s="111"/>
      <c r="AL1101" s="28"/>
      <c r="AM1101" s="96">
        <f ca="1">AM1100/AM1098</f>
        <v>-0.21999462936890041</v>
      </c>
      <c r="AN1101" s="111"/>
      <c r="AO1101" s="28"/>
      <c r="AP1101" s="96">
        <f ca="1">AP1100/AP1098</f>
        <v>-0.71835207881274321</v>
      </c>
      <c r="AQ1101" s="111"/>
      <c r="AR1101" s="28"/>
      <c r="AS1101" s="96">
        <f ca="1">AS1100/AS1098</f>
        <v>-3.2268393055264402</v>
      </c>
      <c r="AT1101" s="111"/>
      <c r="AU1101" s="28"/>
    </row>
    <row r="1102" spans="15:47" x14ac:dyDescent="0.25">
      <c r="O1102" s="2" t="s">
        <v>21</v>
      </c>
      <c r="P1102" s="8">
        <v>12</v>
      </c>
      <c r="Q1102" s="2"/>
      <c r="R1102" s="96">
        <f ca="1">1-R1101/(3*F_GAMMA*R$29)</f>
        <v>0.8256859936559191</v>
      </c>
      <c r="S1102" s="106"/>
      <c r="T1102" s="22"/>
      <c r="U1102" s="96">
        <f ca="1">1-U1101/(3*F_GAMMA*U$29)</f>
        <v>0.82616114590680678</v>
      </c>
      <c r="V1102" s="111"/>
      <c r="W1102" s="28"/>
      <c r="X1102" s="96">
        <f ca="1">1-X1101/(3*F_GAMMA*X$29)</f>
        <v>0.82672158264977291</v>
      </c>
      <c r="Y1102" s="111"/>
      <c r="Z1102" s="28"/>
      <c r="AA1102" s="96">
        <f ca="1">1-AA1101/(3*F_GAMMA*AA$29)</f>
        <v>0.83202633836130702</v>
      </c>
      <c r="AB1102" s="111"/>
      <c r="AC1102" s="28"/>
      <c r="AD1102" s="96">
        <f ca="1">1-AD1101/(3*F_GAMMA*AD$29)</f>
        <v>0.84806138441756185</v>
      </c>
      <c r="AE1102" s="111"/>
      <c r="AF1102" s="28"/>
      <c r="AG1102" s="96">
        <f ca="1">1-AG1101/(3*F_GAMMA*AG$29)</f>
        <v>0.88522969415607455</v>
      </c>
      <c r="AH1102" s="111"/>
      <c r="AI1102" s="28"/>
      <c r="AJ1102" s="96">
        <f ca="1">1-AJ1101/(3*F_GAMMA*AJ$29)</f>
        <v>0.97354403256837951</v>
      </c>
      <c r="AK1102" s="111"/>
      <c r="AL1102" s="28"/>
      <c r="AM1102" s="96">
        <f ca="1">1-AM1101/(3*F_GAMMA*AM$29)</f>
        <v>1.1541663226165599</v>
      </c>
      <c r="AN1102" s="111"/>
      <c r="AO1102" s="28"/>
      <c r="AP1102" s="96">
        <f ca="1">1-AP1101/(3*F_GAMMA*AP$29)</f>
        <v>1.4054764303987726</v>
      </c>
      <c r="AQ1102" s="111"/>
      <c r="AR1102" s="28"/>
      <c r="AS1102" s="96">
        <f ca="1">1-AS1101/(3*F_GAMMA*AS$29)</f>
        <v>3.8554334576576963</v>
      </c>
      <c r="AT1102" s="111"/>
      <c r="AU1102" s="28"/>
    </row>
    <row r="1103" spans="15:47" x14ac:dyDescent="0.25">
      <c r="O1103" s="2" t="s">
        <v>57</v>
      </c>
      <c r="P1103" s="143">
        <v>7</v>
      </c>
      <c r="Q1103" s="2"/>
      <c r="R1103" s="96">
        <f ca="1">(R1096/(N_9*R$27*R1098*R1102))*SQRT(M*'Valve Sizing'!$W$6*'Valve Sizing'!$G$8/R1101)</f>
        <v>0.57957721614089175</v>
      </c>
      <c r="S1103" s="107"/>
      <c r="T1103" s="22"/>
      <c r="U1103" s="96">
        <f ca="1">(U1096/(N_9*U$27*U1098*U1102))*SQRT(M*'Valve Sizing'!$W$6*'Valve Sizing'!$G$8/U1101)</f>
        <v>10.098939691411569</v>
      </c>
      <c r="V1103" s="111"/>
      <c r="W1103" s="28"/>
      <c r="X1103" s="96">
        <f ca="1">(X1096/(N_9*X$27*X1098*X1102))*SQRT(M*'Valve Sizing'!$W$6*'Valve Sizing'!$G$8/X1101)</f>
        <v>25.084362139236941</v>
      </c>
      <c r="Y1103" s="111"/>
      <c r="Z1103" s="28"/>
      <c r="AA1103" s="96">
        <f ca="1">(AA1096/(N_9*AA$27*AA1098*AA1102))*SQRT(M*'Valve Sizing'!$W$6*'Valve Sizing'!$G$8/AA1101)</f>
        <v>51.030910829090054</v>
      </c>
      <c r="AB1103" s="111"/>
      <c r="AC1103" s="28"/>
      <c r="AD1103" s="96">
        <f ca="1">(AD1096/(N_9*AD$27*AD1098*AD1102))*SQRT(M*'Valve Sizing'!$W$6*'Valve Sizing'!$G$8/AD1101)</f>
        <v>95.910333416774918</v>
      </c>
      <c r="AE1103" s="111"/>
      <c r="AF1103" s="28"/>
      <c r="AG1103" s="96">
        <f ca="1">(AG1096/(N_9*AG$27*AG1098*AG1102))*SQRT(M*'Valve Sizing'!$W$6*'Valve Sizing'!$G$8/AG1101)</f>
        <v>180.27510144893756</v>
      </c>
      <c r="AH1103" s="111"/>
      <c r="AI1103" s="28"/>
      <c r="AJ1103" s="96">
        <f ca="1">(AJ1096/(N_9*AJ$27*AJ1098*AJ1102))*SQRT(M*'Valve Sizing'!$W$6*'Valve Sizing'!$G$8/AJ1101)</f>
        <v>584.07564682824977</v>
      </c>
      <c r="AK1103" s="111"/>
      <c r="AL1103" s="28"/>
      <c r="AM1103" s="96" t="e">
        <f ca="1">(AM1096/(N_9*AM$27*AM1098*AM1102))*SQRT(M*'Valve Sizing'!$W$6*'Valve Sizing'!$G$8/AM1101)</f>
        <v>#NUM!</v>
      </c>
      <c r="AN1103" s="111"/>
      <c r="AO1103" s="28"/>
      <c r="AP1103" s="96" t="e">
        <f ca="1">(AP1096/(N_9*AP$27*AP1098*AP1102))*SQRT(M*'Valve Sizing'!$W$6*'Valve Sizing'!$G$8/AP1101)</f>
        <v>#NUM!</v>
      </c>
      <c r="AQ1103" s="111"/>
      <c r="AR1103" s="28"/>
      <c r="AS1103" s="96" t="e">
        <f ca="1">(AS1096/(N_9*AS$27*AS1098*AS1102))*SQRT(M*'Valve Sizing'!$W$6*'Valve Sizing'!$G$8/AS1101)</f>
        <v>#NUM!</v>
      </c>
      <c r="AT1103" s="111"/>
      <c r="AU1103" s="28"/>
    </row>
    <row r="1104" spans="15:47" x14ac:dyDescent="0.25">
      <c r="O1104" s="2" t="s">
        <v>59</v>
      </c>
      <c r="P1104" s="143">
        <v>7</v>
      </c>
      <c r="Q1104" s="2"/>
      <c r="R1104" s="96">
        <f ca="1">(R1096/(N_9*R$27*R1098*0.667))*SQRT(M*'Valve Sizing'!$W$6*'Valve Sizing'!$G$8/R1105)</f>
        <v>0.51883248220742306</v>
      </c>
      <c r="S1104" s="107"/>
      <c r="T1104" s="22"/>
      <c r="U1104" s="96">
        <f ca="1">(U1096/(N_9*U$27*U1098*0.667))*SQRT(M*'Valve Sizing'!$W$6*'Valve Sizing'!$G$8/U1105)</f>
        <v>9.0333484685564986</v>
      </c>
      <c r="V1104" s="111"/>
      <c r="W1104" s="28"/>
      <c r="X1104" s="96">
        <f ca="1">(X1096/(N_9*X$27*X1098*0.667))*SQRT(M*'Valve Sizing'!$W$6*'Valve Sizing'!$G$8/X1105)</f>
        <v>22.416580643427427</v>
      </c>
      <c r="Y1104" s="111"/>
      <c r="Z1104" s="28"/>
      <c r="AA1104" s="96">
        <f ca="1">(AA1096/(N_9*AA$27*AA1098*0.667))*SQRT(M*'Valve Sizing'!$W$6*'Valve Sizing'!$G$8/AA1105)</f>
        <v>45.188277023826394</v>
      </c>
      <c r="AB1104" s="111"/>
      <c r="AC1104" s="28"/>
      <c r="AD1104" s="96">
        <f ca="1">(AD1096/(N_9*AD$27*AD1098*0.667))*SQRT(M*'Valve Sizing'!$W$6*'Valve Sizing'!$G$8/AD1105)</f>
        <v>82.330653980378017</v>
      </c>
      <c r="AE1104" s="111"/>
      <c r="AF1104" s="28"/>
      <c r="AG1104" s="96">
        <f ca="1">(AG1096/(N_9*AG$27*AG1098*0.667))*SQRT(M*'Valve Sizing'!$W$6*'Valve Sizing'!$G$8/AG1105)</f>
        <v>140.39165219075014</v>
      </c>
      <c r="AH1104" s="111"/>
      <c r="AI1104" s="28"/>
      <c r="AJ1104" s="96">
        <f ca="1">(AJ1096/(N_9*AJ$27*AJ1098*0.667))*SQRT(M*'Valve Sizing'!$W$6*'Valve Sizing'!$G$8/AJ1105)</f>
        <v>240.17141388147968</v>
      </c>
      <c r="AK1104" s="111"/>
      <c r="AL1104" s="28"/>
      <c r="AM1104" s="96">
        <f ca="1">(AM1096/(N_9*AM$27*AM1098*0.667))*SQRT(M*'Valve Sizing'!$W$6*'Valve Sizing'!$G$8/AM1105)</f>
        <v>418.78606453301097</v>
      </c>
      <c r="AN1104" s="111"/>
      <c r="AO1104" s="28"/>
      <c r="AP1104" s="96">
        <f ca="1">(AP1096/(N_9*AP$27*AP1098*0.667))*SQRT(M*'Valve Sizing'!$W$6*'Valve Sizing'!$G$8/AP1105)</f>
        <v>699.53418370721158</v>
      </c>
      <c r="AQ1104" s="111"/>
      <c r="AR1104" s="28"/>
      <c r="AS1104" s="96">
        <f ca="1">(AS1096/(N_9*AS$27*AS1098*0.667))*SQRT(M*'Valve Sizing'!$W$6*'Valve Sizing'!$G$8/AS1105)</f>
        <v>3383.7225733376181</v>
      </c>
      <c r="AT1104" s="111"/>
      <c r="AU1104" s="28"/>
    </row>
    <row r="1105" spans="15:47" ht="15.6" x14ac:dyDescent="0.35">
      <c r="O1105" s="2" t="s">
        <v>68</v>
      </c>
      <c r="P1105" s="143">
        <v>10</v>
      </c>
      <c r="Q1105" s="2"/>
      <c r="R1105" s="96">
        <f ca="1">F_GAMMA*R$29</f>
        <v>0.64002969751372984</v>
      </c>
      <c r="S1105" s="107"/>
      <c r="T1105" s="1"/>
      <c r="U1105" s="96">
        <f ca="1">F_GAMMA*U$29</f>
        <v>0.64017842058782071</v>
      </c>
      <c r="V1105" s="111"/>
      <c r="W1105" s="28"/>
      <c r="X1105" s="96">
        <f ca="1">F_GAMMA*X$29</f>
        <v>0.63413873724904268</v>
      </c>
      <c r="Y1105" s="111"/>
      <c r="Z1105" s="28"/>
      <c r="AA1105" s="96">
        <f ca="1">F_GAMMA*AA$29</f>
        <v>0.62532411750377137</v>
      </c>
      <c r="AB1105" s="111"/>
      <c r="AC1105" s="28"/>
      <c r="AD1105" s="96">
        <f ca="1">F_GAMMA*AD$29</f>
        <v>0.60651359509139569</v>
      </c>
      <c r="AE1105" s="111"/>
      <c r="AF1105" s="28"/>
      <c r="AG1105" s="96">
        <f ca="1">F_GAMMA*AG$29</f>
        <v>0.57217930198481592</v>
      </c>
      <c r="AH1105" s="111"/>
      <c r="AI1105" s="28"/>
      <c r="AJ1105" s="96">
        <f ca="1">F_GAMMA*AJ$29</f>
        <v>0.53183282018848232</v>
      </c>
      <c r="AK1105" s="111"/>
      <c r="AL1105" s="28"/>
      <c r="AM1105" s="96">
        <f ca="1">F_GAMMA*AM$29</f>
        <v>0.47566512503094399</v>
      </c>
      <c r="AN1105" s="111"/>
      <c r="AO1105" s="28"/>
      <c r="AP1105" s="96">
        <f ca="1">F_GAMMA*AP$29</f>
        <v>0.59054158265645496</v>
      </c>
      <c r="AQ1105" s="111"/>
      <c r="AR1105" s="28"/>
      <c r="AS1105" s="96">
        <f ca="1">F_GAMMA*AS$29</f>
        <v>0.3766899554102966</v>
      </c>
      <c r="AT1105" s="111"/>
      <c r="AU1105" s="28"/>
    </row>
    <row r="1106" spans="15:47" x14ac:dyDescent="0.25">
      <c r="O1106" s="2" t="s">
        <v>145</v>
      </c>
      <c r="P1106" s="12"/>
      <c r="Q1106" s="2"/>
      <c r="R1106" s="96">
        <f ca="1">IF(R1101&lt;R1105,R1103,R1104)</f>
        <v>0.57957721614089175</v>
      </c>
      <c r="S1106" s="116"/>
      <c r="T1106" s="1"/>
      <c r="U1106" s="96">
        <f ca="1">IF(U1101&lt;U1105,U1103,U1104)</f>
        <v>10.098939691411569</v>
      </c>
      <c r="V1106" s="111"/>
      <c r="W1106" s="28"/>
      <c r="X1106" s="96">
        <f ca="1">IF(X1101&lt;X1105,X1103,X1104)</f>
        <v>25.084362139236941</v>
      </c>
      <c r="Y1106" s="111"/>
      <c r="Z1106" s="28"/>
      <c r="AA1106" s="96">
        <f ca="1">IF(AA1101&lt;AA1105,AA1103,AA1104)</f>
        <v>51.030910829090054</v>
      </c>
      <c r="AB1106" s="111"/>
      <c r="AC1106" s="28"/>
      <c r="AD1106" s="96">
        <f ca="1">IF(AD1101&lt;AD1105,AD1103,AD1104)</f>
        <v>95.910333416774918</v>
      </c>
      <c r="AE1106" s="111"/>
      <c r="AF1106" s="28"/>
      <c r="AG1106" s="96">
        <f ca="1">IF(AG1101&lt;AG1105,AG1103,AG1104)</f>
        <v>180.27510144893756</v>
      </c>
      <c r="AH1106" s="111"/>
      <c r="AI1106" s="28"/>
      <c r="AJ1106" s="96">
        <f ca="1">IF(AJ1101&lt;AJ1105,AJ1103,AJ1104)</f>
        <v>584.07564682824977</v>
      </c>
      <c r="AK1106" s="111"/>
      <c r="AL1106" s="28"/>
      <c r="AM1106" s="96" t="e">
        <f ca="1">IF(AM1101&lt;AM1105,AM1103,AM1104)</f>
        <v>#NUM!</v>
      </c>
      <c r="AN1106" s="111"/>
      <c r="AO1106" s="28"/>
      <c r="AP1106" s="96" t="e">
        <f ca="1">IF(AP1101&lt;AP1105,AP1103,AP1104)</f>
        <v>#NUM!</v>
      </c>
      <c r="AQ1106" s="111"/>
      <c r="AR1106" s="28"/>
      <c r="AS1106" s="96" t="e">
        <f ca="1">IF(AS1101&lt;AS1105,AS1103,AS1104)</f>
        <v>#NUM!</v>
      </c>
      <c r="AT1106" s="111"/>
      <c r="AU1106" s="28"/>
    </row>
    <row r="1107" spans="15:47" x14ac:dyDescent="0.25">
      <c r="O1107" s="13" t="s">
        <v>143</v>
      </c>
      <c r="P1107" s="1"/>
      <c r="Q1107" s="1"/>
      <c r="R1107" s="113"/>
      <c r="S1107" s="106">
        <f ca="1">IF(R1100&lt;=0,Q_max,ABS(R$23-R1106))</f>
        <v>4.150422783859109</v>
      </c>
      <c r="T1107" s="7">
        <f>R1096</f>
        <v>1435.1580040886763</v>
      </c>
      <c r="U1107" s="98"/>
      <c r="V1107" s="106">
        <f ca="1">IF(U1100&lt;=0,Q_max,ABS(U$23-U1106))</f>
        <v>1.5010603085884302</v>
      </c>
      <c r="W1107" s="9">
        <f ca="1">U1096</f>
        <v>24942.635013104798</v>
      </c>
      <c r="X1107" s="98"/>
      <c r="Y1107" s="106">
        <f ca="1">IF(X1100&lt;=0,Q_max,ABS(X$23-X1106))</f>
        <v>2.0843621392369407</v>
      </c>
      <c r="Z1107" s="9">
        <f ca="1">X1096</f>
        <v>61075.351084919675</v>
      </c>
      <c r="AA1107" s="98"/>
      <c r="AB1107" s="106">
        <f ca="1">IF(AA1100&lt;=0,Q_max,ABS(AA$23-AA1106))</f>
        <v>11.630910829090055</v>
      </c>
      <c r="AC1107" s="9">
        <f ca="1">AA1096</f>
        <v>118959.19471019063</v>
      </c>
      <c r="AD1107" s="98"/>
      <c r="AE1107" s="106">
        <f ca="1">IF(AD1100&lt;=0,Q_max,ABS(AD$23-AD1106))</f>
        <v>34.910333416774918</v>
      </c>
      <c r="AF1107" s="9">
        <f ca="1">AD1096</f>
        <v>199576.52307144023</v>
      </c>
      <c r="AG1107" s="98"/>
      <c r="AH1107" s="106">
        <f ca="1">IF(AG1100&lt;=0,Q_max,ABS(AG$23-AG1106))</f>
        <v>92.075101448937559</v>
      </c>
      <c r="AI1107" s="9">
        <f ca="1">AG1096</f>
        <v>291287.37111724366</v>
      </c>
      <c r="AJ1107" s="98"/>
      <c r="AK1107" s="106">
        <f ca="1">IF(AJ1100&lt;=0,Q_max,ABS(AJ$23-AJ1106))</f>
        <v>463.07564682824977</v>
      </c>
      <c r="AL1107" s="9">
        <f ca="1">AJ1096</f>
        <v>388724.12595104007</v>
      </c>
      <c r="AM1107" s="98"/>
      <c r="AN1107" s="106">
        <f ca="1">IF(AM1100&lt;=0,Q_max,ABS(AM$23-AM1106))</f>
        <v>236393</v>
      </c>
      <c r="AO1107" s="9">
        <f ca="1">AM1096</f>
        <v>474317.30677293806</v>
      </c>
      <c r="AP1107" s="98"/>
      <c r="AQ1107" s="106">
        <f ca="1">IF(AP1100&lt;=0,Q_max,ABS(AP$23-AP1106))</f>
        <v>236393</v>
      </c>
      <c r="AR1107" s="9">
        <f ca="1">AP1096</f>
        <v>550667.66815808904</v>
      </c>
      <c r="AS1107" s="98"/>
      <c r="AT1107" s="106">
        <f ca="1">IF(AS1100&lt;=0,Q_max,ABS(AS$23-AS1106))</f>
        <v>236393</v>
      </c>
      <c r="AU1107" s="9">
        <f ca="1">AS1096</f>
        <v>645701.14813210513</v>
      </c>
    </row>
    <row r="1108" spans="15:47" x14ac:dyDescent="0.25">
      <c r="O1108" s="21"/>
      <c r="P1108" s="14"/>
      <c r="Q1108" s="21"/>
      <c r="R1108" s="97"/>
      <c r="S1108" s="106"/>
      <c r="T1108" s="28"/>
      <c r="U1108" s="97"/>
      <c r="V1108" s="111"/>
      <c r="W1108" s="28"/>
      <c r="X1108" s="97"/>
      <c r="Y1108" s="111"/>
      <c r="Z1108" s="28"/>
      <c r="AA1108" s="97"/>
      <c r="AB1108" s="111"/>
      <c r="AC1108" s="28"/>
      <c r="AD1108" s="97"/>
      <c r="AE1108" s="111"/>
      <c r="AF1108" s="28"/>
      <c r="AG1108" s="97"/>
      <c r="AH1108" s="111"/>
      <c r="AI1108" s="28"/>
      <c r="AJ1108" s="97"/>
      <c r="AK1108" s="111"/>
      <c r="AL1108" s="28"/>
      <c r="AM1108" s="97"/>
      <c r="AN1108" s="111"/>
      <c r="AO1108" s="28"/>
      <c r="AP1108" s="97"/>
      <c r="AQ1108" s="111"/>
      <c r="AR1108" s="28"/>
      <c r="AS1108" s="97"/>
      <c r="AT1108" s="111"/>
      <c r="AU1108" s="28"/>
    </row>
    <row r="1109" spans="15:47" x14ac:dyDescent="0.25">
      <c r="O1109" s="1"/>
      <c r="P1109" s="1"/>
      <c r="Q1109" s="1"/>
      <c r="R1109" s="98"/>
      <c r="S1109" s="108" t="s">
        <v>137</v>
      </c>
      <c r="T1109" s="26" t="s">
        <v>146</v>
      </c>
      <c r="U1109" s="98"/>
      <c r="V1109" s="108" t="s">
        <v>137</v>
      </c>
      <c r="W1109" s="26" t="s">
        <v>146</v>
      </c>
      <c r="X1109" s="98"/>
      <c r="Y1109" s="108" t="s">
        <v>137</v>
      </c>
      <c r="Z1109" s="26" t="s">
        <v>146</v>
      </c>
      <c r="AA1109" s="98"/>
      <c r="AB1109" s="108" t="s">
        <v>137</v>
      </c>
      <c r="AC1109" s="26" t="s">
        <v>146</v>
      </c>
      <c r="AD1109" s="98"/>
      <c r="AE1109" s="108" t="s">
        <v>137</v>
      </c>
      <c r="AF1109" s="26" t="s">
        <v>146</v>
      </c>
      <c r="AG1109" s="98"/>
      <c r="AH1109" s="108" t="s">
        <v>137</v>
      </c>
      <c r="AI1109" s="26" t="s">
        <v>146</v>
      </c>
      <c r="AJ1109" s="98"/>
      <c r="AK1109" s="108" t="s">
        <v>137</v>
      </c>
      <c r="AL1109" s="26" t="s">
        <v>146</v>
      </c>
      <c r="AM1109" s="98"/>
      <c r="AN1109" s="108" t="s">
        <v>137</v>
      </c>
      <c r="AO1109" s="26" t="s">
        <v>146</v>
      </c>
      <c r="AP1109" s="98"/>
      <c r="AQ1109" s="108" t="s">
        <v>137</v>
      </c>
      <c r="AR1109" s="26" t="s">
        <v>146</v>
      </c>
      <c r="AS1109" s="98"/>
      <c r="AT1109" s="108" t="s">
        <v>137</v>
      </c>
      <c r="AU1109" s="26" t="s">
        <v>146</v>
      </c>
    </row>
    <row r="1110" spans="15:47" ht="13.8" x14ac:dyDescent="0.25">
      <c r="O1110" s="20" t="s">
        <v>136</v>
      </c>
      <c r="P1110" s="1"/>
      <c r="Q1110" s="1"/>
      <c r="R1110" s="96">
        <f>R1096*1.02</f>
        <v>1463.8611641704499</v>
      </c>
      <c r="S1110" s="109" t="s">
        <v>144</v>
      </c>
      <c r="T1110" s="23" t="s">
        <v>147</v>
      </c>
      <c r="U1110" s="96">
        <f ca="1">U1096*1.01</f>
        <v>25192.061363235847</v>
      </c>
      <c r="V1110" s="109" t="s">
        <v>144</v>
      </c>
      <c r="W1110" s="23" t="s">
        <v>147</v>
      </c>
      <c r="X1110" s="96">
        <f ca="1">X1096*1.01</f>
        <v>61686.104595768869</v>
      </c>
      <c r="Y1110" s="109" t="s">
        <v>144</v>
      </c>
      <c r="Z1110" s="23" t="s">
        <v>147</v>
      </c>
      <c r="AA1110" s="96">
        <f ca="1">AA1096*1.01</f>
        <v>120148.78665729253</v>
      </c>
      <c r="AB1110" s="109" t="s">
        <v>144</v>
      </c>
      <c r="AC1110" s="23" t="s">
        <v>147</v>
      </c>
      <c r="AD1110" s="96">
        <f ca="1">AD1096*1.01</f>
        <v>201572.28830215463</v>
      </c>
      <c r="AE1110" s="109" t="s">
        <v>144</v>
      </c>
      <c r="AF1110" s="23" t="s">
        <v>147</v>
      </c>
      <c r="AG1110" s="96">
        <f ca="1">AG1096*1.01</f>
        <v>294200.24482841609</v>
      </c>
      <c r="AH1110" s="109" t="s">
        <v>144</v>
      </c>
      <c r="AI1110" s="23" t="s">
        <v>147</v>
      </c>
      <c r="AJ1110" s="96">
        <f ca="1">AJ1096*1.01</f>
        <v>392611.36721055047</v>
      </c>
      <c r="AK1110" s="109" t="s">
        <v>144</v>
      </c>
      <c r="AL1110" s="23" t="s">
        <v>147</v>
      </c>
      <c r="AM1110" s="96">
        <f ca="1">AM1096*1.01</f>
        <v>479060.47984066745</v>
      </c>
      <c r="AN1110" s="109" t="s">
        <v>144</v>
      </c>
      <c r="AO1110" s="23" t="s">
        <v>147</v>
      </c>
      <c r="AP1110" s="96">
        <f ca="1">AP1096*1.01</f>
        <v>556174.34483967</v>
      </c>
      <c r="AQ1110" s="109" t="s">
        <v>144</v>
      </c>
      <c r="AR1110" s="23" t="s">
        <v>147</v>
      </c>
      <c r="AS1110" s="96">
        <f ca="1">AS1096*1.01</f>
        <v>652158.15961342619</v>
      </c>
      <c r="AT1110" s="109" t="s">
        <v>144</v>
      </c>
      <c r="AU1110" s="23" t="s">
        <v>147</v>
      </c>
    </row>
    <row r="1111" spans="15:47" x14ac:dyDescent="0.25">
      <c r="O1111" s="1"/>
      <c r="P1111" s="1"/>
      <c r="Q1111" s="1"/>
      <c r="R1111" s="98"/>
      <c r="S1111" s="107"/>
      <c r="T1111" s="1"/>
      <c r="U1111" s="47"/>
      <c r="V1111" s="107"/>
      <c r="W1111" s="1"/>
      <c r="X1111" s="47"/>
      <c r="Y1111" s="107"/>
      <c r="Z1111" s="1"/>
      <c r="AA1111" s="47"/>
      <c r="AB1111" s="107"/>
      <c r="AC1111" s="1"/>
      <c r="AD1111" s="47"/>
      <c r="AE1111" s="107"/>
      <c r="AF1111" s="1"/>
      <c r="AG1111" s="47"/>
      <c r="AH1111" s="107"/>
      <c r="AI1111" s="1"/>
      <c r="AJ1111" s="47"/>
      <c r="AK1111" s="107"/>
      <c r="AL1111" s="1"/>
      <c r="AM1111" s="47"/>
      <c r="AN1111" s="107"/>
      <c r="AO1111" s="1"/>
      <c r="AP1111" s="47"/>
      <c r="AQ1111" s="107"/>
      <c r="AR1111" s="1"/>
      <c r="AS1111" s="47"/>
      <c r="AT1111" s="107"/>
      <c r="AU1111" s="1"/>
    </row>
    <row r="1112" spans="15:47" x14ac:dyDescent="0.25">
      <c r="O1112" s="8" t="s">
        <v>132</v>
      </c>
      <c r="P1112" s="8"/>
      <c r="Q1112" s="8"/>
      <c r="R1112" s="96">
        <f>P_1_minQ-(R1110^2*R_up)+dpup_minQ</f>
        <v>90.184649965261229</v>
      </c>
      <c r="S1112" s="106"/>
      <c r="T1112" s="22"/>
      <c r="U1112" s="96">
        <f ca="1">P_1_minQ-(U1110^2*R_up)+dpup_minQ</f>
        <v>90.069370473639751</v>
      </c>
      <c r="V1112" s="107"/>
      <c r="W1112" s="1"/>
      <c r="X1112" s="96">
        <f ca="1">P_1_minQ-(X1110^2*R_up)+dpup_minQ</f>
        <v>89.491505776309012</v>
      </c>
      <c r="Y1112" s="107"/>
      <c r="Z1112" s="1"/>
      <c r="AA1112" s="96">
        <f ca="1">P_1_minQ-(AA1110^2*R_up)+dpup_minQ</f>
        <v>87.553971056148654</v>
      </c>
      <c r="AB1112" s="107"/>
      <c r="AC1112" s="1"/>
      <c r="AD1112" s="96">
        <f ca="1">P_1_minQ-(AD1110^2*R_up)+dpup_minQ</f>
        <v>82.779526837295307</v>
      </c>
      <c r="AE1112" s="107"/>
      <c r="AF1112" s="1"/>
      <c r="AG1112" s="96">
        <f ca="1">P_1_minQ-(AG1110^2*R_up)+dpup_minQ</f>
        <v>74.409668980106119</v>
      </c>
      <c r="AH1112" s="107"/>
      <c r="AI1112" s="1"/>
      <c r="AJ1112" s="96">
        <f ca="1">P_1_minQ-(AJ1110^2*R_up)+dpup_minQ</f>
        <v>62.090671925434108</v>
      </c>
      <c r="AK1112" s="107"/>
      <c r="AL1112" s="1"/>
      <c r="AM1112" s="96">
        <f ca="1">P_1_minQ-(AM1110^2*R_up)+dpup_minQ</f>
        <v>48.356353996477409</v>
      </c>
      <c r="AN1112" s="107"/>
      <c r="AO1112" s="1"/>
      <c r="AP1112" s="96">
        <f ca="1">P_1_minQ-(AP1110^2*R_up)+dpup_minQ</f>
        <v>33.806290755902545</v>
      </c>
      <c r="AQ1112" s="107"/>
      <c r="AR1112" s="1"/>
      <c r="AS1112" s="96">
        <f ca="1">P_1_minQ-(AS1110^2*R_up)+dpup_minQ</f>
        <v>12.667604060771664</v>
      </c>
      <c r="AT1112" s="107"/>
      <c r="AU1112" s="1"/>
    </row>
    <row r="1113" spans="15:47" x14ac:dyDescent="0.25">
      <c r="O1113" s="8" t="s">
        <v>134</v>
      </c>
      <c r="P1113" s="1"/>
      <c r="Q1113" s="8"/>
      <c r="R1113" s="97">
        <f>P_2_minQ+(R1110^2*R_dn)-dpdn_minQ</f>
        <v>60</v>
      </c>
      <c r="S1113" s="106"/>
      <c r="T1113" s="22"/>
      <c r="U1113" s="97">
        <f ca="1">P_2_minQ+(U1110^2*R_dn)-dpdn_minQ</f>
        <v>60</v>
      </c>
      <c r="V1113" s="107"/>
      <c r="W1113" s="1"/>
      <c r="X1113" s="97">
        <f ca="1">P_2_minQ+(X1110^2*R_dn)-dpdn_minQ</f>
        <v>60</v>
      </c>
      <c r="Y1113" s="107"/>
      <c r="Z1113" s="1"/>
      <c r="AA1113" s="97">
        <f ca="1">P_2_minQ+(AA1110^2*R_dn)-dpdn_minQ</f>
        <v>60</v>
      </c>
      <c r="AB1113" s="107"/>
      <c r="AC1113" s="1"/>
      <c r="AD1113" s="97">
        <f ca="1">P_2_minQ+(AD1110^2*R_dn)-dpdn_minQ</f>
        <v>60</v>
      </c>
      <c r="AE1113" s="107"/>
      <c r="AF1113" s="1"/>
      <c r="AG1113" s="97">
        <f ca="1">P_2_minQ+(AG1110^2*R_dn)-dpdn_minQ</f>
        <v>60</v>
      </c>
      <c r="AH1113" s="107"/>
      <c r="AI1113" s="1"/>
      <c r="AJ1113" s="97">
        <f ca="1">P_2_minQ+(AJ1110^2*R_dn)-dpdn_minQ</f>
        <v>60</v>
      </c>
      <c r="AK1113" s="107"/>
      <c r="AL1113" s="1"/>
      <c r="AM1113" s="97">
        <f ca="1">P_2_minQ+(AM1110^2*R_dn)-dpdn_minQ</f>
        <v>60</v>
      </c>
      <c r="AN1113" s="107"/>
      <c r="AO1113" s="1"/>
      <c r="AP1113" s="97">
        <f ca="1">P_2_minQ+(AP1110^2*R_dn)-dpdn_minQ</f>
        <v>60</v>
      </c>
      <c r="AQ1113" s="107"/>
      <c r="AR1113" s="1"/>
      <c r="AS1113" s="97">
        <f ca="1">P_2_minQ+(AS1110^2*R_dn)-dpdn_minQ</f>
        <v>60</v>
      </c>
      <c r="AT1113" s="107"/>
      <c r="AU1113" s="1"/>
    </row>
    <row r="1114" spans="15:47" x14ac:dyDescent="0.25">
      <c r="O1114" s="8" t="s">
        <v>138</v>
      </c>
      <c r="P1114" s="1"/>
      <c r="Q1114" s="8"/>
      <c r="R1114" s="97">
        <f>R1112-R1113</f>
        <v>30.184649965261229</v>
      </c>
      <c r="S1114" s="106"/>
      <c r="T1114" s="22"/>
      <c r="U1114" s="97">
        <f ca="1">U1112-U1113</f>
        <v>30.069370473639751</v>
      </c>
      <c r="V1114" s="110"/>
      <c r="W1114" s="25"/>
      <c r="X1114" s="97">
        <f ca="1">X1112-X1113</f>
        <v>29.491505776309012</v>
      </c>
      <c r="Y1114" s="110"/>
      <c r="Z1114" s="25"/>
      <c r="AA1114" s="97">
        <f ca="1">AA1112-AA1113</f>
        <v>27.553971056148654</v>
      </c>
      <c r="AB1114" s="110"/>
      <c r="AC1114" s="25"/>
      <c r="AD1114" s="97">
        <f ca="1">AD1112-AD1113</f>
        <v>22.779526837295307</v>
      </c>
      <c r="AE1114" s="110"/>
      <c r="AF1114" s="25"/>
      <c r="AG1114" s="97">
        <f ca="1">AG1112-AG1113</f>
        <v>14.409668980106119</v>
      </c>
      <c r="AH1114" s="110"/>
      <c r="AI1114" s="25"/>
      <c r="AJ1114" s="97">
        <f ca="1">AJ1112-AJ1113</f>
        <v>2.0906719254341084</v>
      </c>
      <c r="AK1114" s="110"/>
      <c r="AL1114" s="25"/>
      <c r="AM1114" s="97">
        <f ca="1">AM1112-AM1113</f>
        <v>-11.643646003522591</v>
      </c>
      <c r="AN1114" s="110"/>
      <c r="AO1114" s="25"/>
      <c r="AP1114" s="97">
        <f ca="1">AP1112-AP1113</f>
        <v>-26.193709244097455</v>
      </c>
      <c r="AQ1114" s="110"/>
      <c r="AR1114" s="25"/>
      <c r="AS1114" s="97">
        <f ca="1">AS1112-AS1113</f>
        <v>-47.332395939228334</v>
      </c>
      <c r="AT1114" s="110"/>
      <c r="AU1114" s="25"/>
    </row>
    <row r="1115" spans="15:47" ht="14.4" x14ac:dyDescent="0.3">
      <c r="O1115" s="2" t="s">
        <v>140</v>
      </c>
      <c r="P1115" s="11"/>
      <c r="Q1115" s="2"/>
      <c r="R1115" s="96">
        <f>R1114/R1112</f>
        <v>0.33469831037641368</v>
      </c>
      <c r="S1115" s="106"/>
      <c r="T1115" s="22"/>
      <c r="U1115" s="96">
        <f ca="1">U1114/U1112</f>
        <v>0.33384679292768049</v>
      </c>
      <c r="V1115" s="111"/>
      <c r="W1115" s="28"/>
      <c r="X1115" s="96">
        <f ca="1">X1114/X1112</f>
        <v>0.32954530735045767</v>
      </c>
      <c r="Y1115" s="111"/>
      <c r="Z1115" s="28"/>
      <c r="AA1115" s="96">
        <f ca="1">AA1114/AA1112</f>
        <v>0.31470841040982828</v>
      </c>
      <c r="AB1115" s="111"/>
      <c r="AC1115" s="28"/>
      <c r="AD1115" s="96">
        <f ca="1">AD1114/AD1112</f>
        <v>0.27518310031016352</v>
      </c>
      <c r="AE1115" s="111"/>
      <c r="AF1115" s="28"/>
      <c r="AG1115" s="96">
        <f ca="1">AG1114/AG1112</f>
        <v>0.19365317945385072</v>
      </c>
      <c r="AH1115" s="111"/>
      <c r="AI1115" s="28"/>
      <c r="AJ1115" s="96">
        <f ca="1">AJ1114/AJ1112</f>
        <v>3.3671272360280412E-2</v>
      </c>
      <c r="AK1115" s="111"/>
      <c r="AL1115" s="28"/>
      <c r="AM1115" s="96">
        <f ca="1">AM1114/AM1112</f>
        <v>-0.24078833578666392</v>
      </c>
      <c r="AN1115" s="111"/>
      <c r="AO1115" s="28"/>
      <c r="AP1115" s="96">
        <f ca="1">AP1114/AP1112</f>
        <v>-0.77481760519746046</v>
      </c>
      <c r="AQ1115" s="111"/>
      <c r="AR1115" s="28"/>
      <c r="AS1115" s="96">
        <f ca="1">AS1114/AS1112</f>
        <v>-3.7364915821615141</v>
      </c>
      <c r="AT1115" s="111"/>
      <c r="AU1115" s="28"/>
    </row>
    <row r="1116" spans="15:47" x14ac:dyDescent="0.25">
      <c r="O1116" s="2" t="s">
        <v>21</v>
      </c>
      <c r="P1116" s="8">
        <v>12</v>
      </c>
      <c r="Q1116" s="2"/>
      <c r="R1116" s="96">
        <f ca="1">1-R1115/(3*F_GAMMA*R$29)</f>
        <v>0.82568605192509636</v>
      </c>
      <c r="S1116" s="106"/>
      <c r="T1116" s="22"/>
      <c r="U1116" s="96">
        <f ca="1">1-U1115/(3*F_GAMMA*U$29)</f>
        <v>0.82616992274271617</v>
      </c>
      <c r="V1116" s="111"/>
      <c r="W1116" s="28"/>
      <c r="X1116" s="96">
        <f ca="1">1-X1115/(3*F_GAMMA*X$29)</f>
        <v>0.82677538946758022</v>
      </c>
      <c r="Y1116" s="111"/>
      <c r="Z1116" s="28"/>
      <c r="AA1116" s="96">
        <f ca="1">1-AA1115/(3*F_GAMMA*AA$29)</f>
        <v>0.83224251146956585</v>
      </c>
      <c r="AB1116" s="111"/>
      <c r="AC1116" s="28"/>
      <c r="AD1116" s="96">
        <f ca="1">1-AD1115/(3*F_GAMMA*AD$29)</f>
        <v>0.84876233468506934</v>
      </c>
      <c r="AE1116" s="111"/>
      <c r="AF1116" s="28"/>
      <c r="AG1116" s="96">
        <f ca="1">1-AG1115/(3*F_GAMMA*AG$29)</f>
        <v>0.88718386073381028</v>
      </c>
      <c r="AH1116" s="111"/>
      <c r="AI1116" s="28"/>
      <c r="AJ1116" s="96">
        <f ca="1">1-AJ1115/(3*F_GAMMA*AJ$29)</f>
        <v>0.9788960796938988</v>
      </c>
      <c r="AK1116" s="111"/>
      <c r="AL1116" s="28"/>
      <c r="AM1116" s="96">
        <f ca="1">1-AM1115/(3*F_GAMMA*AM$29)</f>
        <v>1.1687379931213859</v>
      </c>
      <c r="AN1116" s="111"/>
      <c r="AO1116" s="28"/>
      <c r="AP1116" s="96">
        <f ca="1">1-AP1115/(3*F_GAMMA*AP$29)</f>
        <v>1.4373486010993897</v>
      </c>
      <c r="AQ1116" s="111"/>
      <c r="AR1116" s="28"/>
      <c r="AS1116" s="96">
        <f ca="1">1-AS1115/(3*F_GAMMA*AS$29)</f>
        <v>4.3064252873353706</v>
      </c>
      <c r="AT1116" s="111"/>
      <c r="AU1116" s="28"/>
    </row>
    <row r="1117" spans="15:47" x14ac:dyDescent="0.25">
      <c r="O1117" s="2" t="s">
        <v>57</v>
      </c>
      <c r="P1117" s="143">
        <v>7</v>
      </c>
      <c r="Q1117" s="2"/>
      <c r="R1117" s="96">
        <f ca="1">(R1110/(N_9*R$27*R1112*R1116))*SQRT(M*'Valve Sizing'!$W$6*'Valve Sizing'!$G$8/R1115)</f>
        <v>0.59116891696696572</v>
      </c>
      <c r="S1117" s="107"/>
      <c r="T1117" s="22"/>
      <c r="U1117" s="96">
        <f ca="1">(U1110/(N_9*U$27*U1112*U1116))*SQRT(M*'Valve Sizing'!$W$6*'Valve Sizing'!$G$8/U1115)</f>
        <v>10.200336332421154</v>
      </c>
      <c r="V1117" s="111"/>
      <c r="W1117" s="28"/>
      <c r="X1117" s="96">
        <f ca="1">(X1110/(N_9*X$27*X1112*X1116))*SQRT(M*'Valve Sizing'!$W$6*'Valve Sizing'!$G$8/X1115)</f>
        <v>25.341360211844655</v>
      </c>
      <c r="Y1117" s="111"/>
      <c r="Z1117" s="28"/>
      <c r="AA1117" s="96">
        <f ca="1">(AA1110/(N_9*AA$27*AA1112*AA1116))*SQRT(M*'Valve Sizing'!$W$6*'Valve Sizing'!$G$8/AA1115)</f>
        <v>51.591551355350667</v>
      </c>
      <c r="AB1117" s="111"/>
      <c r="AC1117" s="28"/>
      <c r="AD1117" s="96">
        <f ca="1">(AD1110/(N_9*AD$27*AD1112*AD1116))*SQRT(M*'Valve Sizing'!$W$6*'Valve Sizing'!$G$8/AD1115)</f>
        <v>97.184484219894159</v>
      </c>
      <c r="AE1117" s="111"/>
      <c r="AF1117" s="28"/>
      <c r="AG1117" s="96">
        <f ca="1">(AG1110/(N_9*AG$27*AG1112*AG1116))*SQRT(M*'Valve Sizing'!$W$6*'Valve Sizing'!$G$8/AG1115)</f>
        <v>184.00899287608343</v>
      </c>
      <c r="AH1117" s="111"/>
      <c r="AI1117" s="28"/>
      <c r="AJ1117" s="96">
        <f ca="1">(AJ1110/(N_9*AJ$27*AJ1112*AJ1116))*SQRT(M*'Valve Sizing'!$W$6*'Valve Sizing'!$G$8/AJ1115)</f>
        <v>662.74206332328856</v>
      </c>
      <c r="AK1117" s="111"/>
      <c r="AL1117" s="28"/>
      <c r="AM1117" s="96" t="e">
        <f ca="1">(AM1110/(N_9*AM$27*AM1112*AM1116))*SQRT(M*'Valve Sizing'!$W$6*'Valve Sizing'!$G$8/AM1115)</f>
        <v>#NUM!</v>
      </c>
      <c r="AN1117" s="111"/>
      <c r="AO1117" s="28"/>
      <c r="AP1117" s="96" t="e">
        <f ca="1">(AP1110/(N_9*AP$27*AP1112*AP1116))*SQRT(M*'Valve Sizing'!$W$6*'Valve Sizing'!$G$8/AP1115)</f>
        <v>#NUM!</v>
      </c>
      <c r="AQ1117" s="111"/>
      <c r="AR1117" s="28"/>
      <c r="AS1117" s="96" t="e">
        <f ca="1">(AS1110/(N_9*AS$27*AS1112*AS1116))*SQRT(M*'Valve Sizing'!$W$6*'Valve Sizing'!$G$8/AS1115)</f>
        <v>#NUM!</v>
      </c>
      <c r="AT1117" s="111"/>
      <c r="AU1117" s="28"/>
    </row>
    <row r="1118" spans="15:47" x14ac:dyDescent="0.25">
      <c r="O1118" s="2" t="s">
        <v>59</v>
      </c>
      <c r="P1118" s="143">
        <v>7</v>
      </c>
      <c r="Q1118" s="2"/>
      <c r="R1118" s="96">
        <f ca="1">(R1110/(N_9*R$27*R1112*0.667))*SQRT(M*'Valve Sizing'!$W$6*'Valve Sizing'!$G$8/R1119)</f>
        <v>0.52920922084727551</v>
      </c>
      <c r="S1118" s="107"/>
      <c r="T1118" s="22"/>
      <c r="U1118" s="96">
        <f ca="1">(U1110/(N_9*U$27*U1112*0.667))*SQRT(M*'Valve Sizing'!$W$6*'Valve Sizing'!$G$8/U1119)</f>
        <v>9.1239128231173172</v>
      </c>
      <c r="V1118" s="111"/>
      <c r="W1118" s="28"/>
      <c r="X1118" s="96">
        <f ca="1">(X1110/(N_9*X$27*X1112*0.667))*SQRT(M*'Valve Sizing'!$W$6*'Valve Sizing'!$G$8/X1119)</f>
        <v>22.644203697307802</v>
      </c>
      <c r="Y1118" s="111"/>
      <c r="Z1118" s="28"/>
      <c r="AA1118" s="96">
        <f ca="1">(AA1110/(N_9*AA$27*AA1112*0.667))*SQRT(M*'Valve Sizing'!$W$6*'Valve Sizing'!$G$8/AA1119)</f>
        <v>45.667184248392225</v>
      </c>
      <c r="AB1118" s="111"/>
      <c r="AC1118" s="28"/>
      <c r="AD1118" s="96">
        <f ca="1">(AD1110/(N_9*AD$27*AD1112*0.667))*SQRT(M*'Valve Sizing'!$W$6*'Valve Sizing'!$G$8/AD1119)</f>
        <v>83.300538421230854</v>
      </c>
      <c r="AE1118" s="111"/>
      <c r="AF1118" s="28"/>
      <c r="AG1118" s="96">
        <f ca="1">(AG1110/(N_9*AG$27*AG1112*0.667))*SQRT(M*'Valve Sizing'!$W$6*'Valve Sizing'!$G$8/AG1119)</f>
        <v>142.38790207303879</v>
      </c>
      <c r="AH1118" s="111"/>
      <c r="AI1118" s="28"/>
      <c r="AJ1118" s="96">
        <f ca="1">(AJ1110/(N_9*AJ$27*AJ1112*0.667))*SQRT(M*'Valve Sizing'!$W$6*'Valve Sizing'!$G$8/AJ1119)</f>
        <v>244.73579134264463</v>
      </c>
      <c r="AK1118" s="111"/>
      <c r="AL1118" s="28"/>
      <c r="AM1118" s="96">
        <f ca="1">(AM1110/(N_9*AM$27*AM1112*0.667))*SQRT(M*'Valve Sizing'!$W$6*'Valve Sizing'!$G$8/AM1119)</f>
        <v>430.1831336541826</v>
      </c>
      <c r="AN1118" s="111"/>
      <c r="AO1118" s="28"/>
      <c r="AP1118" s="96">
        <f ca="1">(AP1110/(N_9*AP$27*AP1112*0.667))*SQRT(M*'Valve Sizing'!$W$6*'Valve Sizing'!$G$8/AP1119)</f>
        <v>729.74628191109696</v>
      </c>
      <c r="AQ1118" s="111"/>
      <c r="AR1118" s="28"/>
      <c r="AS1118" s="96">
        <f ca="1">(AS1110/(N_9*AS$27*AS1112*0.667))*SQRT(M*'Valve Sizing'!$W$6*'Valve Sizing'!$G$8/AS1119)</f>
        <v>3829.6329833663463</v>
      </c>
      <c r="AT1118" s="111"/>
      <c r="AU1118" s="28"/>
    </row>
    <row r="1119" spans="15:47" ht="15.6" x14ac:dyDescent="0.35">
      <c r="O1119" s="2" t="s">
        <v>68</v>
      </c>
      <c r="P1119" s="143">
        <v>10</v>
      </c>
      <c r="Q1119" s="2"/>
      <c r="R1119" s="96">
        <f ca="1">F_GAMMA*R$29</f>
        <v>0.64002969751372984</v>
      </c>
      <c r="S1119" s="107"/>
      <c r="T1119" s="1"/>
      <c r="U1119" s="96">
        <f ca="1">F_GAMMA*U$29</f>
        <v>0.64017842058782071</v>
      </c>
      <c r="V1119" s="111"/>
      <c r="W1119" s="28"/>
      <c r="X1119" s="96">
        <f ca="1">F_GAMMA*X$29</f>
        <v>0.63413873724904268</v>
      </c>
      <c r="Y1119" s="111"/>
      <c r="Z1119" s="28"/>
      <c r="AA1119" s="96">
        <f ca="1">F_GAMMA*AA$29</f>
        <v>0.62532411750377137</v>
      </c>
      <c r="AB1119" s="111"/>
      <c r="AC1119" s="28"/>
      <c r="AD1119" s="96">
        <f ca="1">F_GAMMA*AD$29</f>
        <v>0.60651359509139569</v>
      </c>
      <c r="AE1119" s="111"/>
      <c r="AF1119" s="28"/>
      <c r="AG1119" s="96">
        <f ca="1">F_GAMMA*AG$29</f>
        <v>0.57217930198481592</v>
      </c>
      <c r="AH1119" s="111"/>
      <c r="AI1119" s="28"/>
      <c r="AJ1119" s="96">
        <f ca="1">F_GAMMA*AJ$29</f>
        <v>0.53183282018848232</v>
      </c>
      <c r="AK1119" s="111"/>
      <c r="AL1119" s="28"/>
      <c r="AM1119" s="96">
        <f ca="1">F_GAMMA*AM$29</f>
        <v>0.47566512503094399</v>
      </c>
      <c r="AN1119" s="111"/>
      <c r="AO1119" s="28"/>
      <c r="AP1119" s="96">
        <f ca="1">F_GAMMA*AP$29</f>
        <v>0.59054158265645496</v>
      </c>
      <c r="AQ1119" s="111"/>
      <c r="AR1119" s="28"/>
      <c r="AS1119" s="96">
        <f ca="1">F_GAMMA*AS$29</f>
        <v>0.3766899554102966</v>
      </c>
      <c r="AT1119" s="111"/>
      <c r="AU1119" s="28"/>
    </row>
    <row r="1120" spans="15:47" x14ac:dyDescent="0.25">
      <c r="O1120" s="2" t="s">
        <v>145</v>
      </c>
      <c r="P1120" s="12"/>
      <c r="Q1120" s="2"/>
      <c r="R1120" s="96">
        <f ca="1">IF(R1115&lt;R1119,R1117,R1118)</f>
        <v>0.59116891696696572</v>
      </c>
      <c r="S1120" s="116"/>
      <c r="T1120" s="1"/>
      <c r="U1120" s="96">
        <f ca="1">IF(U1115&lt;U1119,U1117,U1118)</f>
        <v>10.200336332421154</v>
      </c>
      <c r="V1120" s="111"/>
      <c r="W1120" s="28"/>
      <c r="X1120" s="96">
        <f ca="1">IF(X1115&lt;X1119,X1117,X1118)</f>
        <v>25.341360211844655</v>
      </c>
      <c r="Y1120" s="111"/>
      <c r="Z1120" s="28"/>
      <c r="AA1120" s="96">
        <f ca="1">IF(AA1115&lt;AA1119,AA1117,AA1118)</f>
        <v>51.591551355350667</v>
      </c>
      <c r="AB1120" s="111"/>
      <c r="AC1120" s="28"/>
      <c r="AD1120" s="96">
        <f ca="1">IF(AD1115&lt;AD1119,AD1117,AD1118)</f>
        <v>97.184484219894159</v>
      </c>
      <c r="AE1120" s="111"/>
      <c r="AF1120" s="28"/>
      <c r="AG1120" s="96">
        <f ca="1">IF(AG1115&lt;AG1119,AG1117,AG1118)</f>
        <v>184.00899287608343</v>
      </c>
      <c r="AH1120" s="111"/>
      <c r="AI1120" s="28"/>
      <c r="AJ1120" s="96">
        <f ca="1">IF(AJ1115&lt;AJ1119,AJ1117,AJ1118)</f>
        <v>662.74206332328856</v>
      </c>
      <c r="AK1120" s="111"/>
      <c r="AL1120" s="28"/>
      <c r="AM1120" s="96" t="e">
        <f ca="1">IF(AM1115&lt;AM1119,AM1117,AM1118)</f>
        <v>#NUM!</v>
      </c>
      <c r="AN1120" s="111"/>
      <c r="AO1120" s="28"/>
      <c r="AP1120" s="96" t="e">
        <f ca="1">IF(AP1115&lt;AP1119,AP1117,AP1118)</f>
        <v>#NUM!</v>
      </c>
      <c r="AQ1120" s="111"/>
      <c r="AR1120" s="28"/>
      <c r="AS1120" s="96" t="e">
        <f ca="1">IF(AS1115&lt;AS1119,AS1117,AS1118)</f>
        <v>#NUM!</v>
      </c>
      <c r="AT1120" s="111"/>
      <c r="AU1120" s="28"/>
    </row>
    <row r="1121" spans="15:47" x14ac:dyDescent="0.25">
      <c r="O1121" s="13" t="s">
        <v>143</v>
      </c>
      <c r="P1121" s="1"/>
      <c r="Q1121" s="1"/>
      <c r="R1121" s="113"/>
      <c r="S1121" s="106">
        <f ca="1">IF(R1114&lt;=0,Q_max,ABS(R$23-R1120))</f>
        <v>4.1388310830330344</v>
      </c>
      <c r="T1121" s="7">
        <f>R1110</f>
        <v>1463.8611641704499</v>
      </c>
      <c r="U1121" s="98"/>
      <c r="V1121" s="106">
        <f ca="1">IF(U1114&lt;=0,Q_max,ABS(U$23-U1120))</f>
        <v>1.3996636675788459</v>
      </c>
      <c r="W1121" s="9">
        <f ca="1">U1110</f>
        <v>25192.061363235847</v>
      </c>
      <c r="X1121" s="98"/>
      <c r="Y1121" s="106">
        <f ca="1">IF(X1114&lt;=0,Q_max,ABS(X$23-X1120))</f>
        <v>2.3413602118446555</v>
      </c>
      <c r="Z1121" s="9">
        <f ca="1">X1110</f>
        <v>61686.104595768869</v>
      </c>
      <c r="AA1121" s="98"/>
      <c r="AB1121" s="106">
        <f ca="1">IF(AA1114&lt;=0,Q_max,ABS(AA$23-AA1120))</f>
        <v>12.191551355350668</v>
      </c>
      <c r="AC1121" s="9">
        <f ca="1">AA1110</f>
        <v>120148.78665729253</v>
      </c>
      <c r="AD1121" s="98"/>
      <c r="AE1121" s="106">
        <f ca="1">IF(AD1114&lt;=0,Q_max,ABS(AD$23-AD1120))</f>
        <v>36.184484219894159</v>
      </c>
      <c r="AF1121" s="9">
        <f ca="1">AD1110</f>
        <v>201572.28830215463</v>
      </c>
      <c r="AG1121" s="98"/>
      <c r="AH1121" s="106">
        <f ca="1">IF(AG1114&lt;=0,Q_max,ABS(AG$23-AG1120))</f>
        <v>95.808992876083423</v>
      </c>
      <c r="AI1121" s="9">
        <f ca="1">AG1110</f>
        <v>294200.24482841609</v>
      </c>
      <c r="AJ1121" s="98"/>
      <c r="AK1121" s="106">
        <f ca="1">IF(AJ1114&lt;=0,Q_max,ABS(AJ$23-AJ1120))</f>
        <v>541.74206332328856</v>
      </c>
      <c r="AL1121" s="9">
        <f ca="1">AJ1110</f>
        <v>392611.36721055047</v>
      </c>
      <c r="AM1121" s="98"/>
      <c r="AN1121" s="106">
        <f ca="1">IF(AM1114&lt;=0,Q_max,ABS(AM$23-AM1120))</f>
        <v>236393</v>
      </c>
      <c r="AO1121" s="9">
        <f ca="1">AM1110</f>
        <v>479060.47984066745</v>
      </c>
      <c r="AP1121" s="98"/>
      <c r="AQ1121" s="106">
        <f ca="1">IF(AP1114&lt;=0,Q_max,ABS(AP$23-AP1120))</f>
        <v>236393</v>
      </c>
      <c r="AR1121" s="9">
        <f ca="1">AP1110</f>
        <v>556174.34483967</v>
      </c>
      <c r="AS1121" s="98"/>
      <c r="AT1121" s="106">
        <f ca="1">IF(AS1114&lt;=0,Q_max,ABS(AS$23-AS1120))</f>
        <v>236393</v>
      </c>
      <c r="AU1121" s="9">
        <f ca="1">AS1110</f>
        <v>652158.15961342619</v>
      </c>
    </row>
    <row r="1122" spans="15:47" x14ac:dyDescent="0.25">
      <c r="O1122" s="21"/>
      <c r="P1122" s="14"/>
      <c r="Q1122" s="21"/>
      <c r="R1122" s="97"/>
      <c r="S1122" s="106"/>
      <c r="T1122" s="28"/>
      <c r="U1122" s="97"/>
      <c r="V1122" s="111"/>
      <c r="W1122" s="28"/>
      <c r="X1122" s="97"/>
      <c r="Y1122" s="111"/>
      <c r="Z1122" s="28"/>
      <c r="AA1122" s="97"/>
      <c r="AB1122" s="111"/>
      <c r="AC1122" s="28"/>
      <c r="AD1122" s="97"/>
      <c r="AE1122" s="111"/>
      <c r="AF1122" s="28"/>
      <c r="AG1122" s="97"/>
      <c r="AH1122" s="111"/>
      <c r="AI1122" s="28"/>
      <c r="AJ1122" s="97"/>
      <c r="AK1122" s="111"/>
      <c r="AL1122" s="28"/>
      <c r="AM1122" s="97"/>
      <c r="AN1122" s="111"/>
      <c r="AO1122" s="28"/>
      <c r="AP1122" s="97"/>
      <c r="AQ1122" s="111"/>
      <c r="AR1122" s="28"/>
      <c r="AS1122" s="97"/>
      <c r="AT1122" s="111"/>
      <c r="AU1122" s="28"/>
    </row>
    <row r="1123" spans="15:47" x14ac:dyDescent="0.25">
      <c r="O1123" s="1"/>
      <c r="P1123" s="1"/>
      <c r="Q1123" s="1"/>
      <c r="R1123" s="98"/>
      <c r="S1123" s="108" t="s">
        <v>137</v>
      </c>
      <c r="T1123" s="26" t="s">
        <v>146</v>
      </c>
      <c r="U1123" s="98"/>
      <c r="V1123" s="108" t="s">
        <v>137</v>
      </c>
      <c r="W1123" s="26" t="s">
        <v>146</v>
      </c>
      <c r="X1123" s="98"/>
      <c r="Y1123" s="108" t="s">
        <v>137</v>
      </c>
      <c r="Z1123" s="26" t="s">
        <v>146</v>
      </c>
      <c r="AA1123" s="98"/>
      <c r="AB1123" s="108" t="s">
        <v>137</v>
      </c>
      <c r="AC1123" s="26" t="s">
        <v>146</v>
      </c>
      <c r="AD1123" s="98"/>
      <c r="AE1123" s="108" t="s">
        <v>137</v>
      </c>
      <c r="AF1123" s="26" t="s">
        <v>146</v>
      </c>
      <c r="AG1123" s="98"/>
      <c r="AH1123" s="108" t="s">
        <v>137</v>
      </c>
      <c r="AI1123" s="26" t="s">
        <v>146</v>
      </c>
      <c r="AJ1123" s="98"/>
      <c r="AK1123" s="108" t="s">
        <v>137</v>
      </c>
      <c r="AL1123" s="26" t="s">
        <v>146</v>
      </c>
      <c r="AM1123" s="98"/>
      <c r="AN1123" s="108" t="s">
        <v>137</v>
      </c>
      <c r="AO1123" s="26" t="s">
        <v>146</v>
      </c>
      <c r="AP1123" s="98"/>
      <c r="AQ1123" s="108" t="s">
        <v>137</v>
      </c>
      <c r="AR1123" s="26" t="s">
        <v>146</v>
      </c>
      <c r="AS1123" s="98"/>
      <c r="AT1123" s="108" t="s">
        <v>137</v>
      </c>
      <c r="AU1123" s="26" t="s">
        <v>146</v>
      </c>
    </row>
    <row r="1124" spans="15:47" ht="13.8" x14ac:dyDescent="0.25">
      <c r="O1124" s="20" t="s">
        <v>136</v>
      </c>
      <c r="P1124" s="1"/>
      <c r="Q1124" s="1"/>
      <c r="R1124" s="96">
        <f>R1110*1.02</f>
        <v>1493.138387453859</v>
      </c>
      <c r="S1124" s="109" t="s">
        <v>144</v>
      </c>
      <c r="T1124" s="23" t="s">
        <v>147</v>
      </c>
      <c r="U1124" s="96">
        <f ca="1">U1110*1.01</f>
        <v>25443.981976868206</v>
      </c>
      <c r="V1124" s="109" t="s">
        <v>144</v>
      </c>
      <c r="W1124" s="23" t="s">
        <v>147</v>
      </c>
      <c r="X1124" s="96">
        <f ca="1">X1110*1.01</f>
        <v>62302.965641726558</v>
      </c>
      <c r="Y1124" s="109" t="s">
        <v>144</v>
      </c>
      <c r="Z1124" s="23" t="s">
        <v>147</v>
      </c>
      <c r="AA1124" s="96">
        <f ca="1">AA1110*1.01</f>
        <v>121350.27452386545</v>
      </c>
      <c r="AB1124" s="109" t="s">
        <v>144</v>
      </c>
      <c r="AC1124" s="23" t="s">
        <v>147</v>
      </c>
      <c r="AD1124" s="96">
        <f ca="1">AD1110*1.01</f>
        <v>203588.01118517618</v>
      </c>
      <c r="AE1124" s="109" t="s">
        <v>144</v>
      </c>
      <c r="AF1124" s="23" t="s">
        <v>147</v>
      </c>
      <c r="AG1124" s="96">
        <f ca="1">AG1110*1.01</f>
        <v>297142.24727670028</v>
      </c>
      <c r="AH1124" s="109" t="s">
        <v>144</v>
      </c>
      <c r="AI1124" s="23" t="s">
        <v>147</v>
      </c>
      <c r="AJ1124" s="96">
        <f ca="1">AJ1110*1.01</f>
        <v>396537.48088265595</v>
      </c>
      <c r="AK1124" s="109" t="s">
        <v>144</v>
      </c>
      <c r="AL1124" s="23" t="s">
        <v>147</v>
      </c>
      <c r="AM1124" s="96">
        <f ca="1">AM1110*1.01</f>
        <v>483851.08463907411</v>
      </c>
      <c r="AN1124" s="109" t="s">
        <v>144</v>
      </c>
      <c r="AO1124" s="23" t="s">
        <v>147</v>
      </c>
      <c r="AP1124" s="96">
        <f ca="1">AP1110*1.01</f>
        <v>561736.08828806668</v>
      </c>
      <c r="AQ1124" s="109" t="s">
        <v>144</v>
      </c>
      <c r="AR1124" s="23" t="s">
        <v>147</v>
      </c>
      <c r="AS1124" s="96">
        <f ca="1">AS1110*1.01</f>
        <v>658679.74120956042</v>
      </c>
      <c r="AT1124" s="109" t="s">
        <v>144</v>
      </c>
      <c r="AU1124" s="23" t="s">
        <v>147</v>
      </c>
    </row>
    <row r="1125" spans="15:47" x14ac:dyDescent="0.25">
      <c r="O1125" s="1"/>
      <c r="P1125" s="1"/>
      <c r="Q1125" s="1"/>
      <c r="R1125" s="98"/>
      <c r="S1125" s="107"/>
      <c r="T1125" s="1"/>
      <c r="U1125" s="47"/>
      <c r="V1125" s="107"/>
      <c r="W1125" s="1"/>
      <c r="X1125" s="47"/>
      <c r="Y1125" s="107"/>
      <c r="Z1125" s="1"/>
      <c r="AA1125" s="47"/>
      <c r="AB1125" s="107"/>
      <c r="AC1125" s="1"/>
      <c r="AD1125" s="47"/>
      <c r="AE1125" s="107"/>
      <c r="AF1125" s="1"/>
      <c r="AG1125" s="47"/>
      <c r="AH1125" s="107"/>
      <c r="AI1125" s="1"/>
      <c r="AJ1125" s="47"/>
      <c r="AK1125" s="107"/>
      <c r="AL1125" s="1"/>
      <c r="AM1125" s="47"/>
      <c r="AN1125" s="107"/>
      <c r="AO1125" s="1"/>
      <c r="AP1125" s="47"/>
      <c r="AQ1125" s="107"/>
      <c r="AR1125" s="1"/>
      <c r="AS1125" s="47"/>
      <c r="AT1125" s="107"/>
      <c r="AU1125" s="1"/>
    </row>
    <row r="1126" spans="15:47" x14ac:dyDescent="0.25">
      <c r="O1126" s="8" t="s">
        <v>132</v>
      </c>
      <c r="P1126" s="8"/>
      <c r="Q1126" s="8"/>
      <c r="R1126" s="96">
        <f>P_1_minQ-(R1124^2*R_up)+dpup_minQ</f>
        <v>90.184634186435446</v>
      </c>
      <c r="S1126" s="106"/>
      <c r="T1126" s="22"/>
      <c r="U1126" s="96">
        <f ca="1">P_1_minQ-(U1124^2*R_up)+dpup_minQ</f>
        <v>90.067045505501781</v>
      </c>
      <c r="V1126" s="107"/>
      <c r="W1126" s="1"/>
      <c r="X1126" s="96">
        <f ca="1">P_1_minQ-(X1124^2*R_up)+dpup_minQ</f>
        <v>89.47756572775468</v>
      </c>
      <c r="Y1126" s="107"/>
      <c r="Z1126" s="1"/>
      <c r="AA1126" s="96">
        <f ca="1">P_1_minQ-(AA1124^2*R_up)+dpup_minQ</f>
        <v>87.501086559719113</v>
      </c>
      <c r="AB1126" s="107"/>
      <c r="AC1126" s="1"/>
      <c r="AD1126" s="96">
        <f ca="1">P_1_minQ-(AD1124^2*R_up)+dpup_minQ</f>
        <v>82.6306760120668</v>
      </c>
      <c r="AE1126" s="107"/>
      <c r="AF1126" s="1"/>
      <c r="AG1126" s="96">
        <f ca="1">P_1_minQ-(AG1124^2*R_up)+dpup_minQ</f>
        <v>74.092584011948119</v>
      </c>
      <c r="AH1126" s="107"/>
      <c r="AI1126" s="1"/>
      <c r="AJ1126" s="96">
        <f ca="1">P_1_minQ-(AJ1124^2*R_up)+dpup_minQ</f>
        <v>61.525975116477206</v>
      </c>
      <c r="AK1126" s="107"/>
      <c r="AL1126" s="1"/>
      <c r="AM1126" s="96">
        <f ca="1">P_1_minQ-(AM1124^2*R_up)+dpup_minQ</f>
        <v>47.515597397148468</v>
      </c>
      <c r="AN1126" s="107"/>
      <c r="AO1126" s="1"/>
      <c r="AP1126" s="96">
        <f ca="1">P_1_minQ-(AP1124^2*R_up)+dpup_minQ</f>
        <v>32.673077885438055</v>
      </c>
      <c r="AQ1126" s="107"/>
      <c r="AR1126" s="1"/>
      <c r="AS1126" s="96">
        <f ca="1">P_1_minQ-(AS1124^2*R_up)+dpup_minQ</f>
        <v>11.109503587735047</v>
      </c>
      <c r="AT1126" s="107"/>
      <c r="AU1126" s="1"/>
    </row>
    <row r="1127" spans="15:47" x14ac:dyDescent="0.25">
      <c r="O1127" s="8" t="s">
        <v>134</v>
      </c>
      <c r="P1127" s="1"/>
      <c r="Q1127" s="8"/>
      <c r="R1127" s="97">
        <f>P_2_minQ+(R1124^2*R_dn)-dpdn_minQ</f>
        <v>60</v>
      </c>
      <c r="S1127" s="106"/>
      <c r="T1127" s="22"/>
      <c r="U1127" s="97">
        <f ca="1">P_2_minQ+(U1124^2*R_dn)-dpdn_minQ</f>
        <v>60</v>
      </c>
      <c r="V1127" s="107"/>
      <c r="W1127" s="1"/>
      <c r="X1127" s="97">
        <f ca="1">P_2_minQ+(X1124^2*R_dn)-dpdn_minQ</f>
        <v>60</v>
      </c>
      <c r="Y1127" s="107"/>
      <c r="Z1127" s="1"/>
      <c r="AA1127" s="97">
        <f ca="1">P_2_minQ+(AA1124^2*R_dn)-dpdn_minQ</f>
        <v>60</v>
      </c>
      <c r="AB1127" s="107"/>
      <c r="AC1127" s="1"/>
      <c r="AD1127" s="97">
        <f ca="1">P_2_minQ+(AD1124^2*R_dn)-dpdn_minQ</f>
        <v>60</v>
      </c>
      <c r="AE1127" s="107"/>
      <c r="AF1127" s="1"/>
      <c r="AG1127" s="97">
        <f ca="1">P_2_minQ+(AG1124^2*R_dn)-dpdn_minQ</f>
        <v>60</v>
      </c>
      <c r="AH1127" s="107"/>
      <c r="AI1127" s="1"/>
      <c r="AJ1127" s="97">
        <f ca="1">P_2_minQ+(AJ1124^2*R_dn)-dpdn_minQ</f>
        <v>60</v>
      </c>
      <c r="AK1127" s="107"/>
      <c r="AL1127" s="1"/>
      <c r="AM1127" s="97">
        <f ca="1">P_2_minQ+(AM1124^2*R_dn)-dpdn_minQ</f>
        <v>60</v>
      </c>
      <c r="AN1127" s="107"/>
      <c r="AO1127" s="1"/>
      <c r="AP1127" s="97">
        <f ca="1">P_2_minQ+(AP1124^2*R_dn)-dpdn_minQ</f>
        <v>60</v>
      </c>
      <c r="AQ1127" s="107"/>
      <c r="AR1127" s="1"/>
      <c r="AS1127" s="97">
        <f ca="1">P_2_minQ+(AS1124^2*R_dn)-dpdn_minQ</f>
        <v>60</v>
      </c>
      <c r="AT1127" s="107"/>
      <c r="AU1127" s="1"/>
    </row>
    <row r="1128" spans="15:47" x14ac:dyDescent="0.25">
      <c r="O1128" s="8" t="s">
        <v>138</v>
      </c>
      <c r="P1128" s="1"/>
      <c r="Q1128" s="8"/>
      <c r="R1128" s="97">
        <f>R1126-R1127</f>
        <v>30.184634186435446</v>
      </c>
      <c r="S1128" s="106"/>
      <c r="T1128" s="22"/>
      <c r="U1128" s="97">
        <f ca="1">U1126-U1127</f>
        <v>30.067045505501781</v>
      </c>
      <c r="V1128" s="110"/>
      <c r="W1128" s="25"/>
      <c r="X1128" s="97">
        <f ca="1">X1126-X1127</f>
        <v>29.47756572775468</v>
      </c>
      <c r="Y1128" s="110"/>
      <c r="Z1128" s="25"/>
      <c r="AA1128" s="97">
        <f ca="1">AA1126-AA1127</f>
        <v>27.501086559719113</v>
      </c>
      <c r="AB1128" s="110"/>
      <c r="AC1128" s="25"/>
      <c r="AD1128" s="97">
        <f ca="1">AD1126-AD1127</f>
        <v>22.6306760120668</v>
      </c>
      <c r="AE1128" s="110"/>
      <c r="AF1128" s="25"/>
      <c r="AG1128" s="97">
        <f ca="1">AG1126-AG1127</f>
        <v>14.092584011948119</v>
      </c>
      <c r="AH1128" s="110"/>
      <c r="AI1128" s="25"/>
      <c r="AJ1128" s="97">
        <f ca="1">AJ1126-AJ1127</f>
        <v>1.5259751164772055</v>
      </c>
      <c r="AK1128" s="110"/>
      <c r="AL1128" s="25"/>
      <c r="AM1128" s="97">
        <f ca="1">AM1126-AM1127</f>
        <v>-12.484402602851532</v>
      </c>
      <c r="AN1128" s="110"/>
      <c r="AO1128" s="25"/>
      <c r="AP1128" s="97">
        <f ca="1">AP1126-AP1127</f>
        <v>-27.326922114561945</v>
      </c>
      <c r="AQ1128" s="110"/>
      <c r="AR1128" s="25"/>
      <c r="AS1128" s="97">
        <f ca="1">AS1126-AS1127</f>
        <v>-48.890496412264952</v>
      </c>
      <c r="AT1128" s="110"/>
      <c r="AU1128" s="25"/>
    </row>
    <row r="1129" spans="15:47" ht="14.4" x14ac:dyDescent="0.3">
      <c r="O1129" s="2" t="s">
        <v>140</v>
      </c>
      <c r="P1129" s="11"/>
      <c r="Q1129" s="2"/>
      <c r="R1129" s="96">
        <f>R1128/R1126</f>
        <v>0.33469819397432871</v>
      </c>
      <c r="S1129" s="106"/>
      <c r="T1129" s="22"/>
      <c r="U1129" s="96">
        <f ca="1">U1128/U1126</f>
        <v>0.33382959701576004</v>
      </c>
      <c r="V1129" s="111"/>
      <c r="W1129" s="28"/>
      <c r="X1129" s="96">
        <f ca="1">X1128/X1126</f>
        <v>0.32944085467684059</v>
      </c>
      <c r="Y1129" s="111"/>
      <c r="Z1129" s="28"/>
      <c r="AA1129" s="96">
        <f ca="1">AA1128/AA1126</f>
        <v>0.31429422926022454</v>
      </c>
      <c r="AB1129" s="111"/>
      <c r="AC1129" s="28"/>
      <c r="AD1129" s="96">
        <f ca="1">AD1128/AD1126</f>
        <v>0.27387741580090641</v>
      </c>
      <c r="AE1129" s="111"/>
      <c r="AF1129" s="28"/>
      <c r="AG1129" s="96">
        <f ca="1">AG1128/AG1126</f>
        <v>0.190202355605192</v>
      </c>
      <c r="AH1129" s="111"/>
      <c r="AI1129" s="28"/>
      <c r="AJ1129" s="96">
        <f ca="1">AJ1128/AJ1126</f>
        <v>2.4802128102615568E-2</v>
      </c>
      <c r="AK1129" s="111"/>
      <c r="AL1129" s="28"/>
      <c r="AM1129" s="96">
        <f ca="1">AM1128/AM1126</f>
        <v>-0.26274325246304808</v>
      </c>
      <c r="AN1129" s="111"/>
      <c r="AO1129" s="28"/>
      <c r="AP1129" s="96">
        <f ca="1">AP1128/AP1126</f>
        <v>-0.8363742837567556</v>
      </c>
      <c r="AQ1129" s="111"/>
      <c r="AR1129" s="28"/>
      <c r="AS1129" s="96">
        <f ca="1">AS1128/AS1126</f>
        <v>-4.4007813694070297</v>
      </c>
      <c r="AT1129" s="111"/>
      <c r="AU1129" s="28"/>
    </row>
    <row r="1130" spans="15:47" x14ac:dyDescent="0.25">
      <c r="O1130" s="2" t="s">
        <v>21</v>
      </c>
      <c r="P1130" s="8">
        <v>12</v>
      </c>
      <c r="Q1130" s="2"/>
      <c r="R1130" s="96">
        <f ca="1">1-R1129/(3*F_GAMMA*R$29)</f>
        <v>0.82568611254836921</v>
      </c>
      <c r="S1130" s="106"/>
      <c r="T1130" s="22"/>
      <c r="U1130" s="96">
        <f ca="1">1-U1129/(3*F_GAMMA*U$29)</f>
        <v>0.8261788764507072</v>
      </c>
      <c r="V1130" s="111"/>
      <c r="W1130" s="28"/>
      <c r="X1130" s="96">
        <f ca="1">1-X1129/(3*F_GAMMA*X$29)</f>
        <v>0.82683029473645464</v>
      </c>
      <c r="Y1130" s="111"/>
      <c r="Z1130" s="28"/>
      <c r="AA1130" s="96">
        <f ca="1">1-AA1129/(3*F_GAMMA*AA$29)</f>
        <v>0.83246329358772941</v>
      </c>
      <c r="AB1130" s="111"/>
      <c r="AC1130" s="28"/>
      <c r="AD1130" s="96">
        <f ca="1">1-AD1129/(3*F_GAMMA*AD$29)</f>
        <v>0.84947992481540568</v>
      </c>
      <c r="AE1130" s="111"/>
      <c r="AF1130" s="28"/>
      <c r="AG1130" s="96">
        <f ca="1">1-AG1129/(3*F_GAMMA*AG$29)</f>
        <v>0.88919420017151696</v>
      </c>
      <c r="AH1130" s="111"/>
      <c r="AI1130" s="28"/>
      <c r="AJ1130" s="96">
        <f ca="1">1-AJ1129/(3*F_GAMMA*AJ$29)</f>
        <v>0.98445493448246535</v>
      </c>
      <c r="AK1130" s="111"/>
      <c r="AL1130" s="28"/>
      <c r="AM1130" s="96">
        <f ca="1">1-AM1129/(3*F_GAMMA*AM$29)</f>
        <v>1.1841234085611214</v>
      </c>
      <c r="AN1130" s="111"/>
      <c r="AO1130" s="28"/>
      <c r="AP1130" s="96">
        <f ca="1">1-AP1129/(3*F_GAMMA*AP$29)</f>
        <v>1.4720944910683864</v>
      </c>
      <c r="AQ1130" s="111"/>
      <c r="AR1130" s="28"/>
      <c r="AS1130" s="96">
        <f ca="1">1-AS1129/(3*F_GAMMA*AS$29)</f>
        <v>4.8942560109888689</v>
      </c>
      <c r="AT1130" s="111"/>
      <c r="AU1130" s="28"/>
    </row>
    <row r="1131" spans="15:47" x14ac:dyDescent="0.25">
      <c r="O1131" s="2" t="s">
        <v>57</v>
      </c>
      <c r="P1131" s="143">
        <v>7</v>
      </c>
      <c r="Q1131" s="2"/>
      <c r="R1131" s="96">
        <f ca="1">(R1124/(N_9*R$27*R1126*R1130))*SQRT(M*'Valve Sizing'!$W$6*'Valve Sizing'!$G$8/R1129)</f>
        <v>0.60299246138893547</v>
      </c>
      <c r="S1131" s="107"/>
      <c r="T1131" s="22"/>
      <c r="U1131" s="96">
        <f ca="1">(U1124/(N_9*U$27*U1126*U1130))*SQRT(M*'Valve Sizing'!$W$6*'Valve Sizing'!$G$8/U1129)</f>
        <v>10.302759326047813</v>
      </c>
      <c r="V1131" s="111"/>
      <c r="W1131" s="28"/>
      <c r="X1131" s="96">
        <f ca="1">(X1124/(N_9*X$27*X1126*X1130))*SQRT(M*'Valve Sizing'!$W$6*'Valve Sizing'!$G$8/X1129)</f>
        <v>25.60111903379018</v>
      </c>
      <c r="Y1131" s="111"/>
      <c r="Z1131" s="28"/>
      <c r="AA1131" s="96">
        <f ca="1">(AA1124/(N_9*AA$27*AA1126*AA1130))*SQRT(M*'Valve Sizing'!$W$6*'Valve Sizing'!$G$8/AA1129)</f>
        <v>52.159466164789364</v>
      </c>
      <c r="AB1131" s="111"/>
      <c r="AC1131" s="28"/>
      <c r="AD1131" s="96">
        <f ca="1">(AD1124/(N_9*AD$27*AD1126*AD1130))*SQRT(M*'Valve Sizing'!$W$6*'Valve Sizing'!$G$8/AD1129)</f>
        <v>98.484002277666946</v>
      </c>
      <c r="AE1131" s="111"/>
      <c r="AF1131" s="28"/>
      <c r="AG1131" s="96">
        <f ca="1">(AG1124/(N_9*AG$27*AG1126*AG1130))*SQRT(M*'Valve Sizing'!$W$6*'Valve Sizing'!$G$8/AG1129)</f>
        <v>187.90417731096747</v>
      </c>
      <c r="AH1131" s="111"/>
      <c r="AI1131" s="28"/>
      <c r="AJ1131" s="96">
        <f ca="1">(AJ1124/(N_9*AJ$27*AJ1126*AJ1130))*SQRT(M*'Valve Sizing'!$W$6*'Valve Sizing'!$G$8/AJ1129)</f>
        <v>782.6359682373012</v>
      </c>
      <c r="AK1131" s="111"/>
      <c r="AL1131" s="28"/>
      <c r="AM1131" s="96" t="e">
        <f ca="1">(AM1124/(N_9*AM$27*AM1126*AM1130))*SQRT(M*'Valve Sizing'!$W$6*'Valve Sizing'!$G$8/AM1129)</f>
        <v>#NUM!</v>
      </c>
      <c r="AN1131" s="111"/>
      <c r="AO1131" s="28"/>
      <c r="AP1131" s="96" t="e">
        <f ca="1">(AP1124/(N_9*AP$27*AP1126*AP1130))*SQRT(M*'Valve Sizing'!$W$6*'Valve Sizing'!$G$8/AP1129)</f>
        <v>#NUM!</v>
      </c>
      <c r="AQ1131" s="111"/>
      <c r="AR1131" s="28"/>
      <c r="AS1131" s="96" t="e">
        <f ca="1">(AS1124/(N_9*AS$27*AS1126*AS1130))*SQRT(M*'Valve Sizing'!$W$6*'Valve Sizing'!$G$8/AS1129)</f>
        <v>#NUM!</v>
      </c>
      <c r="AT1131" s="111"/>
      <c r="AU1131" s="28"/>
    </row>
    <row r="1132" spans="15:47" x14ac:dyDescent="0.25">
      <c r="O1132" s="2" t="s">
        <v>59</v>
      </c>
      <c r="P1132" s="143">
        <v>7</v>
      </c>
      <c r="Q1132" s="2"/>
      <c r="R1132" s="96">
        <f ca="1">(R1124/(N_9*R$27*R1126*0.667))*SQRT(M*'Valve Sizing'!$W$6*'Valve Sizing'!$G$8/R1133)</f>
        <v>0.53979349970720658</v>
      </c>
      <c r="S1132" s="107"/>
      <c r="T1132" s="22"/>
      <c r="U1132" s="96">
        <f ca="1">(U1124/(N_9*U$27*U1126*0.667))*SQRT(M*'Valve Sizing'!$W$6*'Valve Sizing'!$G$8/U1133)</f>
        <v>9.2153898289712473</v>
      </c>
      <c r="V1132" s="111"/>
      <c r="W1132" s="28"/>
      <c r="X1132" s="96">
        <f ca="1">(X1124/(N_9*X$27*X1126*0.667))*SQRT(M*'Valve Sizing'!$W$6*'Valve Sizing'!$G$8/X1133)</f>
        <v>22.874208838724012</v>
      </c>
      <c r="Y1132" s="111"/>
      <c r="Z1132" s="28"/>
      <c r="AA1132" s="96">
        <f ca="1">(AA1124/(N_9*AA$27*AA1126*0.667))*SQRT(M*'Valve Sizing'!$W$6*'Valve Sizing'!$G$8/AA1133)</f>
        <v>46.151732737883144</v>
      </c>
      <c r="AB1132" s="111"/>
      <c r="AC1132" s="28"/>
      <c r="AD1132" s="96">
        <f ca="1">(AD1124/(N_9*AD$27*AD1126*0.667))*SQRT(M*'Valve Sizing'!$W$6*'Valve Sizing'!$G$8/AD1133)</f>
        <v>84.285101895358949</v>
      </c>
      <c r="AE1132" s="111"/>
      <c r="AF1132" s="28"/>
      <c r="AG1132" s="96">
        <f ca="1">(AG1124/(N_9*AG$27*AG1126*0.667))*SQRT(M*'Valve Sizing'!$W$6*'Valve Sizing'!$G$8/AG1133)</f>
        <v>144.42723478103039</v>
      </c>
      <c r="AH1132" s="111"/>
      <c r="AI1132" s="28"/>
      <c r="AJ1132" s="96">
        <f ca="1">(AJ1124/(N_9*AJ$27*AJ1126*0.667))*SQRT(M*'Valve Sizing'!$W$6*'Valve Sizing'!$G$8/AJ1133)</f>
        <v>249.45184203743</v>
      </c>
      <c r="AK1132" s="111"/>
      <c r="AL1132" s="28"/>
      <c r="AM1132" s="96">
        <f ca="1">(AM1124/(N_9*AM$27*AM1126*0.667))*SQRT(M*'Valve Sizing'!$W$6*'Valve Sizing'!$G$8/AM1133)</f>
        <v>442.17288478202812</v>
      </c>
      <c r="AN1132" s="111"/>
      <c r="AO1132" s="28"/>
      <c r="AP1132" s="96">
        <f ca="1">(AP1124/(N_9*AP$27*AP1126*0.667))*SQRT(M*'Valve Sizing'!$W$6*'Valve Sizing'!$G$8/AP1133)</f>
        <v>762.60691513466691</v>
      </c>
      <c r="AQ1132" s="111"/>
      <c r="AR1132" s="28"/>
      <c r="AS1132" s="96">
        <f ca="1">(AS1124/(N_9*AS$27*AS1126*0.667))*SQRT(M*'Valve Sizing'!$W$6*'Valve Sizing'!$G$8/AS1133)</f>
        <v>4410.4038211719562</v>
      </c>
      <c r="AT1132" s="111"/>
      <c r="AU1132" s="28"/>
    </row>
    <row r="1133" spans="15:47" ht="15.6" x14ac:dyDescent="0.35">
      <c r="O1133" s="2" t="s">
        <v>68</v>
      </c>
      <c r="P1133" s="143">
        <v>10</v>
      </c>
      <c r="Q1133" s="2"/>
      <c r="R1133" s="96">
        <f ca="1">F_GAMMA*R$29</f>
        <v>0.64002969751372984</v>
      </c>
      <c r="S1133" s="107"/>
      <c r="T1133" s="1"/>
      <c r="U1133" s="96">
        <f ca="1">F_GAMMA*U$29</f>
        <v>0.64017842058782071</v>
      </c>
      <c r="V1133" s="111"/>
      <c r="W1133" s="28"/>
      <c r="X1133" s="96">
        <f ca="1">F_GAMMA*X$29</f>
        <v>0.63413873724904268</v>
      </c>
      <c r="Y1133" s="111"/>
      <c r="Z1133" s="28"/>
      <c r="AA1133" s="96">
        <f ca="1">F_GAMMA*AA$29</f>
        <v>0.62532411750377137</v>
      </c>
      <c r="AB1133" s="111"/>
      <c r="AC1133" s="28"/>
      <c r="AD1133" s="96">
        <f ca="1">F_GAMMA*AD$29</f>
        <v>0.60651359509139569</v>
      </c>
      <c r="AE1133" s="111"/>
      <c r="AF1133" s="28"/>
      <c r="AG1133" s="96">
        <f ca="1">F_GAMMA*AG$29</f>
        <v>0.57217930198481592</v>
      </c>
      <c r="AH1133" s="111"/>
      <c r="AI1133" s="28"/>
      <c r="AJ1133" s="96">
        <f ca="1">F_GAMMA*AJ$29</f>
        <v>0.53183282018848232</v>
      </c>
      <c r="AK1133" s="111"/>
      <c r="AL1133" s="28"/>
      <c r="AM1133" s="96">
        <f ca="1">F_GAMMA*AM$29</f>
        <v>0.47566512503094399</v>
      </c>
      <c r="AN1133" s="111"/>
      <c r="AO1133" s="28"/>
      <c r="AP1133" s="96">
        <f ca="1">F_GAMMA*AP$29</f>
        <v>0.59054158265645496</v>
      </c>
      <c r="AQ1133" s="111"/>
      <c r="AR1133" s="28"/>
      <c r="AS1133" s="96">
        <f ca="1">F_GAMMA*AS$29</f>
        <v>0.3766899554102966</v>
      </c>
      <c r="AT1133" s="111"/>
      <c r="AU1133" s="28"/>
    </row>
    <row r="1134" spans="15:47" x14ac:dyDescent="0.25">
      <c r="O1134" s="2" t="s">
        <v>145</v>
      </c>
      <c r="P1134" s="12"/>
      <c r="Q1134" s="2"/>
      <c r="R1134" s="96">
        <f ca="1">IF(R1129&lt;R1133,R1131,R1132)</f>
        <v>0.60299246138893547</v>
      </c>
      <c r="S1134" s="116"/>
      <c r="T1134" s="1"/>
      <c r="U1134" s="96">
        <f ca="1">IF(U1129&lt;U1133,U1131,U1132)</f>
        <v>10.302759326047813</v>
      </c>
      <c r="V1134" s="111"/>
      <c r="W1134" s="28"/>
      <c r="X1134" s="96">
        <f ca="1">IF(X1129&lt;X1133,X1131,X1132)</f>
        <v>25.60111903379018</v>
      </c>
      <c r="Y1134" s="111"/>
      <c r="Z1134" s="28"/>
      <c r="AA1134" s="96">
        <f ca="1">IF(AA1129&lt;AA1133,AA1131,AA1132)</f>
        <v>52.159466164789364</v>
      </c>
      <c r="AB1134" s="111"/>
      <c r="AC1134" s="28"/>
      <c r="AD1134" s="96">
        <f ca="1">IF(AD1129&lt;AD1133,AD1131,AD1132)</f>
        <v>98.484002277666946</v>
      </c>
      <c r="AE1134" s="111"/>
      <c r="AF1134" s="28"/>
      <c r="AG1134" s="96">
        <f ca="1">IF(AG1129&lt;AG1133,AG1131,AG1132)</f>
        <v>187.90417731096747</v>
      </c>
      <c r="AH1134" s="111"/>
      <c r="AI1134" s="28"/>
      <c r="AJ1134" s="96">
        <f ca="1">IF(AJ1129&lt;AJ1133,AJ1131,AJ1132)</f>
        <v>782.6359682373012</v>
      </c>
      <c r="AK1134" s="111"/>
      <c r="AL1134" s="28"/>
      <c r="AM1134" s="96" t="e">
        <f ca="1">IF(AM1129&lt;AM1133,AM1131,AM1132)</f>
        <v>#NUM!</v>
      </c>
      <c r="AN1134" s="111"/>
      <c r="AO1134" s="28"/>
      <c r="AP1134" s="96" t="e">
        <f ca="1">IF(AP1129&lt;AP1133,AP1131,AP1132)</f>
        <v>#NUM!</v>
      </c>
      <c r="AQ1134" s="111"/>
      <c r="AR1134" s="28"/>
      <c r="AS1134" s="96" t="e">
        <f ca="1">IF(AS1129&lt;AS1133,AS1131,AS1132)</f>
        <v>#NUM!</v>
      </c>
      <c r="AT1134" s="111"/>
      <c r="AU1134" s="28"/>
    </row>
    <row r="1135" spans="15:47" x14ac:dyDescent="0.25">
      <c r="O1135" s="13" t="s">
        <v>143</v>
      </c>
      <c r="P1135" s="1"/>
      <c r="Q1135" s="1"/>
      <c r="R1135" s="113"/>
      <c r="S1135" s="106">
        <f ca="1">IF(R1128&lt;=0,Q_max,ABS(R$23-R1134))</f>
        <v>4.127007538611065</v>
      </c>
      <c r="T1135" s="7">
        <f>R1124</f>
        <v>1493.138387453859</v>
      </c>
      <c r="U1135" s="98"/>
      <c r="V1135" s="106">
        <f ca="1">IF(U1128&lt;=0,Q_max,ABS(U$23-U1134))</f>
        <v>1.2972406739521869</v>
      </c>
      <c r="W1135" s="9">
        <f ca="1">U1124</f>
        <v>25443.981976868206</v>
      </c>
      <c r="X1135" s="98"/>
      <c r="Y1135" s="106">
        <f ca="1">IF(X1128&lt;=0,Q_max,ABS(X$23-X1134))</f>
        <v>2.6011190337901802</v>
      </c>
      <c r="Z1135" s="9">
        <f ca="1">X1124</f>
        <v>62302.965641726558</v>
      </c>
      <c r="AA1135" s="98"/>
      <c r="AB1135" s="106">
        <f ca="1">IF(AA1128&lt;=0,Q_max,ABS(AA$23-AA1134))</f>
        <v>12.759466164789366</v>
      </c>
      <c r="AC1135" s="9">
        <f ca="1">AA1124</f>
        <v>121350.27452386545</v>
      </c>
      <c r="AD1135" s="98"/>
      <c r="AE1135" s="106">
        <f ca="1">IF(AD1128&lt;=0,Q_max,ABS(AD$23-AD1134))</f>
        <v>37.484002277666946</v>
      </c>
      <c r="AF1135" s="9">
        <f ca="1">AD1124</f>
        <v>203588.01118517618</v>
      </c>
      <c r="AG1135" s="98"/>
      <c r="AH1135" s="106">
        <f ca="1">IF(AG1128&lt;=0,Q_max,ABS(AG$23-AG1134))</f>
        <v>99.704177310967466</v>
      </c>
      <c r="AI1135" s="9">
        <f ca="1">AG1124</f>
        <v>297142.24727670028</v>
      </c>
      <c r="AJ1135" s="98"/>
      <c r="AK1135" s="106">
        <f ca="1">IF(AJ1128&lt;=0,Q_max,ABS(AJ$23-AJ1134))</f>
        <v>661.6359682373012</v>
      </c>
      <c r="AL1135" s="9">
        <f ca="1">AJ1124</f>
        <v>396537.48088265595</v>
      </c>
      <c r="AM1135" s="98"/>
      <c r="AN1135" s="106">
        <f ca="1">IF(AM1128&lt;=0,Q_max,ABS(AM$23-AM1134))</f>
        <v>236393</v>
      </c>
      <c r="AO1135" s="9">
        <f ca="1">AM1124</f>
        <v>483851.08463907411</v>
      </c>
      <c r="AP1135" s="98"/>
      <c r="AQ1135" s="106">
        <f ca="1">IF(AP1128&lt;=0,Q_max,ABS(AP$23-AP1134))</f>
        <v>236393</v>
      </c>
      <c r="AR1135" s="9">
        <f ca="1">AP1124</f>
        <v>561736.08828806668</v>
      </c>
      <c r="AS1135" s="98"/>
      <c r="AT1135" s="106">
        <f ca="1">IF(AS1128&lt;=0,Q_max,ABS(AS$23-AS1134))</f>
        <v>236393</v>
      </c>
      <c r="AU1135" s="9">
        <f ca="1">AS1124</f>
        <v>658679.74120956042</v>
      </c>
    </row>
    <row r="1136" spans="15:47" x14ac:dyDescent="0.25">
      <c r="O1136" s="21"/>
      <c r="P1136" s="14"/>
      <c r="Q1136" s="21"/>
      <c r="R1136" s="97"/>
      <c r="S1136" s="106"/>
      <c r="T1136" s="28"/>
      <c r="U1136" s="97"/>
      <c r="V1136" s="111"/>
      <c r="W1136" s="28"/>
      <c r="X1136" s="97"/>
      <c r="Y1136" s="111"/>
      <c r="Z1136" s="28"/>
      <c r="AA1136" s="97"/>
      <c r="AB1136" s="111"/>
      <c r="AC1136" s="28"/>
      <c r="AD1136" s="97"/>
      <c r="AE1136" s="111"/>
      <c r="AF1136" s="28"/>
      <c r="AG1136" s="97"/>
      <c r="AH1136" s="111"/>
      <c r="AI1136" s="28"/>
      <c r="AJ1136" s="97"/>
      <c r="AK1136" s="111"/>
      <c r="AL1136" s="28"/>
      <c r="AM1136" s="97"/>
      <c r="AN1136" s="111"/>
      <c r="AO1136" s="28"/>
      <c r="AP1136" s="97"/>
      <c r="AQ1136" s="111"/>
      <c r="AR1136" s="28"/>
      <c r="AS1136" s="97"/>
      <c r="AT1136" s="111"/>
      <c r="AU1136" s="28"/>
    </row>
    <row r="1137" spans="15:47" x14ac:dyDescent="0.25">
      <c r="O1137" s="1"/>
      <c r="P1137" s="1"/>
      <c r="Q1137" s="1"/>
      <c r="R1137" s="98"/>
      <c r="S1137" s="108" t="s">
        <v>137</v>
      </c>
      <c r="T1137" s="26" t="s">
        <v>146</v>
      </c>
      <c r="U1137" s="98"/>
      <c r="V1137" s="108" t="s">
        <v>137</v>
      </c>
      <c r="W1137" s="26" t="s">
        <v>146</v>
      </c>
      <c r="X1137" s="98"/>
      <c r="Y1137" s="108" t="s">
        <v>137</v>
      </c>
      <c r="Z1137" s="26" t="s">
        <v>146</v>
      </c>
      <c r="AA1137" s="98"/>
      <c r="AB1137" s="108" t="s">
        <v>137</v>
      </c>
      <c r="AC1137" s="26" t="s">
        <v>146</v>
      </c>
      <c r="AD1137" s="98"/>
      <c r="AE1137" s="108" t="s">
        <v>137</v>
      </c>
      <c r="AF1137" s="26" t="s">
        <v>146</v>
      </c>
      <c r="AG1137" s="98"/>
      <c r="AH1137" s="108" t="s">
        <v>137</v>
      </c>
      <c r="AI1137" s="26" t="s">
        <v>146</v>
      </c>
      <c r="AJ1137" s="98"/>
      <c r="AK1137" s="108" t="s">
        <v>137</v>
      </c>
      <c r="AL1137" s="26" t="s">
        <v>146</v>
      </c>
      <c r="AM1137" s="98"/>
      <c r="AN1137" s="108" t="s">
        <v>137</v>
      </c>
      <c r="AO1137" s="26" t="s">
        <v>146</v>
      </c>
      <c r="AP1137" s="98"/>
      <c r="AQ1137" s="108" t="s">
        <v>137</v>
      </c>
      <c r="AR1137" s="26" t="s">
        <v>146</v>
      </c>
      <c r="AS1137" s="98"/>
      <c r="AT1137" s="108" t="s">
        <v>137</v>
      </c>
      <c r="AU1137" s="26" t="s">
        <v>146</v>
      </c>
    </row>
    <row r="1138" spans="15:47" ht="13.8" x14ac:dyDescent="0.25">
      <c r="O1138" s="20" t="s">
        <v>136</v>
      </c>
      <c r="P1138" s="1"/>
      <c r="Q1138" s="1"/>
      <c r="R1138" s="96">
        <f>R1124*1.02</f>
        <v>1523.0011552029362</v>
      </c>
      <c r="S1138" s="109" t="s">
        <v>144</v>
      </c>
      <c r="T1138" s="23" t="s">
        <v>147</v>
      </c>
      <c r="U1138" s="96">
        <f ca="1">U1124*1.01</f>
        <v>25698.421796636889</v>
      </c>
      <c r="V1138" s="109" t="s">
        <v>144</v>
      </c>
      <c r="W1138" s="23" t="s">
        <v>147</v>
      </c>
      <c r="X1138" s="96">
        <f ca="1">X1124*1.01</f>
        <v>62925.995298143825</v>
      </c>
      <c r="Y1138" s="109" t="s">
        <v>144</v>
      </c>
      <c r="Z1138" s="23" t="s">
        <v>147</v>
      </c>
      <c r="AA1138" s="96">
        <f ca="1">AA1124*1.01</f>
        <v>122563.7772691041</v>
      </c>
      <c r="AB1138" s="109" t="s">
        <v>144</v>
      </c>
      <c r="AC1138" s="23" t="s">
        <v>147</v>
      </c>
      <c r="AD1138" s="96">
        <f ca="1">AD1124*1.01</f>
        <v>205623.89129702793</v>
      </c>
      <c r="AE1138" s="109" t="s">
        <v>144</v>
      </c>
      <c r="AF1138" s="23" t="s">
        <v>147</v>
      </c>
      <c r="AG1138" s="96">
        <f ca="1">AG1124*1.01</f>
        <v>300113.66974946728</v>
      </c>
      <c r="AH1138" s="109" t="s">
        <v>144</v>
      </c>
      <c r="AI1138" s="23" t="s">
        <v>147</v>
      </c>
      <c r="AJ1138" s="96">
        <f ca="1">AJ1124*1.01</f>
        <v>400502.85569148249</v>
      </c>
      <c r="AK1138" s="109" t="s">
        <v>144</v>
      </c>
      <c r="AL1138" s="23" t="s">
        <v>147</v>
      </c>
      <c r="AM1138" s="96">
        <f ca="1">AM1124*1.01</f>
        <v>488689.59548546484</v>
      </c>
      <c r="AN1138" s="109" t="s">
        <v>144</v>
      </c>
      <c r="AO1138" s="23" t="s">
        <v>147</v>
      </c>
      <c r="AP1138" s="96">
        <f ca="1">AP1124*1.01</f>
        <v>567353.44917094731</v>
      </c>
      <c r="AQ1138" s="109" t="s">
        <v>144</v>
      </c>
      <c r="AR1138" s="23" t="s">
        <v>147</v>
      </c>
      <c r="AS1138" s="96">
        <f ca="1">AS1124*1.01</f>
        <v>665266.53862165601</v>
      </c>
      <c r="AT1138" s="109" t="s">
        <v>144</v>
      </c>
      <c r="AU1138" s="23" t="s">
        <v>147</v>
      </c>
    </row>
    <row r="1139" spans="15:47" x14ac:dyDescent="0.25">
      <c r="O1139" s="1"/>
      <c r="P1139" s="1"/>
      <c r="Q1139" s="1"/>
      <c r="R1139" s="98"/>
      <c r="S1139" s="107"/>
      <c r="T1139" s="1"/>
      <c r="U1139" s="47"/>
      <c r="V1139" s="107"/>
      <c r="W1139" s="1"/>
      <c r="X1139" s="47"/>
      <c r="Y1139" s="107"/>
      <c r="Z1139" s="1"/>
      <c r="AA1139" s="47"/>
      <c r="AB1139" s="107"/>
      <c r="AC1139" s="1"/>
      <c r="AD1139" s="47"/>
      <c r="AE1139" s="107"/>
      <c r="AF1139" s="1"/>
      <c r="AG1139" s="47"/>
      <c r="AH1139" s="107"/>
      <c r="AI1139" s="1"/>
      <c r="AJ1139" s="47"/>
      <c r="AK1139" s="107"/>
      <c r="AL1139" s="1"/>
      <c r="AM1139" s="47"/>
      <c r="AN1139" s="107"/>
      <c r="AO1139" s="1"/>
      <c r="AP1139" s="47"/>
      <c r="AQ1139" s="107"/>
      <c r="AR1139" s="1"/>
      <c r="AS1139" s="47"/>
      <c r="AT1139" s="107"/>
      <c r="AU1139" s="1"/>
    </row>
    <row r="1140" spans="15:47" x14ac:dyDescent="0.25">
      <c r="O1140" s="8" t="s">
        <v>132</v>
      </c>
      <c r="P1140" s="8"/>
      <c r="Q1140" s="8"/>
      <c r="R1140" s="96">
        <f>P_1_minQ-(R1138^2*R_up)+dpup_minQ</f>
        <v>90.184617770145124</v>
      </c>
      <c r="S1140" s="106"/>
      <c r="T1140" s="22"/>
      <c r="U1140" s="96">
        <f ca="1">P_1_minQ-(U1138^2*R_up)+dpup_minQ</f>
        <v>90.064673805504228</v>
      </c>
      <c r="V1140" s="107"/>
      <c r="W1140" s="1"/>
      <c r="X1140" s="96">
        <f ca="1">P_1_minQ-(X1138^2*R_up)+dpup_minQ</f>
        <v>89.463345484224419</v>
      </c>
      <c r="Y1140" s="107"/>
      <c r="Z1140" s="1"/>
      <c r="AA1140" s="96">
        <f ca="1">P_1_minQ-(AA1138^2*R_up)+dpup_minQ</f>
        <v>87.447139084911328</v>
      </c>
      <c r="AB1140" s="107"/>
      <c r="AC1140" s="1"/>
      <c r="AD1140" s="96">
        <f ca="1">P_1_minQ-(AD1138^2*R_up)+dpup_minQ</f>
        <v>82.478833285251213</v>
      </c>
      <c r="AE1140" s="107"/>
      <c r="AF1140" s="1"/>
      <c r="AG1140" s="96">
        <f ca="1">P_1_minQ-(AG1138^2*R_up)+dpup_minQ</f>
        <v>73.769125635930138</v>
      </c>
      <c r="AH1140" s="107"/>
      <c r="AI1140" s="1"/>
      <c r="AJ1140" s="96">
        <f ca="1">P_1_minQ-(AJ1138^2*R_up)+dpup_minQ</f>
        <v>60.94992790166026</v>
      </c>
      <c r="AK1140" s="107"/>
      <c r="AL1140" s="1"/>
      <c r="AM1140" s="96">
        <f ca="1">P_1_minQ-(AM1138^2*R_up)+dpup_minQ</f>
        <v>46.657941590173017</v>
      </c>
      <c r="AN1140" s="107"/>
      <c r="AO1140" s="1"/>
      <c r="AP1140" s="96">
        <f ca="1">P_1_minQ-(AP1138^2*R_up)+dpup_minQ</f>
        <v>31.51708743627723</v>
      </c>
      <c r="AQ1140" s="107"/>
      <c r="AR1140" s="1"/>
      <c r="AS1140" s="96">
        <f ca="1">P_1_minQ-(AS1138^2*R_up)+dpup_minQ</f>
        <v>9.5200852951903823</v>
      </c>
      <c r="AT1140" s="107"/>
      <c r="AU1140" s="1"/>
    </row>
    <row r="1141" spans="15:47" x14ac:dyDescent="0.25">
      <c r="O1141" s="8" t="s">
        <v>134</v>
      </c>
      <c r="P1141" s="1"/>
      <c r="Q1141" s="8"/>
      <c r="R1141" s="97">
        <f>P_2_minQ+(R1138^2*R_dn)-dpdn_minQ</f>
        <v>60</v>
      </c>
      <c r="S1141" s="106"/>
      <c r="T1141" s="22"/>
      <c r="U1141" s="97">
        <f ca="1">P_2_minQ+(U1138^2*R_dn)-dpdn_minQ</f>
        <v>60</v>
      </c>
      <c r="V1141" s="107"/>
      <c r="W1141" s="1"/>
      <c r="X1141" s="97">
        <f ca="1">P_2_minQ+(X1138^2*R_dn)-dpdn_minQ</f>
        <v>60</v>
      </c>
      <c r="Y1141" s="107"/>
      <c r="Z1141" s="1"/>
      <c r="AA1141" s="97">
        <f ca="1">P_2_minQ+(AA1138^2*R_dn)-dpdn_minQ</f>
        <v>60</v>
      </c>
      <c r="AB1141" s="107"/>
      <c r="AC1141" s="1"/>
      <c r="AD1141" s="97">
        <f ca="1">P_2_minQ+(AD1138^2*R_dn)-dpdn_minQ</f>
        <v>60</v>
      </c>
      <c r="AE1141" s="107"/>
      <c r="AF1141" s="1"/>
      <c r="AG1141" s="97">
        <f ca="1">P_2_minQ+(AG1138^2*R_dn)-dpdn_minQ</f>
        <v>60</v>
      </c>
      <c r="AH1141" s="107"/>
      <c r="AI1141" s="1"/>
      <c r="AJ1141" s="97">
        <f ca="1">P_2_minQ+(AJ1138^2*R_dn)-dpdn_minQ</f>
        <v>60</v>
      </c>
      <c r="AK1141" s="107"/>
      <c r="AL1141" s="1"/>
      <c r="AM1141" s="97">
        <f ca="1">P_2_minQ+(AM1138^2*R_dn)-dpdn_minQ</f>
        <v>60</v>
      </c>
      <c r="AN1141" s="107"/>
      <c r="AO1141" s="1"/>
      <c r="AP1141" s="97">
        <f ca="1">P_2_minQ+(AP1138^2*R_dn)-dpdn_minQ</f>
        <v>60</v>
      </c>
      <c r="AQ1141" s="107"/>
      <c r="AR1141" s="1"/>
      <c r="AS1141" s="97">
        <f ca="1">P_2_minQ+(AS1138^2*R_dn)-dpdn_minQ</f>
        <v>60</v>
      </c>
      <c r="AT1141" s="107"/>
      <c r="AU1141" s="1"/>
    </row>
    <row r="1142" spans="15:47" x14ac:dyDescent="0.25">
      <c r="O1142" s="8" t="s">
        <v>138</v>
      </c>
      <c r="P1142" s="1"/>
      <c r="Q1142" s="8"/>
      <c r="R1142" s="97">
        <f>R1140-R1141</f>
        <v>30.184617770145124</v>
      </c>
      <c r="S1142" s="106"/>
      <c r="T1142" s="22"/>
      <c r="U1142" s="97">
        <f ca="1">U1140-U1141</f>
        <v>30.064673805504228</v>
      </c>
      <c r="V1142" s="110"/>
      <c r="W1142" s="25"/>
      <c r="X1142" s="97">
        <f ca="1">X1140-X1141</f>
        <v>29.463345484224419</v>
      </c>
      <c r="Y1142" s="110"/>
      <c r="Z1142" s="25"/>
      <c r="AA1142" s="97">
        <f ca="1">AA1140-AA1141</f>
        <v>27.447139084911328</v>
      </c>
      <c r="AB1142" s="110"/>
      <c r="AC1142" s="25"/>
      <c r="AD1142" s="97">
        <f ca="1">AD1140-AD1141</f>
        <v>22.478833285251213</v>
      </c>
      <c r="AE1142" s="110"/>
      <c r="AF1142" s="25"/>
      <c r="AG1142" s="97">
        <f ca="1">AG1140-AG1141</f>
        <v>13.769125635930138</v>
      </c>
      <c r="AH1142" s="110"/>
      <c r="AI1142" s="25"/>
      <c r="AJ1142" s="97">
        <f ca="1">AJ1140-AJ1141</f>
        <v>0.94992790166025998</v>
      </c>
      <c r="AK1142" s="110"/>
      <c r="AL1142" s="25"/>
      <c r="AM1142" s="97">
        <f ca="1">AM1140-AM1141</f>
        <v>-13.342058409826983</v>
      </c>
      <c r="AN1142" s="110"/>
      <c r="AO1142" s="25"/>
      <c r="AP1142" s="97">
        <f ca="1">AP1140-AP1141</f>
        <v>-28.48291256372277</v>
      </c>
      <c r="AQ1142" s="110"/>
      <c r="AR1142" s="25"/>
      <c r="AS1142" s="97">
        <f ca="1">AS1140-AS1141</f>
        <v>-50.479914704809616</v>
      </c>
      <c r="AT1142" s="110"/>
      <c r="AU1142" s="25"/>
    </row>
    <row r="1143" spans="15:47" ht="14.4" x14ac:dyDescent="0.3">
      <c r="O1143" s="2" t="s">
        <v>140</v>
      </c>
      <c r="P1143" s="11"/>
      <c r="Q1143" s="2"/>
      <c r="R1143" s="96">
        <f>R1142/R1140</f>
        <v>0.33469807286955638</v>
      </c>
      <c r="S1143" s="106"/>
      <c r="T1143" s="22"/>
      <c r="U1143" s="96">
        <f ca="1">U1142/U1140</f>
        <v>0.3338120545512579</v>
      </c>
      <c r="V1143" s="111"/>
      <c r="W1143" s="28"/>
      <c r="X1143" s="96">
        <f ca="1">X1142/X1140</f>
        <v>0.32933426896515799</v>
      </c>
      <c r="Y1143" s="111"/>
      <c r="Z1143" s="28"/>
      <c r="AA1143" s="96">
        <f ca="1">AA1142/AA1140</f>
        <v>0.31387120690432313</v>
      </c>
      <c r="AB1143" s="111"/>
      <c r="AC1143" s="28"/>
      <c r="AD1143" s="96">
        <f ca="1">AD1142/AD1140</f>
        <v>0.27254063121272176</v>
      </c>
      <c r="AE1143" s="111"/>
      <c r="AF1143" s="28"/>
      <c r="AG1143" s="96">
        <f ca="1">AG1142/AG1140</f>
        <v>0.18665160413970963</v>
      </c>
      <c r="AH1143" s="111"/>
      <c r="AI1143" s="28"/>
      <c r="AJ1143" s="96">
        <f ca="1">AJ1142/AJ1140</f>
        <v>1.5585381875970753E-2</v>
      </c>
      <c r="AK1143" s="111"/>
      <c r="AL1143" s="28"/>
      <c r="AM1143" s="96">
        <f ca="1">AM1142/AM1140</f>
        <v>-0.28595471542698864</v>
      </c>
      <c r="AN1143" s="111"/>
      <c r="AO1143" s="28"/>
      <c r="AP1143" s="96">
        <f ca="1">AP1142/AP1140</f>
        <v>-0.90372921106085391</v>
      </c>
      <c r="AQ1143" s="111"/>
      <c r="AR1143" s="28"/>
      <c r="AS1143" s="96">
        <f ca="1">AS1142/AS1140</f>
        <v>-5.3024645409755351</v>
      </c>
      <c r="AT1143" s="111"/>
      <c r="AU1143" s="28"/>
    </row>
    <row r="1144" spans="15:47" x14ac:dyDescent="0.25">
      <c r="O1144" s="2" t="s">
        <v>21</v>
      </c>
      <c r="P1144" s="8">
        <v>12</v>
      </c>
      <c r="Q1144" s="2"/>
      <c r="R1144" s="96">
        <f ca="1">1-R1143/(3*F_GAMMA*R$29)</f>
        <v>0.82568617562084479</v>
      </c>
      <c r="S1144" s="106"/>
      <c r="T1144" s="22"/>
      <c r="U1144" s="96">
        <f ca="1">1-U1143/(3*F_GAMMA*U$29)</f>
        <v>0.82618801060452962</v>
      </c>
      <c r="V1144" s="111"/>
      <c r="W1144" s="28"/>
      <c r="X1144" s="96">
        <f ca="1">1-X1143/(3*F_GAMMA*X$29)</f>
        <v>0.82688632123109052</v>
      </c>
      <c r="Y1144" s="111"/>
      <c r="Z1144" s="28"/>
      <c r="AA1144" s="96">
        <f ca="1">1-AA1143/(3*F_GAMMA*AA$29)</f>
        <v>0.83268878857188267</v>
      </c>
      <c r="AB1144" s="111"/>
      <c r="AC1144" s="28"/>
      <c r="AD1144" s="96">
        <f ca="1">1-AD1143/(3*F_GAMMA*AD$29)</f>
        <v>0.85021460721384567</v>
      </c>
      <c r="AE1144" s="111"/>
      <c r="AF1144" s="28"/>
      <c r="AG1144" s="96">
        <f ca="1">1-AG1143/(3*F_GAMMA*AG$29)</f>
        <v>0.89126275423791146</v>
      </c>
      <c r="AH1144" s="111"/>
      <c r="AI1144" s="28"/>
      <c r="AJ1144" s="96">
        <f ca="1">1-AJ1143/(3*F_GAMMA*AJ$29)</f>
        <v>0.99023165345427711</v>
      </c>
      <c r="AK1144" s="111"/>
      <c r="AL1144" s="28"/>
      <c r="AM1144" s="96">
        <f ca="1">1-AM1143/(3*F_GAMMA*AM$29)</f>
        <v>1.2003893778621295</v>
      </c>
      <c r="AN1144" s="111"/>
      <c r="AO1144" s="28"/>
      <c r="AP1144" s="96">
        <f ca="1">1-AP1143/(3*F_GAMMA*AP$29)</f>
        <v>1.510113223523609</v>
      </c>
      <c r="AQ1144" s="111"/>
      <c r="AR1144" s="28"/>
      <c r="AS1144" s="96">
        <f ca="1">1-AS1143/(3*F_GAMMA*AS$29)</f>
        <v>5.6921563873398284</v>
      </c>
      <c r="AT1144" s="111"/>
      <c r="AU1144" s="28"/>
    </row>
    <row r="1145" spans="15:47" x14ac:dyDescent="0.25">
      <c r="O1145" s="2" t="s">
        <v>57</v>
      </c>
      <c r="P1145" s="143">
        <v>7</v>
      </c>
      <c r="Q1145" s="2"/>
      <c r="R1145" s="96">
        <f ca="1">(R1138/(N_9*R$27*R1140*R1144))*SQRT(M*'Valve Sizing'!$W$6*'Valve Sizing'!$G$8/R1143)</f>
        <v>0.61505248686506508</v>
      </c>
      <c r="S1145" s="107"/>
      <c r="T1145" s="22"/>
      <c r="U1145" s="96">
        <f ca="1">(U1138/(N_9*U$27*U1140*U1144))*SQRT(M*'Valve Sizing'!$W$6*'Valve Sizing'!$G$8/U1143)</f>
        <v>10.406219313503469</v>
      </c>
      <c r="V1145" s="111"/>
      <c r="W1145" s="28"/>
      <c r="X1145" s="96">
        <f ca="1">(X1138/(N_9*X$27*X1140*X1144))*SQRT(M*'Valve Sizing'!$W$6*'Valve Sizing'!$G$8/X1143)</f>
        <v>25.863672216792512</v>
      </c>
      <c r="Y1145" s="111"/>
      <c r="Z1145" s="28"/>
      <c r="AA1145" s="96">
        <f ca="1">(AA1138/(N_9*AA$27*AA1140*AA1144))*SQRT(M*'Valve Sizing'!$W$6*'Valve Sizing'!$G$8/AA1143)</f>
        <v>52.734786541639551</v>
      </c>
      <c r="AB1145" s="111"/>
      <c r="AC1145" s="28"/>
      <c r="AD1145" s="96">
        <f ca="1">(AD1138/(N_9*AD$27*AD1140*AD1144))*SQRT(M*'Valve Sizing'!$W$6*'Valve Sizing'!$G$8/AD1143)</f>
        <v>99.809734401197176</v>
      </c>
      <c r="AE1145" s="111"/>
      <c r="AF1145" s="28"/>
      <c r="AG1145" s="96">
        <f ca="1">(AG1138/(N_9*AG$27*AG1140*AG1144))*SQRT(M*'Valve Sizing'!$W$6*'Valve Sizing'!$G$8/AG1143)</f>
        <v>191.9733130511207</v>
      </c>
      <c r="AH1145" s="111"/>
      <c r="AI1145" s="28"/>
      <c r="AJ1145" s="96">
        <f ca="1">(AJ1138/(N_9*AJ$27*AJ1140*AJ1144))*SQRT(M*'Valve Sizing'!$W$6*'Valve Sizing'!$G$8/AJ1143)</f>
        <v>1000.7169847127835</v>
      </c>
      <c r="AK1145" s="111"/>
      <c r="AL1145" s="28"/>
      <c r="AM1145" s="96" t="e">
        <f ca="1">(AM1138/(N_9*AM$27*AM1140*AM1144))*SQRT(M*'Valve Sizing'!$W$6*'Valve Sizing'!$G$8/AM1143)</f>
        <v>#NUM!</v>
      </c>
      <c r="AN1145" s="111"/>
      <c r="AO1145" s="28"/>
      <c r="AP1145" s="96" t="e">
        <f ca="1">(AP1138/(N_9*AP$27*AP1140*AP1144))*SQRT(M*'Valve Sizing'!$W$6*'Valve Sizing'!$G$8/AP1143)</f>
        <v>#NUM!</v>
      </c>
      <c r="AQ1145" s="111"/>
      <c r="AR1145" s="28"/>
      <c r="AS1145" s="96" t="e">
        <f ca="1">(AS1138/(N_9*AS$27*AS1140*AS1144))*SQRT(M*'Valve Sizing'!$W$6*'Valve Sizing'!$G$8/AS1143)</f>
        <v>#NUM!</v>
      </c>
      <c r="AT1145" s="111"/>
      <c r="AU1145" s="28"/>
    </row>
    <row r="1146" spans="15:47" x14ac:dyDescent="0.25">
      <c r="O1146" s="2" t="s">
        <v>59</v>
      </c>
      <c r="P1146" s="143">
        <v>7</v>
      </c>
      <c r="Q1146" s="2"/>
      <c r="R1146" s="96">
        <f ca="1">(R1138/(N_9*R$27*R1140*0.667))*SQRT(M*'Valve Sizing'!$W$6*'Valve Sizing'!$G$8/R1147)</f>
        <v>0.5505894699250381</v>
      </c>
      <c r="S1146" s="107"/>
      <c r="T1146" s="22"/>
      <c r="U1146" s="96">
        <f ca="1">(U1138/(N_9*U$27*U1140*0.667))*SQRT(M*'Valve Sizing'!$W$6*'Valve Sizing'!$G$8/U1147)</f>
        <v>9.3077888255942174</v>
      </c>
      <c r="V1146" s="111"/>
      <c r="W1146" s="28"/>
      <c r="X1146" s="96">
        <f ca="1">(X1138/(N_9*X$27*X1140*0.667))*SQRT(M*'Valve Sizing'!$W$6*'Valve Sizing'!$G$8/X1147)</f>
        <v>23.106623152721337</v>
      </c>
      <c r="Y1146" s="111"/>
      <c r="Z1146" s="28"/>
      <c r="AA1146" s="96">
        <f ca="1">(AA1138/(N_9*AA$27*AA1140*0.667))*SQRT(M*'Valve Sizing'!$W$6*'Valve Sizing'!$G$8/AA1147)</f>
        <v>46.642006490685596</v>
      </c>
      <c r="AB1146" s="111"/>
      <c r="AC1146" s="28"/>
      <c r="AD1146" s="96">
        <f ca="1">(AD1138/(N_9*AD$27*AD1140*0.667))*SQRT(M*'Valve Sizing'!$W$6*'Valve Sizing'!$G$8/AD1147)</f>
        <v>85.284672644501171</v>
      </c>
      <c r="AE1146" s="111"/>
      <c r="AF1146" s="28"/>
      <c r="AG1146" s="96">
        <f ca="1">(AG1138/(N_9*AG$27*AG1140*0.667))*SQRT(M*'Valve Sizing'!$W$6*'Valve Sizing'!$G$8/AG1147)</f>
        <v>146.5111156425169</v>
      </c>
      <c r="AH1146" s="111"/>
      <c r="AI1146" s="28"/>
      <c r="AJ1146" s="96">
        <f ca="1">(AJ1138/(N_9*AJ$27*AJ1140*0.667))*SQRT(M*'Valve Sizing'!$W$6*'Valve Sizing'!$G$8/AJ1147)</f>
        <v>254.32754455795853</v>
      </c>
      <c r="AK1146" s="111"/>
      <c r="AL1146" s="28"/>
      <c r="AM1146" s="96">
        <f ca="1">(AM1138/(N_9*AM$27*AM1140*0.667))*SQRT(M*'Valve Sizing'!$W$6*'Valve Sizing'!$G$8/AM1147)</f>
        <v>454.80381555109801</v>
      </c>
      <c r="AN1146" s="111"/>
      <c r="AO1146" s="28"/>
      <c r="AP1146" s="96">
        <f ca="1">(AP1138/(N_9*AP$27*AP1140*0.667))*SQRT(M*'Valve Sizing'!$W$6*'Valve Sizing'!$G$8/AP1147)</f>
        <v>798.48375381741425</v>
      </c>
      <c r="AQ1146" s="111"/>
      <c r="AR1146" s="28"/>
      <c r="AS1146" s="96">
        <f ca="1">(AS1138/(N_9*AS$27*AS1140*0.667))*SQRT(M*'Valve Sizing'!$W$6*'Valve Sizing'!$G$8/AS1147)</f>
        <v>5198.2066873306576</v>
      </c>
      <c r="AT1146" s="111"/>
      <c r="AU1146" s="28"/>
    </row>
    <row r="1147" spans="15:47" ht="15.6" x14ac:dyDescent="0.35">
      <c r="O1147" s="2" t="s">
        <v>68</v>
      </c>
      <c r="P1147" s="143">
        <v>10</v>
      </c>
      <c r="Q1147" s="2"/>
      <c r="R1147" s="96">
        <f ca="1">F_GAMMA*R$29</f>
        <v>0.64002969751372984</v>
      </c>
      <c r="S1147" s="107"/>
      <c r="T1147" s="1"/>
      <c r="U1147" s="96">
        <f ca="1">F_GAMMA*U$29</f>
        <v>0.64017842058782071</v>
      </c>
      <c r="V1147" s="111"/>
      <c r="W1147" s="28"/>
      <c r="X1147" s="96">
        <f ca="1">F_GAMMA*X$29</f>
        <v>0.63413873724904268</v>
      </c>
      <c r="Y1147" s="111"/>
      <c r="Z1147" s="28"/>
      <c r="AA1147" s="96">
        <f ca="1">F_GAMMA*AA$29</f>
        <v>0.62532411750377137</v>
      </c>
      <c r="AB1147" s="111"/>
      <c r="AC1147" s="28"/>
      <c r="AD1147" s="96">
        <f ca="1">F_GAMMA*AD$29</f>
        <v>0.60651359509139569</v>
      </c>
      <c r="AE1147" s="111"/>
      <c r="AF1147" s="28"/>
      <c r="AG1147" s="96">
        <f ca="1">F_GAMMA*AG$29</f>
        <v>0.57217930198481592</v>
      </c>
      <c r="AH1147" s="111"/>
      <c r="AI1147" s="28"/>
      <c r="AJ1147" s="96">
        <f ca="1">F_GAMMA*AJ$29</f>
        <v>0.53183282018848232</v>
      </c>
      <c r="AK1147" s="111"/>
      <c r="AL1147" s="28"/>
      <c r="AM1147" s="96">
        <f ca="1">F_GAMMA*AM$29</f>
        <v>0.47566512503094399</v>
      </c>
      <c r="AN1147" s="111"/>
      <c r="AO1147" s="28"/>
      <c r="AP1147" s="96">
        <f ca="1">F_GAMMA*AP$29</f>
        <v>0.59054158265645496</v>
      </c>
      <c r="AQ1147" s="111"/>
      <c r="AR1147" s="28"/>
      <c r="AS1147" s="96">
        <f ca="1">F_GAMMA*AS$29</f>
        <v>0.3766899554102966</v>
      </c>
      <c r="AT1147" s="111"/>
      <c r="AU1147" s="28"/>
    </row>
    <row r="1148" spans="15:47" x14ac:dyDescent="0.25">
      <c r="O1148" s="2" t="s">
        <v>145</v>
      </c>
      <c r="P1148" s="12"/>
      <c r="Q1148" s="2"/>
      <c r="R1148" s="96">
        <f ca="1">IF(R1143&lt;R1147,R1145,R1146)</f>
        <v>0.61505248686506508</v>
      </c>
      <c r="S1148" s="116"/>
      <c r="T1148" s="1"/>
      <c r="U1148" s="96">
        <f ca="1">IF(U1143&lt;U1147,U1145,U1146)</f>
        <v>10.406219313503469</v>
      </c>
      <c r="V1148" s="111"/>
      <c r="W1148" s="28"/>
      <c r="X1148" s="96">
        <f ca="1">IF(X1143&lt;X1147,X1145,X1146)</f>
        <v>25.863672216792512</v>
      </c>
      <c r="Y1148" s="111"/>
      <c r="Z1148" s="28"/>
      <c r="AA1148" s="96">
        <f ca="1">IF(AA1143&lt;AA1147,AA1145,AA1146)</f>
        <v>52.734786541639551</v>
      </c>
      <c r="AB1148" s="111"/>
      <c r="AC1148" s="28"/>
      <c r="AD1148" s="96">
        <f ca="1">IF(AD1143&lt;AD1147,AD1145,AD1146)</f>
        <v>99.809734401197176</v>
      </c>
      <c r="AE1148" s="111"/>
      <c r="AF1148" s="28"/>
      <c r="AG1148" s="96">
        <f ca="1">IF(AG1143&lt;AG1147,AG1145,AG1146)</f>
        <v>191.9733130511207</v>
      </c>
      <c r="AH1148" s="111"/>
      <c r="AI1148" s="28"/>
      <c r="AJ1148" s="96">
        <f ca="1">IF(AJ1143&lt;AJ1147,AJ1145,AJ1146)</f>
        <v>1000.7169847127835</v>
      </c>
      <c r="AK1148" s="111"/>
      <c r="AL1148" s="28"/>
      <c r="AM1148" s="96" t="e">
        <f ca="1">IF(AM1143&lt;AM1147,AM1145,AM1146)</f>
        <v>#NUM!</v>
      </c>
      <c r="AN1148" s="111"/>
      <c r="AO1148" s="28"/>
      <c r="AP1148" s="96" t="e">
        <f ca="1">IF(AP1143&lt;AP1147,AP1145,AP1146)</f>
        <v>#NUM!</v>
      </c>
      <c r="AQ1148" s="111"/>
      <c r="AR1148" s="28"/>
      <c r="AS1148" s="96" t="e">
        <f ca="1">IF(AS1143&lt;AS1147,AS1145,AS1146)</f>
        <v>#NUM!</v>
      </c>
      <c r="AT1148" s="111"/>
      <c r="AU1148" s="28"/>
    </row>
    <row r="1149" spans="15:47" x14ac:dyDescent="0.25">
      <c r="O1149" s="13" t="s">
        <v>143</v>
      </c>
      <c r="P1149" s="1"/>
      <c r="Q1149" s="1"/>
      <c r="R1149" s="113"/>
      <c r="S1149" s="106">
        <f ca="1">IF(R1142&lt;=0,Q_max,ABS(R$23-R1148))</f>
        <v>4.1149475131349353</v>
      </c>
      <c r="T1149" s="7">
        <f>R1138</f>
        <v>1523.0011552029362</v>
      </c>
      <c r="U1149" s="98"/>
      <c r="V1149" s="106">
        <f ca="1">IF(U1142&lt;=0,Q_max,ABS(U$23-U1148))</f>
        <v>1.193780686496531</v>
      </c>
      <c r="W1149" s="9">
        <f ca="1">U1138</f>
        <v>25698.421796636889</v>
      </c>
      <c r="X1149" s="98"/>
      <c r="Y1149" s="106">
        <f ca="1">IF(X1142&lt;=0,Q_max,ABS(X$23-X1148))</f>
        <v>2.8636722167925122</v>
      </c>
      <c r="Z1149" s="9">
        <f ca="1">X1138</f>
        <v>62925.995298143825</v>
      </c>
      <c r="AA1149" s="98"/>
      <c r="AB1149" s="106">
        <f ca="1">IF(AA1142&lt;=0,Q_max,ABS(AA$23-AA1148))</f>
        <v>13.334786541639552</v>
      </c>
      <c r="AC1149" s="9">
        <f ca="1">AA1138</f>
        <v>122563.7772691041</v>
      </c>
      <c r="AD1149" s="98"/>
      <c r="AE1149" s="106">
        <f ca="1">IF(AD1142&lt;=0,Q_max,ABS(AD$23-AD1148))</f>
        <v>38.809734401197176</v>
      </c>
      <c r="AF1149" s="9">
        <f ca="1">AD1138</f>
        <v>205623.89129702793</v>
      </c>
      <c r="AG1149" s="98"/>
      <c r="AH1149" s="106">
        <f ca="1">IF(AG1142&lt;=0,Q_max,ABS(AG$23-AG1148))</f>
        <v>103.7733130511207</v>
      </c>
      <c r="AI1149" s="9">
        <f ca="1">AG1138</f>
        <v>300113.66974946728</v>
      </c>
      <c r="AJ1149" s="98"/>
      <c r="AK1149" s="106">
        <f ca="1">IF(AJ1142&lt;=0,Q_max,ABS(AJ$23-AJ1148))</f>
        <v>879.71698471278353</v>
      </c>
      <c r="AL1149" s="9">
        <f ca="1">AJ1138</f>
        <v>400502.85569148249</v>
      </c>
      <c r="AM1149" s="98"/>
      <c r="AN1149" s="106">
        <f ca="1">IF(AM1142&lt;=0,Q_max,ABS(AM$23-AM1148))</f>
        <v>236393</v>
      </c>
      <c r="AO1149" s="9">
        <f ca="1">AM1138</f>
        <v>488689.59548546484</v>
      </c>
      <c r="AP1149" s="98"/>
      <c r="AQ1149" s="106">
        <f ca="1">IF(AP1142&lt;=0,Q_max,ABS(AP$23-AP1148))</f>
        <v>236393</v>
      </c>
      <c r="AR1149" s="9">
        <f ca="1">AP1138</f>
        <v>567353.44917094731</v>
      </c>
      <c r="AS1149" s="98"/>
      <c r="AT1149" s="106">
        <f ca="1">IF(AS1142&lt;=0,Q_max,ABS(AS$23-AS1148))</f>
        <v>236393</v>
      </c>
      <c r="AU1149" s="9">
        <f ca="1">AS1138</f>
        <v>665266.53862165601</v>
      </c>
    </row>
    <row r="1150" spans="15:47" x14ac:dyDescent="0.25">
      <c r="O1150" s="21"/>
      <c r="P1150" s="14"/>
      <c r="Q1150" s="21"/>
      <c r="R1150" s="97"/>
      <c r="S1150" s="106"/>
      <c r="T1150" s="28"/>
      <c r="U1150" s="99"/>
      <c r="V1150" s="110"/>
      <c r="W1150" s="25"/>
      <c r="X1150" s="99"/>
      <c r="Y1150" s="110"/>
      <c r="Z1150" s="25"/>
      <c r="AA1150" s="99"/>
      <c r="AB1150" s="110"/>
      <c r="AC1150" s="25"/>
      <c r="AD1150" s="99"/>
      <c r="AE1150" s="110"/>
      <c r="AF1150" s="25"/>
      <c r="AG1150" s="99"/>
      <c r="AH1150" s="110"/>
      <c r="AI1150" s="25"/>
      <c r="AJ1150" s="99"/>
      <c r="AK1150" s="110"/>
      <c r="AL1150" s="25"/>
      <c r="AM1150" s="99"/>
      <c r="AN1150" s="110"/>
      <c r="AO1150" s="25"/>
      <c r="AP1150" s="99"/>
      <c r="AQ1150" s="110"/>
      <c r="AR1150" s="25"/>
      <c r="AS1150" s="99"/>
      <c r="AT1150" s="110"/>
      <c r="AU1150" s="25"/>
    </row>
    <row r="1151" spans="15:47" x14ac:dyDescent="0.25">
      <c r="O1151" s="1"/>
      <c r="P1151" s="1"/>
      <c r="Q1151" s="1"/>
      <c r="R1151" s="98"/>
      <c r="S1151" s="108" t="s">
        <v>137</v>
      </c>
      <c r="T1151" s="26" t="s">
        <v>146</v>
      </c>
      <c r="U1151" s="98"/>
      <c r="V1151" s="108" t="s">
        <v>137</v>
      </c>
      <c r="W1151" s="26" t="s">
        <v>146</v>
      </c>
      <c r="X1151" s="98"/>
      <c r="Y1151" s="108" t="s">
        <v>137</v>
      </c>
      <c r="Z1151" s="26" t="s">
        <v>146</v>
      </c>
      <c r="AA1151" s="98"/>
      <c r="AB1151" s="108" t="s">
        <v>137</v>
      </c>
      <c r="AC1151" s="26" t="s">
        <v>146</v>
      </c>
      <c r="AD1151" s="98"/>
      <c r="AE1151" s="108" t="s">
        <v>137</v>
      </c>
      <c r="AF1151" s="26" t="s">
        <v>146</v>
      </c>
      <c r="AG1151" s="98"/>
      <c r="AH1151" s="108" t="s">
        <v>137</v>
      </c>
      <c r="AI1151" s="26" t="s">
        <v>146</v>
      </c>
      <c r="AJ1151" s="98"/>
      <c r="AK1151" s="108" t="s">
        <v>137</v>
      </c>
      <c r="AL1151" s="26" t="s">
        <v>146</v>
      </c>
      <c r="AM1151" s="98"/>
      <c r="AN1151" s="108" t="s">
        <v>137</v>
      </c>
      <c r="AO1151" s="26" t="s">
        <v>146</v>
      </c>
      <c r="AP1151" s="98"/>
      <c r="AQ1151" s="108" t="s">
        <v>137</v>
      </c>
      <c r="AR1151" s="26" t="s">
        <v>146</v>
      </c>
      <c r="AS1151" s="98"/>
      <c r="AT1151" s="108" t="s">
        <v>137</v>
      </c>
      <c r="AU1151" s="26" t="s">
        <v>146</v>
      </c>
    </row>
    <row r="1152" spans="15:47" ht="13.8" x14ac:dyDescent="0.25">
      <c r="O1152" s="20" t="s">
        <v>136</v>
      </c>
      <c r="P1152" s="1"/>
      <c r="Q1152" s="1"/>
      <c r="R1152" s="96">
        <f>R1138*1.02</f>
        <v>1553.461178306995</v>
      </c>
      <c r="S1152" s="109" t="s">
        <v>144</v>
      </c>
      <c r="T1152" s="23" t="s">
        <v>147</v>
      </c>
      <c r="U1152" s="96">
        <f ca="1">U1138*1.01</f>
        <v>25955.406014603257</v>
      </c>
      <c r="V1152" s="109" t="s">
        <v>144</v>
      </c>
      <c r="W1152" s="23" t="s">
        <v>147</v>
      </c>
      <c r="X1152" s="96">
        <f ca="1">X1138*1.01</f>
        <v>63555.255251125265</v>
      </c>
      <c r="Y1152" s="109" t="s">
        <v>144</v>
      </c>
      <c r="Z1152" s="23" t="s">
        <v>147</v>
      </c>
      <c r="AA1152" s="96">
        <f ca="1">AA1138*1.01</f>
        <v>123789.41504179515</v>
      </c>
      <c r="AB1152" s="109" t="s">
        <v>144</v>
      </c>
      <c r="AC1152" s="23" t="s">
        <v>147</v>
      </c>
      <c r="AD1152" s="96">
        <f ca="1">AD1138*1.01</f>
        <v>207680.13020999823</v>
      </c>
      <c r="AE1152" s="109" t="s">
        <v>144</v>
      </c>
      <c r="AF1152" s="23" t="s">
        <v>147</v>
      </c>
      <c r="AG1152" s="96">
        <f ca="1">AG1138*1.01</f>
        <v>303114.80644696194</v>
      </c>
      <c r="AH1152" s="109" t="s">
        <v>144</v>
      </c>
      <c r="AI1152" s="23" t="s">
        <v>147</v>
      </c>
      <c r="AJ1152" s="96">
        <f ca="1">AJ1138*1.01</f>
        <v>404507.88424839731</v>
      </c>
      <c r="AK1152" s="109" t="s">
        <v>144</v>
      </c>
      <c r="AL1152" s="23" t="s">
        <v>147</v>
      </c>
      <c r="AM1152" s="96">
        <f ca="1">AM1138*1.01</f>
        <v>493576.49144031951</v>
      </c>
      <c r="AN1152" s="109" t="s">
        <v>144</v>
      </c>
      <c r="AO1152" s="23" t="s">
        <v>147</v>
      </c>
      <c r="AP1152" s="96">
        <f ca="1">AP1138*1.01</f>
        <v>573026.98366265674</v>
      </c>
      <c r="AQ1152" s="109" t="s">
        <v>144</v>
      </c>
      <c r="AR1152" s="23" t="s">
        <v>147</v>
      </c>
      <c r="AS1152" s="96">
        <f ca="1">AS1138*1.01</f>
        <v>671919.20400787261</v>
      </c>
      <c r="AT1152" s="109" t="s">
        <v>144</v>
      </c>
      <c r="AU1152" s="23" t="s">
        <v>147</v>
      </c>
    </row>
    <row r="1153" spans="15:47" x14ac:dyDescent="0.25">
      <c r="O1153" s="1"/>
      <c r="P1153" s="1"/>
      <c r="Q1153" s="1"/>
      <c r="R1153" s="98"/>
      <c r="S1153" s="107"/>
      <c r="T1153" s="1"/>
      <c r="U1153" s="47"/>
      <c r="V1153" s="107"/>
      <c r="W1153" s="1"/>
      <c r="X1153" s="47"/>
      <c r="Y1153" s="107"/>
      <c r="Z1153" s="1"/>
      <c r="AA1153" s="47"/>
      <c r="AB1153" s="107"/>
      <c r="AC1153" s="1"/>
      <c r="AD1153" s="47"/>
      <c r="AE1153" s="107"/>
      <c r="AF1153" s="1"/>
      <c r="AG1153" s="47"/>
      <c r="AH1153" s="107"/>
      <c r="AI1153" s="1"/>
      <c r="AJ1153" s="47"/>
      <c r="AK1153" s="107"/>
      <c r="AL1153" s="1"/>
      <c r="AM1153" s="47"/>
      <c r="AN1153" s="107"/>
      <c r="AO1153" s="1"/>
      <c r="AP1153" s="47"/>
      <c r="AQ1153" s="107"/>
      <c r="AR1153" s="1"/>
      <c r="AS1153" s="47"/>
      <c r="AT1153" s="107"/>
      <c r="AU1153" s="1"/>
    </row>
    <row r="1154" spans="15:47" x14ac:dyDescent="0.25">
      <c r="O1154" s="8" t="s">
        <v>132</v>
      </c>
      <c r="P1154" s="8"/>
      <c r="Q1154" s="8"/>
      <c r="R1154" s="96">
        <f>P_1_minQ-(R1152^2*R_up)+dpup_minQ</f>
        <v>90.184600690636657</v>
      </c>
      <c r="S1154" s="106"/>
      <c r="T1154" s="22"/>
      <c r="U1154" s="96">
        <f ca="1">P_1_minQ-(U1152^2*R_up)+dpup_minQ</f>
        <v>90.062254434336722</v>
      </c>
      <c r="V1154" s="107"/>
      <c r="W1154" s="1"/>
      <c r="X1154" s="96">
        <f ca="1">P_1_minQ-(X1152^2*R_up)+dpup_minQ</f>
        <v>89.448839413799192</v>
      </c>
      <c r="Y1154" s="107"/>
      <c r="Z1154" s="1"/>
      <c r="AA1154" s="96">
        <f ca="1">P_1_minQ-(AA1152^2*R_up)+dpup_minQ</f>
        <v>87.392107265859906</v>
      </c>
      <c r="AB1154" s="107"/>
      <c r="AC1154" s="1"/>
      <c r="AD1154" s="96">
        <f ca="1">P_1_minQ-(AD1152^2*R_up)+dpup_minQ</f>
        <v>82.323938519626623</v>
      </c>
      <c r="AE1154" s="107"/>
      <c r="AF1154" s="1"/>
      <c r="AG1154" s="96">
        <f ca="1">P_1_minQ-(AG1152^2*R_up)+dpup_minQ</f>
        <v>73.439165746554195</v>
      </c>
      <c r="AH1154" s="107"/>
      <c r="AI1154" s="1"/>
      <c r="AJ1154" s="96">
        <f ca="1">P_1_minQ-(AJ1152^2*R_up)+dpup_minQ</f>
        <v>60.362302137825495</v>
      </c>
      <c r="AK1154" s="107"/>
      <c r="AL1154" s="1"/>
      <c r="AM1154" s="96">
        <f ca="1">P_1_minQ-(AM1152^2*R_up)+dpup_minQ</f>
        <v>45.783046901477356</v>
      </c>
      <c r="AN1154" s="107"/>
      <c r="AO1154" s="1"/>
      <c r="AP1154" s="96">
        <f ca="1">P_1_minQ-(AP1152^2*R_up)+dpup_minQ</f>
        <v>30.337861579088269</v>
      </c>
      <c r="AQ1154" s="107"/>
      <c r="AR1154" s="1"/>
      <c r="AS1154" s="96">
        <f ca="1">P_1_minQ-(AS1152^2*R_up)+dpup_minQ</f>
        <v>7.8987196949655774</v>
      </c>
      <c r="AT1154" s="107"/>
      <c r="AU1154" s="1"/>
    </row>
    <row r="1155" spans="15:47" x14ac:dyDescent="0.25">
      <c r="O1155" s="8" t="s">
        <v>134</v>
      </c>
      <c r="P1155" s="1"/>
      <c r="Q1155" s="8"/>
      <c r="R1155" s="97">
        <f>P_2_minQ+(R1152^2*R_dn)-dpdn_minQ</f>
        <v>60</v>
      </c>
      <c r="S1155" s="106"/>
      <c r="T1155" s="22"/>
      <c r="U1155" s="97">
        <f ca="1">P_2_minQ+(U1152^2*R_dn)-dpdn_minQ</f>
        <v>60</v>
      </c>
      <c r="V1155" s="107"/>
      <c r="W1155" s="1"/>
      <c r="X1155" s="97">
        <f ca="1">P_2_minQ+(X1152^2*R_dn)-dpdn_minQ</f>
        <v>60</v>
      </c>
      <c r="Y1155" s="107"/>
      <c r="Z1155" s="1"/>
      <c r="AA1155" s="97">
        <f ca="1">P_2_minQ+(AA1152^2*R_dn)-dpdn_minQ</f>
        <v>60</v>
      </c>
      <c r="AB1155" s="107"/>
      <c r="AC1155" s="1"/>
      <c r="AD1155" s="97">
        <f ca="1">P_2_minQ+(AD1152^2*R_dn)-dpdn_minQ</f>
        <v>60</v>
      </c>
      <c r="AE1155" s="107"/>
      <c r="AF1155" s="1"/>
      <c r="AG1155" s="97">
        <f ca="1">P_2_minQ+(AG1152^2*R_dn)-dpdn_minQ</f>
        <v>60</v>
      </c>
      <c r="AH1155" s="107"/>
      <c r="AI1155" s="1"/>
      <c r="AJ1155" s="97">
        <f ca="1">P_2_minQ+(AJ1152^2*R_dn)-dpdn_minQ</f>
        <v>60</v>
      </c>
      <c r="AK1155" s="107"/>
      <c r="AL1155" s="1"/>
      <c r="AM1155" s="97">
        <f ca="1">P_2_minQ+(AM1152^2*R_dn)-dpdn_minQ</f>
        <v>60</v>
      </c>
      <c r="AN1155" s="107"/>
      <c r="AO1155" s="1"/>
      <c r="AP1155" s="97">
        <f ca="1">P_2_minQ+(AP1152^2*R_dn)-dpdn_minQ</f>
        <v>60</v>
      </c>
      <c r="AQ1155" s="107"/>
      <c r="AR1155" s="1"/>
      <c r="AS1155" s="97">
        <f ca="1">P_2_minQ+(AS1152^2*R_dn)-dpdn_minQ</f>
        <v>60</v>
      </c>
      <c r="AT1155" s="107"/>
      <c r="AU1155" s="1"/>
    </row>
    <row r="1156" spans="15:47" x14ac:dyDescent="0.25">
      <c r="O1156" s="8" t="s">
        <v>138</v>
      </c>
      <c r="P1156" s="1"/>
      <c r="Q1156" s="8"/>
      <c r="R1156" s="97">
        <f>R1154-R1155</f>
        <v>30.184600690636657</v>
      </c>
      <c r="S1156" s="106"/>
      <c r="T1156" s="22"/>
      <c r="U1156" s="97">
        <f ca="1">U1154-U1155</f>
        <v>30.062254434336722</v>
      </c>
      <c r="V1156" s="110"/>
      <c r="W1156" s="25"/>
      <c r="X1156" s="97">
        <f ca="1">X1154-X1155</f>
        <v>29.448839413799192</v>
      </c>
      <c r="Y1156" s="110"/>
      <c r="Z1156" s="25"/>
      <c r="AA1156" s="97">
        <f ca="1">AA1154-AA1155</f>
        <v>27.392107265859906</v>
      </c>
      <c r="AB1156" s="110"/>
      <c r="AC1156" s="25"/>
      <c r="AD1156" s="97">
        <f ca="1">AD1154-AD1155</f>
        <v>22.323938519626623</v>
      </c>
      <c r="AE1156" s="110"/>
      <c r="AF1156" s="25"/>
      <c r="AG1156" s="97">
        <f ca="1">AG1154-AG1155</f>
        <v>13.439165746554195</v>
      </c>
      <c r="AH1156" s="110"/>
      <c r="AI1156" s="25"/>
      <c r="AJ1156" s="97">
        <f ca="1">AJ1154-AJ1155</f>
        <v>0.3623021378254947</v>
      </c>
      <c r="AK1156" s="110"/>
      <c r="AL1156" s="25"/>
      <c r="AM1156" s="97">
        <f ca="1">AM1154-AM1155</f>
        <v>-14.216953098522644</v>
      </c>
      <c r="AN1156" s="110"/>
      <c r="AO1156" s="25"/>
      <c r="AP1156" s="97">
        <f ca="1">AP1154-AP1155</f>
        <v>-29.662138420911731</v>
      </c>
      <c r="AQ1156" s="110"/>
      <c r="AR1156" s="25"/>
      <c r="AS1156" s="97">
        <f ca="1">AS1154-AS1155</f>
        <v>-52.101280305034422</v>
      </c>
      <c r="AT1156" s="110"/>
      <c r="AU1156" s="25"/>
    </row>
    <row r="1157" spans="15:47" ht="14.4" x14ac:dyDescent="0.3">
      <c r="O1157" s="2" t="s">
        <v>140</v>
      </c>
      <c r="P1157" s="11"/>
      <c r="Q1157" s="2"/>
      <c r="R1157" s="96">
        <f>R1156/R1154</f>
        <v>0.33469794687210441</v>
      </c>
      <c r="S1157" s="106"/>
      <c r="T1157" s="22"/>
      <c r="U1157" s="96">
        <f ca="1">U1156/U1154</f>
        <v>0.33379415853124955</v>
      </c>
      <c r="V1157" s="111"/>
      <c r="W1157" s="28"/>
      <c r="X1157" s="96">
        <f ca="1">X1156/X1154</f>
        <v>0.32922550596286604</v>
      </c>
      <c r="Y1157" s="111"/>
      <c r="Z1157" s="28"/>
      <c r="AA1157" s="96">
        <f ca="1">AA1156/AA1154</f>
        <v>0.3134391436806645</v>
      </c>
      <c r="AB1157" s="111"/>
      <c r="AC1157" s="28"/>
      <c r="AD1157" s="96">
        <f ca="1">AD1156/AD1154</f>
        <v>0.27117189630455346</v>
      </c>
      <c r="AE1157" s="111"/>
      <c r="AF1157" s="28"/>
      <c r="AG1157" s="96">
        <f ca="1">AG1156/AG1154</f>
        <v>0.18299725507413961</v>
      </c>
      <c r="AH1157" s="111"/>
      <c r="AI1157" s="28"/>
      <c r="AJ1157" s="96">
        <f ca="1">AJ1156/AJ1154</f>
        <v>6.0021259129290454E-3</v>
      </c>
      <c r="AK1157" s="111"/>
      <c r="AL1157" s="28"/>
      <c r="AM1157" s="96">
        <f ca="1">AM1156/AM1154</f>
        <v>-0.31052876688431769</v>
      </c>
      <c r="AN1157" s="111"/>
      <c r="AO1157" s="28"/>
      <c r="AP1157" s="96">
        <f ca="1">AP1156/AP1154</f>
        <v>-0.97772673738341831</v>
      </c>
      <c r="AQ1157" s="111"/>
      <c r="AR1157" s="28"/>
      <c r="AS1157" s="96">
        <f ca="1">AS1156/AS1154</f>
        <v>-6.5961677736510032</v>
      </c>
      <c r="AT1157" s="111"/>
      <c r="AU1157" s="28"/>
    </row>
    <row r="1158" spans="15:47" x14ac:dyDescent="0.25">
      <c r="O1158" s="2" t="s">
        <v>21</v>
      </c>
      <c r="P1158" s="8">
        <v>12</v>
      </c>
      <c r="Q1158" s="2"/>
      <c r="R1158" s="96">
        <f ca="1">1-R1157/(3*F_GAMMA*R$29)</f>
        <v>0.82568624124147272</v>
      </c>
      <c r="S1158" s="106"/>
      <c r="T1158" s="22"/>
      <c r="U1158" s="96">
        <f ca="1">1-U1157/(3*F_GAMMA*U$29)</f>
        <v>0.82619732885052311</v>
      </c>
      <c r="V1158" s="111"/>
      <c r="W1158" s="28"/>
      <c r="X1158" s="96">
        <f ca="1">1-X1157/(3*F_GAMMA*X$29)</f>
        <v>0.82694349221271923</v>
      </c>
      <c r="Y1158" s="111"/>
      <c r="Z1158" s="28"/>
      <c r="AA1158" s="96">
        <f ca="1">1-AA1157/(3*F_GAMMA*AA$29)</f>
        <v>0.83291910285294346</v>
      </c>
      <c r="AB1158" s="111"/>
      <c r="AC1158" s="28"/>
      <c r="AD1158" s="96">
        <f ca="1">1-AD1157/(3*F_GAMMA*AD$29)</f>
        <v>0.85096684916370779</v>
      </c>
      <c r="AE1158" s="111"/>
      <c r="AF1158" s="28"/>
      <c r="AG1158" s="96">
        <f ca="1">1-AG1157/(3*F_GAMMA*AG$29)</f>
        <v>0.89339166094768674</v>
      </c>
      <c r="AH1158" s="111"/>
      <c r="AI1158" s="28"/>
      <c r="AJ1158" s="96">
        <f ca="1">1-AJ1157/(3*F_GAMMA*AJ$29)</f>
        <v>0.99623808730545449</v>
      </c>
      <c r="AK1158" s="111"/>
      <c r="AL1158" s="28"/>
      <c r="AM1158" s="96">
        <f ca="1">1-AM1157/(3*F_GAMMA*AM$29)</f>
        <v>1.2176102125517516</v>
      </c>
      <c r="AN1158" s="111"/>
      <c r="AO1158" s="28"/>
      <c r="AP1158" s="96">
        <f ca="1">1-AP1157/(3*F_GAMMA*AP$29)</f>
        <v>1.551881395032491</v>
      </c>
      <c r="AQ1158" s="111"/>
      <c r="AR1158" s="28"/>
      <c r="AS1158" s="96">
        <f ca="1">1-AS1157/(3*F_GAMMA*AS$29)</f>
        <v>6.836955723499762</v>
      </c>
      <c r="AT1158" s="111"/>
      <c r="AU1158" s="28"/>
    </row>
    <row r="1159" spans="15:47" x14ac:dyDescent="0.25">
      <c r="O1159" s="2" t="s">
        <v>57</v>
      </c>
      <c r="P1159" s="143">
        <v>7</v>
      </c>
      <c r="Q1159" s="2"/>
      <c r="R1159" s="96">
        <f ca="1">(R1152/(N_9*R$27*R1154*R1158))*SQRT(M*'Valve Sizing'!$W$6*'Valve Sizing'!$G$8/R1157)</f>
        <v>0.62735372363867659</v>
      </c>
      <c r="S1159" s="107"/>
      <c r="T1159" s="22"/>
      <c r="U1159" s="96">
        <f ca="1">(U1152/(N_9*U$27*U1154*U1158))*SQRT(M*'Valve Sizing'!$W$6*'Valve Sizing'!$G$8/U1157)</f>
        <v>10.510727053978059</v>
      </c>
      <c r="V1159" s="111"/>
      <c r="W1159" s="28"/>
      <c r="X1159" s="96">
        <f ca="1">(X1152/(N_9*X$27*X1154*X1158))*SQRT(M*'Valve Sizing'!$W$6*'Valve Sizing'!$G$8/X1157)</f>
        <v>26.129053902426396</v>
      </c>
      <c r="Y1159" s="111"/>
      <c r="Z1159" s="28"/>
      <c r="AA1159" s="96">
        <f ca="1">(AA1152/(N_9*AA$27*AA1154*AA1158))*SQRT(M*'Valve Sizing'!$W$6*'Valve Sizing'!$G$8/AA1157)</f>
        <v>53.317647322253514</v>
      </c>
      <c r="AB1159" s="111"/>
      <c r="AC1159" s="28"/>
      <c r="AD1159" s="96">
        <f ca="1">(AD1152/(N_9*AD$27*AD1154*AD1158))*SQRT(M*'Valve Sizing'!$W$6*'Valve Sizing'!$G$8/AD1157)</f>
        <v>101.16256979444911</v>
      </c>
      <c r="AE1159" s="111"/>
      <c r="AF1159" s="28"/>
      <c r="AG1159" s="96">
        <f ca="1">(AG1152/(N_9*AG$27*AG1154*AG1158))*SQRT(M*'Valve Sizing'!$W$6*'Valve Sizing'!$G$8/AG1157)</f>
        <v>196.23052870794456</v>
      </c>
      <c r="AH1159" s="111"/>
      <c r="AI1159" s="28"/>
      <c r="AJ1159" s="96">
        <f ca="1">(AJ1152/(N_9*AJ$27*AJ1154*AJ1158))*SQRT(M*'Valve Sizing'!$W$6*'Valve Sizing'!$G$8/AJ1157)</f>
        <v>1634.6315711840441</v>
      </c>
      <c r="AK1159" s="111"/>
      <c r="AL1159" s="28"/>
      <c r="AM1159" s="96" t="e">
        <f ca="1">(AM1152/(N_9*AM$27*AM1154*AM1158))*SQRT(M*'Valve Sizing'!$W$6*'Valve Sizing'!$G$8/AM1157)</f>
        <v>#NUM!</v>
      </c>
      <c r="AN1159" s="111"/>
      <c r="AO1159" s="28"/>
      <c r="AP1159" s="96" t="e">
        <f ca="1">(AP1152/(N_9*AP$27*AP1154*AP1158))*SQRT(M*'Valve Sizing'!$W$6*'Valve Sizing'!$G$8/AP1157)</f>
        <v>#NUM!</v>
      </c>
      <c r="AQ1159" s="111"/>
      <c r="AR1159" s="28"/>
      <c r="AS1159" s="96" t="e">
        <f ca="1">(AS1152/(N_9*AS$27*AS1154*AS1158))*SQRT(M*'Valve Sizing'!$W$6*'Valve Sizing'!$G$8/AS1157)</f>
        <v>#NUM!</v>
      </c>
      <c r="AT1159" s="111"/>
      <c r="AU1159" s="28"/>
    </row>
    <row r="1160" spans="15:47" x14ac:dyDescent="0.25">
      <c r="O1160" s="2" t="s">
        <v>59</v>
      </c>
      <c r="P1160" s="143">
        <v>7</v>
      </c>
      <c r="Q1160" s="2"/>
      <c r="R1160" s="96">
        <f ca="1">(R1152/(N_9*R$27*R1154*0.667))*SQRT(M*'Valve Sizing'!$W$6*'Valve Sizing'!$G$8/R1161)</f>
        <v>0.56160136568175745</v>
      </c>
      <c r="S1160" s="107"/>
      <c r="T1160" s="22"/>
      <c r="U1160" s="96">
        <f ca="1">(U1152/(N_9*U$27*U1154*0.667))*SQRT(M*'Valve Sizing'!$W$6*'Valve Sizing'!$G$8/U1161)</f>
        <v>9.4011192523416707</v>
      </c>
      <c r="V1160" s="111"/>
      <c r="W1160" s="28"/>
      <c r="X1160" s="96">
        <f ca="1">(X1152/(N_9*X$27*X1154*0.667))*SQRT(M*'Valve Sizing'!$W$6*'Valve Sizing'!$G$8/X1161)</f>
        <v>23.341474097029497</v>
      </c>
      <c r="Y1160" s="111"/>
      <c r="Z1160" s="28"/>
      <c r="AA1160" s="96">
        <f ca="1">(AA1152/(N_9*AA$27*AA1154*0.667))*SQRT(M*'Valve Sizing'!$W$6*'Valve Sizing'!$G$8/AA1161)</f>
        <v>47.138091275749822</v>
      </c>
      <c r="AB1160" s="111"/>
      <c r="AC1160" s="28"/>
      <c r="AD1160" s="96">
        <f ca="1">(AD1152/(N_9*AD$27*AD1154*0.667))*SQRT(M*'Valve Sizing'!$W$6*'Valve Sizing'!$G$8/AD1161)</f>
        <v>86.299589494343721</v>
      </c>
      <c r="AE1160" s="111"/>
      <c r="AF1160" s="28"/>
      <c r="AG1160" s="96">
        <f ca="1">(AG1152/(N_9*AG$27*AG1154*0.667))*SQRT(M*'Valve Sizing'!$W$6*'Valve Sizing'!$G$8/AG1161)</f>
        <v>148.64107938718291</v>
      </c>
      <c r="AH1160" s="111"/>
      <c r="AI1160" s="28"/>
      <c r="AJ1160" s="96">
        <f ca="1">(AJ1152/(N_9*AJ$27*AJ1154*0.667))*SQRT(M*'Valve Sizing'!$W$6*'Valve Sizing'!$G$8/AJ1161)</f>
        <v>259.37145212765415</v>
      </c>
      <c r="AK1160" s="111"/>
      <c r="AL1160" s="28"/>
      <c r="AM1160" s="96">
        <f ca="1">(AM1152/(N_9*AM$27*AM1154*0.667))*SQRT(M*'Valve Sizing'!$W$6*'Valve Sizing'!$G$8/AM1161)</f>
        <v>468.1298736124325</v>
      </c>
      <c r="AN1160" s="111"/>
      <c r="AO1160" s="28"/>
      <c r="AP1160" s="96">
        <f ca="1">(AP1152/(N_9*AP$27*AP1154*0.667))*SQRT(M*'Valve Sizing'!$W$6*'Valve Sizing'!$G$8/AP1161)</f>
        <v>837.81584414260715</v>
      </c>
      <c r="AQ1160" s="111"/>
      <c r="AR1160" s="28"/>
      <c r="AS1160" s="96">
        <f ca="1">(AS1152/(N_9*AS$27*AS1154*0.667))*SQRT(M*'Valve Sizing'!$W$6*'Valve Sizing'!$G$8/AS1161)</f>
        <v>6327.8919478214111</v>
      </c>
      <c r="AT1160" s="111"/>
      <c r="AU1160" s="28"/>
    </row>
    <row r="1161" spans="15:47" ht="15.6" x14ac:dyDescent="0.35">
      <c r="O1161" s="2" t="s">
        <v>68</v>
      </c>
      <c r="P1161" s="143">
        <v>10</v>
      </c>
      <c r="Q1161" s="2"/>
      <c r="R1161" s="96">
        <f ca="1">F_GAMMA*R$29</f>
        <v>0.64002969751372984</v>
      </c>
      <c r="S1161" s="107"/>
      <c r="T1161" s="1"/>
      <c r="U1161" s="96">
        <f ca="1">F_GAMMA*U$29</f>
        <v>0.64017842058782071</v>
      </c>
      <c r="V1161" s="111"/>
      <c r="W1161" s="28"/>
      <c r="X1161" s="96">
        <f ca="1">F_GAMMA*X$29</f>
        <v>0.63413873724904268</v>
      </c>
      <c r="Y1161" s="111"/>
      <c r="Z1161" s="28"/>
      <c r="AA1161" s="96">
        <f ca="1">F_GAMMA*AA$29</f>
        <v>0.62532411750377137</v>
      </c>
      <c r="AB1161" s="111"/>
      <c r="AC1161" s="28"/>
      <c r="AD1161" s="96">
        <f ca="1">F_GAMMA*AD$29</f>
        <v>0.60651359509139569</v>
      </c>
      <c r="AE1161" s="111"/>
      <c r="AF1161" s="28"/>
      <c r="AG1161" s="96">
        <f ca="1">F_GAMMA*AG$29</f>
        <v>0.57217930198481592</v>
      </c>
      <c r="AH1161" s="111"/>
      <c r="AI1161" s="28"/>
      <c r="AJ1161" s="96">
        <f ca="1">F_GAMMA*AJ$29</f>
        <v>0.53183282018848232</v>
      </c>
      <c r="AK1161" s="111"/>
      <c r="AL1161" s="28"/>
      <c r="AM1161" s="96">
        <f ca="1">F_GAMMA*AM$29</f>
        <v>0.47566512503094399</v>
      </c>
      <c r="AN1161" s="111"/>
      <c r="AO1161" s="28"/>
      <c r="AP1161" s="96">
        <f ca="1">F_GAMMA*AP$29</f>
        <v>0.59054158265645496</v>
      </c>
      <c r="AQ1161" s="111"/>
      <c r="AR1161" s="28"/>
      <c r="AS1161" s="96">
        <f ca="1">F_GAMMA*AS$29</f>
        <v>0.3766899554102966</v>
      </c>
      <c r="AT1161" s="111"/>
      <c r="AU1161" s="28"/>
    </row>
    <row r="1162" spans="15:47" x14ac:dyDescent="0.25">
      <c r="O1162" s="2" t="s">
        <v>145</v>
      </c>
      <c r="P1162" s="12"/>
      <c r="Q1162" s="2"/>
      <c r="R1162" s="96">
        <f ca="1">IF(R1157&lt;R1161,R1159,R1160)</f>
        <v>0.62735372363867659</v>
      </c>
      <c r="S1162" s="116"/>
      <c r="T1162" s="1"/>
      <c r="U1162" s="96">
        <f ca="1">IF(U1157&lt;U1161,U1159,U1160)</f>
        <v>10.510727053978059</v>
      </c>
      <c r="V1162" s="111"/>
      <c r="W1162" s="28"/>
      <c r="X1162" s="96">
        <f ca="1">IF(X1157&lt;X1161,X1159,X1160)</f>
        <v>26.129053902426396</v>
      </c>
      <c r="Y1162" s="111"/>
      <c r="Z1162" s="28"/>
      <c r="AA1162" s="96">
        <f ca="1">IF(AA1157&lt;AA1161,AA1159,AA1160)</f>
        <v>53.317647322253514</v>
      </c>
      <c r="AB1162" s="111"/>
      <c r="AC1162" s="28"/>
      <c r="AD1162" s="96">
        <f ca="1">IF(AD1157&lt;AD1161,AD1159,AD1160)</f>
        <v>101.16256979444911</v>
      </c>
      <c r="AE1162" s="111"/>
      <c r="AF1162" s="28"/>
      <c r="AG1162" s="96">
        <f ca="1">IF(AG1157&lt;AG1161,AG1159,AG1160)</f>
        <v>196.23052870794456</v>
      </c>
      <c r="AH1162" s="111"/>
      <c r="AI1162" s="28"/>
      <c r="AJ1162" s="96">
        <f ca="1">IF(AJ1157&lt;AJ1161,AJ1159,AJ1160)</f>
        <v>1634.6315711840441</v>
      </c>
      <c r="AK1162" s="111"/>
      <c r="AL1162" s="28"/>
      <c r="AM1162" s="96" t="e">
        <f ca="1">IF(AM1157&lt;AM1161,AM1159,AM1160)</f>
        <v>#NUM!</v>
      </c>
      <c r="AN1162" s="111"/>
      <c r="AO1162" s="28"/>
      <c r="AP1162" s="96" t="e">
        <f ca="1">IF(AP1157&lt;AP1161,AP1159,AP1160)</f>
        <v>#NUM!</v>
      </c>
      <c r="AQ1162" s="111"/>
      <c r="AR1162" s="28"/>
      <c r="AS1162" s="96" t="e">
        <f ca="1">IF(AS1157&lt;AS1161,AS1159,AS1160)</f>
        <v>#NUM!</v>
      </c>
      <c r="AT1162" s="111"/>
      <c r="AU1162" s="28"/>
    </row>
    <row r="1163" spans="15:47" x14ac:dyDescent="0.25">
      <c r="O1163" s="13" t="s">
        <v>143</v>
      </c>
      <c r="P1163" s="1"/>
      <c r="Q1163" s="1"/>
      <c r="R1163" s="113"/>
      <c r="S1163" s="106">
        <f ca="1">IF(R1156&lt;=0,Q_max,ABS(R$23-R1162))</f>
        <v>4.1026462763613241</v>
      </c>
      <c r="T1163" s="7">
        <f>R1152</f>
        <v>1553.461178306995</v>
      </c>
      <c r="U1163" s="98"/>
      <c r="V1163" s="106">
        <f ca="1">IF(U1156&lt;=0,Q_max,ABS(U$23-U1162))</f>
        <v>1.089272946021941</v>
      </c>
      <c r="W1163" s="9">
        <f ca="1">U1152</f>
        <v>25955.406014603257</v>
      </c>
      <c r="X1163" s="98"/>
      <c r="Y1163" s="106">
        <f ca="1">IF(X1156&lt;=0,Q_max,ABS(X$23-X1162))</f>
        <v>3.1290539024263957</v>
      </c>
      <c r="Z1163" s="9">
        <f ca="1">X1152</f>
        <v>63555.255251125265</v>
      </c>
      <c r="AA1163" s="98"/>
      <c r="AB1163" s="106">
        <f ca="1">IF(AA1156&lt;=0,Q_max,ABS(AA$23-AA1162))</f>
        <v>13.917647322253515</v>
      </c>
      <c r="AC1163" s="9">
        <f ca="1">AA1152</f>
        <v>123789.41504179515</v>
      </c>
      <c r="AD1163" s="98"/>
      <c r="AE1163" s="106">
        <f ca="1">IF(AD1156&lt;=0,Q_max,ABS(AD$23-AD1162))</f>
        <v>40.162569794449112</v>
      </c>
      <c r="AF1163" s="9">
        <f ca="1">AD1152</f>
        <v>207680.13020999823</v>
      </c>
      <c r="AG1163" s="98"/>
      <c r="AH1163" s="106">
        <f ca="1">IF(AG1156&lt;=0,Q_max,ABS(AG$23-AG1162))</f>
        <v>108.03052870794455</v>
      </c>
      <c r="AI1163" s="9">
        <f ca="1">AG1152</f>
        <v>303114.80644696194</v>
      </c>
      <c r="AJ1163" s="98"/>
      <c r="AK1163" s="106">
        <f ca="1">IF(AJ1156&lt;=0,Q_max,ABS(AJ$23-AJ1162))</f>
        <v>1513.6315711840441</v>
      </c>
      <c r="AL1163" s="9">
        <f ca="1">AJ1152</f>
        <v>404507.88424839731</v>
      </c>
      <c r="AM1163" s="98"/>
      <c r="AN1163" s="106">
        <f ca="1">IF(AM1156&lt;=0,Q_max,ABS(AM$23-AM1162))</f>
        <v>236393</v>
      </c>
      <c r="AO1163" s="9">
        <f ca="1">AM1152</f>
        <v>493576.49144031951</v>
      </c>
      <c r="AP1163" s="98"/>
      <c r="AQ1163" s="106">
        <f ca="1">IF(AP1156&lt;=0,Q_max,ABS(AP$23-AP1162))</f>
        <v>236393</v>
      </c>
      <c r="AR1163" s="9">
        <f ca="1">AP1152</f>
        <v>573026.98366265674</v>
      </c>
      <c r="AS1163" s="98"/>
      <c r="AT1163" s="106">
        <f ca="1">IF(AS1156&lt;=0,Q_max,ABS(AS$23-AS1162))</f>
        <v>236393</v>
      </c>
      <c r="AU1163" s="9">
        <f ca="1">AS1152</f>
        <v>671919.20400787261</v>
      </c>
    </row>
    <row r="1164" spans="15:47" x14ac:dyDescent="0.25">
      <c r="O1164" s="21"/>
      <c r="P1164" s="14"/>
      <c r="Q1164" s="21"/>
      <c r="R1164" s="97"/>
      <c r="S1164" s="106"/>
      <c r="T1164" s="28"/>
      <c r="U1164" s="97"/>
      <c r="V1164" s="111"/>
      <c r="W1164" s="28"/>
      <c r="X1164" s="97"/>
      <c r="Y1164" s="111"/>
      <c r="Z1164" s="28"/>
      <c r="AA1164" s="97"/>
      <c r="AB1164" s="111"/>
      <c r="AC1164" s="28"/>
      <c r="AD1164" s="97"/>
      <c r="AE1164" s="111"/>
      <c r="AF1164" s="28"/>
      <c r="AG1164" s="97"/>
      <c r="AH1164" s="111"/>
      <c r="AI1164" s="28"/>
      <c r="AJ1164" s="97"/>
      <c r="AK1164" s="111"/>
      <c r="AL1164" s="28"/>
      <c r="AM1164" s="97"/>
      <c r="AN1164" s="111"/>
      <c r="AO1164" s="28"/>
      <c r="AP1164" s="97"/>
      <c r="AQ1164" s="111"/>
      <c r="AR1164" s="28"/>
      <c r="AS1164" s="97"/>
      <c r="AT1164" s="111"/>
      <c r="AU1164" s="28"/>
    </row>
    <row r="1165" spans="15:47" x14ac:dyDescent="0.25">
      <c r="O1165" s="1"/>
      <c r="P1165" s="1"/>
      <c r="Q1165" s="1"/>
      <c r="R1165" s="98"/>
      <c r="S1165" s="108" t="s">
        <v>137</v>
      </c>
      <c r="T1165" s="26" t="s">
        <v>146</v>
      </c>
      <c r="U1165" s="98"/>
      <c r="V1165" s="108" t="s">
        <v>137</v>
      </c>
      <c r="W1165" s="26" t="s">
        <v>146</v>
      </c>
      <c r="X1165" s="98"/>
      <c r="Y1165" s="108" t="s">
        <v>137</v>
      </c>
      <c r="Z1165" s="26" t="s">
        <v>146</v>
      </c>
      <c r="AA1165" s="98"/>
      <c r="AB1165" s="108" t="s">
        <v>137</v>
      </c>
      <c r="AC1165" s="26" t="s">
        <v>146</v>
      </c>
      <c r="AD1165" s="98"/>
      <c r="AE1165" s="108" t="s">
        <v>137</v>
      </c>
      <c r="AF1165" s="26" t="s">
        <v>146</v>
      </c>
      <c r="AG1165" s="98"/>
      <c r="AH1165" s="108" t="s">
        <v>137</v>
      </c>
      <c r="AI1165" s="26" t="s">
        <v>146</v>
      </c>
      <c r="AJ1165" s="98"/>
      <c r="AK1165" s="108" t="s">
        <v>137</v>
      </c>
      <c r="AL1165" s="26" t="s">
        <v>146</v>
      </c>
      <c r="AM1165" s="98"/>
      <c r="AN1165" s="108" t="s">
        <v>137</v>
      </c>
      <c r="AO1165" s="26" t="s">
        <v>146</v>
      </c>
      <c r="AP1165" s="98"/>
      <c r="AQ1165" s="108" t="s">
        <v>137</v>
      </c>
      <c r="AR1165" s="26" t="s">
        <v>146</v>
      </c>
      <c r="AS1165" s="98"/>
      <c r="AT1165" s="108" t="s">
        <v>137</v>
      </c>
      <c r="AU1165" s="26" t="s">
        <v>146</v>
      </c>
    </row>
    <row r="1166" spans="15:47" ht="13.8" x14ac:dyDescent="0.25">
      <c r="O1166" s="20" t="s">
        <v>136</v>
      </c>
      <c r="P1166" s="1"/>
      <c r="Q1166" s="1"/>
      <c r="R1166" s="96">
        <f>R1152*1.02</f>
        <v>1584.5304018731349</v>
      </c>
      <c r="S1166" s="109" t="s">
        <v>144</v>
      </c>
      <c r="T1166" s="23" t="s">
        <v>147</v>
      </c>
      <c r="U1166" s="96">
        <f ca="1">U1152*1.01</f>
        <v>26214.960074749291</v>
      </c>
      <c r="V1166" s="109" t="s">
        <v>144</v>
      </c>
      <c r="W1166" s="23" t="s">
        <v>147</v>
      </c>
      <c r="X1166" s="96">
        <f ca="1">X1152*1.01</f>
        <v>64190.807803636519</v>
      </c>
      <c r="Y1166" s="109" t="s">
        <v>144</v>
      </c>
      <c r="Z1166" s="23" t="s">
        <v>147</v>
      </c>
      <c r="AA1166" s="96">
        <f ca="1">AA1152*1.01</f>
        <v>125027.3091922131</v>
      </c>
      <c r="AB1166" s="109" t="s">
        <v>144</v>
      </c>
      <c r="AC1166" s="23" t="s">
        <v>147</v>
      </c>
      <c r="AD1166" s="96">
        <f ca="1">AD1152*1.01</f>
        <v>209756.93151209821</v>
      </c>
      <c r="AE1166" s="109" t="s">
        <v>144</v>
      </c>
      <c r="AF1166" s="23" t="s">
        <v>147</v>
      </c>
      <c r="AG1166" s="96">
        <f ca="1">AG1152*1.01</f>
        <v>306145.95451143157</v>
      </c>
      <c r="AH1166" s="109" t="s">
        <v>144</v>
      </c>
      <c r="AI1166" s="23" t="s">
        <v>147</v>
      </c>
      <c r="AJ1166" s="96">
        <f ca="1">AJ1152*1.01</f>
        <v>408552.9630908813</v>
      </c>
      <c r="AK1166" s="109" t="s">
        <v>144</v>
      </c>
      <c r="AL1166" s="23" t="s">
        <v>147</v>
      </c>
      <c r="AM1166" s="96">
        <f ca="1">AM1152*1.01</f>
        <v>498512.25635472272</v>
      </c>
      <c r="AN1166" s="109" t="s">
        <v>144</v>
      </c>
      <c r="AO1166" s="23" t="s">
        <v>147</v>
      </c>
      <c r="AP1166" s="96">
        <f ca="1">AP1152*1.01</f>
        <v>578757.25349928334</v>
      </c>
      <c r="AQ1166" s="109" t="s">
        <v>144</v>
      </c>
      <c r="AR1166" s="23" t="s">
        <v>147</v>
      </c>
      <c r="AS1166" s="96">
        <f ca="1">AS1152*1.01</f>
        <v>678638.3960479513</v>
      </c>
      <c r="AT1166" s="109" t="s">
        <v>144</v>
      </c>
      <c r="AU1166" s="23" t="s">
        <v>147</v>
      </c>
    </row>
    <row r="1167" spans="15:47" x14ac:dyDescent="0.25">
      <c r="O1167" s="1"/>
      <c r="P1167" s="1"/>
      <c r="Q1167" s="1"/>
      <c r="R1167" s="98"/>
      <c r="S1167" s="107"/>
      <c r="T1167" s="1"/>
      <c r="U1167" s="47"/>
      <c r="V1167" s="107"/>
      <c r="W1167" s="1"/>
      <c r="X1167" s="47"/>
      <c r="Y1167" s="107"/>
      <c r="Z1167" s="1"/>
      <c r="AA1167" s="47"/>
      <c r="AB1167" s="107"/>
      <c r="AC1167" s="1"/>
      <c r="AD1167" s="47"/>
      <c r="AE1167" s="107"/>
      <c r="AF1167" s="1"/>
      <c r="AG1167" s="47"/>
      <c r="AH1167" s="107"/>
      <c r="AI1167" s="1"/>
      <c r="AJ1167" s="47"/>
      <c r="AK1167" s="107"/>
      <c r="AL1167" s="1"/>
      <c r="AM1167" s="47"/>
      <c r="AN1167" s="107"/>
      <c r="AO1167" s="1"/>
      <c r="AP1167" s="47"/>
      <c r="AQ1167" s="107"/>
      <c r="AR1167" s="1"/>
      <c r="AS1167" s="47"/>
      <c r="AT1167" s="107"/>
      <c r="AU1167" s="1"/>
    </row>
    <row r="1168" spans="15:47" x14ac:dyDescent="0.25">
      <c r="O1168" s="8" t="s">
        <v>132</v>
      </c>
      <c r="P1168" s="8"/>
      <c r="Q1168" s="8"/>
      <c r="R1168" s="96">
        <f>P_1_minQ-(R1166^2*R_up)+dpup_minQ</f>
        <v>90.184582921116061</v>
      </c>
      <c r="S1168" s="106"/>
      <c r="T1168" s="22"/>
      <c r="U1168" s="96">
        <f ca="1">P_1_minQ-(U1166^2*R_up)+dpup_minQ</f>
        <v>90.059786433808753</v>
      </c>
      <c r="V1168" s="107"/>
      <c r="W1168" s="1"/>
      <c r="X1168" s="96">
        <f ca="1">P_1_minQ-(X1166^2*R_up)+dpup_minQ</f>
        <v>89.434041771358423</v>
      </c>
      <c r="Y1168" s="107"/>
      <c r="Z1168" s="1"/>
      <c r="AA1168" s="96">
        <f ca="1">P_1_minQ-(AA1166^2*R_up)+dpup_minQ</f>
        <v>87.335969307245563</v>
      </c>
      <c r="AB1168" s="107"/>
      <c r="AC1168" s="1"/>
      <c r="AD1168" s="96">
        <f ca="1">P_1_minQ-(AD1166^2*R_up)+dpup_minQ</f>
        <v>82.165930369212987</v>
      </c>
      <c r="AE1168" s="107"/>
      <c r="AF1168" s="1"/>
      <c r="AG1168" s="96">
        <f ca="1">P_1_minQ-(AG1166^2*R_up)+dpup_minQ</f>
        <v>73.102573663401799</v>
      </c>
      <c r="AH1168" s="107"/>
      <c r="AI1168" s="1"/>
      <c r="AJ1168" s="96">
        <f ca="1">P_1_minQ-(AJ1166^2*R_up)+dpup_minQ</f>
        <v>59.762865096137645</v>
      </c>
      <c r="AK1168" s="107"/>
      <c r="AL1168" s="1"/>
      <c r="AM1168" s="96">
        <f ca="1">P_1_minQ-(AM1166^2*R_up)+dpup_minQ</f>
        <v>44.890566829538912</v>
      </c>
      <c r="AN1168" s="107"/>
      <c r="AO1168" s="1"/>
      <c r="AP1168" s="96">
        <f ca="1">P_1_minQ-(AP1166^2*R_up)+dpup_minQ</f>
        <v>29.134933282169811</v>
      </c>
      <c r="AQ1168" s="107"/>
      <c r="AR1168" s="1"/>
      <c r="AS1168" s="96">
        <f ca="1">P_1_minQ-(AS1166^2*R_up)+dpup_minQ</f>
        <v>6.2447646461762494</v>
      </c>
      <c r="AT1168" s="107"/>
      <c r="AU1168" s="1"/>
    </row>
    <row r="1169" spans="15:47" x14ac:dyDescent="0.25">
      <c r="O1169" s="8" t="s">
        <v>134</v>
      </c>
      <c r="P1169" s="1"/>
      <c r="Q1169" s="8"/>
      <c r="R1169" s="97">
        <f>P_2_minQ+(R1166^2*R_dn)-dpdn_minQ</f>
        <v>60</v>
      </c>
      <c r="S1169" s="106"/>
      <c r="T1169" s="22"/>
      <c r="U1169" s="97">
        <f ca="1">P_2_minQ+(U1166^2*R_dn)-dpdn_minQ</f>
        <v>60</v>
      </c>
      <c r="V1169" s="107"/>
      <c r="W1169" s="1"/>
      <c r="X1169" s="97">
        <f ca="1">P_2_minQ+(X1166^2*R_dn)-dpdn_minQ</f>
        <v>60</v>
      </c>
      <c r="Y1169" s="107"/>
      <c r="Z1169" s="1"/>
      <c r="AA1169" s="97">
        <f ca="1">P_2_minQ+(AA1166^2*R_dn)-dpdn_minQ</f>
        <v>60</v>
      </c>
      <c r="AB1169" s="107"/>
      <c r="AC1169" s="1"/>
      <c r="AD1169" s="97">
        <f ca="1">P_2_minQ+(AD1166^2*R_dn)-dpdn_minQ</f>
        <v>60</v>
      </c>
      <c r="AE1169" s="107"/>
      <c r="AF1169" s="1"/>
      <c r="AG1169" s="97">
        <f ca="1">P_2_minQ+(AG1166^2*R_dn)-dpdn_minQ</f>
        <v>60</v>
      </c>
      <c r="AH1169" s="107"/>
      <c r="AI1169" s="1"/>
      <c r="AJ1169" s="97">
        <f ca="1">P_2_minQ+(AJ1166^2*R_dn)-dpdn_minQ</f>
        <v>60</v>
      </c>
      <c r="AK1169" s="107"/>
      <c r="AL1169" s="1"/>
      <c r="AM1169" s="97">
        <f ca="1">P_2_minQ+(AM1166^2*R_dn)-dpdn_minQ</f>
        <v>60</v>
      </c>
      <c r="AN1169" s="107"/>
      <c r="AO1169" s="1"/>
      <c r="AP1169" s="97">
        <f ca="1">P_2_minQ+(AP1166^2*R_dn)-dpdn_minQ</f>
        <v>60</v>
      </c>
      <c r="AQ1169" s="107"/>
      <c r="AR1169" s="1"/>
      <c r="AS1169" s="97">
        <f ca="1">P_2_minQ+(AS1166^2*R_dn)-dpdn_minQ</f>
        <v>60</v>
      </c>
      <c r="AT1169" s="107"/>
      <c r="AU1169" s="1"/>
    </row>
    <row r="1170" spans="15:47" x14ac:dyDescent="0.25">
      <c r="O1170" s="8" t="s">
        <v>138</v>
      </c>
      <c r="P1170" s="1"/>
      <c r="Q1170" s="8"/>
      <c r="R1170" s="97">
        <f>R1168-R1169</f>
        <v>30.184582921116061</v>
      </c>
      <c r="S1170" s="106"/>
      <c r="T1170" s="22"/>
      <c r="U1170" s="97">
        <f ca="1">U1168-U1169</f>
        <v>30.059786433808753</v>
      </c>
      <c r="V1170" s="110"/>
      <c r="W1170" s="25"/>
      <c r="X1170" s="97">
        <f ca="1">X1168-X1169</f>
        <v>29.434041771358423</v>
      </c>
      <c r="Y1170" s="110"/>
      <c r="Z1170" s="25"/>
      <c r="AA1170" s="97">
        <f ca="1">AA1168-AA1169</f>
        <v>27.335969307245563</v>
      </c>
      <c r="AB1170" s="110"/>
      <c r="AC1170" s="25"/>
      <c r="AD1170" s="97">
        <f ca="1">AD1168-AD1169</f>
        <v>22.165930369212987</v>
      </c>
      <c r="AE1170" s="110"/>
      <c r="AF1170" s="25"/>
      <c r="AG1170" s="97">
        <f ca="1">AG1168-AG1169</f>
        <v>13.102573663401799</v>
      </c>
      <c r="AH1170" s="110"/>
      <c r="AI1170" s="25"/>
      <c r="AJ1170" s="97">
        <f ca="1">AJ1168-AJ1169</f>
        <v>-0.23713490386235492</v>
      </c>
      <c r="AK1170" s="110"/>
      <c r="AL1170" s="25"/>
      <c r="AM1170" s="97">
        <f ca="1">AM1168-AM1169</f>
        <v>-15.109433170461088</v>
      </c>
      <c r="AN1170" s="110"/>
      <c r="AO1170" s="25"/>
      <c r="AP1170" s="97">
        <f ca="1">AP1168-AP1169</f>
        <v>-30.865066717830189</v>
      </c>
      <c r="AQ1170" s="110"/>
      <c r="AR1170" s="25"/>
      <c r="AS1170" s="97">
        <f ca="1">AS1168-AS1169</f>
        <v>-53.75523535382375</v>
      </c>
      <c r="AT1170" s="110"/>
      <c r="AU1170" s="25"/>
    </row>
    <row r="1171" spans="15:47" ht="14.4" x14ac:dyDescent="0.3">
      <c r="O1171" s="2" t="s">
        <v>140</v>
      </c>
      <c r="P1171" s="11"/>
      <c r="Q1171" s="2"/>
      <c r="R1171" s="96">
        <f>R1170/R1168</f>
        <v>0.33469781578430474</v>
      </c>
      <c r="S1171" s="106"/>
      <c r="T1171" s="22"/>
      <c r="U1171" s="96">
        <f ca="1">U1170/U1168</f>
        <v>0.33377590181053557</v>
      </c>
      <c r="V1171" s="111"/>
      <c r="W1171" s="28"/>
      <c r="X1171" s="96">
        <f ca="1">X1170/X1168</f>
        <v>0.32911452047093753</v>
      </c>
      <c r="Y1171" s="111"/>
      <c r="Z1171" s="28"/>
      <c r="AA1171" s="96">
        <f ca="1">AA1170/AA1168</f>
        <v>0.31299783495936673</v>
      </c>
      <c r="AB1171" s="111"/>
      <c r="AC1171" s="28"/>
      <c r="AD1171" s="96">
        <f ca="1">AD1170/AD1168</f>
        <v>0.26977033266233674</v>
      </c>
      <c r="AE1171" s="111"/>
      <c r="AF1171" s="28"/>
      <c r="AG1171" s="96">
        <f ca="1">AG1170/AG1168</f>
        <v>0.17923546336045751</v>
      </c>
      <c r="AH1171" s="111"/>
      <c r="AI1171" s="28"/>
      <c r="AJ1171" s="96">
        <f ca="1">AJ1170/AJ1168</f>
        <v>-3.9679306452407763E-3</v>
      </c>
      <c r="AK1171" s="111"/>
      <c r="AL1171" s="28"/>
      <c r="AM1171" s="96">
        <f ca="1">AM1170/AM1168</f>
        <v>-0.33658370204670196</v>
      </c>
      <c r="AN1171" s="111"/>
      <c r="AO1171" s="28"/>
      <c r="AP1171" s="96">
        <f ca="1">AP1170/AP1168</f>
        <v>-1.0593834699707103</v>
      </c>
      <c r="AQ1171" s="111"/>
      <c r="AR1171" s="28"/>
      <c r="AS1171" s="96">
        <f ca="1">AS1170/AS1168</f>
        <v>-8.6080482451390345</v>
      </c>
      <c r="AT1171" s="111"/>
      <c r="AU1171" s="28"/>
    </row>
    <row r="1172" spans="15:47" x14ac:dyDescent="0.25">
      <c r="O1172" s="2" t="s">
        <v>21</v>
      </c>
      <c r="P1172" s="8">
        <v>12</v>
      </c>
      <c r="Q1172" s="2"/>
      <c r="R1172" s="96">
        <f ca="1">1-R1171/(3*F_GAMMA*R$29)</f>
        <v>0.82568630951320043</v>
      </c>
      <c r="S1172" s="106"/>
      <c r="T1172" s="22"/>
      <c r="U1172" s="96">
        <f ca="1">1-U1171/(3*F_GAMMA*U$29)</f>
        <v>0.82620683490910873</v>
      </c>
      <c r="V1172" s="111"/>
      <c r="W1172" s="28"/>
      <c r="X1172" s="96">
        <f ca="1">1-X1171/(3*F_GAMMA*X$29)</f>
        <v>0.82700183144008865</v>
      </c>
      <c r="Y1172" s="111"/>
      <c r="Z1172" s="28"/>
      <c r="AA1172" s="96">
        <f ca="1">1-AA1171/(3*F_GAMMA*AA$29)</f>
        <v>0.83315434551028167</v>
      </c>
      <c r="AB1172" s="111"/>
      <c r="AC1172" s="28"/>
      <c r="AD1172" s="96">
        <f ca="1">1-AD1171/(3*F_GAMMA*AD$29)</f>
        <v>0.85173713343189228</v>
      </c>
      <c r="AE1172" s="111"/>
      <c r="AF1172" s="28"/>
      <c r="AG1172" s="96">
        <f ca="1">1-AG1171/(3*F_GAMMA*AG$29)</f>
        <v>0.8955831603026575</v>
      </c>
      <c r="AH1172" s="111"/>
      <c r="AI1172" s="28"/>
      <c r="AJ1172" s="96">
        <f ca="1">1-AJ1171/(3*F_GAMMA*AJ$29)</f>
        <v>1.0024869536030983</v>
      </c>
      <c r="AK1172" s="111"/>
      <c r="AL1172" s="28"/>
      <c r="AM1172" s="96">
        <f ca="1">1-AM1171/(3*F_GAMMA*AM$29)</f>
        <v>1.2358688107344467</v>
      </c>
      <c r="AN1172" s="111"/>
      <c r="AO1172" s="28"/>
      <c r="AP1172" s="96">
        <f ca="1">1-AP1171/(3*F_GAMMA*AP$29)</f>
        <v>1.5979728332339991</v>
      </c>
      <c r="AQ1172" s="111"/>
      <c r="AR1172" s="28"/>
      <c r="AS1172" s="96">
        <f ca="1">1-AS1171/(3*F_GAMMA*AS$29)</f>
        <v>8.6172708452525733</v>
      </c>
      <c r="AT1172" s="111"/>
      <c r="AU1172" s="28"/>
    </row>
    <row r="1173" spans="15:47" x14ac:dyDescent="0.25">
      <c r="O1173" s="2" t="s">
        <v>57</v>
      </c>
      <c r="P1173" s="143">
        <v>7</v>
      </c>
      <c r="Q1173" s="2"/>
      <c r="R1173" s="96">
        <f ca="1">(R1166/(N_9*R$27*R1168*R1172))*SQRT(M*'Valve Sizing'!$W$6*'Valve Sizing'!$G$8/R1171)</f>
        <v>0.63990099659604338</v>
      </c>
      <c r="S1173" s="107"/>
      <c r="T1173" s="22"/>
      <c r="U1173" s="96">
        <f ca="1">(U1166/(N_9*U$27*U1168*U1172))*SQRT(M*'Valve Sizing'!$W$6*'Valve Sizing'!$G$8/U1171)</f>
        <v>10.616293426176023</v>
      </c>
      <c r="V1173" s="111"/>
      <c r="W1173" s="28"/>
      <c r="X1173" s="96">
        <f ca="1">(X1166/(N_9*X$27*X1168*X1172))*SQRT(M*'Valve Sizing'!$W$6*'Valve Sizing'!$G$8/X1171)</f>
        <v>26.397298773922543</v>
      </c>
      <c r="Y1173" s="111"/>
      <c r="Z1173" s="28"/>
      <c r="AA1173" s="96">
        <f ca="1">(AA1166/(N_9*AA$27*AA1168*AA1172))*SQRT(M*'Valve Sizing'!$W$6*'Valve Sizing'!$G$8/AA1171)</f>
        <v>53.908187026886914</v>
      </c>
      <c r="AB1173" s="111"/>
      <c r="AC1173" s="28"/>
      <c r="AD1173" s="96">
        <f ca="1">(AD1166/(N_9*AD$27*AD1168*AD1172))*SQRT(M*'Valve Sizing'!$W$6*'Valve Sizing'!$G$8/AD1171)</f>
        <v>102.54344286817067</v>
      </c>
      <c r="AE1173" s="111"/>
      <c r="AF1173" s="28"/>
      <c r="AG1173" s="96">
        <f ca="1">(AG1166/(N_9*AG$27*AG1168*AG1172))*SQRT(M*'Valve Sizing'!$W$6*'Valve Sizing'!$G$8/AG1171)</f>
        <v>200.69165165056657</v>
      </c>
      <c r="AH1173" s="111"/>
      <c r="AI1173" s="28"/>
      <c r="AJ1173" s="96" t="e">
        <f ca="1">(AJ1166/(N_9*AJ$27*AJ1168*AJ1172))*SQRT(M*'Valve Sizing'!$W$6*'Valve Sizing'!$G$8/AJ1171)</f>
        <v>#NUM!</v>
      </c>
      <c r="AK1173" s="111"/>
      <c r="AL1173" s="28"/>
      <c r="AM1173" s="96" t="e">
        <f ca="1">(AM1166/(N_9*AM$27*AM1168*AM1172))*SQRT(M*'Valve Sizing'!$W$6*'Valve Sizing'!$G$8/AM1171)</f>
        <v>#NUM!</v>
      </c>
      <c r="AN1173" s="111"/>
      <c r="AO1173" s="28"/>
      <c r="AP1173" s="96" t="e">
        <f ca="1">(AP1166/(N_9*AP$27*AP1168*AP1172))*SQRT(M*'Valve Sizing'!$W$6*'Valve Sizing'!$G$8/AP1171)</f>
        <v>#NUM!</v>
      </c>
      <c r="AQ1173" s="111"/>
      <c r="AR1173" s="28"/>
      <c r="AS1173" s="96" t="e">
        <f ca="1">(AS1166/(N_9*AS$27*AS1168*AS1172))*SQRT(M*'Valve Sizing'!$W$6*'Valve Sizing'!$G$8/AS1171)</f>
        <v>#NUM!</v>
      </c>
      <c r="AT1173" s="111"/>
      <c r="AU1173" s="28"/>
    </row>
    <row r="1174" spans="15:47" x14ac:dyDescent="0.25">
      <c r="O1174" s="2" t="s">
        <v>59</v>
      </c>
      <c r="P1174" s="143">
        <v>7</v>
      </c>
      <c r="Q1174" s="2"/>
      <c r="R1174" s="96">
        <f ca="1">(R1166/(N_9*R$27*R1168*0.667))*SQRT(M*'Valve Sizing'!$W$6*'Valve Sizing'!$G$8/R1175)</f>
        <v>0.57283350586362836</v>
      </c>
      <c r="S1174" s="107"/>
      <c r="T1174" s="22"/>
      <c r="U1174" s="96">
        <f ca="1">(U1166/(N_9*U$27*U1168*0.667))*SQRT(M*'Valve Sizing'!$W$6*'Valve Sizing'!$G$8/U1175)</f>
        <v>9.4953906496454792</v>
      </c>
      <c r="V1174" s="111"/>
      <c r="W1174" s="28"/>
      <c r="X1174" s="96">
        <f ca="1">(X1166/(N_9*X$27*X1168*0.667))*SQRT(M*'Valve Sizing'!$W$6*'Valve Sizing'!$G$8/X1175)</f>
        <v>23.578789509027246</v>
      </c>
      <c r="Y1174" s="111"/>
      <c r="Z1174" s="28"/>
      <c r="AA1174" s="96">
        <f ca="1">(AA1166/(N_9*AA$27*AA1168*0.667))*SQRT(M*'Valve Sizing'!$W$6*'Valve Sizing'!$G$8/AA1175)</f>
        <v>47.640074683682791</v>
      </c>
      <c r="AB1174" s="111"/>
      <c r="AC1174" s="28"/>
      <c r="AD1174" s="96">
        <f ca="1">(AD1166/(N_9*AD$27*AD1168*0.667))*SQRT(M*'Valve Sizing'!$W$6*'Valve Sizing'!$G$8/AD1175)</f>
        <v>87.330202293772331</v>
      </c>
      <c r="AE1174" s="111"/>
      <c r="AF1174" s="28"/>
      <c r="AG1174" s="96">
        <f ca="1">(AG1166/(N_9*AG$27*AG1168*0.667))*SQRT(M*'Valve Sizing'!$W$6*'Valve Sizing'!$G$8/AG1175)</f>
        <v>150.81873430730337</v>
      </c>
      <c r="AH1174" s="111"/>
      <c r="AI1174" s="28"/>
      <c r="AJ1174" s="96">
        <f ca="1">(AJ1166/(N_9*AJ$27*AJ1168*0.667))*SQRT(M*'Valve Sizing'!$W$6*'Valve Sizing'!$G$8/AJ1175)</f>
        <v>264.59274523420584</v>
      </c>
      <c r="AK1174" s="111"/>
      <c r="AL1174" s="28"/>
      <c r="AM1174" s="96">
        <f ca="1">(AM1166/(N_9*AM$27*AM1168*0.667))*SQRT(M*'Valve Sizing'!$W$6*'Valve Sizing'!$G$8/AM1175)</f>
        <v>482.2112440988933</v>
      </c>
      <c r="AN1174" s="111"/>
      <c r="AO1174" s="28"/>
      <c r="AP1174" s="96">
        <f ca="1">(AP1166/(N_9*AP$27*AP1168*0.667))*SQRT(M*'Valve Sizing'!$W$6*'Valve Sizing'!$G$8/AP1175)</f>
        <v>881.13181076545698</v>
      </c>
      <c r="AQ1174" s="111"/>
      <c r="AR1174" s="28"/>
      <c r="AS1174" s="96">
        <f ca="1">(AS1166/(N_9*AS$27*AS1168*0.667))*SQRT(M*'Valve Sizing'!$W$6*'Valve Sizing'!$G$8/AS1175)</f>
        <v>8083.9022867484055</v>
      </c>
      <c r="AT1174" s="111"/>
      <c r="AU1174" s="28"/>
    </row>
    <row r="1175" spans="15:47" ht="15.6" x14ac:dyDescent="0.35">
      <c r="O1175" s="2" t="s">
        <v>68</v>
      </c>
      <c r="P1175" s="143">
        <v>10</v>
      </c>
      <c r="Q1175" s="2"/>
      <c r="R1175" s="96">
        <f ca="1">F_GAMMA*R$29</f>
        <v>0.64002969751372984</v>
      </c>
      <c r="S1175" s="107"/>
      <c r="T1175" s="1"/>
      <c r="U1175" s="96">
        <f ca="1">F_GAMMA*U$29</f>
        <v>0.64017842058782071</v>
      </c>
      <c r="V1175" s="111"/>
      <c r="W1175" s="28"/>
      <c r="X1175" s="96">
        <f ca="1">F_GAMMA*X$29</f>
        <v>0.63413873724904268</v>
      </c>
      <c r="Y1175" s="111"/>
      <c r="Z1175" s="28"/>
      <c r="AA1175" s="96">
        <f ca="1">F_GAMMA*AA$29</f>
        <v>0.62532411750377137</v>
      </c>
      <c r="AB1175" s="111"/>
      <c r="AC1175" s="28"/>
      <c r="AD1175" s="96">
        <f ca="1">F_GAMMA*AD$29</f>
        <v>0.60651359509139569</v>
      </c>
      <c r="AE1175" s="111"/>
      <c r="AF1175" s="28"/>
      <c r="AG1175" s="96">
        <f ca="1">F_GAMMA*AG$29</f>
        <v>0.57217930198481592</v>
      </c>
      <c r="AH1175" s="111"/>
      <c r="AI1175" s="28"/>
      <c r="AJ1175" s="96">
        <f ca="1">F_GAMMA*AJ$29</f>
        <v>0.53183282018848232</v>
      </c>
      <c r="AK1175" s="111"/>
      <c r="AL1175" s="28"/>
      <c r="AM1175" s="96">
        <f ca="1">F_GAMMA*AM$29</f>
        <v>0.47566512503094399</v>
      </c>
      <c r="AN1175" s="111"/>
      <c r="AO1175" s="28"/>
      <c r="AP1175" s="96">
        <f ca="1">F_GAMMA*AP$29</f>
        <v>0.59054158265645496</v>
      </c>
      <c r="AQ1175" s="111"/>
      <c r="AR1175" s="28"/>
      <c r="AS1175" s="96">
        <f ca="1">F_GAMMA*AS$29</f>
        <v>0.3766899554102966</v>
      </c>
      <c r="AT1175" s="111"/>
      <c r="AU1175" s="28"/>
    </row>
    <row r="1176" spans="15:47" x14ac:dyDescent="0.25">
      <c r="O1176" s="2" t="s">
        <v>145</v>
      </c>
      <c r="P1176" s="12"/>
      <c r="Q1176" s="2"/>
      <c r="R1176" s="96">
        <f ca="1">IF(R1171&lt;R1175,R1173,R1174)</f>
        <v>0.63990099659604338</v>
      </c>
      <c r="S1176" s="116"/>
      <c r="T1176" s="1"/>
      <c r="U1176" s="96">
        <f ca="1">IF(U1171&lt;U1175,U1173,U1174)</f>
        <v>10.616293426176023</v>
      </c>
      <c r="V1176" s="111"/>
      <c r="W1176" s="28"/>
      <c r="X1176" s="96">
        <f ca="1">IF(X1171&lt;X1175,X1173,X1174)</f>
        <v>26.397298773922543</v>
      </c>
      <c r="Y1176" s="111"/>
      <c r="Z1176" s="28"/>
      <c r="AA1176" s="96">
        <f ca="1">IF(AA1171&lt;AA1175,AA1173,AA1174)</f>
        <v>53.908187026886914</v>
      </c>
      <c r="AB1176" s="111"/>
      <c r="AC1176" s="28"/>
      <c r="AD1176" s="96">
        <f ca="1">IF(AD1171&lt;AD1175,AD1173,AD1174)</f>
        <v>102.54344286817067</v>
      </c>
      <c r="AE1176" s="111"/>
      <c r="AF1176" s="28"/>
      <c r="AG1176" s="96">
        <f ca="1">IF(AG1171&lt;AG1175,AG1173,AG1174)</f>
        <v>200.69165165056657</v>
      </c>
      <c r="AH1176" s="111"/>
      <c r="AI1176" s="28"/>
      <c r="AJ1176" s="96" t="e">
        <f ca="1">IF(AJ1171&lt;AJ1175,AJ1173,AJ1174)</f>
        <v>#NUM!</v>
      </c>
      <c r="AK1176" s="111"/>
      <c r="AL1176" s="28"/>
      <c r="AM1176" s="96" t="e">
        <f ca="1">IF(AM1171&lt;AM1175,AM1173,AM1174)</f>
        <v>#NUM!</v>
      </c>
      <c r="AN1176" s="111"/>
      <c r="AO1176" s="28"/>
      <c r="AP1176" s="96" t="e">
        <f ca="1">IF(AP1171&lt;AP1175,AP1173,AP1174)</f>
        <v>#NUM!</v>
      </c>
      <c r="AQ1176" s="111"/>
      <c r="AR1176" s="28"/>
      <c r="AS1176" s="96" t="e">
        <f ca="1">IF(AS1171&lt;AS1175,AS1173,AS1174)</f>
        <v>#NUM!</v>
      </c>
      <c r="AT1176" s="111"/>
      <c r="AU1176" s="28"/>
    </row>
    <row r="1177" spans="15:47" x14ac:dyDescent="0.25">
      <c r="O1177" s="13" t="s">
        <v>143</v>
      </c>
      <c r="P1177" s="1"/>
      <c r="Q1177" s="1"/>
      <c r="R1177" s="113"/>
      <c r="S1177" s="106">
        <f ca="1">IF(R1170&lt;=0,Q_max,ABS(R$23-R1176))</f>
        <v>4.0900990034039566</v>
      </c>
      <c r="T1177" s="7">
        <f>R1166</f>
        <v>1584.5304018731349</v>
      </c>
      <c r="U1177" s="98"/>
      <c r="V1177" s="106">
        <f ca="1">IF(U1170&lt;=0,Q_max,ABS(U$23-U1176))</f>
        <v>0.98370657382397653</v>
      </c>
      <c r="W1177" s="9">
        <f ca="1">U1166</f>
        <v>26214.960074749291</v>
      </c>
      <c r="X1177" s="98"/>
      <c r="Y1177" s="106">
        <f ca="1">IF(X1170&lt;=0,Q_max,ABS(X$23-X1176))</f>
        <v>3.3972987739225431</v>
      </c>
      <c r="Z1177" s="9">
        <f ca="1">X1166</f>
        <v>64190.807803636519</v>
      </c>
      <c r="AA1177" s="98"/>
      <c r="AB1177" s="106">
        <f ca="1">IF(AA1170&lt;=0,Q_max,ABS(AA$23-AA1176))</f>
        <v>14.508187026886915</v>
      </c>
      <c r="AC1177" s="9">
        <f ca="1">AA1166</f>
        <v>125027.3091922131</v>
      </c>
      <c r="AD1177" s="98"/>
      <c r="AE1177" s="106">
        <f ca="1">IF(AD1170&lt;=0,Q_max,ABS(AD$23-AD1176))</f>
        <v>41.543442868170672</v>
      </c>
      <c r="AF1177" s="9">
        <f ca="1">AD1166</f>
        <v>209756.93151209821</v>
      </c>
      <c r="AG1177" s="98"/>
      <c r="AH1177" s="106">
        <f ca="1">IF(AG1170&lt;=0,Q_max,ABS(AG$23-AG1176))</f>
        <v>112.49165165056657</v>
      </c>
      <c r="AI1177" s="9">
        <f ca="1">AG1166</f>
        <v>306145.95451143157</v>
      </c>
      <c r="AJ1177" s="98"/>
      <c r="AK1177" s="106">
        <f ca="1">IF(AJ1170&lt;=0,Q_max,ABS(AJ$23-AJ1176))</f>
        <v>236393</v>
      </c>
      <c r="AL1177" s="9">
        <f ca="1">AJ1166</f>
        <v>408552.9630908813</v>
      </c>
      <c r="AM1177" s="98"/>
      <c r="AN1177" s="106">
        <f ca="1">IF(AM1170&lt;=0,Q_max,ABS(AM$23-AM1176))</f>
        <v>236393</v>
      </c>
      <c r="AO1177" s="9">
        <f ca="1">AM1166</f>
        <v>498512.25635472272</v>
      </c>
      <c r="AP1177" s="98"/>
      <c r="AQ1177" s="106">
        <f ca="1">IF(AP1170&lt;=0,Q_max,ABS(AP$23-AP1176))</f>
        <v>236393</v>
      </c>
      <c r="AR1177" s="9">
        <f ca="1">AP1166</f>
        <v>578757.25349928334</v>
      </c>
      <c r="AS1177" s="98"/>
      <c r="AT1177" s="106">
        <f ca="1">IF(AS1170&lt;=0,Q_max,ABS(AS$23-AS1176))</f>
        <v>236393</v>
      </c>
      <c r="AU1177" s="9">
        <f ca="1">AS1166</f>
        <v>678638.3960479513</v>
      </c>
    </row>
    <row r="1178" spans="15:47" x14ac:dyDescent="0.25">
      <c r="O1178" s="21"/>
      <c r="P1178" s="14"/>
      <c r="Q1178" s="21"/>
      <c r="R1178" s="97"/>
      <c r="S1178" s="106"/>
      <c r="T1178" s="28"/>
      <c r="U1178" s="97"/>
      <c r="V1178" s="111"/>
      <c r="W1178" s="28"/>
      <c r="X1178" s="97"/>
      <c r="Y1178" s="111"/>
      <c r="Z1178" s="28"/>
      <c r="AA1178" s="97"/>
      <c r="AB1178" s="111"/>
      <c r="AC1178" s="28"/>
      <c r="AD1178" s="97"/>
      <c r="AE1178" s="111"/>
      <c r="AF1178" s="28"/>
      <c r="AG1178" s="97"/>
      <c r="AH1178" s="111"/>
      <c r="AI1178" s="28"/>
      <c r="AJ1178" s="97"/>
      <c r="AK1178" s="111"/>
      <c r="AL1178" s="28"/>
      <c r="AM1178" s="97"/>
      <c r="AN1178" s="111"/>
      <c r="AO1178" s="28"/>
      <c r="AP1178" s="97"/>
      <c r="AQ1178" s="111"/>
      <c r="AR1178" s="28"/>
      <c r="AS1178" s="97"/>
      <c r="AT1178" s="111"/>
      <c r="AU1178" s="28"/>
    </row>
    <row r="1179" spans="15:47" x14ac:dyDescent="0.25">
      <c r="O1179" s="1"/>
      <c r="P1179" s="1"/>
      <c r="Q1179" s="1"/>
      <c r="R1179" s="98"/>
      <c r="S1179" s="108" t="s">
        <v>137</v>
      </c>
      <c r="T1179" s="26" t="s">
        <v>146</v>
      </c>
      <c r="U1179" s="98"/>
      <c r="V1179" s="108" t="s">
        <v>137</v>
      </c>
      <c r="W1179" s="26" t="s">
        <v>146</v>
      </c>
      <c r="X1179" s="98"/>
      <c r="Y1179" s="108" t="s">
        <v>137</v>
      </c>
      <c r="Z1179" s="26" t="s">
        <v>146</v>
      </c>
      <c r="AA1179" s="98"/>
      <c r="AB1179" s="108" t="s">
        <v>137</v>
      </c>
      <c r="AC1179" s="26" t="s">
        <v>146</v>
      </c>
      <c r="AD1179" s="98"/>
      <c r="AE1179" s="108" t="s">
        <v>137</v>
      </c>
      <c r="AF1179" s="26" t="s">
        <v>146</v>
      </c>
      <c r="AG1179" s="98"/>
      <c r="AH1179" s="108" t="s">
        <v>137</v>
      </c>
      <c r="AI1179" s="26" t="s">
        <v>146</v>
      </c>
      <c r="AJ1179" s="98"/>
      <c r="AK1179" s="108" t="s">
        <v>137</v>
      </c>
      <c r="AL1179" s="26" t="s">
        <v>146</v>
      </c>
      <c r="AM1179" s="98"/>
      <c r="AN1179" s="108" t="s">
        <v>137</v>
      </c>
      <c r="AO1179" s="26" t="s">
        <v>146</v>
      </c>
      <c r="AP1179" s="98"/>
      <c r="AQ1179" s="108" t="s">
        <v>137</v>
      </c>
      <c r="AR1179" s="26" t="s">
        <v>146</v>
      </c>
      <c r="AS1179" s="98"/>
      <c r="AT1179" s="108" t="s">
        <v>137</v>
      </c>
      <c r="AU1179" s="26" t="s">
        <v>146</v>
      </c>
    </row>
    <row r="1180" spans="15:47" ht="13.8" x14ac:dyDescent="0.25">
      <c r="O1180" s="20" t="s">
        <v>136</v>
      </c>
      <c r="P1180" s="1"/>
      <c r="Q1180" s="1"/>
      <c r="R1180" s="96">
        <f>R1166*1.02</f>
        <v>1616.2210099105976</v>
      </c>
      <c r="S1180" s="109" t="s">
        <v>144</v>
      </c>
      <c r="T1180" s="23" t="s">
        <v>147</v>
      </c>
      <c r="U1180" s="96">
        <f ca="1">U1166*1.01</f>
        <v>26477.109675496784</v>
      </c>
      <c r="V1180" s="109" t="s">
        <v>144</v>
      </c>
      <c r="W1180" s="23" t="s">
        <v>147</v>
      </c>
      <c r="X1180" s="96">
        <f ca="1">X1166*1.01</f>
        <v>64832.715881672884</v>
      </c>
      <c r="Y1180" s="109" t="s">
        <v>144</v>
      </c>
      <c r="Z1180" s="23" t="s">
        <v>147</v>
      </c>
      <c r="AA1180" s="96">
        <f ca="1">AA1166*1.01</f>
        <v>126277.58228413523</v>
      </c>
      <c r="AB1180" s="109" t="s">
        <v>144</v>
      </c>
      <c r="AC1180" s="23" t="s">
        <v>147</v>
      </c>
      <c r="AD1180" s="96">
        <f ca="1">AD1166*1.01</f>
        <v>211854.50082721919</v>
      </c>
      <c r="AE1180" s="109" t="s">
        <v>144</v>
      </c>
      <c r="AF1180" s="23" t="s">
        <v>147</v>
      </c>
      <c r="AG1180" s="96">
        <f ca="1">AG1166*1.01</f>
        <v>309207.41405654588</v>
      </c>
      <c r="AH1180" s="109" t="s">
        <v>144</v>
      </c>
      <c r="AI1180" s="23" t="s">
        <v>147</v>
      </c>
      <c r="AJ1180" s="96">
        <f ca="1">AJ1166*1.01</f>
        <v>412638.4927217901</v>
      </c>
      <c r="AK1180" s="109" t="s">
        <v>144</v>
      </c>
      <c r="AL1180" s="23" t="s">
        <v>147</v>
      </c>
      <c r="AM1180" s="96">
        <f ca="1">AM1166*1.01</f>
        <v>503497.37891826994</v>
      </c>
      <c r="AN1180" s="109" t="s">
        <v>144</v>
      </c>
      <c r="AO1180" s="23" t="s">
        <v>147</v>
      </c>
      <c r="AP1180" s="96">
        <f ca="1">AP1166*1.01</f>
        <v>584544.82603427616</v>
      </c>
      <c r="AQ1180" s="109" t="s">
        <v>144</v>
      </c>
      <c r="AR1180" s="23" t="s">
        <v>147</v>
      </c>
      <c r="AS1180" s="96">
        <f ca="1">AS1166*1.01</f>
        <v>685424.78000843083</v>
      </c>
      <c r="AT1180" s="109" t="s">
        <v>144</v>
      </c>
      <c r="AU1180" s="23" t="s">
        <v>147</v>
      </c>
    </row>
    <row r="1181" spans="15:47" x14ac:dyDescent="0.25">
      <c r="O1181" s="1"/>
      <c r="P1181" s="1"/>
      <c r="Q1181" s="1"/>
      <c r="R1181" s="98"/>
      <c r="S1181" s="107"/>
      <c r="T1181" s="1"/>
      <c r="U1181" s="47"/>
      <c r="V1181" s="107"/>
      <c r="W1181" s="1"/>
      <c r="X1181" s="47"/>
      <c r="Y1181" s="107"/>
      <c r="Z1181" s="1"/>
      <c r="AA1181" s="47"/>
      <c r="AB1181" s="107"/>
      <c r="AC1181" s="1"/>
      <c r="AD1181" s="47"/>
      <c r="AE1181" s="107"/>
      <c r="AF1181" s="1"/>
      <c r="AG1181" s="47"/>
      <c r="AH1181" s="107"/>
      <c r="AI1181" s="1"/>
      <c r="AJ1181" s="47"/>
      <c r="AK1181" s="107"/>
      <c r="AL1181" s="1"/>
      <c r="AM1181" s="47"/>
      <c r="AN1181" s="107"/>
      <c r="AO1181" s="1"/>
      <c r="AP1181" s="47"/>
      <c r="AQ1181" s="107"/>
      <c r="AR1181" s="1"/>
      <c r="AS1181" s="47"/>
      <c r="AT1181" s="107"/>
      <c r="AU1181" s="1"/>
    </row>
    <row r="1182" spans="15:47" x14ac:dyDescent="0.25">
      <c r="O1182" s="8" t="s">
        <v>132</v>
      </c>
      <c r="P1182" s="8"/>
      <c r="Q1182" s="8"/>
      <c r="R1182" s="96">
        <f>P_1_minQ-(R1180^2*R_up)+dpup_minQ</f>
        <v>90.184564433706825</v>
      </c>
      <c r="S1182" s="106"/>
      <c r="T1182" s="22"/>
      <c r="U1182" s="96">
        <f ca="1">P_1_minQ-(U1180^2*R_up)+dpup_minQ</f>
        <v>90.057268826470178</v>
      </c>
      <c r="V1182" s="107"/>
      <c r="W1182" s="1"/>
      <c r="X1182" s="96">
        <f ca="1">P_1_minQ-(X1180^2*R_up)+dpup_minQ</f>
        <v>89.418946696304587</v>
      </c>
      <c r="Y1182" s="107"/>
      <c r="Z1182" s="1"/>
      <c r="AA1182" s="96">
        <f ca="1">P_1_minQ-(AA1180^2*R_up)+dpup_minQ</f>
        <v>87.278702975663052</v>
      </c>
      <c r="AB1182" s="107"/>
      <c r="AC1182" s="1"/>
      <c r="AD1182" s="96">
        <f ca="1">P_1_minQ-(AD1180^2*R_up)+dpup_minQ</f>
        <v>82.004746254976027</v>
      </c>
      <c r="AE1182" s="107"/>
      <c r="AF1182" s="1"/>
      <c r="AG1182" s="96">
        <f ca="1">P_1_minQ-(AG1180^2*R_up)+dpup_minQ</f>
        <v>72.759216079378035</v>
      </c>
      <c r="AH1182" s="107"/>
      <c r="AI1182" s="1"/>
      <c r="AJ1182" s="96">
        <f ca="1">P_1_minQ-(AJ1180^2*R_up)+dpup_minQ</f>
        <v>59.151379369911879</v>
      </c>
      <c r="AK1182" s="107"/>
      <c r="AL1182" s="1"/>
      <c r="AM1182" s="96">
        <f ca="1">P_1_minQ-(AM1180^2*R_up)+dpup_minQ</f>
        <v>43.980147908154507</v>
      </c>
      <c r="AN1182" s="107"/>
      <c r="AO1182" s="1"/>
      <c r="AP1182" s="96">
        <f ca="1">P_1_minQ-(AP1180^2*R_up)+dpup_minQ</f>
        <v>27.907826126483286</v>
      </c>
      <c r="AQ1182" s="107"/>
      <c r="AR1182" s="1"/>
      <c r="AS1182" s="96">
        <f ca="1">P_1_minQ-(AS1180^2*R_up)+dpup_minQ</f>
        <v>4.5575651009062588</v>
      </c>
      <c r="AT1182" s="107"/>
      <c r="AU1182" s="1"/>
    </row>
    <row r="1183" spans="15:47" x14ac:dyDescent="0.25">
      <c r="O1183" s="8" t="s">
        <v>134</v>
      </c>
      <c r="P1183" s="1"/>
      <c r="Q1183" s="8"/>
      <c r="R1183" s="97">
        <f>P_2_minQ+(R1180^2*R_dn)-dpdn_minQ</f>
        <v>60</v>
      </c>
      <c r="S1183" s="106"/>
      <c r="T1183" s="22"/>
      <c r="U1183" s="97">
        <f ca="1">P_2_minQ+(U1180^2*R_dn)-dpdn_minQ</f>
        <v>60</v>
      </c>
      <c r="V1183" s="107"/>
      <c r="W1183" s="1"/>
      <c r="X1183" s="97">
        <f ca="1">P_2_minQ+(X1180^2*R_dn)-dpdn_minQ</f>
        <v>60</v>
      </c>
      <c r="Y1183" s="107"/>
      <c r="Z1183" s="1"/>
      <c r="AA1183" s="97">
        <f ca="1">P_2_minQ+(AA1180^2*R_dn)-dpdn_minQ</f>
        <v>60</v>
      </c>
      <c r="AB1183" s="107"/>
      <c r="AC1183" s="1"/>
      <c r="AD1183" s="97">
        <f ca="1">P_2_minQ+(AD1180^2*R_dn)-dpdn_minQ</f>
        <v>60</v>
      </c>
      <c r="AE1183" s="107"/>
      <c r="AF1183" s="1"/>
      <c r="AG1183" s="97">
        <f ca="1">P_2_minQ+(AG1180^2*R_dn)-dpdn_minQ</f>
        <v>60</v>
      </c>
      <c r="AH1183" s="107"/>
      <c r="AI1183" s="1"/>
      <c r="AJ1183" s="97">
        <f ca="1">P_2_minQ+(AJ1180^2*R_dn)-dpdn_minQ</f>
        <v>60</v>
      </c>
      <c r="AK1183" s="107"/>
      <c r="AL1183" s="1"/>
      <c r="AM1183" s="97">
        <f ca="1">P_2_minQ+(AM1180^2*R_dn)-dpdn_minQ</f>
        <v>60</v>
      </c>
      <c r="AN1183" s="107"/>
      <c r="AO1183" s="1"/>
      <c r="AP1183" s="97">
        <f ca="1">P_2_minQ+(AP1180^2*R_dn)-dpdn_minQ</f>
        <v>60</v>
      </c>
      <c r="AQ1183" s="107"/>
      <c r="AR1183" s="1"/>
      <c r="AS1183" s="97">
        <f ca="1">P_2_minQ+(AS1180^2*R_dn)-dpdn_minQ</f>
        <v>60</v>
      </c>
      <c r="AT1183" s="107"/>
      <c r="AU1183" s="1"/>
    </row>
    <row r="1184" spans="15:47" x14ac:dyDescent="0.25">
      <c r="O1184" s="8" t="s">
        <v>138</v>
      </c>
      <c r="P1184" s="1"/>
      <c r="Q1184" s="8"/>
      <c r="R1184" s="97">
        <f>R1182-R1183</f>
        <v>30.184564433706825</v>
      </c>
      <c r="S1184" s="106"/>
      <c r="T1184" s="22"/>
      <c r="U1184" s="97">
        <f ca="1">U1182-U1183</f>
        <v>30.057268826470178</v>
      </c>
      <c r="V1184" s="110"/>
      <c r="W1184" s="25"/>
      <c r="X1184" s="97">
        <f ca="1">X1182-X1183</f>
        <v>29.418946696304587</v>
      </c>
      <c r="Y1184" s="110"/>
      <c r="Z1184" s="25"/>
      <c r="AA1184" s="97">
        <f ca="1">AA1182-AA1183</f>
        <v>27.278702975663052</v>
      </c>
      <c r="AB1184" s="110"/>
      <c r="AC1184" s="25"/>
      <c r="AD1184" s="97">
        <f ca="1">AD1182-AD1183</f>
        <v>22.004746254976027</v>
      </c>
      <c r="AE1184" s="110"/>
      <c r="AF1184" s="25"/>
      <c r="AG1184" s="97">
        <f ca="1">AG1182-AG1183</f>
        <v>12.759216079378035</v>
      </c>
      <c r="AH1184" s="110"/>
      <c r="AI1184" s="25"/>
      <c r="AJ1184" s="97">
        <f ca="1">AJ1182-AJ1183</f>
        <v>-0.84862063008812072</v>
      </c>
      <c r="AK1184" s="110"/>
      <c r="AL1184" s="25"/>
      <c r="AM1184" s="97">
        <f ca="1">AM1182-AM1183</f>
        <v>-16.019852091845493</v>
      </c>
      <c r="AN1184" s="110"/>
      <c r="AO1184" s="25"/>
      <c r="AP1184" s="97">
        <f ca="1">AP1182-AP1183</f>
        <v>-32.092173873516714</v>
      </c>
      <c r="AQ1184" s="110"/>
      <c r="AR1184" s="25"/>
      <c r="AS1184" s="97">
        <f ca="1">AS1182-AS1183</f>
        <v>-55.44243489909374</v>
      </c>
      <c r="AT1184" s="110"/>
      <c r="AU1184" s="25"/>
    </row>
    <row r="1185" spans="15:47" ht="14.4" x14ac:dyDescent="0.3">
      <c r="O1185" s="2" t="s">
        <v>140</v>
      </c>
      <c r="P1185" s="11"/>
      <c r="Q1185" s="2"/>
      <c r="R1185" s="96">
        <f>R1184/R1182</f>
        <v>0.33469767940050316</v>
      </c>
      <c r="S1185" s="106"/>
      <c r="T1185" s="22"/>
      <c r="U1185" s="96">
        <f ca="1">U1184/U1182</f>
        <v>0.33375727709872061</v>
      </c>
      <c r="V1185" s="111"/>
      <c r="W1185" s="28"/>
      <c r="X1185" s="96">
        <f ca="1">X1184/X1182</f>
        <v>0.32900126632245807</v>
      </c>
      <c r="Y1185" s="111"/>
      <c r="Z1185" s="28"/>
      <c r="AA1185" s="96">
        <f ca="1">AA1184/AA1182</f>
        <v>0.31254707099931922</v>
      </c>
      <c r="AB1185" s="111"/>
      <c r="AC1185" s="28"/>
      <c r="AD1185" s="96">
        <f ca="1">AD1184/AD1182</f>
        <v>0.26833503254259244</v>
      </c>
      <c r="AE1185" s="111"/>
      <c r="AF1185" s="28"/>
      <c r="AG1185" s="96">
        <f ca="1">AG1184/AG1182</f>
        <v>0.17536219831530522</v>
      </c>
      <c r="AH1185" s="111"/>
      <c r="AI1185" s="28"/>
      <c r="AJ1185" s="96">
        <f ca="1">AJ1184/AJ1182</f>
        <v>-1.434659071568131E-2</v>
      </c>
      <c r="AK1185" s="111"/>
      <c r="AL1185" s="28"/>
      <c r="AM1185" s="96">
        <f ca="1">AM1184/AM1182</f>
        <v>-0.36425189213325038</v>
      </c>
      <c r="AN1185" s="111"/>
      <c r="AO1185" s="28"/>
      <c r="AP1185" s="96">
        <f ca="1">AP1184/AP1182</f>
        <v>-1.1499345641638017</v>
      </c>
      <c r="AQ1185" s="111"/>
      <c r="AR1185" s="28"/>
      <c r="AS1185" s="96">
        <f ca="1">AS1184/AS1182</f>
        <v>-12.164924399668843</v>
      </c>
      <c r="AT1185" s="111"/>
      <c r="AU1185" s="28"/>
    </row>
    <row r="1186" spans="15:47" x14ac:dyDescent="0.25">
      <c r="O1186" s="2" t="s">
        <v>21</v>
      </c>
      <c r="P1186" s="8">
        <v>12</v>
      </c>
      <c r="Q1186" s="2"/>
      <c r="R1186" s="96">
        <f ca="1">1-R1185/(3*F_GAMMA*R$29)</f>
        <v>0.82568638054313448</v>
      </c>
      <c r="S1186" s="106"/>
      <c r="T1186" s="22"/>
      <c r="U1186" s="96">
        <f ca="1">1-U1185/(3*F_GAMMA*U$29)</f>
        <v>0.82621653257630889</v>
      </c>
      <c r="V1186" s="111"/>
      <c r="W1186" s="28"/>
      <c r="X1186" s="96">
        <f ca="1">1-X1185/(3*F_GAMMA*X$29)</f>
        <v>0.82706136318071422</v>
      </c>
      <c r="Y1186" s="111"/>
      <c r="Z1186" s="28"/>
      <c r="AA1186" s="96">
        <f ca="1">1-AA1185/(3*F_GAMMA*AA$29)</f>
        <v>0.83339462834784273</v>
      </c>
      <c r="AB1186" s="111"/>
      <c r="AC1186" s="28"/>
      <c r="AD1186" s="96">
        <f ca="1">1-AD1185/(3*F_GAMMA*AD$29)</f>
        <v>0.85252595890442928</v>
      </c>
      <c r="AE1186" s="111"/>
      <c r="AF1186" s="28"/>
      <c r="AG1186" s="96">
        <f ca="1">1-AG1185/(3*F_GAMMA*AG$29)</f>
        <v>0.89783960044983768</v>
      </c>
      <c r="AH1186" s="111"/>
      <c r="AI1186" s="28"/>
      <c r="AJ1186" s="96">
        <f ca="1">1-AJ1185/(3*F_GAMMA*AJ$29)</f>
        <v>1.008991917617142</v>
      </c>
      <c r="AK1186" s="111"/>
      <c r="AL1186" s="28"/>
      <c r="AM1186" s="96">
        <f ca="1">1-AM1185/(3*F_GAMMA*AM$29)</f>
        <v>1.2552579346023138</v>
      </c>
      <c r="AN1186" s="111"/>
      <c r="AO1186" s="28"/>
      <c r="AP1186" s="96">
        <f ca="1">1-AP1185/(3*F_GAMMA*AP$29)</f>
        <v>1.6490847260300783</v>
      </c>
      <c r="AQ1186" s="111"/>
      <c r="AR1186" s="28"/>
      <c r="AS1186" s="96">
        <f ca="1">1-AS1185/(3*F_GAMMA*AS$29)</f>
        <v>11.764754253860771</v>
      </c>
      <c r="AT1186" s="111"/>
      <c r="AU1186" s="28"/>
    </row>
    <row r="1187" spans="15:47" x14ac:dyDescent="0.25">
      <c r="O1187" s="2" t="s">
        <v>57</v>
      </c>
      <c r="P1187" s="143">
        <v>7</v>
      </c>
      <c r="Q1187" s="2"/>
      <c r="R1187" s="96">
        <f ca="1">(R1180/(N_9*R$27*R1182*R1186))*SQRT(M*'Valve Sizing'!$W$6*'Valve Sizing'!$G$8/R1185)</f>
        <v>0.65269922716158513</v>
      </c>
      <c r="S1187" s="107"/>
      <c r="T1187" s="22"/>
      <c r="U1187" s="96">
        <f ca="1">(U1180/(N_9*U$27*U1182*U1186))*SQRT(M*'Valve Sizing'!$W$6*'Valve Sizing'!$G$8/U1185)</f>
        <v>10.722929429879287</v>
      </c>
      <c r="V1187" s="111"/>
      <c r="W1187" s="28"/>
      <c r="X1187" s="96">
        <f ca="1">(X1180/(N_9*X$27*X1182*X1186))*SQRT(M*'Valve Sizing'!$W$6*'Valve Sizing'!$G$8/X1185)</f>
        <v>26.668442068317383</v>
      </c>
      <c r="Y1187" s="111"/>
      <c r="Z1187" s="28"/>
      <c r="AA1187" s="96">
        <f ca="1">(AA1180/(N_9*AA$27*AA1182*AA1186))*SQRT(M*'Valve Sizing'!$W$6*'Valve Sizing'!$G$8/AA1185)</f>
        <v>54.506547997561668</v>
      </c>
      <c r="AB1187" s="111"/>
      <c r="AC1187" s="28"/>
      <c r="AD1187" s="96">
        <f ca="1">(AD1180/(N_9*AD$27*AD1182*AD1186))*SQRT(M*'Valve Sizing'!$W$6*'Valve Sizing'!$G$8/AD1185)</f>
        <v>103.95333628679155</v>
      </c>
      <c r="AE1187" s="111"/>
      <c r="AF1187" s="28"/>
      <c r="AG1187" s="96">
        <f ca="1">(AG1180/(N_9*AG$27*AG1182*AG1186))*SQRT(M*'Valve Sizing'!$W$6*'Valve Sizing'!$G$8/AG1185)</f>
        <v>205.37448147102313</v>
      </c>
      <c r="AH1187" s="111"/>
      <c r="AI1187" s="28"/>
      <c r="AJ1187" s="96" t="e">
        <f ca="1">(AJ1180/(N_9*AJ$27*AJ1182*AJ1186))*SQRT(M*'Valve Sizing'!$W$6*'Valve Sizing'!$G$8/AJ1185)</f>
        <v>#NUM!</v>
      </c>
      <c r="AK1187" s="111"/>
      <c r="AL1187" s="28"/>
      <c r="AM1187" s="96" t="e">
        <f ca="1">(AM1180/(N_9*AM$27*AM1182*AM1186))*SQRT(M*'Valve Sizing'!$W$6*'Valve Sizing'!$G$8/AM1185)</f>
        <v>#NUM!</v>
      </c>
      <c r="AN1187" s="111"/>
      <c r="AO1187" s="28"/>
      <c r="AP1187" s="96" t="e">
        <f ca="1">(AP1180/(N_9*AP$27*AP1182*AP1186))*SQRT(M*'Valve Sizing'!$W$6*'Valve Sizing'!$G$8/AP1185)</f>
        <v>#NUM!</v>
      </c>
      <c r="AQ1187" s="111"/>
      <c r="AR1187" s="28"/>
      <c r="AS1187" s="96" t="e">
        <f ca="1">(AS1180/(N_9*AS$27*AS1182*AS1186))*SQRT(M*'Valve Sizing'!$W$6*'Valve Sizing'!$G$8/AS1185)</f>
        <v>#NUM!</v>
      </c>
      <c r="AT1187" s="111"/>
      <c r="AU1187" s="28"/>
    </row>
    <row r="1188" spans="15:47" x14ac:dyDescent="0.25">
      <c r="O1188" s="2" t="s">
        <v>59</v>
      </c>
      <c r="P1188" s="143">
        <v>7</v>
      </c>
      <c r="Q1188" s="2"/>
      <c r="R1188" s="96">
        <f ca="1">(R1180/(N_9*R$27*R1182*0.667))*SQRT(M*'Valve Sizing'!$W$6*'Valve Sizing'!$G$8/R1189)</f>
        <v>0.58429029575762392</v>
      </c>
      <c r="S1188" s="107"/>
      <c r="T1188" s="22"/>
      <c r="U1188" s="96">
        <f ca="1">(U1180/(N_9*U$27*U1182*0.667))*SQRT(M*'Valve Sizing'!$W$6*'Valve Sizing'!$G$8/U1189)</f>
        <v>9.5906126602289063</v>
      </c>
      <c r="V1188" s="111"/>
      <c r="W1188" s="28"/>
      <c r="X1188" s="96">
        <f ca="1">(X1180/(N_9*X$27*X1182*0.667))*SQRT(M*'Valve Sizing'!$W$6*'Valve Sizing'!$G$8/X1189)</f>
        <v>23.818597612882797</v>
      </c>
      <c r="Y1188" s="111"/>
      <c r="Z1188" s="28"/>
      <c r="AA1188" s="96">
        <f ca="1">(AA1180/(N_9*AA$27*AA1182*0.667))*SQRT(M*'Valve Sizing'!$W$6*'Valve Sizing'!$G$8/AA1189)</f>
        <v>48.148046179655914</v>
      </c>
      <c r="AB1188" s="111"/>
      <c r="AC1188" s="28"/>
      <c r="AD1188" s="96">
        <f ca="1">(AD1180/(N_9*AD$27*AD1182*0.667))*SQRT(M*'Valve Sizing'!$W$6*'Valve Sizing'!$G$8/AD1189)</f>
        <v>88.376872376062138</v>
      </c>
      <c r="AE1188" s="111"/>
      <c r="AF1188" s="28"/>
      <c r="AG1188" s="96">
        <f ca="1">(AG1180/(N_9*AG$27*AG1182*0.667))*SQRT(M*'Valve Sizing'!$W$6*'Valve Sizing'!$G$8/AG1189)</f>
        <v>153.04576672070522</v>
      </c>
      <c r="AH1188" s="111"/>
      <c r="AI1188" s="28"/>
      <c r="AJ1188" s="96">
        <f ca="1">(AJ1180/(N_9*AJ$27*AJ1182*0.667))*SQRT(M*'Valve Sizing'!$W$6*'Valve Sizing'!$G$8/AJ1189)</f>
        <v>270.00129015352894</v>
      </c>
      <c r="AK1188" s="111"/>
      <c r="AL1188" s="28"/>
      <c r="AM1188" s="96">
        <f ca="1">(AM1180/(N_9*AM$27*AM1182*0.667))*SQRT(M*'Valve Sizing'!$W$6*'Valve Sizing'!$G$8/AM1189)</f>
        <v>497.11527768451418</v>
      </c>
      <c r="AN1188" s="111"/>
      <c r="AO1188" s="28"/>
      <c r="AP1188" s="96">
        <f ca="1">(AP1180/(N_9*AP$27*AP1182*0.667))*SQRT(M*'Valve Sizing'!$W$6*'Valve Sizing'!$G$8/AP1189)</f>
        <v>929.07392955406954</v>
      </c>
      <c r="AQ1188" s="111"/>
      <c r="AR1188" s="28"/>
      <c r="AS1188" s="96">
        <f ca="1">(AS1180/(N_9*AS$27*AS1182*0.667))*SQRT(M*'Valve Sizing'!$W$6*'Valve Sizing'!$G$8/AS1189)</f>
        <v>11187.308737581276</v>
      </c>
      <c r="AT1188" s="111"/>
      <c r="AU1188" s="28"/>
    </row>
    <row r="1189" spans="15:47" ht="15.6" x14ac:dyDescent="0.35">
      <c r="O1189" s="2" t="s">
        <v>68</v>
      </c>
      <c r="P1189" s="143">
        <v>10</v>
      </c>
      <c r="Q1189" s="2"/>
      <c r="R1189" s="96">
        <f ca="1">F_GAMMA*R$29</f>
        <v>0.64002969751372984</v>
      </c>
      <c r="S1189" s="107"/>
      <c r="T1189" s="1"/>
      <c r="U1189" s="96">
        <f ca="1">F_GAMMA*U$29</f>
        <v>0.64017842058782071</v>
      </c>
      <c r="V1189" s="111"/>
      <c r="W1189" s="28"/>
      <c r="X1189" s="96">
        <f ca="1">F_GAMMA*X$29</f>
        <v>0.63413873724904268</v>
      </c>
      <c r="Y1189" s="111"/>
      <c r="Z1189" s="28"/>
      <c r="AA1189" s="96">
        <f ca="1">F_GAMMA*AA$29</f>
        <v>0.62532411750377137</v>
      </c>
      <c r="AB1189" s="111"/>
      <c r="AC1189" s="28"/>
      <c r="AD1189" s="96">
        <f ca="1">F_GAMMA*AD$29</f>
        <v>0.60651359509139569</v>
      </c>
      <c r="AE1189" s="111"/>
      <c r="AF1189" s="28"/>
      <c r="AG1189" s="96">
        <f ca="1">F_GAMMA*AG$29</f>
        <v>0.57217930198481592</v>
      </c>
      <c r="AH1189" s="111"/>
      <c r="AI1189" s="28"/>
      <c r="AJ1189" s="96">
        <f ca="1">F_GAMMA*AJ$29</f>
        <v>0.53183282018848232</v>
      </c>
      <c r="AK1189" s="111"/>
      <c r="AL1189" s="28"/>
      <c r="AM1189" s="96">
        <f ca="1">F_GAMMA*AM$29</f>
        <v>0.47566512503094399</v>
      </c>
      <c r="AN1189" s="111"/>
      <c r="AO1189" s="28"/>
      <c r="AP1189" s="96">
        <f ca="1">F_GAMMA*AP$29</f>
        <v>0.59054158265645496</v>
      </c>
      <c r="AQ1189" s="111"/>
      <c r="AR1189" s="28"/>
      <c r="AS1189" s="96">
        <f ca="1">F_GAMMA*AS$29</f>
        <v>0.3766899554102966</v>
      </c>
      <c r="AT1189" s="111"/>
      <c r="AU1189" s="28"/>
    </row>
    <row r="1190" spans="15:47" x14ac:dyDescent="0.25">
      <c r="O1190" s="2" t="s">
        <v>145</v>
      </c>
      <c r="P1190" s="12"/>
      <c r="Q1190" s="2"/>
      <c r="R1190" s="96">
        <f ca="1">IF(R1185&lt;R1189,R1187,R1188)</f>
        <v>0.65269922716158513</v>
      </c>
      <c r="S1190" s="116"/>
      <c r="T1190" s="1"/>
      <c r="U1190" s="96">
        <f ca="1">IF(U1185&lt;U1189,U1187,U1188)</f>
        <v>10.722929429879287</v>
      </c>
      <c r="V1190" s="111"/>
      <c r="W1190" s="28"/>
      <c r="X1190" s="96">
        <f ca="1">IF(X1185&lt;X1189,X1187,X1188)</f>
        <v>26.668442068317383</v>
      </c>
      <c r="Y1190" s="111"/>
      <c r="Z1190" s="28"/>
      <c r="AA1190" s="96">
        <f ca="1">IF(AA1185&lt;AA1189,AA1187,AA1188)</f>
        <v>54.506547997561668</v>
      </c>
      <c r="AB1190" s="111"/>
      <c r="AC1190" s="28"/>
      <c r="AD1190" s="96">
        <f ca="1">IF(AD1185&lt;AD1189,AD1187,AD1188)</f>
        <v>103.95333628679155</v>
      </c>
      <c r="AE1190" s="111"/>
      <c r="AF1190" s="28"/>
      <c r="AG1190" s="96">
        <f ca="1">IF(AG1185&lt;AG1189,AG1187,AG1188)</f>
        <v>205.37448147102313</v>
      </c>
      <c r="AH1190" s="111"/>
      <c r="AI1190" s="28"/>
      <c r="AJ1190" s="96" t="e">
        <f ca="1">IF(AJ1185&lt;AJ1189,AJ1187,AJ1188)</f>
        <v>#NUM!</v>
      </c>
      <c r="AK1190" s="111"/>
      <c r="AL1190" s="28"/>
      <c r="AM1190" s="96" t="e">
        <f ca="1">IF(AM1185&lt;AM1189,AM1187,AM1188)</f>
        <v>#NUM!</v>
      </c>
      <c r="AN1190" s="111"/>
      <c r="AO1190" s="28"/>
      <c r="AP1190" s="96" t="e">
        <f ca="1">IF(AP1185&lt;AP1189,AP1187,AP1188)</f>
        <v>#NUM!</v>
      </c>
      <c r="AQ1190" s="111"/>
      <c r="AR1190" s="28"/>
      <c r="AS1190" s="96" t="e">
        <f ca="1">IF(AS1185&lt;AS1189,AS1187,AS1188)</f>
        <v>#NUM!</v>
      </c>
      <c r="AT1190" s="111"/>
      <c r="AU1190" s="28"/>
    </row>
    <row r="1191" spans="15:47" x14ac:dyDescent="0.25">
      <c r="O1191" s="13" t="s">
        <v>143</v>
      </c>
      <c r="P1191" s="1"/>
      <c r="Q1191" s="1"/>
      <c r="R1191" s="113"/>
      <c r="S1191" s="106">
        <f ca="1">IF(R1184&lt;=0,Q_max,ABS(R$23-R1190))</f>
        <v>4.0773007728384156</v>
      </c>
      <c r="T1191" s="7">
        <f>R1180</f>
        <v>1616.2210099105976</v>
      </c>
      <c r="U1191" s="98"/>
      <c r="V1191" s="106">
        <f ca="1">IF(U1184&lt;=0,Q_max,ABS(U$23-U1190))</f>
        <v>0.8770705701207131</v>
      </c>
      <c r="W1191" s="9">
        <f ca="1">U1180</f>
        <v>26477.109675496784</v>
      </c>
      <c r="X1191" s="98"/>
      <c r="Y1191" s="106">
        <f ca="1">IF(X1184&lt;=0,Q_max,ABS(X$23-X1190))</f>
        <v>3.6684420683173826</v>
      </c>
      <c r="Z1191" s="9">
        <f ca="1">X1180</f>
        <v>64832.715881672884</v>
      </c>
      <c r="AA1191" s="98"/>
      <c r="AB1191" s="106">
        <f ca="1">IF(AA1184&lt;=0,Q_max,ABS(AA$23-AA1190))</f>
        <v>15.10654799756167</v>
      </c>
      <c r="AC1191" s="9">
        <f ca="1">AA1180</f>
        <v>126277.58228413523</v>
      </c>
      <c r="AD1191" s="98"/>
      <c r="AE1191" s="106">
        <f ca="1">IF(AD1184&lt;=0,Q_max,ABS(AD$23-AD1190))</f>
        <v>42.953336286791554</v>
      </c>
      <c r="AF1191" s="9">
        <f ca="1">AD1180</f>
        <v>211854.50082721919</v>
      </c>
      <c r="AG1191" s="98"/>
      <c r="AH1191" s="106">
        <f ca="1">IF(AG1184&lt;=0,Q_max,ABS(AG$23-AG1190))</f>
        <v>117.17448147102313</v>
      </c>
      <c r="AI1191" s="9">
        <f ca="1">AG1180</f>
        <v>309207.41405654588</v>
      </c>
      <c r="AJ1191" s="98"/>
      <c r="AK1191" s="106">
        <f ca="1">IF(AJ1184&lt;=0,Q_max,ABS(AJ$23-AJ1190))</f>
        <v>236393</v>
      </c>
      <c r="AL1191" s="9">
        <f ca="1">AJ1180</f>
        <v>412638.4927217901</v>
      </c>
      <c r="AM1191" s="98"/>
      <c r="AN1191" s="106">
        <f ca="1">IF(AM1184&lt;=0,Q_max,ABS(AM$23-AM1190))</f>
        <v>236393</v>
      </c>
      <c r="AO1191" s="9">
        <f ca="1">AM1180</f>
        <v>503497.37891826994</v>
      </c>
      <c r="AP1191" s="98"/>
      <c r="AQ1191" s="106">
        <f ca="1">IF(AP1184&lt;=0,Q_max,ABS(AP$23-AP1190))</f>
        <v>236393</v>
      </c>
      <c r="AR1191" s="9">
        <f ca="1">AP1180</f>
        <v>584544.82603427616</v>
      </c>
      <c r="AS1191" s="98"/>
      <c r="AT1191" s="106">
        <f ca="1">IF(AS1184&lt;=0,Q_max,ABS(AS$23-AS1190))</f>
        <v>236393</v>
      </c>
      <c r="AU1191" s="9">
        <f ca="1">AS1180</f>
        <v>685424.78000843083</v>
      </c>
    </row>
    <row r="1192" spans="15:47" x14ac:dyDescent="0.25">
      <c r="O1192" s="21"/>
      <c r="P1192" s="14"/>
      <c r="Q1192" s="21"/>
      <c r="R1192" s="97"/>
      <c r="S1192" s="106"/>
      <c r="T1192" s="28"/>
      <c r="U1192" s="97"/>
      <c r="V1192" s="111"/>
      <c r="W1192" s="28"/>
      <c r="X1192" s="97"/>
      <c r="Y1192" s="111"/>
      <c r="Z1192" s="28"/>
      <c r="AA1192" s="97"/>
      <c r="AB1192" s="111"/>
      <c r="AC1192" s="28"/>
      <c r="AD1192" s="97"/>
      <c r="AE1192" s="111"/>
      <c r="AF1192" s="28"/>
      <c r="AG1192" s="97"/>
      <c r="AH1192" s="111"/>
      <c r="AI1192" s="28"/>
      <c r="AJ1192" s="97"/>
      <c r="AK1192" s="111"/>
      <c r="AL1192" s="28"/>
      <c r="AM1192" s="97"/>
      <c r="AN1192" s="111"/>
      <c r="AO1192" s="28"/>
      <c r="AP1192" s="97"/>
      <c r="AQ1192" s="111"/>
      <c r="AR1192" s="28"/>
      <c r="AS1192" s="97"/>
      <c r="AT1192" s="111"/>
      <c r="AU1192" s="28"/>
    </row>
    <row r="1193" spans="15:47" x14ac:dyDescent="0.25">
      <c r="O1193" s="1"/>
      <c r="P1193" s="1"/>
      <c r="Q1193" s="1"/>
      <c r="R1193" s="98"/>
      <c r="S1193" s="108" t="s">
        <v>137</v>
      </c>
      <c r="T1193" s="26" t="s">
        <v>146</v>
      </c>
      <c r="U1193" s="98"/>
      <c r="V1193" s="108" t="s">
        <v>137</v>
      </c>
      <c r="W1193" s="26" t="s">
        <v>146</v>
      </c>
      <c r="X1193" s="98"/>
      <c r="Y1193" s="108" t="s">
        <v>137</v>
      </c>
      <c r="Z1193" s="26" t="s">
        <v>146</v>
      </c>
      <c r="AA1193" s="98"/>
      <c r="AB1193" s="108" t="s">
        <v>137</v>
      </c>
      <c r="AC1193" s="26" t="s">
        <v>146</v>
      </c>
      <c r="AD1193" s="98"/>
      <c r="AE1193" s="108" t="s">
        <v>137</v>
      </c>
      <c r="AF1193" s="26" t="s">
        <v>146</v>
      </c>
      <c r="AG1193" s="98"/>
      <c r="AH1193" s="108" t="s">
        <v>137</v>
      </c>
      <c r="AI1193" s="26" t="s">
        <v>146</v>
      </c>
      <c r="AJ1193" s="98"/>
      <c r="AK1193" s="108" t="s">
        <v>137</v>
      </c>
      <c r="AL1193" s="26" t="s">
        <v>146</v>
      </c>
      <c r="AM1193" s="98"/>
      <c r="AN1193" s="108" t="s">
        <v>137</v>
      </c>
      <c r="AO1193" s="26" t="s">
        <v>146</v>
      </c>
      <c r="AP1193" s="98"/>
      <c r="AQ1193" s="108" t="s">
        <v>137</v>
      </c>
      <c r="AR1193" s="26" t="s">
        <v>146</v>
      </c>
      <c r="AS1193" s="98"/>
      <c r="AT1193" s="108" t="s">
        <v>137</v>
      </c>
      <c r="AU1193" s="26" t="s">
        <v>146</v>
      </c>
    </row>
    <row r="1194" spans="15:47" ht="13.8" x14ac:dyDescent="0.25">
      <c r="O1194" s="20" t="s">
        <v>136</v>
      </c>
      <c r="P1194" s="1"/>
      <c r="Q1194" s="1"/>
      <c r="R1194" s="96">
        <f>R1180*1.02</f>
        <v>1648.5454301088096</v>
      </c>
      <c r="S1194" s="109" t="s">
        <v>144</v>
      </c>
      <c r="T1194" s="23" t="s">
        <v>147</v>
      </c>
      <c r="U1194" s="96">
        <f ca="1">U1180*1.01</f>
        <v>26741.880772251752</v>
      </c>
      <c r="V1194" s="109" t="s">
        <v>144</v>
      </c>
      <c r="W1194" s="23" t="s">
        <v>147</v>
      </c>
      <c r="X1194" s="96">
        <f ca="1">X1180*1.01</f>
        <v>65481.043040489611</v>
      </c>
      <c r="Y1194" s="109" t="s">
        <v>144</v>
      </c>
      <c r="Z1194" s="23" t="s">
        <v>147</v>
      </c>
      <c r="AA1194" s="96">
        <f ca="1">AA1180*1.01</f>
        <v>127540.35810697659</v>
      </c>
      <c r="AB1194" s="109" t="s">
        <v>144</v>
      </c>
      <c r="AC1194" s="23" t="s">
        <v>147</v>
      </c>
      <c r="AD1194" s="96">
        <f ca="1">AD1180*1.01</f>
        <v>213973.04583549139</v>
      </c>
      <c r="AE1194" s="109" t="s">
        <v>144</v>
      </c>
      <c r="AF1194" s="23" t="s">
        <v>147</v>
      </c>
      <c r="AG1194" s="96">
        <f ca="1">AG1180*1.01</f>
        <v>312299.48819711135</v>
      </c>
      <c r="AH1194" s="109" t="s">
        <v>144</v>
      </c>
      <c r="AI1194" s="23" t="s">
        <v>147</v>
      </c>
      <c r="AJ1194" s="96">
        <f ca="1">AJ1180*1.01</f>
        <v>416764.87764900801</v>
      </c>
      <c r="AK1194" s="109" t="s">
        <v>144</v>
      </c>
      <c r="AL1194" s="23" t="s">
        <v>147</v>
      </c>
      <c r="AM1194" s="96">
        <f ca="1">AM1180*1.01</f>
        <v>508532.35270745266</v>
      </c>
      <c r="AN1194" s="109" t="s">
        <v>144</v>
      </c>
      <c r="AO1194" s="23" t="s">
        <v>147</v>
      </c>
      <c r="AP1194" s="96">
        <f ca="1">AP1180*1.01</f>
        <v>590390.27429461898</v>
      </c>
      <c r="AQ1194" s="109" t="s">
        <v>144</v>
      </c>
      <c r="AR1194" s="23" t="s">
        <v>147</v>
      </c>
      <c r="AS1194" s="96">
        <f ca="1">AS1180*1.01</f>
        <v>692279.02780851512</v>
      </c>
      <c r="AT1194" s="109" t="s">
        <v>144</v>
      </c>
      <c r="AU1194" s="23" t="s">
        <v>147</v>
      </c>
    </row>
    <row r="1195" spans="15:47" x14ac:dyDescent="0.25">
      <c r="O1195" s="1"/>
      <c r="P1195" s="1"/>
      <c r="Q1195" s="1"/>
      <c r="R1195" s="98"/>
      <c r="S1195" s="107"/>
      <c r="T1195" s="1"/>
      <c r="U1195" s="47"/>
      <c r="V1195" s="107"/>
      <c r="W1195" s="1"/>
      <c r="X1195" s="47"/>
      <c r="Y1195" s="107"/>
      <c r="Z1195" s="1"/>
      <c r="AA1195" s="47"/>
      <c r="AB1195" s="107"/>
      <c r="AC1195" s="1"/>
      <c r="AD1195" s="47"/>
      <c r="AE1195" s="107"/>
      <c r="AF1195" s="1"/>
      <c r="AG1195" s="47"/>
      <c r="AH1195" s="107"/>
      <c r="AI1195" s="1"/>
      <c r="AJ1195" s="47"/>
      <c r="AK1195" s="107"/>
      <c r="AL1195" s="1"/>
      <c r="AM1195" s="47"/>
      <c r="AN1195" s="107"/>
      <c r="AO1195" s="1"/>
      <c r="AP1195" s="47"/>
      <c r="AQ1195" s="107"/>
      <c r="AR1195" s="1"/>
      <c r="AS1195" s="47"/>
      <c r="AT1195" s="107"/>
      <c r="AU1195" s="1"/>
    </row>
    <row r="1196" spans="15:47" x14ac:dyDescent="0.25">
      <c r="O1196" s="8" t="s">
        <v>132</v>
      </c>
      <c r="P1196" s="8"/>
      <c r="Q1196" s="8"/>
      <c r="R1196" s="96">
        <f>P_1_minQ-(R1194^2*R_up)+dpup_minQ</f>
        <v>90.184545199406259</v>
      </c>
      <c r="S1196" s="106"/>
      <c r="T1196" s="22"/>
      <c r="U1196" s="96">
        <f ca="1">P_1_minQ-(U1194^2*R_up)+dpup_minQ</f>
        <v>90.054700615224093</v>
      </c>
      <c r="V1196" s="107"/>
      <c r="W1196" s="1"/>
      <c r="X1196" s="96">
        <f ca="1">P_1_minQ-(X1194^2*R_up)+dpup_minQ</f>
        <v>89.403548210242164</v>
      </c>
      <c r="Y1196" s="107"/>
      <c r="Z1196" s="1"/>
      <c r="AA1196" s="96">
        <f ca="1">P_1_minQ-(AA1194^2*R_up)+dpup_minQ</f>
        <v>87.220285590815749</v>
      </c>
      <c r="AB1196" s="107"/>
      <c r="AC1196" s="1"/>
      <c r="AD1196" s="96">
        <f ca="1">P_1_minQ-(AD1194^2*R_up)+dpup_minQ</f>
        <v>81.840322340042917</v>
      </c>
      <c r="AE1196" s="107"/>
      <c r="AF1196" s="1"/>
      <c r="AG1196" s="96">
        <f ca="1">P_1_minQ-(AG1194^2*R_up)+dpup_minQ</f>
        <v>72.408957007915404</v>
      </c>
      <c r="AH1196" s="107"/>
      <c r="AI1196" s="1"/>
      <c r="AJ1196" s="96">
        <f ca="1">P_1_minQ-(AJ1194^2*R_up)+dpup_minQ</f>
        <v>58.527602780588978</v>
      </c>
      <c r="AK1196" s="107"/>
      <c r="AL1196" s="1"/>
      <c r="AM1196" s="96">
        <f ca="1">P_1_minQ-(AM1194^2*R_up)+dpup_minQ</f>
        <v>43.051429566450274</v>
      </c>
      <c r="AN1196" s="107"/>
      <c r="AO1196" s="1"/>
      <c r="AP1196" s="96">
        <f ca="1">P_1_minQ-(AP1194^2*R_up)+dpup_minQ</f>
        <v>26.656054116967454</v>
      </c>
      <c r="AQ1196" s="107"/>
      <c r="AR1196" s="1"/>
      <c r="AS1196" s="96">
        <f ca="1">P_1_minQ-(AS1194^2*R_up)+dpup_minQ</f>
        <v>2.8364528447763306</v>
      </c>
      <c r="AT1196" s="107"/>
      <c r="AU1196" s="1"/>
    </row>
    <row r="1197" spans="15:47" x14ac:dyDescent="0.25">
      <c r="O1197" s="8" t="s">
        <v>134</v>
      </c>
      <c r="P1197" s="1"/>
      <c r="Q1197" s="8"/>
      <c r="R1197" s="97">
        <f>P_2_minQ+(R1194^2*R_dn)-dpdn_minQ</f>
        <v>60</v>
      </c>
      <c r="S1197" s="106"/>
      <c r="T1197" s="22"/>
      <c r="U1197" s="97">
        <f ca="1">P_2_minQ+(U1194^2*R_dn)-dpdn_minQ</f>
        <v>60</v>
      </c>
      <c r="V1197" s="107"/>
      <c r="W1197" s="1"/>
      <c r="X1197" s="97">
        <f ca="1">P_2_minQ+(X1194^2*R_dn)-dpdn_minQ</f>
        <v>60</v>
      </c>
      <c r="Y1197" s="107"/>
      <c r="Z1197" s="1"/>
      <c r="AA1197" s="97">
        <f ca="1">P_2_minQ+(AA1194^2*R_dn)-dpdn_minQ</f>
        <v>60</v>
      </c>
      <c r="AB1197" s="107"/>
      <c r="AC1197" s="1"/>
      <c r="AD1197" s="97">
        <f ca="1">P_2_minQ+(AD1194^2*R_dn)-dpdn_minQ</f>
        <v>60</v>
      </c>
      <c r="AE1197" s="107"/>
      <c r="AF1197" s="1"/>
      <c r="AG1197" s="97">
        <f ca="1">P_2_minQ+(AG1194^2*R_dn)-dpdn_minQ</f>
        <v>60</v>
      </c>
      <c r="AH1197" s="107"/>
      <c r="AI1197" s="1"/>
      <c r="AJ1197" s="97">
        <f ca="1">P_2_minQ+(AJ1194^2*R_dn)-dpdn_minQ</f>
        <v>60</v>
      </c>
      <c r="AK1197" s="107"/>
      <c r="AL1197" s="1"/>
      <c r="AM1197" s="97">
        <f ca="1">P_2_minQ+(AM1194^2*R_dn)-dpdn_minQ</f>
        <v>60</v>
      </c>
      <c r="AN1197" s="107"/>
      <c r="AO1197" s="1"/>
      <c r="AP1197" s="97">
        <f ca="1">P_2_minQ+(AP1194^2*R_dn)-dpdn_minQ</f>
        <v>60</v>
      </c>
      <c r="AQ1197" s="107"/>
      <c r="AR1197" s="1"/>
      <c r="AS1197" s="97">
        <f ca="1">P_2_minQ+(AS1194^2*R_dn)-dpdn_minQ</f>
        <v>60</v>
      </c>
      <c r="AT1197" s="107"/>
      <c r="AU1197" s="1"/>
    </row>
    <row r="1198" spans="15:47" x14ac:dyDescent="0.25">
      <c r="O1198" s="8" t="s">
        <v>138</v>
      </c>
      <c r="P1198" s="1"/>
      <c r="Q1198" s="8"/>
      <c r="R1198" s="97">
        <f>R1196-R1197</f>
        <v>30.184545199406259</v>
      </c>
      <c r="S1198" s="106"/>
      <c r="T1198" s="22"/>
      <c r="U1198" s="97">
        <f ca="1">U1196-U1197</f>
        <v>30.054700615224093</v>
      </c>
      <c r="V1198" s="110"/>
      <c r="W1198" s="25"/>
      <c r="X1198" s="97">
        <f ca="1">X1196-X1197</f>
        <v>29.403548210242164</v>
      </c>
      <c r="Y1198" s="110"/>
      <c r="Z1198" s="25"/>
      <c r="AA1198" s="97">
        <f ca="1">AA1196-AA1197</f>
        <v>27.220285590815749</v>
      </c>
      <c r="AB1198" s="110"/>
      <c r="AC1198" s="25"/>
      <c r="AD1198" s="97">
        <f ca="1">AD1196-AD1197</f>
        <v>21.840322340042917</v>
      </c>
      <c r="AE1198" s="110"/>
      <c r="AF1198" s="25"/>
      <c r="AG1198" s="97">
        <f ca="1">AG1196-AG1197</f>
        <v>12.408957007915404</v>
      </c>
      <c r="AH1198" s="110"/>
      <c r="AI1198" s="25"/>
      <c r="AJ1198" s="97">
        <f ca="1">AJ1196-AJ1197</f>
        <v>-1.4723972194110218</v>
      </c>
      <c r="AK1198" s="110"/>
      <c r="AL1198" s="25"/>
      <c r="AM1198" s="97">
        <f ca="1">AM1196-AM1197</f>
        <v>-16.948570433549726</v>
      </c>
      <c r="AN1198" s="110"/>
      <c r="AO1198" s="25"/>
      <c r="AP1198" s="97">
        <f ca="1">AP1196-AP1197</f>
        <v>-33.343945883032546</v>
      </c>
      <c r="AQ1198" s="110"/>
      <c r="AR1198" s="25"/>
      <c r="AS1198" s="97">
        <f ca="1">AS1196-AS1197</f>
        <v>-57.163547155223668</v>
      </c>
      <c r="AT1198" s="110"/>
      <c r="AU1198" s="25"/>
    </row>
    <row r="1199" spans="15:47" ht="14.4" x14ac:dyDescent="0.3">
      <c r="O1199" s="2" t="s">
        <v>140</v>
      </c>
      <c r="P1199" s="11"/>
      <c r="Q1199" s="2"/>
      <c r="R1199" s="96">
        <f>R1198/R1196</f>
        <v>0.33469753750673659</v>
      </c>
      <c r="S1199" s="106"/>
      <c r="T1199" s="22"/>
      <c r="U1199" s="96">
        <f ca="1">U1198/U1196</f>
        <v>0.33373827695723002</v>
      </c>
      <c r="V1199" s="111"/>
      <c r="W1199" s="28"/>
      <c r="X1199" s="96">
        <f ca="1">X1198/X1196</f>
        <v>0.32888569636069165</v>
      </c>
      <c r="Y1199" s="111"/>
      <c r="Z1199" s="28"/>
      <c r="AA1199" s="96">
        <f ca="1">AA1198/AA1196</f>
        <v>0.31208663680048798</v>
      </c>
      <c r="AB1199" s="111"/>
      <c r="AC1199" s="28"/>
      <c r="AD1199" s="96">
        <f ca="1">AD1198/AD1196</f>
        <v>0.26686505765822066</v>
      </c>
      <c r="AE1199" s="111"/>
      <c r="AF1199" s="28"/>
      <c r="AG1199" s="96">
        <f ca="1">AG1198/AG1196</f>
        <v>0.1713732322723405</v>
      </c>
      <c r="AH1199" s="111"/>
      <c r="AI1199" s="28"/>
      <c r="AJ1199" s="96">
        <f ca="1">AJ1198/AJ1196</f>
        <v>-2.5157312950793723E-2</v>
      </c>
      <c r="AK1199" s="111"/>
      <c r="AL1199" s="28"/>
      <c r="AM1199" s="96">
        <f ca="1">AM1198/AM1196</f>
        <v>-0.39368194283512592</v>
      </c>
      <c r="AN1199" s="111"/>
      <c r="AO1199" s="28"/>
      <c r="AP1199" s="96">
        <f ca="1">AP1198/AP1196</f>
        <v>-1.250895790379118</v>
      </c>
      <c r="AQ1199" s="111"/>
      <c r="AR1199" s="28"/>
      <c r="AS1199" s="96">
        <f ca="1">AS1198/AS1196</f>
        <v>-20.153180850687232</v>
      </c>
      <c r="AT1199" s="111"/>
      <c r="AU1199" s="28"/>
    </row>
    <row r="1200" spans="15:47" x14ac:dyDescent="0.25">
      <c r="O1200" s="2" t="s">
        <v>21</v>
      </c>
      <c r="P1200" s="8">
        <v>12</v>
      </c>
      <c r="Q1200" s="2"/>
      <c r="R1200" s="96">
        <f ca="1">1-R1199/(3*F_GAMMA*R$29)</f>
        <v>0.82568645444270883</v>
      </c>
      <c r="S1200" s="106"/>
      <c r="T1200" s="22"/>
      <c r="U1200" s="96">
        <f ca="1">1-U1199/(3*F_GAMMA*U$29)</f>
        <v>0.82622642572530181</v>
      </c>
      <c r="V1200" s="111"/>
      <c r="W1200" s="28"/>
      <c r="X1200" s="96">
        <f ca="1">1-X1199/(3*F_GAMMA*X$29)</f>
        <v>0.82712211222240806</v>
      </c>
      <c r="Y1200" s="111"/>
      <c r="Z1200" s="28"/>
      <c r="AA1200" s="96">
        <f ca="1">1-AA1199/(3*F_GAMMA*AA$29)</f>
        <v>0.83364006597287754</v>
      </c>
      <c r="AB1200" s="111"/>
      <c r="AC1200" s="28"/>
      <c r="AD1200" s="96">
        <f ca="1">1-AD1199/(3*F_GAMMA*AD$29)</f>
        <v>0.85333384125379375</v>
      </c>
      <c r="AE1200" s="111"/>
      <c r="AF1200" s="28"/>
      <c r="AG1200" s="96">
        <f ca="1">1-AG1199/(3*F_GAMMA*AG$29)</f>
        <v>0.90016344429221806</v>
      </c>
      <c r="AH1200" s="111"/>
      <c r="AI1200" s="28"/>
      <c r="AJ1200" s="96">
        <f ca="1">1-AJ1199/(3*F_GAMMA*AJ$29)</f>
        <v>1.0157676823717385</v>
      </c>
      <c r="AK1200" s="111"/>
      <c r="AL1200" s="28"/>
      <c r="AM1200" s="96">
        <f ca="1">1-AM1199/(3*F_GAMMA*AM$29)</f>
        <v>1.2758817230290709</v>
      </c>
      <c r="AN1200" s="111"/>
      <c r="AO1200" s="28"/>
      <c r="AP1200" s="96">
        <f ca="1">1-AP1199/(3*F_GAMMA*AP$29)</f>
        <v>1.706072655517425</v>
      </c>
      <c r="AQ1200" s="111"/>
      <c r="AR1200" s="28"/>
      <c r="AS1200" s="96">
        <f ca="1">1-AS1199/(3*F_GAMMA*AS$29)</f>
        <v>18.83357069585788</v>
      </c>
      <c r="AT1200" s="111"/>
      <c r="AU1200" s="28"/>
    </row>
    <row r="1201" spans="15:47" x14ac:dyDescent="0.25">
      <c r="O1201" s="2" t="s">
        <v>57</v>
      </c>
      <c r="P1201" s="143">
        <v>7</v>
      </c>
      <c r="Q1201" s="2"/>
      <c r="R1201" s="96">
        <f ca="1">(R1194/(N_9*R$27*R1196*R1200))*SQRT(M*'Valve Sizing'!$W$6*'Valve Sizing'!$G$8/R1199)</f>
        <v>0.66575343523110164</v>
      </c>
      <c r="S1201" s="107"/>
      <c r="T1201" s="22"/>
      <c r="U1201" s="96">
        <f ca="1">(U1194/(N_9*U$27*U1196*U1200))*SQRT(M*'Valve Sizing'!$W$6*'Valve Sizing'!$G$8/U1199)</f>
        <v>10.830646187537381</v>
      </c>
      <c r="V1201" s="111"/>
      <c r="W1201" s="28"/>
      <c r="X1201" s="96">
        <f ca="1">(X1194/(N_9*X$27*X1196*X1200))*SQRT(M*'Valve Sizing'!$W$6*'Valve Sizing'!$G$8/X1199)</f>
        <v>26.94251958896464</v>
      </c>
      <c r="Y1201" s="111"/>
      <c r="Z1201" s="28"/>
      <c r="AA1201" s="96">
        <f ca="1">(AA1194/(N_9*AA$27*AA1196*AA1200))*SQRT(M*'Valve Sizing'!$W$6*'Valve Sizing'!$G$8/AA1199)</f>
        <v>55.112876542341077</v>
      </c>
      <c r="AB1201" s="111"/>
      <c r="AC1201" s="28"/>
      <c r="AD1201" s="96">
        <f ca="1">(AD1194/(N_9*AD$27*AD1196*AD1200))*SQRT(M*'Valve Sizing'!$W$6*'Valve Sizing'!$G$8/AD1199)</f>
        <v>105.39328427152537</v>
      </c>
      <c r="AE1201" s="111"/>
      <c r="AF1201" s="28"/>
      <c r="AG1201" s="96">
        <f ca="1">(AG1194/(N_9*AG$27*AG1196*AG1200))*SQRT(M*'Valve Sizing'!$W$6*'Valve Sizing'!$G$8/AG1199)</f>
        <v>210.299119355329</v>
      </c>
      <c r="AH1201" s="111"/>
      <c r="AI1201" s="28"/>
      <c r="AJ1201" s="96" t="e">
        <f ca="1">(AJ1194/(N_9*AJ$27*AJ1196*AJ1200))*SQRT(M*'Valve Sizing'!$W$6*'Valve Sizing'!$G$8/AJ1199)</f>
        <v>#NUM!</v>
      </c>
      <c r="AK1201" s="111"/>
      <c r="AL1201" s="28"/>
      <c r="AM1201" s="96" t="e">
        <f ca="1">(AM1194/(N_9*AM$27*AM1196*AM1200))*SQRT(M*'Valve Sizing'!$W$6*'Valve Sizing'!$G$8/AM1199)</f>
        <v>#NUM!</v>
      </c>
      <c r="AN1201" s="111"/>
      <c r="AO1201" s="28"/>
      <c r="AP1201" s="96" t="e">
        <f ca="1">(AP1194/(N_9*AP$27*AP1196*AP1200))*SQRT(M*'Valve Sizing'!$W$6*'Valve Sizing'!$G$8/AP1199)</f>
        <v>#NUM!</v>
      </c>
      <c r="AQ1201" s="111"/>
      <c r="AR1201" s="28"/>
      <c r="AS1201" s="96" t="e">
        <f ca="1">(AS1194/(N_9*AS$27*AS1196*AS1200))*SQRT(M*'Valve Sizing'!$W$6*'Valve Sizing'!$G$8/AS1199)</f>
        <v>#NUM!</v>
      </c>
      <c r="AT1201" s="111"/>
      <c r="AU1201" s="28"/>
    </row>
    <row r="1202" spans="15:47" x14ac:dyDescent="0.25">
      <c r="O1202" s="2" t="s">
        <v>59</v>
      </c>
      <c r="P1202" s="143">
        <v>7</v>
      </c>
      <c r="Q1202" s="2"/>
      <c r="R1202" s="96">
        <f ca="1">(R1194/(N_9*R$27*R1196*0.667))*SQRT(M*'Valve Sizing'!$W$6*'Valve Sizing'!$G$8/R1203)</f>
        <v>0.59597622878084633</v>
      </c>
      <c r="S1202" s="107"/>
      <c r="T1202" s="22"/>
      <c r="U1202" s="96">
        <f ca="1">(U1194/(N_9*U$27*U1196*0.667))*SQRT(M*'Valve Sizing'!$W$6*'Valve Sizing'!$G$8/U1203)</f>
        <v>9.6867950303400185</v>
      </c>
      <c r="V1202" s="111"/>
      <c r="W1202" s="28"/>
      <c r="X1202" s="96">
        <f ca="1">(X1194/(N_9*X$27*X1196*0.667))*SQRT(M*'Valve Sizing'!$W$6*'Valve Sizing'!$G$8/X1203)</f>
        <v>24.060927026875309</v>
      </c>
      <c r="Y1202" s="111"/>
      <c r="Z1202" s="28"/>
      <c r="AA1202" s="96">
        <f ca="1">(AA1194/(N_9*AA$27*AA1196*0.667))*SQRT(M*'Valve Sizing'!$W$6*'Valve Sizing'!$G$8/AA1203)</f>
        <v>48.662097158202243</v>
      </c>
      <c r="AB1202" s="111"/>
      <c r="AC1202" s="28"/>
      <c r="AD1202" s="96">
        <f ca="1">(AD1194/(N_9*AD$27*AD1196*0.667))*SQRT(M*'Valve Sizing'!$W$6*'Valve Sizing'!$G$8/AD1203)</f>
        <v>89.439973043288134</v>
      </c>
      <c r="AE1202" s="111"/>
      <c r="AF1202" s="28"/>
      <c r="AG1202" s="96">
        <f ca="1">(AG1194/(N_9*AG$27*AG1196*0.667))*SQRT(M*'Valve Sizing'!$W$6*'Valve Sizing'!$G$8/AG1203)</f>
        <v>155.3239457619184</v>
      </c>
      <c r="AH1202" s="111"/>
      <c r="AI1202" s="28"/>
      <c r="AJ1202" s="96">
        <f ca="1">(AJ1194/(N_9*AJ$27*AJ1196*0.667))*SQRT(M*'Valve Sizing'!$W$6*'Valve Sizing'!$G$8/AJ1203)</f>
        <v>275.60770414860121</v>
      </c>
      <c r="AK1202" s="111"/>
      <c r="AL1202" s="28"/>
      <c r="AM1202" s="96">
        <f ca="1">(AM1194/(N_9*AM$27*AM1196*0.667))*SQRT(M*'Valve Sizing'!$W$6*'Valve Sizing'!$G$8/AM1203)</f>
        <v>512.91758942137801</v>
      </c>
      <c r="AN1202" s="111"/>
      <c r="AO1202" s="28"/>
      <c r="AP1202" s="96">
        <f ca="1">(AP1194/(N_9*AP$27*AP1196*0.667))*SQRT(M*'Valve Sizing'!$W$6*'Valve Sizing'!$G$8/AP1203)</f>
        <v>982.43040423678644</v>
      </c>
      <c r="AQ1202" s="111"/>
      <c r="AR1202" s="28"/>
      <c r="AS1202" s="96">
        <f ca="1">(AS1194/(N_9*AS$27*AS1196*0.667))*SQRT(M*'Valve Sizing'!$W$6*'Valve Sizing'!$G$8/AS1203)</f>
        <v>18155.3368140973</v>
      </c>
      <c r="AT1202" s="111"/>
      <c r="AU1202" s="28"/>
    </row>
    <row r="1203" spans="15:47" ht="15.6" x14ac:dyDescent="0.35">
      <c r="O1203" s="2" t="s">
        <v>68</v>
      </c>
      <c r="P1203" s="143">
        <v>10</v>
      </c>
      <c r="Q1203" s="2"/>
      <c r="R1203" s="96">
        <f ca="1">F_GAMMA*R$29</f>
        <v>0.64002969751372984</v>
      </c>
      <c r="S1203" s="107"/>
      <c r="T1203" s="1"/>
      <c r="U1203" s="96">
        <f ca="1">F_GAMMA*U$29</f>
        <v>0.64017842058782071</v>
      </c>
      <c r="V1203" s="111"/>
      <c r="W1203" s="28"/>
      <c r="X1203" s="96">
        <f ca="1">F_GAMMA*X$29</f>
        <v>0.63413873724904268</v>
      </c>
      <c r="Y1203" s="111"/>
      <c r="Z1203" s="28"/>
      <c r="AA1203" s="96">
        <f ca="1">F_GAMMA*AA$29</f>
        <v>0.62532411750377137</v>
      </c>
      <c r="AB1203" s="111"/>
      <c r="AC1203" s="28"/>
      <c r="AD1203" s="96">
        <f ca="1">F_GAMMA*AD$29</f>
        <v>0.60651359509139569</v>
      </c>
      <c r="AE1203" s="111"/>
      <c r="AF1203" s="28"/>
      <c r="AG1203" s="96">
        <f ca="1">F_GAMMA*AG$29</f>
        <v>0.57217930198481592</v>
      </c>
      <c r="AH1203" s="111"/>
      <c r="AI1203" s="28"/>
      <c r="AJ1203" s="96">
        <f ca="1">F_GAMMA*AJ$29</f>
        <v>0.53183282018848232</v>
      </c>
      <c r="AK1203" s="111"/>
      <c r="AL1203" s="28"/>
      <c r="AM1203" s="96">
        <f ca="1">F_GAMMA*AM$29</f>
        <v>0.47566512503094399</v>
      </c>
      <c r="AN1203" s="111"/>
      <c r="AO1203" s="28"/>
      <c r="AP1203" s="96">
        <f ca="1">F_GAMMA*AP$29</f>
        <v>0.59054158265645496</v>
      </c>
      <c r="AQ1203" s="111"/>
      <c r="AR1203" s="28"/>
      <c r="AS1203" s="96">
        <f ca="1">F_GAMMA*AS$29</f>
        <v>0.3766899554102966</v>
      </c>
      <c r="AT1203" s="111"/>
      <c r="AU1203" s="28"/>
    </row>
    <row r="1204" spans="15:47" x14ac:dyDescent="0.25">
      <c r="O1204" s="2" t="s">
        <v>145</v>
      </c>
      <c r="P1204" s="12"/>
      <c r="Q1204" s="2"/>
      <c r="R1204" s="96">
        <f ca="1">IF(R1199&lt;R1203,R1201,R1202)</f>
        <v>0.66575343523110164</v>
      </c>
      <c r="S1204" s="116"/>
      <c r="T1204" s="1"/>
      <c r="U1204" s="96">
        <f ca="1">IF(U1199&lt;U1203,U1201,U1202)</f>
        <v>10.830646187537381</v>
      </c>
      <c r="V1204" s="111"/>
      <c r="W1204" s="28"/>
      <c r="X1204" s="96">
        <f ca="1">IF(X1199&lt;X1203,X1201,X1202)</f>
        <v>26.94251958896464</v>
      </c>
      <c r="Y1204" s="111"/>
      <c r="Z1204" s="28"/>
      <c r="AA1204" s="96">
        <f ca="1">IF(AA1199&lt;AA1203,AA1201,AA1202)</f>
        <v>55.112876542341077</v>
      </c>
      <c r="AB1204" s="111"/>
      <c r="AC1204" s="28"/>
      <c r="AD1204" s="96">
        <f ca="1">IF(AD1199&lt;AD1203,AD1201,AD1202)</f>
        <v>105.39328427152537</v>
      </c>
      <c r="AE1204" s="111"/>
      <c r="AF1204" s="28"/>
      <c r="AG1204" s="96">
        <f ca="1">IF(AG1199&lt;AG1203,AG1201,AG1202)</f>
        <v>210.299119355329</v>
      </c>
      <c r="AH1204" s="111"/>
      <c r="AI1204" s="28"/>
      <c r="AJ1204" s="96" t="e">
        <f ca="1">IF(AJ1199&lt;AJ1203,AJ1201,AJ1202)</f>
        <v>#NUM!</v>
      </c>
      <c r="AK1204" s="111"/>
      <c r="AL1204" s="28"/>
      <c r="AM1204" s="96" t="e">
        <f ca="1">IF(AM1199&lt;AM1203,AM1201,AM1202)</f>
        <v>#NUM!</v>
      </c>
      <c r="AN1204" s="111"/>
      <c r="AO1204" s="28"/>
      <c r="AP1204" s="96" t="e">
        <f ca="1">IF(AP1199&lt;AP1203,AP1201,AP1202)</f>
        <v>#NUM!</v>
      </c>
      <c r="AQ1204" s="111"/>
      <c r="AR1204" s="28"/>
      <c r="AS1204" s="96" t="e">
        <f ca="1">IF(AS1199&lt;AS1203,AS1201,AS1202)</f>
        <v>#NUM!</v>
      </c>
      <c r="AT1204" s="111"/>
      <c r="AU1204" s="28"/>
    </row>
    <row r="1205" spans="15:47" x14ac:dyDescent="0.25">
      <c r="O1205" s="13" t="s">
        <v>143</v>
      </c>
      <c r="P1205" s="1"/>
      <c r="Q1205" s="1"/>
      <c r="R1205" s="113"/>
      <c r="S1205" s="106">
        <f ca="1">IF(R1198&lt;=0,Q_max,ABS(R$23-R1204))</f>
        <v>4.064246564768899</v>
      </c>
      <c r="T1205" s="7">
        <f>R1194</f>
        <v>1648.5454301088096</v>
      </c>
      <c r="U1205" s="98"/>
      <c r="V1205" s="106">
        <f ca="1">IF(U1198&lt;=0,Q_max,ABS(U$23-U1204))</f>
        <v>0.76935381246261869</v>
      </c>
      <c r="W1205" s="9">
        <f ca="1">U1194</f>
        <v>26741.880772251752</v>
      </c>
      <c r="X1205" s="98"/>
      <c r="Y1205" s="106">
        <f ca="1">IF(X1198&lt;=0,Q_max,ABS(X$23-X1204))</f>
        <v>3.9425195889646396</v>
      </c>
      <c r="Z1205" s="9">
        <f ca="1">X1194</f>
        <v>65481.043040489611</v>
      </c>
      <c r="AA1205" s="98"/>
      <c r="AB1205" s="106">
        <f ca="1">IF(AA1198&lt;=0,Q_max,ABS(AA$23-AA1204))</f>
        <v>15.712876542341078</v>
      </c>
      <c r="AC1205" s="9">
        <f ca="1">AA1194</f>
        <v>127540.35810697659</v>
      </c>
      <c r="AD1205" s="98"/>
      <c r="AE1205" s="106">
        <f ca="1">IF(AD1198&lt;=0,Q_max,ABS(AD$23-AD1204))</f>
        <v>44.393284271525374</v>
      </c>
      <c r="AF1205" s="9">
        <f ca="1">AD1194</f>
        <v>213973.04583549139</v>
      </c>
      <c r="AG1205" s="98"/>
      <c r="AH1205" s="106">
        <f ca="1">IF(AG1198&lt;=0,Q_max,ABS(AG$23-AG1204))</f>
        <v>122.09911935532899</v>
      </c>
      <c r="AI1205" s="9">
        <f ca="1">AG1194</f>
        <v>312299.48819711135</v>
      </c>
      <c r="AJ1205" s="98"/>
      <c r="AK1205" s="106">
        <f ca="1">IF(AJ1198&lt;=0,Q_max,ABS(AJ$23-AJ1204))</f>
        <v>236393</v>
      </c>
      <c r="AL1205" s="9">
        <f ca="1">AJ1194</f>
        <v>416764.87764900801</v>
      </c>
      <c r="AM1205" s="98"/>
      <c r="AN1205" s="106">
        <f ca="1">IF(AM1198&lt;=0,Q_max,ABS(AM$23-AM1204))</f>
        <v>236393</v>
      </c>
      <c r="AO1205" s="9">
        <f ca="1">AM1194</f>
        <v>508532.35270745266</v>
      </c>
      <c r="AP1205" s="98"/>
      <c r="AQ1205" s="106">
        <f ca="1">IF(AP1198&lt;=0,Q_max,ABS(AP$23-AP1204))</f>
        <v>236393</v>
      </c>
      <c r="AR1205" s="9">
        <f ca="1">AP1194</f>
        <v>590390.27429461898</v>
      </c>
      <c r="AS1205" s="98"/>
      <c r="AT1205" s="106">
        <f ca="1">IF(AS1198&lt;=0,Q_max,ABS(AS$23-AS1204))</f>
        <v>236393</v>
      </c>
      <c r="AU1205" s="9">
        <f ca="1">AS1194</f>
        <v>692279.02780851512</v>
      </c>
    </row>
    <row r="1206" spans="15:47" x14ac:dyDescent="0.25">
      <c r="O1206" s="21"/>
      <c r="P1206" s="14"/>
      <c r="Q1206" s="21"/>
      <c r="R1206" s="97"/>
      <c r="S1206" s="106"/>
      <c r="T1206" s="28"/>
      <c r="U1206" s="97"/>
      <c r="V1206" s="111"/>
      <c r="W1206" s="28"/>
      <c r="X1206" s="97"/>
      <c r="Y1206" s="111"/>
      <c r="Z1206" s="28"/>
      <c r="AA1206" s="97"/>
      <c r="AB1206" s="111"/>
      <c r="AC1206" s="28"/>
      <c r="AD1206" s="97"/>
      <c r="AE1206" s="111"/>
      <c r="AF1206" s="28"/>
      <c r="AG1206" s="97"/>
      <c r="AH1206" s="111"/>
      <c r="AI1206" s="28"/>
      <c r="AJ1206" s="97"/>
      <c r="AK1206" s="111"/>
      <c r="AL1206" s="28"/>
      <c r="AM1206" s="97"/>
      <c r="AN1206" s="111"/>
      <c r="AO1206" s="28"/>
      <c r="AP1206" s="97"/>
      <c r="AQ1206" s="111"/>
      <c r="AR1206" s="28"/>
      <c r="AS1206" s="97"/>
      <c r="AT1206" s="111"/>
      <c r="AU1206" s="28"/>
    </row>
    <row r="1207" spans="15:47" x14ac:dyDescent="0.25">
      <c r="O1207" s="1"/>
      <c r="P1207" s="1"/>
      <c r="Q1207" s="1"/>
      <c r="R1207" s="98"/>
      <c r="S1207" s="108" t="s">
        <v>137</v>
      </c>
      <c r="T1207" s="26" t="s">
        <v>146</v>
      </c>
      <c r="U1207" s="98"/>
      <c r="V1207" s="108" t="s">
        <v>137</v>
      </c>
      <c r="W1207" s="26" t="s">
        <v>146</v>
      </c>
      <c r="X1207" s="98"/>
      <c r="Y1207" s="108" t="s">
        <v>137</v>
      </c>
      <c r="Z1207" s="26" t="s">
        <v>146</v>
      </c>
      <c r="AA1207" s="98"/>
      <c r="AB1207" s="108" t="s">
        <v>137</v>
      </c>
      <c r="AC1207" s="26" t="s">
        <v>146</v>
      </c>
      <c r="AD1207" s="98"/>
      <c r="AE1207" s="108" t="s">
        <v>137</v>
      </c>
      <c r="AF1207" s="26" t="s">
        <v>146</v>
      </c>
      <c r="AG1207" s="98"/>
      <c r="AH1207" s="108" t="s">
        <v>137</v>
      </c>
      <c r="AI1207" s="26" t="s">
        <v>146</v>
      </c>
      <c r="AJ1207" s="98"/>
      <c r="AK1207" s="108" t="s">
        <v>137</v>
      </c>
      <c r="AL1207" s="26" t="s">
        <v>146</v>
      </c>
      <c r="AM1207" s="98"/>
      <c r="AN1207" s="108" t="s">
        <v>137</v>
      </c>
      <c r="AO1207" s="26" t="s">
        <v>146</v>
      </c>
      <c r="AP1207" s="98"/>
      <c r="AQ1207" s="108" t="s">
        <v>137</v>
      </c>
      <c r="AR1207" s="26" t="s">
        <v>146</v>
      </c>
      <c r="AS1207" s="98"/>
      <c r="AT1207" s="108" t="s">
        <v>137</v>
      </c>
      <c r="AU1207" s="26" t="s">
        <v>146</v>
      </c>
    </row>
    <row r="1208" spans="15:47" ht="13.8" x14ac:dyDescent="0.25">
      <c r="O1208" s="20" t="s">
        <v>136</v>
      </c>
      <c r="P1208" s="1"/>
      <c r="Q1208" s="1"/>
      <c r="R1208" s="96">
        <f>R1194*1.02</f>
        <v>1681.5163387109858</v>
      </c>
      <c r="S1208" s="109" t="s">
        <v>144</v>
      </c>
      <c r="T1208" s="23" t="s">
        <v>147</v>
      </c>
      <c r="U1208" s="96">
        <f ca="1">U1194*1.01</f>
        <v>27009.299579974271</v>
      </c>
      <c r="V1208" s="109" t="s">
        <v>144</v>
      </c>
      <c r="W1208" s="23" t="s">
        <v>147</v>
      </c>
      <c r="X1208" s="96">
        <f ca="1">X1194*1.01</f>
        <v>66135.853470894508</v>
      </c>
      <c r="Y1208" s="109" t="s">
        <v>144</v>
      </c>
      <c r="Z1208" s="23" t="s">
        <v>147</v>
      </c>
      <c r="AA1208" s="96">
        <f ca="1">AA1194*1.01</f>
        <v>128815.76168804636</v>
      </c>
      <c r="AB1208" s="109" t="s">
        <v>144</v>
      </c>
      <c r="AC1208" s="23" t="s">
        <v>147</v>
      </c>
      <c r="AD1208" s="96">
        <f ca="1">AD1194*1.01</f>
        <v>216112.77629384631</v>
      </c>
      <c r="AE1208" s="109" t="s">
        <v>144</v>
      </c>
      <c r="AF1208" s="23" t="s">
        <v>147</v>
      </c>
      <c r="AG1208" s="96">
        <f ca="1">AG1194*1.01</f>
        <v>315422.48307908245</v>
      </c>
      <c r="AH1208" s="109" t="s">
        <v>144</v>
      </c>
      <c r="AI1208" s="23" t="s">
        <v>147</v>
      </c>
      <c r="AJ1208" s="96">
        <f ca="1">AJ1194*1.01</f>
        <v>420932.52642549807</v>
      </c>
      <c r="AK1208" s="109" t="s">
        <v>144</v>
      </c>
      <c r="AL1208" s="23" t="s">
        <v>147</v>
      </c>
      <c r="AM1208" s="96">
        <f ca="1">AM1194*1.01</f>
        <v>513617.6762345272</v>
      </c>
      <c r="AN1208" s="109" t="s">
        <v>144</v>
      </c>
      <c r="AO1208" s="23" t="s">
        <v>147</v>
      </c>
      <c r="AP1208" s="96">
        <f ca="1">AP1194*1.01</f>
        <v>596294.17703756515</v>
      </c>
      <c r="AQ1208" s="109" t="s">
        <v>144</v>
      </c>
      <c r="AR1208" s="23" t="s">
        <v>147</v>
      </c>
      <c r="AS1208" s="96">
        <f ca="1">AS1194*1.01</f>
        <v>699201.81808660028</v>
      </c>
      <c r="AT1208" s="109" t="s">
        <v>144</v>
      </c>
      <c r="AU1208" s="23" t="s">
        <v>147</v>
      </c>
    </row>
    <row r="1209" spans="15:47" x14ac:dyDescent="0.25">
      <c r="O1209" s="1"/>
      <c r="P1209" s="1"/>
      <c r="Q1209" s="1"/>
      <c r="R1209" s="98"/>
      <c r="S1209" s="107"/>
      <c r="T1209" s="1"/>
      <c r="U1209" s="47"/>
      <c r="V1209" s="107"/>
      <c r="W1209" s="1"/>
      <c r="X1209" s="47"/>
      <c r="Y1209" s="107"/>
      <c r="Z1209" s="1"/>
      <c r="AA1209" s="47"/>
      <c r="AB1209" s="107"/>
      <c r="AC1209" s="1"/>
      <c r="AD1209" s="47"/>
      <c r="AE1209" s="107"/>
      <c r="AF1209" s="1"/>
      <c r="AG1209" s="47"/>
      <c r="AH1209" s="107"/>
      <c r="AI1209" s="1"/>
      <c r="AJ1209" s="47"/>
      <c r="AK1209" s="107"/>
      <c r="AL1209" s="1"/>
      <c r="AM1209" s="47"/>
      <c r="AN1209" s="107"/>
      <c r="AO1209" s="1"/>
      <c r="AP1209" s="47"/>
      <c r="AQ1209" s="107"/>
      <c r="AR1209" s="1"/>
      <c r="AS1209" s="47"/>
      <c r="AT1209" s="107"/>
      <c r="AU1209" s="1"/>
    </row>
    <row r="1210" spans="15:47" x14ac:dyDescent="0.25">
      <c r="O1210" s="8" t="s">
        <v>132</v>
      </c>
      <c r="P1210" s="8"/>
      <c r="Q1210" s="8"/>
      <c r="R1210" s="96">
        <f>P_1_minQ-(R1208^2*R_up)+dpup_minQ</f>
        <v>90.184525188039942</v>
      </c>
      <c r="S1210" s="106"/>
      <c r="T1210" s="22"/>
      <c r="U1210" s="96">
        <f ca="1">P_1_minQ-(U1208^2*R_up)+dpup_minQ</f>
        <v>90.052080782931952</v>
      </c>
      <c r="V1210" s="107"/>
      <c r="W1210" s="1"/>
      <c r="X1210" s="96">
        <f ca="1">P_1_minQ-(X1208^2*R_up)+dpup_minQ</f>
        <v>89.387840214609895</v>
      </c>
      <c r="Y1210" s="107"/>
      <c r="Z1210" s="1"/>
      <c r="AA1210" s="96">
        <f ca="1">P_1_minQ-(AA1208^2*R_up)+dpup_minQ</f>
        <v>87.160694016533014</v>
      </c>
      <c r="AB1210" s="107"/>
      <c r="AC1210" s="1"/>
      <c r="AD1210" s="96">
        <f ca="1">P_1_minQ-(AD1208^2*R_up)+dpup_minQ</f>
        <v>81.672593504419638</v>
      </c>
      <c r="AE1210" s="107"/>
      <c r="AF1210" s="1"/>
      <c r="AG1210" s="96">
        <f ca="1">P_1_minQ-(AG1208^2*R_up)+dpup_minQ</f>
        <v>72.051657729116357</v>
      </c>
      <c r="AH1210" s="107"/>
      <c r="AI1210" s="1"/>
      <c r="AJ1210" s="96">
        <f ca="1">P_1_minQ-(AJ1208^2*R_up)+dpup_minQ</f>
        <v>57.891288281820678</v>
      </c>
      <c r="AK1210" s="107"/>
      <c r="AL1210" s="1"/>
      <c r="AM1210" s="96">
        <f ca="1">P_1_minQ-(AM1208^2*R_up)+dpup_minQ</f>
        <v>42.104043986077784</v>
      </c>
      <c r="AN1210" s="107"/>
      <c r="AO1210" s="1"/>
      <c r="AP1210" s="96">
        <f ca="1">P_1_minQ-(AP1208^2*R_up)+dpup_minQ</f>
        <v>25.379121490060371</v>
      </c>
      <c r="AQ1210" s="107"/>
      <c r="AR1210" s="1"/>
      <c r="AS1210" s="96">
        <f ca="1">P_1_minQ-(AS1208^2*R_up)+dpup_minQ</f>
        <v>1.0807462322981951</v>
      </c>
      <c r="AT1210" s="107"/>
      <c r="AU1210" s="1"/>
    </row>
    <row r="1211" spans="15:47" x14ac:dyDescent="0.25">
      <c r="O1211" s="8" t="s">
        <v>134</v>
      </c>
      <c r="P1211" s="1"/>
      <c r="Q1211" s="8"/>
      <c r="R1211" s="97">
        <f>P_2_minQ+(R1208^2*R_dn)-dpdn_minQ</f>
        <v>60</v>
      </c>
      <c r="S1211" s="106"/>
      <c r="T1211" s="22"/>
      <c r="U1211" s="97">
        <f ca="1">P_2_minQ+(U1208^2*R_dn)-dpdn_minQ</f>
        <v>60</v>
      </c>
      <c r="V1211" s="107"/>
      <c r="W1211" s="1"/>
      <c r="X1211" s="97">
        <f ca="1">P_2_minQ+(X1208^2*R_dn)-dpdn_minQ</f>
        <v>60</v>
      </c>
      <c r="Y1211" s="107"/>
      <c r="Z1211" s="1"/>
      <c r="AA1211" s="97">
        <f ca="1">P_2_minQ+(AA1208^2*R_dn)-dpdn_minQ</f>
        <v>60</v>
      </c>
      <c r="AB1211" s="107"/>
      <c r="AC1211" s="1"/>
      <c r="AD1211" s="97">
        <f ca="1">P_2_minQ+(AD1208^2*R_dn)-dpdn_minQ</f>
        <v>60</v>
      </c>
      <c r="AE1211" s="107"/>
      <c r="AF1211" s="1"/>
      <c r="AG1211" s="97">
        <f ca="1">P_2_minQ+(AG1208^2*R_dn)-dpdn_minQ</f>
        <v>60</v>
      </c>
      <c r="AH1211" s="107"/>
      <c r="AI1211" s="1"/>
      <c r="AJ1211" s="97">
        <f ca="1">P_2_minQ+(AJ1208^2*R_dn)-dpdn_minQ</f>
        <v>60</v>
      </c>
      <c r="AK1211" s="107"/>
      <c r="AL1211" s="1"/>
      <c r="AM1211" s="97">
        <f ca="1">P_2_minQ+(AM1208^2*R_dn)-dpdn_minQ</f>
        <v>60</v>
      </c>
      <c r="AN1211" s="107"/>
      <c r="AO1211" s="1"/>
      <c r="AP1211" s="97">
        <f ca="1">P_2_minQ+(AP1208^2*R_dn)-dpdn_minQ</f>
        <v>60</v>
      </c>
      <c r="AQ1211" s="107"/>
      <c r="AR1211" s="1"/>
      <c r="AS1211" s="97">
        <f ca="1">P_2_minQ+(AS1208^2*R_dn)-dpdn_minQ</f>
        <v>60</v>
      </c>
      <c r="AT1211" s="107"/>
      <c r="AU1211" s="1"/>
    </row>
    <row r="1212" spans="15:47" x14ac:dyDescent="0.25">
      <c r="O1212" s="8" t="s">
        <v>138</v>
      </c>
      <c r="P1212" s="1"/>
      <c r="Q1212" s="8"/>
      <c r="R1212" s="97">
        <f>R1210-R1211</f>
        <v>30.184525188039942</v>
      </c>
      <c r="S1212" s="106"/>
      <c r="T1212" s="22"/>
      <c r="U1212" s="97">
        <f ca="1">U1210-U1211</f>
        <v>30.052080782931952</v>
      </c>
      <c r="V1212" s="110"/>
      <c r="W1212" s="25"/>
      <c r="X1212" s="97">
        <f ca="1">X1210-X1211</f>
        <v>29.387840214609895</v>
      </c>
      <c r="Y1212" s="110"/>
      <c r="Z1212" s="25"/>
      <c r="AA1212" s="97">
        <f ca="1">AA1210-AA1211</f>
        <v>27.160694016533014</v>
      </c>
      <c r="AB1212" s="110"/>
      <c r="AC1212" s="25"/>
      <c r="AD1212" s="97">
        <f ca="1">AD1210-AD1211</f>
        <v>21.672593504419638</v>
      </c>
      <c r="AE1212" s="110"/>
      <c r="AF1212" s="25"/>
      <c r="AG1212" s="97">
        <f ca="1">AG1210-AG1211</f>
        <v>12.051657729116357</v>
      </c>
      <c r="AH1212" s="110"/>
      <c r="AI1212" s="25"/>
      <c r="AJ1212" s="97">
        <f ca="1">AJ1210-AJ1211</f>
        <v>-2.1087117181793218</v>
      </c>
      <c r="AK1212" s="110"/>
      <c r="AL1212" s="25"/>
      <c r="AM1212" s="97">
        <f ca="1">AM1210-AM1211</f>
        <v>-17.895956013922216</v>
      </c>
      <c r="AN1212" s="110"/>
      <c r="AO1212" s="25"/>
      <c r="AP1212" s="97">
        <f ca="1">AP1210-AP1211</f>
        <v>-34.620878509939629</v>
      </c>
      <c r="AQ1212" s="110"/>
      <c r="AR1212" s="25"/>
      <c r="AS1212" s="97">
        <f ca="1">AS1210-AS1211</f>
        <v>-58.919253767701804</v>
      </c>
      <c r="AT1212" s="110"/>
      <c r="AU1212" s="25"/>
    </row>
    <row r="1213" spans="15:47" ht="14.4" x14ac:dyDescent="0.3">
      <c r="O1213" s="2" t="s">
        <v>140</v>
      </c>
      <c r="P1213" s="11"/>
      <c r="Q1213" s="2"/>
      <c r="R1213" s="96">
        <f>R1212/R1210</f>
        <v>0.3346973898803976</v>
      </c>
      <c r="S1213" s="106"/>
      <c r="T1213" s="22"/>
      <c r="U1213" s="96">
        <f ca="1">U1212/U1210</f>
        <v>0.33371889379626507</v>
      </c>
      <c r="V1213" s="111"/>
      <c r="W1213" s="28"/>
      <c r="X1213" s="96">
        <f ca="1">X1212/X1210</f>
        <v>0.32876776241660027</v>
      </c>
      <c r="Y1213" s="111"/>
      <c r="Z1213" s="28"/>
      <c r="AA1213" s="96">
        <f ca="1">AA1212/AA1210</f>
        <v>0.31161631195113082</v>
      </c>
      <c r="AB1213" s="111"/>
      <c r="AC1213" s="28"/>
      <c r="AD1213" s="96">
        <f ca="1">AD1212/AD1210</f>
        <v>0.2653594379030812</v>
      </c>
      <c r="AE1213" s="111"/>
      <c r="AF1213" s="28"/>
      <c r="AG1213" s="96">
        <f ca="1">AG1212/AG1210</f>
        <v>0.16726412839001531</v>
      </c>
      <c r="AH1213" s="111"/>
      <c r="AI1213" s="28"/>
      <c r="AJ1213" s="96">
        <f ca="1">AJ1212/AJ1210</f>
        <v>-3.6425372120134879E-2</v>
      </c>
      <c r="AK1213" s="111"/>
      <c r="AL1213" s="28"/>
      <c r="AM1213" s="96">
        <f ca="1">AM1212/AM1210</f>
        <v>-0.42504126254095054</v>
      </c>
      <c r="AN1213" s="111"/>
      <c r="AO1213" s="28"/>
      <c r="AP1213" s="96">
        <f ca="1">AP1212/AP1210</f>
        <v>-1.3641480270898563</v>
      </c>
      <c r="AQ1213" s="111"/>
      <c r="AR1213" s="28"/>
      <c r="AS1213" s="96">
        <f ca="1">AS1212/AS1210</f>
        <v>-54.517195625480603</v>
      </c>
      <c r="AT1213" s="111"/>
      <c r="AU1213" s="28"/>
    </row>
    <row r="1214" spans="15:47" x14ac:dyDescent="0.25">
      <c r="O1214" s="2" t="s">
        <v>21</v>
      </c>
      <c r="P1214" s="8">
        <v>12</v>
      </c>
      <c r="Q1214" s="2"/>
      <c r="R1214" s="96">
        <f ca="1">1-R1213/(3*F_GAMMA*R$29)</f>
        <v>0.82568653132785941</v>
      </c>
      <c r="S1214" s="106"/>
      <c r="T1214" s="22"/>
      <c r="U1214" s="96">
        <f ca="1">1-U1213/(3*F_GAMMA*U$29)</f>
        <v>0.8262365183080056</v>
      </c>
      <c r="V1214" s="111"/>
      <c r="W1214" s="28"/>
      <c r="X1214" s="96">
        <f ca="1">1-X1213/(3*F_GAMMA*X$29)</f>
        <v>0.82718410388509633</v>
      </c>
      <c r="Y1214" s="111"/>
      <c r="Z1214" s="28"/>
      <c r="AA1214" s="96">
        <f ca="1">1-AA1213/(3*F_GAMMA*AA$29)</f>
        <v>0.83389077587738525</v>
      </c>
      <c r="AB1214" s="111"/>
      <c r="AC1214" s="28"/>
      <c r="AD1214" s="96">
        <f ca="1">1-AD1213/(3*F_GAMMA*AD$29)</f>
        <v>0.85416131363986203</v>
      </c>
      <c r="AE1214" s="111"/>
      <c r="AF1214" s="28"/>
      <c r="AG1214" s="96">
        <f ca="1">1-AG1213/(3*F_GAMMA*AG$29)</f>
        <v>0.90255727659156393</v>
      </c>
      <c r="AH1214" s="111"/>
      <c r="AI1214" s="28"/>
      <c r="AJ1214" s="96">
        <f ca="1">1-AJ1213/(3*F_GAMMA*AJ$29)</f>
        <v>1.0228300891667583</v>
      </c>
      <c r="AK1214" s="111"/>
      <c r="AL1214" s="28"/>
      <c r="AM1214" s="96">
        <f ca="1">1-AM1213/(3*F_GAMMA*AM$29)</f>
        <v>1.2978574913133827</v>
      </c>
      <c r="AN1214" s="111"/>
      <c r="AO1214" s="28"/>
      <c r="AP1214" s="96">
        <f ca="1">1-AP1213/(3*F_GAMMA*AP$29)</f>
        <v>1.7699982903566016</v>
      </c>
      <c r="AQ1214" s="111"/>
      <c r="AR1214" s="28"/>
      <c r="AS1214" s="96">
        <f ca="1">1-AS1213/(3*F_GAMMA*AS$29)</f>
        <v>49.242323111677358</v>
      </c>
      <c r="AT1214" s="111"/>
      <c r="AU1214" s="28"/>
    </row>
    <row r="1215" spans="15:47" x14ac:dyDescent="0.25">
      <c r="O1215" s="2" t="s">
        <v>57</v>
      </c>
      <c r="P1215" s="143">
        <v>7</v>
      </c>
      <c r="Q1215" s="2"/>
      <c r="R1215" s="96">
        <f ca="1">(R1208/(N_9*R$27*R1210*R1214))*SQRT(M*'Valve Sizing'!$W$6*'Valve Sizing'!$G$8/R1213)</f>
        <v>0.67906874114382754</v>
      </c>
      <c r="S1215" s="107"/>
      <c r="T1215" s="22"/>
      <c r="U1215" s="96">
        <f ca="1">(U1208/(N_9*U$27*U1210*U1214))*SQRT(M*'Valve Sizing'!$W$6*'Valve Sizing'!$G$8/U1213)</f>
        <v>10.939454945885283</v>
      </c>
      <c r="V1215" s="111"/>
      <c r="W1215" s="28"/>
      <c r="X1215" s="96">
        <f ca="1">(X1208/(N_9*X$27*X1210*X1214))*SQRT(M*'Valve Sizing'!$W$6*'Valve Sizing'!$G$8/X1213)</f>
        <v>27.219567718421558</v>
      </c>
      <c r="Y1215" s="111"/>
      <c r="Z1215" s="28"/>
      <c r="AA1215" s="96">
        <f ca="1">(AA1208/(N_9*AA$27*AA1210*AA1214))*SQRT(M*'Valve Sizing'!$W$6*'Valve Sizing'!$G$8/AA1213)</f>
        <v>55.727323086372643</v>
      </c>
      <c r="AB1215" s="111"/>
      <c r="AC1215" s="28"/>
      <c r="AD1215" s="96">
        <f ca="1">(AD1208/(N_9*AD$27*AD1210*AD1214))*SQRT(M*'Valve Sizing'!$W$6*'Valve Sizing'!$G$8/AD1213)</f>
        <v>106.86437618562772</v>
      </c>
      <c r="AE1215" s="111"/>
      <c r="AF1215" s="28"/>
      <c r="AG1215" s="96">
        <f ca="1">(AG1208/(N_9*AG$27*AG1210*AG1214))*SQRT(M*'Valve Sizing'!$W$6*'Valve Sizing'!$G$8/AG1213)</f>
        <v>215.48836740005842</v>
      </c>
      <c r="AH1215" s="111"/>
      <c r="AI1215" s="28"/>
      <c r="AJ1215" s="96" t="e">
        <f ca="1">(AJ1208/(N_9*AJ$27*AJ1210*AJ1214))*SQRT(M*'Valve Sizing'!$W$6*'Valve Sizing'!$G$8/AJ1213)</f>
        <v>#NUM!</v>
      </c>
      <c r="AK1215" s="111"/>
      <c r="AL1215" s="28"/>
      <c r="AM1215" s="96" t="e">
        <f ca="1">(AM1208/(N_9*AM$27*AM1210*AM1214))*SQRT(M*'Valve Sizing'!$W$6*'Valve Sizing'!$G$8/AM1213)</f>
        <v>#NUM!</v>
      </c>
      <c r="AN1215" s="111"/>
      <c r="AO1215" s="28"/>
      <c r="AP1215" s="96" t="e">
        <f ca="1">(AP1208/(N_9*AP$27*AP1210*AP1214))*SQRT(M*'Valve Sizing'!$W$6*'Valve Sizing'!$G$8/AP1213)</f>
        <v>#NUM!</v>
      </c>
      <c r="AQ1215" s="111"/>
      <c r="AR1215" s="28"/>
      <c r="AS1215" s="96" t="e">
        <f ca="1">(AS1208/(N_9*AS$27*AS1210*AS1214))*SQRT(M*'Valve Sizing'!$W$6*'Valve Sizing'!$G$8/AS1213)</f>
        <v>#NUM!</v>
      </c>
      <c r="AT1215" s="111"/>
      <c r="AU1215" s="28"/>
    </row>
    <row r="1216" spans="15:47" x14ac:dyDescent="0.25">
      <c r="O1216" s="2" t="s">
        <v>59</v>
      </c>
      <c r="P1216" s="143">
        <v>7</v>
      </c>
      <c r="Q1216" s="2"/>
      <c r="R1216" s="96">
        <f ca="1">(R1208/(N_9*R$27*R1210*0.667))*SQRT(M*'Valve Sizing'!$W$6*'Valve Sizing'!$G$8/R1217)</f>
        <v>0.6078958882446226</v>
      </c>
      <c r="S1216" s="107"/>
      <c r="T1216" s="22"/>
      <c r="U1216" s="96">
        <f ca="1">(U1208/(N_9*U$27*U1210*0.667))*SQRT(M*'Valve Sizing'!$W$6*'Valve Sizing'!$G$8/U1217)</f>
        <v>9.7839476110038639</v>
      </c>
      <c r="V1216" s="111"/>
      <c r="W1216" s="28"/>
      <c r="X1216" s="96">
        <f ca="1">(X1208/(N_9*X$27*X1210*0.667))*SQRT(M*'Valve Sizing'!$W$6*'Valve Sizing'!$G$8/X1217)</f>
        <v>24.305806770903093</v>
      </c>
      <c r="Y1216" s="111"/>
      <c r="Z1216" s="28"/>
      <c r="AA1216" s="96">
        <f ca="1">(AA1208/(N_9*AA$27*AA1210*0.667))*SQRT(M*'Valve Sizing'!$W$6*'Valve Sizing'!$G$8/AA1217)</f>
        <v>49.182320999981442</v>
      </c>
      <c r="AB1216" s="111"/>
      <c r="AC1216" s="28"/>
      <c r="AD1216" s="96">
        <f ca="1">(AD1208/(N_9*AD$27*AD1210*0.667))*SQRT(M*'Valve Sizing'!$W$6*'Valve Sizing'!$G$8/AD1217)</f>
        <v>90.519890075326913</v>
      </c>
      <c r="AE1216" s="111"/>
      <c r="AF1216" s="28"/>
      <c r="AG1216" s="96">
        <f ca="1">(AG1208/(N_9*AG$27*AG1210*0.667))*SQRT(M*'Valve Sizing'!$W$6*'Valve Sizing'!$G$8/AG1217)</f>
        <v>157.65512853001209</v>
      </c>
      <c r="AH1216" s="111"/>
      <c r="AI1216" s="28"/>
      <c r="AJ1216" s="96">
        <f ca="1">(AJ1208/(N_9*AJ$27*AJ1210*0.667))*SQRT(M*'Valve Sizing'!$W$6*'Valve Sizing'!$G$8/AJ1217)</f>
        <v>281.42342824856945</v>
      </c>
      <c r="AK1216" s="111"/>
      <c r="AL1216" s="28"/>
      <c r="AM1216" s="96">
        <f ca="1">(AM1208/(N_9*AM$27*AM1210*0.667))*SQRT(M*'Valve Sizing'!$W$6*'Valve Sizing'!$G$8/AM1217)</f>
        <v>529.70336617751593</v>
      </c>
      <c r="AN1216" s="111"/>
      <c r="AO1216" s="28"/>
      <c r="AP1216" s="96">
        <f ca="1">(AP1208/(N_9*AP$27*AP1210*0.667))*SQRT(M*'Valve Sizing'!$W$6*'Valve Sizing'!$G$8/AP1217)</f>
        <v>1042.1793052239325</v>
      </c>
      <c r="AQ1216" s="111"/>
      <c r="AR1216" s="28"/>
      <c r="AS1216" s="96">
        <f ca="1">(AS1208/(N_9*AS$27*AS1210*0.667))*SQRT(M*'Valve Sizing'!$W$6*'Valve Sizing'!$G$8/AS1217)</f>
        <v>48125.751233162795</v>
      </c>
      <c r="AT1216" s="111"/>
      <c r="AU1216" s="28"/>
    </row>
    <row r="1217" spans="15:47" ht="15.6" x14ac:dyDescent="0.35">
      <c r="O1217" s="2" t="s">
        <v>68</v>
      </c>
      <c r="P1217" s="143">
        <v>10</v>
      </c>
      <c r="Q1217" s="2"/>
      <c r="R1217" s="96">
        <f ca="1">F_GAMMA*R$29</f>
        <v>0.64002969751372984</v>
      </c>
      <c r="S1217" s="107"/>
      <c r="T1217" s="1"/>
      <c r="U1217" s="96">
        <f ca="1">F_GAMMA*U$29</f>
        <v>0.64017842058782071</v>
      </c>
      <c r="V1217" s="111"/>
      <c r="W1217" s="28"/>
      <c r="X1217" s="96">
        <f ca="1">F_GAMMA*X$29</f>
        <v>0.63413873724904268</v>
      </c>
      <c r="Y1217" s="111"/>
      <c r="Z1217" s="28"/>
      <c r="AA1217" s="96">
        <f ca="1">F_GAMMA*AA$29</f>
        <v>0.62532411750377137</v>
      </c>
      <c r="AB1217" s="111"/>
      <c r="AC1217" s="28"/>
      <c r="AD1217" s="96">
        <f ca="1">F_GAMMA*AD$29</f>
        <v>0.60651359509139569</v>
      </c>
      <c r="AE1217" s="111"/>
      <c r="AF1217" s="28"/>
      <c r="AG1217" s="96">
        <f ca="1">F_GAMMA*AG$29</f>
        <v>0.57217930198481592</v>
      </c>
      <c r="AH1217" s="111"/>
      <c r="AI1217" s="28"/>
      <c r="AJ1217" s="96">
        <f ca="1">F_GAMMA*AJ$29</f>
        <v>0.53183282018848232</v>
      </c>
      <c r="AK1217" s="111"/>
      <c r="AL1217" s="28"/>
      <c r="AM1217" s="96">
        <f ca="1">F_GAMMA*AM$29</f>
        <v>0.47566512503094399</v>
      </c>
      <c r="AN1217" s="111"/>
      <c r="AO1217" s="28"/>
      <c r="AP1217" s="96">
        <f ca="1">F_GAMMA*AP$29</f>
        <v>0.59054158265645496</v>
      </c>
      <c r="AQ1217" s="111"/>
      <c r="AR1217" s="28"/>
      <c r="AS1217" s="96">
        <f ca="1">F_GAMMA*AS$29</f>
        <v>0.3766899554102966</v>
      </c>
      <c r="AT1217" s="111"/>
      <c r="AU1217" s="28"/>
    </row>
    <row r="1218" spans="15:47" x14ac:dyDescent="0.25">
      <c r="O1218" s="2" t="s">
        <v>145</v>
      </c>
      <c r="P1218" s="12"/>
      <c r="Q1218" s="2"/>
      <c r="R1218" s="96">
        <f ca="1">IF(R1213&lt;R1217,R1215,R1216)</f>
        <v>0.67906874114382754</v>
      </c>
      <c r="S1218" s="116"/>
      <c r="T1218" s="1"/>
      <c r="U1218" s="96">
        <f ca="1">IF(U1213&lt;U1217,U1215,U1216)</f>
        <v>10.939454945885283</v>
      </c>
      <c r="V1218" s="111"/>
      <c r="W1218" s="28"/>
      <c r="X1218" s="96">
        <f ca="1">IF(X1213&lt;X1217,X1215,X1216)</f>
        <v>27.219567718421558</v>
      </c>
      <c r="Y1218" s="111"/>
      <c r="Z1218" s="28"/>
      <c r="AA1218" s="96">
        <f ca="1">IF(AA1213&lt;AA1217,AA1215,AA1216)</f>
        <v>55.727323086372643</v>
      </c>
      <c r="AB1218" s="111"/>
      <c r="AC1218" s="28"/>
      <c r="AD1218" s="96">
        <f ca="1">IF(AD1213&lt;AD1217,AD1215,AD1216)</f>
        <v>106.86437618562772</v>
      </c>
      <c r="AE1218" s="111"/>
      <c r="AF1218" s="28"/>
      <c r="AG1218" s="96">
        <f ca="1">IF(AG1213&lt;AG1217,AG1215,AG1216)</f>
        <v>215.48836740005842</v>
      </c>
      <c r="AH1218" s="111"/>
      <c r="AI1218" s="28"/>
      <c r="AJ1218" s="96" t="e">
        <f ca="1">IF(AJ1213&lt;AJ1217,AJ1215,AJ1216)</f>
        <v>#NUM!</v>
      </c>
      <c r="AK1218" s="111"/>
      <c r="AL1218" s="28"/>
      <c r="AM1218" s="96" t="e">
        <f ca="1">IF(AM1213&lt;AM1217,AM1215,AM1216)</f>
        <v>#NUM!</v>
      </c>
      <c r="AN1218" s="111"/>
      <c r="AO1218" s="28"/>
      <c r="AP1218" s="96" t="e">
        <f ca="1">IF(AP1213&lt;AP1217,AP1215,AP1216)</f>
        <v>#NUM!</v>
      </c>
      <c r="AQ1218" s="111"/>
      <c r="AR1218" s="28"/>
      <c r="AS1218" s="96" t="e">
        <f ca="1">IF(AS1213&lt;AS1217,AS1215,AS1216)</f>
        <v>#NUM!</v>
      </c>
      <c r="AT1218" s="111"/>
      <c r="AU1218" s="28"/>
    </row>
    <row r="1219" spans="15:47" x14ac:dyDescent="0.25">
      <c r="O1219" s="13" t="s">
        <v>143</v>
      </c>
      <c r="P1219" s="1"/>
      <c r="Q1219" s="1"/>
      <c r="R1219" s="113"/>
      <c r="S1219" s="106">
        <f ca="1">IF(R1212&lt;=0,Q_max,ABS(R$23-R1218))</f>
        <v>4.0509312588561732</v>
      </c>
      <c r="T1219" s="7">
        <f>R1208</f>
        <v>1681.5163387109858</v>
      </c>
      <c r="U1219" s="98"/>
      <c r="V1219" s="106">
        <f ca="1">IF(U1212&lt;=0,Q_max,ABS(U$23-U1218))</f>
        <v>0.66054505411471709</v>
      </c>
      <c r="W1219" s="9">
        <f ca="1">U1208</f>
        <v>27009.299579974271</v>
      </c>
      <c r="X1219" s="98"/>
      <c r="Y1219" s="106">
        <f ca="1">IF(X1212&lt;=0,Q_max,ABS(X$23-X1218))</f>
        <v>4.2195677184215583</v>
      </c>
      <c r="Z1219" s="9">
        <f ca="1">X1208</f>
        <v>66135.853470894508</v>
      </c>
      <c r="AA1219" s="98"/>
      <c r="AB1219" s="106">
        <f ca="1">IF(AA1212&lt;=0,Q_max,ABS(AA$23-AA1218))</f>
        <v>16.327323086372644</v>
      </c>
      <c r="AC1219" s="9">
        <f ca="1">AA1208</f>
        <v>128815.76168804636</v>
      </c>
      <c r="AD1219" s="98"/>
      <c r="AE1219" s="106">
        <f ca="1">IF(AD1212&lt;=0,Q_max,ABS(AD$23-AD1218))</f>
        <v>45.864376185627719</v>
      </c>
      <c r="AF1219" s="9">
        <f ca="1">AD1208</f>
        <v>216112.77629384631</v>
      </c>
      <c r="AG1219" s="98"/>
      <c r="AH1219" s="106">
        <f ca="1">IF(AG1212&lt;=0,Q_max,ABS(AG$23-AG1218))</f>
        <v>127.28836740005842</v>
      </c>
      <c r="AI1219" s="9">
        <f ca="1">AG1208</f>
        <v>315422.48307908245</v>
      </c>
      <c r="AJ1219" s="98"/>
      <c r="AK1219" s="106">
        <f ca="1">IF(AJ1212&lt;=0,Q_max,ABS(AJ$23-AJ1218))</f>
        <v>236393</v>
      </c>
      <c r="AL1219" s="9">
        <f ca="1">AJ1208</f>
        <v>420932.52642549807</v>
      </c>
      <c r="AM1219" s="98"/>
      <c r="AN1219" s="106">
        <f ca="1">IF(AM1212&lt;=0,Q_max,ABS(AM$23-AM1218))</f>
        <v>236393</v>
      </c>
      <c r="AO1219" s="9">
        <f ca="1">AM1208</f>
        <v>513617.6762345272</v>
      </c>
      <c r="AP1219" s="98"/>
      <c r="AQ1219" s="106">
        <f ca="1">IF(AP1212&lt;=0,Q_max,ABS(AP$23-AP1218))</f>
        <v>236393</v>
      </c>
      <c r="AR1219" s="9">
        <f ca="1">AP1208</f>
        <v>596294.17703756515</v>
      </c>
      <c r="AS1219" s="98"/>
      <c r="AT1219" s="106">
        <f ca="1">IF(AS1212&lt;=0,Q_max,ABS(AS$23-AS1218))</f>
        <v>236393</v>
      </c>
      <c r="AU1219" s="9">
        <f ca="1">AS1208</f>
        <v>699201.81808660028</v>
      </c>
    </row>
    <row r="1220" spans="15:47" x14ac:dyDescent="0.25">
      <c r="O1220" s="21"/>
      <c r="P1220" s="14"/>
      <c r="Q1220" s="21"/>
      <c r="R1220" s="97"/>
      <c r="S1220" s="106"/>
      <c r="T1220" s="28"/>
      <c r="U1220" s="97"/>
      <c r="V1220" s="111"/>
      <c r="W1220" s="28"/>
      <c r="X1220" s="97"/>
      <c r="Y1220" s="111"/>
      <c r="Z1220" s="28"/>
      <c r="AA1220" s="97"/>
      <c r="AB1220" s="111"/>
      <c r="AC1220" s="28"/>
      <c r="AD1220" s="97"/>
      <c r="AE1220" s="111"/>
      <c r="AF1220" s="28"/>
      <c r="AG1220" s="97"/>
      <c r="AH1220" s="111"/>
      <c r="AI1220" s="28"/>
      <c r="AJ1220" s="97"/>
      <c r="AK1220" s="111"/>
      <c r="AL1220" s="28"/>
      <c r="AM1220" s="97"/>
      <c r="AN1220" s="111"/>
      <c r="AO1220" s="28"/>
      <c r="AP1220" s="97"/>
      <c r="AQ1220" s="111"/>
      <c r="AR1220" s="28"/>
      <c r="AS1220" s="97"/>
      <c r="AT1220" s="111"/>
      <c r="AU1220" s="28"/>
    </row>
    <row r="1221" spans="15:47" x14ac:dyDescent="0.25">
      <c r="O1221" s="1"/>
      <c r="P1221" s="1"/>
      <c r="Q1221" s="1"/>
      <c r="R1221" s="98"/>
      <c r="S1221" s="108" t="s">
        <v>137</v>
      </c>
      <c r="T1221" s="26" t="s">
        <v>146</v>
      </c>
      <c r="U1221" s="98"/>
      <c r="V1221" s="108" t="s">
        <v>137</v>
      </c>
      <c r="W1221" s="26" t="s">
        <v>146</v>
      </c>
      <c r="X1221" s="98"/>
      <c r="Y1221" s="108" t="s">
        <v>137</v>
      </c>
      <c r="Z1221" s="26" t="s">
        <v>146</v>
      </c>
      <c r="AA1221" s="98"/>
      <c r="AB1221" s="108" t="s">
        <v>137</v>
      </c>
      <c r="AC1221" s="26" t="s">
        <v>146</v>
      </c>
      <c r="AD1221" s="98"/>
      <c r="AE1221" s="108" t="s">
        <v>137</v>
      </c>
      <c r="AF1221" s="26" t="s">
        <v>146</v>
      </c>
      <c r="AG1221" s="98"/>
      <c r="AH1221" s="108" t="s">
        <v>137</v>
      </c>
      <c r="AI1221" s="26" t="s">
        <v>146</v>
      </c>
      <c r="AJ1221" s="98"/>
      <c r="AK1221" s="108" t="s">
        <v>137</v>
      </c>
      <c r="AL1221" s="26" t="s">
        <v>146</v>
      </c>
      <c r="AM1221" s="98"/>
      <c r="AN1221" s="108" t="s">
        <v>137</v>
      </c>
      <c r="AO1221" s="26" t="s">
        <v>146</v>
      </c>
      <c r="AP1221" s="98"/>
      <c r="AQ1221" s="108" t="s">
        <v>137</v>
      </c>
      <c r="AR1221" s="26" t="s">
        <v>146</v>
      </c>
      <c r="AS1221" s="98"/>
      <c r="AT1221" s="108" t="s">
        <v>137</v>
      </c>
      <c r="AU1221" s="26" t="s">
        <v>146</v>
      </c>
    </row>
    <row r="1222" spans="15:47" ht="13.8" x14ac:dyDescent="0.25">
      <c r="O1222" s="20" t="s">
        <v>136</v>
      </c>
      <c r="P1222" s="1"/>
      <c r="Q1222" s="1"/>
      <c r="R1222" s="96">
        <f>R1208*1.02</f>
        <v>1715.1466654852056</v>
      </c>
      <c r="S1222" s="109" t="s">
        <v>144</v>
      </c>
      <c r="T1222" s="23" t="s">
        <v>147</v>
      </c>
      <c r="U1222" s="96">
        <f ca="1">U1208*1.01</f>
        <v>27279.392575774014</v>
      </c>
      <c r="V1222" s="109" t="s">
        <v>144</v>
      </c>
      <c r="W1222" s="23" t="s">
        <v>147</v>
      </c>
      <c r="X1222" s="96">
        <f ca="1">X1208*1.01</f>
        <v>66797.212005603447</v>
      </c>
      <c r="Y1222" s="109" t="s">
        <v>144</v>
      </c>
      <c r="Z1222" s="23" t="s">
        <v>147</v>
      </c>
      <c r="AA1222" s="96">
        <f ca="1">AA1208*1.01</f>
        <v>130103.91930492682</v>
      </c>
      <c r="AB1222" s="109" t="s">
        <v>144</v>
      </c>
      <c r="AC1222" s="23" t="s">
        <v>147</v>
      </c>
      <c r="AD1222" s="96">
        <f ca="1">AD1208*1.01</f>
        <v>218273.90405678478</v>
      </c>
      <c r="AE1222" s="109" t="s">
        <v>144</v>
      </c>
      <c r="AF1222" s="23" t="s">
        <v>147</v>
      </c>
      <c r="AG1222" s="96">
        <f ca="1">AG1208*1.01</f>
        <v>318576.70790987328</v>
      </c>
      <c r="AH1222" s="109" t="s">
        <v>144</v>
      </c>
      <c r="AI1222" s="23" t="s">
        <v>147</v>
      </c>
      <c r="AJ1222" s="96">
        <f ca="1">AJ1208*1.01</f>
        <v>425141.85168975306</v>
      </c>
      <c r="AK1222" s="109" t="s">
        <v>144</v>
      </c>
      <c r="AL1222" s="23" t="s">
        <v>147</v>
      </c>
      <c r="AM1222" s="96">
        <f ca="1">AM1208*1.01</f>
        <v>518753.85299687251</v>
      </c>
      <c r="AN1222" s="109" t="s">
        <v>144</v>
      </c>
      <c r="AO1222" s="23" t="s">
        <v>147</v>
      </c>
      <c r="AP1222" s="96">
        <f ca="1">AP1208*1.01</f>
        <v>602257.11880794086</v>
      </c>
      <c r="AQ1222" s="109" t="s">
        <v>144</v>
      </c>
      <c r="AR1222" s="23" t="s">
        <v>147</v>
      </c>
      <c r="AS1222" s="96">
        <f ca="1">AS1208*1.01</f>
        <v>706193.83626746631</v>
      </c>
      <c r="AT1222" s="109" t="s">
        <v>144</v>
      </c>
      <c r="AU1222" s="23" t="s">
        <v>147</v>
      </c>
    </row>
    <row r="1223" spans="15:47" x14ac:dyDescent="0.25">
      <c r="O1223" s="1"/>
      <c r="P1223" s="1"/>
      <c r="Q1223" s="1"/>
      <c r="R1223" s="98"/>
      <c r="S1223" s="107"/>
      <c r="T1223" s="1"/>
      <c r="U1223" s="47"/>
      <c r="V1223" s="107"/>
      <c r="W1223" s="1"/>
      <c r="X1223" s="47"/>
      <c r="Y1223" s="107"/>
      <c r="Z1223" s="1"/>
      <c r="AA1223" s="47"/>
      <c r="AB1223" s="107"/>
      <c r="AC1223" s="1"/>
      <c r="AD1223" s="47"/>
      <c r="AE1223" s="107"/>
      <c r="AF1223" s="1"/>
      <c r="AG1223" s="47"/>
      <c r="AH1223" s="107"/>
      <c r="AI1223" s="1"/>
      <c r="AJ1223" s="47"/>
      <c r="AK1223" s="107"/>
      <c r="AL1223" s="1"/>
      <c r="AM1223" s="47"/>
      <c r="AN1223" s="107"/>
      <c r="AO1223" s="1"/>
      <c r="AP1223" s="47"/>
      <c r="AQ1223" s="107"/>
      <c r="AR1223" s="1"/>
      <c r="AS1223" s="47"/>
      <c r="AT1223" s="107"/>
      <c r="AU1223" s="1"/>
    </row>
    <row r="1224" spans="15:47" x14ac:dyDescent="0.25">
      <c r="O1224" s="8" t="s">
        <v>132</v>
      </c>
      <c r="P1224" s="8"/>
      <c r="Q1224" s="8"/>
      <c r="R1224" s="96">
        <f>P_1_minQ-(R1222^2*R_up)+dpup_minQ</f>
        <v>90.184504368214434</v>
      </c>
      <c r="S1224" s="106"/>
      <c r="T1224" s="22"/>
      <c r="U1224" s="96">
        <f ca="1">P_1_minQ-(U1222^2*R_up)+dpup_minQ</f>
        <v>90.049408292010753</v>
      </c>
      <c r="V1224" s="107"/>
      <c r="W1224" s="1"/>
      <c r="X1224" s="96">
        <f ca="1">P_1_minQ-(X1222^2*R_up)+dpup_minQ</f>
        <v>89.371816488265424</v>
      </c>
      <c r="Y1224" s="107"/>
      <c r="Z1224" s="1"/>
      <c r="AA1224" s="96">
        <f ca="1">P_1_minQ-(AA1222^2*R_up)+dpup_minQ</f>
        <v>87.09990465160719</v>
      </c>
      <c r="AB1224" s="107"/>
      <c r="AC1224" s="1"/>
      <c r="AD1224" s="96">
        <f ca="1">P_1_minQ-(AD1222^2*R_up)+dpup_minQ</f>
        <v>81.501493319200335</v>
      </c>
      <c r="AE1224" s="107"/>
      <c r="AF1224" s="1"/>
      <c r="AG1224" s="96">
        <f ca="1">P_1_minQ-(AG1222^2*R_up)+dpup_minQ</f>
        <v>71.687176734813463</v>
      </c>
      <c r="AH1224" s="107"/>
      <c r="AI1224" s="1"/>
      <c r="AJ1224" s="96">
        <f ca="1">P_1_minQ-(AJ1222^2*R_up)+dpup_minQ</f>
        <v>57.242183861627133</v>
      </c>
      <c r="AK1224" s="107"/>
      <c r="AL1224" s="1"/>
      <c r="AM1224" s="96">
        <f ca="1">P_1_minQ-(AM1222^2*R_up)+dpup_minQ</f>
        <v>41.137615955539808</v>
      </c>
      <c r="AN1224" s="107"/>
      <c r="AO1224" s="1"/>
      <c r="AP1224" s="96">
        <f ca="1">P_1_minQ-(AP1222^2*R_up)+dpup_minQ</f>
        <v>24.07652251735243</v>
      </c>
      <c r="AQ1224" s="107"/>
      <c r="AR1224" s="1"/>
      <c r="AS1224" s="96">
        <f ca="1">P_1_minQ-(AS1222^2*R_up)+dpup_minQ</f>
        <v>-0.71025008309074289</v>
      </c>
      <c r="AT1224" s="107"/>
      <c r="AU1224" s="1"/>
    </row>
    <row r="1225" spans="15:47" x14ac:dyDescent="0.25">
      <c r="O1225" s="8" t="s">
        <v>134</v>
      </c>
      <c r="P1225" s="1"/>
      <c r="Q1225" s="8"/>
      <c r="R1225" s="97">
        <f>P_2_minQ+(R1222^2*R_dn)-dpdn_minQ</f>
        <v>60</v>
      </c>
      <c r="S1225" s="106"/>
      <c r="T1225" s="22"/>
      <c r="U1225" s="97">
        <f ca="1">P_2_minQ+(U1222^2*R_dn)-dpdn_minQ</f>
        <v>60</v>
      </c>
      <c r="V1225" s="107"/>
      <c r="W1225" s="1"/>
      <c r="X1225" s="97">
        <f ca="1">P_2_minQ+(X1222^2*R_dn)-dpdn_minQ</f>
        <v>60</v>
      </c>
      <c r="Y1225" s="107"/>
      <c r="Z1225" s="1"/>
      <c r="AA1225" s="97">
        <f ca="1">P_2_minQ+(AA1222^2*R_dn)-dpdn_minQ</f>
        <v>60</v>
      </c>
      <c r="AB1225" s="107"/>
      <c r="AC1225" s="1"/>
      <c r="AD1225" s="97">
        <f ca="1">P_2_minQ+(AD1222^2*R_dn)-dpdn_minQ</f>
        <v>60</v>
      </c>
      <c r="AE1225" s="107"/>
      <c r="AF1225" s="1"/>
      <c r="AG1225" s="97">
        <f ca="1">P_2_minQ+(AG1222^2*R_dn)-dpdn_minQ</f>
        <v>60</v>
      </c>
      <c r="AH1225" s="107"/>
      <c r="AI1225" s="1"/>
      <c r="AJ1225" s="97">
        <f ca="1">P_2_minQ+(AJ1222^2*R_dn)-dpdn_minQ</f>
        <v>60</v>
      </c>
      <c r="AK1225" s="107"/>
      <c r="AL1225" s="1"/>
      <c r="AM1225" s="97">
        <f ca="1">P_2_minQ+(AM1222^2*R_dn)-dpdn_minQ</f>
        <v>60</v>
      </c>
      <c r="AN1225" s="107"/>
      <c r="AO1225" s="1"/>
      <c r="AP1225" s="97">
        <f ca="1">P_2_minQ+(AP1222^2*R_dn)-dpdn_minQ</f>
        <v>60</v>
      </c>
      <c r="AQ1225" s="107"/>
      <c r="AR1225" s="1"/>
      <c r="AS1225" s="97">
        <f ca="1">P_2_minQ+(AS1222^2*R_dn)-dpdn_minQ</f>
        <v>60</v>
      </c>
      <c r="AT1225" s="107"/>
      <c r="AU1225" s="1"/>
    </row>
    <row r="1226" spans="15:47" x14ac:dyDescent="0.25">
      <c r="O1226" s="8" t="s">
        <v>138</v>
      </c>
      <c r="P1226" s="1"/>
      <c r="Q1226" s="8"/>
      <c r="R1226" s="97">
        <f>R1224-R1225</f>
        <v>30.184504368214434</v>
      </c>
      <c r="S1226" s="106"/>
      <c r="T1226" s="22"/>
      <c r="U1226" s="97">
        <f ca="1">U1224-U1225</f>
        <v>30.049408292010753</v>
      </c>
      <c r="V1226" s="110"/>
      <c r="W1226" s="25"/>
      <c r="X1226" s="97">
        <f ca="1">X1224-X1225</f>
        <v>29.371816488265424</v>
      </c>
      <c r="Y1226" s="110"/>
      <c r="Z1226" s="25"/>
      <c r="AA1226" s="97">
        <f ca="1">AA1224-AA1225</f>
        <v>27.09990465160719</v>
      </c>
      <c r="AB1226" s="110"/>
      <c r="AC1226" s="25"/>
      <c r="AD1226" s="97">
        <f ca="1">AD1224-AD1225</f>
        <v>21.501493319200335</v>
      </c>
      <c r="AE1226" s="110"/>
      <c r="AF1226" s="25"/>
      <c r="AG1226" s="97">
        <f ca="1">AG1224-AG1225</f>
        <v>11.687176734813463</v>
      </c>
      <c r="AH1226" s="110"/>
      <c r="AI1226" s="25"/>
      <c r="AJ1226" s="97">
        <f ca="1">AJ1224-AJ1225</f>
        <v>-2.757816138372867</v>
      </c>
      <c r="AK1226" s="110"/>
      <c r="AL1226" s="25"/>
      <c r="AM1226" s="97">
        <f ca="1">AM1224-AM1225</f>
        <v>-18.862384044460192</v>
      </c>
      <c r="AN1226" s="110"/>
      <c r="AO1226" s="25"/>
      <c r="AP1226" s="97">
        <f ca="1">AP1224-AP1225</f>
        <v>-35.92347748264757</v>
      </c>
      <c r="AQ1226" s="110"/>
      <c r="AR1226" s="25"/>
      <c r="AS1226" s="97">
        <f ca="1">AS1224-AS1225</f>
        <v>-60.710250083090742</v>
      </c>
      <c r="AT1226" s="110"/>
      <c r="AU1226" s="25"/>
    </row>
    <row r="1227" spans="15:47" ht="14.4" x14ac:dyDescent="0.3">
      <c r="O1227" s="2" t="s">
        <v>140</v>
      </c>
      <c r="P1227" s="11"/>
      <c r="Q1227" s="2"/>
      <c r="R1227" s="96">
        <f>R1226/R1224</f>
        <v>0.33469723628988501</v>
      </c>
      <c r="S1227" s="106"/>
      <c r="T1227" s="22"/>
      <c r="U1227" s="96">
        <f ca="1">U1226/U1224</f>
        <v>0.33369911987169337</v>
      </c>
      <c r="V1227" s="111"/>
      <c r="W1227" s="28"/>
      <c r="X1227" s="96">
        <f ca="1">X1226/X1224</f>
        <v>0.32864741528580166</v>
      </c>
      <c r="Y1227" s="111"/>
      <c r="Z1227" s="28"/>
      <c r="AA1227" s="96">
        <f ca="1">AA1226/AA1224</f>
        <v>0.31113587046971741</v>
      </c>
      <c r="AB1227" s="111"/>
      <c r="AC1227" s="28"/>
      <c r="AD1227" s="96">
        <f ca="1">AD1226/AD1224</f>
        <v>0.26381717001171751</v>
      </c>
      <c r="AE1227" s="111"/>
      <c r="AF1227" s="28"/>
      <c r="AG1227" s="96">
        <f ca="1">AG1226/AG1224</f>
        <v>0.16303022754051097</v>
      </c>
      <c r="AH1227" s="111"/>
      <c r="AI1227" s="28"/>
      <c r="AJ1227" s="96">
        <f ca="1">AJ1226/AJ1224</f>
        <v>-4.8178038508093969E-2</v>
      </c>
      <c r="AK1227" s="111"/>
      <c r="AL1227" s="28"/>
      <c r="AM1227" s="96">
        <f ca="1">AM1226/AM1224</f>
        <v>-0.45851913404136113</v>
      </c>
      <c r="AN1227" s="111"/>
      <c r="AO1227" s="28"/>
      <c r="AP1227" s="96">
        <f ca="1">AP1226/AP1224</f>
        <v>-1.4920542390105052</v>
      </c>
      <c r="AQ1227" s="111"/>
      <c r="AR1227" s="28"/>
      <c r="AS1227" s="96">
        <f ca="1">AS1226/AS1224</f>
        <v>85.477286843674023</v>
      </c>
      <c r="AT1227" s="111"/>
      <c r="AU1227" s="28"/>
    </row>
    <row r="1228" spans="15:47" x14ac:dyDescent="0.25">
      <c r="O1228" s="2" t="s">
        <v>21</v>
      </c>
      <c r="P1228" s="8">
        <v>12</v>
      </c>
      <c r="Q1228" s="2"/>
      <c r="R1228" s="96">
        <f ca="1">1-R1227/(3*F_GAMMA*R$29)</f>
        <v>0.82568661131920618</v>
      </c>
      <c r="S1228" s="106"/>
      <c r="T1228" s="22"/>
      <c r="U1228" s="96">
        <f ca="1">1-U1227/(3*F_GAMMA*U$29)</f>
        <v>0.82624681435669856</v>
      </c>
      <c r="V1228" s="111"/>
      <c r="W1228" s="28"/>
      <c r="X1228" s="96">
        <f ca="1">1-X1227/(3*F_GAMMA*X$29)</f>
        <v>0.8272473640329312</v>
      </c>
      <c r="Y1228" s="111"/>
      <c r="Z1228" s="28"/>
      <c r="AA1228" s="96">
        <f ca="1">1-AA1227/(3*F_GAMMA*AA$29)</f>
        <v>0.83414687852237901</v>
      </c>
      <c r="AB1228" s="111"/>
      <c r="AC1228" s="28"/>
      <c r="AD1228" s="96">
        <f ca="1">1-AD1227/(3*F_GAMMA*AD$29)</f>
        <v>0.85500892744651347</v>
      </c>
      <c r="AE1228" s="111"/>
      <c r="AF1228" s="28"/>
      <c r="AG1228" s="96">
        <f ca="1">1-AG1227/(3*F_GAMMA*AG$29)</f>
        <v>0.90502381160650158</v>
      </c>
      <c r="AH1228" s="111"/>
      <c r="AI1228" s="28"/>
      <c r="AJ1228" s="96">
        <f ca="1">1-AJ1227/(3*F_GAMMA*AJ$29)</f>
        <v>1.0301962300176835</v>
      </c>
      <c r="AK1228" s="111"/>
      <c r="AL1228" s="28"/>
      <c r="AM1228" s="96">
        <f ca="1">1-AM1227/(3*F_GAMMA*AM$29)</f>
        <v>1.3213178837468429</v>
      </c>
      <c r="AN1228" s="111"/>
      <c r="AO1228" s="28"/>
      <c r="AP1228" s="96">
        <f ca="1">1-AP1227/(3*F_GAMMA*AP$29)</f>
        <v>1.8421954145316026</v>
      </c>
      <c r="AQ1228" s="111"/>
      <c r="AR1228" s="28"/>
      <c r="AS1228" s="96">
        <f ca="1">1-AS1227/(3*F_GAMMA*AS$29)</f>
        <v>-74.638940031880963</v>
      </c>
      <c r="AT1228" s="111"/>
      <c r="AU1228" s="28"/>
    </row>
    <row r="1229" spans="15:47" x14ac:dyDescent="0.25">
      <c r="O1229" s="2" t="s">
        <v>57</v>
      </c>
      <c r="P1229" s="143">
        <v>7</v>
      </c>
      <c r="Q1229" s="2"/>
      <c r="R1229" s="96">
        <f ca="1">(R1222/(N_9*R$27*R1224*R1228))*SQRT(M*'Valve Sizing'!$W$6*'Valve Sizing'!$G$8/R1227)</f>
        <v>0.69265036769408694</v>
      </c>
      <c r="S1229" s="107"/>
      <c r="T1229" s="22"/>
      <c r="U1229" s="96">
        <f ca="1">(U1222/(N_9*U$27*U1224*U1228))*SQRT(M*'Valve Sizing'!$W$6*'Valve Sizing'!$G$8/U1227)</f>
        <v>11.049367077589675</v>
      </c>
      <c r="V1229" s="111"/>
      <c r="W1229" s="28"/>
      <c r="X1229" s="96">
        <f ca="1">(X1222/(N_9*X$27*X1224*X1228))*SQRT(M*'Valve Sizing'!$W$6*'Valve Sizing'!$G$8/X1227)</f>
        <v>27.499623431723478</v>
      </c>
      <c r="Y1229" s="111"/>
      <c r="Z1229" s="28"/>
      <c r="AA1229" s="96">
        <f ca="1">(AA1222/(N_9*AA$27*AA1224*AA1228))*SQRT(M*'Valve Sizing'!$W$6*'Valve Sizing'!$G$8/AA1227)</f>
        <v>56.350042330076398</v>
      </c>
      <c r="AB1229" s="111"/>
      <c r="AC1229" s="28"/>
      <c r="AD1229" s="96">
        <f ca="1">(AD1222/(N_9*AD$27*AD1224*AD1228))*SQRT(M*'Valve Sizing'!$W$6*'Valve Sizing'!$G$8/AD1227)</f>
        <v>108.3677604308462</v>
      </c>
      <c r="AE1229" s="111"/>
      <c r="AF1229" s="28"/>
      <c r="AG1229" s="96">
        <f ca="1">(AG1222/(N_9*AG$27*AG1224*AG1228))*SQRT(M*'Valve Sizing'!$W$6*'Valve Sizing'!$G$8/AG1227)</f>
        <v>220.96821614763431</v>
      </c>
      <c r="AH1229" s="111"/>
      <c r="AI1229" s="28"/>
      <c r="AJ1229" s="96" t="e">
        <f ca="1">(AJ1222/(N_9*AJ$27*AJ1224*AJ1228))*SQRT(M*'Valve Sizing'!$W$6*'Valve Sizing'!$G$8/AJ1227)</f>
        <v>#NUM!</v>
      </c>
      <c r="AK1229" s="111"/>
      <c r="AL1229" s="28"/>
      <c r="AM1229" s="96" t="e">
        <f ca="1">(AM1222/(N_9*AM$27*AM1224*AM1228))*SQRT(M*'Valve Sizing'!$W$6*'Valve Sizing'!$G$8/AM1227)</f>
        <v>#NUM!</v>
      </c>
      <c r="AN1229" s="111"/>
      <c r="AO1229" s="28"/>
      <c r="AP1229" s="96" t="e">
        <f ca="1">(AP1222/(N_9*AP$27*AP1224*AP1228))*SQRT(M*'Valve Sizing'!$W$6*'Valve Sizing'!$G$8/AP1227)</f>
        <v>#NUM!</v>
      </c>
      <c r="AQ1229" s="111"/>
      <c r="AR1229" s="28"/>
      <c r="AS1229" s="96">
        <f ca="1">(AS1222/(N_9*AS$27*AS1224*AS1228))*SQRT(M*'Valve Sizing'!$W$6*'Valve Sizing'!$G$8/AS1227)</f>
        <v>43.877144761364647</v>
      </c>
      <c r="AT1229" s="111"/>
      <c r="AU1229" s="28"/>
    </row>
    <row r="1230" spans="15:47" x14ac:dyDescent="0.25">
      <c r="O1230" s="2" t="s">
        <v>59</v>
      </c>
      <c r="P1230" s="143">
        <v>7</v>
      </c>
      <c r="Q1230" s="2"/>
      <c r="R1230" s="96">
        <f ca="1">(R1222/(N_9*R$27*R1224*0.667))*SQRT(M*'Valve Sizing'!$W$6*'Valve Sizing'!$G$8/R1231)</f>
        <v>0.6200539491539736</v>
      </c>
      <c r="S1230" s="107"/>
      <c r="T1230" s="22"/>
      <c r="U1230" s="96">
        <f ca="1">(U1222/(N_9*U$27*U1224*0.667))*SQRT(M*'Valve Sizing'!$W$6*'Valve Sizing'!$G$8/U1231)</f>
        <v>9.8820803592938802</v>
      </c>
      <c r="V1230" s="111"/>
      <c r="W1230" s="28"/>
      <c r="X1230" s="96">
        <f ca="1">(X1222/(N_9*X$27*X1224*0.667))*SQRT(M*'Valve Sizing'!$W$6*'Valve Sizing'!$G$8/X1231)</f>
        <v>24.553266274184292</v>
      </c>
      <c r="Y1230" s="111"/>
      <c r="Z1230" s="28"/>
      <c r="AA1230" s="96">
        <f ca="1">(AA1222/(N_9*AA$27*AA1224*0.667))*SQRT(M*'Valve Sizing'!$W$6*'Valve Sizing'!$G$8/AA1231)</f>
        <v>49.708813130594152</v>
      </c>
      <c r="AB1230" s="111"/>
      <c r="AC1230" s="28"/>
      <c r="AD1230" s="96">
        <f ca="1">(AD1222/(N_9*AD$27*AD1224*0.667))*SQRT(M*'Valve Sizing'!$W$6*'Valve Sizing'!$G$8/AD1231)</f>
        <v>91.617022264912507</v>
      </c>
      <c r="AE1230" s="111"/>
      <c r="AF1230" s="28"/>
      <c r="AG1230" s="96">
        <f ca="1">(AG1222/(N_9*AG$27*AG1224*0.667))*SQRT(M*'Valve Sizing'!$W$6*'Valve Sizing'!$G$8/AG1231)</f>
        <v>160.04126562447718</v>
      </c>
      <c r="AH1230" s="111"/>
      <c r="AI1230" s="28"/>
      <c r="AJ1230" s="96">
        <f ca="1">(AJ1222/(N_9*AJ$27*AJ1224*0.667))*SQRT(M*'Valve Sizing'!$W$6*'Valve Sizing'!$G$8/AJ1231)</f>
        <v>287.4608086566534</v>
      </c>
      <c r="AK1230" s="111"/>
      <c r="AL1230" s="28"/>
      <c r="AM1230" s="96">
        <f ca="1">(AM1222/(N_9*AM$27*AM1224*0.667))*SQRT(M*'Valve Sizing'!$W$6*'Valve Sizing'!$G$8/AM1231)</f>
        <v>547.56893038594501</v>
      </c>
      <c r="AN1230" s="111"/>
      <c r="AO1230" s="28"/>
      <c r="AP1230" s="96">
        <f ca="1">(AP1222/(N_9*AP$27*AP1224*0.667))*SQRT(M*'Valve Sizing'!$W$6*'Valve Sizing'!$G$8/AP1231)</f>
        <v>1109.54940168243</v>
      </c>
      <c r="AQ1230" s="111"/>
      <c r="AR1230" s="28"/>
      <c r="AS1230" s="96">
        <f ca="1">(AS1222/(N_9*AS$27*AS1224*0.667))*SQRT(M*'Valve Sizing'!$W$6*'Valve Sizing'!$G$8/AS1231)</f>
        <v>-73962.457471852133</v>
      </c>
      <c r="AT1230" s="111"/>
      <c r="AU1230" s="28"/>
    </row>
    <row r="1231" spans="15:47" ht="15.6" x14ac:dyDescent="0.35">
      <c r="O1231" s="2" t="s">
        <v>68</v>
      </c>
      <c r="P1231" s="143">
        <v>10</v>
      </c>
      <c r="Q1231" s="2"/>
      <c r="R1231" s="96">
        <f ca="1">F_GAMMA*R$29</f>
        <v>0.64002969751372984</v>
      </c>
      <c r="S1231" s="107"/>
      <c r="T1231" s="1"/>
      <c r="U1231" s="96">
        <f ca="1">F_GAMMA*U$29</f>
        <v>0.64017842058782071</v>
      </c>
      <c r="V1231" s="111"/>
      <c r="W1231" s="28"/>
      <c r="X1231" s="96">
        <f ca="1">F_GAMMA*X$29</f>
        <v>0.63413873724904268</v>
      </c>
      <c r="Y1231" s="111"/>
      <c r="Z1231" s="28"/>
      <c r="AA1231" s="96">
        <f ca="1">F_GAMMA*AA$29</f>
        <v>0.62532411750377137</v>
      </c>
      <c r="AB1231" s="111"/>
      <c r="AC1231" s="28"/>
      <c r="AD1231" s="96">
        <f ca="1">F_GAMMA*AD$29</f>
        <v>0.60651359509139569</v>
      </c>
      <c r="AE1231" s="111"/>
      <c r="AF1231" s="28"/>
      <c r="AG1231" s="96">
        <f ca="1">F_GAMMA*AG$29</f>
        <v>0.57217930198481592</v>
      </c>
      <c r="AH1231" s="111"/>
      <c r="AI1231" s="28"/>
      <c r="AJ1231" s="96">
        <f ca="1">F_GAMMA*AJ$29</f>
        <v>0.53183282018848232</v>
      </c>
      <c r="AK1231" s="111"/>
      <c r="AL1231" s="28"/>
      <c r="AM1231" s="96">
        <f ca="1">F_GAMMA*AM$29</f>
        <v>0.47566512503094399</v>
      </c>
      <c r="AN1231" s="111"/>
      <c r="AO1231" s="28"/>
      <c r="AP1231" s="96">
        <f ca="1">F_GAMMA*AP$29</f>
        <v>0.59054158265645496</v>
      </c>
      <c r="AQ1231" s="111"/>
      <c r="AR1231" s="28"/>
      <c r="AS1231" s="96">
        <f ca="1">F_GAMMA*AS$29</f>
        <v>0.3766899554102966</v>
      </c>
      <c r="AT1231" s="111"/>
      <c r="AU1231" s="28"/>
    </row>
    <row r="1232" spans="15:47" x14ac:dyDescent="0.25">
      <c r="O1232" s="2" t="s">
        <v>145</v>
      </c>
      <c r="P1232" s="12"/>
      <c r="Q1232" s="2"/>
      <c r="R1232" s="96">
        <f ca="1">IF(R1227&lt;R1231,R1229,R1230)</f>
        <v>0.69265036769408694</v>
      </c>
      <c r="S1232" s="116"/>
      <c r="T1232" s="1"/>
      <c r="U1232" s="96">
        <f ca="1">IF(U1227&lt;U1231,U1229,U1230)</f>
        <v>11.049367077589675</v>
      </c>
      <c r="V1232" s="111"/>
      <c r="W1232" s="28"/>
      <c r="X1232" s="96">
        <f ca="1">IF(X1227&lt;X1231,X1229,X1230)</f>
        <v>27.499623431723478</v>
      </c>
      <c r="Y1232" s="111"/>
      <c r="Z1232" s="28"/>
      <c r="AA1232" s="96">
        <f ca="1">IF(AA1227&lt;AA1231,AA1229,AA1230)</f>
        <v>56.350042330076398</v>
      </c>
      <c r="AB1232" s="111"/>
      <c r="AC1232" s="28"/>
      <c r="AD1232" s="96">
        <f ca="1">IF(AD1227&lt;AD1231,AD1229,AD1230)</f>
        <v>108.3677604308462</v>
      </c>
      <c r="AE1232" s="111"/>
      <c r="AF1232" s="28"/>
      <c r="AG1232" s="96">
        <f ca="1">IF(AG1227&lt;AG1231,AG1229,AG1230)</f>
        <v>220.96821614763431</v>
      </c>
      <c r="AH1232" s="111"/>
      <c r="AI1232" s="28"/>
      <c r="AJ1232" s="96" t="e">
        <f ca="1">IF(AJ1227&lt;AJ1231,AJ1229,AJ1230)</f>
        <v>#NUM!</v>
      </c>
      <c r="AK1232" s="111"/>
      <c r="AL1232" s="28"/>
      <c r="AM1232" s="96" t="e">
        <f ca="1">IF(AM1227&lt;AM1231,AM1229,AM1230)</f>
        <v>#NUM!</v>
      </c>
      <c r="AN1232" s="111"/>
      <c r="AO1232" s="28"/>
      <c r="AP1232" s="96" t="e">
        <f ca="1">IF(AP1227&lt;AP1231,AP1229,AP1230)</f>
        <v>#NUM!</v>
      </c>
      <c r="AQ1232" s="111"/>
      <c r="AR1232" s="28"/>
      <c r="AS1232" s="96">
        <f ca="1">IF(AS1227&lt;AS1231,AS1229,AS1230)</f>
        <v>-73962.457471852133</v>
      </c>
      <c r="AT1232" s="111"/>
      <c r="AU1232" s="28"/>
    </row>
    <row r="1233" spans="15:47" x14ac:dyDescent="0.25">
      <c r="O1233" s="13" t="s">
        <v>143</v>
      </c>
      <c r="P1233" s="1"/>
      <c r="Q1233" s="1"/>
      <c r="R1233" s="113"/>
      <c r="S1233" s="106">
        <f ca="1">IF(R1226&lt;=0,Q_max,ABS(R$23-R1232))</f>
        <v>4.0373496323059133</v>
      </c>
      <c r="T1233" s="7">
        <f>R1222</f>
        <v>1715.1466654852056</v>
      </c>
      <c r="U1233" s="98"/>
      <c r="V1233" s="106">
        <f ca="1">IF(U1226&lt;=0,Q_max,ABS(U$23-U1232))</f>
        <v>0.55063292241032435</v>
      </c>
      <c r="W1233" s="9">
        <f ca="1">U1222</f>
        <v>27279.392575774014</v>
      </c>
      <c r="X1233" s="98"/>
      <c r="Y1233" s="106">
        <f ca="1">IF(X1226&lt;=0,Q_max,ABS(X$23-X1232))</f>
        <v>4.499623431723478</v>
      </c>
      <c r="Z1233" s="9">
        <f ca="1">X1222</f>
        <v>66797.212005603447</v>
      </c>
      <c r="AA1233" s="98"/>
      <c r="AB1233" s="106">
        <f ca="1">IF(AA1226&lt;=0,Q_max,ABS(AA$23-AA1232))</f>
        <v>16.9500423300764</v>
      </c>
      <c r="AC1233" s="9">
        <f ca="1">AA1222</f>
        <v>130103.91930492682</v>
      </c>
      <c r="AD1233" s="98"/>
      <c r="AE1233" s="106">
        <f ca="1">IF(AD1226&lt;=0,Q_max,ABS(AD$23-AD1232))</f>
        <v>47.367760430846204</v>
      </c>
      <c r="AF1233" s="9">
        <f ca="1">AD1222</f>
        <v>218273.90405678478</v>
      </c>
      <c r="AG1233" s="98"/>
      <c r="AH1233" s="106">
        <f ca="1">IF(AG1226&lt;=0,Q_max,ABS(AG$23-AG1232))</f>
        <v>132.76821614763429</v>
      </c>
      <c r="AI1233" s="9">
        <f ca="1">AG1222</f>
        <v>318576.70790987328</v>
      </c>
      <c r="AJ1233" s="98"/>
      <c r="AK1233" s="106">
        <f ca="1">IF(AJ1226&lt;=0,Q_max,ABS(AJ$23-AJ1232))</f>
        <v>236393</v>
      </c>
      <c r="AL1233" s="9">
        <f ca="1">AJ1222</f>
        <v>425141.85168975306</v>
      </c>
      <c r="AM1233" s="98"/>
      <c r="AN1233" s="106">
        <f ca="1">IF(AM1226&lt;=0,Q_max,ABS(AM$23-AM1232))</f>
        <v>236393</v>
      </c>
      <c r="AO1233" s="9">
        <f ca="1">AM1222</f>
        <v>518753.85299687251</v>
      </c>
      <c r="AP1233" s="98"/>
      <c r="AQ1233" s="106">
        <f ca="1">IF(AP1226&lt;=0,Q_max,ABS(AP$23-AP1232))</f>
        <v>236393</v>
      </c>
      <c r="AR1233" s="9">
        <f ca="1">AP1222</f>
        <v>602257.11880794086</v>
      </c>
      <c r="AS1233" s="98"/>
      <c r="AT1233" s="106">
        <f ca="1">IF(AS1226&lt;=0,Q_max,ABS(AS$23-AS1232))</f>
        <v>236393</v>
      </c>
      <c r="AU1233" s="9">
        <f ca="1">AS1222</f>
        <v>706193.83626746631</v>
      </c>
    </row>
    <row r="1234" spans="15:47" x14ac:dyDescent="0.25">
      <c r="O1234" s="21"/>
      <c r="P1234" s="14"/>
      <c r="Q1234" s="21"/>
      <c r="R1234" s="97"/>
      <c r="S1234" s="106"/>
      <c r="T1234" s="28"/>
      <c r="U1234" s="97"/>
      <c r="V1234" s="111"/>
      <c r="W1234" s="28"/>
      <c r="X1234" s="97"/>
      <c r="Y1234" s="111"/>
      <c r="Z1234" s="28"/>
      <c r="AA1234" s="97"/>
      <c r="AB1234" s="111"/>
      <c r="AC1234" s="28"/>
      <c r="AD1234" s="97"/>
      <c r="AE1234" s="111"/>
      <c r="AF1234" s="28"/>
      <c r="AG1234" s="97"/>
      <c r="AH1234" s="111"/>
      <c r="AI1234" s="28"/>
      <c r="AJ1234" s="97"/>
      <c r="AK1234" s="111"/>
      <c r="AL1234" s="28"/>
      <c r="AM1234" s="97"/>
      <c r="AN1234" s="111"/>
      <c r="AO1234" s="28"/>
      <c r="AP1234" s="97"/>
      <c r="AQ1234" s="111"/>
      <c r="AR1234" s="28"/>
      <c r="AS1234" s="97"/>
      <c r="AT1234" s="111"/>
      <c r="AU1234" s="28"/>
    </row>
    <row r="1235" spans="15:47" x14ac:dyDescent="0.25">
      <c r="O1235" s="1"/>
      <c r="P1235" s="1"/>
      <c r="Q1235" s="1"/>
      <c r="R1235" s="98"/>
      <c r="S1235" s="108" t="s">
        <v>137</v>
      </c>
      <c r="T1235" s="26" t="s">
        <v>146</v>
      </c>
      <c r="U1235" s="98"/>
      <c r="V1235" s="108" t="s">
        <v>137</v>
      </c>
      <c r="W1235" s="26" t="s">
        <v>146</v>
      </c>
      <c r="X1235" s="98"/>
      <c r="Y1235" s="108" t="s">
        <v>137</v>
      </c>
      <c r="Z1235" s="26" t="s">
        <v>146</v>
      </c>
      <c r="AA1235" s="98"/>
      <c r="AB1235" s="108" t="s">
        <v>137</v>
      </c>
      <c r="AC1235" s="26" t="s">
        <v>146</v>
      </c>
      <c r="AD1235" s="98"/>
      <c r="AE1235" s="108" t="s">
        <v>137</v>
      </c>
      <c r="AF1235" s="26" t="s">
        <v>146</v>
      </c>
      <c r="AG1235" s="98"/>
      <c r="AH1235" s="108" t="s">
        <v>137</v>
      </c>
      <c r="AI1235" s="26" t="s">
        <v>146</v>
      </c>
      <c r="AJ1235" s="98"/>
      <c r="AK1235" s="108" t="s">
        <v>137</v>
      </c>
      <c r="AL1235" s="26" t="s">
        <v>146</v>
      </c>
      <c r="AM1235" s="98"/>
      <c r="AN1235" s="108" t="s">
        <v>137</v>
      </c>
      <c r="AO1235" s="26" t="s">
        <v>146</v>
      </c>
      <c r="AP1235" s="98"/>
      <c r="AQ1235" s="108" t="s">
        <v>137</v>
      </c>
      <c r="AR1235" s="26" t="s">
        <v>146</v>
      </c>
      <c r="AS1235" s="98"/>
      <c r="AT1235" s="108" t="s">
        <v>137</v>
      </c>
      <c r="AU1235" s="26" t="s">
        <v>146</v>
      </c>
    </row>
    <row r="1236" spans="15:47" ht="13.8" x14ac:dyDescent="0.25">
      <c r="O1236" s="20" t="s">
        <v>136</v>
      </c>
      <c r="P1236" s="1"/>
      <c r="Q1236" s="1"/>
      <c r="R1236" s="96">
        <f>R1222*1.02</f>
        <v>1749.4495987949097</v>
      </c>
      <c r="S1236" s="109" t="s">
        <v>144</v>
      </c>
      <c r="T1236" s="23" t="s">
        <v>147</v>
      </c>
      <c r="U1236" s="96">
        <f ca="1">U1222*1.01</f>
        <v>27552.186501531756</v>
      </c>
      <c r="V1236" s="109" t="s">
        <v>144</v>
      </c>
      <c r="W1236" s="23" t="s">
        <v>147</v>
      </c>
      <c r="X1236" s="96">
        <f ca="1">X1222*1.01</f>
        <v>67465.184125659478</v>
      </c>
      <c r="Y1236" s="109" t="s">
        <v>144</v>
      </c>
      <c r="Z1236" s="23" t="s">
        <v>147</v>
      </c>
      <c r="AA1236" s="96">
        <f ca="1">AA1222*1.01</f>
        <v>131404.9584979761</v>
      </c>
      <c r="AB1236" s="109" t="s">
        <v>144</v>
      </c>
      <c r="AC1236" s="23" t="s">
        <v>147</v>
      </c>
      <c r="AD1236" s="96">
        <f ca="1">AD1222*1.01</f>
        <v>220456.64309735264</v>
      </c>
      <c r="AE1236" s="109" t="s">
        <v>144</v>
      </c>
      <c r="AF1236" s="23" t="s">
        <v>147</v>
      </c>
      <c r="AG1236" s="96">
        <f ca="1">AG1222*1.01</f>
        <v>321762.47498897201</v>
      </c>
      <c r="AH1236" s="109" t="s">
        <v>144</v>
      </c>
      <c r="AI1236" s="23" t="s">
        <v>147</v>
      </c>
      <c r="AJ1236" s="96">
        <f ca="1">AJ1222*1.01</f>
        <v>429393.2702066506</v>
      </c>
      <c r="AK1236" s="109" t="s">
        <v>144</v>
      </c>
      <c r="AL1236" s="23" t="s">
        <v>147</v>
      </c>
      <c r="AM1236" s="96">
        <f ca="1">AM1222*1.01</f>
        <v>523941.39152684121</v>
      </c>
      <c r="AN1236" s="109" t="s">
        <v>144</v>
      </c>
      <c r="AO1236" s="23" t="s">
        <v>147</v>
      </c>
      <c r="AP1236" s="96">
        <f ca="1">AP1222*1.01</f>
        <v>608279.68999602029</v>
      </c>
      <c r="AQ1236" s="109" t="s">
        <v>144</v>
      </c>
      <c r="AR1236" s="23" t="s">
        <v>147</v>
      </c>
      <c r="AS1236" s="96">
        <f ca="1">AS1222*1.01</f>
        <v>713255.77463014098</v>
      </c>
      <c r="AT1236" s="109" t="s">
        <v>144</v>
      </c>
      <c r="AU1236" s="23" t="s">
        <v>147</v>
      </c>
    </row>
    <row r="1237" spans="15:47" x14ac:dyDescent="0.25">
      <c r="O1237" s="1"/>
      <c r="P1237" s="1"/>
      <c r="Q1237" s="1"/>
      <c r="R1237" s="98"/>
      <c r="S1237" s="107"/>
      <c r="T1237" s="1"/>
      <c r="U1237" s="47"/>
      <c r="V1237" s="107"/>
      <c r="W1237" s="1"/>
      <c r="X1237" s="47"/>
      <c r="Y1237" s="107"/>
      <c r="Z1237" s="1"/>
      <c r="AA1237" s="47"/>
      <c r="AB1237" s="107"/>
      <c r="AC1237" s="1"/>
      <c r="AD1237" s="47"/>
      <c r="AE1237" s="107"/>
      <c r="AF1237" s="1"/>
      <c r="AG1237" s="47"/>
      <c r="AH1237" s="107"/>
      <c r="AI1237" s="1"/>
      <c r="AJ1237" s="47"/>
      <c r="AK1237" s="107"/>
      <c r="AL1237" s="1"/>
      <c r="AM1237" s="47"/>
      <c r="AN1237" s="107"/>
      <c r="AO1237" s="1"/>
      <c r="AP1237" s="47"/>
      <c r="AQ1237" s="107"/>
      <c r="AR1237" s="1"/>
      <c r="AS1237" s="47"/>
      <c r="AT1237" s="107"/>
      <c r="AU1237" s="1"/>
    </row>
    <row r="1238" spans="15:47" x14ac:dyDescent="0.25">
      <c r="O1238" s="8" t="s">
        <v>132</v>
      </c>
      <c r="P1238" s="8"/>
      <c r="Q1238" s="8"/>
      <c r="R1238" s="96">
        <f>P_1_minQ-(R1236^2*R_up)+dpup_minQ</f>
        <v>90.184482707267975</v>
      </c>
      <c r="S1238" s="106"/>
      <c r="T1238" s="22"/>
      <c r="U1238" s="96">
        <f ca="1">P_1_minQ-(U1236^2*R_up)+dpup_minQ</f>
        <v>90.046682084022038</v>
      </c>
      <c r="V1238" s="107"/>
      <c r="W1238" s="1"/>
      <c r="X1238" s="96">
        <f ca="1">P_1_minQ-(X1236^2*R_up)+dpup_minQ</f>
        <v>89.355470685021416</v>
      </c>
      <c r="Y1238" s="107"/>
      <c r="Z1238" s="1"/>
      <c r="AA1238" s="96">
        <f ca="1">P_1_minQ-(AA1236^2*R_up)+dpup_minQ</f>
        <v>87.037893420446352</v>
      </c>
      <c r="AB1238" s="107"/>
      <c r="AC1238" s="1"/>
      <c r="AD1238" s="96">
        <f ca="1">P_1_minQ-(AD1236^2*R_up)+dpup_minQ</f>
        <v>81.326954020258114</v>
      </c>
      <c r="AE1238" s="107"/>
      <c r="AF1238" s="1"/>
      <c r="AG1238" s="96">
        <f ca="1">P_1_minQ-(AG1236^2*R_up)+dpup_minQ</f>
        <v>71.31536967252508</v>
      </c>
      <c r="AH1238" s="107"/>
      <c r="AI1238" s="1"/>
      <c r="AJ1238" s="96">
        <f ca="1">P_1_minQ-(AJ1236^2*R_up)+dpup_minQ</f>
        <v>56.580032442587701</v>
      </c>
      <c r="AK1238" s="107"/>
      <c r="AL1238" s="1"/>
      <c r="AM1238" s="96">
        <f ca="1">P_1_minQ-(AM1236^2*R_up)+dpup_minQ</f>
        <v>40.151762721588021</v>
      </c>
      <c r="AN1238" s="107"/>
      <c r="AO1238" s="1"/>
      <c r="AP1238" s="96">
        <f ca="1">P_1_minQ-(AP1236^2*R_up)+dpup_minQ</f>
        <v>22.747741305293076</v>
      </c>
      <c r="AQ1238" s="107"/>
      <c r="AR1238" s="1"/>
      <c r="AS1238" s="96">
        <f ca="1">P_1_minQ-(AS1236^2*R_up)+dpup_minQ</f>
        <v>-2.5372454244189995</v>
      </c>
      <c r="AT1238" s="107"/>
      <c r="AU1238" s="1"/>
    </row>
    <row r="1239" spans="15:47" x14ac:dyDescent="0.25">
      <c r="O1239" s="8" t="s">
        <v>134</v>
      </c>
      <c r="P1239" s="1"/>
      <c r="Q1239" s="8"/>
      <c r="R1239" s="97">
        <f>P_2_minQ+(R1236^2*R_dn)-dpdn_minQ</f>
        <v>60</v>
      </c>
      <c r="S1239" s="106"/>
      <c r="T1239" s="22"/>
      <c r="U1239" s="97">
        <f ca="1">P_2_minQ+(U1236^2*R_dn)-dpdn_minQ</f>
        <v>60</v>
      </c>
      <c r="V1239" s="107"/>
      <c r="W1239" s="1"/>
      <c r="X1239" s="97">
        <f ca="1">P_2_minQ+(X1236^2*R_dn)-dpdn_minQ</f>
        <v>60</v>
      </c>
      <c r="Y1239" s="107"/>
      <c r="Z1239" s="1"/>
      <c r="AA1239" s="97">
        <f ca="1">P_2_minQ+(AA1236^2*R_dn)-dpdn_minQ</f>
        <v>60</v>
      </c>
      <c r="AB1239" s="107"/>
      <c r="AC1239" s="1"/>
      <c r="AD1239" s="97">
        <f ca="1">P_2_minQ+(AD1236^2*R_dn)-dpdn_minQ</f>
        <v>60</v>
      </c>
      <c r="AE1239" s="107"/>
      <c r="AF1239" s="1"/>
      <c r="AG1239" s="97">
        <f ca="1">P_2_minQ+(AG1236^2*R_dn)-dpdn_minQ</f>
        <v>60</v>
      </c>
      <c r="AH1239" s="107"/>
      <c r="AI1239" s="1"/>
      <c r="AJ1239" s="97">
        <f ca="1">P_2_minQ+(AJ1236^2*R_dn)-dpdn_minQ</f>
        <v>60</v>
      </c>
      <c r="AK1239" s="107"/>
      <c r="AL1239" s="1"/>
      <c r="AM1239" s="97">
        <f ca="1">P_2_minQ+(AM1236^2*R_dn)-dpdn_minQ</f>
        <v>60</v>
      </c>
      <c r="AN1239" s="107"/>
      <c r="AO1239" s="1"/>
      <c r="AP1239" s="97">
        <f ca="1">P_2_minQ+(AP1236^2*R_dn)-dpdn_minQ</f>
        <v>60</v>
      </c>
      <c r="AQ1239" s="107"/>
      <c r="AR1239" s="1"/>
      <c r="AS1239" s="97">
        <f ca="1">P_2_minQ+(AS1236^2*R_dn)-dpdn_minQ</f>
        <v>60</v>
      </c>
      <c r="AT1239" s="107"/>
      <c r="AU1239" s="1"/>
    </row>
    <row r="1240" spans="15:47" x14ac:dyDescent="0.25">
      <c r="O1240" s="8" t="s">
        <v>138</v>
      </c>
      <c r="P1240" s="1"/>
      <c r="Q1240" s="8"/>
      <c r="R1240" s="97">
        <f>R1238-R1239</f>
        <v>30.184482707267975</v>
      </c>
      <c r="S1240" s="106"/>
      <c r="T1240" s="22"/>
      <c r="U1240" s="97">
        <f ca="1">U1238-U1239</f>
        <v>30.046682084022038</v>
      </c>
      <c r="V1240" s="110"/>
      <c r="W1240" s="25"/>
      <c r="X1240" s="97">
        <f ca="1">X1238-X1239</f>
        <v>29.355470685021416</v>
      </c>
      <c r="Y1240" s="110"/>
      <c r="Z1240" s="25"/>
      <c r="AA1240" s="97">
        <f ca="1">AA1238-AA1239</f>
        <v>27.037893420446352</v>
      </c>
      <c r="AB1240" s="110"/>
      <c r="AC1240" s="25"/>
      <c r="AD1240" s="97">
        <f ca="1">AD1238-AD1239</f>
        <v>21.326954020258114</v>
      </c>
      <c r="AE1240" s="110"/>
      <c r="AF1240" s="25"/>
      <c r="AG1240" s="97">
        <f ca="1">AG1238-AG1239</f>
        <v>11.31536967252508</v>
      </c>
      <c r="AH1240" s="110"/>
      <c r="AI1240" s="25"/>
      <c r="AJ1240" s="97">
        <f ca="1">AJ1238-AJ1239</f>
        <v>-3.4199675574122992</v>
      </c>
      <c r="AK1240" s="110"/>
      <c r="AL1240" s="25"/>
      <c r="AM1240" s="97">
        <f ca="1">AM1238-AM1239</f>
        <v>-19.848237278411979</v>
      </c>
      <c r="AN1240" s="110"/>
      <c r="AO1240" s="25"/>
      <c r="AP1240" s="97">
        <f ca="1">AP1238-AP1239</f>
        <v>-37.252258694706924</v>
      </c>
      <c r="AQ1240" s="110"/>
      <c r="AR1240" s="25"/>
      <c r="AS1240" s="97">
        <f ca="1">AS1238-AS1239</f>
        <v>-62.537245424418998</v>
      </c>
      <c r="AT1240" s="110"/>
      <c r="AU1240" s="25"/>
    </row>
    <row r="1241" spans="15:47" ht="14.4" x14ac:dyDescent="0.3">
      <c r="O1241" s="2" t="s">
        <v>140</v>
      </c>
      <c r="P1241" s="11"/>
      <c r="Q1241" s="2"/>
      <c r="R1241" s="96">
        <f>R1240/R1238</f>
        <v>0.33469707649424046</v>
      </c>
      <c r="S1241" s="106"/>
      <c r="T1241" s="22"/>
      <c r="U1241" s="96">
        <f ca="1">U1240/U1238</f>
        <v>0.33367894728187381</v>
      </c>
      <c r="V1241" s="111"/>
      <c r="W1241" s="28"/>
      <c r="X1241" s="96">
        <f ca="1">X1240/X1238</f>
        <v>0.3285246047049501</v>
      </c>
      <c r="Y1241" s="111"/>
      <c r="Z1241" s="28"/>
      <c r="AA1241" s="96">
        <f ca="1">AA1240/AA1238</f>
        <v>0.31064508064133356</v>
      </c>
      <c r="AB1241" s="111"/>
      <c r="AC1241" s="28"/>
      <c r="AD1241" s="96">
        <f ca="1">AD1240/AD1238</f>
        <v>0.26223721615032675</v>
      </c>
      <c r="AE1241" s="111"/>
      <c r="AF1241" s="28"/>
      <c r="AG1241" s="96">
        <f ca="1">AG1240/AG1238</f>
        <v>0.1586666341979916</v>
      </c>
      <c r="AH1241" s="111"/>
      <c r="AI1241" s="28"/>
      <c r="AJ1241" s="96">
        <f ca="1">AJ1240/AJ1238</f>
        <v>-6.0444779010732683E-2</v>
      </c>
      <c r="AK1241" s="111"/>
      <c r="AL1241" s="28"/>
      <c r="AM1241" s="96">
        <f ca="1">AM1240/AM1238</f>
        <v>-0.49433040875538858</v>
      </c>
      <c r="AN1241" s="111"/>
      <c r="AO1241" s="28"/>
      <c r="AP1241" s="96">
        <f ca="1">AP1240/AP1238</f>
        <v>-1.6376245093854156</v>
      </c>
      <c r="AQ1241" s="111"/>
      <c r="AR1241" s="28"/>
      <c r="AS1241" s="96">
        <f ca="1">AS1240/AS1238</f>
        <v>24.647692660137253</v>
      </c>
      <c r="AT1241" s="111"/>
      <c r="AU1241" s="28"/>
    </row>
    <row r="1242" spans="15:47" x14ac:dyDescent="0.25">
      <c r="O1242" s="2" t="s">
        <v>21</v>
      </c>
      <c r="P1242" s="8">
        <v>12</v>
      </c>
      <c r="Q1242" s="2"/>
      <c r="R1242" s="96">
        <f ca="1">1-R1241/(3*F_GAMMA*R$29)</f>
        <v>0.82568669454224264</v>
      </c>
      <c r="S1242" s="106"/>
      <c r="T1242" s="22"/>
      <c r="U1242" s="96">
        <f ca="1">1-U1241/(3*F_GAMMA*U$29)</f>
        <v>0.82625731798567181</v>
      </c>
      <c r="V1242" s="111"/>
      <c r="W1242" s="28"/>
      <c r="X1242" s="96">
        <f ca="1">1-X1241/(3*F_GAMMA*X$29)</f>
        <v>0.82731191908670609</v>
      </c>
      <c r="Y1242" s="111"/>
      <c r="Z1242" s="28"/>
      <c r="AA1242" s="96">
        <f ca="1">1-AA1241/(3*F_GAMMA*AA$29)</f>
        <v>0.83440849742509193</v>
      </c>
      <c r="AB1242" s="111"/>
      <c r="AC1242" s="28"/>
      <c r="AD1242" s="96">
        <f ca="1">1-AD1241/(3*F_GAMMA*AD$29)</f>
        <v>0.85587725305601758</v>
      </c>
      <c r="AE1242" s="111"/>
      <c r="AF1242" s="28"/>
      <c r="AG1242" s="96">
        <f ca="1">1-AG1241/(3*F_GAMMA*AG$29)</f>
        <v>0.90756590131356984</v>
      </c>
      <c r="AH1242" s="111"/>
      <c r="AI1242" s="28"/>
      <c r="AJ1242" s="96">
        <f ca="1">1-AJ1241/(3*F_GAMMA*AJ$29)</f>
        <v>1.0378845736957407</v>
      </c>
      <c r="AK1242" s="111"/>
      <c r="AL1242" s="28"/>
      <c r="AM1242" s="96">
        <f ca="1">1-AM1241/(3*F_GAMMA*AM$29)</f>
        <v>1.3464134624285173</v>
      </c>
      <c r="AN1242" s="111"/>
      <c r="AO1242" s="28"/>
      <c r="AP1242" s="96">
        <f ca="1">1-AP1241/(3*F_GAMMA*AP$29)</f>
        <v>1.9243630804223411</v>
      </c>
      <c r="AQ1242" s="111"/>
      <c r="AR1242" s="28"/>
      <c r="AS1242" s="96">
        <f ca="1">1-AS1241/(3*F_GAMMA*AS$29)</f>
        <v>-20.810768870728712</v>
      </c>
      <c r="AT1242" s="111"/>
      <c r="AU1242" s="28"/>
    </row>
    <row r="1243" spans="15:47" x14ac:dyDescent="0.25">
      <c r="O1243" s="2" t="s">
        <v>57</v>
      </c>
      <c r="P1243" s="143">
        <v>7</v>
      </c>
      <c r="Q1243" s="2"/>
      <c r="R1243" s="96">
        <f ca="1">(R1236/(N_9*R$27*R1238*R1242))*SQRT(M*'Valve Sizing'!$W$6*'Valve Sizing'!$G$8/R1241)</f>
        <v>0.70650364218335193</v>
      </c>
      <c r="S1243" s="107"/>
      <c r="T1243" s="22"/>
      <c r="U1243" s="96">
        <f ca="1">(U1236/(N_9*U$27*U1238*U1242))*SQRT(M*'Valve Sizing'!$W$6*'Valve Sizing'!$G$8/U1241)</f>
        <v>11.160394082924313</v>
      </c>
      <c r="V1243" s="111"/>
      <c r="W1243" s="28"/>
      <c r="X1243" s="96">
        <f ca="1">(X1236/(N_9*X$27*X1238*X1242))*SQRT(M*'Valve Sizing'!$W$6*'Valve Sizing'!$G$8/X1241)</f>
        <v>27.782724310060608</v>
      </c>
      <c r="Y1243" s="111"/>
      <c r="Z1243" s="28"/>
      <c r="AA1243" s="96">
        <f ca="1">(AA1236/(N_9*AA$27*AA1238*AA1242))*SQRT(M*'Valve Sizing'!$W$6*'Valve Sizing'!$G$8/AA1241)</f>
        <v>56.981193414881716</v>
      </c>
      <c r="AB1243" s="111"/>
      <c r="AC1243" s="28"/>
      <c r="AD1243" s="96">
        <f ca="1">(AD1236/(N_9*AD$27*AD1238*AD1242))*SQRT(M*'Valve Sizing'!$W$6*'Valve Sizing'!$G$8/AD1241)</f>
        <v>109.90464868761312</v>
      </c>
      <c r="AE1243" s="111"/>
      <c r="AF1243" s="28"/>
      <c r="AG1243" s="96">
        <f ca="1">(AG1236/(N_9*AG$27*AG1238*AG1242))*SQRT(M*'Valve Sizing'!$W$6*'Valve Sizing'!$G$8/AG1241)</f>
        <v>226.76844435503114</v>
      </c>
      <c r="AH1243" s="111"/>
      <c r="AI1243" s="28"/>
      <c r="AJ1243" s="96" t="e">
        <f ca="1">(AJ1236/(N_9*AJ$27*AJ1238*AJ1242))*SQRT(M*'Valve Sizing'!$W$6*'Valve Sizing'!$G$8/AJ1241)</f>
        <v>#NUM!</v>
      </c>
      <c r="AK1243" s="111"/>
      <c r="AL1243" s="28"/>
      <c r="AM1243" s="96" t="e">
        <f ca="1">(AM1236/(N_9*AM$27*AM1238*AM1242))*SQRT(M*'Valve Sizing'!$W$6*'Valve Sizing'!$G$8/AM1241)</f>
        <v>#NUM!</v>
      </c>
      <c r="AN1243" s="111"/>
      <c r="AO1243" s="28"/>
      <c r="AP1243" s="96" t="e">
        <f ca="1">(AP1236/(N_9*AP$27*AP1238*AP1242))*SQRT(M*'Valve Sizing'!$W$6*'Valve Sizing'!$G$8/AP1241)</f>
        <v>#NUM!</v>
      </c>
      <c r="AQ1243" s="111"/>
      <c r="AR1243" s="28"/>
      <c r="AS1243" s="96">
        <f ca="1">(AS1236/(N_9*AS$27*AS1238*AS1242))*SQRT(M*'Valve Sizing'!$W$6*'Valve Sizing'!$G$8/AS1241)</f>
        <v>82.855838070780393</v>
      </c>
      <c r="AT1243" s="111"/>
      <c r="AU1243" s="28"/>
    </row>
    <row r="1244" spans="15:47" x14ac:dyDescent="0.25">
      <c r="O1244" s="2" t="s">
        <v>59</v>
      </c>
      <c r="P1244" s="143">
        <v>7</v>
      </c>
      <c r="Q1244" s="2"/>
      <c r="R1244" s="96">
        <f ca="1">(R1236/(N_9*R$27*R1238*0.667))*SQRT(M*'Valve Sizing'!$W$6*'Valve Sizing'!$G$8/R1245)</f>
        <v>0.63245518004316925</v>
      </c>
      <c r="S1244" s="107"/>
      <c r="T1244" s="22"/>
      <c r="U1244" s="96">
        <f ca="1">(U1236/(N_9*U$27*U1238*0.667))*SQRT(M*'Valve Sizing'!$W$6*'Valve Sizing'!$G$8/U1245)</f>
        <v>9.9812033396228763</v>
      </c>
      <c r="V1244" s="111"/>
      <c r="W1244" s="28"/>
      <c r="X1244" s="96">
        <f ca="1">(X1236/(N_9*X$27*X1238*0.667))*SQRT(M*'Valve Sizing'!$W$6*'Valve Sizing'!$G$8/X1245)</f>
        <v>24.803335383156043</v>
      </c>
      <c r="Y1244" s="111"/>
      <c r="Z1244" s="28"/>
      <c r="AA1244" s="96">
        <f ca="1">(AA1236/(N_9*AA$27*AA1238*0.667))*SQRT(M*'Valve Sizing'!$W$6*'Valve Sizing'!$G$8/AA1245)</f>
        <v>50.241671081532004</v>
      </c>
      <c r="AB1244" s="111"/>
      <c r="AC1244" s="28"/>
      <c r="AD1244" s="96">
        <f ca="1">(AD1236/(N_9*AD$27*AD1238*0.667))*SQRT(M*'Valve Sizing'!$W$6*'Valve Sizing'!$G$8/AD1245)</f>
        <v>92.731781980310146</v>
      </c>
      <c r="AE1244" s="111"/>
      <c r="AF1244" s="28"/>
      <c r="AG1244" s="96">
        <f ca="1">(AG1236/(N_9*AG$27*AG1238*0.667))*SQRT(M*'Valve Sizing'!$W$6*'Valve Sizing'!$G$8/AG1245)</f>
        <v>162.48440710370767</v>
      </c>
      <c r="AH1244" s="111"/>
      <c r="AI1244" s="28"/>
      <c r="AJ1244" s="96">
        <f ca="1">(AJ1236/(N_9*AJ$27*AJ1238*0.667))*SQRT(M*'Valve Sizing'!$W$6*'Valve Sizing'!$G$8/AJ1245)</f>
        <v>293.73318800446839</v>
      </c>
      <c r="AK1244" s="111"/>
      <c r="AL1244" s="28"/>
      <c r="AM1244" s="96">
        <f ca="1">(AM1236/(N_9*AM$27*AM1238*0.667))*SQRT(M*'Valve Sizing'!$W$6*'Valve Sizing'!$G$8/AM1245)</f>
        <v>566.62362070705444</v>
      </c>
      <c r="AN1244" s="111"/>
      <c r="AO1244" s="28"/>
      <c r="AP1244" s="96">
        <f ca="1">(AP1236/(N_9*AP$27*AP1238*0.667))*SQRT(M*'Valve Sizing'!$W$6*'Valve Sizing'!$G$8/AP1245)</f>
        <v>1186.1059831457208</v>
      </c>
      <c r="AQ1244" s="111"/>
      <c r="AR1244" s="28"/>
      <c r="AS1244" s="96">
        <f ca="1">(AS1236/(N_9*AS$27*AS1238*0.667))*SQRT(M*'Valve Sizing'!$W$6*'Valve Sizing'!$G$8/AS1245)</f>
        <v>-20911.323544027196</v>
      </c>
      <c r="AT1244" s="111"/>
      <c r="AU1244" s="28"/>
    </row>
    <row r="1245" spans="15:47" ht="15.6" x14ac:dyDescent="0.35">
      <c r="O1245" s="2" t="s">
        <v>68</v>
      </c>
      <c r="P1245" s="143">
        <v>10</v>
      </c>
      <c r="Q1245" s="2"/>
      <c r="R1245" s="96">
        <f ca="1">F_GAMMA*R$29</f>
        <v>0.64002969751372984</v>
      </c>
      <c r="S1245" s="107"/>
      <c r="T1245" s="1"/>
      <c r="U1245" s="96">
        <f ca="1">F_GAMMA*U$29</f>
        <v>0.64017842058782071</v>
      </c>
      <c r="V1245" s="111"/>
      <c r="W1245" s="28"/>
      <c r="X1245" s="96">
        <f ca="1">F_GAMMA*X$29</f>
        <v>0.63413873724904268</v>
      </c>
      <c r="Y1245" s="111"/>
      <c r="Z1245" s="28"/>
      <c r="AA1245" s="96">
        <f ca="1">F_GAMMA*AA$29</f>
        <v>0.62532411750377137</v>
      </c>
      <c r="AB1245" s="111"/>
      <c r="AC1245" s="28"/>
      <c r="AD1245" s="96">
        <f ca="1">F_GAMMA*AD$29</f>
        <v>0.60651359509139569</v>
      </c>
      <c r="AE1245" s="111"/>
      <c r="AF1245" s="28"/>
      <c r="AG1245" s="96">
        <f ca="1">F_GAMMA*AG$29</f>
        <v>0.57217930198481592</v>
      </c>
      <c r="AH1245" s="111"/>
      <c r="AI1245" s="28"/>
      <c r="AJ1245" s="96">
        <f ca="1">F_GAMMA*AJ$29</f>
        <v>0.53183282018848232</v>
      </c>
      <c r="AK1245" s="111"/>
      <c r="AL1245" s="28"/>
      <c r="AM1245" s="96">
        <f ca="1">F_GAMMA*AM$29</f>
        <v>0.47566512503094399</v>
      </c>
      <c r="AN1245" s="111"/>
      <c r="AO1245" s="28"/>
      <c r="AP1245" s="96">
        <f ca="1">F_GAMMA*AP$29</f>
        <v>0.59054158265645496</v>
      </c>
      <c r="AQ1245" s="111"/>
      <c r="AR1245" s="28"/>
      <c r="AS1245" s="96">
        <f ca="1">F_GAMMA*AS$29</f>
        <v>0.3766899554102966</v>
      </c>
      <c r="AT1245" s="111"/>
      <c r="AU1245" s="28"/>
    </row>
    <row r="1246" spans="15:47" x14ac:dyDescent="0.25">
      <c r="O1246" s="2" t="s">
        <v>145</v>
      </c>
      <c r="P1246" s="12"/>
      <c r="Q1246" s="2"/>
      <c r="R1246" s="96">
        <f ca="1">IF(R1241&lt;R1245,R1243,R1244)</f>
        <v>0.70650364218335193</v>
      </c>
      <c r="S1246" s="116"/>
      <c r="T1246" s="1"/>
      <c r="U1246" s="96">
        <f ca="1">IF(U1241&lt;U1245,U1243,U1244)</f>
        <v>11.160394082924313</v>
      </c>
      <c r="V1246" s="111"/>
      <c r="W1246" s="28"/>
      <c r="X1246" s="96">
        <f ca="1">IF(X1241&lt;X1245,X1243,X1244)</f>
        <v>27.782724310060608</v>
      </c>
      <c r="Y1246" s="111"/>
      <c r="Z1246" s="28"/>
      <c r="AA1246" s="96">
        <f ca="1">IF(AA1241&lt;AA1245,AA1243,AA1244)</f>
        <v>56.981193414881716</v>
      </c>
      <c r="AB1246" s="111"/>
      <c r="AC1246" s="28"/>
      <c r="AD1246" s="96">
        <f ca="1">IF(AD1241&lt;AD1245,AD1243,AD1244)</f>
        <v>109.90464868761312</v>
      </c>
      <c r="AE1246" s="111"/>
      <c r="AF1246" s="28"/>
      <c r="AG1246" s="96">
        <f ca="1">IF(AG1241&lt;AG1245,AG1243,AG1244)</f>
        <v>226.76844435503114</v>
      </c>
      <c r="AH1246" s="111"/>
      <c r="AI1246" s="28"/>
      <c r="AJ1246" s="96" t="e">
        <f ca="1">IF(AJ1241&lt;AJ1245,AJ1243,AJ1244)</f>
        <v>#NUM!</v>
      </c>
      <c r="AK1246" s="111"/>
      <c r="AL1246" s="28"/>
      <c r="AM1246" s="96" t="e">
        <f ca="1">IF(AM1241&lt;AM1245,AM1243,AM1244)</f>
        <v>#NUM!</v>
      </c>
      <c r="AN1246" s="111"/>
      <c r="AO1246" s="28"/>
      <c r="AP1246" s="96" t="e">
        <f ca="1">IF(AP1241&lt;AP1245,AP1243,AP1244)</f>
        <v>#NUM!</v>
      </c>
      <c r="AQ1246" s="111"/>
      <c r="AR1246" s="28"/>
      <c r="AS1246" s="96">
        <f ca="1">IF(AS1241&lt;AS1245,AS1243,AS1244)</f>
        <v>-20911.323544027196</v>
      </c>
      <c r="AT1246" s="111"/>
      <c r="AU1246" s="28"/>
    </row>
    <row r="1247" spans="15:47" x14ac:dyDescent="0.25">
      <c r="O1247" s="13" t="s">
        <v>143</v>
      </c>
      <c r="P1247" s="1"/>
      <c r="Q1247" s="1"/>
      <c r="R1247" s="113"/>
      <c r="S1247" s="106">
        <f ca="1">IF(R1240&lt;=0,Q_max,ABS(R$23-R1246))</f>
        <v>4.0234963578166489</v>
      </c>
      <c r="T1247" s="7">
        <f>R1236</f>
        <v>1749.4495987949097</v>
      </c>
      <c r="U1247" s="98"/>
      <c r="V1247" s="106">
        <f ca="1">IF(U1240&lt;=0,Q_max,ABS(U$23-U1246))</f>
        <v>0.43960591707568675</v>
      </c>
      <c r="W1247" s="9">
        <f ca="1">U1236</f>
        <v>27552.186501531756</v>
      </c>
      <c r="X1247" s="98"/>
      <c r="Y1247" s="106">
        <f ca="1">IF(X1240&lt;=0,Q_max,ABS(X$23-X1246))</f>
        <v>4.7827243100606083</v>
      </c>
      <c r="Z1247" s="9">
        <f ca="1">X1236</f>
        <v>67465.184125659478</v>
      </c>
      <c r="AA1247" s="98"/>
      <c r="AB1247" s="106">
        <f ca="1">IF(AA1240&lt;=0,Q_max,ABS(AA$23-AA1246))</f>
        <v>17.581193414881717</v>
      </c>
      <c r="AC1247" s="9">
        <f ca="1">AA1236</f>
        <v>131404.9584979761</v>
      </c>
      <c r="AD1247" s="98"/>
      <c r="AE1247" s="106">
        <f ca="1">IF(AD1240&lt;=0,Q_max,ABS(AD$23-AD1246))</f>
        <v>48.904648687613118</v>
      </c>
      <c r="AF1247" s="9">
        <f ca="1">AD1236</f>
        <v>220456.64309735264</v>
      </c>
      <c r="AG1247" s="98"/>
      <c r="AH1247" s="106">
        <f ca="1">IF(AG1240&lt;=0,Q_max,ABS(AG$23-AG1246))</f>
        <v>138.56844435503115</v>
      </c>
      <c r="AI1247" s="9">
        <f ca="1">AG1236</f>
        <v>321762.47498897201</v>
      </c>
      <c r="AJ1247" s="98"/>
      <c r="AK1247" s="106">
        <f ca="1">IF(AJ1240&lt;=0,Q_max,ABS(AJ$23-AJ1246))</f>
        <v>236393</v>
      </c>
      <c r="AL1247" s="9">
        <f ca="1">AJ1236</f>
        <v>429393.2702066506</v>
      </c>
      <c r="AM1247" s="98"/>
      <c r="AN1247" s="106">
        <f ca="1">IF(AM1240&lt;=0,Q_max,ABS(AM$23-AM1246))</f>
        <v>236393</v>
      </c>
      <c r="AO1247" s="9">
        <f ca="1">AM1236</f>
        <v>523941.39152684121</v>
      </c>
      <c r="AP1247" s="98"/>
      <c r="AQ1247" s="106">
        <f ca="1">IF(AP1240&lt;=0,Q_max,ABS(AP$23-AP1246))</f>
        <v>236393</v>
      </c>
      <c r="AR1247" s="9">
        <f ca="1">AP1236</f>
        <v>608279.68999602029</v>
      </c>
      <c r="AS1247" s="98"/>
      <c r="AT1247" s="106">
        <f ca="1">IF(AS1240&lt;=0,Q_max,ABS(AS$23-AS1246))</f>
        <v>236393</v>
      </c>
      <c r="AU1247" s="9">
        <f ca="1">AS1236</f>
        <v>713255.77463014098</v>
      </c>
    </row>
    <row r="1248" spans="15:47" x14ac:dyDescent="0.25">
      <c r="O1248" s="21"/>
      <c r="P1248" s="14"/>
      <c r="Q1248" s="21"/>
      <c r="R1248" s="97"/>
      <c r="S1248" s="106"/>
      <c r="T1248" s="28"/>
      <c r="U1248" s="97"/>
      <c r="V1248" s="111"/>
      <c r="W1248" s="28"/>
      <c r="X1248" s="97"/>
      <c r="Y1248" s="111"/>
      <c r="Z1248" s="28"/>
      <c r="AA1248" s="97"/>
      <c r="AB1248" s="111"/>
      <c r="AC1248" s="28"/>
      <c r="AD1248" s="97"/>
      <c r="AE1248" s="111"/>
      <c r="AF1248" s="28"/>
      <c r="AG1248" s="97"/>
      <c r="AH1248" s="111"/>
      <c r="AI1248" s="28"/>
      <c r="AJ1248" s="97"/>
      <c r="AK1248" s="111"/>
      <c r="AL1248" s="28"/>
      <c r="AM1248" s="97"/>
      <c r="AN1248" s="111"/>
      <c r="AO1248" s="28"/>
      <c r="AP1248" s="97"/>
      <c r="AQ1248" s="111"/>
      <c r="AR1248" s="28"/>
      <c r="AS1248" s="97"/>
      <c r="AT1248" s="111"/>
      <c r="AU1248" s="28"/>
    </row>
    <row r="1249" spans="15:47" x14ac:dyDescent="0.25">
      <c r="O1249" s="1"/>
      <c r="P1249" s="1"/>
      <c r="Q1249" s="1"/>
      <c r="R1249" s="98"/>
      <c r="S1249" s="108" t="s">
        <v>137</v>
      </c>
      <c r="T1249" s="26" t="s">
        <v>146</v>
      </c>
      <c r="U1249" s="98"/>
      <c r="V1249" s="108" t="s">
        <v>137</v>
      </c>
      <c r="W1249" s="26" t="s">
        <v>146</v>
      </c>
      <c r="X1249" s="98"/>
      <c r="Y1249" s="108" t="s">
        <v>137</v>
      </c>
      <c r="Z1249" s="26" t="s">
        <v>146</v>
      </c>
      <c r="AA1249" s="98"/>
      <c r="AB1249" s="108" t="s">
        <v>137</v>
      </c>
      <c r="AC1249" s="26" t="s">
        <v>146</v>
      </c>
      <c r="AD1249" s="98"/>
      <c r="AE1249" s="108" t="s">
        <v>137</v>
      </c>
      <c r="AF1249" s="26" t="s">
        <v>146</v>
      </c>
      <c r="AG1249" s="98"/>
      <c r="AH1249" s="108" t="s">
        <v>137</v>
      </c>
      <c r="AI1249" s="26" t="s">
        <v>146</v>
      </c>
      <c r="AJ1249" s="98"/>
      <c r="AK1249" s="108" t="s">
        <v>137</v>
      </c>
      <c r="AL1249" s="26" t="s">
        <v>146</v>
      </c>
      <c r="AM1249" s="98"/>
      <c r="AN1249" s="108" t="s">
        <v>137</v>
      </c>
      <c r="AO1249" s="26" t="s">
        <v>146</v>
      </c>
      <c r="AP1249" s="98"/>
      <c r="AQ1249" s="108" t="s">
        <v>137</v>
      </c>
      <c r="AR1249" s="26" t="s">
        <v>146</v>
      </c>
      <c r="AS1249" s="98"/>
      <c r="AT1249" s="108" t="s">
        <v>137</v>
      </c>
      <c r="AU1249" s="26" t="s">
        <v>146</v>
      </c>
    </row>
    <row r="1250" spans="15:47" ht="13.8" x14ac:dyDescent="0.25">
      <c r="O1250" s="20" t="s">
        <v>136</v>
      </c>
      <c r="P1250" s="1"/>
      <c r="Q1250" s="1"/>
      <c r="R1250" s="96">
        <f>R1236*1.02</f>
        <v>1784.4385907708079</v>
      </c>
      <c r="S1250" s="109" t="s">
        <v>144</v>
      </c>
      <c r="T1250" s="23" t="s">
        <v>147</v>
      </c>
      <c r="U1250" s="96">
        <f ca="1">U1236*1.01</f>
        <v>27827.708366547075</v>
      </c>
      <c r="V1250" s="109" t="s">
        <v>144</v>
      </c>
      <c r="W1250" s="23" t="s">
        <v>147</v>
      </c>
      <c r="X1250" s="96">
        <f ca="1">X1236*1.01</f>
        <v>68139.835966916071</v>
      </c>
      <c r="Y1250" s="109" t="s">
        <v>144</v>
      </c>
      <c r="Z1250" s="23" t="s">
        <v>147</v>
      </c>
      <c r="AA1250" s="96">
        <f ca="1">AA1236*1.01</f>
        <v>132719.00808295587</v>
      </c>
      <c r="AB1250" s="109" t="s">
        <v>144</v>
      </c>
      <c r="AC1250" s="23" t="s">
        <v>147</v>
      </c>
      <c r="AD1250" s="96">
        <f ca="1">AD1236*1.01</f>
        <v>222661.20952832617</v>
      </c>
      <c r="AE1250" s="109" t="s">
        <v>144</v>
      </c>
      <c r="AF1250" s="23" t="s">
        <v>147</v>
      </c>
      <c r="AG1250" s="96">
        <f ca="1">AG1236*1.01</f>
        <v>324980.09973886173</v>
      </c>
      <c r="AH1250" s="109" t="s">
        <v>144</v>
      </c>
      <c r="AI1250" s="23" t="s">
        <v>147</v>
      </c>
      <c r="AJ1250" s="96">
        <f ca="1">AJ1236*1.01</f>
        <v>433687.2029087171</v>
      </c>
      <c r="AK1250" s="109" t="s">
        <v>144</v>
      </c>
      <c r="AL1250" s="23" t="s">
        <v>147</v>
      </c>
      <c r="AM1250" s="96">
        <f ca="1">AM1236*1.01</f>
        <v>529180.80544210959</v>
      </c>
      <c r="AN1250" s="109" t="s">
        <v>144</v>
      </c>
      <c r="AO1250" s="23" t="s">
        <v>147</v>
      </c>
      <c r="AP1250" s="96">
        <f ca="1">AP1236*1.01</f>
        <v>614362.48689598055</v>
      </c>
      <c r="AQ1250" s="109" t="s">
        <v>144</v>
      </c>
      <c r="AR1250" s="23" t="s">
        <v>147</v>
      </c>
      <c r="AS1250" s="96">
        <f ca="1">AS1236*1.01</f>
        <v>720388.33237644238</v>
      </c>
      <c r="AT1250" s="109" t="s">
        <v>144</v>
      </c>
      <c r="AU1250" s="23" t="s">
        <v>147</v>
      </c>
    </row>
    <row r="1251" spans="15:47" x14ac:dyDescent="0.25">
      <c r="O1251" s="1"/>
      <c r="P1251" s="1"/>
      <c r="Q1251" s="1"/>
      <c r="R1251" s="98"/>
      <c r="S1251" s="107"/>
      <c r="T1251" s="1"/>
      <c r="U1251" s="47"/>
      <c r="V1251" s="107"/>
      <c r="W1251" s="1"/>
      <c r="X1251" s="47"/>
      <c r="Y1251" s="107"/>
      <c r="Z1251" s="1"/>
      <c r="AA1251" s="47"/>
      <c r="AB1251" s="107"/>
      <c r="AC1251" s="1"/>
      <c r="AD1251" s="47"/>
      <c r="AE1251" s="107"/>
      <c r="AF1251" s="1"/>
      <c r="AG1251" s="47"/>
      <c r="AH1251" s="107"/>
      <c r="AI1251" s="1"/>
      <c r="AJ1251" s="47"/>
      <c r="AK1251" s="107"/>
      <c r="AL1251" s="1"/>
      <c r="AM1251" s="47"/>
      <c r="AN1251" s="107"/>
      <c r="AO1251" s="1"/>
      <c r="AP1251" s="47"/>
      <c r="AQ1251" s="107"/>
      <c r="AR1251" s="1"/>
      <c r="AS1251" s="47"/>
      <c r="AT1251" s="107"/>
      <c r="AU1251" s="1"/>
    </row>
    <row r="1252" spans="15:47" x14ac:dyDescent="0.25">
      <c r="O1252" s="8" t="s">
        <v>132</v>
      </c>
      <c r="P1252" s="8"/>
      <c r="Q1252" s="8"/>
      <c r="R1252" s="96">
        <f>P_1_minQ-(R1250^2*R_up)+dpup_minQ</f>
        <v>90.184460171219271</v>
      </c>
      <c r="S1252" s="106"/>
      <c r="T1252" s="22"/>
      <c r="U1252" s="96">
        <f ca="1">P_1_minQ-(U1250^2*R_up)+dpup_minQ</f>
        <v>90.043901079252734</v>
      </c>
      <c r="V1252" s="107"/>
      <c r="W1252" s="1"/>
      <c r="X1252" s="96">
        <f ca="1">P_1_minQ-(X1250^2*R_up)+dpup_minQ</f>
        <v>89.338796331132215</v>
      </c>
      <c r="Y1252" s="107"/>
      <c r="Z1252" s="1"/>
      <c r="AA1252" s="96">
        <f ca="1">P_1_minQ-(AA1250^2*R_up)+dpup_minQ</f>
        <v>86.974635763539183</v>
      </c>
      <c r="AB1252" s="107"/>
      <c r="AC1252" s="1"/>
      <c r="AD1252" s="96">
        <f ca="1">P_1_minQ-(AD1250^2*R_up)+dpup_minQ</f>
        <v>81.148906481407167</v>
      </c>
      <c r="AE1252" s="107"/>
      <c r="AF1252" s="1"/>
      <c r="AG1252" s="96">
        <f ca="1">P_1_minQ-(AG1250^2*R_up)+dpup_minQ</f>
        <v>70.936089288284705</v>
      </c>
      <c r="AH1252" s="107"/>
      <c r="AI1252" s="1"/>
      <c r="AJ1252" s="96">
        <f ca="1">P_1_minQ-(AJ1250^2*R_up)+dpup_minQ</f>
        <v>55.904571780025584</v>
      </c>
      <c r="AK1252" s="107"/>
      <c r="AL1252" s="1"/>
      <c r="AM1252" s="96">
        <f ca="1">P_1_minQ-(AM1250^2*R_up)+dpup_minQ</f>
        <v>39.146093837633806</v>
      </c>
      <c r="AN1252" s="107"/>
      <c r="AO1252" s="1"/>
      <c r="AP1252" s="96">
        <f ca="1">P_1_minQ-(AP1250^2*R_up)+dpup_minQ</f>
        <v>21.392251590871311</v>
      </c>
      <c r="AQ1252" s="107"/>
      <c r="AR1252" s="1"/>
      <c r="AS1252" s="96">
        <f ca="1">P_1_minQ-(AS1250^2*R_up)+dpup_minQ</f>
        <v>-4.4009633721079675</v>
      </c>
      <c r="AT1252" s="107"/>
      <c r="AU1252" s="1"/>
    </row>
    <row r="1253" spans="15:47" x14ac:dyDescent="0.25">
      <c r="O1253" s="8" t="s">
        <v>134</v>
      </c>
      <c r="P1253" s="1"/>
      <c r="Q1253" s="8"/>
      <c r="R1253" s="97">
        <f>P_2_minQ+(R1250^2*R_dn)-dpdn_minQ</f>
        <v>60</v>
      </c>
      <c r="S1253" s="106"/>
      <c r="T1253" s="22"/>
      <c r="U1253" s="97">
        <f ca="1">P_2_minQ+(U1250^2*R_dn)-dpdn_minQ</f>
        <v>60</v>
      </c>
      <c r="V1253" s="107"/>
      <c r="W1253" s="1"/>
      <c r="X1253" s="97">
        <f ca="1">P_2_minQ+(X1250^2*R_dn)-dpdn_minQ</f>
        <v>60</v>
      </c>
      <c r="Y1253" s="107"/>
      <c r="Z1253" s="1"/>
      <c r="AA1253" s="97">
        <f ca="1">P_2_minQ+(AA1250^2*R_dn)-dpdn_minQ</f>
        <v>60</v>
      </c>
      <c r="AB1253" s="107"/>
      <c r="AC1253" s="1"/>
      <c r="AD1253" s="97">
        <f ca="1">P_2_minQ+(AD1250^2*R_dn)-dpdn_minQ</f>
        <v>60</v>
      </c>
      <c r="AE1253" s="107"/>
      <c r="AF1253" s="1"/>
      <c r="AG1253" s="97">
        <f ca="1">P_2_minQ+(AG1250^2*R_dn)-dpdn_minQ</f>
        <v>60</v>
      </c>
      <c r="AH1253" s="107"/>
      <c r="AI1253" s="1"/>
      <c r="AJ1253" s="97">
        <f ca="1">P_2_minQ+(AJ1250^2*R_dn)-dpdn_minQ</f>
        <v>60</v>
      </c>
      <c r="AK1253" s="107"/>
      <c r="AL1253" s="1"/>
      <c r="AM1253" s="97">
        <f ca="1">P_2_minQ+(AM1250^2*R_dn)-dpdn_minQ</f>
        <v>60</v>
      </c>
      <c r="AN1253" s="107"/>
      <c r="AO1253" s="1"/>
      <c r="AP1253" s="97">
        <f ca="1">P_2_minQ+(AP1250^2*R_dn)-dpdn_minQ</f>
        <v>60</v>
      </c>
      <c r="AQ1253" s="107"/>
      <c r="AR1253" s="1"/>
      <c r="AS1253" s="97">
        <f ca="1">P_2_minQ+(AS1250^2*R_dn)-dpdn_minQ</f>
        <v>60</v>
      </c>
      <c r="AT1253" s="107"/>
      <c r="AU1253" s="1"/>
    </row>
    <row r="1254" spans="15:47" x14ac:dyDescent="0.25">
      <c r="O1254" s="8" t="s">
        <v>138</v>
      </c>
      <c r="P1254" s="1"/>
      <c r="Q1254" s="8"/>
      <c r="R1254" s="97">
        <f>R1252-R1253</f>
        <v>30.184460171219271</v>
      </c>
      <c r="S1254" s="106"/>
      <c r="T1254" s="22"/>
      <c r="U1254" s="97">
        <f ca="1">U1252-U1253</f>
        <v>30.043901079252734</v>
      </c>
      <c r="V1254" s="110"/>
      <c r="W1254" s="25"/>
      <c r="X1254" s="97">
        <f ca="1">X1252-X1253</f>
        <v>29.338796331132215</v>
      </c>
      <c r="Y1254" s="110"/>
      <c r="Z1254" s="25"/>
      <c r="AA1254" s="97">
        <f ca="1">AA1252-AA1253</f>
        <v>26.974635763539183</v>
      </c>
      <c r="AB1254" s="110"/>
      <c r="AC1254" s="25"/>
      <c r="AD1254" s="97">
        <f ca="1">AD1252-AD1253</f>
        <v>21.148906481407167</v>
      </c>
      <c r="AE1254" s="110"/>
      <c r="AF1254" s="25"/>
      <c r="AG1254" s="97">
        <f ca="1">AG1252-AG1253</f>
        <v>10.936089288284705</v>
      </c>
      <c r="AH1254" s="110"/>
      <c r="AI1254" s="25"/>
      <c r="AJ1254" s="97">
        <f ca="1">AJ1252-AJ1253</f>
        <v>-4.0954282199744156</v>
      </c>
      <c r="AK1254" s="110"/>
      <c r="AL1254" s="25"/>
      <c r="AM1254" s="97">
        <f ca="1">AM1252-AM1253</f>
        <v>-20.853906162366194</v>
      </c>
      <c r="AN1254" s="110"/>
      <c r="AO1254" s="25"/>
      <c r="AP1254" s="97">
        <f ca="1">AP1252-AP1253</f>
        <v>-38.607748409128689</v>
      </c>
      <c r="AQ1254" s="110"/>
      <c r="AR1254" s="25"/>
      <c r="AS1254" s="97">
        <f ca="1">AS1252-AS1253</f>
        <v>-64.400963372107967</v>
      </c>
      <c r="AT1254" s="110"/>
      <c r="AU1254" s="25"/>
    </row>
    <row r="1255" spans="15:47" ht="14.4" x14ac:dyDescent="0.3">
      <c r="O1255" s="2" t="s">
        <v>140</v>
      </c>
      <c r="P1255" s="11"/>
      <c r="Q1255" s="2"/>
      <c r="R1255" s="96">
        <f>R1254/R1252</f>
        <v>0.33469691024277032</v>
      </c>
      <c r="S1255" s="106"/>
      <c r="T1255" s="22"/>
      <c r="U1255" s="96">
        <f ca="1">U1254/U1252</f>
        <v>0.33365836796441545</v>
      </c>
      <c r="V1255" s="111"/>
      <c r="W1255" s="28"/>
      <c r="X1255" s="96">
        <f ca="1">X1254/X1252</f>
        <v>0.32839927932752344</v>
      </c>
      <c r="Y1255" s="111"/>
      <c r="Z1255" s="28"/>
      <c r="AA1255" s="96">
        <f ca="1">AA1254/AA1252</f>
        <v>0.31014370484834242</v>
      </c>
      <c r="AB1255" s="111"/>
      <c r="AC1255" s="28"/>
      <c r="AD1255" s="96">
        <f ca="1">AD1254/AD1252</f>
        <v>0.26061850243481471</v>
      </c>
      <c r="AE1255" s="111"/>
      <c r="AF1255" s="28"/>
      <c r="AG1255" s="96">
        <f ca="1">AG1254/AG1252</f>
        <v>0.1541682012359093</v>
      </c>
      <c r="AH1255" s="111"/>
      <c r="AI1255" s="28"/>
      <c r="AJ1255" s="96">
        <f ca="1">AJ1254/AJ1252</f>
        <v>-7.3257483056827402E-2</v>
      </c>
      <c r="AK1255" s="111"/>
      <c r="AL1255" s="28"/>
      <c r="AM1255" s="96">
        <f ca="1">AM1254/AM1252</f>
        <v>-0.53271997581321673</v>
      </c>
      <c r="AN1255" s="111"/>
      <c r="AO1255" s="28"/>
      <c r="AP1255" s="96">
        <f ca="1">AP1254/AP1252</f>
        <v>-1.8047538495482041</v>
      </c>
      <c r="AQ1255" s="111"/>
      <c r="AR1255" s="28"/>
      <c r="AS1255" s="96">
        <f ca="1">AS1254/AS1252</f>
        <v>14.63337863256546</v>
      </c>
      <c r="AT1255" s="111"/>
      <c r="AU1255" s="28"/>
    </row>
    <row r="1256" spans="15:47" x14ac:dyDescent="0.25">
      <c r="O1256" s="2" t="s">
        <v>21</v>
      </c>
      <c r="P1256" s="8">
        <v>12</v>
      </c>
      <c r="Q1256" s="2"/>
      <c r="R1256" s="96">
        <f ca="1">1-R1255/(3*F_GAMMA*R$29)</f>
        <v>0.82568678112753224</v>
      </c>
      <c r="S1256" s="106"/>
      <c r="T1256" s="22"/>
      <c r="U1256" s="96">
        <f ca="1">1-U1255/(3*F_GAMMA*U$29)</f>
        <v>0.82626803339291688</v>
      </c>
      <c r="V1256" s="111"/>
      <c r="W1256" s="28"/>
      <c r="X1256" s="96">
        <f ca="1">1-X1255/(3*F_GAMMA*X$29)</f>
        <v>0.82737779603658324</v>
      </c>
      <c r="Y1256" s="111"/>
      <c r="Z1256" s="28"/>
      <c r="AA1256" s="96">
        <f ca="1">1-AA1255/(3*F_GAMMA*AA$29)</f>
        <v>0.83467575924924409</v>
      </c>
      <c r="AB1256" s="111"/>
      <c r="AC1256" s="28"/>
      <c r="AD1256" s="96">
        <f ca="1">1-AD1255/(3*F_GAMMA*AD$29)</f>
        <v>0.85676688066349549</v>
      </c>
      <c r="AE1256" s="111"/>
      <c r="AF1256" s="28"/>
      <c r="AG1256" s="96">
        <f ca="1">1-AG1255/(3*F_GAMMA*AG$29)</f>
        <v>0.91018654426382328</v>
      </c>
      <c r="AH1256" s="111"/>
      <c r="AI1256" s="28"/>
      <c r="AJ1256" s="96">
        <f ca="1">1-AJ1255/(3*F_GAMMA*AJ$29)</f>
        <v>1.0459151073269384</v>
      </c>
      <c r="AK1256" s="111"/>
      <c r="AL1256" s="28"/>
      <c r="AM1256" s="96">
        <f ca="1">1-AM1255/(3*F_GAMMA*AM$29)</f>
        <v>1.3733158390780076</v>
      </c>
      <c r="AN1256" s="111"/>
      <c r="AO1256" s="28"/>
      <c r="AP1256" s="96">
        <f ca="1">1-AP1255/(3*F_GAMMA*AP$29)</f>
        <v>2.0186998412710206</v>
      </c>
      <c r="AQ1256" s="111"/>
      <c r="AR1256" s="28"/>
      <c r="AS1256" s="96">
        <f ca="1">1-AS1255/(3*F_GAMMA*AS$29)</f>
        <v>-11.949091971961002</v>
      </c>
      <c r="AT1256" s="111"/>
      <c r="AU1256" s="28"/>
    </row>
    <row r="1257" spans="15:47" x14ac:dyDescent="0.25">
      <c r="O1257" s="2" t="s">
        <v>57</v>
      </c>
      <c r="P1257" s="143">
        <v>7</v>
      </c>
      <c r="Q1257" s="2"/>
      <c r="R1257" s="96">
        <f ca="1">(R1250/(N_9*R$27*R1252*R1256))*SQRT(M*'Valve Sizing'!$W$6*'Valve Sizing'!$G$8/R1255)</f>
        <v>0.72063399851352428</v>
      </c>
      <c r="S1257" s="107"/>
      <c r="T1257" s="22"/>
      <c r="U1257" s="96">
        <f ca="1">(U1250/(N_9*U$27*U1252*U1256))*SQRT(M*'Valve Sizing'!$W$6*'Valve Sizing'!$G$8/U1255)</f>
        <v>11.272547591475119</v>
      </c>
      <c r="V1257" s="111"/>
      <c r="W1257" s="28"/>
      <c r="X1257" s="96">
        <f ca="1">(X1250/(N_9*X$27*X1252*X1256))*SQRT(M*'Valve Sizing'!$W$6*'Valve Sizing'!$G$8/X1255)</f>
        <v>28.068908554871594</v>
      </c>
      <c r="Y1257" s="111"/>
      <c r="Z1257" s="28"/>
      <c r="AA1257" s="96">
        <f ca="1">(AA1250/(N_9*AA$27*AA1252*AA1256))*SQRT(M*'Valve Sizing'!$W$6*'Valve Sizing'!$G$8/AA1255)</f>
        <v>57.620940096942036</v>
      </c>
      <c r="AB1257" s="111"/>
      <c r="AC1257" s="28"/>
      <c r="AD1257" s="96">
        <f ca="1">(AD1250/(N_9*AD$27*AD1252*AD1256))*SQRT(M*'Valve Sizing'!$W$6*'Valve Sizing'!$G$8/AD1255)</f>
        <v>111.47632053552819</v>
      </c>
      <c r="AE1257" s="111"/>
      <c r="AF1257" s="28"/>
      <c r="AG1257" s="96">
        <f ca="1">(AG1250/(N_9*AG$27*AG1252*AG1256))*SQRT(M*'Valve Sizing'!$W$6*'Valve Sizing'!$G$8/AG1255)</f>
        <v>232.92336288675031</v>
      </c>
      <c r="AH1257" s="111"/>
      <c r="AI1257" s="28"/>
      <c r="AJ1257" s="96" t="e">
        <f ca="1">(AJ1250/(N_9*AJ$27*AJ1252*AJ1256))*SQRT(M*'Valve Sizing'!$W$6*'Valve Sizing'!$G$8/AJ1255)</f>
        <v>#NUM!</v>
      </c>
      <c r="AK1257" s="111"/>
      <c r="AL1257" s="28"/>
      <c r="AM1257" s="96" t="e">
        <f ca="1">(AM1250/(N_9*AM$27*AM1252*AM1256))*SQRT(M*'Valve Sizing'!$W$6*'Valve Sizing'!$G$8/AM1255)</f>
        <v>#NUM!</v>
      </c>
      <c r="AN1257" s="111"/>
      <c r="AO1257" s="28"/>
      <c r="AP1257" s="96" t="e">
        <f ca="1">(AP1250/(N_9*AP$27*AP1252*AP1256))*SQRT(M*'Valve Sizing'!$W$6*'Valve Sizing'!$G$8/AP1255)</f>
        <v>#NUM!</v>
      </c>
      <c r="AQ1257" s="111"/>
      <c r="AR1257" s="28"/>
      <c r="AS1257" s="96">
        <f ca="1">(AS1250/(N_9*AS$27*AS1252*AS1256))*SQRT(M*'Valve Sizing'!$W$6*'Valve Sizing'!$G$8/AS1255)</f>
        <v>109.050651411646</v>
      </c>
      <c r="AT1257" s="111"/>
      <c r="AU1257" s="28"/>
    </row>
    <row r="1258" spans="15:47" x14ac:dyDescent="0.25">
      <c r="O1258" s="2" t="s">
        <v>59</v>
      </c>
      <c r="P1258" s="143">
        <v>7</v>
      </c>
      <c r="Q1258" s="2"/>
      <c r="R1258" s="96">
        <f ca="1">(R1250/(N_9*R$27*R1252*0.667))*SQRT(M*'Valve Sizing'!$W$6*'Valve Sizing'!$G$8/R1259)</f>
        <v>0.64510444484809737</v>
      </c>
      <c r="S1258" s="107"/>
      <c r="T1258" s="22"/>
      <c r="U1258" s="96">
        <f ca="1">(U1250/(N_9*U$27*U1252*0.667))*SQRT(M*'Valve Sizing'!$W$6*'Valve Sizing'!$G$8/U1259)</f>
        <v>10.08132672505401</v>
      </c>
      <c r="V1258" s="111"/>
      <c r="W1258" s="28"/>
      <c r="X1258" s="96">
        <f ca="1">(X1250/(N_9*X$27*X1252*0.667))*SQRT(M*'Valve Sizing'!$W$6*'Valve Sizing'!$G$8/X1259)</f>
        <v>25.056044369578192</v>
      </c>
      <c r="Y1258" s="111"/>
      <c r="Z1258" s="28"/>
      <c r="AA1258" s="96">
        <f ca="1">(AA1250/(N_9*AA$27*AA1252*0.667))*SQRT(M*'Valve Sizing'!$W$6*'Valve Sizing'!$G$8/AA1259)</f>
        <v>50.780994553352478</v>
      </c>
      <c r="AB1258" s="111"/>
      <c r="AC1258" s="28"/>
      <c r="AD1258" s="96">
        <f ca="1">(AD1250/(N_9*AD$27*AD1252*0.667))*SQRT(M*'Valve Sizing'!$W$6*'Valve Sizing'!$G$8/AD1259)</f>
        <v>93.864595757279645</v>
      </c>
      <c r="AE1258" s="111"/>
      <c r="AF1258" s="28"/>
      <c r="AG1258" s="96">
        <f ca="1">(AG1250/(N_9*AG$27*AG1252*0.667))*SQRT(M*'Valve Sizing'!$W$6*'Valve Sizing'!$G$8/AG1259)</f>
        <v>164.9867089041947</v>
      </c>
      <c r="AH1258" s="111"/>
      <c r="AI1258" s="28"/>
      <c r="AJ1258" s="96">
        <f ca="1">(AJ1250/(N_9*AJ$27*AJ1252*0.667))*SQRT(M*'Valve Sizing'!$W$6*'Valve Sizing'!$G$8/AJ1259)</f>
        <v>300.25500787079687</v>
      </c>
      <c r="AK1258" s="111"/>
      <c r="AL1258" s="28"/>
      <c r="AM1258" s="96">
        <f ca="1">(AM1250/(N_9*AM$27*AM1252*0.667))*SQRT(M*'Valve Sizing'!$W$6*'Valve Sizing'!$G$8/AM1259)</f>
        <v>586.99206715477601</v>
      </c>
      <c r="AN1258" s="111"/>
      <c r="AO1258" s="28"/>
      <c r="AP1258" s="96">
        <f ca="1">(AP1250/(N_9*AP$27*AP1252*0.667))*SQRT(M*'Valve Sizing'!$W$6*'Valve Sizing'!$G$8/AP1259)</f>
        <v>1273.8745274265827</v>
      </c>
      <c r="AQ1258" s="111"/>
      <c r="AR1258" s="28"/>
      <c r="AS1258" s="96">
        <f ca="1">(AS1250/(N_9*AS$27*AS1252*0.667))*SQRT(M*'Valve Sizing'!$W$6*'Valve Sizing'!$G$8/AS1259)</f>
        <v>-12176.363911605837</v>
      </c>
      <c r="AT1258" s="111"/>
      <c r="AU1258" s="28"/>
    </row>
    <row r="1259" spans="15:47" ht="15.6" x14ac:dyDescent="0.35">
      <c r="O1259" s="2" t="s">
        <v>68</v>
      </c>
      <c r="P1259" s="143">
        <v>10</v>
      </c>
      <c r="Q1259" s="2"/>
      <c r="R1259" s="96">
        <f ca="1">F_GAMMA*R$29</f>
        <v>0.64002969751372984</v>
      </c>
      <c r="S1259" s="107"/>
      <c r="T1259" s="1"/>
      <c r="U1259" s="96">
        <f ca="1">F_GAMMA*U$29</f>
        <v>0.64017842058782071</v>
      </c>
      <c r="V1259" s="111"/>
      <c r="W1259" s="28"/>
      <c r="X1259" s="96">
        <f ca="1">F_GAMMA*X$29</f>
        <v>0.63413873724904268</v>
      </c>
      <c r="Y1259" s="111"/>
      <c r="Z1259" s="28"/>
      <c r="AA1259" s="96">
        <f ca="1">F_GAMMA*AA$29</f>
        <v>0.62532411750377137</v>
      </c>
      <c r="AB1259" s="111"/>
      <c r="AC1259" s="28"/>
      <c r="AD1259" s="96">
        <f ca="1">F_GAMMA*AD$29</f>
        <v>0.60651359509139569</v>
      </c>
      <c r="AE1259" s="111"/>
      <c r="AF1259" s="28"/>
      <c r="AG1259" s="96">
        <f ca="1">F_GAMMA*AG$29</f>
        <v>0.57217930198481592</v>
      </c>
      <c r="AH1259" s="111"/>
      <c r="AI1259" s="28"/>
      <c r="AJ1259" s="96">
        <f ca="1">F_GAMMA*AJ$29</f>
        <v>0.53183282018848232</v>
      </c>
      <c r="AK1259" s="111"/>
      <c r="AL1259" s="28"/>
      <c r="AM1259" s="96">
        <f ca="1">F_GAMMA*AM$29</f>
        <v>0.47566512503094399</v>
      </c>
      <c r="AN1259" s="111"/>
      <c r="AO1259" s="28"/>
      <c r="AP1259" s="96">
        <f ca="1">F_GAMMA*AP$29</f>
        <v>0.59054158265645496</v>
      </c>
      <c r="AQ1259" s="111"/>
      <c r="AR1259" s="28"/>
      <c r="AS1259" s="96">
        <f ca="1">F_GAMMA*AS$29</f>
        <v>0.3766899554102966</v>
      </c>
      <c r="AT1259" s="111"/>
      <c r="AU1259" s="28"/>
    </row>
    <row r="1260" spans="15:47" x14ac:dyDescent="0.25">
      <c r="O1260" s="2" t="s">
        <v>145</v>
      </c>
      <c r="P1260" s="12"/>
      <c r="Q1260" s="2"/>
      <c r="R1260" s="96">
        <f ca="1">IF(R1255&lt;R1259,R1257,R1258)</f>
        <v>0.72063399851352428</v>
      </c>
      <c r="S1260" s="116"/>
      <c r="T1260" s="1"/>
      <c r="U1260" s="96">
        <f ca="1">IF(U1255&lt;U1259,U1257,U1258)</f>
        <v>11.272547591475119</v>
      </c>
      <c r="V1260" s="111"/>
      <c r="W1260" s="28"/>
      <c r="X1260" s="96">
        <f ca="1">IF(X1255&lt;X1259,X1257,X1258)</f>
        <v>28.068908554871594</v>
      </c>
      <c r="Y1260" s="111"/>
      <c r="Z1260" s="28"/>
      <c r="AA1260" s="96">
        <f ca="1">IF(AA1255&lt;AA1259,AA1257,AA1258)</f>
        <v>57.620940096942036</v>
      </c>
      <c r="AB1260" s="111"/>
      <c r="AC1260" s="28"/>
      <c r="AD1260" s="96">
        <f ca="1">IF(AD1255&lt;AD1259,AD1257,AD1258)</f>
        <v>111.47632053552819</v>
      </c>
      <c r="AE1260" s="111"/>
      <c r="AF1260" s="28"/>
      <c r="AG1260" s="96">
        <f ca="1">IF(AG1255&lt;AG1259,AG1257,AG1258)</f>
        <v>232.92336288675031</v>
      </c>
      <c r="AH1260" s="111"/>
      <c r="AI1260" s="28"/>
      <c r="AJ1260" s="96" t="e">
        <f ca="1">IF(AJ1255&lt;AJ1259,AJ1257,AJ1258)</f>
        <v>#NUM!</v>
      </c>
      <c r="AK1260" s="111"/>
      <c r="AL1260" s="28"/>
      <c r="AM1260" s="96" t="e">
        <f ca="1">IF(AM1255&lt;AM1259,AM1257,AM1258)</f>
        <v>#NUM!</v>
      </c>
      <c r="AN1260" s="111"/>
      <c r="AO1260" s="28"/>
      <c r="AP1260" s="96" t="e">
        <f ca="1">IF(AP1255&lt;AP1259,AP1257,AP1258)</f>
        <v>#NUM!</v>
      </c>
      <c r="AQ1260" s="111"/>
      <c r="AR1260" s="28"/>
      <c r="AS1260" s="96">
        <f ca="1">IF(AS1255&lt;AS1259,AS1257,AS1258)</f>
        <v>-12176.363911605837</v>
      </c>
      <c r="AT1260" s="111"/>
      <c r="AU1260" s="28"/>
    </row>
    <row r="1261" spans="15:47" x14ac:dyDescent="0.25">
      <c r="O1261" s="13" t="s">
        <v>143</v>
      </c>
      <c r="P1261" s="1"/>
      <c r="Q1261" s="1"/>
      <c r="R1261" s="113"/>
      <c r="S1261" s="106">
        <f ca="1">IF(R1254&lt;=0,Q_max,ABS(R$23-R1260))</f>
        <v>4.0093660014864758</v>
      </c>
      <c r="T1261" s="7">
        <f>R1250</f>
        <v>1784.4385907708079</v>
      </c>
      <c r="U1261" s="98"/>
      <c r="V1261" s="106">
        <f ca="1">IF(U1254&lt;=0,Q_max,ABS(U$23-U1260))</f>
        <v>0.32745240852488067</v>
      </c>
      <c r="W1261" s="9">
        <f ca="1">U1250</f>
        <v>27827.708366547075</v>
      </c>
      <c r="X1261" s="98"/>
      <c r="Y1261" s="106">
        <f ca="1">IF(X1254&lt;=0,Q_max,ABS(X$23-X1260))</f>
        <v>5.0689085548715944</v>
      </c>
      <c r="Z1261" s="9">
        <f ca="1">X1250</f>
        <v>68139.835966916071</v>
      </c>
      <c r="AA1261" s="98"/>
      <c r="AB1261" s="106">
        <f ca="1">IF(AA1254&lt;=0,Q_max,ABS(AA$23-AA1260))</f>
        <v>18.220940096942037</v>
      </c>
      <c r="AC1261" s="9">
        <f ca="1">AA1250</f>
        <v>132719.00808295587</v>
      </c>
      <c r="AD1261" s="98"/>
      <c r="AE1261" s="106">
        <f ca="1">IF(AD1254&lt;=0,Q_max,ABS(AD$23-AD1260))</f>
        <v>50.476320535528188</v>
      </c>
      <c r="AF1261" s="9">
        <f ca="1">AD1250</f>
        <v>222661.20952832617</v>
      </c>
      <c r="AG1261" s="98"/>
      <c r="AH1261" s="106">
        <f ca="1">IF(AG1254&lt;=0,Q_max,ABS(AG$23-AG1260))</f>
        <v>144.72336288675029</v>
      </c>
      <c r="AI1261" s="9">
        <f ca="1">AG1250</f>
        <v>324980.09973886173</v>
      </c>
      <c r="AJ1261" s="98"/>
      <c r="AK1261" s="106">
        <f ca="1">IF(AJ1254&lt;=0,Q_max,ABS(AJ$23-AJ1260))</f>
        <v>236393</v>
      </c>
      <c r="AL1261" s="9">
        <f ca="1">AJ1250</f>
        <v>433687.2029087171</v>
      </c>
      <c r="AM1261" s="98"/>
      <c r="AN1261" s="106">
        <f ca="1">IF(AM1254&lt;=0,Q_max,ABS(AM$23-AM1260))</f>
        <v>236393</v>
      </c>
      <c r="AO1261" s="9">
        <f ca="1">AM1250</f>
        <v>529180.80544210959</v>
      </c>
      <c r="AP1261" s="98"/>
      <c r="AQ1261" s="106">
        <f ca="1">IF(AP1254&lt;=0,Q_max,ABS(AP$23-AP1260))</f>
        <v>236393</v>
      </c>
      <c r="AR1261" s="9">
        <f ca="1">AP1250</f>
        <v>614362.48689598055</v>
      </c>
      <c r="AS1261" s="98"/>
      <c r="AT1261" s="106">
        <f ca="1">IF(AS1254&lt;=0,Q_max,ABS(AS$23-AS1260))</f>
        <v>236393</v>
      </c>
      <c r="AU1261" s="9">
        <f ca="1">AS1250</f>
        <v>720388.33237644238</v>
      </c>
    </row>
    <row r="1262" spans="15:47" x14ac:dyDescent="0.25">
      <c r="O1262" s="21"/>
      <c r="P1262" s="14"/>
      <c r="Q1262" s="21"/>
      <c r="R1262" s="97"/>
      <c r="S1262" s="106"/>
      <c r="T1262" s="28"/>
      <c r="U1262" s="97"/>
      <c r="V1262" s="111"/>
      <c r="W1262" s="28"/>
      <c r="X1262" s="97"/>
      <c r="Y1262" s="111"/>
      <c r="Z1262" s="28"/>
      <c r="AA1262" s="97"/>
      <c r="AB1262" s="111"/>
      <c r="AC1262" s="28"/>
      <c r="AD1262" s="97"/>
      <c r="AE1262" s="111"/>
      <c r="AF1262" s="28"/>
      <c r="AG1262" s="97"/>
      <c r="AH1262" s="111"/>
      <c r="AI1262" s="28"/>
      <c r="AJ1262" s="97"/>
      <c r="AK1262" s="111"/>
      <c r="AL1262" s="28"/>
      <c r="AM1262" s="97"/>
      <c r="AN1262" s="111"/>
      <c r="AO1262" s="28"/>
      <c r="AP1262" s="97"/>
      <c r="AQ1262" s="111"/>
      <c r="AR1262" s="28"/>
      <c r="AS1262" s="97"/>
      <c r="AT1262" s="111"/>
      <c r="AU1262" s="28"/>
    </row>
    <row r="1263" spans="15:47" x14ac:dyDescent="0.25">
      <c r="O1263" s="1"/>
      <c r="P1263" s="1"/>
      <c r="Q1263" s="1"/>
      <c r="R1263" s="98"/>
      <c r="S1263" s="108" t="s">
        <v>137</v>
      </c>
      <c r="T1263" s="26" t="s">
        <v>146</v>
      </c>
      <c r="U1263" s="98"/>
      <c r="V1263" s="108" t="s">
        <v>137</v>
      </c>
      <c r="W1263" s="26" t="s">
        <v>146</v>
      </c>
      <c r="X1263" s="98"/>
      <c r="Y1263" s="108" t="s">
        <v>137</v>
      </c>
      <c r="Z1263" s="26" t="s">
        <v>146</v>
      </c>
      <c r="AA1263" s="98"/>
      <c r="AB1263" s="108" t="s">
        <v>137</v>
      </c>
      <c r="AC1263" s="26" t="s">
        <v>146</v>
      </c>
      <c r="AD1263" s="98"/>
      <c r="AE1263" s="108" t="s">
        <v>137</v>
      </c>
      <c r="AF1263" s="26" t="s">
        <v>146</v>
      </c>
      <c r="AG1263" s="98"/>
      <c r="AH1263" s="108" t="s">
        <v>137</v>
      </c>
      <c r="AI1263" s="26" t="s">
        <v>146</v>
      </c>
      <c r="AJ1263" s="98"/>
      <c r="AK1263" s="108" t="s">
        <v>137</v>
      </c>
      <c r="AL1263" s="26" t="s">
        <v>146</v>
      </c>
      <c r="AM1263" s="98"/>
      <c r="AN1263" s="108" t="s">
        <v>137</v>
      </c>
      <c r="AO1263" s="26" t="s">
        <v>146</v>
      </c>
      <c r="AP1263" s="98"/>
      <c r="AQ1263" s="108" t="s">
        <v>137</v>
      </c>
      <c r="AR1263" s="26" t="s">
        <v>146</v>
      </c>
      <c r="AS1263" s="98"/>
      <c r="AT1263" s="108" t="s">
        <v>137</v>
      </c>
      <c r="AU1263" s="26" t="s">
        <v>146</v>
      </c>
    </row>
    <row r="1264" spans="15:47" ht="13.8" x14ac:dyDescent="0.25">
      <c r="O1264" s="20" t="s">
        <v>136</v>
      </c>
      <c r="P1264" s="1"/>
      <c r="Q1264" s="1"/>
      <c r="R1264" s="96">
        <f>R1250*1.02</f>
        <v>1820.1273625862241</v>
      </c>
      <c r="S1264" s="109" t="s">
        <v>144</v>
      </c>
      <c r="T1264" s="23" t="s">
        <v>147</v>
      </c>
      <c r="U1264" s="96">
        <f ca="1">U1250*1.01</f>
        <v>28105.985450212545</v>
      </c>
      <c r="V1264" s="109" t="s">
        <v>144</v>
      </c>
      <c r="W1264" s="23" t="s">
        <v>147</v>
      </c>
      <c r="X1264" s="96">
        <f ca="1">X1250*1.01</f>
        <v>68821.234326585225</v>
      </c>
      <c r="Y1264" s="109" t="s">
        <v>144</v>
      </c>
      <c r="Z1264" s="23" t="s">
        <v>147</v>
      </c>
      <c r="AA1264" s="96">
        <f ca="1">AA1250*1.01</f>
        <v>134046.19816378542</v>
      </c>
      <c r="AB1264" s="109" t="s">
        <v>144</v>
      </c>
      <c r="AC1264" s="23" t="s">
        <v>147</v>
      </c>
      <c r="AD1264" s="96">
        <f ca="1">AD1250*1.01</f>
        <v>224887.82162360943</v>
      </c>
      <c r="AE1264" s="109" t="s">
        <v>144</v>
      </c>
      <c r="AF1264" s="23" t="s">
        <v>147</v>
      </c>
      <c r="AG1264" s="96">
        <f ca="1">AG1250*1.01</f>
        <v>328229.90073625033</v>
      </c>
      <c r="AH1264" s="109" t="s">
        <v>144</v>
      </c>
      <c r="AI1264" s="23" t="s">
        <v>147</v>
      </c>
      <c r="AJ1264" s="96">
        <f ca="1">AJ1250*1.01</f>
        <v>438024.07493780425</v>
      </c>
      <c r="AK1264" s="109" t="s">
        <v>144</v>
      </c>
      <c r="AL1264" s="23" t="s">
        <v>147</v>
      </c>
      <c r="AM1264" s="96">
        <f ca="1">AM1250*1.01</f>
        <v>534472.61349653068</v>
      </c>
      <c r="AN1264" s="109" t="s">
        <v>144</v>
      </c>
      <c r="AO1264" s="23" t="s">
        <v>147</v>
      </c>
      <c r="AP1264" s="96">
        <f ca="1">AP1250*1.01</f>
        <v>620506.11176494032</v>
      </c>
      <c r="AQ1264" s="109" t="s">
        <v>144</v>
      </c>
      <c r="AR1264" s="23" t="s">
        <v>147</v>
      </c>
      <c r="AS1264" s="96">
        <f ca="1">AS1250*1.01</f>
        <v>727592.21570020681</v>
      </c>
      <c r="AT1264" s="109" t="s">
        <v>144</v>
      </c>
      <c r="AU1264" s="23" t="s">
        <v>147</v>
      </c>
    </row>
    <row r="1265" spans="15:47" x14ac:dyDescent="0.25">
      <c r="O1265" s="1"/>
      <c r="P1265" s="1"/>
      <c r="Q1265" s="1"/>
      <c r="R1265" s="98"/>
      <c r="S1265" s="107"/>
      <c r="T1265" s="1"/>
      <c r="U1265" s="47"/>
      <c r="V1265" s="107"/>
      <c r="W1265" s="1"/>
      <c r="X1265" s="47"/>
      <c r="Y1265" s="107"/>
      <c r="Z1265" s="1"/>
      <c r="AA1265" s="47"/>
      <c r="AB1265" s="107"/>
      <c r="AC1265" s="1"/>
      <c r="AD1265" s="47"/>
      <c r="AE1265" s="107"/>
      <c r="AF1265" s="1"/>
      <c r="AG1265" s="47"/>
      <c r="AH1265" s="107"/>
      <c r="AI1265" s="1"/>
      <c r="AJ1265" s="47"/>
      <c r="AK1265" s="107"/>
      <c r="AL1265" s="1"/>
      <c r="AM1265" s="47"/>
      <c r="AN1265" s="107"/>
      <c r="AO1265" s="1"/>
      <c r="AP1265" s="47"/>
      <c r="AQ1265" s="107"/>
      <c r="AR1265" s="1"/>
      <c r="AS1265" s="47"/>
      <c r="AT1265" s="107"/>
      <c r="AU1265" s="1"/>
    </row>
    <row r="1266" spans="15:47" x14ac:dyDescent="0.25">
      <c r="O1266" s="8" t="s">
        <v>132</v>
      </c>
      <c r="P1266" s="8"/>
      <c r="Q1266" s="8"/>
      <c r="R1266" s="96">
        <f>P_1_minQ-(R1264^2*R_up)+dpup_minQ</f>
        <v>90.184436724714203</v>
      </c>
      <c r="S1266" s="106"/>
      <c r="T1266" s="22"/>
      <c r="U1266" s="96">
        <f ca="1">P_1_minQ-(U1264^2*R_up)+dpup_minQ</f>
        <v>90.041064176287577</v>
      </c>
      <c r="V1266" s="107"/>
      <c r="W1266" s="1"/>
      <c r="X1266" s="96">
        <f ca="1">P_1_minQ-(X1264^2*R_up)+dpup_minQ</f>
        <v>89.321786822729834</v>
      </c>
      <c r="Y1266" s="107"/>
      <c r="Z1266" s="1"/>
      <c r="AA1266" s="96">
        <f ca="1">P_1_minQ-(AA1264^2*R_up)+dpup_minQ</f>
        <v>86.910106627728183</v>
      </c>
      <c r="AB1266" s="107"/>
      <c r="AC1266" s="1"/>
      <c r="AD1266" s="96">
        <f ca="1">P_1_minQ-(AD1264^2*R_up)+dpup_minQ</f>
        <v>80.967280187025324</v>
      </c>
      <c r="AE1266" s="107"/>
      <c r="AF1266" s="1"/>
      <c r="AG1266" s="96">
        <f ca="1">P_1_minQ-(AG1264^2*R_up)+dpup_minQ</f>
        <v>70.549185368321076</v>
      </c>
      <c r="AH1266" s="107"/>
      <c r="AI1266" s="1"/>
      <c r="AJ1266" s="96">
        <f ca="1">P_1_minQ-(AJ1264^2*R_up)+dpup_minQ</f>
        <v>55.215534358145966</v>
      </c>
      <c r="AK1266" s="107"/>
      <c r="AL1266" s="1"/>
      <c r="AM1266" s="96">
        <f ca="1">P_1_minQ-(AM1264^2*R_up)+dpup_minQ</f>
        <v>38.120211009112111</v>
      </c>
      <c r="AN1266" s="107"/>
      <c r="AO1266" s="1"/>
      <c r="AP1266" s="96">
        <f ca="1">P_1_minQ-(AP1264^2*R_up)+dpup_minQ</f>
        <v>20.009516533189696</v>
      </c>
      <c r="AQ1266" s="107"/>
      <c r="AR1266" s="1"/>
      <c r="AS1266" s="96">
        <f ca="1">P_1_minQ-(AS1264^2*R_up)+dpup_minQ</f>
        <v>-6.3021420505454708</v>
      </c>
      <c r="AT1266" s="107"/>
      <c r="AU1266" s="1"/>
    </row>
    <row r="1267" spans="15:47" x14ac:dyDescent="0.25">
      <c r="O1267" s="8" t="s">
        <v>134</v>
      </c>
      <c r="P1267" s="1"/>
      <c r="Q1267" s="8"/>
      <c r="R1267" s="97">
        <f>P_2_minQ+(R1264^2*R_dn)-dpdn_minQ</f>
        <v>60</v>
      </c>
      <c r="S1267" s="106"/>
      <c r="T1267" s="22"/>
      <c r="U1267" s="97">
        <f ca="1">P_2_minQ+(U1264^2*R_dn)-dpdn_minQ</f>
        <v>60</v>
      </c>
      <c r="V1267" s="107"/>
      <c r="W1267" s="1"/>
      <c r="X1267" s="97">
        <f ca="1">P_2_minQ+(X1264^2*R_dn)-dpdn_minQ</f>
        <v>60</v>
      </c>
      <c r="Y1267" s="107"/>
      <c r="Z1267" s="1"/>
      <c r="AA1267" s="97">
        <f ca="1">P_2_minQ+(AA1264^2*R_dn)-dpdn_minQ</f>
        <v>60</v>
      </c>
      <c r="AB1267" s="107"/>
      <c r="AC1267" s="1"/>
      <c r="AD1267" s="97">
        <f ca="1">P_2_minQ+(AD1264^2*R_dn)-dpdn_minQ</f>
        <v>60</v>
      </c>
      <c r="AE1267" s="107"/>
      <c r="AF1267" s="1"/>
      <c r="AG1267" s="97">
        <f ca="1">P_2_minQ+(AG1264^2*R_dn)-dpdn_minQ</f>
        <v>60</v>
      </c>
      <c r="AH1267" s="107"/>
      <c r="AI1267" s="1"/>
      <c r="AJ1267" s="97">
        <f ca="1">P_2_minQ+(AJ1264^2*R_dn)-dpdn_minQ</f>
        <v>60</v>
      </c>
      <c r="AK1267" s="107"/>
      <c r="AL1267" s="1"/>
      <c r="AM1267" s="97">
        <f ca="1">P_2_minQ+(AM1264^2*R_dn)-dpdn_minQ</f>
        <v>60</v>
      </c>
      <c r="AN1267" s="107"/>
      <c r="AO1267" s="1"/>
      <c r="AP1267" s="97">
        <f ca="1">P_2_minQ+(AP1264^2*R_dn)-dpdn_minQ</f>
        <v>60</v>
      </c>
      <c r="AQ1267" s="107"/>
      <c r="AR1267" s="1"/>
      <c r="AS1267" s="97">
        <f ca="1">P_2_minQ+(AS1264^2*R_dn)-dpdn_minQ</f>
        <v>60</v>
      </c>
      <c r="AT1267" s="107"/>
      <c r="AU1267" s="1"/>
    </row>
    <row r="1268" spans="15:47" x14ac:dyDescent="0.25">
      <c r="O1268" s="8" t="s">
        <v>138</v>
      </c>
      <c r="P1268" s="1"/>
      <c r="Q1268" s="8"/>
      <c r="R1268" s="97">
        <f>R1266-R1267</f>
        <v>30.184436724714203</v>
      </c>
      <c r="S1268" s="106"/>
      <c r="T1268" s="22"/>
      <c r="U1268" s="97">
        <f ca="1">U1266-U1267</f>
        <v>30.041064176287577</v>
      </c>
      <c r="V1268" s="110"/>
      <c r="W1268" s="25"/>
      <c r="X1268" s="97">
        <f ca="1">X1266-X1267</f>
        <v>29.321786822729834</v>
      </c>
      <c r="Y1268" s="110"/>
      <c r="Z1268" s="25"/>
      <c r="AA1268" s="97">
        <f ca="1">AA1266-AA1267</f>
        <v>26.910106627728183</v>
      </c>
      <c r="AB1268" s="110"/>
      <c r="AC1268" s="25"/>
      <c r="AD1268" s="97">
        <f ca="1">AD1266-AD1267</f>
        <v>20.967280187025324</v>
      </c>
      <c r="AE1268" s="110"/>
      <c r="AF1268" s="25"/>
      <c r="AG1268" s="97">
        <f ca="1">AG1266-AG1267</f>
        <v>10.549185368321076</v>
      </c>
      <c r="AH1268" s="110"/>
      <c r="AI1268" s="25"/>
      <c r="AJ1268" s="97">
        <f ca="1">AJ1266-AJ1267</f>
        <v>-4.7844656418540339</v>
      </c>
      <c r="AK1268" s="110"/>
      <c r="AL1268" s="25"/>
      <c r="AM1268" s="97">
        <f ca="1">AM1266-AM1267</f>
        <v>-21.879788990887889</v>
      </c>
      <c r="AN1268" s="110"/>
      <c r="AO1268" s="25"/>
      <c r="AP1268" s="97">
        <f ca="1">AP1266-AP1267</f>
        <v>-39.990483466810304</v>
      </c>
      <c r="AQ1268" s="110"/>
      <c r="AR1268" s="25"/>
      <c r="AS1268" s="97">
        <f ca="1">AS1266-AS1267</f>
        <v>-66.30214205054547</v>
      </c>
      <c r="AT1268" s="110"/>
      <c r="AU1268" s="25"/>
    </row>
    <row r="1269" spans="15:47" ht="14.4" x14ac:dyDescent="0.3">
      <c r="O1269" s="2" t="s">
        <v>140</v>
      </c>
      <c r="P1269" s="11"/>
      <c r="Q1269" s="2"/>
      <c r="R1269" s="96">
        <f>R1268/R1266</f>
        <v>0.3346967372746526</v>
      </c>
      <c r="S1269" s="106"/>
      <c r="T1269" s="22"/>
      <c r="U1269" s="96">
        <f ca="1">U1268/U1266</f>
        <v>0.33363737369286811</v>
      </c>
      <c r="V1269" s="111"/>
      <c r="W1269" s="28"/>
      <c r="X1269" s="96">
        <f ca="1">X1268/X1266</f>
        <v>0.3282713866989983</v>
      </c>
      <c r="Y1269" s="111"/>
      <c r="Z1269" s="28"/>
      <c r="AA1269" s="96">
        <f ca="1">AA1268/AA1266</f>
        <v>0.3096314993950619</v>
      </c>
      <c r="AB1269" s="111"/>
      <c r="AC1269" s="28"/>
      <c r="AD1269" s="96">
        <f ca="1">AD1268/AD1266</f>
        <v>0.25895991737147722</v>
      </c>
      <c r="AE1269" s="111"/>
      <c r="AF1269" s="28"/>
      <c r="AG1269" s="96">
        <f ca="1">AG1268/AG1266</f>
        <v>0.14952951353366031</v>
      </c>
      <c r="AH1269" s="111"/>
      <c r="AI1269" s="28"/>
      <c r="AJ1269" s="96">
        <f ca="1">AJ1268/AJ1266</f>
        <v>-8.6650717003306149E-2</v>
      </c>
      <c r="AK1269" s="111"/>
      <c r="AL1269" s="28"/>
      <c r="AM1269" s="96">
        <f ca="1">AM1268/AM1266</f>
        <v>-0.57396820247552738</v>
      </c>
      <c r="AN1269" s="111"/>
      <c r="AO1269" s="28"/>
      <c r="AP1269" s="96">
        <f ca="1">AP1268/AP1266</f>
        <v>-1.9985731989315316</v>
      </c>
      <c r="AQ1269" s="111"/>
      <c r="AR1269" s="28"/>
      <c r="AS1269" s="96">
        <f ca="1">AS1268/AS1266</f>
        <v>10.520572452791159</v>
      </c>
      <c r="AT1269" s="111"/>
      <c r="AU1269" s="28"/>
    </row>
    <row r="1270" spans="15:47" x14ac:dyDescent="0.25">
      <c r="O1270" s="2" t="s">
        <v>21</v>
      </c>
      <c r="P1270" s="8">
        <v>12</v>
      </c>
      <c r="Q1270" s="2"/>
      <c r="R1270" s="96">
        <f ca="1">1-R1269/(3*F_GAMMA*R$29)</f>
        <v>0.82568687121091355</v>
      </c>
      <c r="S1270" s="106"/>
      <c r="T1270" s="22"/>
      <c r="U1270" s="96">
        <f ca="1">1-U1269/(3*F_GAMMA*U$29)</f>
        <v>0.82627896486184915</v>
      </c>
      <c r="V1270" s="111"/>
      <c r="W1270" s="28"/>
      <c r="X1270" s="96">
        <f ca="1">1-X1269/(3*F_GAMMA*X$29)</f>
        <v>0.82744502245514262</v>
      </c>
      <c r="Y1270" s="111"/>
      <c r="Z1270" s="28"/>
      <c r="AA1270" s="96">
        <f ca="1">1-AA1269/(3*F_GAMMA*AA$29)</f>
        <v>0.83494879389849941</v>
      </c>
      <c r="AB1270" s="111"/>
      <c r="AC1270" s="28"/>
      <c r="AD1270" s="96">
        <f ca="1">1-AD1269/(3*F_GAMMA*AD$29)</f>
        <v>0.85767842113390469</v>
      </c>
      <c r="AE1270" s="111"/>
      <c r="AF1270" s="28"/>
      <c r="AG1270" s="96">
        <f ca="1">1-AG1269/(3*F_GAMMA*AG$29)</f>
        <v>0.91288889513306881</v>
      </c>
      <c r="AH1270" s="111"/>
      <c r="AI1270" s="28"/>
      <c r="AJ1270" s="96">
        <f ca="1">1-AJ1269/(3*F_GAMMA*AJ$29)</f>
        <v>1.0543094958378068</v>
      </c>
      <c r="AK1270" s="111"/>
      <c r="AL1270" s="28"/>
      <c r="AM1270" s="96">
        <f ca="1">1-AM1269/(3*F_GAMMA*AM$29)</f>
        <v>1.4022214875350865</v>
      </c>
      <c r="AN1270" s="111"/>
      <c r="AO1270" s="28"/>
      <c r="AP1270" s="96">
        <f ca="1">1-AP1269/(3*F_GAMMA*AP$29)</f>
        <v>2.1281018744078253</v>
      </c>
      <c r="AQ1270" s="111"/>
      <c r="AR1270" s="28"/>
      <c r="AS1270" s="96">
        <f ca="1">1-AS1269/(3*F_GAMMA*AS$29)</f>
        <v>-8.3096655057977191</v>
      </c>
      <c r="AT1270" s="111"/>
      <c r="AU1270" s="28"/>
    </row>
    <row r="1271" spans="15:47" x14ac:dyDescent="0.25">
      <c r="O1271" s="2" t="s">
        <v>57</v>
      </c>
      <c r="P1271" s="143">
        <v>7</v>
      </c>
      <c r="Q1271" s="2"/>
      <c r="R1271" s="96">
        <f ca="1">(R1264/(N_9*R$27*R1266*R1270))*SQRT(M*'Valve Sizing'!$W$6*'Valve Sizing'!$G$8/R1269)</f>
        <v>0.73504697932227181</v>
      </c>
      <c r="S1271" s="107"/>
      <c r="T1271" s="22"/>
      <c r="U1271" s="96">
        <f ca="1">(U1264/(N_9*U$27*U1266*U1270))*SQRT(M*'Valve Sizing'!$W$6*'Valve Sizing'!$G$8/U1269)</f>
        <v>11.385839363875789</v>
      </c>
      <c r="V1271" s="111"/>
      <c r="W1271" s="28"/>
      <c r="X1271" s="96">
        <f ca="1">(X1264/(N_9*X$27*X1266*X1270))*SQRT(M*'Valve Sizing'!$W$6*'Valve Sizing'!$G$8/X1269)</f>
        <v>28.358215002369175</v>
      </c>
      <c r="Y1271" s="111"/>
      <c r="Z1271" s="28"/>
      <c r="AA1271" s="96">
        <f ca="1">(AA1264/(N_9*AA$27*AA1266*AA1270))*SQRT(M*'Valve Sizing'!$W$6*'Valve Sizing'!$G$8/AA1269)</f>
        <v>58.269450929284993</v>
      </c>
      <c r="AB1271" s="111"/>
      <c r="AC1271" s="28"/>
      <c r="AD1271" s="96">
        <f ca="1">(AD1264/(N_9*AD$27*AD1266*AD1270))*SQRT(M*'Valve Sizing'!$W$6*'Valve Sizing'!$G$8/AD1269)</f>
        <v>113.08412849524936</v>
      </c>
      <c r="AE1271" s="111"/>
      <c r="AF1271" s="28"/>
      <c r="AG1271" s="96">
        <f ca="1">(AG1264/(N_9*AG$27*AG1266*AG1270))*SQRT(M*'Valve Sizing'!$W$6*'Valve Sizing'!$G$8/AG1269)</f>
        <v>239.4727455615978</v>
      </c>
      <c r="AH1271" s="111"/>
      <c r="AI1271" s="28"/>
      <c r="AJ1271" s="96" t="e">
        <f ca="1">(AJ1264/(N_9*AJ$27*AJ1266*AJ1270))*SQRT(M*'Valve Sizing'!$W$6*'Valve Sizing'!$G$8/AJ1269)</f>
        <v>#NUM!</v>
      </c>
      <c r="AK1271" s="111"/>
      <c r="AL1271" s="28"/>
      <c r="AM1271" s="96" t="e">
        <f ca="1">(AM1264/(N_9*AM$27*AM1266*AM1270))*SQRT(M*'Valve Sizing'!$W$6*'Valve Sizing'!$G$8/AM1269)</f>
        <v>#NUM!</v>
      </c>
      <c r="AN1271" s="111"/>
      <c r="AO1271" s="28"/>
      <c r="AP1271" s="96" t="e">
        <f ca="1">(AP1264/(N_9*AP$27*AP1266*AP1270))*SQRT(M*'Valve Sizing'!$W$6*'Valve Sizing'!$G$8/AP1269)</f>
        <v>#NUM!</v>
      </c>
      <c r="AQ1271" s="111"/>
      <c r="AR1271" s="28"/>
      <c r="AS1271" s="96">
        <f ca="1">(AS1264/(N_9*AS$27*AS1266*AS1270))*SQRT(M*'Valve Sizing'!$W$6*'Valve Sizing'!$G$8/AS1269)</f>
        <v>130.44071927547418</v>
      </c>
      <c r="AT1271" s="111"/>
      <c r="AU1271" s="28"/>
    </row>
    <row r="1272" spans="15:47" x14ac:dyDescent="0.25">
      <c r="O1272" s="2" t="s">
        <v>59</v>
      </c>
      <c r="P1272" s="143">
        <v>7</v>
      </c>
      <c r="Q1272" s="2"/>
      <c r="R1272" s="96">
        <f ca="1">(R1264/(N_9*R$27*R1266*0.667))*SQRT(M*'Valve Sizing'!$W$6*'Valve Sizing'!$G$8/R1273)</f>
        <v>0.65800670481618961</v>
      </c>
      <c r="S1272" s="107"/>
      <c r="T1272" s="22"/>
      <c r="U1272" s="96">
        <f ca="1">(U1264/(N_9*U$27*U1266*0.667))*SQRT(M*'Valve Sizing'!$W$6*'Valve Sizing'!$G$8/U1273)</f>
        <v>10.182460798632198</v>
      </c>
      <c r="V1272" s="111"/>
      <c r="W1272" s="28"/>
      <c r="X1272" s="96">
        <f ca="1">(X1264/(N_9*X$27*X1266*0.667))*SQRT(M*'Valve Sizing'!$W$6*'Valve Sizing'!$G$8/X1273)</f>
        <v>25.311423938848129</v>
      </c>
      <c r="Y1272" s="111"/>
      <c r="Z1272" s="28"/>
      <c r="AA1272" s="96">
        <f ca="1">(AA1264/(N_9*AA$27*AA1266*0.667))*SQRT(M*'Valve Sizing'!$W$6*'Valve Sizing'!$G$8/AA1273)</f>
        <v>51.326885481173477</v>
      </c>
      <c r="AB1272" s="111"/>
      <c r="AC1272" s="28"/>
      <c r="AD1272" s="96">
        <f ca="1">(AD1264/(N_9*AD$27*AD1266*0.667))*SQRT(M*'Valve Sizing'!$W$6*'Valve Sizing'!$G$8/AD1273)</f>
        <v>95.015904922116945</v>
      </c>
      <c r="AE1272" s="111"/>
      <c r="AF1272" s="28"/>
      <c r="AG1272" s="96">
        <f ca="1">(AG1264/(N_9*AG$27*AG1266*0.667))*SQRT(M*'Valve Sizing'!$W$6*'Valve Sizing'!$G$8/AG1273)</f>
        <v>167.55043976252759</v>
      </c>
      <c r="AH1272" s="111"/>
      <c r="AI1272" s="28"/>
      <c r="AJ1272" s="96">
        <f ca="1">(AJ1264/(N_9*AJ$27*AJ1266*0.667))*SQRT(M*'Valve Sizing'!$W$6*'Valve Sizing'!$G$8/AJ1273)</f>
        <v>307.0419242211355</v>
      </c>
      <c r="AK1272" s="111"/>
      <c r="AL1272" s="28"/>
      <c r="AM1272" s="96">
        <f ca="1">(AM1264/(N_9*AM$27*AM1266*0.667))*SQRT(M*'Valve Sizing'!$W$6*'Valve Sizing'!$G$8/AM1273)</f>
        <v>608.81696071062606</v>
      </c>
      <c r="AN1272" s="111"/>
      <c r="AO1272" s="28"/>
      <c r="AP1272" s="96">
        <f ca="1">(AP1264/(N_9*AP$27*AP1266*0.667))*SQRT(M*'Valve Sizing'!$W$6*'Valve Sizing'!$G$8/AP1273)</f>
        <v>1375.5232308645575</v>
      </c>
      <c r="AQ1272" s="111"/>
      <c r="AR1272" s="28"/>
      <c r="AS1272" s="96">
        <f ca="1">(AS1264/(N_9*AS$27*AS1266*0.667))*SQRT(M*'Valve Sizing'!$W$6*'Valve Sizing'!$G$8/AS1273)</f>
        <v>-8588.128998386248</v>
      </c>
      <c r="AT1272" s="111"/>
      <c r="AU1272" s="28"/>
    </row>
    <row r="1273" spans="15:47" ht="15.6" x14ac:dyDescent="0.35">
      <c r="O1273" s="2" t="s">
        <v>68</v>
      </c>
      <c r="P1273" s="143">
        <v>10</v>
      </c>
      <c r="Q1273" s="2"/>
      <c r="R1273" s="96">
        <f ca="1">F_GAMMA*R$29</f>
        <v>0.64002969751372984</v>
      </c>
      <c r="S1273" s="107"/>
      <c r="T1273" s="1"/>
      <c r="U1273" s="96">
        <f ca="1">F_GAMMA*U$29</f>
        <v>0.64017842058782071</v>
      </c>
      <c r="V1273" s="111"/>
      <c r="W1273" s="28"/>
      <c r="X1273" s="96">
        <f ca="1">F_GAMMA*X$29</f>
        <v>0.63413873724904268</v>
      </c>
      <c r="Y1273" s="111"/>
      <c r="Z1273" s="28"/>
      <c r="AA1273" s="96">
        <f ca="1">F_GAMMA*AA$29</f>
        <v>0.62532411750377137</v>
      </c>
      <c r="AB1273" s="111"/>
      <c r="AC1273" s="28"/>
      <c r="AD1273" s="96">
        <f ca="1">F_GAMMA*AD$29</f>
        <v>0.60651359509139569</v>
      </c>
      <c r="AE1273" s="111"/>
      <c r="AF1273" s="28"/>
      <c r="AG1273" s="96">
        <f ca="1">F_GAMMA*AG$29</f>
        <v>0.57217930198481592</v>
      </c>
      <c r="AH1273" s="111"/>
      <c r="AI1273" s="28"/>
      <c r="AJ1273" s="96">
        <f ca="1">F_GAMMA*AJ$29</f>
        <v>0.53183282018848232</v>
      </c>
      <c r="AK1273" s="111"/>
      <c r="AL1273" s="28"/>
      <c r="AM1273" s="96">
        <f ca="1">F_GAMMA*AM$29</f>
        <v>0.47566512503094399</v>
      </c>
      <c r="AN1273" s="111"/>
      <c r="AO1273" s="28"/>
      <c r="AP1273" s="96">
        <f ca="1">F_GAMMA*AP$29</f>
        <v>0.59054158265645496</v>
      </c>
      <c r="AQ1273" s="111"/>
      <c r="AR1273" s="28"/>
      <c r="AS1273" s="96">
        <f ca="1">F_GAMMA*AS$29</f>
        <v>0.3766899554102966</v>
      </c>
      <c r="AT1273" s="111"/>
      <c r="AU1273" s="28"/>
    </row>
    <row r="1274" spans="15:47" x14ac:dyDescent="0.25">
      <c r="O1274" s="2" t="s">
        <v>145</v>
      </c>
      <c r="P1274" s="12"/>
      <c r="Q1274" s="2"/>
      <c r="R1274" s="96">
        <f ca="1">IF(R1269&lt;R1273,R1271,R1272)</f>
        <v>0.73504697932227181</v>
      </c>
      <c r="S1274" s="116"/>
      <c r="T1274" s="1"/>
      <c r="U1274" s="96">
        <f ca="1">IF(U1269&lt;U1273,U1271,U1272)</f>
        <v>11.385839363875789</v>
      </c>
      <c r="V1274" s="111"/>
      <c r="W1274" s="28"/>
      <c r="X1274" s="96">
        <f ca="1">IF(X1269&lt;X1273,X1271,X1272)</f>
        <v>28.358215002369175</v>
      </c>
      <c r="Y1274" s="111"/>
      <c r="Z1274" s="28"/>
      <c r="AA1274" s="96">
        <f ca="1">IF(AA1269&lt;AA1273,AA1271,AA1272)</f>
        <v>58.269450929284993</v>
      </c>
      <c r="AB1274" s="111"/>
      <c r="AC1274" s="28"/>
      <c r="AD1274" s="96">
        <f ca="1">IF(AD1269&lt;AD1273,AD1271,AD1272)</f>
        <v>113.08412849524936</v>
      </c>
      <c r="AE1274" s="111"/>
      <c r="AF1274" s="28"/>
      <c r="AG1274" s="96">
        <f ca="1">IF(AG1269&lt;AG1273,AG1271,AG1272)</f>
        <v>239.4727455615978</v>
      </c>
      <c r="AH1274" s="111"/>
      <c r="AI1274" s="28"/>
      <c r="AJ1274" s="96" t="e">
        <f ca="1">IF(AJ1269&lt;AJ1273,AJ1271,AJ1272)</f>
        <v>#NUM!</v>
      </c>
      <c r="AK1274" s="111"/>
      <c r="AL1274" s="28"/>
      <c r="AM1274" s="96" t="e">
        <f ca="1">IF(AM1269&lt;AM1273,AM1271,AM1272)</f>
        <v>#NUM!</v>
      </c>
      <c r="AN1274" s="111"/>
      <c r="AO1274" s="28"/>
      <c r="AP1274" s="96" t="e">
        <f ca="1">IF(AP1269&lt;AP1273,AP1271,AP1272)</f>
        <v>#NUM!</v>
      </c>
      <c r="AQ1274" s="111"/>
      <c r="AR1274" s="28"/>
      <c r="AS1274" s="96">
        <f ca="1">IF(AS1269&lt;AS1273,AS1271,AS1272)</f>
        <v>-8588.128998386248</v>
      </c>
      <c r="AT1274" s="111"/>
      <c r="AU1274" s="28"/>
    </row>
    <row r="1275" spans="15:47" x14ac:dyDescent="0.25">
      <c r="O1275" s="13" t="s">
        <v>143</v>
      </c>
      <c r="P1275" s="1"/>
      <c r="Q1275" s="1"/>
      <c r="R1275" s="113"/>
      <c r="S1275" s="106">
        <f ca="1">IF(R1268&lt;=0,Q_max,ABS(R$23-R1274))</f>
        <v>3.9949530206777286</v>
      </c>
      <c r="T1275" s="7">
        <f>R1264</f>
        <v>1820.1273625862241</v>
      </c>
      <c r="U1275" s="98"/>
      <c r="V1275" s="106">
        <f ca="1">IF(U1268&lt;=0,Q_max,ABS(U$23-U1274))</f>
        <v>0.21416063612421077</v>
      </c>
      <c r="W1275" s="9">
        <f ca="1">U1264</f>
        <v>28105.985450212545</v>
      </c>
      <c r="X1275" s="98"/>
      <c r="Y1275" s="106">
        <f ca="1">IF(X1268&lt;=0,Q_max,ABS(X$23-X1274))</f>
        <v>5.3582150023691746</v>
      </c>
      <c r="Z1275" s="9">
        <f ca="1">X1264</f>
        <v>68821.234326585225</v>
      </c>
      <c r="AA1275" s="98"/>
      <c r="AB1275" s="106">
        <f ca="1">IF(AA1268&lt;=0,Q_max,ABS(AA$23-AA1274))</f>
        <v>18.869450929284994</v>
      </c>
      <c r="AC1275" s="9">
        <f ca="1">AA1264</f>
        <v>134046.19816378542</v>
      </c>
      <c r="AD1275" s="98"/>
      <c r="AE1275" s="106">
        <f ca="1">IF(AD1268&lt;=0,Q_max,ABS(AD$23-AD1274))</f>
        <v>52.08412849524936</v>
      </c>
      <c r="AF1275" s="9">
        <f ca="1">AD1264</f>
        <v>224887.82162360943</v>
      </c>
      <c r="AG1275" s="98"/>
      <c r="AH1275" s="106">
        <f ca="1">IF(AG1268&lt;=0,Q_max,ABS(AG$23-AG1274))</f>
        <v>151.27274556159779</v>
      </c>
      <c r="AI1275" s="9">
        <f ca="1">AG1264</f>
        <v>328229.90073625033</v>
      </c>
      <c r="AJ1275" s="98"/>
      <c r="AK1275" s="106">
        <f ca="1">IF(AJ1268&lt;=0,Q_max,ABS(AJ$23-AJ1274))</f>
        <v>236393</v>
      </c>
      <c r="AL1275" s="9">
        <f ca="1">AJ1264</f>
        <v>438024.07493780425</v>
      </c>
      <c r="AM1275" s="98"/>
      <c r="AN1275" s="106">
        <f ca="1">IF(AM1268&lt;=0,Q_max,ABS(AM$23-AM1274))</f>
        <v>236393</v>
      </c>
      <c r="AO1275" s="9">
        <f ca="1">AM1264</f>
        <v>534472.61349653068</v>
      </c>
      <c r="AP1275" s="98"/>
      <c r="AQ1275" s="106">
        <f ca="1">IF(AP1268&lt;=0,Q_max,ABS(AP$23-AP1274))</f>
        <v>236393</v>
      </c>
      <c r="AR1275" s="9">
        <f ca="1">AP1264</f>
        <v>620506.11176494032</v>
      </c>
      <c r="AS1275" s="98"/>
      <c r="AT1275" s="106">
        <f ca="1">IF(AS1268&lt;=0,Q_max,ABS(AS$23-AS1274))</f>
        <v>236393</v>
      </c>
      <c r="AU1275" s="9">
        <f ca="1">AS1264</f>
        <v>727592.21570020681</v>
      </c>
    </row>
    <row r="1276" spans="15:47" x14ac:dyDescent="0.25">
      <c r="O1276" s="21"/>
      <c r="P1276" s="14"/>
      <c r="Q1276" s="21"/>
      <c r="R1276" s="97"/>
      <c r="S1276" s="106"/>
      <c r="T1276" s="28"/>
      <c r="U1276" s="99"/>
      <c r="V1276" s="110"/>
      <c r="W1276" s="25"/>
      <c r="X1276" s="99"/>
      <c r="Y1276" s="110"/>
      <c r="Z1276" s="25"/>
      <c r="AA1276" s="99"/>
      <c r="AB1276" s="110"/>
      <c r="AC1276" s="25"/>
      <c r="AD1276" s="99"/>
      <c r="AE1276" s="110"/>
      <c r="AF1276" s="25"/>
      <c r="AG1276" s="99"/>
      <c r="AH1276" s="110"/>
      <c r="AI1276" s="25"/>
      <c r="AJ1276" s="99"/>
      <c r="AK1276" s="110"/>
      <c r="AL1276" s="25"/>
      <c r="AM1276" s="99"/>
      <c r="AN1276" s="110"/>
      <c r="AO1276" s="25"/>
      <c r="AP1276" s="99"/>
      <c r="AQ1276" s="110"/>
      <c r="AR1276" s="25"/>
      <c r="AS1276" s="99"/>
      <c r="AT1276" s="110"/>
      <c r="AU1276" s="25"/>
    </row>
    <row r="1277" spans="15:47" x14ac:dyDescent="0.25">
      <c r="O1277" s="1"/>
      <c r="P1277" s="1"/>
      <c r="Q1277" s="1"/>
      <c r="R1277" s="98"/>
      <c r="S1277" s="108" t="s">
        <v>137</v>
      </c>
      <c r="T1277" s="26" t="s">
        <v>146</v>
      </c>
      <c r="U1277" s="98"/>
      <c r="V1277" s="108" t="s">
        <v>137</v>
      </c>
      <c r="W1277" s="26" t="s">
        <v>146</v>
      </c>
      <c r="X1277" s="98"/>
      <c r="Y1277" s="108" t="s">
        <v>137</v>
      </c>
      <c r="Z1277" s="26" t="s">
        <v>146</v>
      </c>
      <c r="AA1277" s="98"/>
      <c r="AB1277" s="108" t="s">
        <v>137</v>
      </c>
      <c r="AC1277" s="26" t="s">
        <v>146</v>
      </c>
      <c r="AD1277" s="98"/>
      <c r="AE1277" s="108" t="s">
        <v>137</v>
      </c>
      <c r="AF1277" s="26" t="s">
        <v>146</v>
      </c>
      <c r="AG1277" s="98"/>
      <c r="AH1277" s="108" t="s">
        <v>137</v>
      </c>
      <c r="AI1277" s="26" t="s">
        <v>146</v>
      </c>
      <c r="AJ1277" s="98"/>
      <c r="AK1277" s="108" t="s">
        <v>137</v>
      </c>
      <c r="AL1277" s="26" t="s">
        <v>146</v>
      </c>
      <c r="AM1277" s="98"/>
      <c r="AN1277" s="108" t="s">
        <v>137</v>
      </c>
      <c r="AO1277" s="26" t="s">
        <v>146</v>
      </c>
      <c r="AP1277" s="98"/>
      <c r="AQ1277" s="108" t="s">
        <v>137</v>
      </c>
      <c r="AR1277" s="26" t="s">
        <v>146</v>
      </c>
      <c r="AS1277" s="98"/>
      <c r="AT1277" s="108" t="s">
        <v>137</v>
      </c>
      <c r="AU1277" s="26" t="s">
        <v>146</v>
      </c>
    </row>
    <row r="1278" spans="15:47" ht="13.8" x14ac:dyDescent="0.25">
      <c r="O1278" s="20" t="s">
        <v>136</v>
      </c>
      <c r="P1278" s="1"/>
      <c r="Q1278" s="1"/>
      <c r="R1278" s="96">
        <f>R1264*1.02</f>
        <v>1856.5299098379487</v>
      </c>
      <c r="S1278" s="109" t="s">
        <v>144</v>
      </c>
      <c r="T1278" s="23" t="s">
        <v>147</v>
      </c>
      <c r="U1278" s="96">
        <f ca="1">U1264*1.01</f>
        <v>28387.045304714669</v>
      </c>
      <c r="V1278" s="109" t="s">
        <v>144</v>
      </c>
      <c r="W1278" s="23" t="s">
        <v>147</v>
      </c>
      <c r="X1278" s="96">
        <f ca="1">X1264*1.01</f>
        <v>69509.446669851081</v>
      </c>
      <c r="Y1278" s="109" t="s">
        <v>144</v>
      </c>
      <c r="Z1278" s="23" t="s">
        <v>147</v>
      </c>
      <c r="AA1278" s="96">
        <f ca="1">AA1264*1.01</f>
        <v>135386.66014542329</v>
      </c>
      <c r="AB1278" s="109" t="s">
        <v>144</v>
      </c>
      <c r="AC1278" s="23" t="s">
        <v>147</v>
      </c>
      <c r="AD1278" s="96">
        <f ca="1">AD1264*1.01</f>
        <v>227136.69983984553</v>
      </c>
      <c r="AE1278" s="109" t="s">
        <v>144</v>
      </c>
      <c r="AF1278" s="23" t="s">
        <v>147</v>
      </c>
      <c r="AG1278" s="96">
        <f ca="1">AG1264*1.01</f>
        <v>331512.19974361284</v>
      </c>
      <c r="AH1278" s="109" t="s">
        <v>144</v>
      </c>
      <c r="AI1278" s="23" t="s">
        <v>147</v>
      </c>
      <c r="AJ1278" s="96">
        <f ca="1">AJ1264*1.01</f>
        <v>442404.3156871823</v>
      </c>
      <c r="AK1278" s="109" t="s">
        <v>144</v>
      </c>
      <c r="AL1278" s="23" t="s">
        <v>147</v>
      </c>
      <c r="AM1278" s="96">
        <f ca="1">AM1264*1.01</f>
        <v>539817.339631496</v>
      </c>
      <c r="AN1278" s="109" t="s">
        <v>144</v>
      </c>
      <c r="AO1278" s="23" t="s">
        <v>147</v>
      </c>
      <c r="AP1278" s="96">
        <f ca="1">AP1264*1.01</f>
        <v>626711.17288258974</v>
      </c>
      <c r="AQ1278" s="109" t="s">
        <v>144</v>
      </c>
      <c r="AR1278" s="23" t="s">
        <v>147</v>
      </c>
      <c r="AS1278" s="96">
        <f ca="1">AS1264*1.01</f>
        <v>734868.13785720884</v>
      </c>
      <c r="AT1278" s="109" t="s">
        <v>144</v>
      </c>
      <c r="AU1278" s="23" t="s">
        <v>147</v>
      </c>
    </row>
    <row r="1279" spans="15:47" x14ac:dyDescent="0.25">
      <c r="O1279" s="1"/>
      <c r="P1279" s="1"/>
      <c r="Q1279" s="1"/>
      <c r="R1279" s="98"/>
      <c r="S1279" s="107"/>
      <c r="T1279" s="1"/>
      <c r="U1279" s="47"/>
      <c r="V1279" s="107"/>
      <c r="W1279" s="1"/>
      <c r="X1279" s="47"/>
      <c r="Y1279" s="107"/>
      <c r="Z1279" s="1"/>
      <c r="AA1279" s="47"/>
      <c r="AB1279" s="107"/>
      <c r="AC1279" s="1"/>
      <c r="AD1279" s="47"/>
      <c r="AE1279" s="107"/>
      <c r="AF1279" s="1"/>
      <c r="AG1279" s="47"/>
      <c r="AH1279" s="107"/>
      <c r="AI1279" s="1"/>
      <c r="AJ1279" s="47"/>
      <c r="AK1279" s="107"/>
      <c r="AL1279" s="1"/>
      <c r="AM1279" s="47"/>
      <c r="AN1279" s="107"/>
      <c r="AO1279" s="1"/>
      <c r="AP1279" s="47"/>
      <c r="AQ1279" s="107"/>
      <c r="AR1279" s="1"/>
      <c r="AS1279" s="47"/>
      <c r="AT1279" s="107"/>
      <c r="AU1279" s="1"/>
    </row>
    <row r="1280" spans="15:47" x14ac:dyDescent="0.25">
      <c r="O1280" s="8" t="s">
        <v>132</v>
      </c>
      <c r="P1280" s="8"/>
      <c r="Q1280" s="8"/>
      <c r="R1280" s="96">
        <f>P_1_minQ-(R1278^2*R_up)+dpup_minQ</f>
        <v>90.184412330970332</v>
      </c>
      <c r="S1280" s="106"/>
      <c r="T1280" s="22"/>
      <c r="U1280" s="96">
        <f ca="1">P_1_minQ-(U1278^2*R_up)+dpup_minQ</f>
        <v>90.038170251572822</v>
      </c>
      <c r="V1280" s="107"/>
      <c r="W1280" s="1"/>
      <c r="X1280" s="96">
        <f ca="1">P_1_minQ-(X1278^2*R_up)+dpup_minQ</f>
        <v>89.304435423208574</v>
      </c>
      <c r="Y1280" s="107"/>
      <c r="Z1280" s="1"/>
      <c r="AA1280" s="96">
        <f ca="1">P_1_minQ-(AA1278^2*R_up)+dpup_minQ</f>
        <v>86.844280456287393</v>
      </c>
      <c r="AB1280" s="107"/>
      <c r="AC1280" s="1"/>
      <c r="AD1280" s="96">
        <f ca="1">P_1_minQ-(AD1278^2*R_up)+dpup_minQ</f>
        <v>80.782003204126397</v>
      </c>
      <c r="AE1280" s="107"/>
      <c r="AF1280" s="1"/>
      <c r="AG1280" s="96">
        <f ca="1">P_1_minQ-(AG1278^2*R_up)+dpup_minQ</f>
        <v>70.154504679566202</v>
      </c>
      <c r="AH1280" s="107"/>
      <c r="AI1280" s="1"/>
      <c r="AJ1280" s="96">
        <f ca="1">P_1_minQ-(AJ1278^2*R_up)+dpup_minQ</f>
        <v>54.512647284086562</v>
      </c>
      <c r="AK1280" s="107"/>
      <c r="AL1280" s="1"/>
      <c r="AM1280" s="96">
        <f ca="1">P_1_minQ-(AM1278^2*R_up)+dpup_minQ</f>
        <v>37.073707935737126</v>
      </c>
      <c r="AN1280" s="107"/>
      <c r="AO1280" s="1"/>
      <c r="AP1280" s="96">
        <f ca="1">P_1_minQ-(AP1278^2*R_up)+dpup_minQ</f>
        <v>18.598988500848677</v>
      </c>
      <c r="AQ1280" s="107"/>
      <c r="AR1280" s="1"/>
      <c r="AS1280" s="96">
        <f ca="1">P_1_minQ-(AS1278^2*R_up)+dpup_minQ</f>
        <v>-8.2415344204195566</v>
      </c>
      <c r="AT1280" s="107"/>
      <c r="AU1280" s="1"/>
    </row>
    <row r="1281" spans="15:47" x14ac:dyDescent="0.25">
      <c r="O1281" s="8" t="s">
        <v>134</v>
      </c>
      <c r="P1281" s="1"/>
      <c r="Q1281" s="8"/>
      <c r="R1281" s="97">
        <f>P_2_minQ+(R1278^2*R_dn)-dpdn_minQ</f>
        <v>60</v>
      </c>
      <c r="S1281" s="106"/>
      <c r="T1281" s="22"/>
      <c r="U1281" s="97">
        <f ca="1">P_2_minQ+(U1278^2*R_dn)-dpdn_minQ</f>
        <v>60</v>
      </c>
      <c r="V1281" s="107"/>
      <c r="W1281" s="1"/>
      <c r="X1281" s="97">
        <f ca="1">P_2_minQ+(X1278^2*R_dn)-dpdn_minQ</f>
        <v>60</v>
      </c>
      <c r="Y1281" s="107"/>
      <c r="Z1281" s="1"/>
      <c r="AA1281" s="97">
        <f ca="1">P_2_minQ+(AA1278^2*R_dn)-dpdn_minQ</f>
        <v>60</v>
      </c>
      <c r="AB1281" s="107"/>
      <c r="AC1281" s="1"/>
      <c r="AD1281" s="97">
        <f ca="1">P_2_minQ+(AD1278^2*R_dn)-dpdn_minQ</f>
        <v>60</v>
      </c>
      <c r="AE1281" s="107"/>
      <c r="AF1281" s="1"/>
      <c r="AG1281" s="97">
        <f ca="1">P_2_minQ+(AG1278^2*R_dn)-dpdn_minQ</f>
        <v>60</v>
      </c>
      <c r="AH1281" s="107"/>
      <c r="AI1281" s="1"/>
      <c r="AJ1281" s="97">
        <f ca="1">P_2_minQ+(AJ1278^2*R_dn)-dpdn_minQ</f>
        <v>60</v>
      </c>
      <c r="AK1281" s="107"/>
      <c r="AL1281" s="1"/>
      <c r="AM1281" s="97">
        <f ca="1">P_2_minQ+(AM1278^2*R_dn)-dpdn_minQ</f>
        <v>60</v>
      </c>
      <c r="AN1281" s="107"/>
      <c r="AO1281" s="1"/>
      <c r="AP1281" s="97">
        <f ca="1">P_2_minQ+(AP1278^2*R_dn)-dpdn_minQ</f>
        <v>60</v>
      </c>
      <c r="AQ1281" s="107"/>
      <c r="AR1281" s="1"/>
      <c r="AS1281" s="97">
        <f ca="1">P_2_minQ+(AS1278^2*R_dn)-dpdn_minQ</f>
        <v>60</v>
      </c>
      <c r="AT1281" s="107"/>
      <c r="AU1281" s="1"/>
    </row>
    <row r="1282" spans="15:47" x14ac:dyDescent="0.25">
      <c r="O1282" s="8" t="s">
        <v>138</v>
      </c>
      <c r="P1282" s="1"/>
      <c r="Q1282" s="8"/>
      <c r="R1282" s="97">
        <f>R1280-R1281</f>
        <v>30.184412330970332</v>
      </c>
      <c r="S1282" s="106"/>
      <c r="T1282" s="22"/>
      <c r="U1282" s="97">
        <f ca="1">U1280-U1281</f>
        <v>30.038170251572822</v>
      </c>
      <c r="V1282" s="110"/>
      <c r="W1282" s="25"/>
      <c r="X1282" s="97">
        <f ca="1">X1280-X1281</f>
        <v>29.304435423208574</v>
      </c>
      <c r="Y1282" s="110"/>
      <c r="Z1282" s="25"/>
      <c r="AA1282" s="97">
        <f ca="1">AA1280-AA1281</f>
        <v>26.844280456287393</v>
      </c>
      <c r="AB1282" s="110"/>
      <c r="AC1282" s="25"/>
      <c r="AD1282" s="97">
        <f ca="1">AD1280-AD1281</f>
        <v>20.782003204126397</v>
      </c>
      <c r="AE1282" s="110"/>
      <c r="AF1282" s="25"/>
      <c r="AG1282" s="97">
        <f ca="1">AG1280-AG1281</f>
        <v>10.154504679566202</v>
      </c>
      <c r="AH1282" s="110"/>
      <c r="AI1282" s="25"/>
      <c r="AJ1282" s="97">
        <f ca="1">AJ1280-AJ1281</f>
        <v>-5.4873527159134383</v>
      </c>
      <c r="AK1282" s="110"/>
      <c r="AL1282" s="25"/>
      <c r="AM1282" s="97">
        <f ca="1">AM1280-AM1281</f>
        <v>-22.926292064262874</v>
      </c>
      <c r="AN1282" s="110"/>
      <c r="AO1282" s="25"/>
      <c r="AP1282" s="97">
        <f ca="1">AP1280-AP1281</f>
        <v>-41.401011499151323</v>
      </c>
      <c r="AQ1282" s="110"/>
      <c r="AR1282" s="25"/>
      <c r="AS1282" s="97">
        <f ca="1">AS1280-AS1281</f>
        <v>-68.241534420419555</v>
      </c>
      <c r="AT1282" s="110"/>
      <c r="AU1282" s="25"/>
    </row>
    <row r="1283" spans="15:47" ht="14.4" x14ac:dyDescent="0.3">
      <c r="O1283" s="2" t="s">
        <v>140</v>
      </c>
      <c r="P1283" s="11"/>
      <c r="Q1283" s="2"/>
      <c r="R1283" s="96">
        <f>R1282/R1280</f>
        <v>0.33469655731852754</v>
      </c>
      <c r="S1283" s="106"/>
      <c r="T1283" s="22"/>
      <c r="U1283" s="96">
        <f ca="1">U1282/U1280</f>
        <v>0.33361595607334216</v>
      </c>
      <c r="V1283" s="111"/>
      <c r="W1283" s="28"/>
      <c r="X1283" s="96">
        <f ca="1">X1282/X1280</f>
        <v>0.32814087323139712</v>
      </c>
      <c r="Y1283" s="111"/>
      <c r="Z1283" s="28"/>
      <c r="AA1283" s="96">
        <f ca="1">AA1282/AA1280</f>
        <v>0.30910821432620794</v>
      </c>
      <c r="AB1283" s="111"/>
      <c r="AC1283" s="28"/>
      <c r="AD1283" s="96">
        <f ca="1">AD1282/AD1280</f>
        <v>0.25726031021554119</v>
      </c>
      <c r="AE1283" s="111"/>
      <c r="AF1283" s="28"/>
      <c r="AG1283" s="96">
        <f ca="1">AG1282/AG1280</f>
        <v>0.14474487028234823</v>
      </c>
      <c r="AH1283" s="111"/>
      <c r="AI1283" s="28"/>
      <c r="AJ1283" s="96">
        <f ca="1">AJ1282/AJ1280</f>
        <v>-0.10066201128183545</v>
      </c>
      <c r="AK1283" s="111"/>
      <c r="AL1283" s="28"/>
      <c r="AM1283" s="96">
        <f ca="1">AM1282/AM1280</f>
        <v>-0.61839760144852196</v>
      </c>
      <c r="AN1283" s="111"/>
      <c r="AO1283" s="28"/>
      <c r="AP1283" s="96">
        <f ca="1">AP1282/AP1280</f>
        <v>-2.2259818859107412</v>
      </c>
      <c r="AQ1283" s="111"/>
      <c r="AR1283" s="28"/>
      <c r="AS1283" s="96">
        <f ca="1">AS1282/AS1280</f>
        <v>8.280197708249764</v>
      </c>
      <c r="AT1283" s="111"/>
      <c r="AU1283" s="28"/>
    </row>
    <row r="1284" spans="15:47" x14ac:dyDescent="0.25">
      <c r="O1284" s="2" t="s">
        <v>21</v>
      </c>
      <c r="P1284" s="8">
        <v>12</v>
      </c>
      <c r="Q1284" s="2"/>
      <c r="R1284" s="96">
        <f ca="1">1-R1283/(3*F_GAMMA*R$29)</f>
        <v>0.82568696493371307</v>
      </c>
      <c r="S1284" s="106"/>
      <c r="T1284" s="22"/>
      <c r="U1284" s="96">
        <f ca="1">1-U1283/(3*F_GAMMA*U$29)</f>
        <v>0.82629011676306774</v>
      </c>
      <c r="V1284" s="111"/>
      <c r="W1284" s="28"/>
      <c r="X1284" s="96">
        <f ca="1">1-X1283/(3*F_GAMMA*X$29)</f>
        <v>0.82751362651076166</v>
      </c>
      <c r="Y1284" s="111"/>
      <c r="Z1284" s="28"/>
      <c r="AA1284" s="96">
        <f ca="1">1-AA1283/(3*F_GAMMA*AA$29)</f>
        <v>0.83522773461324573</v>
      </c>
      <c r="AB1284" s="111"/>
      <c r="AC1284" s="28"/>
      <c r="AD1284" s="96">
        <f ca="1">1-AD1283/(3*F_GAMMA*AD$29)</f>
        <v>0.85861250690416668</v>
      </c>
      <c r="AE1284" s="111"/>
      <c r="AF1284" s="28"/>
      <c r="AG1284" s="96">
        <f ca="1">1-AG1283/(3*F_GAMMA*AG$29)</f>
        <v>0.91567627502996174</v>
      </c>
      <c r="AH1284" s="111"/>
      <c r="AI1284" s="28"/>
      <c r="AJ1284" s="96">
        <f ca="1">1-AJ1283/(3*F_GAMMA*AJ$29)</f>
        <v>1.0630912619283635</v>
      </c>
      <c r="AK1284" s="111"/>
      <c r="AL1284" s="28"/>
      <c r="AM1284" s="96">
        <f ca="1">1-AM1283/(3*F_GAMMA*AM$29)</f>
        <v>1.4333564160348402</v>
      </c>
      <c r="AN1284" s="111"/>
      <c r="AO1284" s="28"/>
      <c r="AP1284" s="96">
        <f ca="1">1-AP1283/(3*F_GAMMA*AP$29)</f>
        <v>2.2564635307009344</v>
      </c>
      <c r="AQ1284" s="111"/>
      <c r="AR1284" s="28"/>
      <c r="AS1284" s="96">
        <f ca="1">1-AS1283/(3*F_GAMMA*AS$29)</f>
        <v>-6.3271555641657979</v>
      </c>
      <c r="AT1284" s="111"/>
      <c r="AU1284" s="28"/>
    </row>
    <row r="1285" spans="15:47" x14ac:dyDescent="0.25">
      <c r="O1285" s="2" t="s">
        <v>57</v>
      </c>
      <c r="P1285" s="143">
        <v>7</v>
      </c>
      <c r="Q1285" s="2"/>
      <c r="R1285" s="96">
        <f ca="1">(R1278/(N_9*R$27*R1280*R1284))*SQRT(M*'Valve Sizing'!$W$6*'Valve Sizing'!$G$8/R1283)</f>
        <v>0.74974823816128089</v>
      </c>
      <c r="S1285" s="107"/>
      <c r="T1285" s="22"/>
      <c r="U1285" s="96">
        <f ca="1">(U1278/(N_9*U$27*U1280*U1284))*SQRT(M*'Valve Sizing'!$W$6*'Valve Sizing'!$G$8/U1283)</f>
        <v>11.500281293574643</v>
      </c>
      <c r="V1285" s="111"/>
      <c r="W1285" s="28"/>
      <c r="X1285" s="96">
        <f ca="1">(X1278/(N_9*X$27*X1280*X1284))*SQRT(M*'Valve Sizing'!$W$6*'Valve Sizing'!$G$8/X1283)</f>
        <v>28.650683138513649</v>
      </c>
      <c r="Y1285" s="111"/>
      <c r="Z1285" s="28"/>
      <c r="AA1285" s="96">
        <f ca="1">(AA1278/(N_9*AA$27*AA1280*AA1284))*SQRT(M*'Valve Sizing'!$W$6*'Valve Sizing'!$G$8/AA1283)</f>
        <v>58.926899452886879</v>
      </c>
      <c r="AB1285" s="111"/>
      <c r="AC1285" s="28"/>
      <c r="AD1285" s="96">
        <f ca="1">(AD1278/(N_9*AD$27*AD1280*AD1284))*SQRT(M*'Valve Sizing'!$W$6*'Valve Sizing'!$G$8/AD1283)</f>
        <v>114.72950353813337</v>
      </c>
      <c r="AE1285" s="111"/>
      <c r="AF1285" s="28"/>
      <c r="AG1285" s="96">
        <f ca="1">(AG1278/(N_9*AG$27*AG1280*AG1284))*SQRT(M*'Valve Sizing'!$W$6*'Valve Sizing'!$G$8/AG1283)</f>
        <v>246.46300517906445</v>
      </c>
      <c r="AH1285" s="111"/>
      <c r="AI1285" s="28"/>
      <c r="AJ1285" s="96" t="e">
        <f ca="1">(AJ1278/(N_9*AJ$27*AJ1280*AJ1284))*SQRT(M*'Valve Sizing'!$W$6*'Valve Sizing'!$G$8/AJ1283)</f>
        <v>#NUM!</v>
      </c>
      <c r="AK1285" s="111"/>
      <c r="AL1285" s="28"/>
      <c r="AM1285" s="96" t="e">
        <f ca="1">(AM1278/(N_9*AM$27*AM1280*AM1284))*SQRT(M*'Valve Sizing'!$W$6*'Valve Sizing'!$G$8/AM1283)</f>
        <v>#NUM!</v>
      </c>
      <c r="AN1285" s="111"/>
      <c r="AO1285" s="28"/>
      <c r="AP1285" s="96" t="e">
        <f ca="1">(AP1278/(N_9*AP$27*AP1280*AP1284))*SQRT(M*'Valve Sizing'!$W$6*'Valve Sizing'!$G$8/AP1283)</f>
        <v>#NUM!</v>
      </c>
      <c r="AQ1285" s="111"/>
      <c r="AR1285" s="28"/>
      <c r="AS1285" s="96">
        <f ca="1">(AS1278/(N_9*AS$27*AS1280*AS1284))*SQRT(M*'Valve Sizing'!$W$6*'Valve Sizing'!$G$8/AS1283)</f>
        <v>149.13824634236011</v>
      </c>
      <c r="AT1285" s="111"/>
      <c r="AU1285" s="28"/>
    </row>
    <row r="1286" spans="15:47" x14ac:dyDescent="0.25">
      <c r="O1286" s="2" t="s">
        <v>59</v>
      </c>
      <c r="P1286" s="143">
        <v>7</v>
      </c>
      <c r="Q1286" s="2"/>
      <c r="R1286" s="96">
        <f ca="1">(R1278/(N_9*R$27*R1280*0.667))*SQRT(M*'Valve Sizing'!$W$6*'Valve Sizing'!$G$8/R1287)</f>
        <v>0.67116702045466181</v>
      </c>
      <c r="S1286" s="107"/>
      <c r="T1286" s="22"/>
      <c r="U1286" s="96">
        <f ca="1">(U1278/(N_9*U$27*U1280*0.667))*SQRT(M*'Valve Sizing'!$W$6*'Valve Sizing'!$G$8/U1287)</f>
        <v>10.284615954736374</v>
      </c>
      <c r="V1286" s="111"/>
      <c r="W1286" s="28"/>
      <c r="X1286" s="96">
        <f ca="1">(X1278/(N_9*X$27*X1280*0.667))*SQRT(M*'Valve Sizing'!$W$6*'Valve Sizing'!$G$8/X1287)</f>
        <v>25.569505238533278</v>
      </c>
      <c r="Y1286" s="111"/>
      <c r="Z1286" s="28"/>
      <c r="AA1286" s="96">
        <f ca="1">(AA1278/(N_9*AA$27*AA1280*0.667))*SQRT(M*'Valve Sizing'!$W$6*'Valve Sizing'!$G$8/AA1287)</f>
        <v>51.879448102585712</v>
      </c>
      <c r="AB1286" s="111"/>
      <c r="AC1286" s="28"/>
      <c r="AD1286" s="96">
        <f ca="1">(AD1278/(N_9*AD$27*AD1280*0.667))*SQRT(M*'Valve Sizing'!$W$6*'Valve Sizing'!$G$8/AD1287)</f>
        <v>96.186166247687552</v>
      </c>
      <c r="AE1286" s="111"/>
      <c r="AF1286" s="28"/>
      <c r="AG1286" s="96">
        <f ca="1">(AG1278/(N_9*AG$27*AG1280*0.667))*SQRT(M*'Valve Sizing'!$W$6*'Valve Sizing'!$G$8/AG1287)</f>
        <v>170.17798868675013</v>
      </c>
      <c r="AH1286" s="111"/>
      <c r="AI1286" s="28"/>
      <c r="AJ1286" s="96">
        <f ca="1">(AJ1278/(N_9*AJ$27*AJ1280*0.667))*SQRT(M*'Valve Sizing'!$W$6*'Valve Sizing'!$G$8/AJ1287)</f>
        <v>314.110937708655</v>
      </c>
      <c r="AK1286" s="111"/>
      <c r="AL1286" s="28"/>
      <c r="AM1286" s="96">
        <f ca="1">(AM1278/(N_9*AM$27*AM1280*0.667))*SQRT(M*'Valve Sizing'!$W$6*'Valve Sizing'!$G$8/AM1287)</f>
        <v>632.26244752557625</v>
      </c>
      <c r="AN1286" s="111"/>
      <c r="AO1286" s="28"/>
      <c r="AP1286" s="96">
        <f ca="1">(AP1278/(N_9*AP$27*AP1280*0.667))*SQRT(M*'Valve Sizing'!$W$6*'Valve Sizing'!$G$8/AP1287)</f>
        <v>1494.6399034979843</v>
      </c>
      <c r="AQ1286" s="111"/>
      <c r="AR1286" s="28"/>
      <c r="AS1286" s="96">
        <f ca="1">(AS1278/(N_9*AS$27*AS1280*0.667))*SQRT(M*'Valve Sizing'!$W$6*'Valve Sizing'!$G$8/AS1287)</f>
        <v>-6632.8479863848543</v>
      </c>
      <c r="AT1286" s="111"/>
      <c r="AU1286" s="28"/>
    </row>
    <row r="1287" spans="15:47" ht="15.6" x14ac:dyDescent="0.35">
      <c r="O1287" s="2" t="s">
        <v>68</v>
      </c>
      <c r="P1287" s="143">
        <v>10</v>
      </c>
      <c r="Q1287" s="2"/>
      <c r="R1287" s="96">
        <f ca="1">F_GAMMA*R$29</f>
        <v>0.64002969751372984</v>
      </c>
      <c r="S1287" s="107"/>
      <c r="T1287" s="1"/>
      <c r="U1287" s="96">
        <f ca="1">F_GAMMA*U$29</f>
        <v>0.64017842058782071</v>
      </c>
      <c r="V1287" s="111"/>
      <c r="W1287" s="28"/>
      <c r="X1287" s="96">
        <f ca="1">F_GAMMA*X$29</f>
        <v>0.63413873724904268</v>
      </c>
      <c r="Y1287" s="111"/>
      <c r="Z1287" s="28"/>
      <c r="AA1287" s="96">
        <f ca="1">F_GAMMA*AA$29</f>
        <v>0.62532411750377137</v>
      </c>
      <c r="AB1287" s="111"/>
      <c r="AC1287" s="28"/>
      <c r="AD1287" s="96">
        <f ca="1">F_GAMMA*AD$29</f>
        <v>0.60651359509139569</v>
      </c>
      <c r="AE1287" s="111"/>
      <c r="AF1287" s="28"/>
      <c r="AG1287" s="96">
        <f ca="1">F_GAMMA*AG$29</f>
        <v>0.57217930198481592</v>
      </c>
      <c r="AH1287" s="111"/>
      <c r="AI1287" s="28"/>
      <c r="AJ1287" s="96">
        <f ca="1">F_GAMMA*AJ$29</f>
        <v>0.53183282018848232</v>
      </c>
      <c r="AK1287" s="111"/>
      <c r="AL1287" s="28"/>
      <c r="AM1287" s="96">
        <f ca="1">F_GAMMA*AM$29</f>
        <v>0.47566512503094399</v>
      </c>
      <c r="AN1287" s="111"/>
      <c r="AO1287" s="28"/>
      <c r="AP1287" s="96">
        <f ca="1">F_GAMMA*AP$29</f>
        <v>0.59054158265645496</v>
      </c>
      <c r="AQ1287" s="111"/>
      <c r="AR1287" s="28"/>
      <c r="AS1287" s="96">
        <f ca="1">F_GAMMA*AS$29</f>
        <v>0.3766899554102966</v>
      </c>
      <c r="AT1287" s="111"/>
      <c r="AU1287" s="28"/>
    </row>
    <row r="1288" spans="15:47" x14ac:dyDescent="0.25">
      <c r="O1288" s="2" t="s">
        <v>145</v>
      </c>
      <c r="P1288" s="12"/>
      <c r="Q1288" s="2"/>
      <c r="R1288" s="96">
        <f ca="1">IF(R1283&lt;R1287,R1285,R1286)</f>
        <v>0.74974823816128089</v>
      </c>
      <c r="S1288" s="116"/>
      <c r="T1288" s="1"/>
      <c r="U1288" s="96">
        <f ca="1">IF(U1283&lt;U1287,U1285,U1286)</f>
        <v>11.500281293574643</v>
      </c>
      <c r="V1288" s="111"/>
      <c r="W1288" s="28"/>
      <c r="X1288" s="96">
        <f ca="1">IF(X1283&lt;X1287,X1285,X1286)</f>
        <v>28.650683138513649</v>
      </c>
      <c r="Y1288" s="111"/>
      <c r="Z1288" s="28"/>
      <c r="AA1288" s="96">
        <f ca="1">IF(AA1283&lt;AA1287,AA1285,AA1286)</f>
        <v>58.926899452886879</v>
      </c>
      <c r="AB1288" s="111"/>
      <c r="AC1288" s="28"/>
      <c r="AD1288" s="96">
        <f ca="1">IF(AD1283&lt;AD1287,AD1285,AD1286)</f>
        <v>114.72950353813337</v>
      </c>
      <c r="AE1288" s="111"/>
      <c r="AF1288" s="28"/>
      <c r="AG1288" s="96">
        <f ca="1">IF(AG1283&lt;AG1287,AG1285,AG1286)</f>
        <v>246.46300517906445</v>
      </c>
      <c r="AH1288" s="111"/>
      <c r="AI1288" s="28"/>
      <c r="AJ1288" s="96" t="e">
        <f ca="1">IF(AJ1283&lt;AJ1287,AJ1285,AJ1286)</f>
        <v>#NUM!</v>
      </c>
      <c r="AK1288" s="111"/>
      <c r="AL1288" s="28"/>
      <c r="AM1288" s="96" t="e">
        <f ca="1">IF(AM1283&lt;AM1287,AM1285,AM1286)</f>
        <v>#NUM!</v>
      </c>
      <c r="AN1288" s="111"/>
      <c r="AO1288" s="28"/>
      <c r="AP1288" s="96" t="e">
        <f ca="1">IF(AP1283&lt;AP1287,AP1285,AP1286)</f>
        <v>#NUM!</v>
      </c>
      <c r="AQ1288" s="111"/>
      <c r="AR1288" s="28"/>
      <c r="AS1288" s="96">
        <f ca="1">IF(AS1283&lt;AS1287,AS1285,AS1286)</f>
        <v>-6632.8479863848543</v>
      </c>
      <c r="AT1288" s="111"/>
      <c r="AU1288" s="28"/>
    </row>
    <row r="1289" spans="15:47" x14ac:dyDescent="0.25">
      <c r="O1289" s="13" t="s">
        <v>143</v>
      </c>
      <c r="P1289" s="1"/>
      <c r="Q1289" s="1"/>
      <c r="R1289" s="113"/>
      <c r="S1289" s="106">
        <f ca="1">IF(R1282&lt;=0,Q_max,ABS(R$23-R1288))</f>
        <v>3.9802517618387196</v>
      </c>
      <c r="T1289" s="7">
        <f>R1278</f>
        <v>1856.5299098379487</v>
      </c>
      <c r="U1289" s="98"/>
      <c r="V1289" s="106">
        <f ca="1">IF(U1282&lt;=0,Q_max,ABS(U$23-U1288))</f>
        <v>9.9718706425356629E-2</v>
      </c>
      <c r="W1289" s="9">
        <f ca="1">U1278</f>
        <v>28387.045304714669</v>
      </c>
      <c r="X1289" s="98"/>
      <c r="Y1289" s="106">
        <f ca="1">IF(X1282&lt;=0,Q_max,ABS(X$23-X1288))</f>
        <v>5.6506831385136493</v>
      </c>
      <c r="Z1289" s="9">
        <f ca="1">X1278</f>
        <v>69509.446669851081</v>
      </c>
      <c r="AA1289" s="98"/>
      <c r="AB1289" s="106">
        <f ca="1">IF(AA1282&lt;=0,Q_max,ABS(AA$23-AA1288))</f>
        <v>19.52689945288688</v>
      </c>
      <c r="AC1289" s="9">
        <f ca="1">AA1278</f>
        <v>135386.66014542329</v>
      </c>
      <c r="AD1289" s="98"/>
      <c r="AE1289" s="106">
        <f ca="1">IF(AD1282&lt;=0,Q_max,ABS(AD$23-AD1288))</f>
        <v>53.729503538133372</v>
      </c>
      <c r="AF1289" s="9">
        <f ca="1">AD1278</f>
        <v>227136.69983984553</v>
      </c>
      <c r="AG1289" s="98"/>
      <c r="AH1289" s="106">
        <f ca="1">IF(AG1282&lt;=0,Q_max,ABS(AG$23-AG1288))</f>
        <v>158.26300517906446</v>
      </c>
      <c r="AI1289" s="9">
        <f ca="1">AG1278</f>
        <v>331512.19974361284</v>
      </c>
      <c r="AJ1289" s="98"/>
      <c r="AK1289" s="106">
        <f ca="1">IF(AJ1282&lt;=0,Q_max,ABS(AJ$23-AJ1288))</f>
        <v>236393</v>
      </c>
      <c r="AL1289" s="9">
        <f ca="1">AJ1278</f>
        <v>442404.3156871823</v>
      </c>
      <c r="AM1289" s="98"/>
      <c r="AN1289" s="106">
        <f ca="1">IF(AM1282&lt;=0,Q_max,ABS(AM$23-AM1288))</f>
        <v>236393</v>
      </c>
      <c r="AO1289" s="9">
        <f ca="1">AM1278</f>
        <v>539817.339631496</v>
      </c>
      <c r="AP1289" s="98"/>
      <c r="AQ1289" s="106">
        <f ca="1">IF(AP1282&lt;=0,Q_max,ABS(AP$23-AP1288))</f>
        <v>236393</v>
      </c>
      <c r="AR1289" s="9">
        <f ca="1">AP1278</f>
        <v>626711.17288258974</v>
      </c>
      <c r="AS1289" s="98"/>
      <c r="AT1289" s="106">
        <f ca="1">IF(AS1282&lt;=0,Q_max,ABS(AS$23-AS1288))</f>
        <v>236393</v>
      </c>
      <c r="AU1289" s="9">
        <f ca="1">AS1278</f>
        <v>734868.13785720884</v>
      </c>
    </row>
    <row r="1290" spans="15:47" x14ac:dyDescent="0.25">
      <c r="O1290" s="21"/>
      <c r="P1290" s="14"/>
      <c r="Q1290" s="21"/>
      <c r="R1290" s="97"/>
      <c r="S1290" s="106"/>
      <c r="T1290" s="28"/>
      <c r="U1290" s="97"/>
      <c r="V1290" s="111"/>
      <c r="W1290" s="28"/>
      <c r="X1290" s="97"/>
      <c r="Y1290" s="111"/>
      <c r="Z1290" s="28"/>
      <c r="AA1290" s="97"/>
      <c r="AB1290" s="111"/>
      <c r="AC1290" s="28"/>
      <c r="AD1290" s="97"/>
      <c r="AE1290" s="111"/>
      <c r="AF1290" s="28"/>
      <c r="AG1290" s="97"/>
      <c r="AH1290" s="111"/>
      <c r="AI1290" s="28"/>
      <c r="AJ1290" s="97"/>
      <c r="AK1290" s="111"/>
      <c r="AL1290" s="28"/>
      <c r="AM1290" s="97"/>
      <c r="AN1290" s="111"/>
      <c r="AO1290" s="28"/>
      <c r="AP1290" s="97"/>
      <c r="AQ1290" s="111"/>
      <c r="AR1290" s="28"/>
      <c r="AS1290" s="97"/>
      <c r="AT1290" s="111"/>
      <c r="AU1290" s="28"/>
    </row>
    <row r="1291" spans="15:47" x14ac:dyDescent="0.25">
      <c r="O1291" s="1"/>
      <c r="P1291" s="1"/>
      <c r="Q1291" s="1"/>
      <c r="R1291" s="98"/>
      <c r="S1291" s="108" t="s">
        <v>137</v>
      </c>
      <c r="T1291" s="26" t="s">
        <v>146</v>
      </c>
      <c r="U1291" s="98"/>
      <c r="V1291" s="108" t="s">
        <v>137</v>
      </c>
      <c r="W1291" s="26" t="s">
        <v>146</v>
      </c>
      <c r="X1291" s="98"/>
      <c r="Y1291" s="108" t="s">
        <v>137</v>
      </c>
      <c r="Z1291" s="26" t="s">
        <v>146</v>
      </c>
      <c r="AA1291" s="98"/>
      <c r="AB1291" s="108" t="s">
        <v>137</v>
      </c>
      <c r="AC1291" s="26" t="s">
        <v>146</v>
      </c>
      <c r="AD1291" s="98"/>
      <c r="AE1291" s="108" t="s">
        <v>137</v>
      </c>
      <c r="AF1291" s="26" t="s">
        <v>146</v>
      </c>
      <c r="AG1291" s="98"/>
      <c r="AH1291" s="108" t="s">
        <v>137</v>
      </c>
      <c r="AI1291" s="26" t="s">
        <v>146</v>
      </c>
      <c r="AJ1291" s="98"/>
      <c r="AK1291" s="108" t="s">
        <v>137</v>
      </c>
      <c r="AL1291" s="26" t="s">
        <v>146</v>
      </c>
      <c r="AM1291" s="98"/>
      <c r="AN1291" s="108" t="s">
        <v>137</v>
      </c>
      <c r="AO1291" s="26" t="s">
        <v>146</v>
      </c>
      <c r="AP1291" s="98"/>
      <c r="AQ1291" s="108" t="s">
        <v>137</v>
      </c>
      <c r="AR1291" s="26" t="s">
        <v>146</v>
      </c>
      <c r="AS1291" s="98"/>
      <c r="AT1291" s="108" t="s">
        <v>137</v>
      </c>
      <c r="AU1291" s="26" t="s">
        <v>146</v>
      </c>
    </row>
    <row r="1292" spans="15:47" ht="13.8" x14ac:dyDescent="0.25">
      <c r="O1292" s="20" t="s">
        <v>136</v>
      </c>
      <c r="P1292" s="1"/>
      <c r="Q1292" s="1"/>
      <c r="R1292" s="96">
        <f>R1278*1.02</f>
        <v>1893.6605080347076</v>
      </c>
      <c r="S1292" s="109" t="s">
        <v>144</v>
      </c>
      <c r="T1292" s="23" t="s">
        <v>147</v>
      </c>
      <c r="U1292" s="96">
        <f ca="1">U1278*1.01</f>
        <v>28670.915757761817</v>
      </c>
      <c r="V1292" s="109" t="s">
        <v>144</v>
      </c>
      <c r="W1292" s="23" t="s">
        <v>147</v>
      </c>
      <c r="X1292" s="96">
        <f ca="1">X1278*1.01</f>
        <v>70204.541136549597</v>
      </c>
      <c r="Y1292" s="109" t="s">
        <v>144</v>
      </c>
      <c r="Z1292" s="23" t="s">
        <v>147</v>
      </c>
      <c r="AA1292" s="96">
        <f ca="1">AA1278*1.01</f>
        <v>136740.52674687753</v>
      </c>
      <c r="AB1292" s="109" t="s">
        <v>144</v>
      </c>
      <c r="AC1292" s="23" t="s">
        <v>147</v>
      </c>
      <c r="AD1292" s="96">
        <f ca="1">AD1278*1.01</f>
        <v>229408.06683824398</v>
      </c>
      <c r="AE1292" s="109" t="s">
        <v>144</v>
      </c>
      <c r="AF1292" s="23" t="s">
        <v>147</v>
      </c>
      <c r="AG1292" s="96">
        <f ca="1">AG1278*1.01</f>
        <v>334827.321741049</v>
      </c>
      <c r="AH1292" s="109" t="s">
        <v>144</v>
      </c>
      <c r="AI1292" s="23" t="s">
        <v>147</v>
      </c>
      <c r="AJ1292" s="96">
        <f ca="1">AJ1278*1.01</f>
        <v>446828.35884405411</v>
      </c>
      <c r="AK1292" s="109" t="s">
        <v>144</v>
      </c>
      <c r="AL1292" s="23" t="s">
        <v>147</v>
      </c>
      <c r="AM1292" s="96">
        <f ca="1">AM1278*1.01</f>
        <v>545215.51302781096</v>
      </c>
      <c r="AN1292" s="109" t="s">
        <v>144</v>
      </c>
      <c r="AO1292" s="23" t="s">
        <v>147</v>
      </c>
      <c r="AP1292" s="96">
        <f ca="1">AP1278*1.01</f>
        <v>632978.2846114157</v>
      </c>
      <c r="AQ1292" s="109" t="s">
        <v>144</v>
      </c>
      <c r="AR1292" s="23" t="s">
        <v>147</v>
      </c>
      <c r="AS1292" s="96">
        <f ca="1">AS1278*1.01</f>
        <v>742216.81923578097</v>
      </c>
      <c r="AT1292" s="109" t="s">
        <v>144</v>
      </c>
      <c r="AU1292" s="23" t="s">
        <v>147</v>
      </c>
    </row>
    <row r="1293" spans="15:47" x14ac:dyDescent="0.25">
      <c r="O1293" s="1"/>
      <c r="P1293" s="1"/>
      <c r="Q1293" s="1"/>
      <c r="R1293" s="98"/>
      <c r="S1293" s="107"/>
      <c r="T1293" s="1"/>
      <c r="U1293" s="47"/>
      <c r="V1293" s="107"/>
      <c r="W1293" s="1"/>
      <c r="X1293" s="47"/>
      <c r="Y1293" s="107"/>
      <c r="Z1293" s="1"/>
      <c r="AA1293" s="47"/>
      <c r="AB1293" s="107"/>
      <c r="AC1293" s="1"/>
      <c r="AD1293" s="47"/>
      <c r="AE1293" s="107"/>
      <c r="AF1293" s="1"/>
      <c r="AG1293" s="47"/>
      <c r="AH1293" s="107"/>
      <c r="AI1293" s="1"/>
      <c r="AJ1293" s="47"/>
      <c r="AK1293" s="107"/>
      <c r="AL1293" s="1"/>
      <c r="AM1293" s="47"/>
      <c r="AN1293" s="107"/>
      <c r="AO1293" s="1"/>
      <c r="AP1293" s="47"/>
      <c r="AQ1293" s="107"/>
      <c r="AR1293" s="1"/>
      <c r="AS1293" s="47"/>
      <c r="AT1293" s="107"/>
      <c r="AU1293" s="1"/>
    </row>
    <row r="1294" spans="15:47" x14ac:dyDescent="0.25">
      <c r="O1294" s="8" t="s">
        <v>132</v>
      </c>
      <c r="P1294" s="8"/>
      <c r="Q1294" s="8"/>
      <c r="R1294" s="96">
        <f>P_1_minQ-(R1292^2*R_up)+dpup_minQ</f>
        <v>90.184386951719219</v>
      </c>
      <c r="S1294" s="106"/>
      <c r="T1294" s="22"/>
      <c r="U1294" s="96">
        <f ca="1">P_1_minQ-(U1292^2*R_up)+dpup_minQ</f>
        <v>90.035218158971304</v>
      </c>
      <c r="V1294" s="107"/>
      <c r="W1294" s="1"/>
      <c r="X1294" s="96">
        <f ca="1">P_1_minQ-(X1292^2*R_up)+dpup_minQ</f>
        <v>89.286735260556924</v>
      </c>
      <c r="Y1294" s="107"/>
      <c r="Z1294" s="1"/>
      <c r="AA1294" s="96">
        <f ca="1">P_1_minQ-(AA1292^2*R_up)+dpup_minQ</f>
        <v>86.77713117880063</v>
      </c>
      <c r="AB1294" s="107"/>
      <c r="AC1294" s="1"/>
      <c r="AD1294" s="96">
        <f ca="1">P_1_minQ-(AD1292^2*R_up)+dpup_minQ</f>
        <v>80.593002153871197</v>
      </c>
      <c r="AE1294" s="107"/>
      <c r="AF1294" s="1"/>
      <c r="AG1294" s="96">
        <f ca="1">P_1_minQ-(AG1292^2*R_up)+dpup_minQ</f>
        <v>69.75189090896734</v>
      </c>
      <c r="AH1294" s="107"/>
      <c r="AI1294" s="1"/>
      <c r="AJ1294" s="96">
        <f ca="1">P_1_minQ-(AJ1292^2*R_up)+dpup_minQ</f>
        <v>53.795632179838563</v>
      </c>
      <c r="AK1294" s="107"/>
      <c r="AL1294" s="1"/>
      <c r="AM1294" s="96">
        <f ca="1">P_1_minQ-(AM1292^2*R_up)+dpup_minQ</f>
        <v>36.006170150587316</v>
      </c>
      <c r="AN1294" s="107"/>
      <c r="AO1294" s="1"/>
      <c r="AP1294" s="96">
        <f ca="1">P_1_minQ-(AP1292^2*R_up)+dpup_minQ</f>
        <v>17.160108855057587</v>
      </c>
      <c r="AQ1294" s="107"/>
      <c r="AR1294" s="1"/>
      <c r="AS1294" s="96">
        <f ca="1">P_1_minQ-(AS1292^2*R_up)+dpup_minQ</f>
        <v>-10.21990857692815</v>
      </c>
      <c r="AT1294" s="107"/>
      <c r="AU1294" s="1"/>
    </row>
    <row r="1295" spans="15:47" x14ac:dyDescent="0.25">
      <c r="O1295" s="8" t="s">
        <v>134</v>
      </c>
      <c r="P1295" s="1"/>
      <c r="Q1295" s="8"/>
      <c r="R1295" s="97">
        <f>P_2_minQ+(R1292^2*R_dn)-dpdn_minQ</f>
        <v>60</v>
      </c>
      <c r="S1295" s="106"/>
      <c r="T1295" s="22"/>
      <c r="U1295" s="97">
        <f ca="1">P_2_minQ+(U1292^2*R_dn)-dpdn_minQ</f>
        <v>60</v>
      </c>
      <c r="V1295" s="107"/>
      <c r="W1295" s="1"/>
      <c r="X1295" s="97">
        <f ca="1">P_2_minQ+(X1292^2*R_dn)-dpdn_minQ</f>
        <v>60</v>
      </c>
      <c r="Y1295" s="107"/>
      <c r="Z1295" s="1"/>
      <c r="AA1295" s="97">
        <f ca="1">P_2_minQ+(AA1292^2*R_dn)-dpdn_minQ</f>
        <v>60</v>
      </c>
      <c r="AB1295" s="107"/>
      <c r="AC1295" s="1"/>
      <c r="AD1295" s="97">
        <f ca="1">P_2_minQ+(AD1292^2*R_dn)-dpdn_minQ</f>
        <v>60</v>
      </c>
      <c r="AE1295" s="107"/>
      <c r="AF1295" s="1"/>
      <c r="AG1295" s="97">
        <f ca="1">P_2_minQ+(AG1292^2*R_dn)-dpdn_minQ</f>
        <v>60</v>
      </c>
      <c r="AH1295" s="107"/>
      <c r="AI1295" s="1"/>
      <c r="AJ1295" s="97">
        <f ca="1">P_2_minQ+(AJ1292^2*R_dn)-dpdn_minQ</f>
        <v>60</v>
      </c>
      <c r="AK1295" s="107"/>
      <c r="AL1295" s="1"/>
      <c r="AM1295" s="97">
        <f ca="1">P_2_minQ+(AM1292^2*R_dn)-dpdn_minQ</f>
        <v>60</v>
      </c>
      <c r="AN1295" s="107"/>
      <c r="AO1295" s="1"/>
      <c r="AP1295" s="97">
        <f ca="1">P_2_minQ+(AP1292^2*R_dn)-dpdn_minQ</f>
        <v>60</v>
      </c>
      <c r="AQ1295" s="107"/>
      <c r="AR1295" s="1"/>
      <c r="AS1295" s="97">
        <f ca="1">P_2_minQ+(AS1292^2*R_dn)-dpdn_minQ</f>
        <v>60</v>
      </c>
      <c r="AT1295" s="107"/>
      <c r="AU1295" s="1"/>
    </row>
    <row r="1296" spans="15:47" x14ac:dyDescent="0.25">
      <c r="O1296" s="8" t="s">
        <v>138</v>
      </c>
      <c r="P1296" s="1"/>
      <c r="Q1296" s="8"/>
      <c r="R1296" s="97">
        <f>R1294-R1295</f>
        <v>30.184386951719219</v>
      </c>
      <c r="S1296" s="106"/>
      <c r="T1296" s="22"/>
      <c r="U1296" s="97">
        <f ca="1">U1294-U1295</f>
        <v>30.035218158971304</v>
      </c>
      <c r="V1296" s="110"/>
      <c r="W1296" s="25"/>
      <c r="X1296" s="97">
        <f ca="1">X1294-X1295</f>
        <v>29.286735260556924</v>
      </c>
      <c r="Y1296" s="110"/>
      <c r="Z1296" s="25"/>
      <c r="AA1296" s="97">
        <f ca="1">AA1294-AA1295</f>
        <v>26.77713117880063</v>
      </c>
      <c r="AB1296" s="110"/>
      <c r="AC1296" s="25"/>
      <c r="AD1296" s="97">
        <f ca="1">AD1294-AD1295</f>
        <v>20.593002153871197</v>
      </c>
      <c r="AE1296" s="110"/>
      <c r="AF1296" s="25"/>
      <c r="AG1296" s="97">
        <f ca="1">AG1294-AG1295</f>
        <v>9.75189090896734</v>
      </c>
      <c r="AH1296" s="110"/>
      <c r="AI1296" s="25"/>
      <c r="AJ1296" s="97">
        <f ca="1">AJ1294-AJ1295</f>
        <v>-6.204367820161437</v>
      </c>
      <c r="AK1296" s="110"/>
      <c r="AL1296" s="25"/>
      <c r="AM1296" s="97">
        <f ca="1">AM1294-AM1295</f>
        <v>-23.993829849412684</v>
      </c>
      <c r="AN1296" s="110"/>
      <c r="AO1296" s="25"/>
      <c r="AP1296" s="97">
        <f ca="1">AP1294-AP1295</f>
        <v>-42.839891144942413</v>
      </c>
      <c r="AQ1296" s="110"/>
      <c r="AR1296" s="25"/>
      <c r="AS1296" s="97">
        <f ca="1">AS1294-AS1295</f>
        <v>-70.219908576928148</v>
      </c>
      <c r="AT1296" s="110"/>
      <c r="AU1296" s="25"/>
    </row>
    <row r="1297" spans="15:47" ht="14.4" x14ac:dyDescent="0.3">
      <c r="O1297" s="2" t="s">
        <v>140</v>
      </c>
      <c r="P1297" s="11"/>
      <c r="Q1297" s="2"/>
      <c r="R1297" s="96">
        <f>R1296/R1294</f>
        <v>0.3346963700920717</v>
      </c>
      <c r="S1297" s="106"/>
      <c r="T1297" s="22"/>
      <c r="U1297" s="96">
        <f ca="1">U1296/U1294</f>
        <v>0.33359410654105837</v>
      </c>
      <c r="V1297" s="111"/>
      <c r="W1297" s="28"/>
      <c r="X1297" s="96">
        <f ca="1">X1296/X1294</f>
        <v>0.32800768417718768</v>
      </c>
      <c r="Y1297" s="111"/>
      <c r="Z1297" s="28"/>
      <c r="AA1297" s="96">
        <f ca="1">AA1296/AA1294</f>
        <v>0.30857359323883937</v>
      </c>
      <c r="AB1297" s="111"/>
      <c r="AC1297" s="28"/>
      <c r="AD1297" s="96">
        <f ca="1">AD1296/AD1294</f>
        <v>0.25551848924245635</v>
      </c>
      <c r="AE1297" s="111"/>
      <c r="AF1297" s="28"/>
      <c r="AG1297" s="96">
        <f ca="1">AG1296/AG1294</f>
        <v>0.13980826586757997</v>
      </c>
      <c r="AH1297" s="111"/>
      <c r="AI1297" s="28"/>
      <c r="AJ1297" s="96">
        <f ca="1">AJ1296/AJ1294</f>
        <v>-0.11533218532352706</v>
      </c>
      <c r="AK1297" s="111"/>
      <c r="AL1297" s="28"/>
      <c r="AM1297" s="96">
        <f ca="1">AM1296/AM1294</f>
        <v>-0.6663810604978021</v>
      </c>
      <c r="AN1297" s="111"/>
      <c r="AO1297" s="28"/>
      <c r="AP1297" s="96">
        <f ca="1">AP1296/AP1294</f>
        <v>-2.4964813164525026</v>
      </c>
      <c r="AQ1297" s="111"/>
      <c r="AR1297" s="28"/>
      <c r="AS1297" s="96">
        <f ca="1">AS1296/AS1294</f>
        <v>6.8708940053976981</v>
      </c>
      <c r="AT1297" s="111"/>
      <c r="AU1297" s="28"/>
    </row>
    <row r="1298" spans="15:47" x14ac:dyDescent="0.25">
      <c r="O1298" s="2" t="s">
        <v>21</v>
      </c>
      <c r="P1298" s="8">
        <v>12</v>
      </c>
      <c r="Q1298" s="2"/>
      <c r="R1298" s="96">
        <f ca="1">1-R1297/(3*F_GAMMA*R$29)</f>
        <v>0.82568706244296741</v>
      </c>
      <c r="S1298" s="106"/>
      <c r="T1298" s="22"/>
      <c r="U1298" s="96">
        <f ca="1">1-U1297/(3*F_GAMMA*U$29)</f>
        <v>0.82630149355615179</v>
      </c>
      <c r="V1298" s="111"/>
      <c r="W1298" s="28"/>
      <c r="X1298" s="96">
        <f ca="1">1-X1297/(3*F_GAMMA*X$29)</f>
        <v>0.8275836369813343</v>
      </c>
      <c r="Y1298" s="111"/>
      <c r="Z1298" s="28"/>
      <c r="AA1298" s="96">
        <f ca="1">1-AA1297/(3*F_GAMMA*AA$29)</f>
        <v>0.83551271807083927</v>
      </c>
      <c r="AB1298" s="111"/>
      <c r="AC1298" s="28"/>
      <c r="AD1298" s="96">
        <f ca="1">1-AD1297/(3*F_GAMMA*AD$29)</f>
        <v>0.85956979293324709</v>
      </c>
      <c r="AE1298" s="111"/>
      <c r="AF1298" s="28"/>
      <c r="AG1298" s="96">
        <f ca="1">1-AG1297/(3*F_GAMMA*AG$29)</f>
        <v>0.91855218263307603</v>
      </c>
      <c r="AH1298" s="111"/>
      <c r="AI1298" s="28"/>
      <c r="AJ1298" s="96">
        <f ca="1">1-AJ1297/(3*F_GAMMA*AJ$29)</f>
        <v>1.0722859897230193</v>
      </c>
      <c r="AK1298" s="111"/>
      <c r="AL1298" s="28"/>
      <c r="AM1298" s="96">
        <f ca="1">1-AM1297/(3*F_GAMMA*AM$29)</f>
        <v>1.466981934299858</v>
      </c>
      <c r="AN1298" s="111"/>
      <c r="AO1298" s="28"/>
      <c r="AP1298" s="96">
        <f ca="1">1-AP1297/(3*F_GAMMA*AP$29)</f>
        <v>2.4091479131311346</v>
      </c>
      <c r="AQ1298" s="111"/>
      <c r="AR1298" s="28"/>
      <c r="AS1298" s="96">
        <f ca="1">1-AS1297/(3*F_GAMMA*AS$29)</f>
        <v>-5.0800612517119124</v>
      </c>
      <c r="AT1298" s="111"/>
      <c r="AU1298" s="28"/>
    </row>
    <row r="1299" spans="15:47" x14ac:dyDescent="0.25">
      <c r="O1299" s="2" t="s">
        <v>57</v>
      </c>
      <c r="P1299" s="143">
        <v>7</v>
      </c>
      <c r="Q1299" s="2"/>
      <c r="R1299" s="96">
        <f ca="1">(R1292/(N_9*R$27*R1294*R1298))*SQRT(M*'Valve Sizing'!$W$6*'Valve Sizing'!$G$8/R1297)</f>
        <v>0.76474354171828318</v>
      </c>
      <c r="S1299" s="107"/>
      <c r="T1299" s="22"/>
      <c r="U1299" s="96">
        <f ca="1">(U1292/(N_9*U$27*U1294*U1298))*SQRT(M*'Valve Sizing'!$W$6*'Valve Sizing'!$G$8/U1297)</f>
        <v>11.615885408633416</v>
      </c>
      <c r="V1299" s="111"/>
      <c r="W1299" s="28"/>
      <c r="X1299" s="96">
        <f ca="1">(X1292/(N_9*X$27*X1294*X1298))*SQRT(M*'Valve Sizing'!$W$6*'Valve Sizing'!$G$8/X1297)</f>
        <v>28.946353114450815</v>
      </c>
      <c r="Y1299" s="111"/>
      <c r="Z1299" s="28"/>
      <c r="AA1299" s="96">
        <f ca="1">(AA1292/(N_9*AA$27*AA1294*AA1298))*SQRT(M*'Valve Sizing'!$W$6*'Valve Sizing'!$G$8/AA1297)</f>
        <v>59.593464397192484</v>
      </c>
      <c r="AB1299" s="111"/>
      <c r="AC1299" s="28"/>
      <c r="AD1299" s="96">
        <f ca="1">(AD1292/(N_9*AD$27*AD1294*AD1298))*SQRT(M*'Valve Sizing'!$W$6*'Valve Sizing'!$G$8/AD1297)</f>
        <v>116.41396111596137</v>
      </c>
      <c r="AE1299" s="111"/>
      <c r="AF1299" s="28"/>
      <c r="AG1299" s="96">
        <f ca="1">(AG1292/(N_9*AG$27*AG1294*AG1298))*SQRT(M*'Valve Sizing'!$W$6*'Valve Sizing'!$G$8/AG1297)</f>
        <v>253.94869493811018</v>
      </c>
      <c r="AH1299" s="111"/>
      <c r="AI1299" s="28"/>
      <c r="AJ1299" s="96" t="e">
        <f ca="1">(AJ1292/(N_9*AJ$27*AJ1294*AJ1298))*SQRT(M*'Valve Sizing'!$W$6*'Valve Sizing'!$G$8/AJ1297)</f>
        <v>#NUM!</v>
      </c>
      <c r="AK1299" s="111"/>
      <c r="AL1299" s="28"/>
      <c r="AM1299" s="96" t="e">
        <f ca="1">(AM1292/(N_9*AM$27*AM1294*AM1298))*SQRT(M*'Valve Sizing'!$W$6*'Valve Sizing'!$G$8/AM1297)</f>
        <v>#NUM!</v>
      </c>
      <c r="AN1299" s="111"/>
      <c r="AO1299" s="28"/>
      <c r="AP1299" s="96" t="e">
        <f ca="1">(AP1292/(N_9*AP$27*AP1294*AP1298))*SQRT(M*'Valve Sizing'!$W$6*'Valve Sizing'!$G$8/AP1297)</f>
        <v>#NUM!</v>
      </c>
      <c r="AQ1299" s="111"/>
      <c r="AR1299" s="28"/>
      <c r="AS1299" s="96">
        <f ca="1">(AS1292/(N_9*AS$27*AS1294*AS1298))*SQRT(M*'Valve Sizing'!$W$6*'Valve Sizing'!$G$8/AS1297)</f>
        <v>166.08284071221735</v>
      </c>
      <c r="AT1299" s="111"/>
      <c r="AU1299" s="28"/>
    </row>
    <row r="1300" spans="15:47" x14ac:dyDescent="0.25">
      <c r="O1300" s="2" t="s">
        <v>59</v>
      </c>
      <c r="P1300" s="143">
        <v>7</v>
      </c>
      <c r="Q1300" s="2"/>
      <c r="R1300" s="96">
        <f ca="1">(R1292/(N_9*R$27*R1294*0.667))*SQRT(M*'Valve Sizing'!$W$6*'Valve Sizing'!$G$8/R1301)</f>
        <v>0.68459055351784148</v>
      </c>
      <c r="S1300" s="107"/>
      <c r="T1300" s="22"/>
      <c r="U1300" s="96">
        <f ca="1">(U1292/(N_9*U$27*U1294*0.667))*SQRT(M*'Valve Sizing'!$W$6*'Valve Sizing'!$G$8/U1301)</f>
        <v>10.387802700453051</v>
      </c>
      <c r="V1300" s="111"/>
      <c r="W1300" s="28"/>
      <c r="X1300" s="96">
        <f ca="1">(X1292/(N_9*X$27*X1294*0.667))*SQRT(M*'Valve Sizing'!$W$6*'Valve Sizing'!$G$8/X1301)</f>
        <v>25.830319867128079</v>
      </c>
      <c r="Y1300" s="111"/>
      <c r="Z1300" s="28"/>
      <c r="AA1300" s="96">
        <f ca="1">(AA1292/(N_9*AA$27*AA1294*0.667))*SQRT(M*'Valve Sizing'!$W$6*'Valve Sizing'!$G$8/AA1301)</f>
        <v>52.438789028086859</v>
      </c>
      <c r="AB1300" s="111"/>
      <c r="AC1300" s="28"/>
      <c r="AD1300" s="96">
        <f ca="1">(AD1292/(N_9*AD$27*AD1294*0.667))*SQRT(M*'Valve Sizing'!$W$6*'Valve Sizing'!$G$8/AD1301)</f>
        <v>97.375852644502842</v>
      </c>
      <c r="AE1300" s="111"/>
      <c r="AF1300" s="28"/>
      <c r="AG1300" s="96">
        <f ca="1">(AG1292/(N_9*AG$27*AG1294*0.667))*SQRT(M*'Valve Sizing'!$W$6*'Valve Sizing'!$G$8/AG1301)</f>
        <v>172.87187302861227</v>
      </c>
      <c r="AH1300" s="111"/>
      <c r="AI1300" s="28"/>
      <c r="AJ1300" s="96">
        <f ca="1">(AJ1292/(N_9*AJ$27*AJ1294*0.667))*SQRT(M*'Valve Sizing'!$W$6*'Valve Sizing'!$G$8/AJ1301)</f>
        <v>321.48054111762923</v>
      </c>
      <c r="AK1300" s="111"/>
      <c r="AL1300" s="28"/>
      <c r="AM1300" s="96">
        <f ca="1">(AM1292/(N_9*AM$27*AM1294*0.667))*SQRT(M*'Valve Sizing'!$W$6*'Valve Sizing'!$G$8/AM1301)</f>
        <v>657.51831845671438</v>
      </c>
      <c r="AN1300" s="111"/>
      <c r="AO1300" s="28"/>
      <c r="AP1300" s="96">
        <f ca="1">(AP1292/(N_9*AP$27*AP1294*0.667))*SQRT(M*'Valve Sizing'!$W$6*'Valve Sizing'!$G$8/AP1301)</f>
        <v>1636.1655114777561</v>
      </c>
      <c r="AQ1300" s="111"/>
      <c r="AR1300" s="28"/>
      <c r="AS1300" s="96">
        <f ca="1">(AS1292/(N_9*AS$27*AS1294*0.667))*SQRT(M*'Valve Sizing'!$W$6*'Valve Sizing'!$G$8/AS1301)</f>
        <v>-5402.3470972818168</v>
      </c>
      <c r="AT1300" s="111"/>
      <c r="AU1300" s="28"/>
    </row>
    <row r="1301" spans="15:47" ht="15.6" x14ac:dyDescent="0.35">
      <c r="O1301" s="2" t="s">
        <v>68</v>
      </c>
      <c r="P1301" s="143">
        <v>10</v>
      </c>
      <c r="Q1301" s="2"/>
      <c r="R1301" s="96">
        <f ca="1">F_GAMMA*R$29</f>
        <v>0.64002969751372984</v>
      </c>
      <c r="S1301" s="107"/>
      <c r="T1301" s="1"/>
      <c r="U1301" s="96">
        <f ca="1">F_GAMMA*U$29</f>
        <v>0.64017842058782071</v>
      </c>
      <c r="V1301" s="111"/>
      <c r="W1301" s="28"/>
      <c r="X1301" s="96">
        <f ca="1">F_GAMMA*X$29</f>
        <v>0.63413873724904268</v>
      </c>
      <c r="Y1301" s="111"/>
      <c r="Z1301" s="28"/>
      <c r="AA1301" s="96">
        <f ca="1">F_GAMMA*AA$29</f>
        <v>0.62532411750377137</v>
      </c>
      <c r="AB1301" s="111"/>
      <c r="AC1301" s="28"/>
      <c r="AD1301" s="96">
        <f ca="1">F_GAMMA*AD$29</f>
        <v>0.60651359509139569</v>
      </c>
      <c r="AE1301" s="111"/>
      <c r="AF1301" s="28"/>
      <c r="AG1301" s="96">
        <f ca="1">F_GAMMA*AG$29</f>
        <v>0.57217930198481592</v>
      </c>
      <c r="AH1301" s="111"/>
      <c r="AI1301" s="28"/>
      <c r="AJ1301" s="96">
        <f ca="1">F_GAMMA*AJ$29</f>
        <v>0.53183282018848232</v>
      </c>
      <c r="AK1301" s="111"/>
      <c r="AL1301" s="28"/>
      <c r="AM1301" s="96">
        <f ca="1">F_GAMMA*AM$29</f>
        <v>0.47566512503094399</v>
      </c>
      <c r="AN1301" s="111"/>
      <c r="AO1301" s="28"/>
      <c r="AP1301" s="96">
        <f ca="1">F_GAMMA*AP$29</f>
        <v>0.59054158265645496</v>
      </c>
      <c r="AQ1301" s="111"/>
      <c r="AR1301" s="28"/>
      <c r="AS1301" s="96">
        <f ca="1">F_GAMMA*AS$29</f>
        <v>0.3766899554102966</v>
      </c>
      <c r="AT1301" s="111"/>
      <c r="AU1301" s="28"/>
    </row>
    <row r="1302" spans="15:47" x14ac:dyDescent="0.25">
      <c r="O1302" s="2" t="s">
        <v>145</v>
      </c>
      <c r="P1302" s="12"/>
      <c r="Q1302" s="2"/>
      <c r="R1302" s="96">
        <f ca="1">IF(R1297&lt;R1301,R1299,R1300)</f>
        <v>0.76474354171828318</v>
      </c>
      <c r="S1302" s="116"/>
      <c r="T1302" s="1"/>
      <c r="U1302" s="96">
        <f ca="1">IF(U1297&lt;U1301,U1299,U1300)</f>
        <v>11.615885408633416</v>
      </c>
      <c r="V1302" s="111"/>
      <c r="W1302" s="28"/>
      <c r="X1302" s="96">
        <f ca="1">IF(X1297&lt;X1301,X1299,X1300)</f>
        <v>28.946353114450815</v>
      </c>
      <c r="Y1302" s="111"/>
      <c r="Z1302" s="28"/>
      <c r="AA1302" s="96">
        <f ca="1">IF(AA1297&lt;AA1301,AA1299,AA1300)</f>
        <v>59.593464397192484</v>
      </c>
      <c r="AB1302" s="111"/>
      <c r="AC1302" s="28"/>
      <c r="AD1302" s="96">
        <f ca="1">IF(AD1297&lt;AD1301,AD1299,AD1300)</f>
        <v>116.41396111596137</v>
      </c>
      <c r="AE1302" s="111"/>
      <c r="AF1302" s="28"/>
      <c r="AG1302" s="96">
        <f ca="1">IF(AG1297&lt;AG1301,AG1299,AG1300)</f>
        <v>253.94869493811018</v>
      </c>
      <c r="AH1302" s="111"/>
      <c r="AI1302" s="28"/>
      <c r="AJ1302" s="96" t="e">
        <f ca="1">IF(AJ1297&lt;AJ1301,AJ1299,AJ1300)</f>
        <v>#NUM!</v>
      </c>
      <c r="AK1302" s="111"/>
      <c r="AL1302" s="28"/>
      <c r="AM1302" s="96" t="e">
        <f ca="1">IF(AM1297&lt;AM1301,AM1299,AM1300)</f>
        <v>#NUM!</v>
      </c>
      <c r="AN1302" s="111"/>
      <c r="AO1302" s="28"/>
      <c r="AP1302" s="96" t="e">
        <f ca="1">IF(AP1297&lt;AP1301,AP1299,AP1300)</f>
        <v>#NUM!</v>
      </c>
      <c r="AQ1302" s="111"/>
      <c r="AR1302" s="28"/>
      <c r="AS1302" s="96">
        <f ca="1">IF(AS1297&lt;AS1301,AS1299,AS1300)</f>
        <v>-5402.3470972818168</v>
      </c>
      <c r="AT1302" s="111"/>
      <c r="AU1302" s="28"/>
    </row>
    <row r="1303" spans="15:47" x14ac:dyDescent="0.25">
      <c r="O1303" s="13" t="s">
        <v>143</v>
      </c>
      <c r="P1303" s="1"/>
      <c r="Q1303" s="1"/>
      <c r="R1303" s="113"/>
      <c r="S1303" s="106">
        <f ca="1">IF(R1296&lt;=0,Q_max,ABS(R$23-R1302))</f>
        <v>3.9652564582817171</v>
      </c>
      <c r="T1303" s="7">
        <f>R1292</f>
        <v>1893.6605080347076</v>
      </c>
      <c r="U1303" s="98"/>
      <c r="V1303" s="106">
        <f ca="1">IF(U1296&lt;=0,Q_max,ABS(U$23-U1302))</f>
        <v>1.5885408633415921E-2</v>
      </c>
      <c r="W1303" s="9">
        <f ca="1">U1292</f>
        <v>28670.915757761817</v>
      </c>
      <c r="X1303" s="98"/>
      <c r="Y1303" s="106">
        <f ca="1">IF(X1296&lt;=0,Q_max,ABS(X$23-X1302))</f>
        <v>5.9463531144508153</v>
      </c>
      <c r="Z1303" s="9">
        <f ca="1">X1292</f>
        <v>70204.541136549597</v>
      </c>
      <c r="AA1303" s="98"/>
      <c r="AB1303" s="106">
        <f ca="1">IF(AA1296&lt;=0,Q_max,ABS(AA$23-AA1302))</f>
        <v>20.193464397192486</v>
      </c>
      <c r="AC1303" s="9">
        <f ca="1">AA1292</f>
        <v>136740.52674687753</v>
      </c>
      <c r="AD1303" s="98"/>
      <c r="AE1303" s="106">
        <f ca="1">IF(AD1296&lt;=0,Q_max,ABS(AD$23-AD1302))</f>
        <v>55.413961115961371</v>
      </c>
      <c r="AF1303" s="9">
        <f ca="1">AD1292</f>
        <v>229408.06683824398</v>
      </c>
      <c r="AG1303" s="98"/>
      <c r="AH1303" s="106">
        <f ca="1">IF(AG1296&lt;=0,Q_max,ABS(AG$23-AG1302))</f>
        <v>165.74869493811019</v>
      </c>
      <c r="AI1303" s="9">
        <f ca="1">AG1292</f>
        <v>334827.321741049</v>
      </c>
      <c r="AJ1303" s="98"/>
      <c r="AK1303" s="106">
        <f ca="1">IF(AJ1296&lt;=0,Q_max,ABS(AJ$23-AJ1302))</f>
        <v>236393</v>
      </c>
      <c r="AL1303" s="9">
        <f ca="1">AJ1292</f>
        <v>446828.35884405411</v>
      </c>
      <c r="AM1303" s="98"/>
      <c r="AN1303" s="106">
        <f ca="1">IF(AM1296&lt;=0,Q_max,ABS(AM$23-AM1302))</f>
        <v>236393</v>
      </c>
      <c r="AO1303" s="9">
        <f ca="1">AM1292</f>
        <v>545215.51302781096</v>
      </c>
      <c r="AP1303" s="98"/>
      <c r="AQ1303" s="106">
        <f ca="1">IF(AP1296&lt;=0,Q_max,ABS(AP$23-AP1302))</f>
        <v>236393</v>
      </c>
      <c r="AR1303" s="9">
        <f ca="1">AP1292</f>
        <v>632978.2846114157</v>
      </c>
      <c r="AS1303" s="98"/>
      <c r="AT1303" s="106">
        <f ca="1">IF(AS1296&lt;=0,Q_max,ABS(AS$23-AS1302))</f>
        <v>236393</v>
      </c>
      <c r="AU1303" s="9">
        <f ca="1">AS1292</f>
        <v>742216.81923578097</v>
      </c>
    </row>
    <row r="1304" spans="15:47" x14ac:dyDescent="0.25">
      <c r="O1304" s="21"/>
      <c r="P1304" s="14"/>
      <c r="Q1304" s="21"/>
      <c r="R1304" s="97"/>
      <c r="S1304" s="106"/>
      <c r="T1304" s="28"/>
      <c r="U1304" s="97"/>
      <c r="V1304" s="111"/>
      <c r="W1304" s="28"/>
      <c r="X1304" s="97"/>
      <c r="Y1304" s="111"/>
      <c r="Z1304" s="28"/>
      <c r="AA1304" s="97"/>
      <c r="AB1304" s="111"/>
      <c r="AC1304" s="28"/>
      <c r="AD1304" s="97"/>
      <c r="AE1304" s="111"/>
      <c r="AF1304" s="28"/>
      <c r="AG1304" s="97"/>
      <c r="AH1304" s="111"/>
      <c r="AI1304" s="28"/>
      <c r="AJ1304" s="97"/>
      <c r="AK1304" s="111"/>
      <c r="AL1304" s="28"/>
      <c r="AM1304" s="97"/>
      <c r="AN1304" s="111"/>
      <c r="AO1304" s="28"/>
      <c r="AP1304" s="97"/>
      <c r="AQ1304" s="111"/>
      <c r="AR1304" s="28"/>
      <c r="AS1304" s="97"/>
      <c r="AT1304" s="111"/>
      <c r="AU1304" s="28"/>
    </row>
    <row r="1305" spans="15:47" x14ac:dyDescent="0.25">
      <c r="O1305" s="1"/>
      <c r="P1305" s="1"/>
      <c r="Q1305" s="1"/>
      <c r="R1305" s="98"/>
      <c r="S1305" s="108" t="s">
        <v>137</v>
      </c>
      <c r="T1305" s="26" t="s">
        <v>146</v>
      </c>
      <c r="U1305" s="98"/>
      <c r="V1305" s="108" t="s">
        <v>137</v>
      </c>
      <c r="W1305" s="26" t="s">
        <v>146</v>
      </c>
      <c r="X1305" s="98"/>
      <c r="Y1305" s="108" t="s">
        <v>137</v>
      </c>
      <c r="Z1305" s="26" t="s">
        <v>146</v>
      </c>
      <c r="AA1305" s="98"/>
      <c r="AB1305" s="108" t="s">
        <v>137</v>
      </c>
      <c r="AC1305" s="26" t="s">
        <v>146</v>
      </c>
      <c r="AD1305" s="98"/>
      <c r="AE1305" s="108" t="s">
        <v>137</v>
      </c>
      <c r="AF1305" s="26" t="s">
        <v>146</v>
      </c>
      <c r="AG1305" s="98"/>
      <c r="AH1305" s="108" t="s">
        <v>137</v>
      </c>
      <c r="AI1305" s="26" t="s">
        <v>146</v>
      </c>
      <c r="AJ1305" s="98"/>
      <c r="AK1305" s="108" t="s">
        <v>137</v>
      </c>
      <c r="AL1305" s="26" t="s">
        <v>146</v>
      </c>
      <c r="AM1305" s="98"/>
      <c r="AN1305" s="108" t="s">
        <v>137</v>
      </c>
      <c r="AO1305" s="26" t="s">
        <v>146</v>
      </c>
      <c r="AP1305" s="98"/>
      <c r="AQ1305" s="108" t="s">
        <v>137</v>
      </c>
      <c r="AR1305" s="26" t="s">
        <v>146</v>
      </c>
      <c r="AS1305" s="98"/>
      <c r="AT1305" s="108" t="s">
        <v>137</v>
      </c>
      <c r="AU1305" s="26" t="s">
        <v>146</v>
      </c>
    </row>
    <row r="1306" spans="15:47" ht="13.8" x14ac:dyDescent="0.25">
      <c r="O1306" s="20" t="s">
        <v>136</v>
      </c>
      <c r="P1306" s="1"/>
      <c r="Q1306" s="1"/>
      <c r="R1306" s="96">
        <f>R1292*1.02</f>
        <v>1931.5337181954019</v>
      </c>
      <c r="S1306" s="109" t="s">
        <v>144</v>
      </c>
      <c r="T1306" s="23" t="s">
        <v>147</v>
      </c>
      <c r="U1306" s="96">
        <f ca="1">U1292*1.01</f>
        <v>28957.624915339435</v>
      </c>
      <c r="V1306" s="109" t="s">
        <v>144</v>
      </c>
      <c r="W1306" s="23" t="s">
        <v>147</v>
      </c>
      <c r="X1306" s="96">
        <f ca="1">X1292*1.01</f>
        <v>70906.586547915096</v>
      </c>
      <c r="Y1306" s="109" t="s">
        <v>144</v>
      </c>
      <c r="Z1306" s="23" t="s">
        <v>147</v>
      </c>
      <c r="AA1306" s="96">
        <f ca="1">AA1292*1.01</f>
        <v>138107.9320143463</v>
      </c>
      <c r="AB1306" s="109" t="s">
        <v>144</v>
      </c>
      <c r="AC1306" s="23" t="s">
        <v>147</v>
      </c>
      <c r="AD1306" s="96">
        <f ca="1">AD1292*1.01</f>
        <v>231702.14750662641</v>
      </c>
      <c r="AE1306" s="109" t="s">
        <v>144</v>
      </c>
      <c r="AF1306" s="23" t="s">
        <v>147</v>
      </c>
      <c r="AG1306" s="96">
        <f ca="1">AG1292*1.01</f>
        <v>338175.59495845949</v>
      </c>
      <c r="AH1306" s="109" t="s">
        <v>144</v>
      </c>
      <c r="AI1306" s="23" t="s">
        <v>147</v>
      </c>
      <c r="AJ1306" s="96">
        <f ca="1">AJ1292*1.01</f>
        <v>451296.64243249467</v>
      </c>
      <c r="AK1306" s="109" t="s">
        <v>144</v>
      </c>
      <c r="AL1306" s="23" t="s">
        <v>147</v>
      </c>
      <c r="AM1306" s="96">
        <f ca="1">AM1292*1.01</f>
        <v>550667.66815808904</v>
      </c>
      <c r="AN1306" s="109" t="s">
        <v>144</v>
      </c>
      <c r="AO1306" s="23" t="s">
        <v>147</v>
      </c>
      <c r="AP1306" s="96">
        <f ca="1">AP1292*1.01</f>
        <v>639308.06745752983</v>
      </c>
      <c r="AQ1306" s="109" t="s">
        <v>144</v>
      </c>
      <c r="AR1306" s="23" t="s">
        <v>147</v>
      </c>
      <c r="AS1306" s="96">
        <f ca="1">AS1292*1.01</f>
        <v>749638.98742813885</v>
      </c>
      <c r="AT1306" s="109" t="s">
        <v>144</v>
      </c>
      <c r="AU1306" s="23" t="s">
        <v>147</v>
      </c>
    </row>
    <row r="1307" spans="15:47" x14ac:dyDescent="0.25">
      <c r="O1307" s="1"/>
      <c r="P1307" s="1"/>
      <c r="Q1307" s="1"/>
      <c r="R1307" s="98"/>
      <c r="S1307" s="107"/>
      <c r="T1307" s="1"/>
      <c r="U1307" s="47"/>
      <c r="V1307" s="107"/>
      <c r="W1307" s="1"/>
      <c r="X1307" s="47"/>
      <c r="Y1307" s="107"/>
      <c r="Z1307" s="1"/>
      <c r="AA1307" s="47"/>
      <c r="AB1307" s="107"/>
      <c r="AC1307" s="1"/>
      <c r="AD1307" s="47"/>
      <c r="AE1307" s="107"/>
      <c r="AF1307" s="1"/>
      <c r="AG1307" s="47"/>
      <c r="AH1307" s="107"/>
      <c r="AI1307" s="1"/>
      <c r="AJ1307" s="47"/>
      <c r="AK1307" s="107"/>
      <c r="AL1307" s="1"/>
      <c r="AM1307" s="47"/>
      <c r="AN1307" s="107"/>
      <c r="AO1307" s="1"/>
      <c r="AP1307" s="47"/>
      <c r="AQ1307" s="107"/>
      <c r="AR1307" s="1"/>
      <c r="AS1307" s="47"/>
      <c r="AT1307" s="107"/>
      <c r="AU1307" s="1"/>
    </row>
    <row r="1308" spans="15:47" x14ac:dyDescent="0.25">
      <c r="O1308" s="8" t="s">
        <v>132</v>
      </c>
      <c r="P1308" s="8"/>
      <c r="Q1308" s="8"/>
      <c r="R1308" s="96">
        <f>P_1_minQ-(R1306^2*R_up)+dpup_minQ</f>
        <v>90.184360547146341</v>
      </c>
      <c r="S1308" s="106"/>
      <c r="T1308" s="22"/>
      <c r="U1308" s="96">
        <f ca="1">P_1_minQ-(U1306^2*R_up)+dpup_minQ</f>
        <v>90.032206729308484</v>
      </c>
      <c r="V1308" s="107"/>
      <c r="W1308" s="1"/>
      <c r="X1308" s="96">
        <f ca="1">P_1_minQ-(X1306^2*R_up)+dpup_minQ</f>
        <v>89.268679324635983</v>
      </c>
      <c r="Y1308" s="107"/>
      <c r="Z1308" s="1"/>
      <c r="AA1308" s="96">
        <f ca="1">P_1_minQ-(AA1306^2*R_up)+dpup_minQ</f>
        <v>86.708632200836377</v>
      </c>
      <c r="AB1308" s="107"/>
      <c r="AC1308" s="1"/>
      <c r="AD1308" s="96">
        <f ca="1">P_1_minQ-(AD1306^2*R_up)+dpup_minQ</f>
        <v>80.400202182505865</v>
      </c>
      <c r="AE1308" s="107"/>
      <c r="AF1308" s="1"/>
      <c r="AG1308" s="96">
        <f ca="1">P_1_minQ-(AG1306^2*R_up)+dpup_minQ</f>
        <v>69.341184601579442</v>
      </c>
      <c r="AH1308" s="107"/>
      <c r="AI1308" s="1"/>
      <c r="AJ1308" s="96">
        <f ca="1">P_1_minQ-(AJ1306^2*R_up)+dpup_minQ</f>
        <v>53.064205071995175</v>
      </c>
      <c r="AK1308" s="107"/>
      <c r="AL1308" s="1"/>
      <c r="AM1308" s="96">
        <f ca="1">P_1_minQ-(AM1306^2*R_up)+dpup_minQ</f>
        <v>34.917174855955977</v>
      </c>
      <c r="AN1308" s="107"/>
      <c r="AO1308" s="1"/>
      <c r="AP1308" s="96">
        <f ca="1">P_1_minQ-(AP1306^2*R_up)+dpup_minQ</f>
        <v>15.69230772838611</v>
      </c>
      <c r="AQ1308" s="107"/>
      <c r="AR1308" s="1"/>
      <c r="AS1308" s="96">
        <f ca="1">P_1_minQ-(AS1306^2*R_up)+dpup_minQ</f>
        <v>-12.238048053982554</v>
      </c>
      <c r="AT1308" s="107"/>
      <c r="AU1308" s="1"/>
    </row>
    <row r="1309" spans="15:47" x14ac:dyDescent="0.25">
      <c r="O1309" s="8" t="s">
        <v>134</v>
      </c>
      <c r="P1309" s="1"/>
      <c r="Q1309" s="8"/>
      <c r="R1309" s="97">
        <f>P_2_minQ+(R1306^2*R_dn)-dpdn_minQ</f>
        <v>60</v>
      </c>
      <c r="S1309" s="106"/>
      <c r="T1309" s="22"/>
      <c r="U1309" s="97">
        <f ca="1">P_2_minQ+(U1306^2*R_dn)-dpdn_minQ</f>
        <v>60</v>
      </c>
      <c r="V1309" s="107"/>
      <c r="W1309" s="1"/>
      <c r="X1309" s="97">
        <f ca="1">P_2_minQ+(X1306^2*R_dn)-dpdn_minQ</f>
        <v>60</v>
      </c>
      <c r="Y1309" s="107"/>
      <c r="Z1309" s="1"/>
      <c r="AA1309" s="97">
        <f ca="1">P_2_minQ+(AA1306^2*R_dn)-dpdn_minQ</f>
        <v>60</v>
      </c>
      <c r="AB1309" s="107"/>
      <c r="AC1309" s="1"/>
      <c r="AD1309" s="97">
        <f ca="1">P_2_minQ+(AD1306^2*R_dn)-dpdn_minQ</f>
        <v>60</v>
      </c>
      <c r="AE1309" s="107"/>
      <c r="AF1309" s="1"/>
      <c r="AG1309" s="97">
        <f ca="1">P_2_minQ+(AG1306^2*R_dn)-dpdn_minQ</f>
        <v>60</v>
      </c>
      <c r="AH1309" s="107"/>
      <c r="AI1309" s="1"/>
      <c r="AJ1309" s="97">
        <f ca="1">P_2_minQ+(AJ1306^2*R_dn)-dpdn_minQ</f>
        <v>60</v>
      </c>
      <c r="AK1309" s="107"/>
      <c r="AL1309" s="1"/>
      <c r="AM1309" s="97">
        <f ca="1">P_2_minQ+(AM1306^2*R_dn)-dpdn_minQ</f>
        <v>60</v>
      </c>
      <c r="AN1309" s="107"/>
      <c r="AO1309" s="1"/>
      <c r="AP1309" s="97">
        <f ca="1">P_2_minQ+(AP1306^2*R_dn)-dpdn_minQ</f>
        <v>60</v>
      </c>
      <c r="AQ1309" s="107"/>
      <c r="AR1309" s="1"/>
      <c r="AS1309" s="97">
        <f ca="1">P_2_minQ+(AS1306^2*R_dn)-dpdn_minQ</f>
        <v>60</v>
      </c>
      <c r="AT1309" s="107"/>
      <c r="AU1309" s="1"/>
    </row>
    <row r="1310" spans="15:47" x14ac:dyDescent="0.25">
      <c r="O1310" s="8" t="s">
        <v>138</v>
      </c>
      <c r="P1310" s="1"/>
      <c r="Q1310" s="8"/>
      <c r="R1310" s="97">
        <f>R1308-R1309</f>
        <v>30.184360547146341</v>
      </c>
      <c r="S1310" s="106"/>
      <c r="T1310" s="22"/>
      <c r="U1310" s="97">
        <f ca="1">U1308-U1309</f>
        <v>30.032206729308484</v>
      </c>
      <c r="V1310" s="110"/>
      <c r="W1310" s="25"/>
      <c r="X1310" s="97">
        <f ca="1">X1308-X1309</f>
        <v>29.268679324635983</v>
      </c>
      <c r="Y1310" s="110"/>
      <c r="Z1310" s="25"/>
      <c r="AA1310" s="97">
        <f ca="1">AA1308-AA1309</f>
        <v>26.708632200836377</v>
      </c>
      <c r="AB1310" s="110"/>
      <c r="AC1310" s="25"/>
      <c r="AD1310" s="97">
        <f ca="1">AD1308-AD1309</f>
        <v>20.400202182505865</v>
      </c>
      <c r="AE1310" s="110"/>
      <c r="AF1310" s="25"/>
      <c r="AG1310" s="97">
        <f ca="1">AG1308-AG1309</f>
        <v>9.3411846015794424</v>
      </c>
      <c r="AH1310" s="110"/>
      <c r="AI1310" s="25"/>
      <c r="AJ1310" s="97">
        <f ca="1">AJ1308-AJ1309</f>
        <v>-6.9357949280048246</v>
      </c>
      <c r="AK1310" s="110"/>
      <c r="AL1310" s="25"/>
      <c r="AM1310" s="97">
        <f ca="1">AM1308-AM1309</f>
        <v>-25.082825144044023</v>
      </c>
      <c r="AN1310" s="110"/>
      <c r="AO1310" s="25"/>
      <c r="AP1310" s="97">
        <f ca="1">AP1308-AP1309</f>
        <v>-44.307692271613888</v>
      </c>
      <c r="AQ1310" s="110"/>
      <c r="AR1310" s="25"/>
      <c r="AS1310" s="97">
        <f ca="1">AS1308-AS1309</f>
        <v>-72.238048053982553</v>
      </c>
      <c r="AT1310" s="110"/>
      <c r="AU1310" s="25"/>
    </row>
    <row r="1311" spans="15:47" ht="14.4" x14ac:dyDescent="0.3">
      <c r="O1311" s="2" t="s">
        <v>140</v>
      </c>
      <c r="P1311" s="11"/>
      <c r="Q1311" s="2"/>
      <c r="R1311" s="96">
        <f>R1310/R1308</f>
        <v>0.3346961753015551</v>
      </c>
      <c r="S1311" s="106"/>
      <c r="T1311" s="22"/>
      <c r="U1311" s="96">
        <f ca="1">U1310/U1308</f>
        <v>0.33357181635682376</v>
      </c>
      <c r="V1311" s="111"/>
      <c r="W1311" s="28"/>
      <c r="X1311" s="96">
        <f ca="1">X1310/X1308</f>
        <v>0.32787176360251741</v>
      </c>
      <c r="Y1311" s="111"/>
      <c r="Z1311" s="28"/>
      <c r="AA1311" s="96">
        <f ca="1">AA1310/AA1308</f>
        <v>0.3080273730875292</v>
      </c>
      <c r="AB1311" s="111"/>
      <c r="AC1311" s="28"/>
      <c r="AD1311" s="96">
        <f ca="1">AD1310/AD1308</f>
        <v>0.25373321992646319</v>
      </c>
      <c r="AE1311" s="111"/>
      <c r="AF1311" s="28"/>
      <c r="AG1311" s="96">
        <f ca="1">AG1310/AG1308</f>
        <v>0.13471336919396487</v>
      </c>
      <c r="AH1311" s="111"/>
      <c r="AI1311" s="28"/>
      <c r="AJ1311" s="96">
        <f ca="1">AJ1310/AJ1308</f>
        <v>-0.13070571619031404</v>
      </c>
      <c r="AK1311" s="111"/>
      <c r="AL1311" s="28"/>
      <c r="AM1311" s="96">
        <f ca="1">AM1310/AM1308</f>
        <v>-0.71835207881274321</v>
      </c>
      <c r="AN1311" s="111"/>
      <c r="AO1311" s="28"/>
      <c r="AP1311" s="96">
        <f ca="1">AP1310/AP1308</f>
        <v>-2.8235294029739726</v>
      </c>
      <c r="AQ1311" s="111"/>
      <c r="AR1311" s="28"/>
      <c r="AS1311" s="96">
        <f ca="1">AS1310/AS1308</f>
        <v>5.9027426379874814</v>
      </c>
      <c r="AT1311" s="111"/>
      <c r="AU1311" s="28"/>
    </row>
    <row r="1312" spans="15:47" x14ac:dyDescent="0.25">
      <c r="O1312" s="2" t="s">
        <v>21</v>
      </c>
      <c r="P1312" s="8">
        <v>12</v>
      </c>
      <c r="Q1312" s="2"/>
      <c r="R1312" s="96">
        <f ca="1">1-R1311/(3*F_GAMMA*R$29)</f>
        <v>0.82568716389165409</v>
      </c>
      <c r="S1312" s="106"/>
      <c r="T1312" s="22"/>
      <c r="U1312" s="96">
        <f ca="1">1-U1311/(3*F_GAMMA*U$29)</f>
        <v>0.82631309979149592</v>
      </c>
      <c r="V1312" s="111"/>
      <c r="W1312" s="28"/>
      <c r="X1312" s="96">
        <f ca="1">1-X1311/(3*F_GAMMA*X$29)</f>
        <v>0.8276550832683407</v>
      </c>
      <c r="Y1312" s="111"/>
      <c r="Z1312" s="28"/>
      <c r="AA1312" s="96">
        <f ca="1">1-AA1311/(3*F_GAMMA*AA$29)</f>
        <v>0.83580388448945897</v>
      </c>
      <c r="AB1312" s="111"/>
      <c r="AC1312" s="28"/>
      <c r="AD1312" s="96">
        <f ca="1">1-AD1311/(3*F_GAMMA*AD$29)</f>
        <v>0.86055095770319423</v>
      </c>
      <c r="AE1312" s="111"/>
      <c r="AF1312" s="28"/>
      <c r="AG1312" s="96">
        <f ca="1">1-AG1311/(3*F_GAMMA*AG$29)</f>
        <v>0.92152030623578907</v>
      </c>
      <c r="AH1312" s="111"/>
      <c r="AI1312" s="28"/>
      <c r="AJ1312" s="96">
        <f ca="1">1-AJ1311/(3*F_GAMMA*AJ$29)</f>
        <v>1.0819215558152226</v>
      </c>
      <c r="AK1312" s="111"/>
      <c r="AL1312" s="28"/>
      <c r="AM1312" s="96">
        <f ca="1">1-AM1311/(3*F_GAMMA*AM$29)</f>
        <v>1.5034018269092226</v>
      </c>
      <c r="AN1312" s="111"/>
      <c r="AO1312" s="28"/>
      <c r="AP1312" s="96">
        <f ca="1">1-AP1311/(3*F_GAMMA*AP$29)</f>
        <v>2.5937513890626671</v>
      </c>
      <c r="AQ1312" s="111"/>
      <c r="AR1312" s="28"/>
      <c r="AS1312" s="96">
        <f ca="1">1-AS1311/(3*F_GAMMA*AS$29)</f>
        <v>-4.2233430997278392</v>
      </c>
      <c r="AT1312" s="111"/>
      <c r="AU1312" s="28"/>
    </row>
    <row r="1313" spans="15:47" x14ac:dyDescent="0.25">
      <c r="O1313" s="2" t="s">
        <v>57</v>
      </c>
      <c r="P1313" s="143">
        <v>7</v>
      </c>
      <c r="Q1313" s="2"/>
      <c r="R1313" s="96">
        <f ca="1">(R1306/(N_9*R$27*R1308*R1312))*SQRT(M*'Valve Sizing'!$W$6*'Valve Sizing'!$G$8/R1311)</f>
        <v>0.78003877208375982</v>
      </c>
      <c r="S1313" s="107"/>
      <c r="T1313" s="22"/>
      <c r="U1313" s="96">
        <f ca="1">(U1306/(N_9*U$27*U1308*U1312))*SQRT(M*'Valve Sizing'!$W$6*'Valve Sizing'!$G$8/U1311)</f>
        <v>11.732663873558838</v>
      </c>
      <c r="V1313" s="111"/>
      <c r="W1313" s="28"/>
      <c r="X1313" s="96">
        <f ca="1">(X1306/(N_9*X$27*X1308*X1312))*SQRT(M*'Valve Sizing'!$W$6*'Valve Sizing'!$G$8/X1311)</f>
        <v>29.245265762431313</v>
      </c>
      <c r="Y1313" s="111"/>
      <c r="Z1313" s="28"/>
      <c r="AA1313" s="96">
        <f ca="1">(AA1306/(N_9*AA$27*AA1308*AA1312))*SQRT(M*'Valve Sizing'!$W$6*'Valve Sizing'!$G$8/AA1311)</f>
        <v>60.269329890637799</v>
      </c>
      <c r="AB1313" s="111"/>
      <c r="AC1313" s="28"/>
      <c r="AD1313" s="96">
        <f ca="1">(AD1306/(N_9*AD$27*AD1308*AD1312))*SQRT(M*'Valve Sizing'!$W$6*'Valve Sizing'!$G$8/AD1311)</f>
        <v>118.13910776997164</v>
      </c>
      <c r="AE1313" s="111"/>
      <c r="AF1313" s="28"/>
      <c r="AG1313" s="96">
        <f ca="1">(AG1306/(N_9*AG$27*AG1308*AG1312))*SQRT(M*'Valve Sizing'!$W$6*'Valve Sizing'!$G$8/AG1311)</f>
        <v>261.99444736031347</v>
      </c>
      <c r="AH1313" s="111"/>
      <c r="AI1313" s="28"/>
      <c r="AJ1313" s="96" t="e">
        <f ca="1">(AJ1306/(N_9*AJ$27*AJ1308*AJ1312))*SQRT(M*'Valve Sizing'!$W$6*'Valve Sizing'!$G$8/AJ1311)</f>
        <v>#NUM!</v>
      </c>
      <c r="AK1313" s="111"/>
      <c r="AL1313" s="28"/>
      <c r="AM1313" s="96" t="e">
        <f ca="1">(AM1306/(N_9*AM$27*AM1308*AM1312))*SQRT(M*'Valve Sizing'!$W$6*'Valve Sizing'!$G$8/AM1311)</f>
        <v>#NUM!</v>
      </c>
      <c r="AN1313" s="111"/>
      <c r="AO1313" s="28"/>
      <c r="AP1313" s="96" t="e">
        <f ca="1">(AP1306/(N_9*AP$27*AP1308*AP1312))*SQRT(M*'Valve Sizing'!$W$6*'Valve Sizing'!$G$8/AP1311)</f>
        <v>#NUM!</v>
      </c>
      <c r="AQ1313" s="111"/>
      <c r="AR1313" s="28"/>
      <c r="AS1313" s="96">
        <f ca="1">(AS1306/(N_9*AS$27*AS1308*AS1312))*SQRT(M*'Valve Sizing'!$W$6*'Valve Sizing'!$G$8/AS1311)</f>
        <v>181.79137709837585</v>
      </c>
      <c r="AT1313" s="111"/>
      <c r="AU1313" s="28"/>
    </row>
    <row r="1314" spans="15:47" x14ac:dyDescent="0.25">
      <c r="O1314" s="2" t="s">
        <v>59</v>
      </c>
      <c r="P1314" s="143">
        <v>7</v>
      </c>
      <c r="Q1314" s="2"/>
      <c r="R1314" s="96">
        <f ca="1">(R1306/(N_9*R$27*R1308*0.667))*SQRT(M*'Valve Sizing'!$W$6*'Valve Sizing'!$G$8/R1315)</f>
        <v>0.69828256903437369</v>
      </c>
      <c r="S1314" s="107"/>
      <c r="T1314" s="22"/>
      <c r="U1314" s="96">
        <f ca="1">(U1306/(N_9*U$27*U1308*0.667))*SQRT(M*'Valve Sizing'!$W$6*'Valve Sizing'!$G$8/U1315)</f>
        <v>10.492031656971623</v>
      </c>
      <c r="V1314" s="111"/>
      <c r="W1314" s="28"/>
      <c r="X1314" s="96">
        <f ca="1">(X1306/(N_9*X$27*X1308*0.667))*SQRT(M*'Valve Sizing'!$W$6*'Valve Sizing'!$G$8/X1315)</f>
        <v>26.093899883042603</v>
      </c>
      <c r="Y1314" s="111"/>
      <c r="Z1314" s="28"/>
      <c r="AA1314" s="96">
        <f ca="1">(AA1306/(N_9*AA$27*AA1308*0.667))*SQRT(M*'Valve Sizing'!$W$6*'Valve Sizing'!$G$8/AA1315)</f>
        <v>53.005017314145675</v>
      </c>
      <c r="AB1314" s="111"/>
      <c r="AC1314" s="28"/>
      <c r="AD1314" s="96">
        <f ca="1">(AD1306/(N_9*AD$27*AD1308*0.667))*SQRT(M*'Valve Sizing'!$W$6*'Valve Sizing'!$G$8/AD1315)</f>
        <v>98.585453889035918</v>
      </c>
      <c r="AE1314" s="111"/>
      <c r="AF1314" s="28"/>
      <c r="AG1314" s="96">
        <f ca="1">(AG1306/(N_9*AG$27*AG1308*0.667))*SQRT(M*'Valve Sizing'!$W$6*'Valve Sizing'!$G$8/AG1315)</f>
        <v>175.63474721385731</v>
      </c>
      <c r="AH1314" s="111"/>
      <c r="AI1314" s="28"/>
      <c r="AJ1314" s="96">
        <f ca="1">(AJ1306/(N_9*AJ$27*AJ1308*0.667))*SQRT(M*'Valve Sizing'!$W$6*'Valve Sizing'!$G$8/AJ1315)</f>
        <v>329.17088663949886</v>
      </c>
      <c r="AK1314" s="111"/>
      <c r="AL1314" s="28"/>
      <c r="AM1314" s="96">
        <f ca="1">(AM1306/(N_9*AM$27*AM1308*0.667))*SQRT(M*'Valve Sizing'!$W$6*'Valve Sizing'!$G$8/AM1315)</f>
        <v>684.80522020001376</v>
      </c>
      <c r="AN1314" s="111"/>
      <c r="AO1314" s="28"/>
      <c r="AP1314" s="96">
        <f ca="1">(AP1306/(N_9*AP$27*AP1308*0.667))*SQRT(M*'Valve Sizing'!$W$6*'Valve Sizing'!$G$8/AP1315)</f>
        <v>1807.0985195741009</v>
      </c>
      <c r="AQ1314" s="111"/>
      <c r="AR1314" s="28"/>
      <c r="AS1314" s="96">
        <f ca="1">(AS1306/(N_9*AS$27*AS1308*0.667))*SQRT(M*'Valve Sizing'!$W$6*'Valve Sizing'!$G$8/AS1315)</f>
        <v>-4556.5770066785326</v>
      </c>
      <c r="AT1314" s="111"/>
      <c r="AU1314" s="28"/>
    </row>
    <row r="1315" spans="15:47" ht="15.6" x14ac:dyDescent="0.35">
      <c r="O1315" s="2" t="s">
        <v>68</v>
      </c>
      <c r="P1315" s="143">
        <v>10</v>
      </c>
      <c r="Q1315" s="2"/>
      <c r="R1315" s="96">
        <f ca="1">F_GAMMA*R$29</f>
        <v>0.64002969751372984</v>
      </c>
      <c r="S1315" s="107"/>
      <c r="T1315" s="1"/>
      <c r="U1315" s="96">
        <f ca="1">F_GAMMA*U$29</f>
        <v>0.64017842058782071</v>
      </c>
      <c r="V1315" s="111"/>
      <c r="W1315" s="28"/>
      <c r="X1315" s="96">
        <f ca="1">F_GAMMA*X$29</f>
        <v>0.63413873724904268</v>
      </c>
      <c r="Y1315" s="111"/>
      <c r="Z1315" s="28"/>
      <c r="AA1315" s="96">
        <f ca="1">F_GAMMA*AA$29</f>
        <v>0.62532411750377137</v>
      </c>
      <c r="AB1315" s="111"/>
      <c r="AC1315" s="28"/>
      <c r="AD1315" s="96">
        <f ca="1">F_GAMMA*AD$29</f>
        <v>0.60651359509139569</v>
      </c>
      <c r="AE1315" s="111"/>
      <c r="AF1315" s="28"/>
      <c r="AG1315" s="96">
        <f ca="1">F_GAMMA*AG$29</f>
        <v>0.57217930198481592</v>
      </c>
      <c r="AH1315" s="111"/>
      <c r="AI1315" s="28"/>
      <c r="AJ1315" s="96">
        <f ca="1">F_GAMMA*AJ$29</f>
        <v>0.53183282018848232</v>
      </c>
      <c r="AK1315" s="111"/>
      <c r="AL1315" s="28"/>
      <c r="AM1315" s="96">
        <f ca="1">F_GAMMA*AM$29</f>
        <v>0.47566512503094399</v>
      </c>
      <c r="AN1315" s="111"/>
      <c r="AO1315" s="28"/>
      <c r="AP1315" s="96">
        <f ca="1">F_GAMMA*AP$29</f>
        <v>0.59054158265645496</v>
      </c>
      <c r="AQ1315" s="111"/>
      <c r="AR1315" s="28"/>
      <c r="AS1315" s="96">
        <f ca="1">F_GAMMA*AS$29</f>
        <v>0.3766899554102966</v>
      </c>
      <c r="AT1315" s="111"/>
      <c r="AU1315" s="28"/>
    </row>
    <row r="1316" spans="15:47" x14ac:dyDescent="0.25">
      <c r="O1316" s="2" t="s">
        <v>145</v>
      </c>
      <c r="P1316" s="12"/>
      <c r="Q1316" s="2"/>
      <c r="R1316" s="96">
        <f ca="1">IF(R1311&lt;R1315,R1313,R1314)</f>
        <v>0.78003877208375982</v>
      </c>
      <c r="S1316" s="116"/>
      <c r="T1316" s="1"/>
      <c r="U1316" s="96">
        <f ca="1">IF(U1311&lt;U1315,U1313,U1314)</f>
        <v>11.732663873558838</v>
      </c>
      <c r="V1316" s="111"/>
      <c r="W1316" s="28"/>
      <c r="X1316" s="96">
        <f ca="1">IF(X1311&lt;X1315,X1313,X1314)</f>
        <v>29.245265762431313</v>
      </c>
      <c r="Y1316" s="111"/>
      <c r="Z1316" s="28"/>
      <c r="AA1316" s="96">
        <f ca="1">IF(AA1311&lt;AA1315,AA1313,AA1314)</f>
        <v>60.269329890637799</v>
      </c>
      <c r="AB1316" s="111"/>
      <c r="AC1316" s="28"/>
      <c r="AD1316" s="96">
        <f ca="1">IF(AD1311&lt;AD1315,AD1313,AD1314)</f>
        <v>118.13910776997164</v>
      </c>
      <c r="AE1316" s="111"/>
      <c r="AF1316" s="28"/>
      <c r="AG1316" s="96">
        <f ca="1">IF(AG1311&lt;AG1315,AG1313,AG1314)</f>
        <v>261.99444736031347</v>
      </c>
      <c r="AH1316" s="111"/>
      <c r="AI1316" s="28"/>
      <c r="AJ1316" s="96" t="e">
        <f ca="1">IF(AJ1311&lt;AJ1315,AJ1313,AJ1314)</f>
        <v>#NUM!</v>
      </c>
      <c r="AK1316" s="111"/>
      <c r="AL1316" s="28"/>
      <c r="AM1316" s="96" t="e">
        <f ca="1">IF(AM1311&lt;AM1315,AM1313,AM1314)</f>
        <v>#NUM!</v>
      </c>
      <c r="AN1316" s="111"/>
      <c r="AO1316" s="28"/>
      <c r="AP1316" s="96" t="e">
        <f ca="1">IF(AP1311&lt;AP1315,AP1313,AP1314)</f>
        <v>#NUM!</v>
      </c>
      <c r="AQ1316" s="111"/>
      <c r="AR1316" s="28"/>
      <c r="AS1316" s="96">
        <f ca="1">IF(AS1311&lt;AS1315,AS1313,AS1314)</f>
        <v>-4556.5770066785326</v>
      </c>
      <c r="AT1316" s="111"/>
      <c r="AU1316" s="28"/>
    </row>
    <row r="1317" spans="15:47" x14ac:dyDescent="0.25">
      <c r="O1317" s="13" t="s">
        <v>143</v>
      </c>
      <c r="P1317" s="1"/>
      <c r="Q1317" s="1"/>
      <c r="R1317" s="113"/>
      <c r="S1317" s="106">
        <f ca="1">IF(R1310&lt;=0,Q_max,ABS(R$23-R1316))</f>
        <v>3.9499612279162406</v>
      </c>
      <c r="T1317" s="7">
        <f>R1306</f>
        <v>1931.5337181954019</v>
      </c>
      <c r="U1317" s="98"/>
      <c r="V1317" s="106">
        <f ca="1">IF(U1310&lt;=0,Q_max,ABS(U$23-U1316))</f>
        <v>0.13266387355883857</v>
      </c>
      <c r="W1317" s="9">
        <f ca="1">U1306</f>
        <v>28957.624915339435</v>
      </c>
      <c r="X1317" s="98"/>
      <c r="Y1317" s="106">
        <f ca="1">IF(X1310&lt;=0,Q_max,ABS(X$23-X1316))</f>
        <v>6.2452657624313126</v>
      </c>
      <c r="Z1317" s="9">
        <f ca="1">X1306</f>
        <v>70906.586547915096</v>
      </c>
      <c r="AA1317" s="98"/>
      <c r="AB1317" s="106">
        <f ca="1">IF(AA1310&lt;=0,Q_max,ABS(AA$23-AA1316))</f>
        <v>20.8693298906378</v>
      </c>
      <c r="AC1317" s="9">
        <f ca="1">AA1306</f>
        <v>138107.9320143463</v>
      </c>
      <c r="AD1317" s="98"/>
      <c r="AE1317" s="106">
        <f ca="1">IF(AD1310&lt;=0,Q_max,ABS(AD$23-AD1316))</f>
        <v>57.139107769971645</v>
      </c>
      <c r="AF1317" s="9">
        <f ca="1">AD1306</f>
        <v>231702.14750662641</v>
      </c>
      <c r="AG1317" s="98"/>
      <c r="AH1317" s="106">
        <f ca="1">IF(AG1310&lt;=0,Q_max,ABS(AG$23-AG1316))</f>
        <v>173.79444736031348</v>
      </c>
      <c r="AI1317" s="9">
        <f ca="1">AG1306</f>
        <v>338175.59495845949</v>
      </c>
      <c r="AJ1317" s="98"/>
      <c r="AK1317" s="106">
        <f ca="1">IF(AJ1310&lt;=0,Q_max,ABS(AJ$23-AJ1316))</f>
        <v>236393</v>
      </c>
      <c r="AL1317" s="9">
        <f ca="1">AJ1306</f>
        <v>451296.64243249467</v>
      </c>
      <c r="AM1317" s="98"/>
      <c r="AN1317" s="106">
        <f ca="1">IF(AM1310&lt;=0,Q_max,ABS(AM$23-AM1316))</f>
        <v>236393</v>
      </c>
      <c r="AO1317" s="9">
        <f ca="1">AM1306</f>
        <v>550667.66815808904</v>
      </c>
      <c r="AP1317" s="98"/>
      <c r="AQ1317" s="106">
        <f ca="1">IF(AP1310&lt;=0,Q_max,ABS(AP$23-AP1316))</f>
        <v>236393</v>
      </c>
      <c r="AR1317" s="9">
        <f ca="1">AP1306</f>
        <v>639308.06745752983</v>
      </c>
      <c r="AS1317" s="98"/>
      <c r="AT1317" s="106">
        <f ca="1">IF(AS1310&lt;=0,Q_max,ABS(AS$23-AS1316))</f>
        <v>236393</v>
      </c>
      <c r="AU1317" s="9">
        <f ca="1">AS1306</f>
        <v>749638.98742813885</v>
      </c>
    </row>
    <row r="1318" spans="15:47" x14ac:dyDescent="0.25">
      <c r="O1318" s="21"/>
      <c r="P1318" s="14"/>
      <c r="Q1318" s="21"/>
      <c r="R1318" s="97"/>
      <c r="S1318" s="106"/>
      <c r="T1318" s="28"/>
      <c r="U1318" s="97"/>
      <c r="V1318" s="111"/>
      <c r="W1318" s="28"/>
      <c r="X1318" s="97"/>
      <c r="Y1318" s="111"/>
      <c r="Z1318" s="28"/>
      <c r="AA1318" s="97"/>
      <c r="AB1318" s="111"/>
      <c r="AC1318" s="28"/>
      <c r="AD1318" s="97"/>
      <c r="AE1318" s="111"/>
      <c r="AF1318" s="28"/>
      <c r="AG1318" s="97"/>
      <c r="AH1318" s="111"/>
      <c r="AI1318" s="28"/>
      <c r="AJ1318" s="97"/>
      <c r="AK1318" s="111"/>
      <c r="AL1318" s="28"/>
      <c r="AM1318" s="97"/>
      <c r="AN1318" s="111"/>
      <c r="AO1318" s="28"/>
      <c r="AP1318" s="97"/>
      <c r="AQ1318" s="111"/>
      <c r="AR1318" s="28"/>
      <c r="AS1318" s="97"/>
      <c r="AT1318" s="111"/>
      <c r="AU1318" s="28"/>
    </row>
    <row r="1319" spans="15:47" x14ac:dyDescent="0.25">
      <c r="O1319" s="1"/>
      <c r="P1319" s="1"/>
      <c r="Q1319" s="1"/>
      <c r="R1319" s="98"/>
      <c r="S1319" s="108" t="s">
        <v>137</v>
      </c>
      <c r="T1319" s="26" t="s">
        <v>146</v>
      </c>
      <c r="U1319" s="98"/>
      <c r="V1319" s="108" t="s">
        <v>137</v>
      </c>
      <c r="W1319" s="26" t="s">
        <v>146</v>
      </c>
      <c r="X1319" s="98"/>
      <c r="Y1319" s="108" t="s">
        <v>137</v>
      </c>
      <c r="Z1319" s="26" t="s">
        <v>146</v>
      </c>
      <c r="AA1319" s="98"/>
      <c r="AB1319" s="108" t="s">
        <v>137</v>
      </c>
      <c r="AC1319" s="26" t="s">
        <v>146</v>
      </c>
      <c r="AD1319" s="98"/>
      <c r="AE1319" s="108" t="s">
        <v>137</v>
      </c>
      <c r="AF1319" s="26" t="s">
        <v>146</v>
      </c>
      <c r="AG1319" s="98"/>
      <c r="AH1319" s="108" t="s">
        <v>137</v>
      </c>
      <c r="AI1319" s="26" t="s">
        <v>146</v>
      </c>
      <c r="AJ1319" s="98"/>
      <c r="AK1319" s="108" t="s">
        <v>137</v>
      </c>
      <c r="AL1319" s="26" t="s">
        <v>146</v>
      </c>
      <c r="AM1319" s="98"/>
      <c r="AN1319" s="108" t="s">
        <v>137</v>
      </c>
      <c r="AO1319" s="26" t="s">
        <v>146</v>
      </c>
      <c r="AP1319" s="98"/>
      <c r="AQ1319" s="108" t="s">
        <v>137</v>
      </c>
      <c r="AR1319" s="26" t="s">
        <v>146</v>
      </c>
      <c r="AS1319" s="98"/>
      <c r="AT1319" s="108" t="s">
        <v>137</v>
      </c>
      <c r="AU1319" s="26" t="s">
        <v>146</v>
      </c>
    </row>
    <row r="1320" spans="15:47" ht="13.8" x14ac:dyDescent="0.25">
      <c r="O1320" s="20" t="s">
        <v>136</v>
      </c>
      <c r="P1320" s="1"/>
      <c r="Q1320" s="1"/>
      <c r="R1320" s="96">
        <f>R1306*1.02</f>
        <v>1970.16439255931</v>
      </c>
      <c r="S1320" s="109" t="s">
        <v>144</v>
      </c>
      <c r="T1320" s="23" t="s">
        <v>147</v>
      </c>
      <c r="U1320" s="96">
        <f ca="1">U1306*1.01</f>
        <v>29247.201164492828</v>
      </c>
      <c r="V1320" s="109" t="s">
        <v>144</v>
      </c>
      <c r="W1320" s="23" t="s">
        <v>147</v>
      </c>
      <c r="X1320" s="96">
        <f ca="1">X1306*1.01</f>
        <v>71615.652413394244</v>
      </c>
      <c r="Y1320" s="109" t="s">
        <v>144</v>
      </c>
      <c r="Z1320" s="23" t="s">
        <v>147</v>
      </c>
      <c r="AA1320" s="96">
        <f ca="1">AA1306*1.01</f>
        <v>139489.01133448977</v>
      </c>
      <c r="AB1320" s="109" t="s">
        <v>144</v>
      </c>
      <c r="AC1320" s="23" t="s">
        <v>147</v>
      </c>
      <c r="AD1320" s="96">
        <f ca="1">AD1306*1.01</f>
        <v>234019.16898169267</v>
      </c>
      <c r="AE1320" s="109" t="s">
        <v>144</v>
      </c>
      <c r="AF1320" s="23" t="s">
        <v>147</v>
      </c>
      <c r="AG1320" s="96">
        <f ca="1">AG1306*1.01</f>
        <v>341557.35090804409</v>
      </c>
      <c r="AH1320" s="109" t="s">
        <v>144</v>
      </c>
      <c r="AI1320" s="23" t="s">
        <v>147</v>
      </c>
      <c r="AJ1320" s="96">
        <f ca="1">AJ1306*1.01</f>
        <v>455809.60885681963</v>
      </c>
      <c r="AK1320" s="109" t="s">
        <v>144</v>
      </c>
      <c r="AL1320" s="23" t="s">
        <v>147</v>
      </c>
      <c r="AM1320" s="96">
        <f ca="1">AM1306*1.01</f>
        <v>556174.34483967</v>
      </c>
      <c r="AN1320" s="109" t="s">
        <v>144</v>
      </c>
      <c r="AO1320" s="23" t="s">
        <v>147</v>
      </c>
      <c r="AP1320" s="96">
        <f ca="1">AP1306*1.01</f>
        <v>645701.14813210513</v>
      </c>
      <c r="AQ1320" s="109" t="s">
        <v>144</v>
      </c>
      <c r="AR1320" s="23" t="s">
        <v>147</v>
      </c>
      <c r="AS1320" s="96">
        <f ca="1">AS1306*1.01</f>
        <v>757135.37730242021</v>
      </c>
      <c r="AT1320" s="109" t="s">
        <v>144</v>
      </c>
      <c r="AU1320" s="23" t="s">
        <v>147</v>
      </c>
    </row>
    <row r="1321" spans="15:47" x14ac:dyDescent="0.25">
      <c r="O1321" s="1"/>
      <c r="P1321" s="1"/>
      <c r="Q1321" s="1"/>
      <c r="R1321" s="98"/>
      <c r="S1321" s="107"/>
      <c r="T1321" s="1"/>
      <c r="U1321" s="47"/>
      <c r="V1321" s="107"/>
      <c r="W1321" s="1"/>
      <c r="X1321" s="47"/>
      <c r="Y1321" s="107"/>
      <c r="Z1321" s="1"/>
      <c r="AA1321" s="47"/>
      <c r="AB1321" s="107"/>
      <c r="AC1321" s="1"/>
      <c r="AD1321" s="47"/>
      <c r="AE1321" s="107"/>
      <c r="AF1321" s="1"/>
      <c r="AG1321" s="47"/>
      <c r="AH1321" s="107"/>
      <c r="AI1321" s="1"/>
      <c r="AJ1321" s="47"/>
      <c r="AK1321" s="107"/>
      <c r="AL1321" s="1"/>
      <c r="AM1321" s="47"/>
      <c r="AN1321" s="107"/>
      <c r="AO1321" s="1"/>
      <c r="AP1321" s="47"/>
      <c r="AQ1321" s="107"/>
      <c r="AR1321" s="1"/>
      <c r="AS1321" s="47"/>
      <c r="AT1321" s="107"/>
      <c r="AU1321" s="1"/>
    </row>
    <row r="1322" spans="15:47" x14ac:dyDescent="0.25">
      <c r="O1322" s="8" t="s">
        <v>132</v>
      </c>
      <c r="P1322" s="8"/>
      <c r="Q1322" s="8"/>
      <c r="R1322" s="96">
        <f>P_1_minQ-(R1320^2*R_up)+dpup_minQ</f>
        <v>90.184333075828732</v>
      </c>
      <c r="S1322" s="106"/>
      <c r="T1322" s="22"/>
      <c r="U1322" s="96">
        <f ca="1">P_1_minQ-(U1320^2*R_up)+dpup_minQ</f>
        <v>90.029134769909447</v>
      </c>
      <c r="V1322" s="107"/>
      <c r="W1322" s="1"/>
      <c r="X1322" s="96">
        <f ca="1">P_1_minQ-(X1320^2*R_up)+dpup_minQ</f>
        <v>89.250260464403027</v>
      </c>
      <c r="Y1322" s="107"/>
      <c r="Z1322" s="1"/>
      <c r="AA1322" s="96">
        <f ca="1">P_1_minQ-(AA1320^2*R_up)+dpup_minQ</f>
        <v>86.638756393415065</v>
      </c>
      <c r="AB1322" s="107"/>
      <c r="AC1322" s="1"/>
      <c r="AD1322" s="96">
        <f ca="1">P_1_minQ-(AD1320^2*R_up)+dpup_minQ</f>
        <v>80.203526931716098</v>
      </c>
      <c r="AE1322" s="107"/>
      <c r="AF1322" s="1"/>
      <c r="AG1322" s="96">
        <f ca="1">P_1_minQ-(AG1320^2*R_up)+dpup_minQ</f>
        <v>68.922223097413053</v>
      </c>
      <c r="AH1322" s="107"/>
      <c r="AI1322" s="1"/>
      <c r="AJ1322" s="96">
        <f ca="1">P_1_minQ-(AJ1320^2*R_up)+dpup_minQ</f>
        <v>52.318076279284142</v>
      </c>
      <c r="AK1322" s="107"/>
      <c r="AL1322" s="1"/>
      <c r="AM1322" s="96">
        <f ca="1">P_1_minQ-(AM1320^2*R_up)+dpup_minQ</f>
        <v>33.806290755902545</v>
      </c>
      <c r="AN1322" s="107"/>
      <c r="AO1322" s="1"/>
      <c r="AP1322" s="96">
        <f ca="1">P_1_minQ-(AP1320^2*R_up)+dpup_minQ</f>
        <v>14.195003799068528</v>
      </c>
      <c r="AQ1322" s="107"/>
      <c r="AR1322" s="1"/>
      <c r="AS1322" s="96">
        <f ca="1">P_1_minQ-(AS1320^2*R_up)+dpup_minQ</f>
        <v>-14.296752134525734</v>
      </c>
      <c r="AT1322" s="107"/>
      <c r="AU1322" s="1"/>
    </row>
    <row r="1323" spans="15:47" x14ac:dyDescent="0.25">
      <c r="O1323" s="8" t="s">
        <v>134</v>
      </c>
      <c r="P1323" s="1"/>
      <c r="Q1323" s="8"/>
      <c r="R1323" s="97">
        <f>P_2_minQ+(R1320^2*R_dn)-dpdn_minQ</f>
        <v>60</v>
      </c>
      <c r="S1323" s="106"/>
      <c r="T1323" s="22"/>
      <c r="U1323" s="97">
        <f ca="1">P_2_minQ+(U1320^2*R_dn)-dpdn_minQ</f>
        <v>60</v>
      </c>
      <c r="V1323" s="107"/>
      <c r="W1323" s="1"/>
      <c r="X1323" s="97">
        <f ca="1">P_2_minQ+(X1320^2*R_dn)-dpdn_minQ</f>
        <v>60</v>
      </c>
      <c r="Y1323" s="107"/>
      <c r="Z1323" s="1"/>
      <c r="AA1323" s="97">
        <f ca="1">P_2_minQ+(AA1320^2*R_dn)-dpdn_minQ</f>
        <v>60</v>
      </c>
      <c r="AB1323" s="107"/>
      <c r="AC1323" s="1"/>
      <c r="AD1323" s="97">
        <f ca="1">P_2_minQ+(AD1320^2*R_dn)-dpdn_minQ</f>
        <v>60</v>
      </c>
      <c r="AE1323" s="107"/>
      <c r="AF1323" s="1"/>
      <c r="AG1323" s="97">
        <f ca="1">P_2_minQ+(AG1320^2*R_dn)-dpdn_minQ</f>
        <v>60</v>
      </c>
      <c r="AH1323" s="107"/>
      <c r="AI1323" s="1"/>
      <c r="AJ1323" s="97">
        <f ca="1">P_2_minQ+(AJ1320^2*R_dn)-dpdn_minQ</f>
        <v>60</v>
      </c>
      <c r="AK1323" s="107"/>
      <c r="AL1323" s="1"/>
      <c r="AM1323" s="97">
        <f ca="1">P_2_minQ+(AM1320^2*R_dn)-dpdn_minQ</f>
        <v>60</v>
      </c>
      <c r="AN1323" s="107"/>
      <c r="AO1323" s="1"/>
      <c r="AP1323" s="97">
        <f ca="1">P_2_minQ+(AP1320^2*R_dn)-dpdn_minQ</f>
        <v>60</v>
      </c>
      <c r="AQ1323" s="107"/>
      <c r="AR1323" s="1"/>
      <c r="AS1323" s="97">
        <f ca="1">P_2_minQ+(AS1320^2*R_dn)-dpdn_minQ</f>
        <v>60</v>
      </c>
      <c r="AT1323" s="107"/>
      <c r="AU1323" s="1"/>
    </row>
    <row r="1324" spans="15:47" x14ac:dyDescent="0.25">
      <c r="O1324" s="8" t="s">
        <v>138</v>
      </c>
      <c r="P1324" s="1"/>
      <c r="Q1324" s="8"/>
      <c r="R1324" s="97">
        <f>R1322-R1323</f>
        <v>30.184333075828732</v>
      </c>
      <c r="S1324" s="106"/>
      <c r="T1324" s="22"/>
      <c r="U1324" s="97">
        <f ca="1">U1322-U1323</f>
        <v>30.029134769909447</v>
      </c>
      <c r="V1324" s="110"/>
      <c r="W1324" s="25"/>
      <c r="X1324" s="97">
        <f ca="1">X1322-X1323</f>
        <v>29.250260464403027</v>
      </c>
      <c r="Y1324" s="110"/>
      <c r="Z1324" s="25"/>
      <c r="AA1324" s="97">
        <f ca="1">AA1322-AA1323</f>
        <v>26.638756393415065</v>
      </c>
      <c r="AB1324" s="110"/>
      <c r="AC1324" s="25"/>
      <c r="AD1324" s="97">
        <f ca="1">AD1322-AD1323</f>
        <v>20.203526931716098</v>
      </c>
      <c r="AE1324" s="110"/>
      <c r="AF1324" s="25"/>
      <c r="AG1324" s="97">
        <f ca="1">AG1322-AG1323</f>
        <v>8.9222230974130525</v>
      </c>
      <c r="AH1324" s="110"/>
      <c r="AI1324" s="25"/>
      <c r="AJ1324" s="97">
        <f ca="1">AJ1322-AJ1323</f>
        <v>-7.6819237207158579</v>
      </c>
      <c r="AK1324" s="110"/>
      <c r="AL1324" s="25"/>
      <c r="AM1324" s="97">
        <f ca="1">AM1322-AM1323</f>
        <v>-26.193709244097455</v>
      </c>
      <c r="AN1324" s="110"/>
      <c r="AO1324" s="25"/>
      <c r="AP1324" s="97">
        <f ca="1">AP1322-AP1323</f>
        <v>-45.80499620093147</v>
      </c>
      <c r="AQ1324" s="110"/>
      <c r="AR1324" s="25"/>
      <c r="AS1324" s="97">
        <f ca="1">AS1322-AS1323</f>
        <v>-74.296752134525732</v>
      </c>
      <c r="AT1324" s="110"/>
      <c r="AU1324" s="25"/>
    </row>
    <row r="1325" spans="15:47" ht="14.4" x14ac:dyDescent="0.3">
      <c r="O1325" s="2" t="s">
        <v>140</v>
      </c>
      <c r="P1325" s="11"/>
      <c r="Q1325" s="2"/>
      <c r="R1325" s="96">
        <f>R1324/R1322</f>
        <v>0.33469597264138062</v>
      </c>
      <c r="S1325" s="106"/>
      <c r="T1325" s="22"/>
      <c r="U1325" s="96">
        <f ca="1">U1324/U1322</f>
        <v>0.33354907660343441</v>
      </c>
      <c r="V1325" s="111"/>
      <c r="W1325" s="28"/>
      <c r="X1325" s="96">
        <f ca="1">X1324/X1322</f>
        <v>0.32773305435976102</v>
      </c>
      <c r="Y1325" s="111"/>
      <c r="Z1325" s="28"/>
      <c r="AA1325" s="96">
        <f ca="1">AA1324/AA1322</f>
        <v>0.30746928398247103</v>
      </c>
      <c r="AB1325" s="111"/>
      <c r="AC1325" s="28"/>
      <c r="AD1325" s="96">
        <f ca="1">AD1324/AD1322</f>
        <v>0.25190322302056656</v>
      </c>
      <c r="AE1325" s="111"/>
      <c r="AF1325" s="28"/>
      <c r="AG1325" s="96">
        <f ca="1">AG1324/AG1322</f>
        <v>0.12945350130106209</v>
      </c>
      <c r="AH1325" s="111"/>
      <c r="AI1325" s="28"/>
      <c r="AJ1325" s="96">
        <f ca="1">AJ1324/AJ1322</f>
        <v>-0.14683115792920681</v>
      </c>
      <c r="AK1325" s="111"/>
      <c r="AL1325" s="28"/>
      <c r="AM1325" s="96">
        <f ca="1">AM1324/AM1322</f>
        <v>-0.77481760519746046</v>
      </c>
      <c r="AN1325" s="111"/>
      <c r="AO1325" s="28"/>
      <c r="AP1325" s="96">
        <f ca="1">AP1324/AP1322</f>
        <v>-3.2268393055264402</v>
      </c>
      <c r="AQ1325" s="111"/>
      <c r="AR1325" s="28"/>
      <c r="AS1325" s="96">
        <f ca="1">AS1324/AS1322</f>
        <v>5.19675737785954</v>
      </c>
      <c r="AT1325" s="111"/>
      <c r="AU1325" s="28"/>
    </row>
    <row r="1326" spans="15:47" x14ac:dyDescent="0.25">
      <c r="O1326" s="2" t="s">
        <v>21</v>
      </c>
      <c r="P1326" s="8">
        <v>12</v>
      </c>
      <c r="Q1326" s="2"/>
      <c r="R1326" s="96">
        <f ca="1">1-R1325/(3*F_GAMMA*R$29)</f>
        <v>0.82568726943893056</v>
      </c>
      <c r="S1326" s="106"/>
      <c r="T1326" s="22"/>
      <c r="U1326" s="96">
        <f ca="1">1-U1325/(3*F_GAMMA*U$29)</f>
        <v>0.8263249401121826</v>
      </c>
      <c r="V1326" s="111"/>
      <c r="W1326" s="28"/>
      <c r="X1326" s="96">
        <f ca="1">1-X1325/(3*F_GAMMA*X$29)</f>
        <v>0.82772799541127762</v>
      </c>
      <c r="Y1326" s="111"/>
      <c r="Z1326" s="28"/>
      <c r="AA1326" s="96">
        <f ca="1">1-AA1325/(3*F_GAMMA*AA$29)</f>
        <v>0.83610137773572724</v>
      </c>
      <c r="AB1326" s="111"/>
      <c r="AC1326" s="28"/>
      <c r="AD1326" s="96">
        <f ca="1">1-AD1325/(3*F_GAMMA*AD$29)</f>
        <v>0.86155670427436604</v>
      </c>
      <c r="AE1326" s="111"/>
      <c r="AF1326" s="28"/>
      <c r="AG1326" s="96">
        <f ca="1">1-AG1325/(3*F_GAMMA*AG$29)</f>
        <v>0.92458453678651387</v>
      </c>
      <c r="AH1326" s="111"/>
      <c r="AI1326" s="28"/>
      <c r="AJ1326" s="96">
        <f ca="1">1-AJ1325/(3*F_GAMMA*AJ$29)</f>
        <v>1.0920283921033491</v>
      </c>
      <c r="AK1326" s="111"/>
      <c r="AL1326" s="28"/>
      <c r="AM1326" s="96">
        <f ca="1">1-AM1325/(3*F_GAMMA*AM$29)</f>
        <v>1.5429713499576376</v>
      </c>
      <c r="AN1326" s="111"/>
      <c r="AO1326" s="28"/>
      <c r="AP1326" s="96">
        <f ca="1">1-AP1325/(3*F_GAMMA*AP$29)</f>
        <v>2.8214011230228309</v>
      </c>
      <c r="AQ1326" s="111"/>
      <c r="AR1326" s="28"/>
      <c r="AS1326" s="96">
        <f ca="1">1-AS1325/(3*F_GAMMA*AS$29)</f>
        <v>-3.5986160087537158</v>
      </c>
      <c r="AT1326" s="111"/>
      <c r="AU1326" s="28"/>
    </row>
    <row r="1327" spans="15:47" x14ac:dyDescent="0.25">
      <c r="O1327" s="2" t="s">
        <v>57</v>
      </c>
      <c r="P1327" s="143">
        <v>7</v>
      </c>
      <c r="Q1327" s="2"/>
      <c r="R1327" s="96">
        <f ca="1">(R1320/(N_9*R$27*R1322*R1326))*SQRT(M*'Valve Sizing'!$W$6*'Valve Sizing'!$G$8/R1325)</f>
        <v>0.79563992906321679</v>
      </c>
      <c r="S1327" s="107"/>
      <c r="T1327" s="22"/>
      <c r="U1327" s="96">
        <f ca="1">(U1320/(N_9*U$27*U1322*U1326))*SQRT(M*'Valve Sizing'!$W$6*'Valve Sizing'!$G$8/U1325)</f>
        <v>11.850628991167758</v>
      </c>
      <c r="V1327" s="111"/>
      <c r="W1327" s="28"/>
      <c r="X1327" s="96">
        <f ca="1">(X1320/(N_9*X$27*X1322*X1326))*SQRT(M*'Valve Sizing'!$W$6*'Valve Sizing'!$G$8/X1325)</f>
        <v>29.547462612229655</v>
      </c>
      <c r="Y1327" s="111"/>
      <c r="Z1327" s="28"/>
      <c r="AA1327" s="96">
        <f ca="1">(AA1320/(N_9*AA$27*AA1322*AA1326))*SQRT(M*'Valve Sizing'!$W$6*'Valve Sizing'!$G$8/AA1325)</f>
        <v>60.954685681771032</v>
      </c>
      <c r="AB1327" s="111"/>
      <c r="AC1327" s="28"/>
      <c r="AD1327" s="96">
        <f ca="1">(AD1320/(N_9*AD$27*AD1322*AD1326))*SQRT(M*'Valve Sizing'!$W$6*'Valve Sizing'!$G$8/AD1325)</f>
        <v>119.90664838635377</v>
      </c>
      <c r="AE1327" s="111"/>
      <c r="AF1327" s="28"/>
      <c r="AG1327" s="96">
        <f ca="1">(AG1320/(N_9*AG$27*AG1322*AG1326))*SQRT(M*'Valve Sizing'!$W$6*'Valve Sizing'!$G$8/AG1325)</f>
        <v>270.67750991646915</v>
      </c>
      <c r="AH1327" s="111"/>
      <c r="AI1327" s="28"/>
      <c r="AJ1327" s="96" t="e">
        <f ca="1">(AJ1320/(N_9*AJ$27*AJ1322*AJ1326))*SQRT(M*'Valve Sizing'!$W$6*'Valve Sizing'!$G$8/AJ1325)</f>
        <v>#NUM!</v>
      </c>
      <c r="AK1327" s="111"/>
      <c r="AL1327" s="28"/>
      <c r="AM1327" s="96" t="e">
        <f ca="1">(AM1320/(N_9*AM$27*AM1322*AM1326))*SQRT(M*'Valve Sizing'!$W$6*'Valve Sizing'!$G$8/AM1325)</f>
        <v>#NUM!</v>
      </c>
      <c r="AN1327" s="111"/>
      <c r="AO1327" s="28"/>
      <c r="AP1327" s="96" t="e">
        <f ca="1">(AP1320/(N_9*AP$27*AP1322*AP1326))*SQRT(M*'Valve Sizing'!$W$6*'Valve Sizing'!$G$8/AP1325)</f>
        <v>#NUM!</v>
      </c>
      <c r="AQ1327" s="111"/>
      <c r="AR1327" s="28"/>
      <c r="AS1327" s="96">
        <f ca="1">(AS1320/(N_9*AS$27*AS1322*AS1326))*SQRT(M*'Valve Sizing'!$W$6*'Valve Sizing'!$G$8/AS1325)</f>
        <v>196.58527300257356</v>
      </c>
      <c r="AT1327" s="111"/>
      <c r="AU1327" s="28"/>
    </row>
    <row r="1328" spans="15:47" x14ac:dyDescent="0.25">
      <c r="O1328" s="2" t="s">
        <v>59</v>
      </c>
      <c r="P1328" s="143">
        <v>7</v>
      </c>
      <c r="Q1328" s="2"/>
      <c r="R1328" s="96">
        <f ca="1">(R1320/(N_9*R$27*R1322*0.667))*SQRT(M*'Valve Sizing'!$W$6*'Valve Sizing'!$G$8/R1329)</f>
        <v>0.71224843737510735</v>
      </c>
      <c r="S1328" s="107"/>
      <c r="T1328" s="22"/>
      <c r="U1328" s="96">
        <f ca="1">(U1320/(N_9*U$27*U1322*0.667))*SQRT(M*'Valve Sizing'!$W$6*'Valve Sizing'!$G$8/U1329)</f>
        <v>10.597313561001879</v>
      </c>
      <c r="V1328" s="111"/>
      <c r="W1328" s="28"/>
      <c r="X1328" s="96">
        <f ca="1">(X1320/(N_9*X$27*X1322*0.667))*SQRT(M*'Valve Sizing'!$W$6*'Valve Sizing'!$G$8/X1329)</f>
        <v>26.360277813830219</v>
      </c>
      <c r="Y1328" s="111"/>
      <c r="Z1328" s="28"/>
      <c r="AA1328" s="96">
        <f ca="1">(AA1320/(N_9*AA$27*AA1322*0.667))*SQRT(M*'Valve Sizing'!$W$6*'Valve Sizing'!$G$8/AA1329)</f>
        <v>53.578244539010292</v>
      </c>
      <c r="AB1328" s="111"/>
      <c r="AC1328" s="28"/>
      <c r="AD1328" s="96">
        <f ca="1">(AD1320/(N_9*AD$27*AD1322*0.667))*SQRT(M*'Valve Sizing'!$W$6*'Valve Sizing'!$G$8/AD1329)</f>
        <v>99.815477391632811</v>
      </c>
      <c r="AE1328" s="111"/>
      <c r="AF1328" s="28"/>
      <c r="AG1328" s="96">
        <f ca="1">(AG1320/(N_9*AG$27*AG1322*0.667))*SQRT(M*'Valve Sizing'!$W$6*'Valve Sizing'!$G$8/AG1329)</f>
        <v>178.46941219398352</v>
      </c>
      <c r="AH1328" s="111"/>
      <c r="AI1328" s="28"/>
      <c r="AJ1328" s="96">
        <f ca="1">(AJ1320/(N_9*AJ$27*AJ1322*0.667))*SQRT(M*'Valve Sizing'!$W$6*'Valve Sizing'!$G$8/AJ1329)</f>
        <v>337.20397616527049</v>
      </c>
      <c r="AK1328" s="111"/>
      <c r="AL1328" s="28"/>
      <c r="AM1328" s="96">
        <f ca="1">(AM1320/(N_9*AM$27*AM1322*0.667))*SQRT(M*'Valve Sizing'!$W$6*'Valve Sizing'!$G$8/AM1329)</f>
        <v>714.38119096040134</v>
      </c>
      <c r="AN1328" s="111"/>
      <c r="AO1328" s="28"/>
      <c r="AP1328" s="96">
        <f ca="1">(AP1320/(N_9*AP$27*AP1322*0.667))*SQRT(M*'Valve Sizing'!$W$6*'Valve Sizing'!$G$8/AP1329)</f>
        <v>2017.6903036259744</v>
      </c>
      <c r="AQ1328" s="111"/>
      <c r="AR1328" s="28"/>
      <c r="AS1328" s="96">
        <f ca="1">(AS1320/(N_9*AS$27*AS1322*0.667))*SQRT(M*'Valve Sizing'!$W$6*'Valve Sizing'!$G$8/AS1329)</f>
        <v>-3939.4433031461554</v>
      </c>
      <c r="AT1328" s="111"/>
      <c r="AU1328" s="28"/>
    </row>
    <row r="1329" spans="15:47" ht="15.6" x14ac:dyDescent="0.35">
      <c r="O1329" s="2" t="s">
        <v>68</v>
      </c>
      <c r="P1329" s="143">
        <v>10</v>
      </c>
      <c r="Q1329" s="2"/>
      <c r="R1329" s="96">
        <f ca="1">F_GAMMA*R$29</f>
        <v>0.64002969751372984</v>
      </c>
      <c r="S1329" s="107"/>
      <c r="T1329" s="1"/>
      <c r="U1329" s="96">
        <f ca="1">F_GAMMA*U$29</f>
        <v>0.64017842058782071</v>
      </c>
      <c r="V1329" s="111"/>
      <c r="W1329" s="28"/>
      <c r="X1329" s="96">
        <f ca="1">F_GAMMA*X$29</f>
        <v>0.63413873724904268</v>
      </c>
      <c r="Y1329" s="111"/>
      <c r="Z1329" s="28"/>
      <c r="AA1329" s="96">
        <f ca="1">F_GAMMA*AA$29</f>
        <v>0.62532411750377137</v>
      </c>
      <c r="AB1329" s="111"/>
      <c r="AC1329" s="28"/>
      <c r="AD1329" s="96">
        <f ca="1">F_GAMMA*AD$29</f>
        <v>0.60651359509139569</v>
      </c>
      <c r="AE1329" s="111"/>
      <c r="AF1329" s="28"/>
      <c r="AG1329" s="96">
        <f ca="1">F_GAMMA*AG$29</f>
        <v>0.57217930198481592</v>
      </c>
      <c r="AH1329" s="111"/>
      <c r="AI1329" s="28"/>
      <c r="AJ1329" s="96">
        <f ca="1">F_GAMMA*AJ$29</f>
        <v>0.53183282018848232</v>
      </c>
      <c r="AK1329" s="111"/>
      <c r="AL1329" s="28"/>
      <c r="AM1329" s="96">
        <f ca="1">F_GAMMA*AM$29</f>
        <v>0.47566512503094399</v>
      </c>
      <c r="AN1329" s="111"/>
      <c r="AO1329" s="28"/>
      <c r="AP1329" s="96">
        <f ca="1">F_GAMMA*AP$29</f>
        <v>0.59054158265645496</v>
      </c>
      <c r="AQ1329" s="111"/>
      <c r="AR1329" s="28"/>
      <c r="AS1329" s="96">
        <f ca="1">F_GAMMA*AS$29</f>
        <v>0.3766899554102966</v>
      </c>
      <c r="AT1329" s="111"/>
      <c r="AU1329" s="28"/>
    </row>
    <row r="1330" spans="15:47" x14ac:dyDescent="0.25">
      <c r="O1330" s="2" t="s">
        <v>145</v>
      </c>
      <c r="P1330" s="12"/>
      <c r="Q1330" s="2"/>
      <c r="R1330" s="96">
        <f ca="1">IF(R1325&lt;R1329,R1327,R1328)</f>
        <v>0.79563992906321679</v>
      </c>
      <c r="S1330" s="116"/>
      <c r="T1330" s="1"/>
      <c r="U1330" s="96">
        <f ca="1">IF(U1325&lt;U1329,U1327,U1328)</f>
        <v>11.850628991167758</v>
      </c>
      <c r="V1330" s="111"/>
      <c r="W1330" s="28"/>
      <c r="X1330" s="96">
        <f ca="1">IF(X1325&lt;X1329,X1327,X1328)</f>
        <v>29.547462612229655</v>
      </c>
      <c r="Y1330" s="111"/>
      <c r="Z1330" s="28"/>
      <c r="AA1330" s="96">
        <f ca="1">IF(AA1325&lt;AA1329,AA1327,AA1328)</f>
        <v>60.954685681771032</v>
      </c>
      <c r="AB1330" s="111"/>
      <c r="AC1330" s="28"/>
      <c r="AD1330" s="96">
        <f ca="1">IF(AD1325&lt;AD1329,AD1327,AD1328)</f>
        <v>119.90664838635377</v>
      </c>
      <c r="AE1330" s="111"/>
      <c r="AF1330" s="28"/>
      <c r="AG1330" s="96">
        <f ca="1">IF(AG1325&lt;AG1329,AG1327,AG1328)</f>
        <v>270.67750991646915</v>
      </c>
      <c r="AH1330" s="111"/>
      <c r="AI1330" s="28"/>
      <c r="AJ1330" s="96" t="e">
        <f ca="1">IF(AJ1325&lt;AJ1329,AJ1327,AJ1328)</f>
        <v>#NUM!</v>
      </c>
      <c r="AK1330" s="111"/>
      <c r="AL1330" s="28"/>
      <c r="AM1330" s="96" t="e">
        <f ca="1">IF(AM1325&lt;AM1329,AM1327,AM1328)</f>
        <v>#NUM!</v>
      </c>
      <c r="AN1330" s="111"/>
      <c r="AO1330" s="28"/>
      <c r="AP1330" s="96" t="e">
        <f ca="1">IF(AP1325&lt;AP1329,AP1327,AP1328)</f>
        <v>#NUM!</v>
      </c>
      <c r="AQ1330" s="111"/>
      <c r="AR1330" s="28"/>
      <c r="AS1330" s="96">
        <f ca="1">IF(AS1325&lt;AS1329,AS1327,AS1328)</f>
        <v>-3939.4433031461554</v>
      </c>
      <c r="AT1330" s="111"/>
      <c r="AU1330" s="28"/>
    </row>
    <row r="1331" spans="15:47" x14ac:dyDescent="0.25">
      <c r="O1331" s="13" t="s">
        <v>143</v>
      </c>
      <c r="P1331" s="1"/>
      <c r="Q1331" s="1"/>
      <c r="R1331" s="113"/>
      <c r="S1331" s="106">
        <f ca="1">IF(R1324&lt;=0,Q_max,ABS(R$23-R1330))</f>
        <v>3.9343600709367834</v>
      </c>
      <c r="T1331" s="7">
        <f>R1320</f>
        <v>1970.16439255931</v>
      </c>
      <c r="U1331" s="98"/>
      <c r="V1331" s="106">
        <f ca="1">IF(U1324&lt;=0,Q_max,ABS(U$23-U1330))</f>
        <v>0.25062899116775839</v>
      </c>
      <c r="W1331" s="9">
        <f ca="1">U1320</f>
        <v>29247.201164492828</v>
      </c>
      <c r="X1331" s="98"/>
      <c r="Y1331" s="106">
        <f ca="1">IF(X1324&lt;=0,Q_max,ABS(X$23-X1330))</f>
        <v>6.5474626122296549</v>
      </c>
      <c r="Z1331" s="9">
        <f ca="1">X1320</f>
        <v>71615.652413394244</v>
      </c>
      <c r="AA1331" s="98"/>
      <c r="AB1331" s="106">
        <f ca="1">IF(AA1324&lt;=0,Q_max,ABS(AA$23-AA1330))</f>
        <v>21.554685681771034</v>
      </c>
      <c r="AC1331" s="9">
        <f ca="1">AA1320</f>
        <v>139489.01133448977</v>
      </c>
      <c r="AD1331" s="98"/>
      <c r="AE1331" s="106">
        <f ca="1">IF(AD1324&lt;=0,Q_max,ABS(AD$23-AD1330))</f>
        <v>58.906648386353766</v>
      </c>
      <c r="AF1331" s="9">
        <f ca="1">AD1320</f>
        <v>234019.16898169267</v>
      </c>
      <c r="AG1331" s="98"/>
      <c r="AH1331" s="106">
        <f ca="1">IF(AG1324&lt;=0,Q_max,ABS(AG$23-AG1330))</f>
        <v>182.47750991646916</v>
      </c>
      <c r="AI1331" s="9">
        <f ca="1">AG1320</f>
        <v>341557.35090804409</v>
      </c>
      <c r="AJ1331" s="98"/>
      <c r="AK1331" s="106">
        <f ca="1">IF(AJ1324&lt;=0,Q_max,ABS(AJ$23-AJ1330))</f>
        <v>236393</v>
      </c>
      <c r="AL1331" s="9">
        <f ca="1">AJ1320</f>
        <v>455809.60885681963</v>
      </c>
      <c r="AM1331" s="98"/>
      <c r="AN1331" s="106">
        <f ca="1">IF(AM1324&lt;=0,Q_max,ABS(AM$23-AM1330))</f>
        <v>236393</v>
      </c>
      <c r="AO1331" s="9">
        <f ca="1">AM1320</f>
        <v>556174.34483967</v>
      </c>
      <c r="AP1331" s="98"/>
      <c r="AQ1331" s="106">
        <f ca="1">IF(AP1324&lt;=0,Q_max,ABS(AP$23-AP1330))</f>
        <v>236393</v>
      </c>
      <c r="AR1331" s="9">
        <f ca="1">AP1320</f>
        <v>645701.14813210513</v>
      </c>
      <c r="AS1331" s="98"/>
      <c r="AT1331" s="106">
        <f ca="1">IF(AS1324&lt;=0,Q_max,ABS(AS$23-AS1330))</f>
        <v>236393</v>
      </c>
      <c r="AU1331" s="9">
        <f ca="1">AS1320</f>
        <v>757135.37730242021</v>
      </c>
    </row>
    <row r="1332" spans="15:47" ht="13.8" x14ac:dyDescent="0.25">
      <c r="O1332" s="21"/>
      <c r="P1332" s="21"/>
      <c r="Q1332" s="21"/>
      <c r="R1332" s="114"/>
      <c r="S1332" s="117"/>
      <c r="T1332" s="25"/>
      <c r="U1332" s="99"/>
      <c r="V1332" s="111"/>
      <c r="W1332" s="28"/>
      <c r="X1332" s="99"/>
      <c r="Y1332" s="111"/>
      <c r="Z1332" s="28"/>
      <c r="AA1332" s="99"/>
      <c r="AB1332" s="111"/>
      <c r="AC1332" s="28"/>
      <c r="AD1332" s="99"/>
      <c r="AE1332" s="111"/>
      <c r="AF1332" s="28"/>
      <c r="AG1332" s="99"/>
      <c r="AH1332" s="111"/>
      <c r="AI1332" s="28"/>
      <c r="AJ1332" s="99"/>
      <c r="AK1332" s="111"/>
      <c r="AL1332" s="28"/>
      <c r="AM1332" s="99"/>
      <c r="AN1332" s="111"/>
      <c r="AO1332" s="28"/>
      <c r="AP1332" s="99"/>
      <c r="AQ1332" s="111"/>
      <c r="AR1332" s="28"/>
      <c r="AS1332" s="99"/>
      <c r="AT1332" s="111"/>
      <c r="AU1332" s="28"/>
    </row>
    <row r="1333" spans="15:47" x14ac:dyDescent="0.25">
      <c r="O1333" s="1"/>
      <c r="P1333" s="1"/>
      <c r="Q1333" s="1"/>
      <c r="R1333" s="98"/>
      <c r="S1333" s="108" t="s">
        <v>137</v>
      </c>
      <c r="T1333" s="26" t="s">
        <v>146</v>
      </c>
      <c r="U1333" s="98"/>
      <c r="V1333" s="108" t="s">
        <v>137</v>
      </c>
      <c r="W1333" s="26" t="s">
        <v>146</v>
      </c>
      <c r="X1333" s="98"/>
      <c r="Y1333" s="108" t="s">
        <v>137</v>
      </c>
      <c r="Z1333" s="26" t="s">
        <v>146</v>
      </c>
      <c r="AA1333" s="98"/>
      <c r="AB1333" s="108" t="s">
        <v>137</v>
      </c>
      <c r="AC1333" s="26" t="s">
        <v>146</v>
      </c>
      <c r="AD1333" s="98"/>
      <c r="AE1333" s="108" t="s">
        <v>137</v>
      </c>
      <c r="AF1333" s="26" t="s">
        <v>146</v>
      </c>
      <c r="AG1333" s="98"/>
      <c r="AH1333" s="108" t="s">
        <v>137</v>
      </c>
      <c r="AI1333" s="26" t="s">
        <v>146</v>
      </c>
      <c r="AJ1333" s="98"/>
      <c r="AK1333" s="108" t="s">
        <v>137</v>
      </c>
      <c r="AL1333" s="26" t="s">
        <v>146</v>
      </c>
      <c r="AM1333" s="98"/>
      <c r="AN1333" s="108" t="s">
        <v>137</v>
      </c>
      <c r="AO1333" s="26" t="s">
        <v>146</v>
      </c>
      <c r="AP1333" s="98"/>
      <c r="AQ1333" s="108" t="s">
        <v>137</v>
      </c>
      <c r="AR1333" s="26" t="s">
        <v>146</v>
      </c>
      <c r="AS1333" s="98"/>
      <c r="AT1333" s="108" t="s">
        <v>137</v>
      </c>
      <c r="AU1333" s="26" t="s">
        <v>146</v>
      </c>
    </row>
    <row r="1334" spans="15:47" ht="13.8" x14ac:dyDescent="0.25">
      <c r="O1334" s="20" t="s">
        <v>136</v>
      </c>
      <c r="P1334" s="1"/>
      <c r="Q1334" s="1"/>
      <c r="R1334" s="96">
        <f>R1320*1.02</f>
        <v>2009.5676804104962</v>
      </c>
      <c r="S1334" s="109" t="s">
        <v>144</v>
      </c>
      <c r="T1334" s="23" t="s">
        <v>147</v>
      </c>
      <c r="U1334" s="96">
        <f ca="1">U1320*1.01</f>
        <v>29539.673176137756</v>
      </c>
      <c r="V1334" s="109" t="s">
        <v>144</v>
      </c>
      <c r="W1334" s="23" t="s">
        <v>147</v>
      </c>
      <c r="X1334" s="96">
        <f ca="1">X1320*1.01</f>
        <v>72331.808937528185</v>
      </c>
      <c r="Y1334" s="109" t="s">
        <v>144</v>
      </c>
      <c r="Z1334" s="23" t="s">
        <v>147</v>
      </c>
      <c r="AA1334" s="96">
        <f ca="1">AA1320*1.01</f>
        <v>140883.90144783468</v>
      </c>
      <c r="AB1334" s="109" t="s">
        <v>144</v>
      </c>
      <c r="AC1334" s="23" t="s">
        <v>147</v>
      </c>
      <c r="AD1334" s="96">
        <f ca="1">AD1320*1.01</f>
        <v>236359.36067150958</v>
      </c>
      <c r="AE1334" s="109" t="s">
        <v>144</v>
      </c>
      <c r="AF1334" s="23" t="s">
        <v>147</v>
      </c>
      <c r="AG1334" s="96">
        <f ca="1">AG1320*1.01</f>
        <v>344972.92441712454</v>
      </c>
      <c r="AH1334" s="109" t="s">
        <v>144</v>
      </c>
      <c r="AI1334" s="23" t="s">
        <v>147</v>
      </c>
      <c r="AJ1334" s="96">
        <f ca="1">AJ1320*1.01</f>
        <v>460367.70494538784</v>
      </c>
      <c r="AK1334" s="109" t="s">
        <v>144</v>
      </c>
      <c r="AL1334" s="23" t="s">
        <v>147</v>
      </c>
      <c r="AM1334" s="96">
        <f ca="1">AM1320*1.01</f>
        <v>561736.08828806668</v>
      </c>
      <c r="AN1334" s="109" t="s">
        <v>144</v>
      </c>
      <c r="AO1334" s="23" t="s">
        <v>147</v>
      </c>
      <c r="AP1334" s="96">
        <f ca="1">AP1320*1.01</f>
        <v>652158.15961342619</v>
      </c>
      <c r="AQ1334" s="109" t="s">
        <v>144</v>
      </c>
      <c r="AR1334" s="23" t="s">
        <v>147</v>
      </c>
      <c r="AS1334" s="96">
        <f ca="1">AS1320*1.01</f>
        <v>764706.73107544438</v>
      </c>
      <c r="AT1334" s="109" t="s">
        <v>144</v>
      </c>
      <c r="AU1334" s="23" t="s">
        <v>147</v>
      </c>
    </row>
    <row r="1335" spans="15:47" x14ac:dyDescent="0.25">
      <c r="O1335" s="1"/>
      <c r="P1335" s="1"/>
      <c r="Q1335" s="1"/>
      <c r="R1335" s="98"/>
      <c r="S1335" s="107"/>
      <c r="T1335" s="1"/>
      <c r="U1335" s="47"/>
      <c r="V1335" s="107"/>
      <c r="W1335" s="1"/>
      <c r="X1335" s="47"/>
      <c r="Y1335" s="107"/>
      <c r="Z1335" s="1"/>
      <c r="AA1335" s="47"/>
      <c r="AB1335" s="107"/>
      <c r="AC1335" s="1"/>
      <c r="AD1335" s="47"/>
      <c r="AE1335" s="107"/>
      <c r="AF1335" s="1"/>
      <c r="AG1335" s="47"/>
      <c r="AH1335" s="107"/>
      <c r="AI1335" s="1"/>
      <c r="AJ1335" s="47"/>
      <c r="AK1335" s="107"/>
      <c r="AL1335" s="1"/>
      <c r="AM1335" s="47"/>
      <c r="AN1335" s="107"/>
      <c r="AO1335" s="1"/>
      <c r="AP1335" s="47"/>
      <c r="AQ1335" s="107"/>
      <c r="AR1335" s="1"/>
      <c r="AS1335" s="47"/>
      <c r="AT1335" s="107"/>
      <c r="AU1335" s="1"/>
    </row>
    <row r="1336" spans="15:47" x14ac:dyDescent="0.25">
      <c r="O1336" s="8" t="s">
        <v>132</v>
      </c>
      <c r="P1336" s="8"/>
      <c r="Q1336" s="8"/>
      <c r="R1336" s="96">
        <f>P_1_minQ-(R1334^2*R_up)+dpup_minQ</f>
        <v>90.184304494669888</v>
      </c>
      <c r="S1336" s="106"/>
      <c r="T1336" s="22"/>
      <c r="U1336" s="96">
        <f ca="1">P_1_minQ-(U1334^2*R_up)+dpup_minQ</f>
        <v>90.026001064126504</v>
      </c>
      <c r="V1336" s="107"/>
      <c r="W1336" s="1"/>
      <c r="X1336" s="96">
        <f ca="1">P_1_minQ-(X1334^2*R_up)+dpup_minQ</f>
        <v>89.231471385079388</v>
      </c>
      <c r="Y1336" s="107"/>
      <c r="Z1336" s="1"/>
      <c r="AA1336" s="96">
        <f ca="1">P_1_minQ-(AA1334^2*R_up)+dpup_minQ</f>
        <v>86.567476082264562</v>
      </c>
      <c r="AB1336" s="107"/>
      <c r="AC1336" s="1"/>
      <c r="AD1336" s="96">
        <f ca="1">P_1_minQ-(AD1334^2*R_up)+dpup_minQ</f>
        <v>80.002898508385456</v>
      </c>
      <c r="AE1336" s="107"/>
      <c r="AF1336" s="1"/>
      <c r="AG1336" s="96">
        <f ca="1">P_1_minQ-(AG1334^2*R_up)+dpup_minQ</f>
        <v>68.494840467012921</v>
      </c>
      <c r="AH1336" s="107"/>
      <c r="AI1336" s="1"/>
      <c r="AJ1336" s="96">
        <f ca="1">P_1_minQ-(AJ1334^2*R_up)+dpup_minQ</f>
        <v>51.556950297839613</v>
      </c>
      <c r="AK1336" s="107"/>
      <c r="AL1336" s="1"/>
      <c r="AM1336" s="96">
        <f ca="1">P_1_minQ-(AM1334^2*R_up)+dpup_minQ</f>
        <v>32.673077885438055</v>
      </c>
      <c r="AN1336" s="107"/>
      <c r="AO1336" s="1"/>
      <c r="AP1336" s="96">
        <f ca="1">P_1_minQ-(AP1334^2*R_up)+dpup_minQ</f>
        <v>12.667604060771664</v>
      </c>
      <c r="AQ1336" s="107"/>
      <c r="AR1336" s="1"/>
      <c r="AS1336" s="96">
        <f ca="1">P_1_minQ-(AS1334^2*R_up)+dpup_minQ</f>
        <v>-16.396836167087827</v>
      </c>
      <c r="AT1336" s="107"/>
      <c r="AU1336" s="1"/>
    </row>
    <row r="1337" spans="15:47" x14ac:dyDescent="0.25">
      <c r="O1337" s="8" t="s">
        <v>134</v>
      </c>
      <c r="P1337" s="1"/>
      <c r="Q1337" s="8"/>
      <c r="R1337" s="97">
        <f>P_2_minQ+(R1334^2*R_dn)-dpdn_minQ</f>
        <v>60</v>
      </c>
      <c r="S1337" s="106"/>
      <c r="T1337" s="22"/>
      <c r="U1337" s="97">
        <f ca="1">P_2_minQ+(U1334^2*R_dn)-dpdn_minQ</f>
        <v>60</v>
      </c>
      <c r="V1337" s="107"/>
      <c r="W1337" s="1"/>
      <c r="X1337" s="97">
        <f ca="1">P_2_minQ+(X1334^2*R_dn)-dpdn_minQ</f>
        <v>60</v>
      </c>
      <c r="Y1337" s="107"/>
      <c r="Z1337" s="1"/>
      <c r="AA1337" s="97">
        <f ca="1">P_2_minQ+(AA1334^2*R_dn)-dpdn_minQ</f>
        <v>60</v>
      </c>
      <c r="AB1337" s="107"/>
      <c r="AC1337" s="1"/>
      <c r="AD1337" s="97">
        <f ca="1">P_2_minQ+(AD1334^2*R_dn)-dpdn_minQ</f>
        <v>60</v>
      </c>
      <c r="AE1337" s="107"/>
      <c r="AF1337" s="1"/>
      <c r="AG1337" s="97">
        <f ca="1">P_2_minQ+(AG1334^2*R_dn)-dpdn_minQ</f>
        <v>60</v>
      </c>
      <c r="AH1337" s="107"/>
      <c r="AI1337" s="1"/>
      <c r="AJ1337" s="97">
        <f ca="1">P_2_minQ+(AJ1334^2*R_dn)-dpdn_minQ</f>
        <v>60</v>
      </c>
      <c r="AK1337" s="107"/>
      <c r="AL1337" s="1"/>
      <c r="AM1337" s="97">
        <f ca="1">P_2_minQ+(AM1334^2*R_dn)-dpdn_minQ</f>
        <v>60</v>
      </c>
      <c r="AN1337" s="107"/>
      <c r="AO1337" s="1"/>
      <c r="AP1337" s="97">
        <f ca="1">P_2_minQ+(AP1334^2*R_dn)-dpdn_minQ</f>
        <v>60</v>
      </c>
      <c r="AQ1337" s="107"/>
      <c r="AR1337" s="1"/>
      <c r="AS1337" s="97">
        <f ca="1">P_2_minQ+(AS1334^2*R_dn)-dpdn_minQ</f>
        <v>60</v>
      </c>
      <c r="AT1337" s="107"/>
      <c r="AU1337" s="1"/>
    </row>
    <row r="1338" spans="15:47" x14ac:dyDescent="0.25">
      <c r="O1338" s="8" t="s">
        <v>138</v>
      </c>
      <c r="P1338" s="1"/>
      <c r="Q1338" s="8"/>
      <c r="R1338" s="97">
        <f>R1336-R1337</f>
        <v>30.184304494669888</v>
      </c>
      <c r="S1338" s="106"/>
      <c r="T1338" s="22"/>
      <c r="U1338" s="97">
        <f ca="1">U1336-U1337</f>
        <v>30.026001064126504</v>
      </c>
      <c r="V1338" s="110"/>
      <c r="W1338" s="25"/>
      <c r="X1338" s="97">
        <f ca="1">X1336-X1337</f>
        <v>29.231471385079388</v>
      </c>
      <c r="Y1338" s="110"/>
      <c r="Z1338" s="25"/>
      <c r="AA1338" s="97">
        <f ca="1">AA1336-AA1337</f>
        <v>26.567476082264562</v>
      </c>
      <c r="AB1338" s="110"/>
      <c r="AC1338" s="25"/>
      <c r="AD1338" s="97">
        <f ca="1">AD1336-AD1337</f>
        <v>20.002898508385456</v>
      </c>
      <c r="AE1338" s="110"/>
      <c r="AF1338" s="25"/>
      <c r="AG1338" s="97">
        <f ca="1">AG1336-AG1337</f>
        <v>8.4948404670129207</v>
      </c>
      <c r="AH1338" s="110"/>
      <c r="AI1338" s="25"/>
      <c r="AJ1338" s="97">
        <f ca="1">AJ1336-AJ1337</f>
        <v>-8.443049702160387</v>
      </c>
      <c r="AK1338" s="110"/>
      <c r="AL1338" s="25"/>
      <c r="AM1338" s="97">
        <f ca="1">AM1336-AM1337</f>
        <v>-27.326922114561945</v>
      </c>
      <c r="AN1338" s="110"/>
      <c r="AO1338" s="25"/>
      <c r="AP1338" s="97">
        <f ca="1">AP1336-AP1337</f>
        <v>-47.332395939228334</v>
      </c>
      <c r="AQ1338" s="110"/>
      <c r="AR1338" s="25"/>
      <c r="AS1338" s="97">
        <f ca="1">AS1336-AS1337</f>
        <v>-76.396836167087827</v>
      </c>
      <c r="AT1338" s="110"/>
      <c r="AU1338" s="25"/>
    </row>
    <row r="1339" spans="15:47" ht="14.4" x14ac:dyDescent="0.3">
      <c r="O1339" s="2" t="s">
        <v>140</v>
      </c>
      <c r="P1339" s="11"/>
      <c r="Q1339" s="2"/>
      <c r="R1339" s="96">
        <f>R1338/R1336</f>
        <v>0.33469576179360405</v>
      </c>
      <c r="S1339" s="106"/>
      <c r="T1339" s="22"/>
      <c r="U1339" s="96">
        <f ca="1">U1338/U1336</f>
        <v>0.33352587818200052</v>
      </c>
      <c r="V1339" s="111"/>
      <c r="W1339" s="28"/>
      <c r="X1339" s="96">
        <f ca="1">X1338/X1336</f>
        <v>0.32759149805936355</v>
      </c>
      <c r="Y1339" s="111"/>
      <c r="Z1339" s="28"/>
      <c r="AA1339" s="96">
        <f ca="1">AA1338/AA1336</f>
        <v>0.30689904898021569</v>
      </c>
      <c r="AB1339" s="111"/>
      <c r="AC1339" s="28"/>
      <c r="AD1339" s="96">
        <f ca="1">AD1338/AD1336</f>
        <v>0.25002717253161599</v>
      </c>
      <c r="AE1339" s="111"/>
      <c r="AF1339" s="28"/>
      <c r="AG1339" s="96">
        <f ca="1">AG1338/AG1336</f>
        <v>0.12402161110374484</v>
      </c>
      <c r="AH1339" s="111"/>
      <c r="AI1339" s="28"/>
      <c r="AJ1339" s="96">
        <f ca="1">AJ1338/AJ1336</f>
        <v>-0.16376161998306124</v>
      </c>
      <c r="AK1339" s="111"/>
      <c r="AL1339" s="28"/>
      <c r="AM1339" s="96">
        <f ca="1">AM1338/AM1336</f>
        <v>-0.8363742837567556</v>
      </c>
      <c r="AN1339" s="111"/>
      <c r="AO1339" s="28"/>
      <c r="AP1339" s="96">
        <f ca="1">AP1338/AP1336</f>
        <v>-3.7364915821615141</v>
      </c>
      <c r="AQ1339" s="111"/>
      <c r="AR1339" s="28"/>
      <c r="AS1339" s="96">
        <f ca="1">AS1338/AS1336</f>
        <v>4.6592425141402352</v>
      </c>
      <c r="AT1339" s="111"/>
      <c r="AU1339" s="28"/>
    </row>
    <row r="1340" spans="15:47" x14ac:dyDescent="0.25">
      <c r="O1340" s="2" t="s">
        <v>21</v>
      </c>
      <c r="P1340" s="8">
        <v>12</v>
      </c>
      <c r="Q1340" s="2"/>
      <c r="R1340" s="96">
        <f ca="1">1-R1339/(3*F_GAMMA*R$29)</f>
        <v>0.82568737925038538</v>
      </c>
      <c r="S1340" s="106"/>
      <c r="T1340" s="22"/>
      <c r="U1340" s="96">
        <f ca="1">1-U1339/(3*F_GAMMA*U$29)</f>
        <v>0.8263370192558962</v>
      </c>
      <c r="V1340" s="111"/>
      <c r="W1340" s="28"/>
      <c r="X1340" s="96">
        <f ca="1">1-X1339/(3*F_GAMMA*X$29)</f>
        <v>0.82780240410245853</v>
      </c>
      <c r="Y1340" s="111"/>
      <c r="Z1340" s="28"/>
      <c r="AA1340" s="96">
        <f ca="1">1-AA1339/(3*F_GAMMA*AA$29)</f>
        <v>0.83640534543625966</v>
      </c>
      <c r="AB1340" s="111"/>
      <c r="AC1340" s="28"/>
      <c r="AD1340" s="96">
        <f ca="1">1-AD1339/(3*F_GAMMA*AD$29)</f>
        <v>0.86258776139830284</v>
      </c>
      <c r="AE1340" s="111"/>
      <c r="AF1340" s="28"/>
      <c r="AG1340" s="96">
        <f ca="1">1-AG1339/(3*F_GAMMA*AG$29)</f>
        <v>0.92774898202158551</v>
      </c>
      <c r="AH1340" s="111"/>
      <c r="AI1340" s="28"/>
      <c r="AJ1340" s="96">
        <f ca="1">1-AJ1339/(3*F_GAMMA*AJ$29)</f>
        <v>1.102639785641049</v>
      </c>
      <c r="AK1340" s="111"/>
      <c r="AL1340" s="28"/>
      <c r="AM1340" s="96">
        <f ca="1">1-AM1339/(3*F_GAMMA*AM$29)</f>
        <v>1.5861086155954403</v>
      </c>
      <c r="AN1340" s="111"/>
      <c r="AO1340" s="28"/>
      <c r="AP1340" s="96">
        <f ca="1">1-AP1339/(3*F_GAMMA*AP$29)</f>
        <v>3.1090761948568839</v>
      </c>
      <c r="AQ1340" s="111"/>
      <c r="AR1340" s="28"/>
      <c r="AS1340" s="96">
        <f ca="1">1-AS1339/(3*F_GAMMA*AS$29)</f>
        <v>-3.1229685467856578</v>
      </c>
      <c r="AT1340" s="111"/>
      <c r="AU1340" s="28"/>
    </row>
    <row r="1341" spans="15:47" x14ac:dyDescent="0.25">
      <c r="O1341" s="2" t="s">
        <v>57</v>
      </c>
      <c r="P1341" s="143">
        <v>7</v>
      </c>
      <c r="Q1341" s="2"/>
      <c r="R1341" s="96">
        <f ca="1">(R1334/(N_9*R$27*R1336*R1340))*SQRT(M*'Valve Sizing'!$W$6*'Valve Sizing'!$G$8/R1339)</f>
        <v>0.81155313253596917</v>
      </c>
      <c r="S1341" s="107"/>
      <c r="T1341" s="22"/>
      <c r="U1341" s="96">
        <f ca="1">(U1334/(N_9*U$27*U1336*U1340))*SQRT(M*'Valve Sizing'!$W$6*'Valve Sizing'!$G$8/U1339)</f>
        <v>11.969793204486646</v>
      </c>
      <c r="V1341" s="111"/>
      <c r="W1341" s="28"/>
      <c r="X1341" s="96">
        <f ca="1">(X1334/(N_9*X$27*X1336*X1340))*SQRT(M*'Valve Sizing'!$W$6*'Valve Sizing'!$G$8/X1339)</f>
        <v>29.852985908081266</v>
      </c>
      <c r="Y1341" s="111"/>
      <c r="Z1341" s="28"/>
      <c r="AA1341" s="96">
        <f ca="1">(AA1334/(N_9*AA$27*AA1336*AA1340))*SQRT(M*'Valve Sizing'!$W$6*'Valve Sizing'!$G$8/AA1339)</f>
        <v>61.649727371608755</v>
      </c>
      <c r="AB1341" s="111"/>
      <c r="AC1341" s="28"/>
      <c r="AD1341" s="96">
        <f ca="1">(AD1334/(N_9*AD$27*AD1336*AD1340))*SQRT(M*'Valve Sizing'!$W$6*'Valve Sizing'!$G$8/AD1339)</f>
        <v>121.71839417452018</v>
      </c>
      <c r="AE1341" s="111"/>
      <c r="AF1341" s="28"/>
      <c r="AG1341" s="96">
        <f ca="1">(AG1334/(N_9*AG$27*AG1336*AG1340))*SQRT(M*'Valve Sizing'!$W$6*'Valve Sizing'!$G$8/AG1339)</f>
        <v>280.09110739527728</v>
      </c>
      <c r="AH1341" s="111"/>
      <c r="AI1341" s="28"/>
      <c r="AJ1341" s="96" t="e">
        <f ca="1">(AJ1334/(N_9*AJ$27*AJ1336*AJ1340))*SQRT(M*'Valve Sizing'!$W$6*'Valve Sizing'!$G$8/AJ1339)</f>
        <v>#NUM!</v>
      </c>
      <c r="AK1341" s="111"/>
      <c r="AL1341" s="28"/>
      <c r="AM1341" s="96" t="e">
        <f ca="1">(AM1334/(N_9*AM$27*AM1336*AM1340))*SQRT(M*'Valve Sizing'!$W$6*'Valve Sizing'!$G$8/AM1339)</f>
        <v>#NUM!</v>
      </c>
      <c r="AN1341" s="111"/>
      <c r="AO1341" s="28"/>
      <c r="AP1341" s="96" t="e">
        <f ca="1">(AP1334/(N_9*AP$27*AP1336*AP1340))*SQRT(M*'Valve Sizing'!$W$6*'Valve Sizing'!$G$8/AP1339)</f>
        <v>#NUM!</v>
      </c>
      <c r="AQ1341" s="111"/>
      <c r="AR1341" s="28"/>
      <c r="AS1341" s="96">
        <f ca="1">(AS1334/(N_9*AS$27*AS1336*AS1340))*SQRT(M*'Valve Sizing'!$W$6*'Valve Sizing'!$G$8/AS1339)</f>
        <v>210.68137504892684</v>
      </c>
      <c r="AT1341" s="111"/>
      <c r="AU1341" s="28"/>
    </row>
    <row r="1342" spans="15:47" x14ac:dyDescent="0.25">
      <c r="O1342" s="2" t="s">
        <v>59</v>
      </c>
      <c r="P1342" s="143">
        <v>7</v>
      </c>
      <c r="Q1342" s="2"/>
      <c r="R1342" s="96">
        <f ca="1">(R1334/(N_9*R$27*R1336*0.667))*SQRT(M*'Valve Sizing'!$W$6*'Valve Sizing'!$G$8/R1343)</f>
        <v>0.72649363636248954</v>
      </c>
      <c r="S1342" s="107"/>
      <c r="T1342" s="22"/>
      <c r="U1342" s="96">
        <f ca="1">(U1334/(N_9*U$27*U1336*0.667))*SQRT(M*'Valve Sizing'!$W$6*'Valve Sizing'!$G$8/U1343)</f>
        <v>10.703659266214251</v>
      </c>
      <c r="V1342" s="111"/>
      <c r="W1342" s="28"/>
      <c r="X1342" s="96">
        <f ca="1">(X1334/(N_9*X$27*X1336*0.667))*SQRT(M*'Valve Sizing'!$W$6*'Valve Sizing'!$G$8/X1343)</f>
        <v>26.629486665661815</v>
      </c>
      <c r="Y1342" s="111"/>
      <c r="Z1342" s="28"/>
      <c r="AA1342" s="96">
        <f ca="1">(AA1334/(N_9*AA$27*AA1336*0.667))*SQRT(M*'Valve Sizing'!$W$6*'Valve Sizing'!$G$8/AA1343)</f>
        <v>54.158584881379966</v>
      </c>
      <c r="AB1342" s="111"/>
      <c r="AC1342" s="28"/>
      <c r="AD1342" s="96">
        <f ca="1">(AD1334/(N_9*AD$27*AD1336*0.667))*SQRT(M*'Valve Sizing'!$W$6*'Valve Sizing'!$G$8/AD1343)</f>
        <v>101.0664490065476</v>
      </c>
      <c r="AE1342" s="111"/>
      <c r="AF1342" s="28"/>
      <c r="AG1342" s="96">
        <f ca="1">(AG1334/(N_9*AG$27*AG1336*0.667))*SQRT(M*'Valve Sizing'!$W$6*'Valve Sizing'!$G$8/AG1343)</f>
        <v>181.37882569000271</v>
      </c>
      <c r="AH1342" s="111"/>
      <c r="AI1342" s="28"/>
      <c r="AJ1342" s="96">
        <f ca="1">(AJ1334/(N_9*AJ$27*AJ1336*0.667))*SQRT(M*'Valve Sizing'!$W$6*'Valve Sizing'!$G$8/AJ1343)</f>
        <v>345.60387837575604</v>
      </c>
      <c r="AK1342" s="111"/>
      <c r="AL1342" s="28"/>
      <c r="AM1342" s="96">
        <f ca="1">(AM1334/(N_9*AM$27*AM1336*0.667))*SQRT(M*'Valve Sizing'!$W$6*'Valve Sizing'!$G$8/AM1343)</f>
        <v>746.54993080857071</v>
      </c>
      <c r="AN1342" s="111"/>
      <c r="AO1342" s="28"/>
      <c r="AP1342" s="96">
        <f ca="1">(AP1334/(N_9*AP$27*AP1336*0.667))*SQRT(M*'Valve Sizing'!$W$6*'Valve Sizing'!$G$8/AP1343)</f>
        <v>2283.5835886399991</v>
      </c>
      <c r="AQ1342" s="111"/>
      <c r="AR1342" s="28"/>
      <c r="AS1342" s="96">
        <f ca="1">(AS1334/(N_9*AS$27*AS1336*0.667))*SQRT(M*'Valve Sizing'!$W$6*'Valve Sizing'!$G$8/AS1343)</f>
        <v>-3469.2337178930234</v>
      </c>
      <c r="AT1342" s="111"/>
      <c r="AU1342" s="28"/>
    </row>
    <row r="1343" spans="15:47" ht="15.6" x14ac:dyDescent="0.35">
      <c r="O1343" s="2" t="s">
        <v>68</v>
      </c>
      <c r="P1343" s="143">
        <v>10</v>
      </c>
      <c r="Q1343" s="2"/>
      <c r="R1343" s="96">
        <f ca="1">F_GAMMA*R$29</f>
        <v>0.64002969751372984</v>
      </c>
      <c r="S1343" s="107"/>
      <c r="T1343" s="1"/>
      <c r="U1343" s="96">
        <f ca="1">F_GAMMA*U$29</f>
        <v>0.64017842058782071</v>
      </c>
      <c r="V1343" s="111"/>
      <c r="W1343" s="28"/>
      <c r="X1343" s="96">
        <f ca="1">F_GAMMA*X$29</f>
        <v>0.63413873724904268</v>
      </c>
      <c r="Y1343" s="111"/>
      <c r="Z1343" s="28"/>
      <c r="AA1343" s="96">
        <f ca="1">F_GAMMA*AA$29</f>
        <v>0.62532411750377137</v>
      </c>
      <c r="AB1343" s="111"/>
      <c r="AC1343" s="28"/>
      <c r="AD1343" s="96">
        <f ca="1">F_GAMMA*AD$29</f>
        <v>0.60651359509139569</v>
      </c>
      <c r="AE1343" s="111"/>
      <c r="AF1343" s="28"/>
      <c r="AG1343" s="96">
        <f ca="1">F_GAMMA*AG$29</f>
        <v>0.57217930198481592</v>
      </c>
      <c r="AH1343" s="111"/>
      <c r="AI1343" s="28"/>
      <c r="AJ1343" s="96">
        <f ca="1">F_GAMMA*AJ$29</f>
        <v>0.53183282018848232</v>
      </c>
      <c r="AK1343" s="111"/>
      <c r="AL1343" s="28"/>
      <c r="AM1343" s="96">
        <f ca="1">F_GAMMA*AM$29</f>
        <v>0.47566512503094399</v>
      </c>
      <c r="AN1343" s="111"/>
      <c r="AO1343" s="28"/>
      <c r="AP1343" s="96">
        <f ca="1">F_GAMMA*AP$29</f>
        <v>0.59054158265645496</v>
      </c>
      <c r="AQ1343" s="111"/>
      <c r="AR1343" s="28"/>
      <c r="AS1343" s="96">
        <f ca="1">F_GAMMA*AS$29</f>
        <v>0.3766899554102966</v>
      </c>
      <c r="AT1343" s="111"/>
      <c r="AU1343" s="28"/>
    </row>
    <row r="1344" spans="15:47" x14ac:dyDescent="0.25">
      <c r="O1344" s="2" t="s">
        <v>145</v>
      </c>
      <c r="P1344" s="12"/>
      <c r="Q1344" s="2"/>
      <c r="R1344" s="96">
        <f ca="1">IF(R1339&lt;R1343,R1341,R1342)</f>
        <v>0.81155313253596917</v>
      </c>
      <c r="S1344" s="116"/>
      <c r="T1344" s="1"/>
      <c r="U1344" s="96">
        <f ca="1">IF(U1339&lt;U1343,U1341,U1342)</f>
        <v>11.969793204486646</v>
      </c>
      <c r="V1344" s="111"/>
      <c r="W1344" s="28"/>
      <c r="X1344" s="96">
        <f ca="1">IF(X1339&lt;X1343,X1341,X1342)</f>
        <v>29.852985908081266</v>
      </c>
      <c r="Y1344" s="111"/>
      <c r="Z1344" s="28"/>
      <c r="AA1344" s="96">
        <f ca="1">IF(AA1339&lt;AA1343,AA1341,AA1342)</f>
        <v>61.649727371608755</v>
      </c>
      <c r="AB1344" s="111"/>
      <c r="AC1344" s="28"/>
      <c r="AD1344" s="96">
        <f ca="1">IF(AD1339&lt;AD1343,AD1341,AD1342)</f>
        <v>121.71839417452018</v>
      </c>
      <c r="AE1344" s="111"/>
      <c r="AF1344" s="28"/>
      <c r="AG1344" s="96">
        <f ca="1">IF(AG1339&lt;AG1343,AG1341,AG1342)</f>
        <v>280.09110739527728</v>
      </c>
      <c r="AH1344" s="111"/>
      <c r="AI1344" s="28"/>
      <c r="AJ1344" s="96" t="e">
        <f ca="1">IF(AJ1339&lt;AJ1343,AJ1341,AJ1342)</f>
        <v>#NUM!</v>
      </c>
      <c r="AK1344" s="111"/>
      <c r="AL1344" s="28"/>
      <c r="AM1344" s="96" t="e">
        <f ca="1">IF(AM1339&lt;AM1343,AM1341,AM1342)</f>
        <v>#NUM!</v>
      </c>
      <c r="AN1344" s="111"/>
      <c r="AO1344" s="28"/>
      <c r="AP1344" s="96" t="e">
        <f ca="1">IF(AP1339&lt;AP1343,AP1341,AP1342)</f>
        <v>#NUM!</v>
      </c>
      <c r="AQ1344" s="111"/>
      <c r="AR1344" s="28"/>
      <c r="AS1344" s="96">
        <f ca="1">IF(AS1339&lt;AS1343,AS1341,AS1342)</f>
        <v>-3469.2337178930234</v>
      </c>
      <c r="AT1344" s="111"/>
      <c r="AU1344" s="28"/>
    </row>
    <row r="1345" spans="15:47" x14ac:dyDescent="0.25">
      <c r="O1345" s="13" t="s">
        <v>143</v>
      </c>
      <c r="P1345" s="1"/>
      <c r="Q1345" s="1"/>
      <c r="R1345" s="113"/>
      <c r="S1345" s="106">
        <f ca="1">IF(R1338&lt;=0,Q_max,ABS(R$23-R1344))</f>
        <v>3.9184468674640311</v>
      </c>
      <c r="T1345" s="7">
        <f>R1334</f>
        <v>2009.5676804104962</v>
      </c>
      <c r="U1345" s="98"/>
      <c r="V1345" s="106">
        <f ca="1">IF(U1338&lt;=0,Q_max,ABS(U$23-U1344))</f>
        <v>0.36979320448664588</v>
      </c>
      <c r="W1345" s="9">
        <f ca="1">U1334</f>
        <v>29539.673176137756</v>
      </c>
      <c r="X1345" s="98"/>
      <c r="Y1345" s="106">
        <f ca="1">IF(X1338&lt;=0,Q_max,ABS(X$23-X1344))</f>
        <v>6.8529859080812656</v>
      </c>
      <c r="Z1345" s="9">
        <f ca="1">X1334</f>
        <v>72331.808937528185</v>
      </c>
      <c r="AA1345" s="98"/>
      <c r="AB1345" s="106">
        <f ca="1">IF(AA1338&lt;=0,Q_max,ABS(AA$23-AA1344))</f>
        <v>22.249727371608756</v>
      </c>
      <c r="AC1345" s="9">
        <f ca="1">AA1334</f>
        <v>140883.90144783468</v>
      </c>
      <c r="AD1345" s="98"/>
      <c r="AE1345" s="106">
        <f ca="1">IF(AD1338&lt;=0,Q_max,ABS(AD$23-AD1344))</f>
        <v>60.718394174520185</v>
      </c>
      <c r="AF1345" s="9">
        <f ca="1">AD1334</f>
        <v>236359.36067150958</v>
      </c>
      <c r="AG1345" s="98"/>
      <c r="AH1345" s="106">
        <f ca="1">IF(AG1338&lt;=0,Q_max,ABS(AG$23-AG1344))</f>
        <v>191.89110739527729</v>
      </c>
      <c r="AI1345" s="9">
        <f ca="1">AG1334</f>
        <v>344972.92441712454</v>
      </c>
      <c r="AJ1345" s="98"/>
      <c r="AK1345" s="106">
        <f ca="1">IF(AJ1338&lt;=0,Q_max,ABS(AJ$23-AJ1344))</f>
        <v>236393</v>
      </c>
      <c r="AL1345" s="9">
        <f ca="1">AJ1334</f>
        <v>460367.70494538784</v>
      </c>
      <c r="AM1345" s="98"/>
      <c r="AN1345" s="106">
        <f ca="1">IF(AM1338&lt;=0,Q_max,ABS(AM$23-AM1344))</f>
        <v>236393</v>
      </c>
      <c r="AO1345" s="9">
        <f ca="1">AM1334</f>
        <v>561736.08828806668</v>
      </c>
      <c r="AP1345" s="98"/>
      <c r="AQ1345" s="106">
        <f ca="1">IF(AP1338&lt;=0,Q_max,ABS(AP$23-AP1344))</f>
        <v>236393</v>
      </c>
      <c r="AR1345" s="9">
        <f ca="1">AP1334</f>
        <v>652158.15961342619</v>
      </c>
      <c r="AS1345" s="98"/>
      <c r="AT1345" s="106">
        <f ca="1">IF(AS1338&lt;=0,Q_max,ABS(AS$23-AS1344))</f>
        <v>236393</v>
      </c>
      <c r="AU1345" s="9">
        <f ca="1">AS1334</f>
        <v>764706.73107544438</v>
      </c>
    </row>
    <row r="1346" spans="15:47" x14ac:dyDescent="0.25">
      <c r="O1346" s="21"/>
      <c r="P1346" s="14"/>
      <c r="Q1346" s="21"/>
      <c r="R1346" s="97"/>
      <c r="S1346" s="106"/>
      <c r="T1346" s="28"/>
      <c r="U1346" s="97"/>
      <c r="V1346" s="111"/>
      <c r="W1346" s="28"/>
      <c r="X1346" s="97"/>
      <c r="Y1346" s="111"/>
      <c r="Z1346" s="28"/>
      <c r="AA1346" s="97"/>
      <c r="AB1346" s="111"/>
      <c r="AC1346" s="28"/>
      <c r="AD1346" s="97"/>
      <c r="AE1346" s="111"/>
      <c r="AF1346" s="28"/>
      <c r="AG1346" s="97"/>
      <c r="AH1346" s="111"/>
      <c r="AI1346" s="28"/>
      <c r="AJ1346" s="97"/>
      <c r="AK1346" s="111"/>
      <c r="AL1346" s="28"/>
      <c r="AM1346" s="97"/>
      <c r="AN1346" s="111"/>
      <c r="AO1346" s="28"/>
      <c r="AP1346" s="97"/>
      <c r="AQ1346" s="111"/>
      <c r="AR1346" s="28"/>
      <c r="AS1346" s="97"/>
      <c r="AT1346" s="111"/>
      <c r="AU1346" s="28"/>
    </row>
    <row r="1347" spans="15:47" x14ac:dyDescent="0.25">
      <c r="O1347" s="1"/>
      <c r="P1347" s="1"/>
      <c r="Q1347" s="1"/>
      <c r="R1347" s="98"/>
      <c r="S1347" s="108" t="s">
        <v>137</v>
      </c>
      <c r="T1347" s="26" t="s">
        <v>146</v>
      </c>
      <c r="U1347" s="98"/>
      <c r="V1347" s="108" t="s">
        <v>137</v>
      </c>
      <c r="W1347" s="26" t="s">
        <v>146</v>
      </c>
      <c r="X1347" s="98"/>
      <c r="Y1347" s="108" t="s">
        <v>137</v>
      </c>
      <c r="Z1347" s="26" t="s">
        <v>146</v>
      </c>
      <c r="AA1347" s="98"/>
      <c r="AB1347" s="108" t="s">
        <v>137</v>
      </c>
      <c r="AC1347" s="26" t="s">
        <v>146</v>
      </c>
      <c r="AD1347" s="98"/>
      <c r="AE1347" s="108" t="s">
        <v>137</v>
      </c>
      <c r="AF1347" s="26" t="s">
        <v>146</v>
      </c>
      <c r="AG1347" s="98"/>
      <c r="AH1347" s="108" t="s">
        <v>137</v>
      </c>
      <c r="AI1347" s="26" t="s">
        <v>146</v>
      </c>
      <c r="AJ1347" s="98"/>
      <c r="AK1347" s="108" t="s">
        <v>137</v>
      </c>
      <c r="AL1347" s="26" t="s">
        <v>146</v>
      </c>
      <c r="AM1347" s="98"/>
      <c r="AN1347" s="108" t="s">
        <v>137</v>
      </c>
      <c r="AO1347" s="26" t="s">
        <v>146</v>
      </c>
      <c r="AP1347" s="98"/>
      <c r="AQ1347" s="108" t="s">
        <v>137</v>
      </c>
      <c r="AR1347" s="26" t="s">
        <v>146</v>
      </c>
      <c r="AS1347" s="98"/>
      <c r="AT1347" s="108" t="s">
        <v>137</v>
      </c>
      <c r="AU1347" s="26" t="s">
        <v>146</v>
      </c>
    </row>
    <row r="1348" spans="15:47" ht="13.8" x14ac:dyDescent="0.25">
      <c r="O1348" s="20" t="s">
        <v>136</v>
      </c>
      <c r="P1348" s="1"/>
      <c r="Q1348" s="1"/>
      <c r="R1348" s="96">
        <f>R1334*1.02</f>
        <v>2049.7590340187062</v>
      </c>
      <c r="S1348" s="109" t="s">
        <v>144</v>
      </c>
      <c r="T1348" s="23" t="s">
        <v>147</v>
      </c>
      <c r="U1348" s="96">
        <f ca="1">U1334*1.01</f>
        <v>29835.069907899135</v>
      </c>
      <c r="V1348" s="109" t="s">
        <v>144</v>
      </c>
      <c r="W1348" s="23" t="s">
        <v>147</v>
      </c>
      <c r="X1348" s="96">
        <f ca="1">X1334*1.01</f>
        <v>73055.127026903472</v>
      </c>
      <c r="Y1348" s="109" t="s">
        <v>144</v>
      </c>
      <c r="Z1348" s="23" t="s">
        <v>147</v>
      </c>
      <c r="AA1348" s="96">
        <f ca="1">AA1334*1.01</f>
        <v>142292.74046231303</v>
      </c>
      <c r="AB1348" s="109" t="s">
        <v>144</v>
      </c>
      <c r="AC1348" s="23" t="s">
        <v>147</v>
      </c>
      <c r="AD1348" s="96">
        <f ca="1">AD1334*1.01</f>
        <v>238722.95427822467</v>
      </c>
      <c r="AE1348" s="109" t="s">
        <v>144</v>
      </c>
      <c r="AF1348" s="23" t="s">
        <v>147</v>
      </c>
      <c r="AG1348" s="96">
        <f ca="1">AG1334*1.01</f>
        <v>348422.65366129577</v>
      </c>
      <c r="AH1348" s="109" t="s">
        <v>144</v>
      </c>
      <c r="AI1348" s="23" t="s">
        <v>147</v>
      </c>
      <c r="AJ1348" s="96">
        <f ca="1">AJ1334*1.01</f>
        <v>464971.38199484174</v>
      </c>
      <c r="AK1348" s="109" t="s">
        <v>144</v>
      </c>
      <c r="AL1348" s="23" t="s">
        <v>147</v>
      </c>
      <c r="AM1348" s="96">
        <f ca="1">AM1334*1.01</f>
        <v>567353.44917094731</v>
      </c>
      <c r="AN1348" s="109" t="s">
        <v>144</v>
      </c>
      <c r="AO1348" s="23" t="s">
        <v>147</v>
      </c>
      <c r="AP1348" s="96">
        <f ca="1">AP1334*1.01</f>
        <v>658679.74120956042</v>
      </c>
      <c r="AQ1348" s="109" t="s">
        <v>144</v>
      </c>
      <c r="AR1348" s="23" t="s">
        <v>147</v>
      </c>
      <c r="AS1348" s="96">
        <f ca="1">AS1334*1.01</f>
        <v>772353.79838619882</v>
      </c>
      <c r="AT1348" s="109" t="s">
        <v>144</v>
      </c>
      <c r="AU1348" s="23" t="s">
        <v>147</v>
      </c>
    </row>
    <row r="1349" spans="15:47" x14ac:dyDescent="0.25">
      <c r="O1349" s="1"/>
      <c r="P1349" s="1"/>
      <c r="Q1349" s="1"/>
      <c r="R1349" s="98"/>
      <c r="S1349" s="107"/>
      <c r="T1349" s="1"/>
      <c r="U1349" s="47"/>
      <c r="V1349" s="107"/>
      <c r="W1349" s="1"/>
      <c r="X1349" s="47"/>
      <c r="Y1349" s="107"/>
      <c r="Z1349" s="1"/>
      <c r="AA1349" s="47"/>
      <c r="AB1349" s="107"/>
      <c r="AC1349" s="1"/>
      <c r="AD1349" s="47"/>
      <c r="AE1349" s="107"/>
      <c r="AF1349" s="1"/>
      <c r="AG1349" s="47"/>
      <c r="AH1349" s="107"/>
      <c r="AI1349" s="1"/>
      <c r="AJ1349" s="47"/>
      <c r="AK1349" s="107"/>
      <c r="AL1349" s="1"/>
      <c r="AM1349" s="47"/>
      <c r="AN1349" s="107"/>
      <c r="AO1349" s="1"/>
      <c r="AP1349" s="47"/>
      <c r="AQ1349" s="107"/>
      <c r="AR1349" s="1"/>
      <c r="AS1349" s="47"/>
      <c r="AT1349" s="107"/>
      <c r="AU1349" s="1"/>
    </row>
    <row r="1350" spans="15:47" x14ac:dyDescent="0.25">
      <c r="O1350" s="8" t="s">
        <v>132</v>
      </c>
      <c r="P1350" s="8"/>
      <c r="Q1350" s="8"/>
      <c r="R1350" s="96">
        <f>P_1_minQ-(R1348^2*R_up)+dpup_minQ</f>
        <v>90.184274758832231</v>
      </c>
      <c r="S1350" s="106"/>
      <c r="T1350" s="22"/>
      <c r="U1350" s="96">
        <f ca="1">P_1_minQ-(U1348^2*R_up)+dpup_minQ</f>
        <v>90.022804370857301</v>
      </c>
      <c r="V1350" s="107"/>
      <c r="W1350" s="1"/>
      <c r="X1350" s="96">
        <f ca="1">P_1_minQ-(X1348^2*R_up)+dpup_minQ</f>
        <v>89.212304645261355</v>
      </c>
      <c r="Y1350" s="107"/>
      <c r="Z1350" s="1"/>
      <c r="AA1350" s="96">
        <f ca="1">P_1_minQ-(AA1348^2*R_up)+dpup_minQ</f>
        <v>86.49476303685995</v>
      </c>
      <c r="AB1350" s="107"/>
      <c r="AC1350" s="1"/>
      <c r="AD1350" s="96">
        <f ca="1">P_1_minQ-(AD1348^2*R_up)+dpup_minQ</f>
        <v>79.79823745374587</v>
      </c>
      <c r="AE1350" s="107"/>
      <c r="AF1350" s="1"/>
      <c r="AG1350" s="96">
        <f ca="1">P_1_minQ-(AG1348^2*R_up)+dpup_minQ</f>
        <v>68.058867445741754</v>
      </c>
      <c r="AH1350" s="107"/>
      <c r="AI1350" s="1"/>
      <c r="AJ1350" s="96">
        <f ca="1">P_1_minQ-(AJ1348^2*R_up)+dpup_minQ</f>
        <v>50.780525684168055</v>
      </c>
      <c r="AK1350" s="107"/>
      <c r="AL1350" s="1"/>
      <c r="AM1350" s="96">
        <f ca="1">P_1_minQ-(AM1348^2*R_up)+dpup_minQ</f>
        <v>31.51708743627723</v>
      </c>
      <c r="AN1350" s="107"/>
      <c r="AO1350" s="1"/>
      <c r="AP1350" s="96">
        <f ca="1">P_1_minQ-(AP1348^2*R_up)+dpup_minQ</f>
        <v>11.109503587735047</v>
      </c>
      <c r="AQ1350" s="107"/>
      <c r="AR1350" s="1"/>
      <c r="AS1350" s="96">
        <f ca="1">P_1_minQ-(AS1348^2*R_up)+dpup_minQ</f>
        <v>-18.539131888704432</v>
      </c>
      <c r="AT1350" s="107"/>
      <c r="AU1350" s="1"/>
    </row>
    <row r="1351" spans="15:47" x14ac:dyDescent="0.25">
      <c r="O1351" s="8" t="s">
        <v>134</v>
      </c>
      <c r="P1351" s="1"/>
      <c r="Q1351" s="8"/>
      <c r="R1351" s="97">
        <f>P_2_minQ+(R1348^2*R_dn)-dpdn_minQ</f>
        <v>60</v>
      </c>
      <c r="S1351" s="106"/>
      <c r="T1351" s="22"/>
      <c r="U1351" s="97">
        <f ca="1">P_2_minQ+(U1348^2*R_dn)-dpdn_minQ</f>
        <v>60</v>
      </c>
      <c r="V1351" s="107"/>
      <c r="W1351" s="1"/>
      <c r="X1351" s="97">
        <f ca="1">P_2_minQ+(X1348^2*R_dn)-dpdn_minQ</f>
        <v>60</v>
      </c>
      <c r="Y1351" s="107"/>
      <c r="Z1351" s="1"/>
      <c r="AA1351" s="97">
        <f ca="1">P_2_minQ+(AA1348^2*R_dn)-dpdn_minQ</f>
        <v>60</v>
      </c>
      <c r="AB1351" s="107"/>
      <c r="AC1351" s="1"/>
      <c r="AD1351" s="97">
        <f ca="1">P_2_minQ+(AD1348^2*R_dn)-dpdn_minQ</f>
        <v>60</v>
      </c>
      <c r="AE1351" s="107"/>
      <c r="AF1351" s="1"/>
      <c r="AG1351" s="97">
        <f ca="1">P_2_minQ+(AG1348^2*R_dn)-dpdn_minQ</f>
        <v>60</v>
      </c>
      <c r="AH1351" s="107"/>
      <c r="AI1351" s="1"/>
      <c r="AJ1351" s="97">
        <f ca="1">P_2_minQ+(AJ1348^2*R_dn)-dpdn_minQ</f>
        <v>60</v>
      </c>
      <c r="AK1351" s="107"/>
      <c r="AL1351" s="1"/>
      <c r="AM1351" s="97">
        <f ca="1">P_2_minQ+(AM1348^2*R_dn)-dpdn_minQ</f>
        <v>60</v>
      </c>
      <c r="AN1351" s="107"/>
      <c r="AO1351" s="1"/>
      <c r="AP1351" s="97">
        <f ca="1">P_2_minQ+(AP1348^2*R_dn)-dpdn_minQ</f>
        <v>60</v>
      </c>
      <c r="AQ1351" s="107"/>
      <c r="AR1351" s="1"/>
      <c r="AS1351" s="97">
        <f ca="1">P_2_minQ+(AS1348^2*R_dn)-dpdn_minQ</f>
        <v>60</v>
      </c>
      <c r="AT1351" s="107"/>
      <c r="AU1351" s="1"/>
    </row>
    <row r="1352" spans="15:47" x14ac:dyDescent="0.25">
      <c r="O1352" s="8" t="s">
        <v>138</v>
      </c>
      <c r="P1352" s="1"/>
      <c r="Q1352" s="8"/>
      <c r="R1352" s="97">
        <f>R1350-R1351</f>
        <v>30.184274758832231</v>
      </c>
      <c r="S1352" s="106"/>
      <c r="T1352" s="22"/>
      <c r="U1352" s="97">
        <f ca="1">U1350-U1351</f>
        <v>30.022804370857301</v>
      </c>
      <c r="V1352" s="110"/>
      <c r="W1352" s="25"/>
      <c r="X1352" s="97">
        <f ca="1">X1350-X1351</f>
        <v>29.212304645261355</v>
      </c>
      <c r="Y1352" s="110"/>
      <c r="Z1352" s="25"/>
      <c r="AA1352" s="97">
        <f ca="1">AA1350-AA1351</f>
        <v>26.49476303685995</v>
      </c>
      <c r="AB1352" s="110"/>
      <c r="AC1352" s="25"/>
      <c r="AD1352" s="97">
        <f ca="1">AD1350-AD1351</f>
        <v>19.79823745374587</v>
      </c>
      <c r="AE1352" s="110"/>
      <c r="AF1352" s="25"/>
      <c r="AG1352" s="97">
        <f ca="1">AG1350-AG1351</f>
        <v>8.058867445741754</v>
      </c>
      <c r="AH1352" s="110"/>
      <c r="AI1352" s="25"/>
      <c r="AJ1352" s="97">
        <f ca="1">AJ1350-AJ1351</f>
        <v>-9.2194743158319454</v>
      </c>
      <c r="AK1352" s="110"/>
      <c r="AL1352" s="25"/>
      <c r="AM1352" s="97">
        <f ca="1">AM1350-AM1351</f>
        <v>-28.48291256372277</v>
      </c>
      <c r="AN1352" s="110"/>
      <c r="AO1352" s="25"/>
      <c r="AP1352" s="97">
        <f ca="1">AP1350-AP1351</f>
        <v>-48.890496412264952</v>
      </c>
      <c r="AQ1352" s="110"/>
      <c r="AR1352" s="25"/>
      <c r="AS1352" s="97">
        <f ca="1">AS1350-AS1351</f>
        <v>-78.539131888704432</v>
      </c>
      <c r="AT1352" s="110"/>
      <c r="AU1352" s="25"/>
    </row>
    <row r="1353" spans="15:47" ht="14.4" x14ac:dyDescent="0.3">
      <c r="O1353" s="2" t="s">
        <v>140</v>
      </c>
      <c r="P1353" s="11"/>
      <c r="Q1353" s="2"/>
      <c r="R1353" s="96">
        <f>R1352/R1350</f>
        <v>0.33469554242743549</v>
      </c>
      <c r="S1353" s="106"/>
      <c r="T1353" s="22"/>
      <c r="U1353" s="96">
        <f ca="1">U1352/U1350</f>
        <v>0.33350221180819439</v>
      </c>
      <c r="V1353" s="111"/>
      <c r="W1353" s="28"/>
      <c r="X1353" s="96">
        <f ca="1">X1352/X1350</f>
        <v>0.32744703504095618</v>
      </c>
      <c r="Y1353" s="111"/>
      <c r="Z1353" s="28"/>
      <c r="AA1353" s="96">
        <f ca="1">AA1352/AA1350</f>
        <v>0.306316383866722</v>
      </c>
      <c r="AB1353" s="111"/>
      <c r="AC1353" s="28"/>
      <c r="AD1353" s="96">
        <f ca="1">AD1352/AD1350</f>
        <v>0.24810369358372972</v>
      </c>
      <c r="AE1353" s="111"/>
      <c r="AF1353" s="28"/>
      <c r="AG1353" s="96">
        <f ca="1">AG1352/AG1350</f>
        <v>0.11841024907101909</v>
      </c>
      <c r="AH1353" s="111"/>
      <c r="AI1353" s="28"/>
      <c r="AJ1353" s="96">
        <f ca="1">AJ1352/AJ1350</f>
        <v>-0.18155531459388416</v>
      </c>
      <c r="AK1353" s="111"/>
      <c r="AL1353" s="28"/>
      <c r="AM1353" s="96">
        <f ca="1">AM1352/AM1350</f>
        <v>-0.90372921106085391</v>
      </c>
      <c r="AN1353" s="111"/>
      <c r="AO1353" s="28"/>
      <c r="AP1353" s="96">
        <f ca="1">AP1352/AP1350</f>
        <v>-4.4007813694070297</v>
      </c>
      <c r="AQ1353" s="111"/>
      <c r="AR1353" s="28"/>
      <c r="AS1353" s="96">
        <f ca="1">AS1352/AS1350</f>
        <v>4.2363974947800518</v>
      </c>
      <c r="AT1353" s="111"/>
      <c r="AU1353" s="28"/>
    </row>
    <row r="1354" spans="15:47" x14ac:dyDescent="0.25">
      <c r="O1354" s="2" t="s">
        <v>21</v>
      </c>
      <c r="P1354" s="8">
        <v>12</v>
      </c>
      <c r="Q1354" s="2"/>
      <c r="R1354" s="96">
        <f ca="1">1-R1353/(3*F_GAMMA*R$29)</f>
        <v>0.82568749349829684</v>
      </c>
      <c r="S1354" s="106"/>
      <c r="T1354" s="22"/>
      <c r="U1354" s="96">
        <f ca="1">1-U1353/(3*F_GAMMA*U$29)</f>
        <v>0.82634934205687638</v>
      </c>
      <c r="V1354" s="111"/>
      <c r="W1354" s="28"/>
      <c r="X1354" s="96">
        <f ca="1">1-X1353/(3*F_GAMMA*X$29)</f>
        <v>0.82787834070219701</v>
      </c>
      <c r="Y1354" s="111"/>
      <c r="Z1354" s="28"/>
      <c r="AA1354" s="96">
        <f ca="1">1-AA1353/(3*F_GAMMA*AA$29)</f>
        <v>0.83671593909331099</v>
      </c>
      <c r="AB1354" s="111"/>
      <c r="AC1354" s="28"/>
      <c r="AD1354" s="96">
        <f ca="1">1-AD1353/(3*F_GAMMA*AD$29)</f>
        <v>0.86364488469196754</v>
      </c>
      <c r="AE1354" s="111"/>
      <c r="AF1354" s="28"/>
      <c r="AG1354" s="96">
        <f ca="1">1-AG1353/(3*F_GAMMA*AG$29)</f>
        <v>0.93101798179913808</v>
      </c>
      <c r="AH1354" s="111"/>
      <c r="AI1354" s="28"/>
      <c r="AJ1354" s="96">
        <f ca="1">1-AJ1353/(3*F_GAMMA*AJ$29)</f>
        <v>1.1137922217295908</v>
      </c>
      <c r="AK1354" s="111"/>
      <c r="AL1354" s="28"/>
      <c r="AM1354" s="96">
        <f ca="1">1-AM1353/(3*F_GAMMA*AM$29)</f>
        <v>1.6333091380916791</v>
      </c>
      <c r="AN1354" s="111"/>
      <c r="AO1354" s="28"/>
      <c r="AP1354" s="96">
        <f ca="1">1-AP1353/(3*F_GAMMA*AP$29)</f>
        <v>3.4840369691443986</v>
      </c>
      <c r="AQ1354" s="111"/>
      <c r="AR1354" s="28"/>
      <c r="AS1354" s="96">
        <f ca="1">1-AS1353/(3*F_GAMMA*AS$29)</f>
        <v>-2.7487925493577348</v>
      </c>
      <c r="AT1354" s="111"/>
      <c r="AU1354" s="28"/>
    </row>
    <row r="1355" spans="15:47" x14ac:dyDescent="0.25">
      <c r="O1355" s="2" t="s">
        <v>57</v>
      </c>
      <c r="P1355" s="143">
        <v>7</v>
      </c>
      <c r="Q1355" s="2"/>
      <c r="R1355" s="96">
        <f ca="1">(R1348/(N_9*R$27*R1350*R1354))*SQRT(M*'Valve Sizing'!$W$6*'Valve Sizing'!$G$8/R1353)</f>
        <v>0.82778462486137294</v>
      </c>
      <c r="S1355" s="107"/>
      <c r="T1355" s="22"/>
      <c r="U1355" s="96">
        <f ca="1">(U1348/(N_9*U$27*U1350*U1354))*SQRT(M*'Valve Sizing'!$W$6*'Valve Sizing'!$G$8/U1353)</f>
        <v>12.090169098686365</v>
      </c>
      <c r="V1355" s="111"/>
      <c r="W1355" s="28"/>
      <c r="X1355" s="96">
        <f ca="1">(X1348/(N_9*X$27*X1350*X1354))*SQRT(M*'Valve Sizing'!$W$6*'Valve Sizing'!$G$8/X1353)</f>
        <v>30.16187862615735</v>
      </c>
      <c r="Y1355" s="111"/>
      <c r="Z1355" s="28"/>
      <c r="AA1355" s="96">
        <f ca="1">(AA1348/(N_9*AA$27*AA1350*AA1354))*SQRT(M*'Valve Sizing'!$W$6*'Valve Sizing'!$G$8/AA1353)</f>
        <v>62.354656657908698</v>
      </c>
      <c r="AB1355" s="111"/>
      <c r="AC1355" s="28"/>
      <c r="AD1355" s="96">
        <f ca="1">(AD1348/(N_9*AD$27*AD1350*AD1354))*SQRT(M*'Valve Sizing'!$W$6*'Valve Sizing'!$G$8/AD1353)</f>
        <v>123.57627145507381</v>
      </c>
      <c r="AE1355" s="111"/>
      <c r="AF1355" s="28"/>
      <c r="AG1355" s="96">
        <f ca="1">(AG1348/(N_9*AG$27*AG1350*AG1354))*SQRT(M*'Valve Sizing'!$W$6*'Valve Sizing'!$G$8/AG1353)</f>
        <v>290.34896988588207</v>
      </c>
      <c r="AH1355" s="111"/>
      <c r="AI1355" s="28"/>
      <c r="AJ1355" s="96" t="e">
        <f ca="1">(AJ1348/(N_9*AJ$27*AJ1350*AJ1354))*SQRT(M*'Valve Sizing'!$W$6*'Valve Sizing'!$G$8/AJ1353)</f>
        <v>#NUM!</v>
      </c>
      <c r="AK1355" s="111"/>
      <c r="AL1355" s="28"/>
      <c r="AM1355" s="96" t="e">
        <f ca="1">(AM1348/(N_9*AM$27*AM1350*AM1354))*SQRT(M*'Valve Sizing'!$W$6*'Valve Sizing'!$G$8/AM1353)</f>
        <v>#NUM!</v>
      </c>
      <c r="AN1355" s="111"/>
      <c r="AO1355" s="28"/>
      <c r="AP1355" s="96" t="e">
        <f ca="1">(AP1348/(N_9*AP$27*AP1350*AP1354))*SQRT(M*'Valve Sizing'!$W$6*'Valve Sizing'!$G$8/AP1353)</f>
        <v>#NUM!</v>
      </c>
      <c r="AQ1355" s="111"/>
      <c r="AR1355" s="28"/>
      <c r="AS1355" s="96">
        <f ca="1">(AS1348/(N_9*AS$27*AS1350*AS1354))*SQRT(M*'Valve Sizing'!$W$6*'Valve Sizing'!$G$8/AS1353)</f>
        <v>224.23486179181793</v>
      </c>
      <c r="AT1355" s="111"/>
      <c r="AU1355" s="28"/>
    </row>
    <row r="1356" spans="15:47" x14ac:dyDescent="0.25">
      <c r="O1356" s="2" t="s">
        <v>59</v>
      </c>
      <c r="P1356" s="143">
        <v>7</v>
      </c>
      <c r="Q1356" s="2"/>
      <c r="R1356" s="96">
        <f ca="1">(R1348/(N_9*R$27*R1350*0.667))*SQRT(M*'Valve Sizing'!$W$6*'Valve Sizing'!$G$8/R1357)</f>
        <v>0.74102375342229987</v>
      </c>
      <c r="S1356" s="107"/>
      <c r="T1356" s="22"/>
      <c r="U1356" s="96">
        <f ca="1">(U1348/(N_9*U$27*U1350*0.667))*SQRT(M*'Valve Sizing'!$W$6*'Valve Sizing'!$G$8/U1357)</f>
        <v>10.811079744703202</v>
      </c>
      <c r="V1356" s="111"/>
      <c r="W1356" s="28"/>
      <c r="X1356" s="96">
        <f ca="1">(X1348/(N_9*X$27*X1350*0.667))*SQRT(M*'Valve Sizing'!$W$6*'Valve Sizing'!$G$8/X1357)</f>
        <v>26.901559933054546</v>
      </c>
      <c r="Y1356" s="111"/>
      <c r="Z1356" s="28"/>
      <c r="AA1356" s="96">
        <f ca="1">(AA1348/(N_9*AA$27*AA1350*0.667))*SQRT(M*'Valve Sizing'!$W$6*'Valve Sizing'!$G$8/AA1357)</f>
        <v>54.746155202065786</v>
      </c>
      <c r="AB1356" s="111"/>
      <c r="AC1356" s="28"/>
      <c r="AD1356" s="96">
        <f ca="1">(AD1348/(N_9*AD$27*AD1350*0.667))*SQRT(M*'Valve Sizing'!$W$6*'Valve Sizing'!$G$8/AD1357)</f>
        <v>102.33891388681455</v>
      </c>
      <c r="AE1356" s="111"/>
      <c r="AF1356" s="28"/>
      <c r="AG1356" s="96">
        <f ca="1">(AG1348/(N_9*AG$27*AG1350*0.667))*SQRT(M*'Valve Sizing'!$W$6*'Valve Sizing'!$G$8/AG1357)</f>
        <v>184.36611330671303</v>
      </c>
      <c r="AH1356" s="111"/>
      <c r="AI1356" s="28"/>
      <c r="AJ1356" s="96">
        <f ca="1">(AJ1348/(N_9*AJ$27*AJ1350*0.667))*SQRT(M*'Valve Sizing'!$W$6*'Valve Sizing'!$G$8/AJ1357)</f>
        <v>354.39697713826246</v>
      </c>
      <c r="AK1356" s="111"/>
      <c r="AL1356" s="28"/>
      <c r="AM1356" s="96">
        <f ca="1">(AM1348/(N_9*AM$27*AM1350*0.667))*SQRT(M*'Valve Sizing'!$W$6*'Valve Sizing'!$G$8/AM1357)</f>
        <v>781.67136874033338</v>
      </c>
      <c r="AN1356" s="111"/>
      <c r="AO1356" s="28"/>
      <c r="AP1356" s="96">
        <f ca="1">(AP1348/(N_9*AP$27*AP1350*0.667))*SQRT(M*'Valve Sizing'!$W$6*'Valve Sizing'!$G$8/AP1357)</f>
        <v>2629.8932114508498</v>
      </c>
      <c r="AQ1356" s="111"/>
      <c r="AR1356" s="28"/>
      <c r="AS1356" s="96">
        <f ca="1">(AS1348/(N_9*AS$27*AS1350*0.667))*SQRT(M*'Valve Sizing'!$W$6*'Valve Sizing'!$G$8/AS1357)</f>
        <v>-3099.0286822227349</v>
      </c>
      <c r="AT1356" s="111"/>
      <c r="AU1356" s="28"/>
    </row>
    <row r="1357" spans="15:47" ht="15.6" x14ac:dyDescent="0.35">
      <c r="O1357" s="2" t="s">
        <v>68</v>
      </c>
      <c r="P1357" s="143">
        <v>10</v>
      </c>
      <c r="Q1357" s="2"/>
      <c r="R1357" s="96">
        <f ca="1">F_GAMMA*R$29</f>
        <v>0.64002969751372984</v>
      </c>
      <c r="S1357" s="107"/>
      <c r="T1357" s="1"/>
      <c r="U1357" s="96">
        <f ca="1">F_GAMMA*U$29</f>
        <v>0.64017842058782071</v>
      </c>
      <c r="V1357" s="111"/>
      <c r="W1357" s="28"/>
      <c r="X1357" s="96">
        <f ca="1">F_GAMMA*X$29</f>
        <v>0.63413873724904268</v>
      </c>
      <c r="Y1357" s="111"/>
      <c r="Z1357" s="28"/>
      <c r="AA1357" s="96">
        <f ca="1">F_GAMMA*AA$29</f>
        <v>0.62532411750377137</v>
      </c>
      <c r="AB1357" s="111"/>
      <c r="AC1357" s="28"/>
      <c r="AD1357" s="96">
        <f ca="1">F_GAMMA*AD$29</f>
        <v>0.60651359509139569</v>
      </c>
      <c r="AE1357" s="111"/>
      <c r="AF1357" s="28"/>
      <c r="AG1357" s="96">
        <f ca="1">F_GAMMA*AG$29</f>
        <v>0.57217930198481592</v>
      </c>
      <c r="AH1357" s="111"/>
      <c r="AI1357" s="28"/>
      <c r="AJ1357" s="96">
        <f ca="1">F_GAMMA*AJ$29</f>
        <v>0.53183282018848232</v>
      </c>
      <c r="AK1357" s="111"/>
      <c r="AL1357" s="28"/>
      <c r="AM1357" s="96">
        <f ca="1">F_GAMMA*AM$29</f>
        <v>0.47566512503094399</v>
      </c>
      <c r="AN1357" s="111"/>
      <c r="AO1357" s="28"/>
      <c r="AP1357" s="96">
        <f ca="1">F_GAMMA*AP$29</f>
        <v>0.59054158265645496</v>
      </c>
      <c r="AQ1357" s="111"/>
      <c r="AR1357" s="28"/>
      <c r="AS1357" s="96">
        <f ca="1">F_GAMMA*AS$29</f>
        <v>0.3766899554102966</v>
      </c>
      <c r="AT1357" s="111"/>
      <c r="AU1357" s="28"/>
    </row>
    <row r="1358" spans="15:47" x14ac:dyDescent="0.25">
      <c r="O1358" s="2" t="s">
        <v>145</v>
      </c>
      <c r="P1358" s="12"/>
      <c r="Q1358" s="2"/>
      <c r="R1358" s="96">
        <f ca="1">IF(R1353&lt;R1357,R1355,R1356)</f>
        <v>0.82778462486137294</v>
      </c>
      <c r="S1358" s="116"/>
      <c r="T1358" s="1"/>
      <c r="U1358" s="96">
        <f ca="1">IF(U1353&lt;U1357,U1355,U1356)</f>
        <v>12.090169098686365</v>
      </c>
      <c r="V1358" s="111"/>
      <c r="W1358" s="28"/>
      <c r="X1358" s="96">
        <f ca="1">IF(X1353&lt;X1357,X1355,X1356)</f>
        <v>30.16187862615735</v>
      </c>
      <c r="Y1358" s="111"/>
      <c r="Z1358" s="28"/>
      <c r="AA1358" s="96">
        <f ca="1">IF(AA1353&lt;AA1357,AA1355,AA1356)</f>
        <v>62.354656657908698</v>
      </c>
      <c r="AB1358" s="111"/>
      <c r="AC1358" s="28"/>
      <c r="AD1358" s="96">
        <f ca="1">IF(AD1353&lt;AD1357,AD1355,AD1356)</f>
        <v>123.57627145507381</v>
      </c>
      <c r="AE1358" s="111"/>
      <c r="AF1358" s="28"/>
      <c r="AG1358" s="96">
        <f ca="1">IF(AG1353&lt;AG1357,AG1355,AG1356)</f>
        <v>290.34896988588207</v>
      </c>
      <c r="AH1358" s="111"/>
      <c r="AI1358" s="28"/>
      <c r="AJ1358" s="96" t="e">
        <f ca="1">IF(AJ1353&lt;AJ1357,AJ1355,AJ1356)</f>
        <v>#NUM!</v>
      </c>
      <c r="AK1358" s="111"/>
      <c r="AL1358" s="28"/>
      <c r="AM1358" s="96" t="e">
        <f ca="1">IF(AM1353&lt;AM1357,AM1355,AM1356)</f>
        <v>#NUM!</v>
      </c>
      <c r="AN1358" s="111"/>
      <c r="AO1358" s="28"/>
      <c r="AP1358" s="96" t="e">
        <f ca="1">IF(AP1353&lt;AP1357,AP1355,AP1356)</f>
        <v>#NUM!</v>
      </c>
      <c r="AQ1358" s="111"/>
      <c r="AR1358" s="28"/>
      <c r="AS1358" s="96">
        <f ca="1">IF(AS1353&lt;AS1357,AS1355,AS1356)</f>
        <v>-3099.0286822227349</v>
      </c>
      <c r="AT1358" s="111"/>
      <c r="AU1358" s="28"/>
    </row>
    <row r="1359" spans="15:47" x14ac:dyDescent="0.25">
      <c r="O1359" s="13" t="s">
        <v>143</v>
      </c>
      <c r="P1359" s="1"/>
      <c r="Q1359" s="1"/>
      <c r="R1359" s="113"/>
      <c r="S1359" s="106">
        <f ca="1">IF(R1352&lt;=0,Q_max,ABS(R$23-R1358))</f>
        <v>3.9022153751386277</v>
      </c>
      <c r="T1359" s="7">
        <f>R1348</f>
        <v>2049.7590340187062</v>
      </c>
      <c r="U1359" s="98"/>
      <c r="V1359" s="106">
        <f ca="1">IF(U1352&lt;=0,Q_max,ABS(U$23-U1358))</f>
        <v>0.4901690986863656</v>
      </c>
      <c r="W1359" s="9">
        <f ca="1">U1348</f>
        <v>29835.069907899135</v>
      </c>
      <c r="X1359" s="98"/>
      <c r="Y1359" s="106">
        <f ca="1">IF(X1352&lt;=0,Q_max,ABS(X$23-X1358))</f>
        <v>7.1618786261573497</v>
      </c>
      <c r="Z1359" s="9">
        <f ca="1">X1348</f>
        <v>73055.127026903472</v>
      </c>
      <c r="AA1359" s="98"/>
      <c r="AB1359" s="106">
        <f ca="1">IF(AA1352&lt;=0,Q_max,ABS(AA$23-AA1358))</f>
        <v>22.9546566579087</v>
      </c>
      <c r="AC1359" s="9">
        <f ca="1">AA1348</f>
        <v>142292.74046231303</v>
      </c>
      <c r="AD1359" s="98"/>
      <c r="AE1359" s="106">
        <f ca="1">IF(AD1352&lt;=0,Q_max,ABS(AD$23-AD1358))</f>
        <v>62.576271455073808</v>
      </c>
      <c r="AF1359" s="9">
        <f ca="1">AD1348</f>
        <v>238722.95427822467</v>
      </c>
      <c r="AG1359" s="98"/>
      <c r="AH1359" s="106">
        <f ca="1">IF(AG1352&lt;=0,Q_max,ABS(AG$23-AG1358))</f>
        <v>202.14896988588208</v>
      </c>
      <c r="AI1359" s="9">
        <f ca="1">AG1348</f>
        <v>348422.65366129577</v>
      </c>
      <c r="AJ1359" s="98"/>
      <c r="AK1359" s="106">
        <f ca="1">IF(AJ1352&lt;=0,Q_max,ABS(AJ$23-AJ1358))</f>
        <v>236393</v>
      </c>
      <c r="AL1359" s="9">
        <f ca="1">AJ1348</f>
        <v>464971.38199484174</v>
      </c>
      <c r="AM1359" s="98"/>
      <c r="AN1359" s="106">
        <f ca="1">IF(AM1352&lt;=0,Q_max,ABS(AM$23-AM1358))</f>
        <v>236393</v>
      </c>
      <c r="AO1359" s="9">
        <f ca="1">AM1348</f>
        <v>567353.44917094731</v>
      </c>
      <c r="AP1359" s="98"/>
      <c r="AQ1359" s="106">
        <f ca="1">IF(AP1352&lt;=0,Q_max,ABS(AP$23-AP1358))</f>
        <v>236393</v>
      </c>
      <c r="AR1359" s="9">
        <f ca="1">AP1348</f>
        <v>658679.74120956042</v>
      </c>
      <c r="AS1359" s="98"/>
      <c r="AT1359" s="106">
        <f ca="1">IF(AS1352&lt;=0,Q_max,ABS(AS$23-AS1358))</f>
        <v>236393</v>
      </c>
      <c r="AU1359" s="9">
        <f ca="1">AS1348</f>
        <v>772353.79838619882</v>
      </c>
    </row>
    <row r="1360" spans="15:47" x14ac:dyDescent="0.25">
      <c r="O1360" s="21"/>
      <c r="P1360" s="14"/>
      <c r="Q1360" s="21"/>
      <c r="R1360" s="97"/>
      <c r="S1360" s="106"/>
      <c r="T1360" s="28"/>
      <c r="U1360" s="97"/>
      <c r="V1360" s="111"/>
      <c r="W1360" s="28"/>
      <c r="X1360" s="97"/>
      <c r="Y1360" s="111"/>
      <c r="Z1360" s="28"/>
      <c r="AA1360" s="97"/>
      <c r="AB1360" s="111"/>
      <c r="AC1360" s="28"/>
      <c r="AD1360" s="97"/>
      <c r="AE1360" s="111"/>
      <c r="AF1360" s="28"/>
      <c r="AG1360" s="97"/>
      <c r="AH1360" s="111"/>
      <c r="AI1360" s="28"/>
      <c r="AJ1360" s="97"/>
      <c r="AK1360" s="111"/>
      <c r="AL1360" s="28"/>
      <c r="AM1360" s="97"/>
      <c r="AN1360" s="111"/>
      <c r="AO1360" s="28"/>
      <c r="AP1360" s="97"/>
      <c r="AQ1360" s="111"/>
      <c r="AR1360" s="28"/>
      <c r="AS1360" s="97"/>
      <c r="AT1360" s="111"/>
      <c r="AU1360" s="28"/>
    </row>
    <row r="1361" spans="15:47" x14ac:dyDescent="0.25">
      <c r="O1361" s="1"/>
      <c r="P1361" s="1"/>
      <c r="Q1361" s="1"/>
      <c r="R1361" s="98"/>
      <c r="S1361" s="108" t="s">
        <v>137</v>
      </c>
      <c r="T1361" s="26" t="s">
        <v>146</v>
      </c>
      <c r="U1361" s="98"/>
      <c r="V1361" s="108" t="s">
        <v>137</v>
      </c>
      <c r="W1361" s="26" t="s">
        <v>146</v>
      </c>
      <c r="X1361" s="98"/>
      <c r="Y1361" s="108" t="s">
        <v>137</v>
      </c>
      <c r="Z1361" s="26" t="s">
        <v>146</v>
      </c>
      <c r="AA1361" s="98"/>
      <c r="AB1361" s="108" t="s">
        <v>137</v>
      </c>
      <c r="AC1361" s="26" t="s">
        <v>146</v>
      </c>
      <c r="AD1361" s="98"/>
      <c r="AE1361" s="108" t="s">
        <v>137</v>
      </c>
      <c r="AF1361" s="26" t="s">
        <v>146</v>
      </c>
      <c r="AG1361" s="98"/>
      <c r="AH1361" s="108" t="s">
        <v>137</v>
      </c>
      <c r="AI1361" s="26" t="s">
        <v>146</v>
      </c>
      <c r="AJ1361" s="98"/>
      <c r="AK1361" s="108" t="s">
        <v>137</v>
      </c>
      <c r="AL1361" s="26" t="s">
        <v>146</v>
      </c>
      <c r="AM1361" s="98"/>
      <c r="AN1361" s="108" t="s">
        <v>137</v>
      </c>
      <c r="AO1361" s="26" t="s">
        <v>146</v>
      </c>
      <c r="AP1361" s="98"/>
      <c r="AQ1361" s="108" t="s">
        <v>137</v>
      </c>
      <c r="AR1361" s="26" t="s">
        <v>146</v>
      </c>
      <c r="AS1361" s="98"/>
      <c r="AT1361" s="108" t="s">
        <v>137</v>
      </c>
      <c r="AU1361" s="26" t="s">
        <v>146</v>
      </c>
    </row>
    <row r="1362" spans="15:47" ht="13.8" x14ac:dyDescent="0.25">
      <c r="O1362" s="20" t="s">
        <v>136</v>
      </c>
      <c r="P1362" s="1"/>
      <c r="Q1362" s="1"/>
      <c r="R1362" s="96">
        <f>R1348*1.02</f>
        <v>2090.7542146990804</v>
      </c>
      <c r="S1362" s="109" t="s">
        <v>144</v>
      </c>
      <c r="T1362" s="23" t="s">
        <v>147</v>
      </c>
      <c r="U1362" s="96">
        <f ca="1">U1348*1.01</f>
        <v>30133.420606978125</v>
      </c>
      <c r="V1362" s="109" t="s">
        <v>144</v>
      </c>
      <c r="W1362" s="23" t="s">
        <v>147</v>
      </c>
      <c r="X1362" s="96">
        <f ca="1">X1348*1.01</f>
        <v>73785.678297172504</v>
      </c>
      <c r="Y1362" s="109" t="s">
        <v>144</v>
      </c>
      <c r="Z1362" s="23" t="s">
        <v>147</v>
      </c>
      <c r="AA1362" s="96">
        <f ca="1">AA1348*1.01</f>
        <v>143715.66786693616</v>
      </c>
      <c r="AB1362" s="109" t="s">
        <v>144</v>
      </c>
      <c r="AC1362" s="23" t="s">
        <v>147</v>
      </c>
      <c r="AD1362" s="96">
        <f ca="1">AD1348*1.01</f>
        <v>241110.18382100691</v>
      </c>
      <c r="AE1362" s="109" t="s">
        <v>144</v>
      </c>
      <c r="AF1362" s="23" t="s">
        <v>147</v>
      </c>
      <c r="AG1362" s="96">
        <f ca="1">AG1348*1.01</f>
        <v>351906.88019790873</v>
      </c>
      <c r="AH1362" s="109" t="s">
        <v>144</v>
      </c>
      <c r="AI1362" s="23" t="s">
        <v>147</v>
      </c>
      <c r="AJ1362" s="96">
        <f ca="1">AJ1348*1.01</f>
        <v>469621.09581479017</v>
      </c>
      <c r="AK1362" s="109" t="s">
        <v>144</v>
      </c>
      <c r="AL1362" s="23" t="s">
        <v>147</v>
      </c>
      <c r="AM1362" s="96">
        <f ca="1">AM1348*1.01</f>
        <v>573026.98366265674</v>
      </c>
      <c r="AN1362" s="109" t="s">
        <v>144</v>
      </c>
      <c r="AO1362" s="23" t="s">
        <v>147</v>
      </c>
      <c r="AP1362" s="96">
        <f ca="1">AP1348*1.01</f>
        <v>665266.53862165601</v>
      </c>
      <c r="AQ1362" s="109" t="s">
        <v>144</v>
      </c>
      <c r="AR1362" s="23" t="s">
        <v>147</v>
      </c>
      <c r="AS1362" s="96">
        <f ca="1">AS1348*1.01</f>
        <v>780077.3363700608</v>
      </c>
      <c r="AT1362" s="109" t="s">
        <v>144</v>
      </c>
      <c r="AU1362" s="23" t="s">
        <v>147</v>
      </c>
    </row>
    <row r="1363" spans="15:47" x14ac:dyDescent="0.25">
      <c r="O1363" s="1"/>
      <c r="P1363" s="1"/>
      <c r="Q1363" s="1"/>
      <c r="R1363" s="98"/>
      <c r="S1363" s="107"/>
      <c r="T1363" s="1"/>
      <c r="U1363" s="47"/>
      <c r="V1363" s="107"/>
      <c r="W1363" s="1"/>
      <c r="X1363" s="47"/>
      <c r="Y1363" s="107"/>
      <c r="Z1363" s="1"/>
      <c r="AA1363" s="47"/>
      <c r="AB1363" s="107"/>
      <c r="AC1363" s="1"/>
      <c r="AD1363" s="47"/>
      <c r="AE1363" s="107"/>
      <c r="AF1363" s="1"/>
      <c r="AG1363" s="47"/>
      <c r="AH1363" s="107"/>
      <c r="AI1363" s="1"/>
      <c r="AJ1363" s="47"/>
      <c r="AK1363" s="107"/>
      <c r="AL1363" s="1"/>
      <c r="AM1363" s="47"/>
      <c r="AN1363" s="107"/>
      <c r="AO1363" s="1"/>
      <c r="AP1363" s="47"/>
      <c r="AQ1363" s="107"/>
      <c r="AR1363" s="1"/>
      <c r="AS1363" s="47"/>
      <c r="AT1363" s="107"/>
      <c r="AU1363" s="1"/>
    </row>
    <row r="1364" spans="15:47" x14ac:dyDescent="0.25">
      <c r="O1364" s="8" t="s">
        <v>132</v>
      </c>
      <c r="P1364" s="8"/>
      <c r="Q1364" s="8"/>
      <c r="R1364" s="96">
        <f>P_1_minQ-(R1362^2*R_up)+dpup_minQ</f>
        <v>90.184243821666726</v>
      </c>
      <c r="S1364" s="106"/>
      <c r="T1364" s="22"/>
      <c r="U1364" s="96">
        <f ca="1">P_1_minQ-(U1362^2*R_up)+dpup_minQ</f>
        <v>90.019543424053396</v>
      </c>
      <c r="V1364" s="107"/>
      <c r="W1364" s="1"/>
      <c r="X1364" s="96">
        <f ca="1">P_1_minQ-(X1362^2*R_up)+dpup_minQ</f>
        <v>89.192752653972974</v>
      </c>
      <c r="Y1364" s="107"/>
      <c r="Z1364" s="1"/>
      <c r="AA1364" s="96">
        <f ca="1">P_1_minQ-(AA1362^2*R_up)+dpup_minQ</f>
        <v>86.420588459242694</v>
      </c>
      <c r="AB1364" s="107"/>
      <c r="AC1364" s="1"/>
      <c r="AD1364" s="96">
        <f ca="1">P_1_minQ-(AD1362^2*R_up)+dpup_minQ</f>
        <v>79.589462711908027</v>
      </c>
      <c r="AE1364" s="107"/>
      <c r="AF1364" s="1"/>
      <c r="AG1364" s="96">
        <f ca="1">P_1_minQ-(AG1362^2*R_up)+dpup_minQ</f>
        <v>67.614131366743024</v>
      </c>
      <c r="AH1364" s="107"/>
      <c r="AI1364" s="1"/>
      <c r="AJ1364" s="96">
        <f ca="1">P_1_minQ-(AJ1362^2*R_up)+dpup_minQ</f>
        <v>49.988494935761686</v>
      </c>
      <c r="AK1364" s="107"/>
      <c r="AL1364" s="1"/>
      <c r="AM1364" s="96">
        <f ca="1">P_1_minQ-(AM1362^2*R_up)+dpup_minQ</f>
        <v>30.337861579088269</v>
      </c>
      <c r="AN1364" s="107"/>
      <c r="AO1364" s="1"/>
      <c r="AP1364" s="96">
        <f ca="1">P_1_minQ-(AP1362^2*R_up)+dpup_minQ</f>
        <v>9.5200852951903823</v>
      </c>
      <c r="AQ1364" s="107"/>
      <c r="AR1364" s="1"/>
      <c r="AS1364" s="96">
        <f ca="1">P_1_minQ-(AS1362^2*R_up)+dpup_minQ</f>
        <v>-20.724487754325523</v>
      </c>
      <c r="AT1364" s="107"/>
      <c r="AU1364" s="1"/>
    </row>
    <row r="1365" spans="15:47" x14ac:dyDescent="0.25">
      <c r="O1365" s="8" t="s">
        <v>134</v>
      </c>
      <c r="P1365" s="1"/>
      <c r="Q1365" s="8"/>
      <c r="R1365" s="97">
        <f>P_2_minQ+(R1362^2*R_dn)-dpdn_minQ</f>
        <v>60</v>
      </c>
      <c r="S1365" s="106"/>
      <c r="T1365" s="22"/>
      <c r="U1365" s="97">
        <f ca="1">P_2_minQ+(U1362^2*R_dn)-dpdn_minQ</f>
        <v>60</v>
      </c>
      <c r="V1365" s="107"/>
      <c r="W1365" s="1"/>
      <c r="X1365" s="97">
        <f ca="1">P_2_minQ+(X1362^2*R_dn)-dpdn_minQ</f>
        <v>60</v>
      </c>
      <c r="Y1365" s="107"/>
      <c r="Z1365" s="1"/>
      <c r="AA1365" s="97">
        <f ca="1">P_2_minQ+(AA1362^2*R_dn)-dpdn_minQ</f>
        <v>60</v>
      </c>
      <c r="AB1365" s="107"/>
      <c r="AC1365" s="1"/>
      <c r="AD1365" s="97">
        <f ca="1">P_2_minQ+(AD1362^2*R_dn)-dpdn_minQ</f>
        <v>60</v>
      </c>
      <c r="AE1365" s="107"/>
      <c r="AF1365" s="1"/>
      <c r="AG1365" s="97">
        <f ca="1">P_2_minQ+(AG1362^2*R_dn)-dpdn_minQ</f>
        <v>60</v>
      </c>
      <c r="AH1365" s="107"/>
      <c r="AI1365" s="1"/>
      <c r="AJ1365" s="97">
        <f ca="1">P_2_minQ+(AJ1362^2*R_dn)-dpdn_minQ</f>
        <v>60</v>
      </c>
      <c r="AK1365" s="107"/>
      <c r="AL1365" s="1"/>
      <c r="AM1365" s="97">
        <f ca="1">P_2_minQ+(AM1362^2*R_dn)-dpdn_minQ</f>
        <v>60</v>
      </c>
      <c r="AN1365" s="107"/>
      <c r="AO1365" s="1"/>
      <c r="AP1365" s="97">
        <f ca="1">P_2_minQ+(AP1362^2*R_dn)-dpdn_minQ</f>
        <v>60</v>
      </c>
      <c r="AQ1365" s="107"/>
      <c r="AR1365" s="1"/>
      <c r="AS1365" s="97">
        <f ca="1">P_2_minQ+(AS1362^2*R_dn)-dpdn_minQ</f>
        <v>60</v>
      </c>
      <c r="AT1365" s="107"/>
      <c r="AU1365" s="1"/>
    </row>
    <row r="1366" spans="15:47" x14ac:dyDescent="0.25">
      <c r="O1366" s="8" t="s">
        <v>138</v>
      </c>
      <c r="P1366" s="1"/>
      <c r="Q1366" s="8"/>
      <c r="R1366" s="97">
        <f>R1364-R1365</f>
        <v>30.184243821666726</v>
      </c>
      <c r="S1366" s="106"/>
      <c r="T1366" s="22"/>
      <c r="U1366" s="97">
        <f ca="1">U1364-U1365</f>
        <v>30.019543424053396</v>
      </c>
      <c r="V1366" s="110"/>
      <c r="W1366" s="25"/>
      <c r="X1366" s="97">
        <f ca="1">X1364-X1365</f>
        <v>29.192752653972974</v>
      </c>
      <c r="Y1366" s="110"/>
      <c r="Z1366" s="25"/>
      <c r="AA1366" s="97">
        <f ca="1">AA1364-AA1365</f>
        <v>26.420588459242694</v>
      </c>
      <c r="AB1366" s="110"/>
      <c r="AC1366" s="25"/>
      <c r="AD1366" s="97">
        <f ca="1">AD1364-AD1365</f>
        <v>19.589462711908027</v>
      </c>
      <c r="AE1366" s="110"/>
      <c r="AF1366" s="25"/>
      <c r="AG1366" s="97">
        <f ca="1">AG1364-AG1365</f>
        <v>7.6141313667430239</v>
      </c>
      <c r="AH1366" s="110"/>
      <c r="AI1366" s="25"/>
      <c r="AJ1366" s="97">
        <f ca="1">AJ1364-AJ1365</f>
        <v>-10.011505064238314</v>
      </c>
      <c r="AK1366" s="110"/>
      <c r="AL1366" s="25"/>
      <c r="AM1366" s="97">
        <f ca="1">AM1364-AM1365</f>
        <v>-29.662138420911731</v>
      </c>
      <c r="AN1366" s="110"/>
      <c r="AO1366" s="25"/>
      <c r="AP1366" s="97">
        <f ca="1">AP1364-AP1365</f>
        <v>-50.479914704809616</v>
      </c>
      <c r="AQ1366" s="110"/>
      <c r="AR1366" s="25"/>
      <c r="AS1366" s="97">
        <f ca="1">AS1364-AS1365</f>
        <v>-80.724487754325523</v>
      </c>
      <c r="AT1366" s="110"/>
      <c r="AU1366" s="25"/>
    </row>
    <row r="1367" spans="15:47" ht="14.4" x14ac:dyDescent="0.3">
      <c r="O1367" s="2" t="s">
        <v>140</v>
      </c>
      <c r="P1367" s="11"/>
      <c r="Q1367" s="2"/>
      <c r="R1367" s="96">
        <f>R1366/R1364</f>
        <v>0.33469531419872012</v>
      </c>
      <c r="S1367" s="106"/>
      <c r="T1367" s="22"/>
      <c r="U1367" s="96">
        <f ca="1">U1366/U1364</f>
        <v>0.33347806800842</v>
      </c>
      <c r="V1367" s="111"/>
      <c r="W1367" s="28"/>
      <c r="X1367" s="96">
        <f ca="1">X1366/X1364</f>
        <v>0.32729960434372379</v>
      </c>
      <c r="Y1367" s="111"/>
      <c r="Z1367" s="28"/>
      <c r="AA1367" s="96">
        <f ca="1">AA1366/AA1364</f>
        <v>0.30572099693238097</v>
      </c>
      <c r="AB1367" s="111"/>
      <c r="AC1367" s="28"/>
      <c r="AD1367" s="96">
        <f ca="1">AD1366/AD1364</f>
        <v>0.24613136016279563</v>
      </c>
      <c r="AE1367" s="111"/>
      <c r="AF1367" s="28"/>
      <c r="AG1367" s="96">
        <f ca="1">AG1366/AG1364</f>
        <v>0.11261153863596247</v>
      </c>
      <c r="AH1367" s="111"/>
      <c r="AI1367" s="28"/>
      <c r="AJ1367" s="96">
        <f ca="1">AJ1366/AJ1364</f>
        <v>-0.20027618509226411</v>
      </c>
      <c r="AK1367" s="111"/>
      <c r="AL1367" s="28"/>
      <c r="AM1367" s="96">
        <f ca="1">AM1366/AM1364</f>
        <v>-0.97772673738341831</v>
      </c>
      <c r="AN1367" s="111"/>
      <c r="AO1367" s="28"/>
      <c r="AP1367" s="96">
        <f ca="1">AP1366/AP1364</f>
        <v>-5.3024645409755351</v>
      </c>
      <c r="AQ1367" s="111"/>
      <c r="AR1367" s="28"/>
      <c r="AS1367" s="96">
        <f ca="1">AS1366/AS1364</f>
        <v>3.8951258391164369</v>
      </c>
      <c r="AT1367" s="111"/>
      <c r="AU1367" s="28"/>
    </row>
    <row r="1368" spans="15:47" x14ac:dyDescent="0.25">
      <c r="O1368" s="2" t="s">
        <v>21</v>
      </c>
      <c r="P1368" s="8">
        <v>12</v>
      </c>
      <c r="Q1368" s="2"/>
      <c r="R1368" s="96">
        <f ca="1">1-R1367/(3*F_GAMMA*R$29)</f>
        <v>0.82568761236190391</v>
      </c>
      <c r="S1368" s="106"/>
      <c r="T1368" s="22"/>
      <c r="U1368" s="96">
        <f ca="1">1-U1367/(3*F_GAMMA*U$29)</f>
        <v>0.82636191344791254</v>
      </c>
      <c r="V1368" s="111"/>
      <c r="W1368" s="28"/>
      <c r="X1368" s="96">
        <f ca="1">1-X1367/(3*F_GAMMA*X$29)</f>
        <v>0.8279558372543826</v>
      </c>
      <c r="Y1368" s="111"/>
      <c r="Z1368" s="28"/>
      <c r="AA1368" s="96">
        <f ca="1">1-AA1367/(3*F_GAMMA*AA$29)</f>
        <v>0.83703331420470006</v>
      </c>
      <c r="AB1368" s="111"/>
      <c r="AC1368" s="28"/>
      <c r="AD1368" s="96">
        <f ca="1">1-AD1367/(3*F_GAMMA*AD$29)</f>
        <v>0.86472885787734288</v>
      </c>
      <c r="AE1368" s="111"/>
      <c r="AF1368" s="28"/>
      <c r="AG1368" s="96">
        <f ca="1">1-AG1367/(3*F_GAMMA*AG$29)</f>
        <v>0.93439612475475919</v>
      </c>
      <c r="AH1368" s="111"/>
      <c r="AI1368" s="28"/>
      <c r="AJ1368" s="96">
        <f ca="1">1-AJ1367/(3*F_GAMMA*AJ$29)</f>
        <v>1.1255257777066647</v>
      </c>
      <c r="AK1368" s="111"/>
      <c r="AL1368" s="28"/>
      <c r="AM1368" s="96">
        <f ca="1">1-AM1367/(3*F_GAMMA*AM$29)</f>
        <v>1.6851646154212752</v>
      </c>
      <c r="AN1368" s="111"/>
      <c r="AO1368" s="28"/>
      <c r="AP1368" s="96">
        <f ca="1">1-AP1367/(3*F_GAMMA*AP$29)</f>
        <v>3.9929952982725134</v>
      </c>
      <c r="AQ1368" s="111"/>
      <c r="AR1368" s="28"/>
      <c r="AS1368" s="96">
        <f ca="1">1-AS1367/(3*F_GAMMA*AS$29)</f>
        <v>-2.4468009063083942</v>
      </c>
      <c r="AT1368" s="111"/>
      <c r="AU1368" s="28"/>
    </row>
    <row r="1369" spans="15:47" x14ac:dyDescent="0.25">
      <c r="O1369" s="2" t="s">
        <v>57</v>
      </c>
      <c r="P1369" s="143">
        <v>7</v>
      </c>
      <c r="Q1369" s="2"/>
      <c r="R1369" s="96">
        <f ca="1">(R1362/(N_9*R$27*R1364*R1368))*SQRT(M*'Valve Sizing'!$W$6*'Valve Sizing'!$G$8/R1367)</f>
        <v>0.84434077333347324</v>
      </c>
      <c r="S1369" s="107"/>
      <c r="T1369" s="22"/>
      <c r="U1369" s="96">
        <f ca="1">(U1362/(N_9*U$27*U1364*U1368))*SQRT(M*'Valve Sizing'!$W$6*'Valve Sizing'!$G$8/U1367)</f>
        <v>12.211769403053008</v>
      </c>
      <c r="V1369" s="111"/>
      <c r="W1369" s="28"/>
      <c r="X1369" s="96">
        <f ca="1">(X1362/(N_9*X$27*X1364*X1368))*SQRT(M*'Valve Sizing'!$W$6*'Valve Sizing'!$G$8/X1367)</f>
        <v>30.47418449259769</v>
      </c>
      <c r="Y1369" s="111"/>
      <c r="Z1369" s="28"/>
      <c r="AA1369" s="96">
        <f ca="1">(AA1362/(N_9*AA$27*AA1364*AA1368))*SQRT(M*'Valve Sizing'!$W$6*'Valve Sizing'!$G$8/AA1367)</f>
        <v>63.069681592089822</v>
      </c>
      <c r="AB1369" s="111"/>
      <c r="AC1369" s="28"/>
      <c r="AD1369" s="96">
        <f ca="1">(AD1362/(N_9*AD$27*AD1364*AD1368))*SQRT(M*'Valve Sizing'!$W$6*'Valve Sizing'!$G$8/AD1367)</f>
        <v>125.48233135669778</v>
      </c>
      <c r="AE1369" s="111"/>
      <c r="AF1369" s="28"/>
      <c r="AG1369" s="96">
        <f ca="1">(AG1362/(N_9*AG$27*AG1364*AG1368))*SQRT(M*'Valve Sizing'!$W$6*'Valve Sizing'!$G$8/AG1367)</f>
        <v>301.59153639003193</v>
      </c>
      <c r="AH1369" s="111"/>
      <c r="AI1369" s="28"/>
      <c r="AJ1369" s="96" t="e">
        <f ca="1">(AJ1362/(N_9*AJ$27*AJ1364*AJ1368))*SQRT(M*'Valve Sizing'!$W$6*'Valve Sizing'!$G$8/AJ1367)</f>
        <v>#NUM!</v>
      </c>
      <c r="AK1369" s="111"/>
      <c r="AL1369" s="28"/>
      <c r="AM1369" s="96" t="e">
        <f ca="1">(AM1362/(N_9*AM$27*AM1364*AM1368))*SQRT(M*'Valve Sizing'!$W$6*'Valve Sizing'!$G$8/AM1367)</f>
        <v>#NUM!</v>
      </c>
      <c r="AN1369" s="111"/>
      <c r="AO1369" s="28"/>
      <c r="AP1369" s="96" t="e">
        <f ca="1">(AP1362/(N_9*AP$27*AP1364*AP1368))*SQRT(M*'Valve Sizing'!$W$6*'Valve Sizing'!$G$8/AP1367)</f>
        <v>#NUM!</v>
      </c>
      <c r="AQ1369" s="111"/>
      <c r="AR1369" s="28"/>
      <c r="AS1369" s="96">
        <f ca="1">(AS1362/(N_9*AS$27*AS1364*AS1368))*SQRT(M*'Valve Sizing'!$W$6*'Valve Sizing'!$G$8/AS1367)</f>
        <v>237.36191289770204</v>
      </c>
      <c r="AT1369" s="111"/>
      <c r="AU1369" s="28"/>
    </row>
    <row r="1370" spans="15:47" x14ac:dyDescent="0.25">
      <c r="O1370" s="2" t="s">
        <v>59</v>
      </c>
      <c r="P1370" s="143">
        <v>7</v>
      </c>
      <c r="Q1370" s="2"/>
      <c r="R1370" s="96">
        <f ca="1">(R1362/(N_9*R$27*R1364*0.667))*SQRT(M*'Valve Sizing'!$W$6*'Valve Sizing'!$G$8/R1371)</f>
        <v>0.75584448777858815</v>
      </c>
      <c r="S1370" s="107"/>
      <c r="T1370" s="22"/>
      <c r="U1370" s="96">
        <f ca="1">(U1362/(N_9*U$27*U1364*0.667))*SQRT(M*'Valve Sizing'!$W$6*'Valve Sizing'!$G$8/U1371)</f>
        <v>10.919586088474345</v>
      </c>
      <c r="V1370" s="111"/>
      <c r="W1370" s="28"/>
      <c r="X1370" s="96">
        <f ca="1">(X1362/(N_9*X$27*X1364*0.667))*SQRT(M*'Valve Sizing'!$W$6*'Valve Sizing'!$G$8/X1371)</f>
        <v>27.1765316088633</v>
      </c>
      <c r="Y1370" s="111"/>
      <c r="Z1370" s="28"/>
      <c r="AA1370" s="96">
        <f ca="1">(AA1362/(N_9*AA$27*AA1364*0.667))*SQRT(M*'Valve Sizing'!$W$6*'Valve Sizing'!$G$8/AA1371)</f>
        <v>55.341075128772218</v>
      </c>
      <c r="AB1370" s="111"/>
      <c r="AC1370" s="28"/>
      <c r="AD1370" s="96">
        <f ca="1">(AD1362/(N_9*AD$27*AD1364*0.667))*SQRT(M*'Valve Sizing'!$W$6*'Valve Sizing'!$G$8/AD1371)</f>
        <v>103.63343738687399</v>
      </c>
      <c r="AE1370" s="111"/>
      <c r="AF1370" s="28"/>
      <c r="AG1370" s="96">
        <f ca="1">(AG1362/(N_9*AG$27*AG1364*0.667))*SQRT(M*'Valve Sizing'!$W$6*'Valve Sizing'!$G$8/AG1371)</f>
        <v>187.43458060502391</v>
      </c>
      <c r="AH1370" s="111"/>
      <c r="AI1370" s="28"/>
      <c r="AJ1370" s="96">
        <f ca="1">(AJ1362/(N_9*AJ$27*AJ1364*0.667))*SQRT(M*'Valve Sizing'!$W$6*'Valve Sizing'!$G$8/AJ1371)</f>
        <v>363.61225660661523</v>
      </c>
      <c r="AK1370" s="111"/>
      <c r="AL1370" s="28"/>
      <c r="AM1370" s="96">
        <f ca="1">(AM1362/(N_9*AM$27*AM1364*0.667))*SQRT(M*'Valve Sizing'!$W$6*'Valve Sizing'!$G$8/AM1371)</f>
        <v>820.17530665131358</v>
      </c>
      <c r="AN1370" s="111"/>
      <c r="AO1370" s="28"/>
      <c r="AP1370" s="96">
        <f ca="1">(AP1362/(N_9*AP$27*AP1364*0.667))*SQRT(M*'Valve Sizing'!$W$6*'Valve Sizing'!$G$8/AP1371)</f>
        <v>3099.6545969563058</v>
      </c>
      <c r="AQ1370" s="111"/>
      <c r="AR1370" s="28"/>
      <c r="AS1370" s="96">
        <f ca="1">(AS1362/(N_9*AS$27*AS1364*0.667))*SQRT(M*'Valve Sizing'!$W$6*'Valve Sizing'!$G$8/AS1371)</f>
        <v>-2799.9647165783349</v>
      </c>
      <c r="AT1370" s="111"/>
      <c r="AU1370" s="28"/>
    </row>
    <row r="1371" spans="15:47" ht="15.6" x14ac:dyDescent="0.35">
      <c r="O1371" s="2" t="s">
        <v>68</v>
      </c>
      <c r="P1371" s="143">
        <v>10</v>
      </c>
      <c r="Q1371" s="2"/>
      <c r="R1371" s="96">
        <f ca="1">F_GAMMA*R$29</f>
        <v>0.64002969751372984</v>
      </c>
      <c r="S1371" s="107"/>
      <c r="T1371" s="1"/>
      <c r="U1371" s="96">
        <f ca="1">F_GAMMA*U$29</f>
        <v>0.64017842058782071</v>
      </c>
      <c r="V1371" s="111"/>
      <c r="W1371" s="28"/>
      <c r="X1371" s="96">
        <f ca="1">F_GAMMA*X$29</f>
        <v>0.63413873724904268</v>
      </c>
      <c r="Y1371" s="111"/>
      <c r="Z1371" s="28"/>
      <c r="AA1371" s="96">
        <f ca="1">F_GAMMA*AA$29</f>
        <v>0.62532411750377137</v>
      </c>
      <c r="AB1371" s="111"/>
      <c r="AC1371" s="28"/>
      <c r="AD1371" s="96">
        <f ca="1">F_GAMMA*AD$29</f>
        <v>0.60651359509139569</v>
      </c>
      <c r="AE1371" s="111"/>
      <c r="AF1371" s="28"/>
      <c r="AG1371" s="96">
        <f ca="1">F_GAMMA*AG$29</f>
        <v>0.57217930198481592</v>
      </c>
      <c r="AH1371" s="111"/>
      <c r="AI1371" s="28"/>
      <c r="AJ1371" s="96">
        <f ca="1">F_GAMMA*AJ$29</f>
        <v>0.53183282018848232</v>
      </c>
      <c r="AK1371" s="111"/>
      <c r="AL1371" s="28"/>
      <c r="AM1371" s="96">
        <f ca="1">F_GAMMA*AM$29</f>
        <v>0.47566512503094399</v>
      </c>
      <c r="AN1371" s="111"/>
      <c r="AO1371" s="28"/>
      <c r="AP1371" s="96">
        <f ca="1">F_GAMMA*AP$29</f>
        <v>0.59054158265645496</v>
      </c>
      <c r="AQ1371" s="111"/>
      <c r="AR1371" s="28"/>
      <c r="AS1371" s="96">
        <f ca="1">F_GAMMA*AS$29</f>
        <v>0.3766899554102966</v>
      </c>
      <c r="AT1371" s="111"/>
      <c r="AU1371" s="28"/>
    </row>
    <row r="1372" spans="15:47" x14ac:dyDescent="0.25">
      <c r="O1372" s="2" t="s">
        <v>145</v>
      </c>
      <c r="P1372" s="12"/>
      <c r="Q1372" s="2"/>
      <c r="R1372" s="96">
        <f ca="1">IF(R1367&lt;R1371,R1369,R1370)</f>
        <v>0.84434077333347324</v>
      </c>
      <c r="S1372" s="116"/>
      <c r="T1372" s="1"/>
      <c r="U1372" s="96">
        <f ca="1">IF(U1367&lt;U1371,U1369,U1370)</f>
        <v>12.211769403053008</v>
      </c>
      <c r="V1372" s="111"/>
      <c r="W1372" s="28"/>
      <c r="X1372" s="96">
        <f ca="1">IF(X1367&lt;X1371,X1369,X1370)</f>
        <v>30.47418449259769</v>
      </c>
      <c r="Y1372" s="111"/>
      <c r="Z1372" s="28"/>
      <c r="AA1372" s="96">
        <f ca="1">IF(AA1367&lt;AA1371,AA1369,AA1370)</f>
        <v>63.069681592089822</v>
      </c>
      <c r="AB1372" s="111"/>
      <c r="AC1372" s="28"/>
      <c r="AD1372" s="96">
        <f ca="1">IF(AD1367&lt;AD1371,AD1369,AD1370)</f>
        <v>125.48233135669778</v>
      </c>
      <c r="AE1372" s="111"/>
      <c r="AF1372" s="28"/>
      <c r="AG1372" s="96">
        <f ca="1">IF(AG1367&lt;AG1371,AG1369,AG1370)</f>
        <v>301.59153639003193</v>
      </c>
      <c r="AH1372" s="111"/>
      <c r="AI1372" s="28"/>
      <c r="AJ1372" s="96" t="e">
        <f ca="1">IF(AJ1367&lt;AJ1371,AJ1369,AJ1370)</f>
        <v>#NUM!</v>
      </c>
      <c r="AK1372" s="111"/>
      <c r="AL1372" s="28"/>
      <c r="AM1372" s="96" t="e">
        <f ca="1">IF(AM1367&lt;AM1371,AM1369,AM1370)</f>
        <v>#NUM!</v>
      </c>
      <c r="AN1372" s="111"/>
      <c r="AO1372" s="28"/>
      <c r="AP1372" s="96" t="e">
        <f ca="1">IF(AP1367&lt;AP1371,AP1369,AP1370)</f>
        <v>#NUM!</v>
      </c>
      <c r="AQ1372" s="111"/>
      <c r="AR1372" s="28"/>
      <c r="AS1372" s="96">
        <f ca="1">IF(AS1367&lt;AS1371,AS1369,AS1370)</f>
        <v>-2799.9647165783349</v>
      </c>
      <c r="AT1372" s="111"/>
      <c r="AU1372" s="28"/>
    </row>
    <row r="1373" spans="15:47" x14ac:dyDescent="0.25">
      <c r="O1373" s="13" t="s">
        <v>143</v>
      </c>
      <c r="P1373" s="1"/>
      <c r="Q1373" s="1"/>
      <c r="R1373" s="113"/>
      <c r="S1373" s="106">
        <f ca="1">IF(R1366&lt;=0,Q_max,ABS(R$23-R1372))</f>
        <v>3.8856592266665273</v>
      </c>
      <c r="T1373" s="7">
        <f>R1362</f>
        <v>2090.7542146990804</v>
      </c>
      <c r="U1373" s="98"/>
      <c r="V1373" s="106">
        <f ca="1">IF(U1366&lt;=0,Q_max,ABS(U$23-U1372))</f>
        <v>0.61176940305300853</v>
      </c>
      <c r="W1373" s="9">
        <f ca="1">U1362</f>
        <v>30133.420606978125</v>
      </c>
      <c r="X1373" s="98"/>
      <c r="Y1373" s="106">
        <f ca="1">IF(X1366&lt;=0,Q_max,ABS(X$23-X1372))</f>
        <v>7.4741844925976899</v>
      </c>
      <c r="Z1373" s="9">
        <f ca="1">X1362</f>
        <v>73785.678297172504</v>
      </c>
      <c r="AA1373" s="98"/>
      <c r="AB1373" s="106">
        <f ca="1">IF(AA1366&lt;=0,Q_max,ABS(AA$23-AA1372))</f>
        <v>23.669681592089823</v>
      </c>
      <c r="AC1373" s="9">
        <f ca="1">AA1362</f>
        <v>143715.66786693616</v>
      </c>
      <c r="AD1373" s="98"/>
      <c r="AE1373" s="106">
        <f ca="1">IF(AD1366&lt;=0,Q_max,ABS(AD$23-AD1372))</f>
        <v>64.482331356697784</v>
      </c>
      <c r="AF1373" s="9">
        <f ca="1">AD1362</f>
        <v>241110.18382100691</v>
      </c>
      <c r="AG1373" s="98"/>
      <c r="AH1373" s="106">
        <f ca="1">IF(AG1366&lt;=0,Q_max,ABS(AG$23-AG1372))</f>
        <v>213.39153639003194</v>
      </c>
      <c r="AI1373" s="9">
        <f ca="1">AG1362</f>
        <v>351906.88019790873</v>
      </c>
      <c r="AJ1373" s="98"/>
      <c r="AK1373" s="106">
        <f ca="1">IF(AJ1366&lt;=0,Q_max,ABS(AJ$23-AJ1372))</f>
        <v>236393</v>
      </c>
      <c r="AL1373" s="9">
        <f ca="1">AJ1362</f>
        <v>469621.09581479017</v>
      </c>
      <c r="AM1373" s="98"/>
      <c r="AN1373" s="106">
        <f ca="1">IF(AM1366&lt;=0,Q_max,ABS(AM$23-AM1372))</f>
        <v>236393</v>
      </c>
      <c r="AO1373" s="9">
        <f ca="1">AM1362</f>
        <v>573026.98366265674</v>
      </c>
      <c r="AP1373" s="98"/>
      <c r="AQ1373" s="106">
        <f ca="1">IF(AP1366&lt;=0,Q_max,ABS(AP$23-AP1372))</f>
        <v>236393</v>
      </c>
      <c r="AR1373" s="9">
        <f ca="1">AP1362</f>
        <v>665266.53862165601</v>
      </c>
      <c r="AS1373" s="98"/>
      <c r="AT1373" s="106">
        <f ca="1">IF(AS1366&lt;=0,Q_max,ABS(AS$23-AS1372))</f>
        <v>236393</v>
      </c>
      <c r="AU1373" s="9">
        <f ca="1">AS1362</f>
        <v>780077.3363700608</v>
      </c>
    </row>
    <row r="1374" spans="15:47" x14ac:dyDescent="0.25">
      <c r="O1374" s="21"/>
      <c r="P1374" s="14"/>
      <c r="Q1374" s="21"/>
      <c r="R1374" s="97"/>
      <c r="S1374" s="106"/>
      <c r="T1374" s="28"/>
      <c r="U1374" s="97"/>
      <c r="V1374" s="111"/>
      <c r="W1374" s="28"/>
      <c r="X1374" s="97"/>
      <c r="Y1374" s="111"/>
      <c r="Z1374" s="28"/>
      <c r="AA1374" s="97"/>
      <c r="AB1374" s="111"/>
      <c r="AC1374" s="28"/>
      <c r="AD1374" s="97"/>
      <c r="AE1374" s="111"/>
      <c r="AF1374" s="28"/>
      <c r="AG1374" s="97"/>
      <c r="AH1374" s="111"/>
      <c r="AI1374" s="28"/>
      <c r="AJ1374" s="97"/>
      <c r="AK1374" s="111"/>
      <c r="AL1374" s="28"/>
      <c r="AM1374" s="97"/>
      <c r="AN1374" s="111"/>
      <c r="AO1374" s="28"/>
      <c r="AP1374" s="97"/>
      <c r="AQ1374" s="111"/>
      <c r="AR1374" s="28"/>
      <c r="AS1374" s="97"/>
      <c r="AT1374" s="111"/>
      <c r="AU1374" s="28"/>
    </row>
    <row r="1375" spans="15:47" x14ac:dyDescent="0.25">
      <c r="O1375" s="1"/>
      <c r="P1375" s="1"/>
      <c r="Q1375" s="1"/>
      <c r="R1375" s="98"/>
      <c r="S1375" s="108" t="s">
        <v>137</v>
      </c>
      <c r="T1375" s="26" t="s">
        <v>146</v>
      </c>
      <c r="U1375" s="98"/>
      <c r="V1375" s="108" t="s">
        <v>137</v>
      </c>
      <c r="W1375" s="26" t="s">
        <v>146</v>
      </c>
      <c r="X1375" s="98"/>
      <c r="Y1375" s="108" t="s">
        <v>137</v>
      </c>
      <c r="Z1375" s="26" t="s">
        <v>146</v>
      </c>
      <c r="AA1375" s="98"/>
      <c r="AB1375" s="108" t="s">
        <v>137</v>
      </c>
      <c r="AC1375" s="26" t="s">
        <v>146</v>
      </c>
      <c r="AD1375" s="98"/>
      <c r="AE1375" s="108" t="s">
        <v>137</v>
      </c>
      <c r="AF1375" s="26" t="s">
        <v>146</v>
      </c>
      <c r="AG1375" s="98"/>
      <c r="AH1375" s="108" t="s">
        <v>137</v>
      </c>
      <c r="AI1375" s="26" t="s">
        <v>146</v>
      </c>
      <c r="AJ1375" s="98"/>
      <c r="AK1375" s="108" t="s">
        <v>137</v>
      </c>
      <c r="AL1375" s="26" t="s">
        <v>146</v>
      </c>
      <c r="AM1375" s="98"/>
      <c r="AN1375" s="108" t="s">
        <v>137</v>
      </c>
      <c r="AO1375" s="26" t="s">
        <v>146</v>
      </c>
      <c r="AP1375" s="98"/>
      <c r="AQ1375" s="108" t="s">
        <v>137</v>
      </c>
      <c r="AR1375" s="26" t="s">
        <v>146</v>
      </c>
      <c r="AS1375" s="98"/>
      <c r="AT1375" s="108" t="s">
        <v>137</v>
      </c>
      <c r="AU1375" s="26" t="s">
        <v>146</v>
      </c>
    </row>
    <row r="1376" spans="15:47" ht="13.8" x14ac:dyDescent="0.25">
      <c r="O1376" s="20" t="s">
        <v>136</v>
      </c>
      <c r="P1376" s="1"/>
      <c r="Q1376" s="1"/>
      <c r="R1376" s="96">
        <f>R1362*1.02</f>
        <v>2132.5692989930621</v>
      </c>
      <c r="S1376" s="109" t="s">
        <v>144</v>
      </c>
      <c r="T1376" s="23" t="s">
        <v>147</v>
      </c>
      <c r="U1376" s="96">
        <f ca="1">U1362*1.01</f>
        <v>30434.754813047908</v>
      </c>
      <c r="V1376" s="109" t="s">
        <v>144</v>
      </c>
      <c r="W1376" s="23" t="s">
        <v>147</v>
      </c>
      <c r="X1376" s="96">
        <f ca="1">X1362*1.01</f>
        <v>74523.535080144226</v>
      </c>
      <c r="Y1376" s="109" t="s">
        <v>144</v>
      </c>
      <c r="Z1376" s="23" t="s">
        <v>147</v>
      </c>
      <c r="AA1376" s="96">
        <f ca="1">AA1362*1.01</f>
        <v>145152.82454560552</v>
      </c>
      <c r="AB1376" s="109" t="s">
        <v>144</v>
      </c>
      <c r="AC1376" s="23" t="s">
        <v>147</v>
      </c>
      <c r="AD1376" s="96">
        <f ca="1">AD1362*1.01</f>
        <v>243521.28565921698</v>
      </c>
      <c r="AE1376" s="109" t="s">
        <v>144</v>
      </c>
      <c r="AF1376" s="23" t="s">
        <v>147</v>
      </c>
      <c r="AG1376" s="96">
        <f ca="1">AG1362*1.01</f>
        <v>355425.9489998878</v>
      </c>
      <c r="AH1376" s="109" t="s">
        <v>144</v>
      </c>
      <c r="AI1376" s="23" t="s">
        <v>147</v>
      </c>
      <c r="AJ1376" s="96">
        <f ca="1">AJ1362*1.01</f>
        <v>474317.30677293806</v>
      </c>
      <c r="AK1376" s="109" t="s">
        <v>144</v>
      </c>
      <c r="AL1376" s="23" t="s">
        <v>147</v>
      </c>
      <c r="AM1376" s="96">
        <f ca="1">AM1362*1.01</f>
        <v>578757.25349928334</v>
      </c>
      <c r="AN1376" s="109" t="s">
        <v>144</v>
      </c>
      <c r="AO1376" s="23" t="s">
        <v>147</v>
      </c>
      <c r="AP1376" s="96">
        <f ca="1">AP1362*1.01</f>
        <v>671919.20400787261</v>
      </c>
      <c r="AQ1376" s="109" t="s">
        <v>144</v>
      </c>
      <c r="AR1376" s="23" t="s">
        <v>147</v>
      </c>
      <c r="AS1376" s="96">
        <f ca="1">AS1362*1.01</f>
        <v>787878.1097337614</v>
      </c>
      <c r="AT1376" s="109" t="s">
        <v>144</v>
      </c>
      <c r="AU1376" s="23" t="s">
        <v>147</v>
      </c>
    </row>
    <row r="1377" spans="15:47" x14ac:dyDescent="0.25">
      <c r="O1377" s="1"/>
      <c r="P1377" s="1"/>
      <c r="Q1377" s="1"/>
      <c r="R1377" s="98"/>
      <c r="S1377" s="107"/>
      <c r="T1377" s="1"/>
      <c r="U1377" s="47"/>
      <c r="V1377" s="107"/>
      <c r="W1377" s="1"/>
      <c r="X1377" s="47"/>
      <c r="Y1377" s="107"/>
      <c r="Z1377" s="1"/>
      <c r="AA1377" s="47"/>
      <c r="AB1377" s="107"/>
      <c r="AC1377" s="1"/>
      <c r="AD1377" s="47"/>
      <c r="AE1377" s="107"/>
      <c r="AF1377" s="1"/>
      <c r="AG1377" s="47"/>
      <c r="AH1377" s="107"/>
      <c r="AI1377" s="1"/>
      <c r="AJ1377" s="47"/>
      <c r="AK1377" s="107"/>
      <c r="AL1377" s="1"/>
      <c r="AM1377" s="47"/>
      <c r="AN1377" s="107"/>
      <c r="AO1377" s="1"/>
      <c r="AP1377" s="47"/>
      <c r="AQ1377" s="107"/>
      <c r="AR1377" s="1"/>
      <c r="AS1377" s="47"/>
      <c r="AT1377" s="107"/>
      <c r="AU1377" s="1"/>
    </row>
    <row r="1378" spans="15:47" x14ac:dyDescent="0.25">
      <c r="O1378" s="8" t="s">
        <v>132</v>
      </c>
      <c r="P1378" s="8"/>
      <c r="Q1378" s="8"/>
      <c r="R1378" s="96">
        <f>P_1_minQ-(R1376^2*R_up)+dpup_minQ</f>
        <v>90.184211634639738</v>
      </c>
      <c r="S1378" s="106"/>
      <c r="T1378" s="22"/>
      <c r="U1378" s="96">
        <f ca="1">P_1_minQ-(U1376^2*R_up)+dpup_minQ</f>
        <v>90.01621693221874</v>
      </c>
      <c r="V1378" s="107"/>
      <c r="W1378" s="1"/>
      <c r="X1378" s="96">
        <f ca="1">P_1_minQ-(X1376^2*R_up)+dpup_minQ</f>
        <v>89.172807667659697</v>
      </c>
      <c r="Y1378" s="107"/>
      <c r="Z1378" s="1"/>
      <c r="AA1378" s="96">
        <f ca="1">P_1_minQ-(AA1376^2*R_up)+dpup_minQ</f>
        <v>86.344922972615336</v>
      </c>
      <c r="AB1378" s="107"/>
      <c r="AC1378" s="1"/>
      <c r="AD1378" s="96">
        <f ca="1">P_1_minQ-(AD1376^2*R_up)+dpup_minQ</f>
        <v>79.376491597759241</v>
      </c>
      <c r="AE1378" s="107"/>
      <c r="AF1378" s="1"/>
      <c r="AG1378" s="96">
        <f ca="1">P_1_minQ-(AG1376^2*R_up)+dpup_minQ</f>
        <v>67.160456092556416</v>
      </c>
      <c r="AH1378" s="107"/>
      <c r="AI1378" s="1"/>
      <c r="AJ1378" s="96">
        <f ca="1">P_1_minQ-(AJ1376^2*R_up)+dpup_minQ</f>
        <v>49.180544369312365</v>
      </c>
      <c r="AK1378" s="107"/>
      <c r="AL1378" s="1"/>
      <c r="AM1378" s="96">
        <f ca="1">P_1_minQ-(AM1376^2*R_up)+dpup_minQ</f>
        <v>29.134933282169811</v>
      </c>
      <c r="AN1378" s="107"/>
      <c r="AO1378" s="1"/>
      <c r="AP1378" s="96">
        <f ca="1">P_1_minQ-(AP1376^2*R_up)+dpup_minQ</f>
        <v>7.8987196949655774</v>
      </c>
      <c r="AQ1378" s="107"/>
      <c r="AR1378" s="1"/>
      <c r="AS1378" s="96">
        <f ca="1">P_1_minQ-(AS1376^2*R_up)+dpup_minQ</f>
        <v>-22.953769272845605</v>
      </c>
      <c r="AT1378" s="107"/>
      <c r="AU1378" s="1"/>
    </row>
    <row r="1379" spans="15:47" x14ac:dyDescent="0.25">
      <c r="O1379" s="8" t="s">
        <v>134</v>
      </c>
      <c r="P1379" s="1"/>
      <c r="Q1379" s="8"/>
      <c r="R1379" s="97">
        <f>P_2_minQ+(R1376^2*R_dn)-dpdn_minQ</f>
        <v>60</v>
      </c>
      <c r="S1379" s="106"/>
      <c r="T1379" s="22"/>
      <c r="U1379" s="97">
        <f ca="1">P_2_minQ+(U1376^2*R_dn)-dpdn_minQ</f>
        <v>60</v>
      </c>
      <c r="V1379" s="107"/>
      <c r="W1379" s="1"/>
      <c r="X1379" s="97">
        <f ca="1">P_2_minQ+(X1376^2*R_dn)-dpdn_minQ</f>
        <v>60</v>
      </c>
      <c r="Y1379" s="107"/>
      <c r="Z1379" s="1"/>
      <c r="AA1379" s="97">
        <f ca="1">P_2_minQ+(AA1376^2*R_dn)-dpdn_minQ</f>
        <v>60</v>
      </c>
      <c r="AB1379" s="107"/>
      <c r="AC1379" s="1"/>
      <c r="AD1379" s="97">
        <f ca="1">P_2_minQ+(AD1376^2*R_dn)-dpdn_minQ</f>
        <v>60</v>
      </c>
      <c r="AE1379" s="107"/>
      <c r="AF1379" s="1"/>
      <c r="AG1379" s="97">
        <f ca="1">P_2_minQ+(AG1376^2*R_dn)-dpdn_minQ</f>
        <v>60</v>
      </c>
      <c r="AH1379" s="107"/>
      <c r="AI1379" s="1"/>
      <c r="AJ1379" s="97">
        <f ca="1">P_2_minQ+(AJ1376^2*R_dn)-dpdn_minQ</f>
        <v>60</v>
      </c>
      <c r="AK1379" s="107"/>
      <c r="AL1379" s="1"/>
      <c r="AM1379" s="97">
        <f ca="1">P_2_minQ+(AM1376^2*R_dn)-dpdn_minQ</f>
        <v>60</v>
      </c>
      <c r="AN1379" s="107"/>
      <c r="AO1379" s="1"/>
      <c r="AP1379" s="97">
        <f ca="1">P_2_minQ+(AP1376^2*R_dn)-dpdn_minQ</f>
        <v>60</v>
      </c>
      <c r="AQ1379" s="107"/>
      <c r="AR1379" s="1"/>
      <c r="AS1379" s="97">
        <f ca="1">P_2_minQ+(AS1376^2*R_dn)-dpdn_minQ</f>
        <v>60</v>
      </c>
      <c r="AT1379" s="107"/>
      <c r="AU1379" s="1"/>
    </row>
    <row r="1380" spans="15:47" x14ac:dyDescent="0.25">
      <c r="O1380" s="8" t="s">
        <v>138</v>
      </c>
      <c r="P1380" s="1"/>
      <c r="Q1380" s="8"/>
      <c r="R1380" s="97">
        <f>R1378-R1379</f>
        <v>30.184211634639738</v>
      </c>
      <c r="S1380" s="106"/>
      <c r="T1380" s="22"/>
      <c r="U1380" s="97">
        <f ca="1">U1378-U1379</f>
        <v>30.01621693221874</v>
      </c>
      <c r="V1380" s="110"/>
      <c r="W1380" s="25"/>
      <c r="X1380" s="97">
        <f ca="1">X1378-X1379</f>
        <v>29.172807667659697</v>
      </c>
      <c r="Y1380" s="110"/>
      <c r="Z1380" s="25"/>
      <c r="AA1380" s="97">
        <f ca="1">AA1378-AA1379</f>
        <v>26.344922972615336</v>
      </c>
      <c r="AB1380" s="110"/>
      <c r="AC1380" s="25"/>
      <c r="AD1380" s="97">
        <f ca="1">AD1378-AD1379</f>
        <v>19.376491597759241</v>
      </c>
      <c r="AE1380" s="110"/>
      <c r="AF1380" s="25"/>
      <c r="AG1380" s="97">
        <f ca="1">AG1378-AG1379</f>
        <v>7.1604560925564158</v>
      </c>
      <c r="AH1380" s="110"/>
      <c r="AI1380" s="25"/>
      <c r="AJ1380" s="97">
        <f ca="1">AJ1378-AJ1379</f>
        <v>-10.819455630687635</v>
      </c>
      <c r="AK1380" s="110"/>
      <c r="AL1380" s="25"/>
      <c r="AM1380" s="97">
        <f ca="1">AM1378-AM1379</f>
        <v>-30.865066717830189</v>
      </c>
      <c r="AN1380" s="110"/>
      <c r="AO1380" s="25"/>
      <c r="AP1380" s="97">
        <f ca="1">AP1378-AP1379</f>
        <v>-52.101280305034422</v>
      </c>
      <c r="AQ1380" s="110"/>
      <c r="AR1380" s="25"/>
      <c r="AS1380" s="97">
        <f ca="1">AS1378-AS1379</f>
        <v>-82.953769272845605</v>
      </c>
      <c r="AT1380" s="110"/>
      <c r="AU1380" s="25"/>
    </row>
    <row r="1381" spans="15:47" ht="14.4" x14ac:dyDescent="0.3">
      <c r="O1381" s="2" t="s">
        <v>140</v>
      </c>
      <c r="P1381" s="11"/>
      <c r="Q1381" s="2"/>
      <c r="R1381" s="96">
        <f>R1380/R1378</f>
        <v>0.33469507674939841</v>
      </c>
      <c r="S1381" s="106"/>
      <c r="T1381" s="22"/>
      <c r="U1381" s="96">
        <f ca="1">U1380/U1378</f>
        <v>0.33345343711589914</v>
      </c>
      <c r="V1381" s="111"/>
      <c r="W1381" s="28"/>
      <c r="X1381" s="96">
        <f ca="1">X1380/X1378</f>
        <v>0.32714914367600201</v>
      </c>
      <c r="Y1381" s="111"/>
      <c r="Z1381" s="28"/>
      <c r="AA1381" s="96">
        <f ca="1">AA1380/AA1378</f>
        <v>0.30511258873866554</v>
      </c>
      <c r="AB1381" s="111"/>
      <c r="AC1381" s="28"/>
      <c r="AD1381" s="96">
        <f ca="1">AD1380/AD1378</f>
        <v>0.24410869273423808</v>
      </c>
      <c r="AE1381" s="111"/>
      <c r="AF1381" s="28"/>
      <c r="AG1381" s="96">
        <f ca="1">AG1380/AG1378</f>
        <v>0.10661714510527319</v>
      </c>
      <c r="AH1381" s="111"/>
      <c r="AI1381" s="28"/>
      <c r="AJ1381" s="96">
        <f ca="1">AJ1380/AJ1378</f>
        <v>-0.21999462936890041</v>
      </c>
      <c r="AK1381" s="111"/>
      <c r="AL1381" s="28"/>
      <c r="AM1381" s="96">
        <f ca="1">AM1380/AM1378</f>
        <v>-1.0593834699707103</v>
      </c>
      <c r="AN1381" s="111"/>
      <c r="AO1381" s="28"/>
      <c r="AP1381" s="96">
        <f ca="1">AP1380/AP1378</f>
        <v>-6.5961677736510032</v>
      </c>
      <c r="AQ1381" s="111"/>
      <c r="AR1381" s="28"/>
      <c r="AS1381" s="96">
        <f ca="1">AS1380/AS1378</f>
        <v>3.6139497738604622</v>
      </c>
      <c r="AT1381" s="111"/>
      <c r="AU1381" s="28"/>
    </row>
    <row r="1382" spans="15:47" x14ac:dyDescent="0.25">
      <c r="O1382" s="2" t="s">
        <v>21</v>
      </c>
      <c r="P1382" s="8">
        <v>12</v>
      </c>
      <c r="Q1382" s="2"/>
      <c r="R1382" s="96">
        <f ca="1">1-R1381/(3*F_GAMMA*R$29)</f>
        <v>0.82568773602768719</v>
      </c>
      <c r="S1382" s="106"/>
      <c r="T1382" s="22"/>
      <c r="U1382" s="96">
        <f ca="1">1-U1381/(3*F_GAMMA*U$29)</f>
        <v>0.82637473846238185</v>
      </c>
      <c r="V1382" s="111"/>
      <c r="W1382" s="28"/>
      <c r="X1382" s="96">
        <f ca="1">1-X1381/(3*F_GAMMA*X$29)</f>
        <v>0.82803492650246235</v>
      </c>
      <c r="Y1382" s="111"/>
      <c r="Z1382" s="28"/>
      <c r="AA1382" s="96">
        <f ca="1">1-AA1381/(3*F_GAMMA*AA$29)</f>
        <v>0.83735763038819866</v>
      </c>
      <c r="AB1382" s="111"/>
      <c r="AC1382" s="28"/>
      <c r="AD1382" s="96">
        <f ca="1">1-AD1381/(3*F_GAMMA*AD$29)</f>
        <v>0.86584049409068164</v>
      </c>
      <c r="AE1382" s="111"/>
      <c r="AF1382" s="28"/>
      <c r="AG1382" s="96">
        <f ca="1">1-AG1381/(3*F_GAMMA*AG$29)</f>
        <v>0.93788826641379019</v>
      </c>
      <c r="AH1382" s="111"/>
      <c r="AI1382" s="28"/>
      <c r="AJ1382" s="96">
        <f ca="1">1-AJ1381/(3*F_GAMMA*AJ$29)</f>
        <v>1.1378845763918406</v>
      </c>
      <c r="AK1382" s="111"/>
      <c r="AL1382" s="28"/>
      <c r="AM1382" s="96">
        <f ca="1">1-AM1381/(3*F_GAMMA*AM$29)</f>
        <v>1.7423874586151289</v>
      </c>
      <c r="AN1382" s="111"/>
      <c r="AO1382" s="28"/>
      <c r="AP1382" s="96">
        <f ca="1">1-AP1381/(3*F_GAMMA*AP$29)</f>
        <v>4.7232307695021341</v>
      </c>
      <c r="AQ1382" s="111"/>
      <c r="AR1382" s="28"/>
      <c r="AS1382" s="96">
        <f ca="1">1-AS1381/(3*F_GAMMA*AS$29)</f>
        <v>-2.1979879137154863</v>
      </c>
      <c r="AT1382" s="111"/>
      <c r="AU1382" s="28"/>
    </row>
    <row r="1383" spans="15:47" x14ac:dyDescent="0.25">
      <c r="O1383" s="2" t="s">
        <v>57</v>
      </c>
      <c r="P1383" s="143">
        <v>7</v>
      </c>
      <c r="Q1383" s="2"/>
      <c r="R1383" s="96">
        <f ca="1">(R1376/(N_9*R$27*R1378*R1382))*SQRT(M*'Valve Sizing'!$W$6*'Valve Sizing'!$G$8/R1381)</f>
        <v>0.86122807268505519</v>
      </c>
      <c r="S1383" s="107"/>
      <c r="T1383" s="22"/>
      <c r="U1383" s="96">
        <f ca="1">(U1376/(N_9*U$27*U1378*U1382))*SQRT(M*'Valve Sizing'!$W$6*'Valve Sizing'!$G$8/U1381)</f>
        <v>12.334606992995772</v>
      </c>
      <c r="V1383" s="111"/>
      <c r="W1383" s="28"/>
      <c r="X1383" s="96">
        <f ca="1">(X1376/(N_9*X$27*X1378*X1382))*SQRT(M*'Valve Sizing'!$W$6*'Valve Sizing'!$G$8/X1381)</f>
        <v>30.789948002122678</v>
      </c>
      <c r="Y1383" s="111"/>
      <c r="Z1383" s="28"/>
      <c r="AA1383" s="96">
        <f ca="1">(AA1376/(N_9*AA$27*AA1378*AA1382))*SQRT(M*'Valve Sizing'!$W$6*'Valve Sizing'!$G$8/AA1381)</f>
        <v>63.795016849581053</v>
      </c>
      <c r="AB1383" s="111"/>
      <c r="AC1383" s="28"/>
      <c r="AD1383" s="96">
        <f ca="1">(AD1376/(N_9*AD$27*AD1378*AD1382))*SQRT(M*'Valve Sizing'!$W$6*'Valve Sizing'!$G$8/AD1381)</f>
        <v>127.43876053551396</v>
      </c>
      <c r="AE1383" s="111"/>
      <c r="AF1383" s="28"/>
      <c r="AG1383" s="96">
        <f ca="1">(AG1376/(N_9*AG$27*AG1378*AG1382))*SQRT(M*'Valve Sizing'!$W$6*'Valve Sizing'!$G$8/AG1381)</f>
        <v>313.99462030363406</v>
      </c>
      <c r="AH1383" s="111"/>
      <c r="AI1383" s="28"/>
      <c r="AJ1383" s="96" t="e">
        <f ca="1">(AJ1376/(N_9*AJ$27*AJ1378*AJ1382))*SQRT(M*'Valve Sizing'!$W$6*'Valve Sizing'!$G$8/AJ1381)</f>
        <v>#NUM!</v>
      </c>
      <c r="AK1383" s="111"/>
      <c r="AL1383" s="28"/>
      <c r="AM1383" s="96" t="e">
        <f ca="1">(AM1376/(N_9*AM$27*AM1378*AM1382))*SQRT(M*'Valve Sizing'!$W$6*'Valve Sizing'!$G$8/AM1381)</f>
        <v>#NUM!</v>
      </c>
      <c r="AN1383" s="111"/>
      <c r="AO1383" s="28"/>
      <c r="AP1383" s="96" t="e">
        <f ca="1">(AP1376/(N_9*AP$27*AP1378*AP1382))*SQRT(M*'Valve Sizing'!$W$6*'Valve Sizing'!$G$8/AP1381)</f>
        <v>#NUM!</v>
      </c>
      <c r="AQ1383" s="111"/>
      <c r="AR1383" s="28"/>
      <c r="AS1383" s="96">
        <f ca="1">(AS1376/(N_9*AS$27*AS1378*AS1382))*SQRT(M*'Valve Sizing'!$W$6*'Valve Sizing'!$G$8/AS1381)</f>
        <v>250.15271628072196</v>
      </c>
      <c r="AT1383" s="111"/>
      <c r="AU1383" s="28"/>
    </row>
    <row r="1384" spans="15:47" x14ac:dyDescent="0.25">
      <c r="O1384" s="2" t="s">
        <v>59</v>
      </c>
      <c r="P1384" s="143">
        <v>7</v>
      </c>
      <c r="Q1384" s="2"/>
      <c r="R1384" s="96">
        <f ca="1">(R1376/(N_9*R$27*R1378*0.667))*SQRT(M*'Valve Sizing'!$W$6*'Valve Sizing'!$G$8/R1385)</f>
        <v>0.77096165269268513</v>
      </c>
      <c r="S1384" s="107"/>
      <c r="T1384" s="22"/>
      <c r="U1384" s="96">
        <f ca="1">(U1376/(N_9*U$27*U1378*0.667))*SQRT(M*'Valve Sizing'!$W$6*'Valve Sizing'!$G$8/U1385)</f>
        <v>11.02918951095578</v>
      </c>
      <c r="V1384" s="111"/>
      <c r="W1384" s="28"/>
      <c r="X1384" s="96">
        <f ca="1">(X1376/(N_9*X$27*X1378*0.667))*SQRT(M*'Valve Sizing'!$W$6*'Valve Sizing'!$G$8/X1385)</f>
        <v>27.454436194543302</v>
      </c>
      <c r="Y1384" s="111"/>
      <c r="Z1384" s="28"/>
      <c r="AA1384" s="96">
        <f ca="1">(AA1376/(N_9*AA$27*AA1378*0.667))*SQRT(M*'Valve Sizing'!$W$6*'Valve Sizing'!$G$8/AA1385)</f>
        <v>55.943467144137756</v>
      </c>
      <c r="AB1384" s="111"/>
      <c r="AC1384" s="28"/>
      <c r="AD1384" s="96">
        <f ca="1">(AD1376/(N_9*AD$27*AD1378*0.667))*SQRT(M*'Valve Sizing'!$W$6*'Valve Sizing'!$G$8/AD1385)</f>
        <v>104.95060601608559</v>
      </c>
      <c r="AE1384" s="111"/>
      <c r="AF1384" s="28"/>
      <c r="AG1384" s="96">
        <f ca="1">(AG1376/(N_9*AG$27*AG1378*0.667))*SQRT(M*'Valve Sizing'!$W$6*'Valve Sizing'!$G$8/AG1385)</f>
        <v>190.58772623008005</v>
      </c>
      <c r="AH1384" s="111"/>
      <c r="AI1384" s="28"/>
      <c r="AJ1384" s="96">
        <f ca="1">(AJ1376/(N_9*AJ$27*AJ1378*0.667))*SQRT(M*'Valve Sizing'!$W$6*'Valve Sizing'!$G$8/AJ1385)</f>
        <v>373.28162951151467</v>
      </c>
      <c r="AK1384" s="111"/>
      <c r="AL1384" s="28"/>
      <c r="AM1384" s="96">
        <f ca="1">(AM1376/(N_9*AM$27*AM1378*0.667))*SQRT(M*'Valve Sizing'!$W$6*'Valve Sizing'!$G$8/AM1385)</f>
        <v>862.57923879961356</v>
      </c>
      <c r="AN1384" s="111"/>
      <c r="AO1384" s="28"/>
      <c r="AP1384" s="96">
        <f ca="1">(AP1376/(N_9*AP$27*AP1378*0.667))*SQRT(M*'Valve Sizing'!$W$6*'Valve Sizing'!$G$8/AP1385)</f>
        <v>3773.2780831728714</v>
      </c>
      <c r="AQ1384" s="111"/>
      <c r="AR1384" s="28"/>
      <c r="AS1384" s="96">
        <f ca="1">(AS1376/(N_9*AS$27*AS1378*0.667))*SQRT(M*'Valve Sizing'!$W$6*'Valve Sizing'!$G$8/AS1385)</f>
        <v>-2553.3110544688434</v>
      </c>
      <c r="AT1384" s="111"/>
      <c r="AU1384" s="28"/>
    </row>
    <row r="1385" spans="15:47" ht="15.6" x14ac:dyDescent="0.35">
      <c r="O1385" s="2" t="s">
        <v>68</v>
      </c>
      <c r="P1385" s="143">
        <v>10</v>
      </c>
      <c r="Q1385" s="2"/>
      <c r="R1385" s="96">
        <f ca="1">F_GAMMA*R$29</f>
        <v>0.64002969751372984</v>
      </c>
      <c r="S1385" s="107"/>
      <c r="T1385" s="1"/>
      <c r="U1385" s="96">
        <f ca="1">F_GAMMA*U$29</f>
        <v>0.64017842058782071</v>
      </c>
      <c r="V1385" s="111"/>
      <c r="W1385" s="28"/>
      <c r="X1385" s="96">
        <f ca="1">F_GAMMA*X$29</f>
        <v>0.63413873724904268</v>
      </c>
      <c r="Y1385" s="111"/>
      <c r="Z1385" s="28"/>
      <c r="AA1385" s="96">
        <f ca="1">F_GAMMA*AA$29</f>
        <v>0.62532411750377137</v>
      </c>
      <c r="AB1385" s="111"/>
      <c r="AC1385" s="28"/>
      <c r="AD1385" s="96">
        <f ca="1">F_GAMMA*AD$29</f>
        <v>0.60651359509139569</v>
      </c>
      <c r="AE1385" s="111"/>
      <c r="AF1385" s="28"/>
      <c r="AG1385" s="96">
        <f ca="1">F_GAMMA*AG$29</f>
        <v>0.57217930198481592</v>
      </c>
      <c r="AH1385" s="111"/>
      <c r="AI1385" s="28"/>
      <c r="AJ1385" s="96">
        <f ca="1">F_GAMMA*AJ$29</f>
        <v>0.53183282018848232</v>
      </c>
      <c r="AK1385" s="111"/>
      <c r="AL1385" s="28"/>
      <c r="AM1385" s="96">
        <f ca="1">F_GAMMA*AM$29</f>
        <v>0.47566512503094399</v>
      </c>
      <c r="AN1385" s="111"/>
      <c r="AO1385" s="28"/>
      <c r="AP1385" s="96">
        <f ca="1">F_GAMMA*AP$29</f>
        <v>0.59054158265645496</v>
      </c>
      <c r="AQ1385" s="111"/>
      <c r="AR1385" s="28"/>
      <c r="AS1385" s="96">
        <f ca="1">F_GAMMA*AS$29</f>
        <v>0.3766899554102966</v>
      </c>
      <c r="AT1385" s="111"/>
      <c r="AU1385" s="28"/>
    </row>
    <row r="1386" spans="15:47" x14ac:dyDescent="0.25">
      <c r="O1386" s="2" t="s">
        <v>145</v>
      </c>
      <c r="P1386" s="12"/>
      <c r="Q1386" s="2"/>
      <c r="R1386" s="96">
        <f ca="1">IF(R1381&lt;R1385,R1383,R1384)</f>
        <v>0.86122807268505519</v>
      </c>
      <c r="S1386" s="116"/>
      <c r="T1386" s="1"/>
      <c r="U1386" s="96">
        <f ca="1">IF(U1381&lt;U1385,U1383,U1384)</f>
        <v>12.334606992995772</v>
      </c>
      <c r="V1386" s="111"/>
      <c r="W1386" s="28"/>
      <c r="X1386" s="96">
        <f ca="1">IF(X1381&lt;X1385,X1383,X1384)</f>
        <v>30.789948002122678</v>
      </c>
      <c r="Y1386" s="111"/>
      <c r="Z1386" s="28"/>
      <c r="AA1386" s="96">
        <f ca="1">IF(AA1381&lt;AA1385,AA1383,AA1384)</f>
        <v>63.795016849581053</v>
      </c>
      <c r="AB1386" s="111"/>
      <c r="AC1386" s="28"/>
      <c r="AD1386" s="96">
        <f ca="1">IF(AD1381&lt;AD1385,AD1383,AD1384)</f>
        <v>127.43876053551396</v>
      </c>
      <c r="AE1386" s="111"/>
      <c r="AF1386" s="28"/>
      <c r="AG1386" s="96">
        <f ca="1">IF(AG1381&lt;AG1385,AG1383,AG1384)</f>
        <v>313.99462030363406</v>
      </c>
      <c r="AH1386" s="111"/>
      <c r="AI1386" s="28"/>
      <c r="AJ1386" s="96" t="e">
        <f ca="1">IF(AJ1381&lt;AJ1385,AJ1383,AJ1384)</f>
        <v>#NUM!</v>
      </c>
      <c r="AK1386" s="111"/>
      <c r="AL1386" s="28"/>
      <c r="AM1386" s="96" t="e">
        <f ca="1">IF(AM1381&lt;AM1385,AM1383,AM1384)</f>
        <v>#NUM!</v>
      </c>
      <c r="AN1386" s="111"/>
      <c r="AO1386" s="28"/>
      <c r="AP1386" s="96" t="e">
        <f ca="1">IF(AP1381&lt;AP1385,AP1383,AP1384)</f>
        <v>#NUM!</v>
      </c>
      <c r="AQ1386" s="111"/>
      <c r="AR1386" s="28"/>
      <c r="AS1386" s="96">
        <f ca="1">IF(AS1381&lt;AS1385,AS1383,AS1384)</f>
        <v>-2553.3110544688434</v>
      </c>
      <c r="AT1386" s="111"/>
      <c r="AU1386" s="28"/>
    </row>
    <row r="1387" spans="15:47" x14ac:dyDescent="0.25">
      <c r="O1387" s="13" t="s">
        <v>143</v>
      </c>
      <c r="P1387" s="1"/>
      <c r="Q1387" s="1"/>
      <c r="R1387" s="113"/>
      <c r="S1387" s="106">
        <f ca="1">IF(R1380&lt;=0,Q_max,ABS(R$23-R1386))</f>
        <v>3.8687719273149455</v>
      </c>
      <c r="T1387" s="7">
        <f>R1376</f>
        <v>2132.5692989930621</v>
      </c>
      <c r="U1387" s="98"/>
      <c r="V1387" s="106">
        <f ca="1">IF(U1380&lt;=0,Q_max,ABS(U$23-U1386))</f>
        <v>0.73460699299577215</v>
      </c>
      <c r="W1387" s="9">
        <f ca="1">U1376</f>
        <v>30434.754813047908</v>
      </c>
      <c r="X1387" s="98"/>
      <c r="Y1387" s="106">
        <f ca="1">IF(X1380&lt;=0,Q_max,ABS(X$23-X1386))</f>
        <v>7.7899480021226779</v>
      </c>
      <c r="Z1387" s="9">
        <f ca="1">X1376</f>
        <v>74523.535080144226</v>
      </c>
      <c r="AA1387" s="98"/>
      <c r="AB1387" s="106">
        <f ca="1">IF(AA1380&lt;=0,Q_max,ABS(AA$23-AA1386))</f>
        <v>24.395016849581054</v>
      </c>
      <c r="AC1387" s="9">
        <f ca="1">AA1376</f>
        <v>145152.82454560552</v>
      </c>
      <c r="AD1387" s="98"/>
      <c r="AE1387" s="106">
        <f ca="1">IF(AD1380&lt;=0,Q_max,ABS(AD$23-AD1386))</f>
        <v>66.438760535513964</v>
      </c>
      <c r="AF1387" s="9">
        <f ca="1">AD1376</f>
        <v>243521.28565921698</v>
      </c>
      <c r="AG1387" s="98"/>
      <c r="AH1387" s="106">
        <f ca="1">IF(AG1380&lt;=0,Q_max,ABS(AG$23-AG1386))</f>
        <v>225.79462030363408</v>
      </c>
      <c r="AI1387" s="9">
        <f ca="1">AG1376</f>
        <v>355425.9489998878</v>
      </c>
      <c r="AJ1387" s="98"/>
      <c r="AK1387" s="106">
        <f ca="1">IF(AJ1380&lt;=0,Q_max,ABS(AJ$23-AJ1386))</f>
        <v>236393</v>
      </c>
      <c r="AL1387" s="9">
        <f ca="1">AJ1376</f>
        <v>474317.30677293806</v>
      </c>
      <c r="AM1387" s="98"/>
      <c r="AN1387" s="106">
        <f ca="1">IF(AM1380&lt;=0,Q_max,ABS(AM$23-AM1386))</f>
        <v>236393</v>
      </c>
      <c r="AO1387" s="9">
        <f ca="1">AM1376</f>
        <v>578757.25349928334</v>
      </c>
      <c r="AP1387" s="98"/>
      <c r="AQ1387" s="106">
        <f ca="1">IF(AP1380&lt;=0,Q_max,ABS(AP$23-AP1386))</f>
        <v>236393</v>
      </c>
      <c r="AR1387" s="9">
        <f ca="1">AP1376</f>
        <v>671919.20400787261</v>
      </c>
      <c r="AS1387" s="98"/>
      <c r="AT1387" s="106">
        <f ca="1">IF(AS1380&lt;=0,Q_max,ABS(AS$23-AS1386))</f>
        <v>236393</v>
      </c>
      <c r="AU1387" s="9">
        <f ca="1">AS1376</f>
        <v>787878.1097337614</v>
      </c>
    </row>
    <row r="1388" spans="15:47" x14ac:dyDescent="0.25">
      <c r="O1388" s="21"/>
      <c r="P1388" s="14"/>
      <c r="Q1388" s="21"/>
      <c r="R1388" s="97"/>
      <c r="S1388" s="106"/>
      <c r="T1388" s="28"/>
      <c r="U1388" s="97"/>
      <c r="V1388" s="111"/>
      <c r="W1388" s="28"/>
      <c r="X1388" s="97"/>
      <c r="Y1388" s="111"/>
      <c r="Z1388" s="28"/>
      <c r="AA1388" s="97"/>
      <c r="AB1388" s="111"/>
      <c r="AC1388" s="28"/>
      <c r="AD1388" s="97"/>
      <c r="AE1388" s="111"/>
      <c r="AF1388" s="28"/>
      <c r="AG1388" s="97"/>
      <c r="AH1388" s="111"/>
      <c r="AI1388" s="28"/>
      <c r="AJ1388" s="97"/>
      <c r="AK1388" s="111"/>
      <c r="AL1388" s="28"/>
      <c r="AM1388" s="97"/>
      <c r="AN1388" s="111"/>
      <c r="AO1388" s="28"/>
      <c r="AP1388" s="97"/>
      <c r="AQ1388" s="111"/>
      <c r="AR1388" s="28"/>
      <c r="AS1388" s="97"/>
      <c r="AT1388" s="111"/>
      <c r="AU1388" s="28"/>
    </row>
    <row r="1389" spans="15:47" x14ac:dyDescent="0.25">
      <c r="O1389" s="1"/>
      <c r="P1389" s="1"/>
      <c r="Q1389" s="1"/>
      <c r="R1389" s="98"/>
      <c r="S1389" s="108" t="s">
        <v>137</v>
      </c>
      <c r="T1389" s="26" t="s">
        <v>146</v>
      </c>
      <c r="U1389" s="98"/>
      <c r="V1389" s="108" t="s">
        <v>137</v>
      </c>
      <c r="W1389" s="26" t="s">
        <v>146</v>
      </c>
      <c r="X1389" s="98"/>
      <c r="Y1389" s="108" t="s">
        <v>137</v>
      </c>
      <c r="Z1389" s="26" t="s">
        <v>146</v>
      </c>
      <c r="AA1389" s="98"/>
      <c r="AB1389" s="108" t="s">
        <v>137</v>
      </c>
      <c r="AC1389" s="26" t="s">
        <v>146</v>
      </c>
      <c r="AD1389" s="98"/>
      <c r="AE1389" s="108" t="s">
        <v>137</v>
      </c>
      <c r="AF1389" s="26" t="s">
        <v>146</v>
      </c>
      <c r="AG1389" s="98"/>
      <c r="AH1389" s="108" t="s">
        <v>137</v>
      </c>
      <c r="AI1389" s="26" t="s">
        <v>146</v>
      </c>
      <c r="AJ1389" s="98"/>
      <c r="AK1389" s="108" t="s">
        <v>137</v>
      </c>
      <c r="AL1389" s="26" t="s">
        <v>146</v>
      </c>
      <c r="AM1389" s="98"/>
      <c r="AN1389" s="108" t="s">
        <v>137</v>
      </c>
      <c r="AO1389" s="26" t="s">
        <v>146</v>
      </c>
      <c r="AP1389" s="98"/>
      <c r="AQ1389" s="108" t="s">
        <v>137</v>
      </c>
      <c r="AR1389" s="26" t="s">
        <v>146</v>
      </c>
      <c r="AS1389" s="98"/>
      <c r="AT1389" s="108" t="s">
        <v>137</v>
      </c>
      <c r="AU1389" s="26" t="s">
        <v>146</v>
      </c>
    </row>
    <row r="1390" spans="15:47" ht="13.8" x14ac:dyDescent="0.25">
      <c r="O1390" s="20" t="s">
        <v>136</v>
      </c>
      <c r="P1390" s="1"/>
      <c r="Q1390" s="1"/>
      <c r="R1390" s="96">
        <f>R1376*1.02</f>
        <v>2175.2206849729232</v>
      </c>
      <c r="S1390" s="109" t="s">
        <v>144</v>
      </c>
      <c r="T1390" s="23" t="s">
        <v>147</v>
      </c>
      <c r="U1390" s="96">
        <f ca="1">U1376*1.01</f>
        <v>30739.102361178386</v>
      </c>
      <c r="V1390" s="109" t="s">
        <v>144</v>
      </c>
      <c r="W1390" s="23" t="s">
        <v>147</v>
      </c>
      <c r="X1390" s="96">
        <f ca="1">X1376*1.01</f>
        <v>75268.770430945675</v>
      </c>
      <c r="Y1390" s="109" t="s">
        <v>144</v>
      </c>
      <c r="Z1390" s="23" t="s">
        <v>147</v>
      </c>
      <c r="AA1390" s="96">
        <f ca="1">AA1376*1.01</f>
        <v>146604.35279106157</v>
      </c>
      <c r="AB1390" s="109" t="s">
        <v>144</v>
      </c>
      <c r="AC1390" s="23" t="s">
        <v>147</v>
      </c>
      <c r="AD1390" s="96">
        <f ca="1">AD1376*1.01</f>
        <v>245956.49851580916</v>
      </c>
      <c r="AE1390" s="109" t="s">
        <v>144</v>
      </c>
      <c r="AF1390" s="23" t="s">
        <v>147</v>
      </c>
      <c r="AG1390" s="96">
        <f ca="1">AG1376*1.01</f>
        <v>358980.20848988666</v>
      </c>
      <c r="AH1390" s="109" t="s">
        <v>144</v>
      </c>
      <c r="AI1390" s="23" t="s">
        <v>147</v>
      </c>
      <c r="AJ1390" s="96">
        <f ca="1">AJ1376*1.01</f>
        <v>479060.47984066745</v>
      </c>
      <c r="AK1390" s="109" t="s">
        <v>144</v>
      </c>
      <c r="AL1390" s="23" t="s">
        <v>147</v>
      </c>
      <c r="AM1390" s="96">
        <f ca="1">AM1376*1.01</f>
        <v>584544.82603427616</v>
      </c>
      <c r="AN1390" s="109" t="s">
        <v>144</v>
      </c>
      <c r="AO1390" s="23" t="s">
        <v>147</v>
      </c>
      <c r="AP1390" s="96">
        <f ca="1">AP1376*1.01</f>
        <v>678638.3960479513</v>
      </c>
      <c r="AQ1390" s="109" t="s">
        <v>144</v>
      </c>
      <c r="AR1390" s="23" t="s">
        <v>147</v>
      </c>
      <c r="AS1390" s="96">
        <f ca="1">AS1376*1.01</f>
        <v>795756.89083109901</v>
      </c>
      <c r="AT1390" s="109" t="s">
        <v>144</v>
      </c>
      <c r="AU1390" s="23" t="s">
        <v>147</v>
      </c>
    </row>
    <row r="1391" spans="15:47" x14ac:dyDescent="0.25">
      <c r="O1391" s="1"/>
      <c r="P1391" s="1"/>
      <c r="Q1391" s="1"/>
      <c r="R1391" s="98"/>
      <c r="S1391" s="107"/>
      <c r="T1391" s="1"/>
      <c r="U1391" s="47"/>
      <c r="V1391" s="107"/>
      <c r="W1391" s="1"/>
      <c r="X1391" s="47"/>
      <c r="Y1391" s="107"/>
      <c r="Z1391" s="1"/>
      <c r="AA1391" s="47"/>
      <c r="AB1391" s="107"/>
      <c r="AC1391" s="1"/>
      <c r="AD1391" s="47"/>
      <c r="AE1391" s="107"/>
      <c r="AF1391" s="1"/>
      <c r="AG1391" s="47"/>
      <c r="AH1391" s="107"/>
      <c r="AI1391" s="1"/>
      <c r="AJ1391" s="47"/>
      <c r="AK1391" s="107"/>
      <c r="AL1391" s="1"/>
      <c r="AM1391" s="47"/>
      <c r="AN1391" s="107"/>
      <c r="AO1391" s="1"/>
      <c r="AP1391" s="47"/>
      <c r="AQ1391" s="107"/>
      <c r="AR1391" s="1"/>
      <c r="AS1391" s="47"/>
      <c r="AT1391" s="107"/>
      <c r="AU1391" s="1"/>
    </row>
    <row r="1392" spans="15:47" x14ac:dyDescent="0.25">
      <c r="O1392" s="8" t="s">
        <v>132</v>
      </c>
      <c r="P1392" s="8"/>
      <c r="Q1392" s="8"/>
      <c r="R1392" s="96">
        <f>P_1_minQ-(R1390^2*R_up)+dpup_minQ</f>
        <v>90.184178147256858</v>
      </c>
      <c r="S1392" s="106"/>
      <c r="T1392" s="22"/>
      <c r="U1392" s="96">
        <f ca="1">P_1_minQ-(U1390^2*R_up)+dpup_minQ</f>
        <v>90.012823577898203</v>
      </c>
      <c r="V1392" s="107"/>
      <c r="W1392" s="1"/>
      <c r="X1392" s="96">
        <f ca="1">P_1_minQ-(X1390^2*R_up)+dpup_minQ</f>
        <v>89.15246178712151</v>
      </c>
      <c r="Y1392" s="107"/>
      <c r="Z1392" s="1"/>
      <c r="AA1392" s="96">
        <f ca="1">P_1_minQ-(AA1390^2*R_up)+dpup_minQ</f>
        <v>86.267736609706773</v>
      </c>
      <c r="AB1392" s="107"/>
      <c r="AC1392" s="1"/>
      <c r="AD1392" s="96">
        <f ca="1">P_1_minQ-(AD1390^2*R_up)+dpup_minQ</f>
        <v>79.159239764216068</v>
      </c>
      <c r="AE1392" s="107"/>
      <c r="AF1392" s="1"/>
      <c r="AG1392" s="96">
        <f ca="1">P_1_minQ-(AG1390^2*R_up)+dpup_minQ</f>
        <v>66.697661945358675</v>
      </c>
      <c r="AH1392" s="107"/>
      <c r="AI1392" s="1"/>
      <c r="AJ1392" s="96">
        <f ca="1">P_1_minQ-(AJ1390^2*R_up)+dpup_minQ</f>
        <v>48.356353996477409</v>
      </c>
      <c r="AK1392" s="107"/>
      <c r="AL1392" s="1"/>
      <c r="AM1392" s="96">
        <f ca="1">P_1_minQ-(AM1390^2*R_up)+dpup_minQ</f>
        <v>27.907826126483286</v>
      </c>
      <c r="AN1392" s="107"/>
      <c r="AO1392" s="1"/>
      <c r="AP1392" s="96">
        <f ca="1">P_1_minQ-(AP1390^2*R_up)+dpup_minQ</f>
        <v>6.2447646461762494</v>
      </c>
      <c r="AQ1392" s="107"/>
      <c r="AR1392" s="1"/>
      <c r="AS1392" s="96">
        <f ca="1">P_1_minQ-(AS1390^2*R_up)+dpup_minQ</f>
        <v>-25.227859349887922</v>
      </c>
      <c r="AT1392" s="107"/>
      <c r="AU1392" s="1"/>
    </row>
    <row r="1393" spans="15:47" x14ac:dyDescent="0.25">
      <c r="O1393" s="8" t="s">
        <v>134</v>
      </c>
      <c r="P1393" s="1"/>
      <c r="Q1393" s="8"/>
      <c r="R1393" s="97">
        <f>P_2_minQ+(R1390^2*R_dn)-dpdn_minQ</f>
        <v>60</v>
      </c>
      <c r="S1393" s="106"/>
      <c r="T1393" s="22"/>
      <c r="U1393" s="97">
        <f ca="1">P_2_minQ+(U1390^2*R_dn)-dpdn_minQ</f>
        <v>60</v>
      </c>
      <c r="V1393" s="107"/>
      <c r="W1393" s="1"/>
      <c r="X1393" s="97">
        <f ca="1">P_2_minQ+(X1390^2*R_dn)-dpdn_minQ</f>
        <v>60</v>
      </c>
      <c r="Y1393" s="107"/>
      <c r="Z1393" s="1"/>
      <c r="AA1393" s="97">
        <f ca="1">P_2_minQ+(AA1390^2*R_dn)-dpdn_minQ</f>
        <v>60</v>
      </c>
      <c r="AB1393" s="107"/>
      <c r="AC1393" s="1"/>
      <c r="AD1393" s="97">
        <f ca="1">P_2_minQ+(AD1390^2*R_dn)-dpdn_minQ</f>
        <v>60</v>
      </c>
      <c r="AE1393" s="107"/>
      <c r="AF1393" s="1"/>
      <c r="AG1393" s="97">
        <f ca="1">P_2_minQ+(AG1390^2*R_dn)-dpdn_minQ</f>
        <v>60</v>
      </c>
      <c r="AH1393" s="107"/>
      <c r="AI1393" s="1"/>
      <c r="AJ1393" s="97">
        <f ca="1">P_2_minQ+(AJ1390^2*R_dn)-dpdn_minQ</f>
        <v>60</v>
      </c>
      <c r="AK1393" s="107"/>
      <c r="AL1393" s="1"/>
      <c r="AM1393" s="97">
        <f ca="1">P_2_minQ+(AM1390^2*R_dn)-dpdn_minQ</f>
        <v>60</v>
      </c>
      <c r="AN1393" s="107"/>
      <c r="AO1393" s="1"/>
      <c r="AP1393" s="97">
        <f ca="1">P_2_minQ+(AP1390^2*R_dn)-dpdn_minQ</f>
        <v>60</v>
      </c>
      <c r="AQ1393" s="107"/>
      <c r="AR1393" s="1"/>
      <c r="AS1393" s="97">
        <f ca="1">P_2_minQ+(AS1390^2*R_dn)-dpdn_minQ</f>
        <v>60</v>
      </c>
      <c r="AT1393" s="107"/>
      <c r="AU1393" s="1"/>
    </row>
    <row r="1394" spans="15:47" x14ac:dyDescent="0.25">
      <c r="O1394" s="8" t="s">
        <v>138</v>
      </c>
      <c r="P1394" s="1"/>
      <c r="Q1394" s="8"/>
      <c r="R1394" s="97">
        <f>R1392-R1393</f>
        <v>30.184178147256858</v>
      </c>
      <c r="S1394" s="106"/>
      <c r="T1394" s="22"/>
      <c r="U1394" s="97">
        <f ca="1">U1392-U1393</f>
        <v>30.012823577898203</v>
      </c>
      <c r="V1394" s="110"/>
      <c r="W1394" s="25"/>
      <c r="X1394" s="97">
        <f ca="1">X1392-X1393</f>
        <v>29.15246178712151</v>
      </c>
      <c r="Y1394" s="110"/>
      <c r="Z1394" s="25"/>
      <c r="AA1394" s="97">
        <f ca="1">AA1392-AA1393</f>
        <v>26.267736609706773</v>
      </c>
      <c r="AB1394" s="110"/>
      <c r="AC1394" s="25"/>
      <c r="AD1394" s="97">
        <f ca="1">AD1392-AD1393</f>
        <v>19.159239764216068</v>
      </c>
      <c r="AE1394" s="110"/>
      <c r="AF1394" s="25"/>
      <c r="AG1394" s="97">
        <f ca="1">AG1392-AG1393</f>
        <v>6.697661945358675</v>
      </c>
      <c r="AH1394" s="110"/>
      <c r="AI1394" s="25"/>
      <c r="AJ1394" s="97">
        <f ca="1">AJ1392-AJ1393</f>
        <v>-11.643646003522591</v>
      </c>
      <c r="AK1394" s="110"/>
      <c r="AL1394" s="25"/>
      <c r="AM1394" s="97">
        <f ca="1">AM1392-AM1393</f>
        <v>-32.092173873516714</v>
      </c>
      <c r="AN1394" s="110"/>
      <c r="AO1394" s="25"/>
      <c r="AP1394" s="97">
        <f ca="1">AP1392-AP1393</f>
        <v>-53.75523535382375</v>
      </c>
      <c r="AQ1394" s="110"/>
      <c r="AR1394" s="25"/>
      <c r="AS1394" s="97">
        <f ca="1">AS1392-AS1393</f>
        <v>-85.227859349887922</v>
      </c>
      <c r="AT1394" s="110"/>
      <c r="AU1394" s="25"/>
    </row>
    <row r="1395" spans="15:47" ht="14.4" x14ac:dyDescent="0.3">
      <c r="O1395" s="2" t="s">
        <v>140</v>
      </c>
      <c r="P1395" s="11"/>
      <c r="Q1395" s="2"/>
      <c r="R1395" s="96">
        <f>R1394/R1392</f>
        <v>0.33469482970694425</v>
      </c>
      <c r="S1395" s="106"/>
      <c r="T1395" s="22"/>
      <c r="U1395" s="96">
        <f ca="1">U1394/U1392</f>
        <v>0.33342830926667616</v>
      </c>
      <c r="V1395" s="111"/>
      <c r="W1395" s="28"/>
      <c r="X1395" s="96">
        <f ca="1">X1394/X1392</f>
        <v>0.32699558938408047</v>
      </c>
      <c r="Y1395" s="111"/>
      <c r="Z1395" s="28"/>
      <c r="AA1395" s="96">
        <f ca="1">AA1394/AA1392</f>
        <v>0.30449085187603209</v>
      </c>
      <c r="AB1395" s="111"/>
      <c r="AC1395" s="28"/>
      <c r="AD1395" s="96">
        <f ca="1">AD1394/AD1392</f>
        <v>0.2420341557256466</v>
      </c>
      <c r="AE1395" s="111"/>
      <c r="AF1395" s="28"/>
      <c r="AG1395" s="96">
        <f ca="1">AG1394/AG1392</f>
        <v>0.10041824180952041</v>
      </c>
      <c r="AH1395" s="111"/>
      <c r="AI1395" s="28"/>
      <c r="AJ1395" s="96">
        <f ca="1">AJ1394/AJ1392</f>
        <v>-0.24078833578666392</v>
      </c>
      <c r="AK1395" s="111"/>
      <c r="AL1395" s="28"/>
      <c r="AM1395" s="96">
        <f ca="1">AM1394/AM1392</f>
        <v>-1.1499345641638017</v>
      </c>
      <c r="AN1395" s="111"/>
      <c r="AO1395" s="28"/>
      <c r="AP1395" s="96">
        <f ca="1">AP1394/AP1392</f>
        <v>-8.6080482451390345</v>
      </c>
      <c r="AQ1395" s="111"/>
      <c r="AR1395" s="28"/>
      <c r="AS1395" s="96">
        <f ca="1">AS1394/AS1392</f>
        <v>3.3783230740212034</v>
      </c>
      <c r="AT1395" s="111"/>
      <c r="AU1395" s="28"/>
    </row>
    <row r="1396" spans="15:47" x14ac:dyDescent="0.25">
      <c r="O1396" s="2" t="s">
        <v>21</v>
      </c>
      <c r="P1396" s="8">
        <v>12</v>
      </c>
      <c r="Q1396" s="2"/>
      <c r="R1396" s="96">
        <f ca="1">1-R1395/(3*F_GAMMA*R$29)</f>
        <v>0.82568786468966182</v>
      </c>
      <c r="S1396" s="106"/>
      <c r="T1396" s="22"/>
      <c r="U1396" s="96">
        <f ca="1">1-U1395/(3*F_GAMMA*U$29)</f>
        <v>0.82638782223632923</v>
      </c>
      <c r="V1396" s="111"/>
      <c r="W1396" s="28"/>
      <c r="X1396" s="96">
        <f ca="1">1-X1395/(3*F_GAMMA*X$29)</f>
        <v>0.82811564190583908</v>
      </c>
      <c r="Y1396" s="111"/>
      <c r="Z1396" s="28"/>
      <c r="AA1396" s="96">
        <f ca="1">1-AA1395/(3*F_GAMMA*AA$29)</f>
        <v>0.83768905151058415</v>
      </c>
      <c r="AB1396" s="111"/>
      <c r="AC1396" s="28"/>
      <c r="AD1396" s="96">
        <f ca="1">1-AD1395/(3*F_GAMMA*AD$29)</f>
        <v>0.86698063726602626</v>
      </c>
      <c r="AE1396" s="111"/>
      <c r="AF1396" s="28"/>
      <c r="AG1396" s="96">
        <f ca="1">1-AG1395/(3*F_GAMMA*AG$29)</f>
        <v>0.94149954891110621</v>
      </c>
      <c r="AH1396" s="111"/>
      <c r="AI1396" s="28"/>
      <c r="AJ1396" s="96">
        <f ca="1">1-AJ1395/(3*F_GAMMA*AJ$29)</f>
        <v>1.1509173100056318</v>
      </c>
      <c r="AK1396" s="111"/>
      <c r="AL1396" s="28"/>
      <c r="AM1396" s="96">
        <f ca="1">1-AM1395/(3*F_GAMMA*AM$29)</f>
        <v>1.8058432313342245</v>
      </c>
      <c r="AN1396" s="111"/>
      <c r="AO1396" s="28"/>
      <c r="AP1396" s="96">
        <f ca="1">1-AP1395/(3*F_GAMMA*AP$29)</f>
        <v>5.8588439820597307</v>
      </c>
      <c r="AQ1396" s="111"/>
      <c r="AR1396" s="28"/>
      <c r="AS1396" s="96">
        <f ca="1">1-AS1395/(3*F_GAMMA*AS$29)</f>
        <v>-1.9894816019551858</v>
      </c>
      <c r="AT1396" s="111"/>
      <c r="AU1396" s="28"/>
    </row>
    <row r="1397" spans="15:47" x14ac:dyDescent="0.25">
      <c r="O1397" s="2" t="s">
        <v>57</v>
      </c>
      <c r="P1397" s="143">
        <v>7</v>
      </c>
      <c r="Q1397" s="2"/>
      <c r="R1397" s="96">
        <f ca="1">(R1390/(N_9*R$27*R1392*R1396))*SQRT(M*'Valve Sizing'!$W$6*'Valve Sizing'!$G$8/R1395)</f>
        <v>0.87845314764210136</v>
      </c>
      <c r="S1397" s="107"/>
      <c r="T1397" s="22"/>
      <c r="U1397" s="96">
        <f ca="1">(U1390/(N_9*U$27*U1392*U1396))*SQRT(M*'Valve Sizing'!$W$6*'Valve Sizing'!$G$8/U1395)</f>
        <v>12.458694892092772</v>
      </c>
      <c r="V1397" s="111"/>
      <c r="W1397" s="28"/>
      <c r="X1397" s="96">
        <f ca="1">(X1390/(N_9*X$27*X1392*X1396))*SQRT(M*'Valve Sizing'!$W$6*'Valve Sizing'!$G$8/X1395)</f>
        <v>31.109214437246798</v>
      </c>
      <c r="Y1397" s="111"/>
      <c r="Z1397" s="28"/>
      <c r="AA1397" s="96">
        <f ca="1">(AA1390/(N_9*AA$27*AA1392*AA1396))*SQRT(M*'Valve Sizing'!$W$6*'Valve Sizing'!$G$8/AA1395)</f>
        <v>64.530884014438257</v>
      </c>
      <c r="AB1397" s="111"/>
      <c r="AC1397" s="28"/>
      <c r="AD1397" s="96">
        <f ca="1">(AD1390/(N_9*AD$27*AD1392*AD1396))*SQRT(M*'Valve Sizing'!$W$6*'Valve Sizing'!$G$8/AD1395)</f>
        <v>129.4478930471675</v>
      </c>
      <c r="AE1397" s="111"/>
      <c r="AF1397" s="28"/>
      <c r="AG1397" s="96">
        <f ca="1">(AG1390/(N_9*AG$27*AG1392*AG1396))*SQRT(M*'Valve Sizing'!$W$6*'Valve Sizing'!$G$8/AG1395)</f>
        <v>327.78178206708748</v>
      </c>
      <c r="AH1397" s="111"/>
      <c r="AI1397" s="28"/>
      <c r="AJ1397" s="96" t="e">
        <f ca="1">(AJ1390/(N_9*AJ$27*AJ1392*AJ1396))*SQRT(M*'Valve Sizing'!$W$6*'Valve Sizing'!$G$8/AJ1395)</f>
        <v>#NUM!</v>
      </c>
      <c r="AK1397" s="111"/>
      <c r="AL1397" s="28"/>
      <c r="AM1397" s="96" t="e">
        <f ca="1">(AM1390/(N_9*AM$27*AM1392*AM1396))*SQRT(M*'Valve Sizing'!$W$6*'Valve Sizing'!$G$8/AM1395)</f>
        <v>#NUM!</v>
      </c>
      <c r="AN1397" s="111"/>
      <c r="AO1397" s="28"/>
      <c r="AP1397" s="96" t="e">
        <f ca="1">(AP1390/(N_9*AP$27*AP1392*AP1396))*SQRT(M*'Valve Sizing'!$W$6*'Valve Sizing'!$G$8/AP1395)</f>
        <v>#NUM!</v>
      </c>
      <c r="AQ1397" s="111"/>
      <c r="AR1397" s="28"/>
      <c r="AS1397" s="96">
        <f ca="1">(AS1390/(N_9*AS$27*AS1392*AS1396))*SQRT(M*'Valve Sizing'!$W$6*'Valve Sizing'!$G$8/AS1395)</f>
        <v>262.67941889930142</v>
      </c>
      <c r="AT1397" s="111"/>
      <c r="AU1397" s="28"/>
    </row>
    <row r="1398" spans="15:47" x14ac:dyDescent="0.25">
      <c r="O1398" s="2" t="s">
        <v>59</v>
      </c>
      <c r="P1398" s="143">
        <v>7</v>
      </c>
      <c r="Q1398" s="2"/>
      <c r="R1398" s="96">
        <f ca="1">(R1390/(N_9*R$27*R1392*0.667))*SQRT(M*'Valve Sizing'!$W$6*'Valve Sizing'!$G$8/R1399)</f>
        <v>0.78638117774717964</v>
      </c>
      <c r="S1398" s="107"/>
      <c r="T1398" s="22"/>
      <c r="U1398" s="96">
        <f ca="1">(U1390/(N_9*U$27*U1392*0.667))*SQRT(M*'Valve Sizing'!$W$6*'Valve Sizing'!$G$8/U1399)</f>
        <v>11.139901348534144</v>
      </c>
      <c r="V1398" s="111"/>
      <c r="W1398" s="28"/>
      <c r="X1398" s="96">
        <f ca="1">(X1390/(N_9*X$27*X1392*0.667))*SQRT(M*'Valve Sizing'!$W$6*'Valve Sizing'!$G$8/X1399)</f>
        <v>27.73530871069266</v>
      </c>
      <c r="Y1398" s="111"/>
      <c r="Z1398" s="28"/>
      <c r="AA1398" s="96">
        <f ca="1">(AA1390/(N_9*AA$27*AA1392*0.667))*SQRT(M*'Valve Sizing'!$W$6*'Valve Sizing'!$G$8/AA1399)</f>
        <v>56.553456677180009</v>
      </c>
      <c r="AB1398" s="111"/>
      <c r="AC1398" s="28"/>
      <c r="AD1398" s="96">
        <f ca="1">(AD1390/(N_9*AD$27*AD1392*0.667))*SQRT(M*'Valve Sizing'!$W$6*'Valve Sizing'!$G$8/AD1399)</f>
        <v>106.29102844650139</v>
      </c>
      <c r="AE1398" s="111"/>
      <c r="AF1398" s="28"/>
      <c r="AG1398" s="96">
        <f ca="1">(AG1390/(N_9*AG$27*AG1392*0.667))*SQRT(M*'Valve Sizing'!$W$6*'Valve Sizing'!$G$8/AG1399)</f>
        <v>193.82925620449927</v>
      </c>
      <c r="AH1398" s="111"/>
      <c r="AI1398" s="28"/>
      <c r="AJ1398" s="96">
        <f ca="1">(AJ1390/(N_9*AJ$27*AJ1392*0.667))*SQRT(M*'Valve Sizing'!$W$6*'Valve Sizing'!$G$8/AJ1399)</f>
        <v>383.44031647248215</v>
      </c>
      <c r="AK1398" s="111"/>
      <c r="AL1398" s="28"/>
      <c r="AM1398" s="96">
        <f ca="1">(AM1390/(N_9*AM$27*AM1392*0.667))*SQRT(M*'Valve Sizing'!$W$6*'Valve Sizing'!$G$8/AM1399)</f>
        <v>909.51191768587148</v>
      </c>
      <c r="AN1398" s="111"/>
      <c r="AO1398" s="28"/>
      <c r="AP1398" s="96">
        <f ca="1">(AP1390/(N_9*AP$27*AP1392*0.667))*SQRT(M*'Valve Sizing'!$W$6*'Valve Sizing'!$G$8/AP1399)</f>
        <v>4820.3748699597236</v>
      </c>
      <c r="AQ1398" s="111"/>
      <c r="AR1398" s="28"/>
      <c r="AS1398" s="96">
        <f ca="1">(AS1390/(N_9*AS$27*AS1392*0.667))*SQRT(M*'Valve Sizing'!$W$6*'Valve Sizing'!$G$8/AS1399)</f>
        <v>-2346.3819554950774</v>
      </c>
      <c r="AT1398" s="111"/>
      <c r="AU1398" s="28"/>
    </row>
    <row r="1399" spans="15:47" ht="15.6" x14ac:dyDescent="0.35">
      <c r="O1399" s="2" t="s">
        <v>68</v>
      </c>
      <c r="P1399" s="143">
        <v>10</v>
      </c>
      <c r="Q1399" s="2"/>
      <c r="R1399" s="96">
        <f ca="1">F_GAMMA*R$29</f>
        <v>0.64002969751372984</v>
      </c>
      <c r="S1399" s="107"/>
      <c r="T1399" s="1"/>
      <c r="U1399" s="96">
        <f ca="1">F_GAMMA*U$29</f>
        <v>0.64017842058782071</v>
      </c>
      <c r="V1399" s="111"/>
      <c r="W1399" s="28"/>
      <c r="X1399" s="96">
        <f ca="1">F_GAMMA*X$29</f>
        <v>0.63413873724904268</v>
      </c>
      <c r="Y1399" s="111"/>
      <c r="Z1399" s="28"/>
      <c r="AA1399" s="96">
        <f ca="1">F_GAMMA*AA$29</f>
        <v>0.62532411750377137</v>
      </c>
      <c r="AB1399" s="111"/>
      <c r="AC1399" s="28"/>
      <c r="AD1399" s="96">
        <f ca="1">F_GAMMA*AD$29</f>
        <v>0.60651359509139569</v>
      </c>
      <c r="AE1399" s="111"/>
      <c r="AF1399" s="28"/>
      <c r="AG1399" s="96">
        <f ca="1">F_GAMMA*AG$29</f>
        <v>0.57217930198481592</v>
      </c>
      <c r="AH1399" s="111"/>
      <c r="AI1399" s="28"/>
      <c r="AJ1399" s="96">
        <f ca="1">F_GAMMA*AJ$29</f>
        <v>0.53183282018848232</v>
      </c>
      <c r="AK1399" s="111"/>
      <c r="AL1399" s="28"/>
      <c r="AM1399" s="96">
        <f ca="1">F_GAMMA*AM$29</f>
        <v>0.47566512503094399</v>
      </c>
      <c r="AN1399" s="111"/>
      <c r="AO1399" s="28"/>
      <c r="AP1399" s="96">
        <f ca="1">F_GAMMA*AP$29</f>
        <v>0.59054158265645496</v>
      </c>
      <c r="AQ1399" s="111"/>
      <c r="AR1399" s="28"/>
      <c r="AS1399" s="96">
        <f ca="1">F_GAMMA*AS$29</f>
        <v>0.3766899554102966</v>
      </c>
      <c r="AT1399" s="111"/>
      <c r="AU1399" s="28"/>
    </row>
    <row r="1400" spans="15:47" x14ac:dyDescent="0.25">
      <c r="O1400" s="2" t="s">
        <v>145</v>
      </c>
      <c r="P1400" s="12"/>
      <c r="Q1400" s="2"/>
      <c r="R1400" s="96">
        <f ca="1">IF(R1395&lt;R1399,R1397,R1398)</f>
        <v>0.87845314764210136</v>
      </c>
      <c r="S1400" s="116"/>
      <c r="T1400" s="1"/>
      <c r="U1400" s="96">
        <f ca="1">IF(U1395&lt;U1399,U1397,U1398)</f>
        <v>12.458694892092772</v>
      </c>
      <c r="V1400" s="111"/>
      <c r="W1400" s="28"/>
      <c r="X1400" s="96">
        <f ca="1">IF(X1395&lt;X1399,X1397,X1398)</f>
        <v>31.109214437246798</v>
      </c>
      <c r="Y1400" s="111"/>
      <c r="Z1400" s="28"/>
      <c r="AA1400" s="96">
        <f ca="1">IF(AA1395&lt;AA1399,AA1397,AA1398)</f>
        <v>64.530884014438257</v>
      </c>
      <c r="AB1400" s="111"/>
      <c r="AC1400" s="28"/>
      <c r="AD1400" s="96">
        <f ca="1">IF(AD1395&lt;AD1399,AD1397,AD1398)</f>
        <v>129.4478930471675</v>
      </c>
      <c r="AE1400" s="111"/>
      <c r="AF1400" s="28"/>
      <c r="AG1400" s="96">
        <f ca="1">IF(AG1395&lt;AG1399,AG1397,AG1398)</f>
        <v>327.78178206708748</v>
      </c>
      <c r="AH1400" s="111"/>
      <c r="AI1400" s="28"/>
      <c r="AJ1400" s="96" t="e">
        <f ca="1">IF(AJ1395&lt;AJ1399,AJ1397,AJ1398)</f>
        <v>#NUM!</v>
      </c>
      <c r="AK1400" s="111"/>
      <c r="AL1400" s="28"/>
      <c r="AM1400" s="96" t="e">
        <f ca="1">IF(AM1395&lt;AM1399,AM1397,AM1398)</f>
        <v>#NUM!</v>
      </c>
      <c r="AN1400" s="111"/>
      <c r="AO1400" s="28"/>
      <c r="AP1400" s="96" t="e">
        <f ca="1">IF(AP1395&lt;AP1399,AP1397,AP1398)</f>
        <v>#NUM!</v>
      </c>
      <c r="AQ1400" s="111"/>
      <c r="AR1400" s="28"/>
      <c r="AS1400" s="96">
        <f ca="1">IF(AS1395&lt;AS1399,AS1397,AS1398)</f>
        <v>-2346.3819554950774</v>
      </c>
      <c r="AT1400" s="111"/>
      <c r="AU1400" s="28"/>
    </row>
    <row r="1401" spans="15:47" x14ac:dyDescent="0.25">
      <c r="O1401" s="13" t="s">
        <v>143</v>
      </c>
      <c r="P1401" s="1"/>
      <c r="Q1401" s="1"/>
      <c r="R1401" s="113"/>
      <c r="S1401" s="106">
        <f ca="1">IF(R1394&lt;=0,Q_max,ABS(R$23-R1400))</f>
        <v>3.8515468523578988</v>
      </c>
      <c r="T1401" s="7">
        <f>R1390</f>
        <v>2175.2206849729232</v>
      </c>
      <c r="U1401" s="98"/>
      <c r="V1401" s="106">
        <f ca="1">IF(U1394&lt;=0,Q_max,ABS(U$23-U1400))</f>
        <v>0.85869489209277283</v>
      </c>
      <c r="W1401" s="9">
        <f ca="1">U1390</f>
        <v>30739.102361178386</v>
      </c>
      <c r="X1401" s="98"/>
      <c r="Y1401" s="106">
        <f ca="1">IF(X1394&lt;=0,Q_max,ABS(X$23-X1400))</f>
        <v>8.1092144372467985</v>
      </c>
      <c r="Z1401" s="9">
        <f ca="1">X1390</f>
        <v>75268.770430945675</v>
      </c>
      <c r="AA1401" s="98"/>
      <c r="AB1401" s="106">
        <f ca="1">IF(AA1394&lt;=0,Q_max,ABS(AA$23-AA1400))</f>
        <v>25.130884014438259</v>
      </c>
      <c r="AC1401" s="9">
        <f ca="1">AA1390</f>
        <v>146604.35279106157</v>
      </c>
      <c r="AD1401" s="98"/>
      <c r="AE1401" s="106">
        <f ca="1">IF(AD1394&lt;=0,Q_max,ABS(AD$23-AD1400))</f>
        <v>68.447893047167497</v>
      </c>
      <c r="AF1401" s="9">
        <f ca="1">AD1390</f>
        <v>245956.49851580916</v>
      </c>
      <c r="AG1401" s="98"/>
      <c r="AH1401" s="106">
        <f ca="1">IF(AG1394&lt;=0,Q_max,ABS(AG$23-AG1400))</f>
        <v>239.58178206708749</v>
      </c>
      <c r="AI1401" s="9">
        <f ca="1">AG1390</f>
        <v>358980.20848988666</v>
      </c>
      <c r="AJ1401" s="98"/>
      <c r="AK1401" s="106">
        <f ca="1">IF(AJ1394&lt;=0,Q_max,ABS(AJ$23-AJ1400))</f>
        <v>236393</v>
      </c>
      <c r="AL1401" s="9">
        <f ca="1">AJ1390</f>
        <v>479060.47984066745</v>
      </c>
      <c r="AM1401" s="98"/>
      <c r="AN1401" s="106">
        <f ca="1">IF(AM1394&lt;=0,Q_max,ABS(AM$23-AM1400))</f>
        <v>236393</v>
      </c>
      <c r="AO1401" s="9">
        <f ca="1">AM1390</f>
        <v>584544.82603427616</v>
      </c>
      <c r="AP1401" s="98"/>
      <c r="AQ1401" s="106">
        <f ca="1">IF(AP1394&lt;=0,Q_max,ABS(AP$23-AP1400))</f>
        <v>236393</v>
      </c>
      <c r="AR1401" s="9">
        <f ca="1">AP1390</f>
        <v>678638.3960479513</v>
      </c>
      <c r="AS1401" s="98"/>
      <c r="AT1401" s="106">
        <f ca="1">IF(AS1394&lt;=0,Q_max,ABS(AS$23-AS1400))</f>
        <v>236393</v>
      </c>
      <c r="AU1401" s="9">
        <f ca="1">AS1390</f>
        <v>795756.89083109901</v>
      </c>
    </row>
    <row r="1402" spans="15:47" x14ac:dyDescent="0.25">
      <c r="O1402" s="21"/>
      <c r="P1402" s="14"/>
      <c r="Q1402" s="21"/>
      <c r="R1402" s="97"/>
      <c r="S1402" s="106"/>
      <c r="T1402" s="28"/>
      <c r="U1402" s="99"/>
      <c r="V1402" s="110"/>
      <c r="W1402" s="25"/>
      <c r="X1402" s="99"/>
      <c r="Y1402" s="110"/>
      <c r="Z1402" s="25"/>
      <c r="AA1402" s="99"/>
      <c r="AB1402" s="110"/>
      <c r="AC1402" s="25"/>
      <c r="AD1402" s="99"/>
      <c r="AE1402" s="110"/>
      <c r="AF1402" s="25"/>
      <c r="AG1402" s="99"/>
      <c r="AH1402" s="110"/>
      <c r="AI1402" s="25"/>
      <c r="AJ1402" s="99"/>
      <c r="AK1402" s="110"/>
      <c r="AL1402" s="25"/>
      <c r="AM1402" s="99"/>
      <c r="AN1402" s="110"/>
      <c r="AO1402" s="25"/>
      <c r="AP1402" s="99"/>
      <c r="AQ1402" s="110"/>
      <c r="AR1402" s="25"/>
      <c r="AS1402" s="99"/>
      <c r="AT1402" s="110"/>
      <c r="AU1402" s="25"/>
    </row>
    <row r="1403" spans="15:47" x14ac:dyDescent="0.25">
      <c r="O1403" s="1"/>
      <c r="P1403" s="1"/>
      <c r="Q1403" s="1"/>
      <c r="R1403" s="98"/>
      <c r="S1403" s="108" t="s">
        <v>137</v>
      </c>
      <c r="T1403" s="26" t="s">
        <v>146</v>
      </c>
      <c r="U1403" s="98"/>
      <c r="V1403" s="108" t="s">
        <v>137</v>
      </c>
      <c r="W1403" s="26" t="s">
        <v>146</v>
      </c>
      <c r="X1403" s="98"/>
      <c r="Y1403" s="108" t="s">
        <v>137</v>
      </c>
      <c r="Z1403" s="26" t="s">
        <v>146</v>
      </c>
      <c r="AA1403" s="98"/>
      <c r="AB1403" s="108" t="s">
        <v>137</v>
      </c>
      <c r="AC1403" s="26" t="s">
        <v>146</v>
      </c>
      <c r="AD1403" s="98"/>
      <c r="AE1403" s="108" t="s">
        <v>137</v>
      </c>
      <c r="AF1403" s="26" t="s">
        <v>146</v>
      </c>
      <c r="AG1403" s="98"/>
      <c r="AH1403" s="108" t="s">
        <v>137</v>
      </c>
      <c r="AI1403" s="26" t="s">
        <v>146</v>
      </c>
      <c r="AJ1403" s="98"/>
      <c r="AK1403" s="108" t="s">
        <v>137</v>
      </c>
      <c r="AL1403" s="26" t="s">
        <v>146</v>
      </c>
      <c r="AM1403" s="98"/>
      <c r="AN1403" s="108" t="s">
        <v>137</v>
      </c>
      <c r="AO1403" s="26" t="s">
        <v>146</v>
      </c>
      <c r="AP1403" s="98"/>
      <c r="AQ1403" s="108" t="s">
        <v>137</v>
      </c>
      <c r="AR1403" s="26" t="s">
        <v>146</v>
      </c>
      <c r="AS1403" s="98"/>
      <c r="AT1403" s="108" t="s">
        <v>137</v>
      </c>
      <c r="AU1403" s="26" t="s">
        <v>146</v>
      </c>
    </row>
    <row r="1404" spans="15:47" ht="13.8" x14ac:dyDescent="0.25">
      <c r="O1404" s="20" t="s">
        <v>136</v>
      </c>
      <c r="P1404" s="1"/>
      <c r="Q1404" s="1"/>
      <c r="R1404" s="96">
        <f>R1390*1.02</f>
        <v>2218.7250986723816</v>
      </c>
      <c r="S1404" s="109" t="s">
        <v>144</v>
      </c>
      <c r="T1404" s="23" t="s">
        <v>147</v>
      </c>
      <c r="U1404" s="96">
        <f ca="1">U1390*1.01</f>
        <v>31046.49338479017</v>
      </c>
      <c r="V1404" s="109" t="s">
        <v>144</v>
      </c>
      <c r="W1404" s="23" t="s">
        <v>147</v>
      </c>
      <c r="X1404" s="96">
        <f ca="1">X1390*1.01</f>
        <v>76021.458135255132</v>
      </c>
      <c r="Y1404" s="109" t="s">
        <v>144</v>
      </c>
      <c r="Z1404" s="23" t="s">
        <v>147</v>
      </c>
      <c r="AA1404" s="96">
        <f ca="1">AA1390*1.01</f>
        <v>148070.3963189722</v>
      </c>
      <c r="AB1404" s="109" t="s">
        <v>144</v>
      </c>
      <c r="AC1404" s="23" t="s">
        <v>147</v>
      </c>
      <c r="AD1404" s="96">
        <f ca="1">AD1390*1.01</f>
        <v>248416.06350096726</v>
      </c>
      <c r="AE1404" s="109" t="s">
        <v>144</v>
      </c>
      <c r="AF1404" s="23" t="s">
        <v>147</v>
      </c>
      <c r="AG1404" s="96">
        <f ca="1">AG1390*1.01</f>
        <v>362570.01057478553</v>
      </c>
      <c r="AH1404" s="109" t="s">
        <v>144</v>
      </c>
      <c r="AI1404" s="23" t="s">
        <v>147</v>
      </c>
      <c r="AJ1404" s="96">
        <f ca="1">AJ1390*1.01</f>
        <v>483851.08463907411</v>
      </c>
      <c r="AK1404" s="109" t="s">
        <v>144</v>
      </c>
      <c r="AL1404" s="23" t="s">
        <v>147</v>
      </c>
      <c r="AM1404" s="96">
        <f ca="1">AM1390*1.01</f>
        <v>590390.27429461898</v>
      </c>
      <c r="AN1404" s="109" t="s">
        <v>144</v>
      </c>
      <c r="AO1404" s="23" t="s">
        <v>147</v>
      </c>
      <c r="AP1404" s="96">
        <f ca="1">AP1390*1.01</f>
        <v>685424.78000843083</v>
      </c>
      <c r="AQ1404" s="109" t="s">
        <v>144</v>
      </c>
      <c r="AR1404" s="23" t="s">
        <v>147</v>
      </c>
      <c r="AS1404" s="96">
        <f ca="1">AS1390*1.01</f>
        <v>803714.45973940997</v>
      </c>
      <c r="AT1404" s="109" t="s">
        <v>144</v>
      </c>
      <c r="AU1404" s="23" t="s">
        <v>147</v>
      </c>
    </row>
    <row r="1405" spans="15:47" x14ac:dyDescent="0.25">
      <c r="O1405" s="1"/>
      <c r="P1405" s="1"/>
      <c r="Q1405" s="1"/>
      <c r="R1405" s="98"/>
      <c r="S1405" s="107"/>
      <c r="T1405" s="1"/>
      <c r="U1405" s="47"/>
      <c r="V1405" s="107"/>
      <c r="W1405" s="1"/>
      <c r="X1405" s="47"/>
      <c r="Y1405" s="107"/>
      <c r="Z1405" s="1"/>
      <c r="AA1405" s="47"/>
      <c r="AB1405" s="107"/>
      <c r="AC1405" s="1"/>
      <c r="AD1405" s="47"/>
      <c r="AE1405" s="107"/>
      <c r="AF1405" s="1"/>
      <c r="AG1405" s="47"/>
      <c r="AH1405" s="107"/>
      <c r="AI1405" s="1"/>
      <c r="AJ1405" s="47"/>
      <c r="AK1405" s="107"/>
      <c r="AL1405" s="1"/>
      <c r="AM1405" s="47"/>
      <c r="AN1405" s="107"/>
      <c r="AO1405" s="1"/>
      <c r="AP1405" s="47"/>
      <c r="AQ1405" s="107"/>
      <c r="AR1405" s="1"/>
      <c r="AS1405" s="47"/>
      <c r="AT1405" s="107"/>
      <c r="AU1405" s="1"/>
    </row>
    <row r="1406" spans="15:47" x14ac:dyDescent="0.25">
      <c r="O1406" s="8" t="s">
        <v>132</v>
      </c>
      <c r="P1406" s="8"/>
      <c r="Q1406" s="8"/>
      <c r="R1406" s="96">
        <f>P_1_minQ-(R1404^2*R_up)+dpup_minQ</f>
        <v>90.184143306983714</v>
      </c>
      <c r="S1406" s="106"/>
      <c r="T1406" s="22"/>
      <c r="U1406" s="96">
        <f ca="1">P_1_minQ-(U1404^2*R_up)+dpup_minQ</f>
        <v>90.009362017155809</v>
      </c>
      <c r="V1406" s="107"/>
      <c r="W1406" s="1"/>
      <c r="X1406" s="96">
        <f ca="1">P_1_minQ-(X1404^2*R_up)+dpup_minQ</f>
        <v>89.131706954384526</v>
      </c>
      <c r="Y1406" s="107"/>
      <c r="Z1406" s="1"/>
      <c r="AA1406" s="96">
        <f ca="1">P_1_minQ-(AA1404^2*R_up)+dpup_minQ</f>
        <v>86.188998800903732</v>
      </c>
      <c r="AB1406" s="107"/>
      <c r="AC1406" s="1"/>
      <c r="AD1406" s="96">
        <f ca="1">P_1_minQ-(AD1404^2*R_up)+dpup_minQ</f>
        <v>78.93762116881868</v>
      </c>
      <c r="AE1406" s="107"/>
      <c r="AF1406" s="1"/>
      <c r="AG1406" s="96">
        <f ca="1">P_1_minQ-(AG1404^2*R_up)+dpup_minQ</f>
        <v>66.225565635802241</v>
      </c>
      <c r="AH1406" s="107"/>
      <c r="AI1406" s="1"/>
      <c r="AJ1406" s="96">
        <f ca="1">P_1_minQ-(AJ1404^2*R_up)+dpup_minQ</f>
        <v>47.515597397148468</v>
      </c>
      <c r="AK1406" s="107"/>
      <c r="AL1406" s="1"/>
      <c r="AM1406" s="96">
        <f ca="1">P_1_minQ-(AM1404^2*R_up)+dpup_minQ</f>
        <v>26.656054116967454</v>
      </c>
      <c r="AN1406" s="107"/>
      <c r="AO1406" s="1"/>
      <c r="AP1406" s="96">
        <f ca="1">P_1_minQ-(AP1404^2*R_up)+dpup_minQ</f>
        <v>4.5575651009062588</v>
      </c>
      <c r="AQ1406" s="107"/>
      <c r="AR1406" s="1"/>
      <c r="AS1406" s="96">
        <f ca="1">P_1_minQ-(AS1404^2*R_up)+dpup_minQ</f>
        <v>-27.547658637478804</v>
      </c>
      <c r="AT1406" s="107"/>
      <c r="AU1406" s="1"/>
    </row>
    <row r="1407" spans="15:47" x14ac:dyDescent="0.25">
      <c r="O1407" s="8" t="s">
        <v>134</v>
      </c>
      <c r="P1407" s="1"/>
      <c r="Q1407" s="8"/>
      <c r="R1407" s="97">
        <f>P_2_minQ+(R1404^2*R_dn)-dpdn_minQ</f>
        <v>60</v>
      </c>
      <c r="S1407" s="106"/>
      <c r="T1407" s="22"/>
      <c r="U1407" s="97">
        <f ca="1">P_2_minQ+(U1404^2*R_dn)-dpdn_minQ</f>
        <v>60</v>
      </c>
      <c r="V1407" s="107"/>
      <c r="W1407" s="1"/>
      <c r="X1407" s="97">
        <f ca="1">P_2_minQ+(X1404^2*R_dn)-dpdn_minQ</f>
        <v>60</v>
      </c>
      <c r="Y1407" s="107"/>
      <c r="Z1407" s="1"/>
      <c r="AA1407" s="97">
        <f ca="1">P_2_minQ+(AA1404^2*R_dn)-dpdn_minQ</f>
        <v>60</v>
      </c>
      <c r="AB1407" s="107"/>
      <c r="AC1407" s="1"/>
      <c r="AD1407" s="97">
        <f ca="1">P_2_minQ+(AD1404^2*R_dn)-dpdn_minQ</f>
        <v>60</v>
      </c>
      <c r="AE1407" s="107"/>
      <c r="AF1407" s="1"/>
      <c r="AG1407" s="97">
        <f ca="1">P_2_minQ+(AG1404^2*R_dn)-dpdn_minQ</f>
        <v>60</v>
      </c>
      <c r="AH1407" s="107"/>
      <c r="AI1407" s="1"/>
      <c r="AJ1407" s="97">
        <f ca="1">P_2_minQ+(AJ1404^2*R_dn)-dpdn_minQ</f>
        <v>60</v>
      </c>
      <c r="AK1407" s="107"/>
      <c r="AL1407" s="1"/>
      <c r="AM1407" s="97">
        <f ca="1">P_2_minQ+(AM1404^2*R_dn)-dpdn_minQ</f>
        <v>60</v>
      </c>
      <c r="AN1407" s="107"/>
      <c r="AO1407" s="1"/>
      <c r="AP1407" s="97">
        <f ca="1">P_2_minQ+(AP1404^2*R_dn)-dpdn_minQ</f>
        <v>60</v>
      </c>
      <c r="AQ1407" s="107"/>
      <c r="AR1407" s="1"/>
      <c r="AS1407" s="97">
        <f ca="1">P_2_minQ+(AS1404^2*R_dn)-dpdn_minQ</f>
        <v>60</v>
      </c>
      <c r="AT1407" s="107"/>
      <c r="AU1407" s="1"/>
    </row>
    <row r="1408" spans="15:47" x14ac:dyDescent="0.25">
      <c r="O1408" s="8" t="s">
        <v>138</v>
      </c>
      <c r="P1408" s="1"/>
      <c r="Q1408" s="8"/>
      <c r="R1408" s="97">
        <f>R1406-R1407</f>
        <v>30.184143306983714</v>
      </c>
      <c r="S1408" s="106"/>
      <c r="T1408" s="22"/>
      <c r="U1408" s="97">
        <f ca="1">U1406-U1407</f>
        <v>30.009362017155809</v>
      </c>
      <c r="V1408" s="110"/>
      <c r="W1408" s="25"/>
      <c r="X1408" s="97">
        <f ca="1">X1406-X1407</f>
        <v>29.131706954384526</v>
      </c>
      <c r="Y1408" s="110"/>
      <c r="Z1408" s="25"/>
      <c r="AA1408" s="97">
        <f ca="1">AA1406-AA1407</f>
        <v>26.188998800903732</v>
      </c>
      <c r="AB1408" s="110"/>
      <c r="AC1408" s="25"/>
      <c r="AD1408" s="97">
        <f ca="1">AD1406-AD1407</f>
        <v>18.93762116881868</v>
      </c>
      <c r="AE1408" s="110"/>
      <c r="AF1408" s="25"/>
      <c r="AG1408" s="97">
        <f ca="1">AG1406-AG1407</f>
        <v>6.2255656358022406</v>
      </c>
      <c r="AH1408" s="110"/>
      <c r="AI1408" s="25"/>
      <c r="AJ1408" s="97">
        <f ca="1">AJ1406-AJ1407</f>
        <v>-12.484402602851532</v>
      </c>
      <c r="AK1408" s="110"/>
      <c r="AL1408" s="25"/>
      <c r="AM1408" s="97">
        <f ca="1">AM1406-AM1407</f>
        <v>-33.343945883032546</v>
      </c>
      <c r="AN1408" s="110"/>
      <c r="AO1408" s="25"/>
      <c r="AP1408" s="97">
        <f ca="1">AP1406-AP1407</f>
        <v>-55.44243489909374</v>
      </c>
      <c r="AQ1408" s="110"/>
      <c r="AR1408" s="25"/>
      <c r="AS1408" s="97">
        <f ca="1">AS1406-AS1407</f>
        <v>-87.547658637478804</v>
      </c>
      <c r="AT1408" s="110"/>
      <c r="AU1408" s="25"/>
    </row>
    <row r="1409" spans="15:47" ht="14.4" x14ac:dyDescent="0.3">
      <c r="O1409" s="2" t="s">
        <v>140</v>
      </c>
      <c r="P1409" s="11"/>
      <c r="Q1409" s="2"/>
      <c r="R1409" s="96">
        <f>R1408/R1406</f>
        <v>0.33469457268378022</v>
      </c>
      <c r="S1409" s="106"/>
      <c r="T1409" s="22"/>
      <c r="U1409" s="96">
        <f ca="1">U1408/U1406</f>
        <v>0.33340267439553695</v>
      </c>
      <c r="V1409" s="111"/>
      <c r="W1409" s="28"/>
      <c r="X1409" s="96">
        <f ca="1">X1408/X1406</f>
        <v>0.32683887642018833</v>
      </c>
      <c r="Y1409" s="111"/>
      <c r="Z1409" s="28"/>
      <c r="AA1409" s="96">
        <f ca="1">AA1408/AA1406</f>
        <v>0.30385547071268598</v>
      </c>
      <c r="AB1409" s="111"/>
      <c r="AC1409" s="28"/>
      <c r="AD1409" s="96">
        <f ca="1">AD1408/AD1406</f>
        <v>0.23990615486521996</v>
      </c>
      <c r="AE1409" s="111"/>
      <c r="AF1409" s="28"/>
      <c r="AG1409" s="96">
        <f ca="1">AG1408/AG1406</f>
        <v>9.4005473204091958E-2</v>
      </c>
      <c r="AH1409" s="111"/>
      <c r="AI1409" s="28"/>
      <c r="AJ1409" s="96">
        <f ca="1">AJ1408/AJ1406</f>
        <v>-0.26274325246304808</v>
      </c>
      <c r="AK1409" s="111"/>
      <c r="AL1409" s="28"/>
      <c r="AM1409" s="96">
        <f ca="1">AM1408/AM1406</f>
        <v>-1.250895790379118</v>
      </c>
      <c r="AN1409" s="111"/>
      <c r="AO1409" s="28"/>
      <c r="AP1409" s="96">
        <f ca="1">AP1408/AP1406</f>
        <v>-12.164924399668843</v>
      </c>
      <c r="AQ1409" s="111"/>
      <c r="AR1409" s="28"/>
      <c r="AS1409" s="96">
        <f ca="1">AS1408/AS1406</f>
        <v>3.178043542269307</v>
      </c>
      <c r="AT1409" s="111"/>
      <c r="AU1409" s="28"/>
    </row>
    <row r="1410" spans="15:47" x14ac:dyDescent="0.25">
      <c r="O1410" s="2" t="s">
        <v>21</v>
      </c>
      <c r="P1410" s="8">
        <v>12</v>
      </c>
      <c r="Q1410" s="2"/>
      <c r="R1410" s="96">
        <f ca="1">1-R1409/(3*F_GAMMA*R$29)</f>
        <v>0.82568799854968167</v>
      </c>
      <c r="S1410" s="106"/>
      <c r="T1410" s="22"/>
      <c r="U1410" s="96">
        <f ca="1">1-U1409/(3*F_GAMMA*U$29)</f>
        <v>0.82640117001059277</v>
      </c>
      <c r="V1410" s="111"/>
      <c r="W1410" s="28"/>
      <c r="X1410" s="96">
        <f ca="1">1-X1409/(3*F_GAMMA*X$29)</f>
        <v>0.82819801765669965</v>
      </c>
      <c r="Y1410" s="111"/>
      <c r="Z1410" s="28"/>
      <c r="AA1410" s="96">
        <f ca="1">1-AA1409/(3*F_GAMMA*AA$29)</f>
        <v>0.83802774582156137</v>
      </c>
      <c r="AB1410" s="111"/>
      <c r="AC1410" s="28"/>
      <c r="AD1410" s="96">
        <f ca="1">1-AD1409/(3*F_GAMMA*AD$29)</f>
        <v>0.86815016359797159</v>
      </c>
      <c r="AE1410" s="111"/>
      <c r="AF1410" s="28"/>
      <c r="AG1410" s="96">
        <f ca="1">1-AG1409/(3*F_GAMMA*AG$29)</f>
        <v>0.94523542248732217</v>
      </c>
      <c r="AH1410" s="111"/>
      <c r="AI1410" s="28"/>
      <c r="AJ1410" s="96">
        <f ca="1">1-AJ1409/(3*F_GAMMA*AJ$29)</f>
        <v>1.1646778476802362</v>
      </c>
      <c r="AK1410" s="111"/>
      <c r="AL1410" s="28"/>
      <c r="AM1410" s="96">
        <f ca="1">1-AM1409/(3*F_GAMMA*AM$29)</f>
        <v>1.8765941447411785</v>
      </c>
      <c r="AN1410" s="111"/>
      <c r="AO1410" s="28"/>
      <c r="AP1410" s="96">
        <f ca="1">1-AP1409/(3*F_GAMMA*AP$29)</f>
        <v>7.8665355988124865</v>
      </c>
      <c r="AQ1410" s="111"/>
      <c r="AR1410" s="28"/>
      <c r="AS1410" s="96">
        <f ca="1">1-AS1409/(3*F_GAMMA*AS$29)</f>
        <v>-1.8122540359995636</v>
      </c>
      <c r="AT1410" s="111"/>
      <c r="AU1410" s="28"/>
    </row>
    <row r="1411" spans="15:47" x14ac:dyDescent="0.25">
      <c r="O1411" s="2" t="s">
        <v>57</v>
      </c>
      <c r="P1411" s="143">
        <v>7</v>
      </c>
      <c r="Q1411" s="2"/>
      <c r="R1411" s="96">
        <f ca="1">(R1404/(N_9*R$27*R1406*R1410))*SQRT(M*'Valve Sizing'!$W$6*'Valve Sizing'!$G$8/R1409)</f>
        <v>0.8960227555296898</v>
      </c>
      <c r="S1411" s="107"/>
      <c r="T1411" s="22"/>
      <c r="U1411" s="96">
        <f ca="1">(U1404/(N_9*U$27*U1406*U1410))*SQRT(M*'Valve Sizing'!$W$6*'Valve Sizing'!$G$8/U1409)</f>
        <v>12.584046274175773</v>
      </c>
      <c r="V1411" s="111"/>
      <c r="W1411" s="28"/>
      <c r="X1411" s="96">
        <f ca="1">(X1404/(N_9*X$27*X1406*X1410))*SQRT(M*'Valve Sizing'!$W$6*'Valve Sizing'!$G$8/X1409)</f>
        <v>31.432029888116531</v>
      </c>
      <c r="Y1411" s="111"/>
      <c r="Z1411" s="28"/>
      <c r="AA1411" s="96">
        <f ca="1">(AA1404/(N_9*AA$27*AA1406*AA1410))*SQRT(M*'Valve Sizing'!$W$6*'Valve Sizing'!$G$8/AA1409)</f>
        <v>65.277511879129065</v>
      </c>
      <c r="AB1411" s="111"/>
      <c r="AC1411" s="28"/>
      <c r="AD1411" s="96">
        <f ca="1">(AD1404/(N_9*AD$27*AD1406*AD1410))*SQRT(M*'Valve Sizing'!$W$6*'Valve Sizing'!$G$8/AD1409)</f>
        <v>131.51222352145106</v>
      </c>
      <c r="AE1411" s="111"/>
      <c r="AF1411" s="28"/>
      <c r="AG1411" s="96">
        <f ca="1">(AG1404/(N_9*AG$27*AG1406*AG1410))*SQRT(M*'Valve Sizing'!$W$6*'Valve Sizing'!$G$8/AG1409)</f>
        <v>343.24244292931007</v>
      </c>
      <c r="AH1411" s="111"/>
      <c r="AI1411" s="28"/>
      <c r="AJ1411" s="96" t="e">
        <f ca="1">(AJ1404/(N_9*AJ$27*AJ1406*AJ1410))*SQRT(M*'Valve Sizing'!$W$6*'Valve Sizing'!$G$8/AJ1409)</f>
        <v>#NUM!</v>
      </c>
      <c r="AK1411" s="111"/>
      <c r="AL1411" s="28"/>
      <c r="AM1411" s="96" t="e">
        <f ca="1">(AM1404/(N_9*AM$27*AM1406*AM1410))*SQRT(M*'Valve Sizing'!$W$6*'Valve Sizing'!$G$8/AM1409)</f>
        <v>#NUM!</v>
      </c>
      <c r="AN1411" s="111"/>
      <c r="AO1411" s="28"/>
      <c r="AP1411" s="96" t="e">
        <f ca="1">(AP1404/(N_9*AP$27*AP1406*AP1410))*SQRT(M*'Valve Sizing'!$W$6*'Valve Sizing'!$G$8/AP1409)</f>
        <v>#NUM!</v>
      </c>
      <c r="AQ1411" s="111"/>
      <c r="AR1411" s="28"/>
      <c r="AS1411" s="96">
        <f ca="1">(AS1404/(N_9*AS$27*AS1406*AS1410))*SQRT(M*'Valve Sizing'!$W$6*'Valve Sizing'!$G$8/AS1409)</f>
        <v>275.00123792059571</v>
      </c>
      <c r="AT1411" s="111"/>
      <c r="AU1411" s="28"/>
    </row>
    <row r="1412" spans="15:47" x14ac:dyDescent="0.25">
      <c r="O1412" s="2" t="s">
        <v>59</v>
      </c>
      <c r="P1412" s="143">
        <v>7</v>
      </c>
      <c r="Q1412" s="2"/>
      <c r="R1412" s="96">
        <f ca="1">(R1404/(N_9*R$27*R1406*0.667))*SQRT(M*'Valve Sizing'!$W$6*'Valve Sizing'!$G$8/R1413)</f>
        <v>0.80210911117577388</v>
      </c>
      <c r="S1412" s="107"/>
      <c r="T1412" s="22"/>
      <c r="U1412" s="96">
        <f ca="1">(U1404/(N_9*U$27*U1406*0.667))*SQRT(M*'Valve Sizing'!$W$6*'Valve Sizing'!$G$8/U1413)</f>
        <v>11.251733062116024</v>
      </c>
      <c r="V1412" s="111"/>
      <c r="W1412" s="28"/>
      <c r="X1412" s="96">
        <f ca="1">(X1404/(N_9*X$27*X1406*0.667))*SQRT(M*'Valve Sizing'!$W$6*'Valve Sizing'!$G$8/X1413)</f>
        <v>28.019184707883966</v>
      </c>
      <c r="Y1412" s="111"/>
      <c r="Z1412" s="28"/>
      <c r="AA1412" s="96">
        <f ca="1">(AA1404/(N_9*AA$27*AA1406*0.667))*SQRT(M*'Valve Sizing'!$W$6*'Valve Sizing'!$G$8/AA1413)</f>
        <v>57.171172198298187</v>
      </c>
      <c r="AB1412" s="111"/>
      <c r="AC1412" s="28"/>
      <c r="AD1412" s="96">
        <f ca="1">(AD1404/(N_9*AD$27*AD1406*0.667))*SQRT(M*'Valve Sizing'!$W$6*'Valve Sizing'!$G$8/AD1413)</f>
        <v>107.65533657852826</v>
      </c>
      <c r="AE1412" s="111"/>
      <c r="AF1412" s="28"/>
      <c r="AG1412" s="96">
        <f ca="1">(AG1404/(N_9*AG$27*AG1406*0.667))*SQRT(M*'Valve Sizing'!$W$6*'Valve Sizing'!$G$8/AG1413)</f>
        <v>197.1630995091661</v>
      </c>
      <c r="AH1412" s="111"/>
      <c r="AI1412" s="28"/>
      <c r="AJ1412" s="96">
        <f ca="1">(AJ1404/(N_9*AJ$27*AJ1406*0.667))*SQRT(M*'Valve Sizing'!$W$6*'Valve Sizing'!$G$8/AJ1413)</f>
        <v>394.12728582861479</v>
      </c>
      <c r="AK1412" s="111"/>
      <c r="AL1412" s="28"/>
      <c r="AM1412" s="96">
        <f ca="1">(AM1404/(N_9*AM$27*AM1406*0.667))*SQRT(M*'Valve Sizing'!$W$6*'Valve Sizing'!$G$8/AM1413)</f>
        <v>961.74495110327439</v>
      </c>
      <c r="AN1412" s="111"/>
      <c r="AO1412" s="28"/>
      <c r="AP1412" s="96">
        <f ca="1">(AP1404/(N_9*AP$27*AP1406*0.667))*SQRT(M*'Valve Sizing'!$W$6*'Valve Sizing'!$G$8/AP1413)</f>
        <v>6670.9146137896632</v>
      </c>
      <c r="AQ1412" s="111"/>
      <c r="AR1412" s="28"/>
      <c r="AS1412" s="96">
        <f ca="1">(AS1404/(N_9*AS$27*AS1406*0.667))*SQRT(M*'Valve Sizing'!$W$6*'Valve Sizing'!$G$8/AS1413)</f>
        <v>-2170.2801200153076</v>
      </c>
      <c r="AT1412" s="111"/>
      <c r="AU1412" s="28"/>
    </row>
    <row r="1413" spans="15:47" ht="15.6" x14ac:dyDescent="0.35">
      <c r="O1413" s="2" t="s">
        <v>68</v>
      </c>
      <c r="P1413" s="143">
        <v>10</v>
      </c>
      <c r="Q1413" s="2"/>
      <c r="R1413" s="96">
        <f ca="1">F_GAMMA*R$29</f>
        <v>0.64002969751372984</v>
      </c>
      <c r="S1413" s="107"/>
      <c r="T1413" s="1"/>
      <c r="U1413" s="96">
        <f ca="1">F_GAMMA*U$29</f>
        <v>0.64017842058782071</v>
      </c>
      <c r="V1413" s="111"/>
      <c r="W1413" s="28"/>
      <c r="X1413" s="96">
        <f ca="1">F_GAMMA*X$29</f>
        <v>0.63413873724904268</v>
      </c>
      <c r="Y1413" s="111"/>
      <c r="Z1413" s="28"/>
      <c r="AA1413" s="96">
        <f ca="1">F_GAMMA*AA$29</f>
        <v>0.62532411750377137</v>
      </c>
      <c r="AB1413" s="111"/>
      <c r="AC1413" s="28"/>
      <c r="AD1413" s="96">
        <f ca="1">F_GAMMA*AD$29</f>
        <v>0.60651359509139569</v>
      </c>
      <c r="AE1413" s="111"/>
      <c r="AF1413" s="28"/>
      <c r="AG1413" s="96">
        <f ca="1">F_GAMMA*AG$29</f>
        <v>0.57217930198481592</v>
      </c>
      <c r="AH1413" s="111"/>
      <c r="AI1413" s="28"/>
      <c r="AJ1413" s="96">
        <f ca="1">F_GAMMA*AJ$29</f>
        <v>0.53183282018848232</v>
      </c>
      <c r="AK1413" s="111"/>
      <c r="AL1413" s="28"/>
      <c r="AM1413" s="96">
        <f ca="1">F_GAMMA*AM$29</f>
        <v>0.47566512503094399</v>
      </c>
      <c r="AN1413" s="111"/>
      <c r="AO1413" s="28"/>
      <c r="AP1413" s="96">
        <f ca="1">F_GAMMA*AP$29</f>
        <v>0.59054158265645496</v>
      </c>
      <c r="AQ1413" s="111"/>
      <c r="AR1413" s="28"/>
      <c r="AS1413" s="96">
        <f ca="1">F_GAMMA*AS$29</f>
        <v>0.3766899554102966</v>
      </c>
      <c r="AT1413" s="111"/>
      <c r="AU1413" s="28"/>
    </row>
    <row r="1414" spans="15:47" x14ac:dyDescent="0.25">
      <c r="O1414" s="2" t="s">
        <v>145</v>
      </c>
      <c r="P1414" s="12"/>
      <c r="Q1414" s="2"/>
      <c r="R1414" s="96">
        <f ca="1">IF(R1409&lt;R1413,R1411,R1412)</f>
        <v>0.8960227555296898</v>
      </c>
      <c r="S1414" s="116"/>
      <c r="T1414" s="1"/>
      <c r="U1414" s="96">
        <f ca="1">IF(U1409&lt;U1413,U1411,U1412)</f>
        <v>12.584046274175773</v>
      </c>
      <c r="V1414" s="111"/>
      <c r="W1414" s="28"/>
      <c r="X1414" s="96">
        <f ca="1">IF(X1409&lt;X1413,X1411,X1412)</f>
        <v>31.432029888116531</v>
      </c>
      <c r="Y1414" s="111"/>
      <c r="Z1414" s="28"/>
      <c r="AA1414" s="96">
        <f ca="1">IF(AA1409&lt;AA1413,AA1411,AA1412)</f>
        <v>65.277511879129065</v>
      </c>
      <c r="AB1414" s="111"/>
      <c r="AC1414" s="28"/>
      <c r="AD1414" s="96">
        <f ca="1">IF(AD1409&lt;AD1413,AD1411,AD1412)</f>
        <v>131.51222352145106</v>
      </c>
      <c r="AE1414" s="111"/>
      <c r="AF1414" s="28"/>
      <c r="AG1414" s="96">
        <f ca="1">IF(AG1409&lt;AG1413,AG1411,AG1412)</f>
        <v>343.24244292931007</v>
      </c>
      <c r="AH1414" s="111"/>
      <c r="AI1414" s="28"/>
      <c r="AJ1414" s="96" t="e">
        <f ca="1">IF(AJ1409&lt;AJ1413,AJ1411,AJ1412)</f>
        <v>#NUM!</v>
      </c>
      <c r="AK1414" s="111"/>
      <c r="AL1414" s="28"/>
      <c r="AM1414" s="96" t="e">
        <f ca="1">IF(AM1409&lt;AM1413,AM1411,AM1412)</f>
        <v>#NUM!</v>
      </c>
      <c r="AN1414" s="111"/>
      <c r="AO1414" s="28"/>
      <c r="AP1414" s="96" t="e">
        <f ca="1">IF(AP1409&lt;AP1413,AP1411,AP1412)</f>
        <v>#NUM!</v>
      </c>
      <c r="AQ1414" s="111"/>
      <c r="AR1414" s="28"/>
      <c r="AS1414" s="96">
        <f ca="1">IF(AS1409&lt;AS1413,AS1411,AS1412)</f>
        <v>-2170.2801200153076</v>
      </c>
      <c r="AT1414" s="111"/>
      <c r="AU1414" s="28"/>
    </row>
    <row r="1415" spans="15:47" x14ac:dyDescent="0.25">
      <c r="O1415" s="13" t="s">
        <v>143</v>
      </c>
      <c r="P1415" s="1"/>
      <c r="Q1415" s="1"/>
      <c r="R1415" s="113"/>
      <c r="S1415" s="106">
        <f ca="1">IF(R1408&lt;=0,Q_max,ABS(R$23-R1414))</f>
        <v>3.8339772444703106</v>
      </c>
      <c r="T1415" s="7">
        <f>R1404</f>
        <v>2218.7250986723816</v>
      </c>
      <c r="U1415" s="98"/>
      <c r="V1415" s="106">
        <f ca="1">IF(U1408&lt;=0,Q_max,ABS(U$23-U1414))</f>
        <v>0.98404627417577295</v>
      </c>
      <c r="W1415" s="9">
        <f ca="1">U1404</f>
        <v>31046.49338479017</v>
      </c>
      <c r="X1415" s="98"/>
      <c r="Y1415" s="106">
        <f ca="1">IF(X1408&lt;=0,Q_max,ABS(X$23-X1414))</f>
        <v>8.4320298881165314</v>
      </c>
      <c r="Z1415" s="9">
        <f ca="1">X1404</f>
        <v>76021.458135255132</v>
      </c>
      <c r="AA1415" s="98"/>
      <c r="AB1415" s="106">
        <f ca="1">IF(AA1408&lt;=0,Q_max,ABS(AA$23-AA1414))</f>
        <v>25.877511879129067</v>
      </c>
      <c r="AC1415" s="9">
        <f ca="1">AA1404</f>
        <v>148070.3963189722</v>
      </c>
      <c r="AD1415" s="98"/>
      <c r="AE1415" s="106">
        <f ca="1">IF(AD1408&lt;=0,Q_max,ABS(AD$23-AD1414))</f>
        <v>70.512223521451062</v>
      </c>
      <c r="AF1415" s="9">
        <f ca="1">AD1404</f>
        <v>248416.06350096726</v>
      </c>
      <c r="AG1415" s="98"/>
      <c r="AH1415" s="106">
        <f ca="1">IF(AG1408&lt;=0,Q_max,ABS(AG$23-AG1414))</f>
        <v>255.04244292931008</v>
      </c>
      <c r="AI1415" s="9">
        <f ca="1">AG1404</f>
        <v>362570.01057478553</v>
      </c>
      <c r="AJ1415" s="98"/>
      <c r="AK1415" s="106">
        <f ca="1">IF(AJ1408&lt;=0,Q_max,ABS(AJ$23-AJ1414))</f>
        <v>236393</v>
      </c>
      <c r="AL1415" s="9">
        <f ca="1">AJ1404</f>
        <v>483851.08463907411</v>
      </c>
      <c r="AM1415" s="98"/>
      <c r="AN1415" s="106">
        <f ca="1">IF(AM1408&lt;=0,Q_max,ABS(AM$23-AM1414))</f>
        <v>236393</v>
      </c>
      <c r="AO1415" s="9">
        <f ca="1">AM1404</f>
        <v>590390.27429461898</v>
      </c>
      <c r="AP1415" s="98"/>
      <c r="AQ1415" s="106">
        <f ca="1">IF(AP1408&lt;=0,Q_max,ABS(AP$23-AP1414))</f>
        <v>236393</v>
      </c>
      <c r="AR1415" s="9">
        <f ca="1">AP1404</f>
        <v>685424.78000843083</v>
      </c>
      <c r="AS1415" s="98"/>
      <c r="AT1415" s="106">
        <f ca="1">IF(AS1408&lt;=0,Q_max,ABS(AS$23-AS1414))</f>
        <v>236393</v>
      </c>
      <c r="AU1415" s="9">
        <f ca="1">AS1404</f>
        <v>803714.45973940997</v>
      </c>
    </row>
    <row r="1416" spans="15:47" x14ac:dyDescent="0.25">
      <c r="O1416" s="21"/>
      <c r="P1416" s="14"/>
      <c r="Q1416" s="21"/>
      <c r="R1416" s="97"/>
      <c r="S1416" s="106"/>
      <c r="T1416" s="28"/>
      <c r="U1416" s="97"/>
      <c r="V1416" s="111"/>
      <c r="W1416" s="28"/>
      <c r="X1416" s="97"/>
      <c r="Y1416" s="111"/>
      <c r="Z1416" s="28"/>
      <c r="AA1416" s="97"/>
      <c r="AB1416" s="111"/>
      <c r="AC1416" s="28"/>
      <c r="AD1416" s="97"/>
      <c r="AE1416" s="111"/>
      <c r="AF1416" s="28"/>
      <c r="AG1416" s="97"/>
      <c r="AH1416" s="111"/>
      <c r="AI1416" s="28"/>
      <c r="AJ1416" s="97"/>
      <c r="AK1416" s="111"/>
      <c r="AL1416" s="28"/>
      <c r="AM1416" s="97"/>
      <c r="AN1416" s="111"/>
      <c r="AO1416" s="28"/>
      <c r="AP1416" s="97"/>
      <c r="AQ1416" s="111"/>
      <c r="AR1416" s="28"/>
      <c r="AS1416" s="97"/>
      <c r="AT1416" s="111"/>
      <c r="AU1416" s="28"/>
    </row>
    <row r="1417" spans="15:47" x14ac:dyDescent="0.25">
      <c r="O1417" s="1"/>
      <c r="P1417" s="1"/>
      <c r="Q1417" s="1"/>
      <c r="R1417" s="98"/>
      <c r="S1417" s="108" t="s">
        <v>137</v>
      </c>
      <c r="T1417" s="26" t="s">
        <v>146</v>
      </c>
      <c r="U1417" s="98"/>
      <c r="V1417" s="108" t="s">
        <v>137</v>
      </c>
      <c r="W1417" s="26" t="s">
        <v>146</v>
      </c>
      <c r="X1417" s="98"/>
      <c r="Y1417" s="108" t="s">
        <v>137</v>
      </c>
      <c r="Z1417" s="26" t="s">
        <v>146</v>
      </c>
      <c r="AA1417" s="98"/>
      <c r="AB1417" s="108" t="s">
        <v>137</v>
      </c>
      <c r="AC1417" s="26" t="s">
        <v>146</v>
      </c>
      <c r="AD1417" s="98"/>
      <c r="AE1417" s="108" t="s">
        <v>137</v>
      </c>
      <c r="AF1417" s="26" t="s">
        <v>146</v>
      </c>
      <c r="AG1417" s="98"/>
      <c r="AH1417" s="108" t="s">
        <v>137</v>
      </c>
      <c r="AI1417" s="26" t="s">
        <v>146</v>
      </c>
      <c r="AJ1417" s="98"/>
      <c r="AK1417" s="108" t="s">
        <v>137</v>
      </c>
      <c r="AL1417" s="26" t="s">
        <v>146</v>
      </c>
      <c r="AM1417" s="98"/>
      <c r="AN1417" s="108" t="s">
        <v>137</v>
      </c>
      <c r="AO1417" s="26" t="s">
        <v>146</v>
      </c>
      <c r="AP1417" s="98"/>
      <c r="AQ1417" s="108" t="s">
        <v>137</v>
      </c>
      <c r="AR1417" s="26" t="s">
        <v>146</v>
      </c>
      <c r="AS1417" s="98"/>
      <c r="AT1417" s="108" t="s">
        <v>137</v>
      </c>
      <c r="AU1417" s="26" t="s">
        <v>146</v>
      </c>
    </row>
    <row r="1418" spans="15:47" ht="13.8" x14ac:dyDescent="0.25">
      <c r="O1418" s="20" t="s">
        <v>136</v>
      </c>
      <c r="P1418" s="1"/>
      <c r="Q1418" s="1"/>
      <c r="R1418" s="96">
        <f>R1404*1.02</f>
        <v>2263.0996006458295</v>
      </c>
      <c r="S1418" s="109" t="s">
        <v>144</v>
      </c>
      <c r="T1418" s="23" t="s">
        <v>147</v>
      </c>
      <c r="U1418" s="96">
        <f ca="1">U1404*1.01</f>
        <v>31356.958318638073</v>
      </c>
      <c r="V1418" s="109" t="s">
        <v>144</v>
      </c>
      <c r="W1418" s="23" t="s">
        <v>147</v>
      </c>
      <c r="X1418" s="96">
        <f ca="1">X1404*1.01</f>
        <v>76781.672716607689</v>
      </c>
      <c r="Y1418" s="109" t="s">
        <v>144</v>
      </c>
      <c r="Z1418" s="23" t="s">
        <v>147</v>
      </c>
      <c r="AA1418" s="96">
        <f ca="1">AA1404*1.01</f>
        <v>149551.10028216193</v>
      </c>
      <c r="AB1418" s="109" t="s">
        <v>144</v>
      </c>
      <c r="AC1418" s="23" t="s">
        <v>147</v>
      </c>
      <c r="AD1418" s="96">
        <f ca="1">AD1404*1.01</f>
        <v>250900.22413597693</v>
      </c>
      <c r="AE1418" s="109" t="s">
        <v>144</v>
      </c>
      <c r="AF1418" s="23" t="s">
        <v>147</v>
      </c>
      <c r="AG1418" s="96">
        <f ca="1">AG1404*1.01</f>
        <v>366195.71068053338</v>
      </c>
      <c r="AH1418" s="109" t="s">
        <v>144</v>
      </c>
      <c r="AI1418" s="23" t="s">
        <v>147</v>
      </c>
      <c r="AJ1418" s="96">
        <f ca="1">AJ1404*1.01</f>
        <v>488689.59548546484</v>
      </c>
      <c r="AK1418" s="109" t="s">
        <v>144</v>
      </c>
      <c r="AL1418" s="23" t="s">
        <v>147</v>
      </c>
      <c r="AM1418" s="96">
        <f ca="1">AM1404*1.01</f>
        <v>596294.17703756515</v>
      </c>
      <c r="AN1418" s="109" t="s">
        <v>144</v>
      </c>
      <c r="AO1418" s="23" t="s">
        <v>147</v>
      </c>
      <c r="AP1418" s="96">
        <f ca="1">AP1404*1.01</f>
        <v>692279.02780851512</v>
      </c>
      <c r="AQ1418" s="109" t="s">
        <v>144</v>
      </c>
      <c r="AR1418" s="23" t="s">
        <v>147</v>
      </c>
      <c r="AS1418" s="96">
        <f ca="1">AS1404*1.01</f>
        <v>811751.60433680413</v>
      </c>
      <c r="AT1418" s="109" t="s">
        <v>144</v>
      </c>
      <c r="AU1418" s="23" t="s">
        <v>147</v>
      </c>
    </row>
    <row r="1419" spans="15:47" x14ac:dyDescent="0.25">
      <c r="O1419" s="1"/>
      <c r="P1419" s="1"/>
      <c r="Q1419" s="1"/>
      <c r="R1419" s="98"/>
      <c r="S1419" s="107"/>
      <c r="T1419" s="1"/>
      <c r="U1419" s="47"/>
      <c r="V1419" s="107"/>
      <c r="W1419" s="1"/>
      <c r="X1419" s="47"/>
      <c r="Y1419" s="107"/>
      <c r="Z1419" s="1"/>
      <c r="AA1419" s="47"/>
      <c r="AB1419" s="107"/>
      <c r="AC1419" s="1"/>
      <c r="AD1419" s="47"/>
      <c r="AE1419" s="107"/>
      <c r="AF1419" s="1"/>
      <c r="AG1419" s="47"/>
      <c r="AH1419" s="107"/>
      <c r="AI1419" s="1"/>
      <c r="AJ1419" s="47"/>
      <c r="AK1419" s="107"/>
      <c r="AL1419" s="1"/>
      <c r="AM1419" s="47"/>
      <c r="AN1419" s="107"/>
      <c r="AO1419" s="1"/>
      <c r="AP1419" s="47"/>
      <c r="AQ1419" s="107"/>
      <c r="AR1419" s="1"/>
      <c r="AS1419" s="47"/>
      <c r="AT1419" s="107"/>
      <c r="AU1419" s="1"/>
    </row>
    <row r="1420" spans="15:47" x14ac:dyDescent="0.25">
      <c r="O1420" s="8" t="s">
        <v>132</v>
      </c>
      <c r="P1420" s="8"/>
      <c r="Q1420" s="8"/>
      <c r="R1420" s="96">
        <f>P_1_minQ-(R1418^2*R_up)+dpup_minQ</f>
        <v>90.184107059163523</v>
      </c>
      <c r="S1420" s="106"/>
      <c r="T1420" s="22"/>
      <c r="U1420" s="96">
        <f ca="1">P_1_minQ-(U1418^2*R_up)+dpup_minQ</f>
        <v>90.005830879042506</v>
      </c>
      <c r="V1420" s="107"/>
      <c r="W1420" s="1"/>
      <c r="X1420" s="96">
        <f ca="1">P_1_minQ-(X1418^2*R_up)+dpup_minQ</f>
        <v>89.110534949509514</v>
      </c>
      <c r="Y1420" s="107"/>
      <c r="Z1420" s="1"/>
      <c r="AA1420" s="96">
        <f ca="1">P_1_minQ-(AA1418^2*R_up)+dpup_minQ</f>
        <v>86.108678362143763</v>
      </c>
      <c r="AB1420" s="107"/>
      <c r="AC1420" s="1"/>
      <c r="AD1420" s="96">
        <f ca="1">P_1_minQ-(AD1418^2*R_up)+dpup_minQ</f>
        <v>78.711548039653792</v>
      </c>
      <c r="AE1420" s="107"/>
      <c r="AF1420" s="1"/>
      <c r="AG1420" s="96">
        <f ca="1">P_1_minQ-(AG1418^2*R_up)+dpup_minQ</f>
        <v>65.743980190423727</v>
      </c>
      <c r="AH1420" s="107"/>
      <c r="AI1420" s="1"/>
      <c r="AJ1420" s="96">
        <f ca="1">P_1_minQ-(AJ1418^2*R_up)+dpup_minQ</f>
        <v>46.657941590173017</v>
      </c>
      <c r="AK1420" s="107"/>
      <c r="AL1420" s="1"/>
      <c r="AM1420" s="96">
        <f ca="1">P_1_minQ-(AM1418^2*R_up)+dpup_minQ</f>
        <v>25.379121490060371</v>
      </c>
      <c r="AN1420" s="107"/>
      <c r="AO1420" s="1"/>
      <c r="AP1420" s="96">
        <f ca="1">P_1_minQ-(AP1418^2*R_up)+dpup_minQ</f>
        <v>2.8364528447763306</v>
      </c>
      <c r="AQ1420" s="107"/>
      <c r="AR1420" s="1"/>
      <c r="AS1420" s="96">
        <f ca="1">P_1_minQ-(AS1418^2*R_up)+dpup_minQ</f>
        <v>-29.914085890750272</v>
      </c>
      <c r="AT1420" s="107"/>
      <c r="AU1420" s="1"/>
    </row>
    <row r="1421" spans="15:47" x14ac:dyDescent="0.25">
      <c r="O1421" s="8" t="s">
        <v>134</v>
      </c>
      <c r="P1421" s="1"/>
      <c r="Q1421" s="8"/>
      <c r="R1421" s="97">
        <f>P_2_minQ+(R1418^2*R_dn)-dpdn_minQ</f>
        <v>60</v>
      </c>
      <c r="S1421" s="106"/>
      <c r="T1421" s="22"/>
      <c r="U1421" s="97">
        <f ca="1">P_2_minQ+(U1418^2*R_dn)-dpdn_minQ</f>
        <v>60</v>
      </c>
      <c r="V1421" s="107"/>
      <c r="W1421" s="1"/>
      <c r="X1421" s="97">
        <f ca="1">P_2_minQ+(X1418^2*R_dn)-dpdn_minQ</f>
        <v>60</v>
      </c>
      <c r="Y1421" s="107"/>
      <c r="Z1421" s="1"/>
      <c r="AA1421" s="97">
        <f ca="1">P_2_minQ+(AA1418^2*R_dn)-dpdn_minQ</f>
        <v>60</v>
      </c>
      <c r="AB1421" s="107"/>
      <c r="AC1421" s="1"/>
      <c r="AD1421" s="97">
        <f ca="1">P_2_minQ+(AD1418^2*R_dn)-dpdn_minQ</f>
        <v>60</v>
      </c>
      <c r="AE1421" s="107"/>
      <c r="AF1421" s="1"/>
      <c r="AG1421" s="97">
        <f ca="1">P_2_minQ+(AG1418^2*R_dn)-dpdn_minQ</f>
        <v>60</v>
      </c>
      <c r="AH1421" s="107"/>
      <c r="AI1421" s="1"/>
      <c r="AJ1421" s="97">
        <f ca="1">P_2_minQ+(AJ1418^2*R_dn)-dpdn_minQ</f>
        <v>60</v>
      </c>
      <c r="AK1421" s="107"/>
      <c r="AL1421" s="1"/>
      <c r="AM1421" s="97">
        <f ca="1">P_2_minQ+(AM1418^2*R_dn)-dpdn_minQ</f>
        <v>60</v>
      </c>
      <c r="AN1421" s="107"/>
      <c r="AO1421" s="1"/>
      <c r="AP1421" s="97">
        <f ca="1">P_2_minQ+(AP1418^2*R_dn)-dpdn_minQ</f>
        <v>60</v>
      </c>
      <c r="AQ1421" s="107"/>
      <c r="AR1421" s="1"/>
      <c r="AS1421" s="97">
        <f ca="1">P_2_minQ+(AS1418^2*R_dn)-dpdn_minQ</f>
        <v>60</v>
      </c>
      <c r="AT1421" s="107"/>
      <c r="AU1421" s="1"/>
    </row>
    <row r="1422" spans="15:47" x14ac:dyDescent="0.25">
      <c r="O1422" s="8" t="s">
        <v>138</v>
      </c>
      <c r="P1422" s="1"/>
      <c r="Q1422" s="8"/>
      <c r="R1422" s="97">
        <f>R1420-R1421</f>
        <v>30.184107059163523</v>
      </c>
      <c r="S1422" s="106"/>
      <c r="T1422" s="22"/>
      <c r="U1422" s="97">
        <f ca="1">U1420-U1421</f>
        <v>30.005830879042506</v>
      </c>
      <c r="V1422" s="110"/>
      <c r="W1422" s="25"/>
      <c r="X1422" s="97">
        <f ca="1">X1420-X1421</f>
        <v>29.110534949509514</v>
      </c>
      <c r="Y1422" s="110"/>
      <c r="Z1422" s="25"/>
      <c r="AA1422" s="97">
        <f ca="1">AA1420-AA1421</f>
        <v>26.108678362143763</v>
      </c>
      <c r="AB1422" s="110"/>
      <c r="AC1422" s="25"/>
      <c r="AD1422" s="97">
        <f ca="1">AD1420-AD1421</f>
        <v>18.711548039653792</v>
      </c>
      <c r="AE1422" s="110"/>
      <c r="AF1422" s="25"/>
      <c r="AG1422" s="97">
        <f ca="1">AG1420-AG1421</f>
        <v>5.7439801904237271</v>
      </c>
      <c r="AH1422" s="110"/>
      <c r="AI1422" s="25"/>
      <c r="AJ1422" s="97">
        <f ca="1">AJ1420-AJ1421</f>
        <v>-13.342058409826983</v>
      </c>
      <c r="AK1422" s="110"/>
      <c r="AL1422" s="25"/>
      <c r="AM1422" s="97">
        <f ca="1">AM1420-AM1421</f>
        <v>-34.620878509939629</v>
      </c>
      <c r="AN1422" s="110"/>
      <c r="AO1422" s="25"/>
      <c r="AP1422" s="97">
        <f ca="1">AP1420-AP1421</f>
        <v>-57.163547155223668</v>
      </c>
      <c r="AQ1422" s="110"/>
      <c r="AR1422" s="25"/>
      <c r="AS1422" s="97">
        <f ca="1">AS1420-AS1421</f>
        <v>-89.914085890750272</v>
      </c>
      <c r="AT1422" s="110"/>
      <c r="AU1422" s="25"/>
    </row>
    <row r="1423" spans="15:47" ht="14.4" x14ac:dyDescent="0.3">
      <c r="O1423" s="2" t="s">
        <v>140</v>
      </c>
      <c r="P1423" s="11"/>
      <c r="Q1423" s="2"/>
      <c r="R1423" s="96">
        <f>R1422/R1420</f>
        <v>0.33469430527666955</v>
      </c>
      <c r="S1423" s="106"/>
      <c r="T1423" s="22"/>
      <c r="U1423" s="96">
        <f ca="1">U1422/U1420</f>
        <v>0.33337652223184178</v>
      </c>
      <c r="V1423" s="111"/>
      <c r="W1423" s="28"/>
      <c r="X1423" s="96">
        <f ca="1">X1422/X1420</f>
        <v>0.32667893830963635</v>
      </c>
      <c r="Y1423" s="111"/>
      <c r="Z1423" s="28"/>
      <c r="AA1423" s="96">
        <f ca="1">AA1422/AA1420</f>
        <v>0.30320612113380208</v>
      </c>
      <c r="AB1423" s="111"/>
      <c r="AC1423" s="28"/>
      <c r="AD1423" s="96">
        <f ca="1">AD1422/AD1420</f>
        <v>0.23772303436628095</v>
      </c>
      <c r="AE1423" s="111"/>
      <c r="AF1423" s="28"/>
      <c r="AG1423" s="96">
        <f ca="1">AG1422/AG1420</f>
        <v>8.7368914595474939E-2</v>
      </c>
      <c r="AH1423" s="111"/>
      <c r="AI1423" s="28"/>
      <c r="AJ1423" s="96">
        <f ca="1">AJ1422/AJ1420</f>
        <v>-0.28595471542698864</v>
      </c>
      <c r="AK1423" s="111"/>
      <c r="AL1423" s="28"/>
      <c r="AM1423" s="96">
        <f ca="1">AM1422/AM1420</f>
        <v>-1.3641480270898563</v>
      </c>
      <c r="AN1423" s="111"/>
      <c r="AO1423" s="28"/>
      <c r="AP1423" s="96">
        <f ca="1">AP1422/AP1420</f>
        <v>-20.153180850687232</v>
      </c>
      <c r="AQ1423" s="111"/>
      <c r="AR1423" s="28"/>
      <c r="AS1423" s="96">
        <f ca="1">AS1422/AS1420</f>
        <v>3.0057440571350567</v>
      </c>
      <c r="AT1423" s="111"/>
      <c r="AU1423" s="28"/>
    </row>
    <row r="1424" spans="15:47" x14ac:dyDescent="0.25">
      <c r="O1424" s="2" t="s">
        <v>21</v>
      </c>
      <c r="P1424" s="8">
        <v>12</v>
      </c>
      <c r="Q1424" s="2"/>
      <c r="R1424" s="96">
        <f ca="1">1-R1423/(3*F_GAMMA*R$29)</f>
        <v>0.82568813781775607</v>
      </c>
      <c r="S1424" s="106"/>
      <c r="T1424" s="22"/>
      <c r="U1424" s="96">
        <f ca="1">1-U1423/(3*F_GAMMA*U$29)</f>
        <v>0.82641478713297312</v>
      </c>
      <c r="V1424" s="111"/>
      <c r="W1424" s="28"/>
      <c r="X1424" s="96">
        <f ca="1">1-X1423/(3*F_GAMMA*X$29)</f>
        <v>0.82828208869728714</v>
      </c>
      <c r="Y1424" s="111"/>
      <c r="Z1424" s="28"/>
      <c r="AA1424" s="96">
        <f ca="1">1-AA1423/(3*F_GAMMA*AA$29)</f>
        <v>0.83837388609277308</v>
      </c>
      <c r="AB1424" s="111"/>
      <c r="AC1424" s="28"/>
      <c r="AD1424" s="96">
        <f ca="1">1-AD1423/(3*F_GAMMA*AD$29)</f>
        <v>0.86934998308902522</v>
      </c>
      <c r="AE1424" s="111"/>
      <c r="AF1424" s="28"/>
      <c r="AG1424" s="96">
        <f ca="1">1-AG1423/(3*F_GAMMA*AG$29)</f>
        <v>0.94910166895097192</v>
      </c>
      <c r="AH1424" s="111"/>
      <c r="AI1424" s="28"/>
      <c r="AJ1424" s="96">
        <f ca="1">1-AJ1423/(3*F_GAMMA*AJ$29)</f>
        <v>1.1792259425469116</v>
      </c>
      <c r="AK1424" s="111"/>
      <c r="AL1424" s="28"/>
      <c r="AM1424" s="96">
        <f ca="1">1-AM1423/(3*F_GAMMA*AM$29)</f>
        <v>1.9559582679103729</v>
      </c>
      <c r="AN1424" s="111"/>
      <c r="AO1424" s="28"/>
      <c r="AP1424" s="96">
        <f ca="1">1-AP1423/(3*F_GAMMA*AP$29)</f>
        <v>12.375535859829682</v>
      </c>
      <c r="AQ1424" s="111"/>
      <c r="AR1424" s="28"/>
      <c r="AS1424" s="96">
        <f ca="1">1-AS1423/(3*F_GAMMA*AS$29)</f>
        <v>-1.6597860423976112</v>
      </c>
      <c r="AT1424" s="111"/>
      <c r="AU1424" s="28"/>
    </row>
    <row r="1425" spans="15:47" x14ac:dyDescent="0.25">
      <c r="O1425" s="2" t="s">
        <v>57</v>
      </c>
      <c r="P1425" s="143">
        <v>7</v>
      </c>
      <c r="Q1425" s="2"/>
      <c r="R1425" s="96">
        <f ca="1">(R1418/(N_9*R$27*R1420*R1424))*SQRT(M*'Valve Sizing'!$W$6*'Valve Sizing'!$G$8/R1423)</f>
        <v>0.91394378893037775</v>
      </c>
      <c r="S1425" s="107"/>
      <c r="T1425" s="22"/>
      <c r="U1425" s="96">
        <f ca="1">(U1418/(N_9*U$27*U1420*U1424))*SQRT(M*'Valve Sizing'!$W$6*'Valve Sizing'!$G$8/U1423)</f>
        <v>12.710674465454707</v>
      </c>
      <c r="V1425" s="111"/>
      <c r="W1425" s="28"/>
      <c r="X1425" s="96">
        <f ca="1">(X1418/(N_9*X$27*X1420*X1424))*SQRT(M*'Valve Sizing'!$W$6*'Valve Sizing'!$G$8/X1423)</f>
        <v>31.758441272996951</v>
      </c>
      <c r="Y1425" s="111"/>
      <c r="Z1425" s="28"/>
      <c r="AA1425" s="96">
        <f ca="1">(AA1418/(N_9*AA$27*AA1420*AA1424))*SQRT(M*'Valve Sizing'!$W$6*'Valve Sizing'!$G$8/AA1423)</f>
        <v>66.035136760452104</v>
      </c>
      <c r="AB1425" s="111"/>
      <c r="AC1425" s="28"/>
      <c r="AD1425" s="96">
        <f ca="1">(AD1418/(N_9*AD$27*AD1420*AD1424))*SQRT(M*'Valve Sizing'!$W$6*'Valve Sizing'!$G$8/AD1423)</f>
        <v>133.63442181223542</v>
      </c>
      <c r="AE1425" s="111"/>
      <c r="AF1425" s="28"/>
      <c r="AG1425" s="96">
        <f ca="1">(AG1418/(N_9*AG$27*AG1420*AG1424))*SQRT(M*'Valve Sizing'!$W$6*'Valve Sizing'!$G$8/AG1423)</f>
        <v>360.75918102119795</v>
      </c>
      <c r="AH1425" s="111"/>
      <c r="AI1425" s="28"/>
      <c r="AJ1425" s="96" t="e">
        <f ca="1">(AJ1418/(N_9*AJ$27*AJ1420*AJ1424))*SQRT(M*'Valve Sizing'!$W$6*'Valve Sizing'!$G$8/AJ1423)</f>
        <v>#NUM!</v>
      </c>
      <c r="AK1425" s="111"/>
      <c r="AL1425" s="28"/>
      <c r="AM1425" s="96" t="e">
        <f ca="1">(AM1418/(N_9*AM$27*AM1420*AM1424))*SQRT(M*'Valve Sizing'!$W$6*'Valve Sizing'!$G$8/AM1423)</f>
        <v>#NUM!</v>
      </c>
      <c r="AN1425" s="111"/>
      <c r="AO1425" s="28"/>
      <c r="AP1425" s="96" t="e">
        <f ca="1">(AP1418/(N_9*AP$27*AP1420*AP1424))*SQRT(M*'Valve Sizing'!$W$6*'Valve Sizing'!$G$8/AP1423)</f>
        <v>#NUM!</v>
      </c>
      <c r="AQ1425" s="111"/>
      <c r="AR1425" s="28"/>
      <c r="AS1425" s="96">
        <f ca="1">(AS1418/(N_9*AS$27*AS1420*AS1424))*SQRT(M*'Valve Sizing'!$W$6*'Valve Sizing'!$G$8/AS1423)</f>
        <v>287.16788493349219</v>
      </c>
      <c r="AT1425" s="111"/>
      <c r="AU1425" s="28"/>
    </row>
    <row r="1426" spans="15:47" x14ac:dyDescent="0.25">
      <c r="O1426" s="2" t="s">
        <v>59</v>
      </c>
      <c r="P1426" s="143">
        <v>7</v>
      </c>
      <c r="Q1426" s="2"/>
      <c r="R1426" s="96">
        <f ca="1">(R1418/(N_9*R$27*R1420*0.667))*SQRT(M*'Valve Sizing'!$W$6*'Valve Sizing'!$G$8/R1427)</f>
        <v>0.81815162223994597</v>
      </c>
      <c r="S1426" s="107"/>
      <c r="T1426" s="22"/>
      <c r="U1426" s="96">
        <f ca="1">(U1418/(N_9*U$27*U1420*0.667))*SQRT(M*'Valve Sizing'!$W$6*'Valve Sizing'!$G$8/U1427)</f>
        <v>11.364696238715149</v>
      </c>
      <c r="V1426" s="111"/>
      <c r="W1426" s="28"/>
      <c r="X1426" s="96">
        <f ca="1">(X1418/(N_9*X$27*X1420*0.667))*SQRT(M*'Valve Sizing'!$W$6*'Valve Sizing'!$G$8/X1427)</f>
        <v>28.306100277794467</v>
      </c>
      <c r="Y1426" s="111"/>
      <c r="Z1426" s="28"/>
      <c r="AA1426" s="96">
        <f ca="1">(AA1418/(N_9*AA$27*AA1420*0.667))*SQRT(M*'Valve Sizing'!$W$6*'Valve Sizing'!$G$8/AA1427)</f>
        <v>57.796745317993462</v>
      </c>
      <c r="AB1426" s="111"/>
      <c r="AC1426" s="28"/>
      <c r="AD1426" s="96">
        <f ca="1">(AD1418/(N_9*AD$27*AD1420*0.667))*SQRT(M*'Valve Sizing'!$W$6*'Valve Sizing'!$G$8/AD1427)</f>
        <v>109.04418666838937</v>
      </c>
      <c r="AE1426" s="111"/>
      <c r="AF1426" s="28"/>
      <c r="AG1426" s="96">
        <f ca="1">(AG1418/(N_9*AG$27*AG1420*0.667))*SQRT(M*'Valve Sizing'!$W$6*'Valve Sizing'!$G$8/AG1427)</f>
        <v>200.59342508895514</v>
      </c>
      <c r="AH1426" s="111"/>
      <c r="AI1426" s="28"/>
      <c r="AJ1426" s="96">
        <f ca="1">(AJ1418/(N_9*AJ$27*AJ1420*0.667))*SQRT(M*'Valve Sizing'!$W$6*'Valve Sizing'!$G$8/AJ1427)</f>
        <v>405.38576556094091</v>
      </c>
      <c r="AK1426" s="111"/>
      <c r="AL1426" s="28"/>
      <c r="AM1426" s="96">
        <f ca="1">(AM1418/(N_9*AM$27*AM1420*0.667))*SQRT(M*'Valve Sizing'!$W$6*'Valve Sizing'!$G$8/AM1427)</f>
        <v>1020.2358158103758</v>
      </c>
      <c r="AN1426" s="111"/>
      <c r="AO1426" s="28"/>
      <c r="AP1426" s="96">
        <f ca="1">(AP1418/(N_9*AP$27*AP1420*0.667))*SQRT(M*'Valve Sizing'!$W$6*'Valve Sizing'!$G$8/AP1427)</f>
        <v>10825.901431019236</v>
      </c>
      <c r="AQ1426" s="111"/>
      <c r="AR1426" s="28"/>
      <c r="AS1426" s="96">
        <f ca="1">(AS1418/(N_9*AS$27*AS1420*0.667))*SQRT(M*'Valve Sizing'!$W$6*'Valve Sizing'!$G$8/AS1427)</f>
        <v>-2018.5807272652928</v>
      </c>
      <c r="AT1426" s="111"/>
      <c r="AU1426" s="28"/>
    </row>
    <row r="1427" spans="15:47" ht="15.6" x14ac:dyDescent="0.35">
      <c r="O1427" s="2" t="s">
        <v>68</v>
      </c>
      <c r="P1427" s="143">
        <v>10</v>
      </c>
      <c r="Q1427" s="2"/>
      <c r="R1427" s="96">
        <f ca="1">F_GAMMA*R$29</f>
        <v>0.64002969751372984</v>
      </c>
      <c r="S1427" s="107"/>
      <c r="T1427" s="1"/>
      <c r="U1427" s="96">
        <f ca="1">F_GAMMA*U$29</f>
        <v>0.64017842058782071</v>
      </c>
      <c r="V1427" s="111"/>
      <c r="W1427" s="28"/>
      <c r="X1427" s="96">
        <f ca="1">F_GAMMA*X$29</f>
        <v>0.63413873724904268</v>
      </c>
      <c r="Y1427" s="111"/>
      <c r="Z1427" s="28"/>
      <c r="AA1427" s="96">
        <f ca="1">F_GAMMA*AA$29</f>
        <v>0.62532411750377137</v>
      </c>
      <c r="AB1427" s="111"/>
      <c r="AC1427" s="28"/>
      <c r="AD1427" s="96">
        <f ca="1">F_GAMMA*AD$29</f>
        <v>0.60651359509139569</v>
      </c>
      <c r="AE1427" s="111"/>
      <c r="AF1427" s="28"/>
      <c r="AG1427" s="96">
        <f ca="1">F_GAMMA*AG$29</f>
        <v>0.57217930198481592</v>
      </c>
      <c r="AH1427" s="111"/>
      <c r="AI1427" s="28"/>
      <c r="AJ1427" s="96">
        <f ca="1">F_GAMMA*AJ$29</f>
        <v>0.53183282018848232</v>
      </c>
      <c r="AK1427" s="111"/>
      <c r="AL1427" s="28"/>
      <c r="AM1427" s="96">
        <f ca="1">F_GAMMA*AM$29</f>
        <v>0.47566512503094399</v>
      </c>
      <c r="AN1427" s="111"/>
      <c r="AO1427" s="28"/>
      <c r="AP1427" s="96">
        <f ca="1">F_GAMMA*AP$29</f>
        <v>0.59054158265645496</v>
      </c>
      <c r="AQ1427" s="111"/>
      <c r="AR1427" s="28"/>
      <c r="AS1427" s="96">
        <f ca="1">F_GAMMA*AS$29</f>
        <v>0.3766899554102966</v>
      </c>
      <c r="AT1427" s="111"/>
      <c r="AU1427" s="28"/>
    </row>
    <row r="1428" spans="15:47" x14ac:dyDescent="0.25">
      <c r="O1428" s="2" t="s">
        <v>145</v>
      </c>
      <c r="P1428" s="12"/>
      <c r="Q1428" s="2"/>
      <c r="R1428" s="96">
        <f ca="1">IF(R1423&lt;R1427,R1425,R1426)</f>
        <v>0.91394378893037775</v>
      </c>
      <c r="S1428" s="116"/>
      <c r="T1428" s="1"/>
      <c r="U1428" s="96">
        <f ca="1">IF(U1423&lt;U1427,U1425,U1426)</f>
        <v>12.710674465454707</v>
      </c>
      <c r="V1428" s="111"/>
      <c r="W1428" s="28"/>
      <c r="X1428" s="96">
        <f ca="1">IF(X1423&lt;X1427,X1425,X1426)</f>
        <v>31.758441272996951</v>
      </c>
      <c r="Y1428" s="111"/>
      <c r="Z1428" s="28"/>
      <c r="AA1428" s="96">
        <f ca="1">IF(AA1423&lt;AA1427,AA1425,AA1426)</f>
        <v>66.035136760452104</v>
      </c>
      <c r="AB1428" s="111"/>
      <c r="AC1428" s="28"/>
      <c r="AD1428" s="96">
        <f ca="1">IF(AD1423&lt;AD1427,AD1425,AD1426)</f>
        <v>133.63442181223542</v>
      </c>
      <c r="AE1428" s="111"/>
      <c r="AF1428" s="28"/>
      <c r="AG1428" s="96">
        <f ca="1">IF(AG1423&lt;AG1427,AG1425,AG1426)</f>
        <v>360.75918102119795</v>
      </c>
      <c r="AH1428" s="111"/>
      <c r="AI1428" s="28"/>
      <c r="AJ1428" s="96" t="e">
        <f ca="1">IF(AJ1423&lt;AJ1427,AJ1425,AJ1426)</f>
        <v>#NUM!</v>
      </c>
      <c r="AK1428" s="111"/>
      <c r="AL1428" s="28"/>
      <c r="AM1428" s="96" t="e">
        <f ca="1">IF(AM1423&lt;AM1427,AM1425,AM1426)</f>
        <v>#NUM!</v>
      </c>
      <c r="AN1428" s="111"/>
      <c r="AO1428" s="28"/>
      <c r="AP1428" s="96" t="e">
        <f ca="1">IF(AP1423&lt;AP1427,AP1425,AP1426)</f>
        <v>#NUM!</v>
      </c>
      <c r="AQ1428" s="111"/>
      <c r="AR1428" s="28"/>
      <c r="AS1428" s="96">
        <f ca="1">IF(AS1423&lt;AS1427,AS1425,AS1426)</f>
        <v>-2018.5807272652928</v>
      </c>
      <c r="AT1428" s="111"/>
      <c r="AU1428" s="28"/>
    </row>
    <row r="1429" spans="15:47" x14ac:dyDescent="0.25">
      <c r="O1429" s="13" t="s">
        <v>143</v>
      </c>
      <c r="P1429" s="1"/>
      <c r="Q1429" s="1"/>
      <c r="R1429" s="113"/>
      <c r="S1429" s="106">
        <f ca="1">IF(R1422&lt;=0,Q_max,ABS(R$23-R1428))</f>
        <v>3.8160562110696228</v>
      </c>
      <c r="T1429" s="7">
        <f>R1418</f>
        <v>2263.0996006458295</v>
      </c>
      <c r="U1429" s="98"/>
      <c r="V1429" s="106">
        <f ca="1">IF(U1422&lt;=0,Q_max,ABS(U$23-U1428))</f>
        <v>1.1106744654547072</v>
      </c>
      <c r="W1429" s="9">
        <f ca="1">U1418</f>
        <v>31356.958318638073</v>
      </c>
      <c r="X1429" s="98"/>
      <c r="Y1429" s="106">
        <f ca="1">IF(X1422&lt;=0,Q_max,ABS(X$23-X1428))</f>
        <v>8.7584412729969507</v>
      </c>
      <c r="Z1429" s="9">
        <f ca="1">X1418</f>
        <v>76781.672716607689</v>
      </c>
      <c r="AA1429" s="98"/>
      <c r="AB1429" s="106">
        <f ca="1">IF(AA1422&lt;=0,Q_max,ABS(AA$23-AA1428))</f>
        <v>26.635136760452106</v>
      </c>
      <c r="AC1429" s="9">
        <f ca="1">AA1418</f>
        <v>149551.10028216193</v>
      </c>
      <c r="AD1429" s="98"/>
      <c r="AE1429" s="106">
        <f ca="1">IF(AD1422&lt;=0,Q_max,ABS(AD$23-AD1428))</f>
        <v>72.634421812235416</v>
      </c>
      <c r="AF1429" s="9">
        <f ca="1">AD1418</f>
        <v>250900.22413597693</v>
      </c>
      <c r="AG1429" s="98"/>
      <c r="AH1429" s="106">
        <f ca="1">IF(AG1422&lt;=0,Q_max,ABS(AG$23-AG1428))</f>
        <v>272.55918102119796</v>
      </c>
      <c r="AI1429" s="9">
        <f ca="1">AG1418</f>
        <v>366195.71068053338</v>
      </c>
      <c r="AJ1429" s="98"/>
      <c r="AK1429" s="106">
        <f ca="1">IF(AJ1422&lt;=0,Q_max,ABS(AJ$23-AJ1428))</f>
        <v>236393</v>
      </c>
      <c r="AL1429" s="9">
        <f ca="1">AJ1418</f>
        <v>488689.59548546484</v>
      </c>
      <c r="AM1429" s="98"/>
      <c r="AN1429" s="106">
        <f ca="1">IF(AM1422&lt;=0,Q_max,ABS(AM$23-AM1428))</f>
        <v>236393</v>
      </c>
      <c r="AO1429" s="9">
        <f ca="1">AM1418</f>
        <v>596294.17703756515</v>
      </c>
      <c r="AP1429" s="98"/>
      <c r="AQ1429" s="106">
        <f ca="1">IF(AP1422&lt;=0,Q_max,ABS(AP$23-AP1428))</f>
        <v>236393</v>
      </c>
      <c r="AR1429" s="9">
        <f ca="1">AP1418</f>
        <v>692279.02780851512</v>
      </c>
      <c r="AS1429" s="98"/>
      <c r="AT1429" s="106">
        <f ca="1">IF(AS1422&lt;=0,Q_max,ABS(AS$23-AS1428))</f>
        <v>236393</v>
      </c>
      <c r="AU1429" s="9">
        <f ca="1">AS1418</f>
        <v>811751.60433680413</v>
      </c>
    </row>
    <row r="1430" spans="15:47" x14ac:dyDescent="0.25">
      <c r="O1430" s="21"/>
      <c r="P1430" s="14"/>
      <c r="Q1430" s="21"/>
      <c r="R1430" s="97"/>
      <c r="S1430" s="106"/>
      <c r="T1430" s="28"/>
      <c r="U1430" s="97"/>
      <c r="V1430" s="111"/>
      <c r="W1430" s="28"/>
      <c r="X1430" s="97"/>
      <c r="Y1430" s="111"/>
      <c r="Z1430" s="28"/>
      <c r="AA1430" s="97"/>
      <c r="AB1430" s="111"/>
      <c r="AC1430" s="28"/>
      <c r="AD1430" s="97"/>
      <c r="AE1430" s="111"/>
      <c r="AF1430" s="28"/>
      <c r="AG1430" s="97"/>
      <c r="AH1430" s="111"/>
      <c r="AI1430" s="28"/>
      <c r="AJ1430" s="97"/>
      <c r="AK1430" s="111"/>
      <c r="AL1430" s="28"/>
      <c r="AM1430" s="97"/>
      <c r="AN1430" s="111"/>
      <c r="AO1430" s="28"/>
      <c r="AP1430" s="97"/>
      <c r="AQ1430" s="111"/>
      <c r="AR1430" s="28"/>
      <c r="AS1430" s="97"/>
      <c r="AT1430" s="111"/>
      <c r="AU1430" s="28"/>
    </row>
    <row r="1431" spans="15:47" x14ac:dyDescent="0.25">
      <c r="O1431" s="1"/>
      <c r="P1431" s="1"/>
      <c r="Q1431" s="1"/>
      <c r="R1431" s="98"/>
      <c r="S1431" s="108" t="s">
        <v>137</v>
      </c>
      <c r="T1431" s="26" t="s">
        <v>146</v>
      </c>
      <c r="U1431" s="98"/>
      <c r="V1431" s="108" t="s">
        <v>137</v>
      </c>
      <c r="W1431" s="26" t="s">
        <v>146</v>
      </c>
      <c r="X1431" s="98"/>
      <c r="Y1431" s="108" t="s">
        <v>137</v>
      </c>
      <c r="Z1431" s="26" t="s">
        <v>146</v>
      </c>
      <c r="AA1431" s="98"/>
      <c r="AB1431" s="108" t="s">
        <v>137</v>
      </c>
      <c r="AC1431" s="26" t="s">
        <v>146</v>
      </c>
      <c r="AD1431" s="98"/>
      <c r="AE1431" s="108" t="s">
        <v>137</v>
      </c>
      <c r="AF1431" s="26" t="s">
        <v>146</v>
      </c>
      <c r="AG1431" s="98"/>
      <c r="AH1431" s="108" t="s">
        <v>137</v>
      </c>
      <c r="AI1431" s="26" t="s">
        <v>146</v>
      </c>
      <c r="AJ1431" s="98"/>
      <c r="AK1431" s="108" t="s">
        <v>137</v>
      </c>
      <c r="AL1431" s="26" t="s">
        <v>146</v>
      </c>
      <c r="AM1431" s="98"/>
      <c r="AN1431" s="108" t="s">
        <v>137</v>
      </c>
      <c r="AO1431" s="26" t="s">
        <v>146</v>
      </c>
      <c r="AP1431" s="98"/>
      <c r="AQ1431" s="108" t="s">
        <v>137</v>
      </c>
      <c r="AR1431" s="26" t="s">
        <v>146</v>
      </c>
      <c r="AS1431" s="98"/>
      <c r="AT1431" s="108" t="s">
        <v>137</v>
      </c>
      <c r="AU1431" s="26" t="s">
        <v>146</v>
      </c>
    </row>
    <row r="1432" spans="15:47" ht="13.8" x14ac:dyDescent="0.25">
      <c r="O1432" s="20" t="s">
        <v>136</v>
      </c>
      <c r="P1432" s="1"/>
      <c r="Q1432" s="1"/>
      <c r="R1432" s="96">
        <f>R1418*1.02</f>
        <v>2308.3615926587463</v>
      </c>
      <c r="S1432" s="109" t="s">
        <v>144</v>
      </c>
      <c r="T1432" s="23" t="s">
        <v>147</v>
      </c>
      <c r="U1432" s="96">
        <f ca="1">U1418*1.01</f>
        <v>31670.527901824455</v>
      </c>
      <c r="V1432" s="109" t="s">
        <v>144</v>
      </c>
      <c r="W1432" s="23" t="s">
        <v>147</v>
      </c>
      <c r="X1432" s="96">
        <f ca="1">X1418*1.01</f>
        <v>77549.489443773768</v>
      </c>
      <c r="Y1432" s="109" t="s">
        <v>144</v>
      </c>
      <c r="Z1432" s="23" t="s">
        <v>147</v>
      </c>
      <c r="AA1432" s="96">
        <f ca="1">AA1418*1.01</f>
        <v>151046.61128498355</v>
      </c>
      <c r="AB1432" s="109" t="s">
        <v>144</v>
      </c>
      <c r="AC1432" s="23" t="s">
        <v>147</v>
      </c>
      <c r="AD1432" s="96">
        <f ca="1">AD1418*1.01</f>
        <v>253409.22637733669</v>
      </c>
      <c r="AE1432" s="109" t="s">
        <v>144</v>
      </c>
      <c r="AF1432" s="23" t="s">
        <v>147</v>
      </c>
      <c r="AG1432" s="96">
        <f ca="1">AG1418*1.01</f>
        <v>369857.66778733872</v>
      </c>
      <c r="AH1432" s="109" t="s">
        <v>144</v>
      </c>
      <c r="AI1432" s="23" t="s">
        <v>147</v>
      </c>
      <c r="AJ1432" s="96">
        <f ca="1">AJ1418*1.01</f>
        <v>493576.49144031951</v>
      </c>
      <c r="AK1432" s="109" t="s">
        <v>144</v>
      </c>
      <c r="AL1432" s="23" t="s">
        <v>147</v>
      </c>
      <c r="AM1432" s="96">
        <f ca="1">AM1418*1.01</f>
        <v>602257.11880794086</v>
      </c>
      <c r="AN1432" s="109" t="s">
        <v>144</v>
      </c>
      <c r="AO1432" s="23" t="s">
        <v>147</v>
      </c>
      <c r="AP1432" s="96">
        <f ca="1">AP1418*1.01</f>
        <v>699201.81808660028</v>
      </c>
      <c r="AQ1432" s="109" t="s">
        <v>144</v>
      </c>
      <c r="AR1432" s="23" t="s">
        <v>147</v>
      </c>
      <c r="AS1432" s="96">
        <f ca="1">AS1418*1.01</f>
        <v>819869.12038017216</v>
      </c>
      <c r="AT1432" s="109" t="s">
        <v>144</v>
      </c>
      <c r="AU1432" s="23" t="s">
        <v>147</v>
      </c>
    </row>
    <row r="1433" spans="15:47" x14ac:dyDescent="0.25">
      <c r="O1433" s="1"/>
      <c r="P1433" s="1"/>
      <c r="Q1433" s="1"/>
      <c r="R1433" s="98"/>
      <c r="S1433" s="107"/>
      <c r="T1433" s="1"/>
      <c r="U1433" s="47"/>
      <c r="V1433" s="107"/>
      <c r="W1433" s="1"/>
      <c r="X1433" s="47"/>
      <c r="Y1433" s="107"/>
      <c r="Z1433" s="1"/>
      <c r="AA1433" s="47"/>
      <c r="AB1433" s="107"/>
      <c r="AC1433" s="1"/>
      <c r="AD1433" s="47"/>
      <c r="AE1433" s="107"/>
      <c r="AF1433" s="1"/>
      <c r="AG1433" s="47"/>
      <c r="AH1433" s="107"/>
      <c r="AI1433" s="1"/>
      <c r="AJ1433" s="47"/>
      <c r="AK1433" s="107"/>
      <c r="AL1433" s="1"/>
      <c r="AM1433" s="47"/>
      <c r="AN1433" s="107"/>
      <c r="AO1433" s="1"/>
      <c r="AP1433" s="47"/>
      <c r="AQ1433" s="107"/>
      <c r="AR1433" s="1"/>
      <c r="AS1433" s="47"/>
      <c r="AT1433" s="107"/>
      <c r="AU1433" s="1"/>
    </row>
    <row r="1434" spans="15:47" x14ac:dyDescent="0.25">
      <c r="O1434" s="8" t="s">
        <v>132</v>
      </c>
      <c r="P1434" s="8"/>
      <c r="Q1434" s="8"/>
      <c r="R1434" s="96">
        <f>P_1_minQ-(R1432^2*R_up)+dpup_minQ</f>
        <v>90.184069346931409</v>
      </c>
      <c r="S1434" s="106"/>
      <c r="T1434" s="22"/>
      <c r="U1434" s="96">
        <f ca="1">P_1_minQ-(U1432^2*R_up)+dpup_minQ</f>
        <v>90.002228765053133</v>
      </c>
      <c r="V1434" s="107"/>
      <c r="W1434" s="1"/>
      <c r="X1434" s="96">
        <f ca="1">P_1_minQ-(X1432^2*R_up)+dpup_minQ</f>
        <v>89.088937387336514</v>
      </c>
      <c r="Y1434" s="107"/>
      <c r="Z1434" s="1"/>
      <c r="AA1434" s="96">
        <f ca="1">P_1_minQ-(AA1432^2*R_up)+dpup_minQ</f>
        <v>86.026743482564711</v>
      </c>
      <c r="AB1434" s="107"/>
      <c r="AC1434" s="1"/>
      <c r="AD1434" s="96">
        <f ca="1">P_1_minQ-(AD1432^2*R_up)+dpup_minQ</f>
        <v>78.480930840592691</v>
      </c>
      <c r="AE1434" s="107"/>
      <c r="AF1434" s="1"/>
      <c r="AG1434" s="96">
        <f ca="1">P_1_minQ-(AG1432^2*R_up)+dpup_minQ</f>
        <v>65.252714877593107</v>
      </c>
      <c r="AH1434" s="107"/>
      <c r="AI1434" s="1"/>
      <c r="AJ1434" s="96">
        <f ca="1">P_1_minQ-(AJ1432^2*R_up)+dpup_minQ</f>
        <v>45.783046901477356</v>
      </c>
      <c r="AK1434" s="107"/>
      <c r="AL1434" s="1"/>
      <c r="AM1434" s="96">
        <f ca="1">P_1_minQ-(AM1432^2*R_up)+dpup_minQ</f>
        <v>24.07652251735243</v>
      </c>
      <c r="AN1434" s="107"/>
      <c r="AO1434" s="1"/>
      <c r="AP1434" s="96">
        <f ca="1">P_1_minQ-(AP1432^2*R_up)+dpup_minQ</f>
        <v>1.0807462322981951</v>
      </c>
      <c r="AQ1434" s="107"/>
      <c r="AR1434" s="1"/>
      <c r="AS1434" s="96">
        <f ca="1">P_1_minQ-(AS1432^2*R_up)+dpup_minQ</f>
        <v>-32.328078331812506</v>
      </c>
      <c r="AT1434" s="107"/>
      <c r="AU1434" s="1"/>
    </row>
    <row r="1435" spans="15:47" x14ac:dyDescent="0.25">
      <c r="O1435" s="8" t="s">
        <v>134</v>
      </c>
      <c r="P1435" s="1"/>
      <c r="Q1435" s="8"/>
      <c r="R1435" s="97">
        <f>P_2_minQ+(R1432^2*R_dn)-dpdn_minQ</f>
        <v>60</v>
      </c>
      <c r="S1435" s="106"/>
      <c r="T1435" s="22"/>
      <c r="U1435" s="97">
        <f ca="1">P_2_minQ+(U1432^2*R_dn)-dpdn_minQ</f>
        <v>60</v>
      </c>
      <c r="V1435" s="107"/>
      <c r="W1435" s="1"/>
      <c r="X1435" s="97">
        <f ca="1">P_2_minQ+(X1432^2*R_dn)-dpdn_minQ</f>
        <v>60</v>
      </c>
      <c r="Y1435" s="107"/>
      <c r="Z1435" s="1"/>
      <c r="AA1435" s="97">
        <f ca="1">P_2_minQ+(AA1432^2*R_dn)-dpdn_minQ</f>
        <v>60</v>
      </c>
      <c r="AB1435" s="107"/>
      <c r="AC1435" s="1"/>
      <c r="AD1435" s="97">
        <f ca="1">P_2_minQ+(AD1432^2*R_dn)-dpdn_minQ</f>
        <v>60</v>
      </c>
      <c r="AE1435" s="107"/>
      <c r="AF1435" s="1"/>
      <c r="AG1435" s="97">
        <f ca="1">P_2_minQ+(AG1432^2*R_dn)-dpdn_minQ</f>
        <v>60</v>
      </c>
      <c r="AH1435" s="107"/>
      <c r="AI1435" s="1"/>
      <c r="AJ1435" s="97">
        <f ca="1">P_2_minQ+(AJ1432^2*R_dn)-dpdn_minQ</f>
        <v>60</v>
      </c>
      <c r="AK1435" s="107"/>
      <c r="AL1435" s="1"/>
      <c r="AM1435" s="97">
        <f ca="1">P_2_minQ+(AM1432^2*R_dn)-dpdn_minQ</f>
        <v>60</v>
      </c>
      <c r="AN1435" s="107"/>
      <c r="AO1435" s="1"/>
      <c r="AP1435" s="97">
        <f ca="1">P_2_minQ+(AP1432^2*R_dn)-dpdn_minQ</f>
        <v>60</v>
      </c>
      <c r="AQ1435" s="107"/>
      <c r="AR1435" s="1"/>
      <c r="AS1435" s="97">
        <f ca="1">P_2_minQ+(AS1432^2*R_dn)-dpdn_minQ</f>
        <v>60</v>
      </c>
      <c r="AT1435" s="107"/>
      <c r="AU1435" s="1"/>
    </row>
    <row r="1436" spans="15:47" x14ac:dyDescent="0.25">
      <c r="O1436" s="8" t="s">
        <v>138</v>
      </c>
      <c r="P1436" s="1"/>
      <c r="Q1436" s="8"/>
      <c r="R1436" s="97">
        <f>R1434-R1435</f>
        <v>30.184069346931409</v>
      </c>
      <c r="S1436" s="106"/>
      <c r="T1436" s="22"/>
      <c r="U1436" s="97">
        <f ca="1">U1434-U1435</f>
        <v>30.002228765053133</v>
      </c>
      <c r="V1436" s="110"/>
      <c r="W1436" s="25"/>
      <c r="X1436" s="97">
        <f ca="1">X1434-X1435</f>
        <v>29.088937387336514</v>
      </c>
      <c r="Y1436" s="110"/>
      <c r="Z1436" s="25"/>
      <c r="AA1436" s="97">
        <f ca="1">AA1434-AA1435</f>
        <v>26.026743482564711</v>
      </c>
      <c r="AB1436" s="110"/>
      <c r="AC1436" s="25"/>
      <c r="AD1436" s="97">
        <f ca="1">AD1434-AD1435</f>
        <v>18.480930840592691</v>
      </c>
      <c r="AE1436" s="110"/>
      <c r="AF1436" s="25"/>
      <c r="AG1436" s="97">
        <f ca="1">AG1434-AG1435</f>
        <v>5.2527148775931067</v>
      </c>
      <c r="AH1436" s="110"/>
      <c r="AI1436" s="25"/>
      <c r="AJ1436" s="97">
        <f ca="1">AJ1434-AJ1435</f>
        <v>-14.216953098522644</v>
      </c>
      <c r="AK1436" s="110"/>
      <c r="AL1436" s="25"/>
      <c r="AM1436" s="97">
        <f ca="1">AM1434-AM1435</f>
        <v>-35.92347748264757</v>
      </c>
      <c r="AN1436" s="110"/>
      <c r="AO1436" s="25"/>
      <c r="AP1436" s="97">
        <f ca="1">AP1434-AP1435</f>
        <v>-58.919253767701804</v>
      </c>
      <c r="AQ1436" s="110"/>
      <c r="AR1436" s="25"/>
      <c r="AS1436" s="97">
        <f ca="1">AS1434-AS1435</f>
        <v>-92.328078331812506</v>
      </c>
      <c r="AT1436" s="110"/>
      <c r="AU1436" s="25"/>
    </row>
    <row r="1437" spans="15:47" ht="14.4" x14ac:dyDescent="0.3">
      <c r="O1437" s="2" t="s">
        <v>140</v>
      </c>
      <c r="P1437" s="11"/>
      <c r="Q1437" s="2"/>
      <c r="R1437" s="96">
        <f>R1436/R1434</f>
        <v>0.33469402706608348</v>
      </c>
      <c r="S1437" s="106"/>
      <c r="T1437" s="22"/>
      <c r="U1437" s="96">
        <f ca="1">U1436/U1434</f>
        <v>0.33334984229526843</v>
      </c>
      <c r="V1437" s="111"/>
      <c r="W1437" s="28"/>
      <c r="X1437" s="96">
        <f ca="1">X1436/X1434</f>
        <v>0.32651570711709199</v>
      </c>
      <c r="Y1437" s="111"/>
      <c r="Z1437" s="28"/>
      <c r="AA1437" s="96">
        <f ca="1">AA1436/AA1434</f>
        <v>0.30254247027076675</v>
      </c>
      <c r="AB1437" s="111"/>
      <c r="AC1437" s="28"/>
      <c r="AD1437" s="96">
        <f ca="1">AD1436/AD1434</f>
        <v>0.2354830739473569</v>
      </c>
      <c r="AE1437" s="111"/>
      <c r="AF1437" s="28"/>
      <c r="AG1437" s="96">
        <f ca="1">AG1436/AG1434</f>
        <v>8.0498028127206966E-2</v>
      </c>
      <c r="AH1437" s="111"/>
      <c r="AI1437" s="28"/>
      <c r="AJ1437" s="96">
        <f ca="1">AJ1436/AJ1434</f>
        <v>-0.31052876688431769</v>
      </c>
      <c r="AK1437" s="111"/>
      <c r="AL1437" s="28"/>
      <c r="AM1437" s="96">
        <f ca="1">AM1436/AM1434</f>
        <v>-1.4920542390105052</v>
      </c>
      <c r="AN1437" s="111"/>
      <c r="AO1437" s="28"/>
      <c r="AP1437" s="96">
        <f ca="1">AP1436/AP1434</f>
        <v>-54.517195625480603</v>
      </c>
      <c r="AQ1437" s="111"/>
      <c r="AR1437" s="28"/>
      <c r="AS1437" s="96">
        <f ca="1">AS1436/AS1434</f>
        <v>2.8559717464231977</v>
      </c>
      <c r="AT1437" s="111"/>
      <c r="AU1437" s="28"/>
    </row>
    <row r="1438" spans="15:47" x14ac:dyDescent="0.25">
      <c r="O1438" s="2" t="s">
        <v>21</v>
      </c>
      <c r="P1438" s="8">
        <v>12</v>
      </c>
      <c r="Q1438" s="2"/>
      <c r="R1438" s="96">
        <f ca="1">1-R1437/(3*F_GAMMA*R$29)</f>
        <v>0.8256882827123796</v>
      </c>
      <c r="S1438" s="106"/>
      <c r="T1438" s="22"/>
      <c r="U1438" s="96">
        <f ca="1">1-U1437/(3*F_GAMMA*U$29)</f>
        <v>0.82642867906045003</v>
      </c>
      <c r="V1438" s="111"/>
      <c r="W1438" s="28"/>
      <c r="X1438" s="96">
        <f ca="1">1-X1437/(3*F_GAMMA*X$29)</f>
        <v>0.8283678907376274</v>
      </c>
      <c r="Y1438" s="111"/>
      <c r="Z1438" s="28"/>
      <c r="AA1438" s="96">
        <f ca="1">1-AA1437/(3*F_GAMMA*AA$29)</f>
        <v>0.83872764976212943</v>
      </c>
      <c r="AB1438" s="111"/>
      <c r="AC1438" s="28"/>
      <c r="AD1438" s="96">
        <f ca="1">1-AD1437/(3*F_GAMMA*AD$29)</f>
        <v>0.87058104118733892</v>
      </c>
      <c r="AE1438" s="111"/>
      <c r="AF1438" s="28"/>
      <c r="AG1438" s="96">
        <f ca="1">1-AG1437/(3*F_GAMMA*AG$29)</f>
        <v>0.95310442731968237</v>
      </c>
      <c r="AH1438" s="111"/>
      <c r="AI1438" s="28"/>
      <c r="AJ1438" s="96">
        <f ca="1">1-AJ1437/(3*F_GAMMA*AJ$29)</f>
        <v>1.1946280579764808</v>
      </c>
      <c r="AK1438" s="111"/>
      <c r="AL1438" s="28"/>
      <c r="AM1438" s="96">
        <f ca="1">1-AM1437/(3*F_GAMMA*AM$29)</f>
        <v>2.0455915029951943</v>
      </c>
      <c r="AN1438" s="111"/>
      <c r="AO1438" s="28"/>
      <c r="AP1438" s="96">
        <f ca="1">1-AP1437/(3*F_GAMMA*AP$29)</f>
        <v>31.772428353108175</v>
      </c>
      <c r="AQ1438" s="111"/>
      <c r="AR1438" s="28"/>
      <c r="AS1438" s="96">
        <f ca="1">1-AS1437/(3*F_GAMMA*AS$29)</f>
        <v>-1.5272523688722806</v>
      </c>
      <c r="AT1438" s="111"/>
      <c r="AU1438" s="28"/>
    </row>
    <row r="1439" spans="15:47" x14ac:dyDescent="0.25">
      <c r="O1439" s="2" t="s">
        <v>57</v>
      </c>
      <c r="P1439" s="143">
        <v>7</v>
      </c>
      <c r="Q1439" s="2"/>
      <c r="R1439" s="96">
        <f ca="1">(R1432/(N_9*R$27*R1434*R1438))*SQRT(M*'Valve Sizing'!$W$6*'Valve Sizing'!$G$8/R1437)</f>
        <v>0.93222327839614294</v>
      </c>
      <c r="S1439" s="107"/>
      <c r="T1439" s="22"/>
      <c r="U1439" s="96">
        <f ca="1">(U1432/(N_9*U$27*U1434*U1438))*SQRT(M*'Valve Sizing'!$W$6*'Valve Sizing'!$G$8/U1437)</f>
        <v>12.838592946683244</v>
      </c>
      <c r="V1439" s="111"/>
      <c r="W1439" s="28"/>
      <c r="X1439" s="96">
        <f ca="1">(X1432/(N_9*X$27*X1434*X1438))*SQRT(M*'Valve Sizing'!$W$6*'Valve Sizing'!$G$8/X1437)</f>
        <v>32.088496359432163</v>
      </c>
      <c r="Y1439" s="111"/>
      <c r="Z1439" s="28"/>
      <c r="AA1439" s="96">
        <f ca="1">(AA1432/(N_9*AA$27*AA1434*AA1438))*SQRT(M*'Valve Sizing'!$W$6*'Valve Sizing'!$G$8/AA1437)</f>
        <v>66.80400283262945</v>
      </c>
      <c r="AB1439" s="111"/>
      <c r="AC1439" s="28"/>
      <c r="AD1439" s="96">
        <f ca="1">(AD1432/(N_9*AD$27*AD1434*AD1438))*SQRT(M*'Valve Sizing'!$W$6*'Valve Sizing'!$G$8/AD1437)</f>
        <v>135.81734932249819</v>
      </c>
      <c r="AE1439" s="111"/>
      <c r="AF1439" s="28"/>
      <c r="AG1439" s="96">
        <f ca="1">(AG1432/(N_9*AG$27*AG1434*AG1438))*SQRT(M*'Valve Sizing'!$W$6*'Valve Sizing'!$G$8/AG1437)</f>
        <v>380.85027459382519</v>
      </c>
      <c r="AH1439" s="111"/>
      <c r="AI1439" s="28"/>
      <c r="AJ1439" s="96" t="e">
        <f ca="1">(AJ1432/(N_9*AJ$27*AJ1434*AJ1438))*SQRT(M*'Valve Sizing'!$W$6*'Valve Sizing'!$G$8/AJ1437)</f>
        <v>#NUM!</v>
      </c>
      <c r="AK1439" s="111"/>
      <c r="AL1439" s="28"/>
      <c r="AM1439" s="96" t="e">
        <f ca="1">(AM1432/(N_9*AM$27*AM1434*AM1438))*SQRT(M*'Valve Sizing'!$W$6*'Valve Sizing'!$G$8/AM1437)</f>
        <v>#NUM!</v>
      </c>
      <c r="AN1439" s="111"/>
      <c r="AO1439" s="28"/>
      <c r="AP1439" s="96" t="e">
        <f ca="1">(AP1432/(N_9*AP$27*AP1434*AP1438))*SQRT(M*'Valve Sizing'!$W$6*'Valve Sizing'!$G$8/AP1437)</f>
        <v>#NUM!</v>
      </c>
      <c r="AQ1439" s="111"/>
      <c r="AR1439" s="28"/>
      <c r="AS1439" s="96">
        <f ca="1">(AS1432/(N_9*AS$27*AS1434*AS1438))*SQRT(M*'Valve Sizing'!$W$6*'Valve Sizing'!$G$8/AS1437)</f>
        <v>299.2219409640652</v>
      </c>
      <c r="AT1439" s="111"/>
      <c r="AU1439" s="28"/>
    </row>
    <row r="1440" spans="15:47" x14ac:dyDescent="0.25">
      <c r="O1440" s="2" t="s">
        <v>59</v>
      </c>
      <c r="P1440" s="143">
        <v>7</v>
      </c>
      <c r="Q1440" s="2"/>
      <c r="R1440" s="96">
        <f ca="1">(R1432/(N_9*R$27*R1434*0.667))*SQRT(M*'Valve Sizing'!$W$6*'Valve Sizing'!$G$8/R1441)</f>
        <v>0.8345150036533665</v>
      </c>
      <c r="S1440" s="107"/>
      <c r="T1440" s="22"/>
      <c r="U1440" s="96">
        <f ca="1">(U1432/(N_9*U$27*U1434*0.667))*SQRT(M*'Valve Sizing'!$W$6*'Valve Sizing'!$G$8/U1441)</f>
        <v>11.47880259306611</v>
      </c>
      <c r="V1440" s="111"/>
      <c r="W1440" s="28"/>
      <c r="X1440" s="96">
        <f ca="1">(X1432/(N_9*X$27*X1434*0.667))*SQRT(M*'Valve Sizing'!$W$6*'Valve Sizing'!$G$8/X1441)</f>
        <v>28.596092064644367</v>
      </c>
      <c r="Y1440" s="111"/>
      <c r="Z1440" s="28"/>
      <c r="AA1440" s="96">
        <f ca="1">(AA1432/(N_9*AA$27*AA1434*0.667))*SQRT(M*'Valve Sizing'!$W$6*'Valve Sizing'!$G$8/AA1441)</f>
        <v>58.430310889476409</v>
      </c>
      <c r="AB1440" s="111"/>
      <c r="AC1440" s="28"/>
      <c r="AD1440" s="96">
        <f ca="1">(AD1432/(N_9*AD$27*AD1434*0.667))*SQRT(M*'Valve Sizing'!$W$6*'Valve Sizing'!$G$8/AD1441)</f>
        <v>110.45826052159981</v>
      </c>
      <c r="AE1440" s="111"/>
      <c r="AF1440" s="28"/>
      <c r="AG1440" s="96">
        <f ca="1">(AG1432/(N_9*AG$27*AG1434*0.667))*SQRT(M*'Valve Sizing'!$W$6*'Valve Sizing'!$G$8/AG1441)</f>
        <v>204.12466043776959</v>
      </c>
      <c r="AH1440" s="111"/>
      <c r="AI1440" s="28"/>
      <c r="AJ1440" s="96">
        <f ca="1">(AJ1432/(N_9*AJ$27*AJ1434*0.667))*SQRT(M*'Valve Sizing'!$W$6*'Valve Sizing'!$G$8/AJ1441)</f>
        <v>417.26384147936221</v>
      </c>
      <c r="AK1440" s="111"/>
      <c r="AL1440" s="28"/>
      <c r="AM1440" s="96">
        <f ca="1">(AM1432/(N_9*AM$27*AM1434*0.667))*SQRT(M*'Valve Sizing'!$W$6*'Valve Sizing'!$G$8/AM1441)</f>
        <v>1086.1874087627903</v>
      </c>
      <c r="AN1440" s="111"/>
      <c r="AO1440" s="28"/>
      <c r="AP1440" s="96">
        <f ca="1">(AP1432/(N_9*AP$27*AP1434*0.667))*SQRT(M*'Valve Sizing'!$W$6*'Valve Sizing'!$G$8/AP1441)</f>
        <v>28697.051697736722</v>
      </c>
      <c r="AQ1440" s="111"/>
      <c r="AR1440" s="28"/>
      <c r="AS1440" s="96">
        <f ca="1">(AS1432/(N_9*AS$27*AS1434*0.667))*SQRT(M*'Valve Sizing'!$W$6*'Valve Sizing'!$G$8/AS1441)</f>
        <v>-1886.5283794286095</v>
      </c>
      <c r="AT1440" s="111"/>
      <c r="AU1440" s="28"/>
    </row>
    <row r="1441" spans="15:47" ht="15.6" x14ac:dyDescent="0.35">
      <c r="O1441" s="2" t="s">
        <v>68</v>
      </c>
      <c r="P1441" s="143">
        <v>10</v>
      </c>
      <c r="Q1441" s="2"/>
      <c r="R1441" s="96">
        <f ca="1">F_GAMMA*R$29</f>
        <v>0.64002969751372984</v>
      </c>
      <c r="S1441" s="107"/>
      <c r="T1441" s="1"/>
      <c r="U1441" s="96">
        <f ca="1">F_GAMMA*U$29</f>
        <v>0.64017842058782071</v>
      </c>
      <c r="V1441" s="111"/>
      <c r="W1441" s="28"/>
      <c r="X1441" s="96">
        <f ca="1">F_GAMMA*X$29</f>
        <v>0.63413873724904268</v>
      </c>
      <c r="Y1441" s="111"/>
      <c r="Z1441" s="28"/>
      <c r="AA1441" s="96">
        <f ca="1">F_GAMMA*AA$29</f>
        <v>0.62532411750377137</v>
      </c>
      <c r="AB1441" s="111"/>
      <c r="AC1441" s="28"/>
      <c r="AD1441" s="96">
        <f ca="1">F_GAMMA*AD$29</f>
        <v>0.60651359509139569</v>
      </c>
      <c r="AE1441" s="111"/>
      <c r="AF1441" s="28"/>
      <c r="AG1441" s="96">
        <f ca="1">F_GAMMA*AG$29</f>
        <v>0.57217930198481592</v>
      </c>
      <c r="AH1441" s="111"/>
      <c r="AI1441" s="28"/>
      <c r="AJ1441" s="96">
        <f ca="1">F_GAMMA*AJ$29</f>
        <v>0.53183282018848232</v>
      </c>
      <c r="AK1441" s="111"/>
      <c r="AL1441" s="28"/>
      <c r="AM1441" s="96">
        <f ca="1">F_GAMMA*AM$29</f>
        <v>0.47566512503094399</v>
      </c>
      <c r="AN1441" s="111"/>
      <c r="AO1441" s="28"/>
      <c r="AP1441" s="96">
        <f ca="1">F_GAMMA*AP$29</f>
        <v>0.59054158265645496</v>
      </c>
      <c r="AQ1441" s="111"/>
      <c r="AR1441" s="28"/>
      <c r="AS1441" s="96">
        <f ca="1">F_GAMMA*AS$29</f>
        <v>0.3766899554102966</v>
      </c>
      <c r="AT1441" s="111"/>
      <c r="AU1441" s="28"/>
    </row>
    <row r="1442" spans="15:47" x14ac:dyDescent="0.25">
      <c r="O1442" s="2" t="s">
        <v>145</v>
      </c>
      <c r="P1442" s="12"/>
      <c r="Q1442" s="2"/>
      <c r="R1442" s="96">
        <f ca="1">IF(R1437&lt;R1441,R1439,R1440)</f>
        <v>0.93222327839614294</v>
      </c>
      <c r="S1442" s="116"/>
      <c r="T1442" s="1"/>
      <c r="U1442" s="96">
        <f ca="1">IF(U1437&lt;U1441,U1439,U1440)</f>
        <v>12.838592946683244</v>
      </c>
      <c r="V1442" s="111"/>
      <c r="W1442" s="28"/>
      <c r="X1442" s="96">
        <f ca="1">IF(X1437&lt;X1441,X1439,X1440)</f>
        <v>32.088496359432163</v>
      </c>
      <c r="Y1442" s="111"/>
      <c r="Z1442" s="28"/>
      <c r="AA1442" s="96">
        <f ca="1">IF(AA1437&lt;AA1441,AA1439,AA1440)</f>
        <v>66.80400283262945</v>
      </c>
      <c r="AB1442" s="111"/>
      <c r="AC1442" s="28"/>
      <c r="AD1442" s="96">
        <f ca="1">IF(AD1437&lt;AD1441,AD1439,AD1440)</f>
        <v>135.81734932249819</v>
      </c>
      <c r="AE1442" s="111"/>
      <c r="AF1442" s="28"/>
      <c r="AG1442" s="96">
        <f ca="1">IF(AG1437&lt;AG1441,AG1439,AG1440)</f>
        <v>380.85027459382519</v>
      </c>
      <c r="AH1442" s="111"/>
      <c r="AI1442" s="28"/>
      <c r="AJ1442" s="96" t="e">
        <f ca="1">IF(AJ1437&lt;AJ1441,AJ1439,AJ1440)</f>
        <v>#NUM!</v>
      </c>
      <c r="AK1442" s="111"/>
      <c r="AL1442" s="28"/>
      <c r="AM1442" s="96" t="e">
        <f ca="1">IF(AM1437&lt;AM1441,AM1439,AM1440)</f>
        <v>#NUM!</v>
      </c>
      <c r="AN1442" s="111"/>
      <c r="AO1442" s="28"/>
      <c r="AP1442" s="96" t="e">
        <f ca="1">IF(AP1437&lt;AP1441,AP1439,AP1440)</f>
        <v>#NUM!</v>
      </c>
      <c r="AQ1442" s="111"/>
      <c r="AR1442" s="28"/>
      <c r="AS1442" s="96">
        <f ca="1">IF(AS1437&lt;AS1441,AS1439,AS1440)</f>
        <v>-1886.5283794286095</v>
      </c>
      <c r="AT1442" s="111"/>
      <c r="AU1442" s="28"/>
    </row>
    <row r="1443" spans="15:47" x14ac:dyDescent="0.25">
      <c r="O1443" s="13" t="s">
        <v>143</v>
      </c>
      <c r="P1443" s="1"/>
      <c r="Q1443" s="1"/>
      <c r="R1443" s="113"/>
      <c r="S1443" s="106">
        <f ca="1">IF(R1436&lt;=0,Q_max,ABS(R$23-R1442))</f>
        <v>3.7977767216038574</v>
      </c>
      <c r="T1443" s="7">
        <f>R1432</f>
        <v>2308.3615926587463</v>
      </c>
      <c r="U1443" s="98"/>
      <c r="V1443" s="106">
        <f ca="1">IF(U1436&lt;=0,Q_max,ABS(U$23-U1442))</f>
        <v>1.2385929466832444</v>
      </c>
      <c r="W1443" s="9">
        <f ca="1">U1432</f>
        <v>31670.527901824455</v>
      </c>
      <c r="X1443" s="98"/>
      <c r="Y1443" s="106">
        <f ca="1">IF(X1436&lt;=0,Q_max,ABS(X$23-X1442))</f>
        <v>9.0884963594321633</v>
      </c>
      <c r="Z1443" s="9">
        <f ca="1">X1432</f>
        <v>77549.489443773768</v>
      </c>
      <c r="AA1443" s="98"/>
      <c r="AB1443" s="106">
        <f ca="1">IF(AA1436&lt;=0,Q_max,ABS(AA$23-AA1442))</f>
        <v>27.404002832629452</v>
      </c>
      <c r="AC1443" s="9">
        <f ca="1">AA1432</f>
        <v>151046.61128498355</v>
      </c>
      <c r="AD1443" s="98"/>
      <c r="AE1443" s="106">
        <f ca="1">IF(AD1436&lt;=0,Q_max,ABS(AD$23-AD1442))</f>
        <v>74.817349322498188</v>
      </c>
      <c r="AF1443" s="9">
        <f ca="1">AD1432</f>
        <v>253409.22637733669</v>
      </c>
      <c r="AG1443" s="98"/>
      <c r="AH1443" s="106">
        <f ca="1">IF(AG1436&lt;=0,Q_max,ABS(AG$23-AG1442))</f>
        <v>292.6502745938252</v>
      </c>
      <c r="AI1443" s="9">
        <f ca="1">AG1432</f>
        <v>369857.66778733872</v>
      </c>
      <c r="AJ1443" s="98"/>
      <c r="AK1443" s="106">
        <f ca="1">IF(AJ1436&lt;=0,Q_max,ABS(AJ$23-AJ1442))</f>
        <v>236393</v>
      </c>
      <c r="AL1443" s="9">
        <f ca="1">AJ1432</f>
        <v>493576.49144031951</v>
      </c>
      <c r="AM1443" s="98"/>
      <c r="AN1443" s="106">
        <f ca="1">IF(AM1436&lt;=0,Q_max,ABS(AM$23-AM1442))</f>
        <v>236393</v>
      </c>
      <c r="AO1443" s="9">
        <f ca="1">AM1432</f>
        <v>602257.11880794086</v>
      </c>
      <c r="AP1443" s="98"/>
      <c r="AQ1443" s="106">
        <f ca="1">IF(AP1436&lt;=0,Q_max,ABS(AP$23-AP1442))</f>
        <v>236393</v>
      </c>
      <c r="AR1443" s="9">
        <f ca="1">AP1432</f>
        <v>699201.81808660028</v>
      </c>
      <c r="AS1443" s="98"/>
      <c r="AT1443" s="106">
        <f ca="1">IF(AS1436&lt;=0,Q_max,ABS(AS$23-AS1442))</f>
        <v>236393</v>
      </c>
      <c r="AU1443" s="9">
        <f ca="1">AS1432</f>
        <v>819869.12038017216</v>
      </c>
    </row>
    <row r="1444" spans="15:47" x14ac:dyDescent="0.25">
      <c r="O1444" s="21"/>
      <c r="P1444" s="14"/>
      <c r="Q1444" s="21"/>
      <c r="R1444" s="97"/>
      <c r="S1444" s="106"/>
      <c r="T1444" s="28"/>
      <c r="U1444" s="97"/>
      <c r="V1444" s="111"/>
      <c r="W1444" s="28"/>
      <c r="X1444" s="97"/>
      <c r="Y1444" s="111"/>
      <c r="Z1444" s="28"/>
      <c r="AA1444" s="97"/>
      <c r="AB1444" s="111"/>
      <c r="AC1444" s="28"/>
      <c r="AD1444" s="97"/>
      <c r="AE1444" s="111"/>
      <c r="AF1444" s="28"/>
      <c r="AG1444" s="97"/>
      <c r="AH1444" s="111"/>
      <c r="AI1444" s="28"/>
      <c r="AJ1444" s="97"/>
      <c r="AK1444" s="111"/>
      <c r="AL1444" s="28"/>
      <c r="AM1444" s="97"/>
      <c r="AN1444" s="111"/>
      <c r="AO1444" s="28"/>
      <c r="AP1444" s="97"/>
      <c r="AQ1444" s="111"/>
      <c r="AR1444" s="28"/>
      <c r="AS1444" s="97"/>
      <c r="AT1444" s="111"/>
      <c r="AU1444" s="28"/>
    </row>
    <row r="1445" spans="15:47" x14ac:dyDescent="0.25">
      <c r="O1445" s="1"/>
      <c r="P1445" s="1"/>
      <c r="Q1445" s="1"/>
      <c r="R1445" s="98"/>
      <c r="S1445" s="108" t="s">
        <v>137</v>
      </c>
      <c r="T1445" s="26" t="s">
        <v>146</v>
      </c>
      <c r="U1445" s="98"/>
      <c r="V1445" s="108" t="s">
        <v>137</v>
      </c>
      <c r="W1445" s="26" t="s">
        <v>146</v>
      </c>
      <c r="X1445" s="98"/>
      <c r="Y1445" s="108" t="s">
        <v>137</v>
      </c>
      <c r="Z1445" s="26" t="s">
        <v>146</v>
      </c>
      <c r="AA1445" s="98"/>
      <c r="AB1445" s="108" t="s">
        <v>137</v>
      </c>
      <c r="AC1445" s="26" t="s">
        <v>146</v>
      </c>
      <c r="AD1445" s="98"/>
      <c r="AE1445" s="108" t="s">
        <v>137</v>
      </c>
      <c r="AF1445" s="26" t="s">
        <v>146</v>
      </c>
      <c r="AG1445" s="98"/>
      <c r="AH1445" s="108" t="s">
        <v>137</v>
      </c>
      <c r="AI1445" s="26" t="s">
        <v>146</v>
      </c>
      <c r="AJ1445" s="98"/>
      <c r="AK1445" s="108" t="s">
        <v>137</v>
      </c>
      <c r="AL1445" s="26" t="s">
        <v>146</v>
      </c>
      <c r="AM1445" s="98"/>
      <c r="AN1445" s="108" t="s">
        <v>137</v>
      </c>
      <c r="AO1445" s="26" t="s">
        <v>146</v>
      </c>
      <c r="AP1445" s="98"/>
      <c r="AQ1445" s="108" t="s">
        <v>137</v>
      </c>
      <c r="AR1445" s="26" t="s">
        <v>146</v>
      </c>
      <c r="AS1445" s="98"/>
      <c r="AT1445" s="108" t="s">
        <v>137</v>
      </c>
      <c r="AU1445" s="26" t="s">
        <v>146</v>
      </c>
    </row>
    <row r="1446" spans="15:47" ht="13.8" x14ac:dyDescent="0.25">
      <c r="O1446" s="20" t="s">
        <v>136</v>
      </c>
      <c r="P1446" s="1"/>
      <c r="Q1446" s="1"/>
      <c r="R1446" s="96">
        <f>R1432*1.02</f>
        <v>2354.5288245119214</v>
      </c>
      <c r="S1446" s="109" t="s">
        <v>144</v>
      </c>
      <c r="T1446" s="23" t="s">
        <v>147</v>
      </c>
      <c r="U1446" s="96">
        <f ca="1">U1432*1.01</f>
        <v>31987.233180842701</v>
      </c>
      <c r="V1446" s="109" t="s">
        <v>144</v>
      </c>
      <c r="W1446" s="23" t="s">
        <v>147</v>
      </c>
      <c r="X1446" s="96">
        <f ca="1">X1432*1.01</f>
        <v>78324.984338211507</v>
      </c>
      <c r="Y1446" s="109" t="s">
        <v>144</v>
      </c>
      <c r="Z1446" s="23" t="s">
        <v>147</v>
      </c>
      <c r="AA1446" s="96">
        <f ca="1">AA1432*1.01</f>
        <v>152557.07739783337</v>
      </c>
      <c r="AB1446" s="109" t="s">
        <v>144</v>
      </c>
      <c r="AC1446" s="23" t="s">
        <v>147</v>
      </c>
      <c r="AD1446" s="96">
        <f ca="1">AD1432*1.01</f>
        <v>255943.31864111006</v>
      </c>
      <c r="AE1446" s="109" t="s">
        <v>144</v>
      </c>
      <c r="AF1446" s="23" t="s">
        <v>147</v>
      </c>
      <c r="AG1446" s="96">
        <f ca="1">AG1432*1.01</f>
        <v>373556.2444652121</v>
      </c>
      <c r="AH1446" s="109" t="s">
        <v>144</v>
      </c>
      <c r="AI1446" s="23" t="s">
        <v>147</v>
      </c>
      <c r="AJ1446" s="96">
        <f ca="1">AJ1432*1.01</f>
        <v>498512.25635472272</v>
      </c>
      <c r="AK1446" s="109" t="s">
        <v>144</v>
      </c>
      <c r="AL1446" s="23" t="s">
        <v>147</v>
      </c>
      <c r="AM1446" s="96">
        <f ca="1">AM1432*1.01</f>
        <v>608279.68999602029</v>
      </c>
      <c r="AN1446" s="109" t="s">
        <v>144</v>
      </c>
      <c r="AO1446" s="23" t="s">
        <v>147</v>
      </c>
      <c r="AP1446" s="96">
        <f ca="1">AP1432*1.01</f>
        <v>706193.83626746631</v>
      </c>
      <c r="AQ1446" s="109" t="s">
        <v>144</v>
      </c>
      <c r="AR1446" s="23" t="s">
        <v>147</v>
      </c>
      <c r="AS1446" s="96">
        <f ca="1">AS1432*1.01</f>
        <v>828067.81158397393</v>
      </c>
      <c r="AT1446" s="109" t="s">
        <v>144</v>
      </c>
      <c r="AU1446" s="23" t="s">
        <v>147</v>
      </c>
    </row>
    <row r="1447" spans="15:47" x14ac:dyDescent="0.25">
      <c r="O1447" s="1"/>
      <c r="P1447" s="1"/>
      <c r="Q1447" s="1"/>
      <c r="R1447" s="98"/>
      <c r="S1447" s="107"/>
      <c r="T1447" s="1"/>
      <c r="U1447" s="47"/>
      <c r="V1447" s="107"/>
      <c r="W1447" s="1"/>
      <c r="X1447" s="47"/>
      <c r="Y1447" s="107"/>
      <c r="Z1447" s="1"/>
      <c r="AA1447" s="47"/>
      <c r="AB1447" s="107"/>
      <c r="AC1447" s="1"/>
      <c r="AD1447" s="47"/>
      <c r="AE1447" s="107"/>
      <c r="AF1447" s="1"/>
      <c r="AG1447" s="47"/>
      <c r="AH1447" s="107"/>
      <c r="AI1447" s="1"/>
      <c r="AJ1447" s="47"/>
      <c r="AK1447" s="107"/>
      <c r="AL1447" s="1"/>
      <c r="AM1447" s="47"/>
      <c r="AN1447" s="107"/>
      <c r="AO1447" s="1"/>
      <c r="AP1447" s="47"/>
      <c r="AQ1447" s="107"/>
      <c r="AR1447" s="1"/>
      <c r="AS1447" s="47"/>
      <c r="AT1447" s="107"/>
      <c r="AU1447" s="1"/>
    </row>
    <row r="1448" spans="15:47" x14ac:dyDescent="0.25">
      <c r="O1448" s="8" t="s">
        <v>132</v>
      </c>
      <c r="P1448" s="8"/>
      <c r="Q1448" s="8"/>
      <c r="R1448" s="96">
        <f>P_1_minQ-(R1446^2*R_up)+dpup_minQ</f>
        <v>90.184030111125111</v>
      </c>
      <c r="S1448" s="106"/>
      <c r="T1448" s="22"/>
      <c r="U1448" s="96">
        <f ca="1">P_1_minQ-(U1446^2*R_up)+dpup_minQ</f>
        <v>89.99855424857256</v>
      </c>
      <c r="V1448" s="107"/>
      <c r="W1448" s="1"/>
      <c r="X1448" s="96">
        <f ca="1">P_1_minQ-(X1446^2*R_up)+dpup_minQ</f>
        <v>89.066905714163838</v>
      </c>
      <c r="Y1448" s="107"/>
      <c r="Z1448" s="1"/>
      <c r="AA1448" s="96">
        <f ca="1">P_1_minQ-(AA1446^2*R_up)+dpup_minQ</f>
        <v>85.943161711906129</v>
      </c>
      <c r="AB1448" s="107"/>
      <c r="AC1448" s="1"/>
      <c r="AD1448" s="96">
        <f ca="1">P_1_minQ-(AD1446^2*R_up)+dpup_minQ</f>
        <v>78.245678235830468</v>
      </c>
      <c r="AE1448" s="107"/>
      <c r="AF1448" s="1"/>
      <c r="AG1448" s="96">
        <f ca="1">P_1_minQ-(AG1446^2*R_up)+dpup_minQ</f>
        <v>64.75157513197459</v>
      </c>
      <c r="AH1448" s="107"/>
      <c r="AI1448" s="1"/>
      <c r="AJ1448" s="96">
        <f ca="1">P_1_minQ-(AJ1446^2*R_up)+dpup_minQ</f>
        <v>44.890566829538912</v>
      </c>
      <c r="AK1448" s="107"/>
      <c r="AL1448" s="1"/>
      <c r="AM1448" s="96">
        <f ca="1">P_1_minQ-(AM1446^2*R_up)+dpup_minQ</f>
        <v>22.747741305293076</v>
      </c>
      <c r="AN1448" s="107"/>
      <c r="AO1448" s="1"/>
      <c r="AP1448" s="96">
        <f ca="1">P_1_minQ-(AP1446^2*R_up)+dpup_minQ</f>
        <v>-0.71025008309074289</v>
      </c>
      <c r="AQ1448" s="107"/>
      <c r="AR1448" s="1"/>
      <c r="AS1448" s="96">
        <f ca="1">P_1_minQ-(AS1446^2*R_up)+dpup_minQ</f>
        <v>-34.790592020940096</v>
      </c>
      <c r="AT1448" s="107"/>
      <c r="AU1448" s="1"/>
    </row>
    <row r="1449" spans="15:47" x14ac:dyDescent="0.25">
      <c r="O1449" s="8" t="s">
        <v>134</v>
      </c>
      <c r="P1449" s="1"/>
      <c r="Q1449" s="8"/>
      <c r="R1449" s="97">
        <f>P_2_minQ+(R1446^2*R_dn)-dpdn_minQ</f>
        <v>60</v>
      </c>
      <c r="S1449" s="106"/>
      <c r="T1449" s="22"/>
      <c r="U1449" s="97">
        <f ca="1">P_2_minQ+(U1446^2*R_dn)-dpdn_minQ</f>
        <v>60</v>
      </c>
      <c r="V1449" s="107"/>
      <c r="W1449" s="1"/>
      <c r="X1449" s="97">
        <f ca="1">P_2_minQ+(X1446^2*R_dn)-dpdn_minQ</f>
        <v>60</v>
      </c>
      <c r="Y1449" s="107"/>
      <c r="Z1449" s="1"/>
      <c r="AA1449" s="97">
        <f ca="1">P_2_minQ+(AA1446^2*R_dn)-dpdn_minQ</f>
        <v>60</v>
      </c>
      <c r="AB1449" s="107"/>
      <c r="AC1449" s="1"/>
      <c r="AD1449" s="97">
        <f ca="1">P_2_minQ+(AD1446^2*R_dn)-dpdn_minQ</f>
        <v>60</v>
      </c>
      <c r="AE1449" s="107"/>
      <c r="AF1449" s="1"/>
      <c r="AG1449" s="97">
        <f ca="1">P_2_minQ+(AG1446^2*R_dn)-dpdn_minQ</f>
        <v>60</v>
      </c>
      <c r="AH1449" s="107"/>
      <c r="AI1449" s="1"/>
      <c r="AJ1449" s="97">
        <f ca="1">P_2_minQ+(AJ1446^2*R_dn)-dpdn_minQ</f>
        <v>60</v>
      </c>
      <c r="AK1449" s="107"/>
      <c r="AL1449" s="1"/>
      <c r="AM1449" s="97">
        <f ca="1">P_2_minQ+(AM1446^2*R_dn)-dpdn_minQ</f>
        <v>60</v>
      </c>
      <c r="AN1449" s="107"/>
      <c r="AO1449" s="1"/>
      <c r="AP1449" s="97">
        <f ca="1">P_2_minQ+(AP1446^2*R_dn)-dpdn_minQ</f>
        <v>60</v>
      </c>
      <c r="AQ1449" s="107"/>
      <c r="AR1449" s="1"/>
      <c r="AS1449" s="97">
        <f ca="1">P_2_minQ+(AS1446^2*R_dn)-dpdn_minQ</f>
        <v>60</v>
      </c>
      <c r="AT1449" s="107"/>
      <c r="AU1449" s="1"/>
    </row>
    <row r="1450" spans="15:47" x14ac:dyDescent="0.25">
      <c r="O1450" s="8" t="s">
        <v>138</v>
      </c>
      <c r="P1450" s="1"/>
      <c r="Q1450" s="8"/>
      <c r="R1450" s="97">
        <f>R1448-R1449</f>
        <v>30.184030111125111</v>
      </c>
      <c r="S1450" s="106"/>
      <c r="T1450" s="22"/>
      <c r="U1450" s="97">
        <f ca="1">U1448-U1449</f>
        <v>29.99855424857256</v>
      </c>
      <c r="V1450" s="110"/>
      <c r="W1450" s="25"/>
      <c r="X1450" s="97">
        <f ca="1">X1448-X1449</f>
        <v>29.066905714163838</v>
      </c>
      <c r="Y1450" s="110"/>
      <c r="Z1450" s="25"/>
      <c r="AA1450" s="97">
        <f ca="1">AA1448-AA1449</f>
        <v>25.943161711906129</v>
      </c>
      <c r="AB1450" s="110"/>
      <c r="AC1450" s="25"/>
      <c r="AD1450" s="97">
        <f ca="1">AD1448-AD1449</f>
        <v>18.245678235830468</v>
      </c>
      <c r="AE1450" s="110"/>
      <c r="AF1450" s="25"/>
      <c r="AG1450" s="97">
        <f ca="1">AG1448-AG1449</f>
        <v>4.7515751319745902</v>
      </c>
      <c r="AH1450" s="110"/>
      <c r="AI1450" s="25"/>
      <c r="AJ1450" s="97">
        <f ca="1">AJ1448-AJ1449</f>
        <v>-15.109433170461088</v>
      </c>
      <c r="AK1450" s="110"/>
      <c r="AL1450" s="25"/>
      <c r="AM1450" s="97">
        <f ca="1">AM1448-AM1449</f>
        <v>-37.252258694706924</v>
      </c>
      <c r="AN1450" s="110"/>
      <c r="AO1450" s="25"/>
      <c r="AP1450" s="97">
        <f ca="1">AP1448-AP1449</f>
        <v>-60.710250083090742</v>
      </c>
      <c r="AQ1450" s="110"/>
      <c r="AR1450" s="25"/>
      <c r="AS1450" s="97">
        <f ca="1">AS1448-AS1449</f>
        <v>-94.790592020940096</v>
      </c>
      <c r="AT1450" s="110"/>
      <c r="AU1450" s="25"/>
    </row>
    <row r="1451" spans="15:47" ht="14.4" x14ac:dyDescent="0.3">
      <c r="O1451" s="2" t="s">
        <v>140</v>
      </c>
      <c r="P1451" s="11"/>
      <c r="Q1451" s="2"/>
      <c r="R1451" s="96">
        <f>R1450/R1448</f>
        <v>0.33469373761554272</v>
      </c>
      <c r="S1451" s="106"/>
      <c r="T1451" s="22"/>
      <c r="U1451" s="96">
        <f ca="1">U1450/U1448</f>
        <v>0.333322623891465</v>
      </c>
      <c r="V1451" s="111"/>
      <c r="W1451" s="28"/>
      <c r="X1451" s="96">
        <f ca="1">X1450/X1448</f>
        <v>0.32634911341195816</v>
      </c>
      <c r="Y1451" s="111"/>
      <c r="Z1451" s="28"/>
      <c r="AA1451" s="96">
        <f ca="1">AA1450/AA1448</f>
        <v>0.30186417621999234</v>
      </c>
      <c r="AB1451" s="111"/>
      <c r="AC1451" s="28"/>
      <c r="AD1451" s="96">
        <f ca="1">AD1450/AD1448</f>
        <v>0.23318448567649272</v>
      </c>
      <c r="AE1451" s="111"/>
      <c r="AF1451" s="28"/>
      <c r="AG1451" s="96">
        <f ca="1">AG1450/AG1448</f>
        <v>7.3381614613854285E-2</v>
      </c>
      <c r="AH1451" s="111"/>
      <c r="AI1451" s="28"/>
      <c r="AJ1451" s="96">
        <f ca="1">AJ1450/AJ1448</f>
        <v>-0.33658370204670196</v>
      </c>
      <c r="AK1451" s="111"/>
      <c r="AL1451" s="28"/>
      <c r="AM1451" s="96">
        <f ca="1">AM1450/AM1448</f>
        <v>-1.6376245093854156</v>
      </c>
      <c r="AN1451" s="111"/>
      <c r="AO1451" s="28"/>
      <c r="AP1451" s="96">
        <f ca="1">AP1450/AP1448</f>
        <v>85.477286843674023</v>
      </c>
      <c r="AQ1451" s="111"/>
      <c r="AR1451" s="28"/>
      <c r="AS1451" s="96">
        <f ca="1">AS1450/AS1448</f>
        <v>2.7246041678131441</v>
      </c>
      <c r="AT1451" s="111"/>
      <c r="AU1451" s="28"/>
    </row>
    <row r="1452" spans="15:47" x14ac:dyDescent="0.25">
      <c r="O1452" s="2" t="s">
        <v>21</v>
      </c>
      <c r="P1452" s="8">
        <v>12</v>
      </c>
      <c r="Q1452" s="2"/>
      <c r="R1452" s="96">
        <f ca="1">1-R1451/(3*F_GAMMA*R$29)</f>
        <v>0.8256884334608745</v>
      </c>
      <c r="S1452" s="106"/>
      <c r="T1452" s="22"/>
      <c r="U1452" s="96">
        <f ca="1">1-U1451/(3*F_GAMMA*U$29)</f>
        <v>0.82644285136144624</v>
      </c>
      <c r="V1452" s="111"/>
      <c r="W1452" s="28"/>
      <c r="X1452" s="96">
        <f ca="1">1-X1451/(3*F_GAMMA*X$29)</f>
        <v>0.82845546027372852</v>
      </c>
      <c r="Y1452" s="111"/>
      <c r="Z1452" s="28"/>
      <c r="AA1452" s="96">
        <f ca="1">1-AA1451/(3*F_GAMMA*AA$29)</f>
        <v>0.8390892190836956</v>
      </c>
      <c r="AB1452" s="111"/>
      <c r="AC1452" s="28"/>
      <c r="AD1452" s="96">
        <f ca="1">1-AD1451/(3*F_GAMMA*AD$29)</f>
        <v>0.87184432052104066</v>
      </c>
      <c r="AE1452" s="111"/>
      <c r="AF1452" s="28"/>
      <c r="AG1452" s="96">
        <f ca="1">1-AG1451/(3*F_GAMMA*AG$29)</f>
        <v>0.95725022188015596</v>
      </c>
      <c r="AH1452" s="111"/>
      <c r="AI1452" s="28"/>
      <c r="AJ1452" s="96">
        <f ca="1">1-AJ1451/(3*F_GAMMA*AJ$29)</f>
        <v>1.2109583370750583</v>
      </c>
      <c r="AK1452" s="111"/>
      <c r="AL1452" s="28"/>
      <c r="AM1452" s="96">
        <f ca="1">1-AM1451/(3*F_GAMMA*AM$29)</f>
        <v>2.1476032354196533</v>
      </c>
      <c r="AN1452" s="111"/>
      <c r="AO1452" s="28"/>
      <c r="AP1452" s="96">
        <f ca="1">1-AP1451/(3*F_GAMMA*AP$29)</f>
        <v>-47.247963877027594</v>
      </c>
      <c r="AQ1452" s="111"/>
      <c r="AR1452" s="28"/>
      <c r="AS1452" s="96">
        <f ca="1">1-AS1451/(3*F_GAMMA*AS$29)</f>
        <v>-1.4110050619263812</v>
      </c>
      <c r="AT1452" s="111"/>
      <c r="AU1452" s="28"/>
    </row>
    <row r="1453" spans="15:47" x14ac:dyDescent="0.25">
      <c r="O1453" s="2" t="s">
        <v>57</v>
      </c>
      <c r="P1453" s="143">
        <v>7</v>
      </c>
      <c r="Q1453" s="2"/>
      <c r="R1453" s="96">
        <f ca="1">(R1446/(N_9*R$27*R1448*R1452))*SQRT(M*'Valve Sizing'!$W$6*'Valve Sizing'!$G$8/R1451)</f>
        <v>0.95086839521498334</v>
      </c>
      <c r="S1453" s="107"/>
      <c r="T1453" s="22"/>
      <c r="U1453" s="96">
        <f ca="1">(U1446/(N_9*U$27*U1448*U1452))*SQRT(M*'Valve Sizing'!$W$6*'Valve Sizing'!$G$8/U1451)</f>
        <v>12.967815355366174</v>
      </c>
      <c r="V1453" s="111"/>
      <c r="W1453" s="28"/>
      <c r="X1453" s="96">
        <f ca="1">(X1446/(N_9*X$27*X1448*X1452))*SQRT(M*'Valve Sizing'!$W$6*'Valve Sizing'!$G$8/X1451)</f>
        <v>32.422243786105874</v>
      </c>
      <c r="Y1453" s="111"/>
      <c r="Z1453" s="28"/>
      <c r="AA1453" s="96">
        <f ca="1">(AA1446/(N_9*AA$27*AA1448*AA1452))*SQRT(M*'Valve Sizing'!$W$6*'Valve Sizing'!$G$8/AA1451)</f>
        <v>67.584362478688675</v>
      </c>
      <c r="AB1453" s="111"/>
      <c r="AC1453" s="28"/>
      <c r="AD1453" s="96">
        <f ca="1">(AD1446/(N_9*AD$27*AD1448*AD1452))*SQRT(M*'Valve Sizing'!$W$6*'Valve Sizing'!$G$8/AD1451)</f>
        <v>138.06407723616314</v>
      </c>
      <c r="AE1453" s="111"/>
      <c r="AF1453" s="28"/>
      <c r="AG1453" s="96">
        <f ca="1">(AG1446/(N_9*AG$27*AG1448*AG1452))*SQRT(M*'Valve Sizing'!$W$6*'Valve Sizing'!$G$8/AG1451)</f>
        <v>404.23870643354695</v>
      </c>
      <c r="AH1453" s="111"/>
      <c r="AI1453" s="28"/>
      <c r="AJ1453" s="96" t="e">
        <f ca="1">(AJ1446/(N_9*AJ$27*AJ1448*AJ1452))*SQRT(M*'Valve Sizing'!$W$6*'Valve Sizing'!$G$8/AJ1451)</f>
        <v>#NUM!</v>
      </c>
      <c r="AK1453" s="111"/>
      <c r="AL1453" s="28"/>
      <c r="AM1453" s="96" t="e">
        <f ca="1">(AM1446/(N_9*AM$27*AM1448*AM1452))*SQRT(M*'Valve Sizing'!$W$6*'Valve Sizing'!$G$8/AM1451)</f>
        <v>#NUM!</v>
      </c>
      <c r="AN1453" s="111"/>
      <c r="AO1453" s="28"/>
      <c r="AP1453" s="96">
        <f ca="1">(AP1446/(N_9*AP$27*AP1448*AP1452))*SQRT(M*'Valve Sizing'!$W$6*'Valve Sizing'!$G$8/AP1451)</f>
        <v>51.750399248374457</v>
      </c>
      <c r="AQ1453" s="111"/>
      <c r="AR1453" s="28"/>
      <c r="AS1453" s="96">
        <f ca="1">(AS1446/(N_9*AS$27*AS1448*AS1452))*SQRT(M*'Valve Sizing'!$W$6*'Valve Sizing'!$G$8/AS1451)</f>
        <v>311.20055361785734</v>
      </c>
      <c r="AT1453" s="111"/>
      <c r="AU1453" s="28"/>
    </row>
    <row r="1454" spans="15:47" x14ac:dyDescent="0.25">
      <c r="O1454" s="2" t="s">
        <v>59</v>
      </c>
      <c r="P1454" s="143">
        <v>7</v>
      </c>
      <c r="Q1454" s="2"/>
      <c r="R1454" s="96">
        <f ca="1">(R1446/(N_9*R$27*R1448*0.667))*SQRT(M*'Valve Sizing'!$W$6*'Valve Sizing'!$G$8/R1455)</f>
        <v>0.85120567405504277</v>
      </c>
      <c r="S1454" s="107"/>
      <c r="T1454" s="22"/>
      <c r="U1454" s="96">
        <f ca="1">(U1446/(N_9*U$27*U1448*0.667))*SQRT(M*'Valve Sizing'!$W$6*'Valve Sizing'!$G$8/U1455)</f>
        <v>11.594063969265052</v>
      </c>
      <c r="V1454" s="111"/>
      <c r="W1454" s="28"/>
      <c r="X1454" s="96">
        <f ca="1">(X1446/(N_9*X$27*X1448*0.667))*SQRT(M*'Valve Sizing'!$W$6*'Valve Sizing'!$G$8/X1455)</f>
        <v>28.889197276953645</v>
      </c>
      <c r="Y1454" s="111"/>
      <c r="Z1454" s="28"/>
      <c r="AA1454" s="96">
        <f ca="1">(AA1446/(N_9*AA$27*AA1448*0.667))*SQRT(M*'Valve Sizing'!$W$6*'Valve Sizing'!$G$8/AA1455)</f>
        <v>59.072007115339012</v>
      </c>
      <c r="AB1454" s="111"/>
      <c r="AC1454" s="28"/>
      <c r="AD1454" s="96">
        <f ca="1">(AD1446/(N_9*AD$27*AD1448*0.667))*SQRT(M*'Valve Sizing'!$W$6*'Valve Sizing'!$G$8/AD1455)</f>
        <v>111.89826675700225</v>
      </c>
      <c r="AE1454" s="111"/>
      <c r="AF1454" s="28"/>
      <c r="AG1454" s="96">
        <f ca="1">(AG1446/(N_9*AG$27*AG1448*0.667))*SQRT(M*'Valve Sizing'!$W$6*'Valve Sizing'!$G$8/AG1455)</f>
        <v>207.76151193669591</v>
      </c>
      <c r="AH1454" s="111"/>
      <c r="AI1454" s="28"/>
      <c r="AJ1454" s="96">
        <f ca="1">(AJ1446/(N_9*AJ$27*AJ1448*0.667))*SQRT(M*'Valve Sizing'!$W$6*'Valve Sizing'!$G$8/AJ1455)</f>
        <v>429.8151591236176</v>
      </c>
      <c r="AK1454" s="111"/>
      <c r="AL1454" s="28"/>
      <c r="AM1454" s="96">
        <f ca="1">(AM1446/(N_9*AM$27*AM1448*0.667))*SQRT(M*'Valve Sizing'!$W$6*'Valve Sizing'!$G$8/AM1455)</f>
        <v>1161.132061715836</v>
      </c>
      <c r="AN1454" s="111"/>
      <c r="AO1454" s="28"/>
      <c r="AP1454" s="96">
        <f ca="1">(AP1446/(N_9*AP$27*AP1448*0.667))*SQRT(M*'Valve Sizing'!$W$6*'Valve Sizing'!$G$8/AP1455)</f>
        <v>-44103.300444665183</v>
      </c>
      <c r="AQ1454" s="111"/>
      <c r="AR1454" s="28"/>
      <c r="AS1454" s="96">
        <f ca="1">(AS1446/(N_9*AS$27*AS1448*0.667))*SQRT(M*'Valve Sizing'!$W$6*'Valve Sizing'!$G$8/AS1455)</f>
        <v>-1770.5279507900843</v>
      </c>
      <c r="AT1454" s="111"/>
      <c r="AU1454" s="28"/>
    </row>
    <row r="1455" spans="15:47" ht="15.6" x14ac:dyDescent="0.35">
      <c r="O1455" s="2" t="s">
        <v>68</v>
      </c>
      <c r="P1455" s="143">
        <v>10</v>
      </c>
      <c r="Q1455" s="2"/>
      <c r="R1455" s="96">
        <f ca="1">F_GAMMA*R$29</f>
        <v>0.64002969751372984</v>
      </c>
      <c r="S1455" s="107"/>
      <c r="T1455" s="1"/>
      <c r="U1455" s="96">
        <f ca="1">F_GAMMA*U$29</f>
        <v>0.64017842058782071</v>
      </c>
      <c r="V1455" s="111"/>
      <c r="W1455" s="28"/>
      <c r="X1455" s="96">
        <f ca="1">F_GAMMA*X$29</f>
        <v>0.63413873724904268</v>
      </c>
      <c r="Y1455" s="111"/>
      <c r="Z1455" s="28"/>
      <c r="AA1455" s="96">
        <f ca="1">F_GAMMA*AA$29</f>
        <v>0.62532411750377137</v>
      </c>
      <c r="AB1455" s="111"/>
      <c r="AC1455" s="28"/>
      <c r="AD1455" s="96">
        <f ca="1">F_GAMMA*AD$29</f>
        <v>0.60651359509139569</v>
      </c>
      <c r="AE1455" s="111"/>
      <c r="AF1455" s="28"/>
      <c r="AG1455" s="96">
        <f ca="1">F_GAMMA*AG$29</f>
        <v>0.57217930198481592</v>
      </c>
      <c r="AH1455" s="111"/>
      <c r="AI1455" s="28"/>
      <c r="AJ1455" s="96">
        <f ca="1">F_GAMMA*AJ$29</f>
        <v>0.53183282018848232</v>
      </c>
      <c r="AK1455" s="111"/>
      <c r="AL1455" s="28"/>
      <c r="AM1455" s="96">
        <f ca="1">F_GAMMA*AM$29</f>
        <v>0.47566512503094399</v>
      </c>
      <c r="AN1455" s="111"/>
      <c r="AO1455" s="28"/>
      <c r="AP1455" s="96">
        <f ca="1">F_GAMMA*AP$29</f>
        <v>0.59054158265645496</v>
      </c>
      <c r="AQ1455" s="111"/>
      <c r="AR1455" s="28"/>
      <c r="AS1455" s="96">
        <f ca="1">F_GAMMA*AS$29</f>
        <v>0.3766899554102966</v>
      </c>
      <c r="AT1455" s="111"/>
      <c r="AU1455" s="28"/>
    </row>
    <row r="1456" spans="15:47" x14ac:dyDescent="0.25">
      <c r="O1456" s="2" t="s">
        <v>145</v>
      </c>
      <c r="P1456" s="12"/>
      <c r="Q1456" s="2"/>
      <c r="R1456" s="96">
        <f ca="1">IF(R1451&lt;R1455,R1453,R1454)</f>
        <v>0.95086839521498334</v>
      </c>
      <c r="S1456" s="116"/>
      <c r="T1456" s="1"/>
      <c r="U1456" s="96">
        <f ca="1">IF(U1451&lt;U1455,U1453,U1454)</f>
        <v>12.967815355366174</v>
      </c>
      <c r="V1456" s="111"/>
      <c r="W1456" s="28"/>
      <c r="X1456" s="96">
        <f ca="1">IF(X1451&lt;X1455,X1453,X1454)</f>
        <v>32.422243786105874</v>
      </c>
      <c r="Y1456" s="111"/>
      <c r="Z1456" s="28"/>
      <c r="AA1456" s="96">
        <f ca="1">IF(AA1451&lt;AA1455,AA1453,AA1454)</f>
        <v>67.584362478688675</v>
      </c>
      <c r="AB1456" s="111"/>
      <c r="AC1456" s="28"/>
      <c r="AD1456" s="96">
        <f ca="1">IF(AD1451&lt;AD1455,AD1453,AD1454)</f>
        <v>138.06407723616314</v>
      </c>
      <c r="AE1456" s="111"/>
      <c r="AF1456" s="28"/>
      <c r="AG1456" s="96">
        <f ca="1">IF(AG1451&lt;AG1455,AG1453,AG1454)</f>
        <v>404.23870643354695</v>
      </c>
      <c r="AH1456" s="111"/>
      <c r="AI1456" s="28"/>
      <c r="AJ1456" s="96" t="e">
        <f ca="1">IF(AJ1451&lt;AJ1455,AJ1453,AJ1454)</f>
        <v>#NUM!</v>
      </c>
      <c r="AK1456" s="111"/>
      <c r="AL1456" s="28"/>
      <c r="AM1456" s="96" t="e">
        <f ca="1">IF(AM1451&lt;AM1455,AM1453,AM1454)</f>
        <v>#NUM!</v>
      </c>
      <c r="AN1456" s="111"/>
      <c r="AO1456" s="28"/>
      <c r="AP1456" s="96">
        <f ca="1">IF(AP1451&lt;AP1455,AP1453,AP1454)</f>
        <v>-44103.300444665183</v>
      </c>
      <c r="AQ1456" s="111"/>
      <c r="AR1456" s="28"/>
      <c r="AS1456" s="96">
        <f ca="1">IF(AS1451&lt;AS1455,AS1453,AS1454)</f>
        <v>-1770.5279507900843</v>
      </c>
      <c r="AT1456" s="111"/>
      <c r="AU1456" s="28"/>
    </row>
    <row r="1457" spans="15:47" x14ac:dyDescent="0.25">
      <c r="O1457" s="13" t="s">
        <v>143</v>
      </c>
      <c r="P1457" s="1"/>
      <c r="Q1457" s="1"/>
      <c r="R1457" s="113"/>
      <c r="S1457" s="106">
        <f ca="1">IF(R1450&lt;=0,Q_max,ABS(R$23-R1456))</f>
        <v>3.7791316047850172</v>
      </c>
      <c r="T1457" s="7">
        <f>R1446</f>
        <v>2354.5288245119214</v>
      </c>
      <c r="U1457" s="98"/>
      <c r="V1457" s="106">
        <f ca="1">IF(U1450&lt;=0,Q_max,ABS(U$23-U1456))</f>
        <v>1.367815355366174</v>
      </c>
      <c r="W1457" s="9">
        <f ca="1">U1446</f>
        <v>31987.233180842701</v>
      </c>
      <c r="X1457" s="98"/>
      <c r="Y1457" s="106">
        <f ca="1">IF(X1450&lt;=0,Q_max,ABS(X$23-X1456))</f>
        <v>9.4222437861058737</v>
      </c>
      <c r="Z1457" s="9">
        <f ca="1">X1446</f>
        <v>78324.984338211507</v>
      </c>
      <c r="AA1457" s="98"/>
      <c r="AB1457" s="106">
        <f ca="1">IF(AA1450&lt;=0,Q_max,ABS(AA$23-AA1456))</f>
        <v>28.184362478688676</v>
      </c>
      <c r="AC1457" s="9">
        <f ca="1">AA1446</f>
        <v>152557.07739783337</v>
      </c>
      <c r="AD1457" s="98"/>
      <c r="AE1457" s="106">
        <f ca="1">IF(AD1450&lt;=0,Q_max,ABS(AD$23-AD1456))</f>
        <v>77.064077236163143</v>
      </c>
      <c r="AF1457" s="9">
        <f ca="1">AD1446</f>
        <v>255943.31864111006</v>
      </c>
      <c r="AG1457" s="98"/>
      <c r="AH1457" s="106">
        <f ca="1">IF(AG1450&lt;=0,Q_max,ABS(AG$23-AG1456))</f>
        <v>316.03870643354696</v>
      </c>
      <c r="AI1457" s="9">
        <f ca="1">AG1446</f>
        <v>373556.2444652121</v>
      </c>
      <c r="AJ1457" s="98"/>
      <c r="AK1457" s="106">
        <f ca="1">IF(AJ1450&lt;=0,Q_max,ABS(AJ$23-AJ1456))</f>
        <v>236393</v>
      </c>
      <c r="AL1457" s="9">
        <f ca="1">AJ1446</f>
        <v>498512.25635472272</v>
      </c>
      <c r="AM1457" s="98"/>
      <c r="AN1457" s="106">
        <f ca="1">IF(AM1450&lt;=0,Q_max,ABS(AM$23-AM1456))</f>
        <v>236393</v>
      </c>
      <c r="AO1457" s="9">
        <f ca="1">AM1446</f>
        <v>608279.68999602029</v>
      </c>
      <c r="AP1457" s="98"/>
      <c r="AQ1457" s="106">
        <f ca="1">IF(AP1450&lt;=0,Q_max,ABS(AP$23-AP1456))</f>
        <v>236393</v>
      </c>
      <c r="AR1457" s="9">
        <f ca="1">AP1446</f>
        <v>706193.83626746631</v>
      </c>
      <c r="AS1457" s="98"/>
      <c r="AT1457" s="106">
        <f ca="1">IF(AS1450&lt;=0,Q_max,ABS(AS$23-AS1456))</f>
        <v>236393</v>
      </c>
      <c r="AU1457" s="9">
        <f ca="1">AS1446</f>
        <v>828067.81158397393</v>
      </c>
    </row>
    <row r="1458" spans="15:47" x14ac:dyDescent="0.25">
      <c r="O1458" s="21"/>
      <c r="P1458" s="14"/>
      <c r="Q1458" s="21"/>
      <c r="R1458" s="97"/>
      <c r="S1458" s="106"/>
      <c r="T1458" s="28"/>
      <c r="U1458" s="97"/>
      <c r="V1458" s="111"/>
      <c r="W1458" s="28"/>
      <c r="X1458" s="97"/>
      <c r="Y1458" s="111"/>
      <c r="Z1458" s="28"/>
      <c r="AA1458" s="97"/>
      <c r="AB1458" s="111"/>
      <c r="AC1458" s="28"/>
      <c r="AD1458" s="97"/>
      <c r="AE1458" s="111"/>
      <c r="AF1458" s="28"/>
      <c r="AG1458" s="97"/>
      <c r="AH1458" s="111"/>
      <c r="AI1458" s="28"/>
      <c r="AJ1458" s="97"/>
      <c r="AK1458" s="111"/>
      <c r="AL1458" s="28"/>
      <c r="AM1458" s="97"/>
      <c r="AN1458" s="111"/>
      <c r="AO1458" s="28"/>
      <c r="AP1458" s="97"/>
      <c r="AQ1458" s="111"/>
      <c r="AR1458" s="28"/>
      <c r="AS1458" s="97"/>
      <c r="AT1458" s="111"/>
      <c r="AU1458" s="28"/>
    </row>
    <row r="1459" spans="15:47" x14ac:dyDescent="0.25">
      <c r="O1459" s="1"/>
      <c r="P1459" s="1"/>
      <c r="Q1459" s="1"/>
      <c r="R1459" s="98"/>
      <c r="S1459" s="108" t="s">
        <v>137</v>
      </c>
      <c r="T1459" s="26" t="s">
        <v>146</v>
      </c>
      <c r="U1459" s="98"/>
      <c r="V1459" s="108" t="s">
        <v>137</v>
      </c>
      <c r="W1459" s="26" t="s">
        <v>146</v>
      </c>
      <c r="X1459" s="98"/>
      <c r="Y1459" s="108" t="s">
        <v>137</v>
      </c>
      <c r="Z1459" s="26" t="s">
        <v>146</v>
      </c>
      <c r="AA1459" s="98"/>
      <c r="AB1459" s="108" t="s">
        <v>137</v>
      </c>
      <c r="AC1459" s="26" t="s">
        <v>146</v>
      </c>
      <c r="AD1459" s="98"/>
      <c r="AE1459" s="108" t="s">
        <v>137</v>
      </c>
      <c r="AF1459" s="26" t="s">
        <v>146</v>
      </c>
      <c r="AG1459" s="98"/>
      <c r="AH1459" s="108" t="s">
        <v>137</v>
      </c>
      <c r="AI1459" s="26" t="s">
        <v>146</v>
      </c>
      <c r="AJ1459" s="98"/>
      <c r="AK1459" s="108" t="s">
        <v>137</v>
      </c>
      <c r="AL1459" s="26" t="s">
        <v>146</v>
      </c>
      <c r="AM1459" s="98"/>
      <c r="AN1459" s="108" t="s">
        <v>137</v>
      </c>
      <c r="AO1459" s="26" t="s">
        <v>146</v>
      </c>
      <c r="AP1459" s="98"/>
      <c r="AQ1459" s="108" t="s">
        <v>137</v>
      </c>
      <c r="AR1459" s="26" t="s">
        <v>146</v>
      </c>
      <c r="AS1459" s="98"/>
      <c r="AT1459" s="108" t="s">
        <v>137</v>
      </c>
      <c r="AU1459" s="26" t="s">
        <v>146</v>
      </c>
    </row>
    <row r="1460" spans="15:47" ht="13.8" x14ac:dyDescent="0.25">
      <c r="O1460" s="20" t="s">
        <v>136</v>
      </c>
      <c r="P1460" s="1"/>
      <c r="Q1460" s="1"/>
      <c r="R1460" s="96">
        <f>R1446*1.02</f>
        <v>2401.61940100216</v>
      </c>
      <c r="S1460" s="109" t="s">
        <v>144</v>
      </c>
      <c r="T1460" s="23" t="s">
        <v>147</v>
      </c>
      <c r="U1460" s="96">
        <f ca="1">U1446*1.01</f>
        <v>32307.105512651127</v>
      </c>
      <c r="V1460" s="109" t="s">
        <v>144</v>
      </c>
      <c r="W1460" s="23" t="s">
        <v>147</v>
      </c>
      <c r="X1460" s="96">
        <f ca="1">X1446*1.01</f>
        <v>79108.234181593623</v>
      </c>
      <c r="Y1460" s="109" t="s">
        <v>144</v>
      </c>
      <c r="Z1460" s="23" t="s">
        <v>147</v>
      </c>
      <c r="AA1460" s="96">
        <f ca="1">AA1446*1.01</f>
        <v>154082.64817181171</v>
      </c>
      <c r="AB1460" s="109" t="s">
        <v>144</v>
      </c>
      <c r="AC1460" s="23" t="s">
        <v>147</v>
      </c>
      <c r="AD1460" s="96">
        <f ca="1">AD1446*1.01</f>
        <v>258502.75182752116</v>
      </c>
      <c r="AE1460" s="109" t="s">
        <v>144</v>
      </c>
      <c r="AF1460" s="23" t="s">
        <v>147</v>
      </c>
      <c r="AG1460" s="96">
        <f ca="1">AG1446*1.01</f>
        <v>377291.80690986424</v>
      </c>
      <c r="AH1460" s="109" t="s">
        <v>144</v>
      </c>
      <c r="AI1460" s="23" t="s">
        <v>147</v>
      </c>
      <c r="AJ1460" s="96">
        <f ca="1">AJ1446*1.01</f>
        <v>503497.37891826994</v>
      </c>
      <c r="AK1460" s="109" t="s">
        <v>144</v>
      </c>
      <c r="AL1460" s="23" t="s">
        <v>147</v>
      </c>
      <c r="AM1460" s="96">
        <f ca="1">AM1446*1.01</f>
        <v>614362.48689598055</v>
      </c>
      <c r="AN1460" s="109" t="s">
        <v>144</v>
      </c>
      <c r="AO1460" s="23" t="s">
        <v>147</v>
      </c>
      <c r="AP1460" s="96">
        <f ca="1">AP1446*1.01</f>
        <v>713255.77463014098</v>
      </c>
      <c r="AQ1460" s="109" t="s">
        <v>144</v>
      </c>
      <c r="AR1460" s="23" t="s">
        <v>147</v>
      </c>
      <c r="AS1460" s="96">
        <f ca="1">AS1446*1.01</f>
        <v>836348.48969981365</v>
      </c>
      <c r="AT1460" s="109" t="s">
        <v>144</v>
      </c>
      <c r="AU1460" s="23" t="s">
        <v>147</v>
      </c>
    </row>
    <row r="1461" spans="15:47" x14ac:dyDescent="0.25">
      <c r="O1461" s="1"/>
      <c r="P1461" s="1"/>
      <c r="Q1461" s="1"/>
      <c r="R1461" s="98"/>
      <c r="S1461" s="107"/>
      <c r="T1461" s="1"/>
      <c r="U1461" s="47"/>
      <c r="V1461" s="107"/>
      <c r="W1461" s="1"/>
      <c r="X1461" s="47"/>
      <c r="Y1461" s="107"/>
      <c r="Z1461" s="1"/>
      <c r="AA1461" s="47"/>
      <c r="AB1461" s="107"/>
      <c r="AC1461" s="1"/>
      <c r="AD1461" s="47"/>
      <c r="AE1461" s="107"/>
      <c r="AF1461" s="1"/>
      <c r="AG1461" s="47"/>
      <c r="AH1461" s="107"/>
      <c r="AI1461" s="1"/>
      <c r="AJ1461" s="47"/>
      <c r="AK1461" s="107"/>
      <c r="AL1461" s="1"/>
      <c r="AM1461" s="47"/>
      <c r="AN1461" s="107"/>
      <c r="AO1461" s="1"/>
      <c r="AP1461" s="47"/>
      <c r="AQ1461" s="107"/>
      <c r="AR1461" s="1"/>
      <c r="AS1461" s="47"/>
      <c r="AT1461" s="107"/>
      <c r="AU1461" s="1"/>
    </row>
    <row r="1462" spans="15:47" x14ac:dyDescent="0.25">
      <c r="O1462" s="8" t="s">
        <v>132</v>
      </c>
      <c r="P1462" s="8"/>
      <c r="Q1462" s="8"/>
      <c r="R1462" s="96">
        <f>P_1_minQ-(R1460^2*R_up)+dpup_minQ</f>
        <v>90.183989290192244</v>
      </c>
      <c r="S1462" s="106"/>
      <c r="T1462" s="22"/>
      <c r="U1462" s="96">
        <f ca="1">P_1_minQ-(U1460^2*R_up)+dpup_minQ</f>
        <v>89.994805874310728</v>
      </c>
      <c r="V1462" s="107"/>
      <c r="W1462" s="1"/>
      <c r="X1462" s="96">
        <f ca="1">P_1_minQ-(X1460^2*R_up)+dpup_minQ</f>
        <v>89.044431204360407</v>
      </c>
      <c r="Y1462" s="107"/>
      <c r="Z1462" s="1"/>
      <c r="AA1462" s="96">
        <f ca="1">P_1_minQ-(AA1460^2*R_up)+dpup_minQ</f>
        <v>85.857899947657302</v>
      </c>
      <c r="AB1462" s="107"/>
      <c r="AC1462" s="1"/>
      <c r="AD1462" s="96">
        <f ca="1">P_1_minQ-(AD1460^2*R_up)+dpup_minQ</f>
        <v>78.005697053712538</v>
      </c>
      <c r="AE1462" s="107"/>
      <c r="AF1462" s="1"/>
      <c r="AG1462" s="96">
        <f ca="1">P_1_minQ-(AG1460^2*R_up)+dpup_minQ</f>
        <v>64.240362477469148</v>
      </c>
      <c r="AH1462" s="107"/>
      <c r="AI1462" s="1"/>
      <c r="AJ1462" s="96">
        <f ca="1">P_1_minQ-(AJ1460^2*R_up)+dpup_minQ</f>
        <v>43.980147908154507</v>
      </c>
      <c r="AK1462" s="107"/>
      <c r="AL1462" s="1"/>
      <c r="AM1462" s="96">
        <f ca="1">P_1_minQ-(AM1460^2*R_up)+dpup_minQ</f>
        <v>21.392251590871311</v>
      </c>
      <c r="AN1462" s="107"/>
      <c r="AO1462" s="1"/>
      <c r="AP1462" s="96">
        <f ca="1">P_1_minQ-(AP1460^2*R_up)+dpup_minQ</f>
        <v>-2.5372454244189995</v>
      </c>
      <c r="AQ1462" s="107"/>
      <c r="AR1462" s="1"/>
      <c r="AS1462" s="96">
        <f ca="1">P_1_minQ-(AS1460^2*R_up)+dpup_minQ</f>
        <v>-37.302602235219112</v>
      </c>
      <c r="AT1462" s="107"/>
      <c r="AU1462" s="1"/>
    </row>
    <row r="1463" spans="15:47" x14ac:dyDescent="0.25">
      <c r="O1463" s="8" t="s">
        <v>134</v>
      </c>
      <c r="P1463" s="1"/>
      <c r="Q1463" s="8"/>
      <c r="R1463" s="97">
        <f>P_2_minQ+(R1460^2*R_dn)-dpdn_minQ</f>
        <v>60</v>
      </c>
      <c r="S1463" s="106"/>
      <c r="T1463" s="22"/>
      <c r="U1463" s="97">
        <f ca="1">P_2_minQ+(U1460^2*R_dn)-dpdn_minQ</f>
        <v>60</v>
      </c>
      <c r="V1463" s="107"/>
      <c r="W1463" s="1"/>
      <c r="X1463" s="97">
        <f ca="1">P_2_minQ+(X1460^2*R_dn)-dpdn_minQ</f>
        <v>60</v>
      </c>
      <c r="Y1463" s="107"/>
      <c r="Z1463" s="1"/>
      <c r="AA1463" s="97">
        <f ca="1">P_2_minQ+(AA1460^2*R_dn)-dpdn_minQ</f>
        <v>60</v>
      </c>
      <c r="AB1463" s="107"/>
      <c r="AC1463" s="1"/>
      <c r="AD1463" s="97">
        <f ca="1">P_2_minQ+(AD1460^2*R_dn)-dpdn_minQ</f>
        <v>60</v>
      </c>
      <c r="AE1463" s="107"/>
      <c r="AF1463" s="1"/>
      <c r="AG1463" s="97">
        <f ca="1">P_2_minQ+(AG1460^2*R_dn)-dpdn_minQ</f>
        <v>60</v>
      </c>
      <c r="AH1463" s="107"/>
      <c r="AI1463" s="1"/>
      <c r="AJ1463" s="97">
        <f ca="1">P_2_minQ+(AJ1460^2*R_dn)-dpdn_minQ</f>
        <v>60</v>
      </c>
      <c r="AK1463" s="107"/>
      <c r="AL1463" s="1"/>
      <c r="AM1463" s="97">
        <f ca="1">P_2_minQ+(AM1460^2*R_dn)-dpdn_minQ</f>
        <v>60</v>
      </c>
      <c r="AN1463" s="107"/>
      <c r="AO1463" s="1"/>
      <c r="AP1463" s="97">
        <f ca="1">P_2_minQ+(AP1460^2*R_dn)-dpdn_minQ</f>
        <v>60</v>
      </c>
      <c r="AQ1463" s="107"/>
      <c r="AR1463" s="1"/>
      <c r="AS1463" s="97">
        <f ca="1">P_2_minQ+(AS1460^2*R_dn)-dpdn_minQ</f>
        <v>60</v>
      </c>
      <c r="AT1463" s="107"/>
      <c r="AU1463" s="1"/>
    </row>
    <row r="1464" spans="15:47" x14ac:dyDescent="0.25">
      <c r="O1464" s="8" t="s">
        <v>138</v>
      </c>
      <c r="P1464" s="1"/>
      <c r="Q1464" s="8"/>
      <c r="R1464" s="97">
        <f>R1462-R1463</f>
        <v>30.183989290192244</v>
      </c>
      <c r="S1464" s="106"/>
      <c r="T1464" s="22"/>
      <c r="U1464" s="97">
        <f ca="1">U1462-U1463</f>
        <v>29.994805874310728</v>
      </c>
      <c r="V1464" s="110"/>
      <c r="W1464" s="25"/>
      <c r="X1464" s="97">
        <f ca="1">X1462-X1463</f>
        <v>29.044431204360407</v>
      </c>
      <c r="Y1464" s="110"/>
      <c r="Z1464" s="25"/>
      <c r="AA1464" s="97">
        <f ca="1">AA1462-AA1463</f>
        <v>25.857899947657302</v>
      </c>
      <c r="AB1464" s="110"/>
      <c r="AC1464" s="25"/>
      <c r="AD1464" s="97">
        <f ca="1">AD1462-AD1463</f>
        <v>18.005697053712538</v>
      </c>
      <c r="AE1464" s="110"/>
      <c r="AF1464" s="25"/>
      <c r="AG1464" s="97">
        <f ca="1">AG1462-AG1463</f>
        <v>4.240362477469148</v>
      </c>
      <c r="AH1464" s="110"/>
      <c r="AI1464" s="25"/>
      <c r="AJ1464" s="97">
        <f ca="1">AJ1462-AJ1463</f>
        <v>-16.019852091845493</v>
      </c>
      <c r="AK1464" s="110"/>
      <c r="AL1464" s="25"/>
      <c r="AM1464" s="97">
        <f ca="1">AM1462-AM1463</f>
        <v>-38.607748409128689</v>
      </c>
      <c r="AN1464" s="110"/>
      <c r="AO1464" s="25"/>
      <c r="AP1464" s="97">
        <f ca="1">AP1462-AP1463</f>
        <v>-62.537245424418998</v>
      </c>
      <c r="AQ1464" s="110"/>
      <c r="AR1464" s="25"/>
      <c r="AS1464" s="97">
        <f ca="1">AS1462-AS1463</f>
        <v>-97.302602235219112</v>
      </c>
      <c r="AT1464" s="110"/>
      <c r="AU1464" s="25"/>
    </row>
    <row r="1465" spans="15:47" ht="14.4" x14ac:dyDescent="0.3">
      <c r="O1465" s="2" t="s">
        <v>140</v>
      </c>
      <c r="P1465" s="11"/>
      <c r="Q1465" s="2"/>
      <c r="R1465" s="96">
        <f>R1464/R1462</f>
        <v>0.3346934364709328</v>
      </c>
      <c r="S1465" s="106"/>
      <c r="T1465" s="22"/>
      <c r="U1465" s="96">
        <f ca="1">U1464/U1462</f>
        <v>0.33329485610761045</v>
      </c>
      <c r="V1465" s="111"/>
      <c r="W1465" s="28"/>
      <c r="X1465" s="96">
        <f ca="1">X1464/X1462</f>
        <v>0.32617908623283037</v>
      </c>
      <c r="Y1465" s="111"/>
      <c r="Z1465" s="28"/>
      <c r="AA1465" s="96">
        <f ca="1">AA1464/AA1462</f>
        <v>0.30117088775082312</v>
      </c>
      <c r="AB1465" s="111"/>
      <c r="AC1465" s="28"/>
      <c r="AD1465" s="96">
        <f ca="1">AD1464/AD1462</f>
        <v>0.23082541062756376</v>
      </c>
      <c r="AE1465" s="111"/>
      <c r="AF1465" s="28"/>
      <c r="AG1465" s="96">
        <f ca="1">AG1464/AG1462</f>
        <v>6.6007760758765313E-2</v>
      </c>
      <c r="AH1465" s="111"/>
      <c r="AI1465" s="28"/>
      <c r="AJ1465" s="96">
        <f ca="1">AJ1464/AJ1462</f>
        <v>-0.36425189213325038</v>
      </c>
      <c r="AK1465" s="111"/>
      <c r="AL1465" s="28"/>
      <c r="AM1465" s="96">
        <f ca="1">AM1464/AM1462</f>
        <v>-1.8047538495482041</v>
      </c>
      <c r="AN1465" s="111"/>
      <c r="AO1465" s="28"/>
      <c r="AP1465" s="96">
        <f ca="1">AP1464/AP1462</f>
        <v>24.647692660137253</v>
      </c>
      <c r="AQ1465" s="111"/>
      <c r="AR1465" s="28"/>
      <c r="AS1465" s="96">
        <f ca="1">AS1464/AS1462</f>
        <v>2.6084668737493928</v>
      </c>
      <c r="AT1465" s="111"/>
      <c r="AU1465" s="28"/>
    </row>
    <row r="1466" spans="15:47" x14ac:dyDescent="0.25">
      <c r="O1466" s="2" t="s">
        <v>21</v>
      </c>
      <c r="P1466" s="8">
        <v>12</v>
      </c>
      <c r="Q1466" s="2"/>
      <c r="R1466" s="96">
        <f ca="1">1-R1465/(3*F_GAMMA*R$29)</f>
        <v>0.82568859029974773</v>
      </c>
      <c r="S1466" s="106"/>
      <c r="T1466" s="22"/>
      <c r="U1466" s="96">
        <f ca="1">1-U1465/(3*F_GAMMA*U$29)</f>
        <v>0.82645730971813847</v>
      </c>
      <c r="V1466" s="111"/>
      <c r="W1466" s="28"/>
      <c r="X1466" s="96">
        <f ca="1">1-X1465/(3*F_GAMMA*X$29)</f>
        <v>0.82854483460626305</v>
      </c>
      <c r="Y1466" s="111"/>
      <c r="Z1466" s="28"/>
      <c r="AA1466" s="96">
        <f ca="1">1-AA1465/(3*F_GAMMA*AA$29)</f>
        <v>0.83945878128339491</v>
      </c>
      <c r="AB1466" s="111"/>
      <c r="AC1466" s="28"/>
      <c r="AD1466" s="96">
        <f ca="1">1-AD1465/(3*F_GAMMA*AD$29)</f>
        <v>0.8731408427358881</v>
      </c>
      <c r="AE1466" s="111"/>
      <c r="AF1466" s="28"/>
      <c r="AG1466" s="96">
        <f ca="1">1-AG1465/(3*F_GAMMA*AG$29)</f>
        <v>0.96154599293741605</v>
      </c>
      <c r="AH1466" s="111"/>
      <c r="AI1466" s="28"/>
      <c r="AJ1466" s="96">
        <f ca="1">1-AJ1465/(3*F_GAMMA*AJ$29)</f>
        <v>1.2282997452746893</v>
      </c>
      <c r="AK1466" s="111"/>
      <c r="AL1466" s="28"/>
      <c r="AM1466" s="96">
        <f ca="1">1-AM1465/(3*F_GAMMA*AM$29)</f>
        <v>2.264722984425088</v>
      </c>
      <c r="AN1466" s="111"/>
      <c r="AO1466" s="28"/>
      <c r="AP1466" s="96">
        <f ca="1">1-AP1465/(3*F_GAMMA*AP$29)</f>
        <v>-12.912479315040288</v>
      </c>
      <c r="AQ1466" s="111"/>
      <c r="AR1466" s="28"/>
      <c r="AS1466" s="96">
        <f ca="1">1-AS1465/(3*F_GAMMA*AS$29)</f>
        <v>-1.3082350496163433</v>
      </c>
      <c r="AT1466" s="111"/>
      <c r="AU1466" s="28"/>
    </row>
    <row r="1467" spans="15:47" x14ac:dyDescent="0.25">
      <c r="O1467" s="2" t="s">
        <v>57</v>
      </c>
      <c r="P1467" s="143">
        <v>7</v>
      </c>
      <c r="Q1467" s="2"/>
      <c r="R1467" s="96">
        <f ca="1">(R1460/(N_9*R$27*R1462*R1466))*SQRT(M*'Valve Sizing'!$W$6*'Valve Sizing'!$G$8/R1465)</f>
        <v>0.96988645423328779</v>
      </c>
      <c r="S1467" s="107"/>
      <c r="T1467" s="22"/>
      <c r="U1467" s="96">
        <f ca="1">(U1460/(N_9*U$27*U1462*U1466))*SQRT(M*'Valve Sizing'!$W$6*'Valve Sizing'!$G$8/U1465)</f>
        <v>13.098355488009872</v>
      </c>
      <c r="V1467" s="111"/>
      <c r="W1467" s="28"/>
      <c r="X1467" s="96">
        <f ca="1">(X1460/(N_9*X$27*X1462*X1466))*SQRT(M*'Valve Sizing'!$W$6*'Valve Sizing'!$G$8/X1465)</f>
        <v>32.759733085429687</v>
      </c>
      <c r="Y1467" s="111"/>
      <c r="Z1467" s="28"/>
      <c r="AA1467" s="96">
        <f ca="1">(AA1460/(N_9*AA$27*AA1462*AA1466))*SQRT(M*'Valve Sizing'!$W$6*'Valve Sizing'!$G$8/AA1465)</f>
        <v>68.376476661335914</v>
      </c>
      <c r="AB1467" s="111"/>
      <c r="AC1467" s="28"/>
      <c r="AD1467" s="96">
        <f ca="1">(AD1460/(N_9*AD$27*AD1462*AD1466))*SQRT(M*'Valve Sizing'!$W$6*'Valve Sizing'!$G$8/AD1465)</f>
        <v>140.37790692629278</v>
      </c>
      <c r="AE1467" s="111"/>
      <c r="AF1467" s="28"/>
      <c r="AG1467" s="96">
        <f ca="1">(AG1460/(N_9*AG$27*AG1462*AG1466))*SQRT(M*'Valve Sizing'!$W$6*'Valve Sizing'!$G$8/AG1465)</f>
        <v>431.96958466188642</v>
      </c>
      <c r="AH1467" s="111"/>
      <c r="AI1467" s="28"/>
      <c r="AJ1467" s="96" t="e">
        <f ca="1">(AJ1460/(N_9*AJ$27*AJ1462*AJ1466))*SQRT(M*'Valve Sizing'!$W$6*'Valve Sizing'!$G$8/AJ1465)</f>
        <v>#NUM!</v>
      </c>
      <c r="AK1467" s="111"/>
      <c r="AL1467" s="28"/>
      <c r="AM1467" s="96" t="e">
        <f ca="1">(AM1460/(N_9*AM$27*AM1462*AM1466))*SQRT(M*'Valve Sizing'!$W$6*'Valve Sizing'!$G$8/AM1465)</f>
        <v>#NUM!</v>
      </c>
      <c r="AN1467" s="111"/>
      <c r="AO1467" s="28"/>
      <c r="AP1467" s="96">
        <f ca="1">(AP1460/(N_9*AP$27*AP1462*AP1466))*SQRT(M*'Valve Sizing'!$W$6*'Valve Sizing'!$G$8/AP1465)</f>
        <v>99.699867645823531</v>
      </c>
      <c r="AQ1467" s="111"/>
      <c r="AR1467" s="28"/>
      <c r="AS1467" s="96">
        <f ca="1">(AS1460/(N_9*AS$27*AS1462*AS1466))*SQRT(M*'Valve Sizing'!$W$6*'Valve Sizing'!$G$8/AS1465)</f>
        <v>323.13668200196923</v>
      </c>
      <c r="AT1467" s="111"/>
      <c r="AU1467" s="28"/>
    </row>
    <row r="1468" spans="15:47" x14ac:dyDescent="0.25">
      <c r="O1468" s="2" t="s">
        <v>59</v>
      </c>
      <c r="P1468" s="143">
        <v>7</v>
      </c>
      <c r="Q1468" s="2"/>
      <c r="R1468" s="96">
        <f ca="1">(R1460/(N_9*R$27*R1462*0.667))*SQRT(M*'Valve Sizing'!$W$6*'Valve Sizing'!$G$8/R1469)</f>
        <v>0.86823018053217504</v>
      </c>
      <c r="S1468" s="107"/>
      <c r="T1468" s="22"/>
      <c r="U1468" s="96">
        <f ca="1">(U1460/(N_9*U$27*U1462*0.667))*SQRT(M*'Valve Sizing'!$W$6*'Valve Sizing'!$G$8/U1469)</f>
        <v>11.71049234243805</v>
      </c>
      <c r="V1468" s="111"/>
      <c r="W1468" s="28"/>
      <c r="X1468" s="96">
        <f ca="1">(X1460/(N_9*X$27*X1462*0.667))*SQRT(M*'Valve Sizing'!$W$6*'Valve Sizing'!$G$8/X1469)</f>
        <v>29.185453699627779</v>
      </c>
      <c r="Y1468" s="111"/>
      <c r="Z1468" s="28"/>
      <c r="AA1468" s="96">
        <f ca="1">(AA1460/(N_9*AA$27*AA1462*0.667))*SQRT(M*'Valve Sizing'!$W$6*'Valve Sizing'!$G$8/AA1469)</f>
        <v>59.721975658478307</v>
      </c>
      <c r="AB1468" s="111"/>
      <c r="AC1468" s="28"/>
      <c r="AD1468" s="96">
        <f ca="1">(AD1460/(N_9*AD$27*AD1462*0.667))*SQRT(M*'Valve Sizing'!$W$6*'Valve Sizing'!$G$8/AD1469)</f>
        <v>113.36494214627119</v>
      </c>
      <c r="AE1468" s="111"/>
      <c r="AF1468" s="28"/>
      <c r="AG1468" s="96">
        <f ca="1">(AG1460/(N_9*AG$27*AG1462*0.667))*SQRT(M*'Valve Sizing'!$W$6*'Valve Sizing'!$G$8/AG1469)</f>
        <v>211.50898714128667</v>
      </c>
      <c r="AH1468" s="111"/>
      <c r="AI1468" s="28"/>
      <c r="AJ1468" s="96">
        <f ca="1">(AJ1460/(N_9*AJ$27*AJ1462*0.667))*SQRT(M*'Valve Sizing'!$W$6*'Valve Sizing'!$G$8/AJ1469)</f>
        <v>443.0997509816076</v>
      </c>
      <c r="AK1468" s="111"/>
      <c r="AL1468" s="28"/>
      <c r="AM1468" s="96">
        <f ca="1">(AM1460/(N_9*AM$27*AM1462*0.667))*SQRT(M*'Valve Sizing'!$W$6*'Valve Sizing'!$G$8/AM1469)</f>
        <v>1247.0526052614923</v>
      </c>
      <c r="AN1468" s="111"/>
      <c r="AO1468" s="28"/>
      <c r="AP1468" s="96">
        <f ca="1">(AP1460/(N_9*AP$27*AP1462*0.667))*SQRT(M*'Valve Sizing'!$W$6*'Valve Sizing'!$G$8/AP1469)</f>
        <v>-12469.277204706395</v>
      </c>
      <c r="AQ1468" s="111"/>
      <c r="AR1468" s="28"/>
      <c r="AS1468" s="96">
        <f ca="1">(AS1460/(N_9*AS$27*AS1462*0.667))*SQRT(M*'Valve Sizing'!$W$6*'Valve Sizing'!$G$8/AS1469)</f>
        <v>-1667.8110647960693</v>
      </c>
      <c r="AT1468" s="111"/>
      <c r="AU1468" s="28"/>
    </row>
    <row r="1469" spans="15:47" ht="15.6" x14ac:dyDescent="0.35">
      <c r="O1469" s="2" t="s">
        <v>68</v>
      </c>
      <c r="P1469" s="143">
        <v>10</v>
      </c>
      <c r="Q1469" s="2"/>
      <c r="R1469" s="96">
        <f ca="1">F_GAMMA*R$29</f>
        <v>0.64002969751372984</v>
      </c>
      <c r="S1469" s="107"/>
      <c r="T1469" s="1"/>
      <c r="U1469" s="96">
        <f ca="1">F_GAMMA*U$29</f>
        <v>0.64017842058782071</v>
      </c>
      <c r="V1469" s="111"/>
      <c r="W1469" s="28"/>
      <c r="X1469" s="96">
        <f ca="1">F_GAMMA*X$29</f>
        <v>0.63413873724904268</v>
      </c>
      <c r="Y1469" s="111"/>
      <c r="Z1469" s="28"/>
      <c r="AA1469" s="96">
        <f ca="1">F_GAMMA*AA$29</f>
        <v>0.62532411750377137</v>
      </c>
      <c r="AB1469" s="111"/>
      <c r="AC1469" s="28"/>
      <c r="AD1469" s="96">
        <f ca="1">F_GAMMA*AD$29</f>
        <v>0.60651359509139569</v>
      </c>
      <c r="AE1469" s="111"/>
      <c r="AF1469" s="28"/>
      <c r="AG1469" s="96">
        <f ca="1">F_GAMMA*AG$29</f>
        <v>0.57217930198481592</v>
      </c>
      <c r="AH1469" s="111"/>
      <c r="AI1469" s="28"/>
      <c r="AJ1469" s="96">
        <f ca="1">F_GAMMA*AJ$29</f>
        <v>0.53183282018848232</v>
      </c>
      <c r="AK1469" s="111"/>
      <c r="AL1469" s="28"/>
      <c r="AM1469" s="96">
        <f ca="1">F_GAMMA*AM$29</f>
        <v>0.47566512503094399</v>
      </c>
      <c r="AN1469" s="111"/>
      <c r="AO1469" s="28"/>
      <c r="AP1469" s="96">
        <f ca="1">F_GAMMA*AP$29</f>
        <v>0.59054158265645496</v>
      </c>
      <c r="AQ1469" s="111"/>
      <c r="AR1469" s="28"/>
      <c r="AS1469" s="96">
        <f ca="1">F_GAMMA*AS$29</f>
        <v>0.3766899554102966</v>
      </c>
      <c r="AT1469" s="111"/>
      <c r="AU1469" s="28"/>
    </row>
    <row r="1470" spans="15:47" x14ac:dyDescent="0.25">
      <c r="O1470" s="2" t="s">
        <v>145</v>
      </c>
      <c r="P1470" s="12"/>
      <c r="Q1470" s="2"/>
      <c r="R1470" s="96">
        <f ca="1">IF(R1465&lt;R1469,R1467,R1468)</f>
        <v>0.96988645423328779</v>
      </c>
      <c r="S1470" s="116"/>
      <c r="T1470" s="1"/>
      <c r="U1470" s="96">
        <f ca="1">IF(U1465&lt;U1469,U1467,U1468)</f>
        <v>13.098355488009872</v>
      </c>
      <c r="V1470" s="111"/>
      <c r="W1470" s="28"/>
      <c r="X1470" s="96">
        <f ca="1">IF(X1465&lt;X1469,X1467,X1468)</f>
        <v>32.759733085429687</v>
      </c>
      <c r="Y1470" s="111"/>
      <c r="Z1470" s="28"/>
      <c r="AA1470" s="96">
        <f ca="1">IF(AA1465&lt;AA1469,AA1467,AA1468)</f>
        <v>68.376476661335914</v>
      </c>
      <c r="AB1470" s="111"/>
      <c r="AC1470" s="28"/>
      <c r="AD1470" s="96">
        <f ca="1">IF(AD1465&lt;AD1469,AD1467,AD1468)</f>
        <v>140.37790692629278</v>
      </c>
      <c r="AE1470" s="111"/>
      <c r="AF1470" s="28"/>
      <c r="AG1470" s="96">
        <f ca="1">IF(AG1465&lt;AG1469,AG1467,AG1468)</f>
        <v>431.96958466188642</v>
      </c>
      <c r="AH1470" s="111"/>
      <c r="AI1470" s="28"/>
      <c r="AJ1470" s="96" t="e">
        <f ca="1">IF(AJ1465&lt;AJ1469,AJ1467,AJ1468)</f>
        <v>#NUM!</v>
      </c>
      <c r="AK1470" s="111"/>
      <c r="AL1470" s="28"/>
      <c r="AM1470" s="96" t="e">
        <f ca="1">IF(AM1465&lt;AM1469,AM1467,AM1468)</f>
        <v>#NUM!</v>
      </c>
      <c r="AN1470" s="111"/>
      <c r="AO1470" s="28"/>
      <c r="AP1470" s="96">
        <f ca="1">IF(AP1465&lt;AP1469,AP1467,AP1468)</f>
        <v>-12469.277204706395</v>
      </c>
      <c r="AQ1470" s="111"/>
      <c r="AR1470" s="28"/>
      <c r="AS1470" s="96">
        <f ca="1">IF(AS1465&lt;AS1469,AS1467,AS1468)</f>
        <v>-1667.8110647960693</v>
      </c>
      <c r="AT1470" s="111"/>
      <c r="AU1470" s="28"/>
    </row>
    <row r="1471" spans="15:47" x14ac:dyDescent="0.25">
      <c r="O1471" s="13" t="s">
        <v>143</v>
      </c>
      <c r="P1471" s="1"/>
      <c r="Q1471" s="1"/>
      <c r="R1471" s="113"/>
      <c r="S1471" s="106">
        <f ca="1">IF(R1464&lt;=0,Q_max,ABS(R$23-R1470))</f>
        <v>3.7601135457667128</v>
      </c>
      <c r="T1471" s="7">
        <f>R1460</f>
        <v>2401.61940100216</v>
      </c>
      <c r="U1471" s="98"/>
      <c r="V1471" s="106">
        <f ca="1">IF(U1464&lt;=0,Q_max,ABS(U$23-U1470))</f>
        <v>1.4983554880098726</v>
      </c>
      <c r="W1471" s="9">
        <f ca="1">U1460</f>
        <v>32307.105512651127</v>
      </c>
      <c r="X1471" s="98"/>
      <c r="Y1471" s="106">
        <f ca="1">IF(X1464&lt;=0,Q_max,ABS(X$23-X1470))</f>
        <v>9.7597330854296871</v>
      </c>
      <c r="Z1471" s="9">
        <f ca="1">X1460</f>
        <v>79108.234181593623</v>
      </c>
      <c r="AA1471" s="98"/>
      <c r="AB1471" s="106">
        <f ca="1">IF(AA1464&lt;=0,Q_max,ABS(AA$23-AA1470))</f>
        <v>28.976476661335916</v>
      </c>
      <c r="AC1471" s="9">
        <f ca="1">AA1460</f>
        <v>154082.64817181171</v>
      </c>
      <c r="AD1471" s="98"/>
      <c r="AE1471" s="106">
        <f ca="1">IF(AD1464&lt;=0,Q_max,ABS(AD$23-AD1470))</f>
        <v>79.377906926292781</v>
      </c>
      <c r="AF1471" s="9">
        <f ca="1">AD1460</f>
        <v>258502.75182752116</v>
      </c>
      <c r="AG1471" s="98"/>
      <c r="AH1471" s="106">
        <f ca="1">IF(AG1464&lt;=0,Q_max,ABS(AG$23-AG1470))</f>
        <v>343.76958466188643</v>
      </c>
      <c r="AI1471" s="9">
        <f ca="1">AG1460</f>
        <v>377291.80690986424</v>
      </c>
      <c r="AJ1471" s="98"/>
      <c r="AK1471" s="106">
        <f ca="1">IF(AJ1464&lt;=0,Q_max,ABS(AJ$23-AJ1470))</f>
        <v>236393</v>
      </c>
      <c r="AL1471" s="9">
        <f ca="1">AJ1460</f>
        <v>503497.37891826994</v>
      </c>
      <c r="AM1471" s="98"/>
      <c r="AN1471" s="106">
        <f ca="1">IF(AM1464&lt;=0,Q_max,ABS(AM$23-AM1470))</f>
        <v>236393</v>
      </c>
      <c r="AO1471" s="9">
        <f ca="1">AM1460</f>
        <v>614362.48689598055</v>
      </c>
      <c r="AP1471" s="98"/>
      <c r="AQ1471" s="106">
        <f ca="1">IF(AP1464&lt;=0,Q_max,ABS(AP$23-AP1470))</f>
        <v>236393</v>
      </c>
      <c r="AR1471" s="9">
        <f ca="1">AP1460</f>
        <v>713255.77463014098</v>
      </c>
      <c r="AS1471" s="98"/>
      <c r="AT1471" s="106">
        <f ca="1">IF(AS1464&lt;=0,Q_max,ABS(AS$23-AS1470))</f>
        <v>236393</v>
      </c>
      <c r="AU1471" s="9">
        <f ca="1">AS1460</f>
        <v>836348.48969981365</v>
      </c>
    </row>
    <row r="1472" spans="15:47" x14ac:dyDescent="0.25">
      <c r="O1472" s="21"/>
      <c r="P1472" s="14"/>
      <c r="Q1472" s="21"/>
      <c r="R1472" s="97"/>
      <c r="S1472" s="106"/>
      <c r="T1472" s="28"/>
      <c r="U1472" s="97"/>
      <c r="V1472" s="111"/>
      <c r="W1472" s="28"/>
      <c r="X1472" s="97"/>
      <c r="Y1472" s="111"/>
      <c r="Z1472" s="28"/>
      <c r="AA1472" s="97"/>
      <c r="AB1472" s="111"/>
      <c r="AC1472" s="28"/>
      <c r="AD1472" s="97"/>
      <c r="AE1472" s="111"/>
      <c r="AF1472" s="28"/>
      <c r="AG1472" s="97"/>
      <c r="AH1472" s="111"/>
      <c r="AI1472" s="28"/>
      <c r="AJ1472" s="97"/>
      <c r="AK1472" s="111"/>
      <c r="AL1472" s="28"/>
      <c r="AM1472" s="97"/>
      <c r="AN1472" s="111"/>
      <c r="AO1472" s="28"/>
      <c r="AP1472" s="97"/>
      <c r="AQ1472" s="111"/>
      <c r="AR1472" s="28"/>
      <c r="AS1472" s="97"/>
      <c r="AT1472" s="111"/>
      <c r="AU1472" s="28"/>
    </row>
    <row r="1473" spans="15:47" x14ac:dyDescent="0.25">
      <c r="O1473" s="1"/>
      <c r="P1473" s="1"/>
      <c r="Q1473" s="1"/>
      <c r="R1473" s="98"/>
      <c r="S1473" s="108" t="s">
        <v>137</v>
      </c>
      <c r="T1473" s="26" t="s">
        <v>146</v>
      </c>
      <c r="U1473" s="98"/>
      <c r="V1473" s="108" t="s">
        <v>137</v>
      </c>
      <c r="W1473" s="26" t="s">
        <v>146</v>
      </c>
      <c r="X1473" s="98"/>
      <c r="Y1473" s="108" t="s">
        <v>137</v>
      </c>
      <c r="Z1473" s="26" t="s">
        <v>146</v>
      </c>
      <c r="AA1473" s="98"/>
      <c r="AB1473" s="108" t="s">
        <v>137</v>
      </c>
      <c r="AC1473" s="26" t="s">
        <v>146</v>
      </c>
      <c r="AD1473" s="98"/>
      <c r="AE1473" s="108" t="s">
        <v>137</v>
      </c>
      <c r="AF1473" s="26" t="s">
        <v>146</v>
      </c>
      <c r="AG1473" s="98"/>
      <c r="AH1473" s="108" t="s">
        <v>137</v>
      </c>
      <c r="AI1473" s="26" t="s">
        <v>146</v>
      </c>
      <c r="AJ1473" s="98"/>
      <c r="AK1473" s="108" t="s">
        <v>137</v>
      </c>
      <c r="AL1473" s="26" t="s">
        <v>146</v>
      </c>
      <c r="AM1473" s="98"/>
      <c r="AN1473" s="108" t="s">
        <v>137</v>
      </c>
      <c r="AO1473" s="26" t="s">
        <v>146</v>
      </c>
      <c r="AP1473" s="98"/>
      <c r="AQ1473" s="108" t="s">
        <v>137</v>
      </c>
      <c r="AR1473" s="26" t="s">
        <v>146</v>
      </c>
      <c r="AS1473" s="98"/>
      <c r="AT1473" s="108" t="s">
        <v>137</v>
      </c>
      <c r="AU1473" s="26" t="s">
        <v>146</v>
      </c>
    </row>
    <row r="1474" spans="15:47" ht="13.8" x14ac:dyDescent="0.25">
      <c r="O1474" s="20" t="s">
        <v>136</v>
      </c>
      <c r="P1474" s="1"/>
      <c r="Q1474" s="1"/>
      <c r="R1474" s="96">
        <f>R1460*1.02</f>
        <v>2449.651789022203</v>
      </c>
      <c r="S1474" s="109" t="s">
        <v>144</v>
      </c>
      <c r="T1474" s="23" t="s">
        <v>147</v>
      </c>
      <c r="U1474" s="96">
        <f ca="1">U1460*1.01</f>
        <v>32630.176567777638</v>
      </c>
      <c r="V1474" s="109" t="s">
        <v>144</v>
      </c>
      <c r="W1474" s="23" t="s">
        <v>147</v>
      </c>
      <c r="X1474" s="96">
        <f ca="1">X1460*1.01</f>
        <v>79899.316523409565</v>
      </c>
      <c r="Y1474" s="109" t="s">
        <v>144</v>
      </c>
      <c r="Z1474" s="23" t="s">
        <v>147</v>
      </c>
      <c r="AA1474" s="96">
        <f ca="1">AA1460*1.01</f>
        <v>155623.47465352982</v>
      </c>
      <c r="AB1474" s="109" t="s">
        <v>144</v>
      </c>
      <c r="AC1474" s="23" t="s">
        <v>147</v>
      </c>
      <c r="AD1474" s="96">
        <f ca="1">AD1460*1.01</f>
        <v>261087.77934579639</v>
      </c>
      <c r="AE1474" s="109" t="s">
        <v>144</v>
      </c>
      <c r="AF1474" s="23" t="s">
        <v>147</v>
      </c>
      <c r="AG1474" s="96">
        <f ca="1">AG1460*1.01</f>
        <v>381064.72497896291</v>
      </c>
      <c r="AH1474" s="109" t="s">
        <v>144</v>
      </c>
      <c r="AI1474" s="23" t="s">
        <v>147</v>
      </c>
      <c r="AJ1474" s="96">
        <f ca="1">AJ1460*1.01</f>
        <v>508532.35270745266</v>
      </c>
      <c r="AK1474" s="109" t="s">
        <v>144</v>
      </c>
      <c r="AL1474" s="23" t="s">
        <v>147</v>
      </c>
      <c r="AM1474" s="96">
        <f ca="1">AM1460*1.01</f>
        <v>620506.11176494032</v>
      </c>
      <c r="AN1474" s="109" t="s">
        <v>144</v>
      </c>
      <c r="AO1474" s="23" t="s">
        <v>147</v>
      </c>
      <c r="AP1474" s="96">
        <f ca="1">AP1460*1.01</f>
        <v>720388.33237644238</v>
      </c>
      <c r="AQ1474" s="109" t="s">
        <v>144</v>
      </c>
      <c r="AR1474" s="23" t="s">
        <v>147</v>
      </c>
      <c r="AS1474" s="96">
        <f ca="1">AS1460*1.01</f>
        <v>844711.97459681181</v>
      </c>
      <c r="AT1474" s="109" t="s">
        <v>144</v>
      </c>
      <c r="AU1474" s="23" t="s">
        <v>147</v>
      </c>
    </row>
    <row r="1475" spans="15:47" x14ac:dyDescent="0.25">
      <c r="O1475" s="1"/>
      <c r="P1475" s="1"/>
      <c r="Q1475" s="1"/>
      <c r="R1475" s="98"/>
      <c r="S1475" s="107"/>
      <c r="T1475" s="1"/>
      <c r="U1475" s="47"/>
      <c r="V1475" s="107"/>
      <c r="W1475" s="1"/>
      <c r="X1475" s="47"/>
      <c r="Y1475" s="107"/>
      <c r="Z1475" s="1"/>
      <c r="AA1475" s="47"/>
      <c r="AB1475" s="107"/>
      <c r="AC1475" s="1"/>
      <c r="AD1475" s="47"/>
      <c r="AE1475" s="107"/>
      <c r="AF1475" s="1"/>
      <c r="AG1475" s="47"/>
      <c r="AH1475" s="107"/>
      <c r="AI1475" s="1"/>
      <c r="AJ1475" s="47"/>
      <c r="AK1475" s="107"/>
      <c r="AL1475" s="1"/>
      <c r="AM1475" s="47"/>
      <c r="AN1475" s="107"/>
      <c r="AO1475" s="1"/>
      <c r="AP1475" s="47"/>
      <c r="AQ1475" s="107"/>
      <c r="AR1475" s="1"/>
      <c r="AS1475" s="47"/>
      <c r="AT1475" s="107"/>
      <c r="AU1475" s="1"/>
    </row>
    <row r="1476" spans="15:47" x14ac:dyDescent="0.25">
      <c r="O1476" s="8" t="s">
        <v>132</v>
      </c>
      <c r="P1476" s="8"/>
      <c r="Q1476" s="8"/>
      <c r="R1476" s="96">
        <f>P_1_minQ-(R1474^2*R_up)+dpup_minQ</f>
        <v>90.183946820093695</v>
      </c>
      <c r="S1476" s="106"/>
      <c r="T1476" s="22"/>
      <c r="U1476" s="96">
        <f ca="1">P_1_minQ-(U1474^2*R_up)+dpup_minQ</f>
        <v>89.990982157726236</v>
      </c>
      <c r="V1476" s="107"/>
      <c r="W1476" s="1"/>
      <c r="X1476" s="96">
        <f ca="1">P_1_minQ-(X1474^2*R_up)+dpup_minQ</f>
        <v>89.021504956909908</v>
      </c>
      <c r="Y1476" s="107"/>
      <c r="Z1476" s="1"/>
      <c r="AA1476" s="96">
        <f ca="1">P_1_minQ-(AA1474^2*R_up)+dpup_minQ</f>
        <v>85.770924421947086</v>
      </c>
      <c r="AB1476" s="107"/>
      <c r="AC1476" s="1"/>
      <c r="AD1476" s="96">
        <f ca="1">P_1_minQ-(AD1474^2*R_up)+dpup_minQ</f>
        <v>77.760892249834015</v>
      </c>
      <c r="AE1476" s="107"/>
      <c r="AF1476" s="1"/>
      <c r="AG1476" s="96">
        <f ca="1">P_1_minQ-(AG1474^2*R_up)+dpup_minQ</f>
        <v>63.71887444860814</v>
      </c>
      <c r="AH1476" s="107"/>
      <c r="AI1476" s="1"/>
      <c r="AJ1476" s="96">
        <f ca="1">P_1_minQ-(AJ1474^2*R_up)+dpup_minQ</f>
        <v>43.051429566450274</v>
      </c>
      <c r="AK1476" s="107"/>
      <c r="AL1476" s="1"/>
      <c r="AM1476" s="96">
        <f ca="1">P_1_minQ-(AM1474^2*R_up)+dpup_minQ</f>
        <v>20.009516533189696</v>
      </c>
      <c r="AN1476" s="107"/>
      <c r="AO1476" s="1"/>
      <c r="AP1476" s="96">
        <f ca="1">P_1_minQ-(AP1474^2*R_up)+dpup_minQ</f>
        <v>-4.4009633721079675</v>
      </c>
      <c r="AQ1476" s="107"/>
      <c r="AR1476" s="1"/>
      <c r="AS1476" s="96">
        <f ca="1">P_1_minQ-(AS1474^2*R_up)+dpup_minQ</f>
        <v>-39.86510385480517</v>
      </c>
      <c r="AT1476" s="107"/>
      <c r="AU1476" s="1"/>
    </row>
    <row r="1477" spans="15:47" x14ac:dyDescent="0.25">
      <c r="O1477" s="8" t="s">
        <v>134</v>
      </c>
      <c r="P1477" s="1"/>
      <c r="Q1477" s="8"/>
      <c r="R1477" s="97">
        <f>P_2_minQ+(R1474^2*R_dn)-dpdn_minQ</f>
        <v>60</v>
      </c>
      <c r="S1477" s="106"/>
      <c r="T1477" s="22"/>
      <c r="U1477" s="97">
        <f ca="1">P_2_minQ+(U1474^2*R_dn)-dpdn_minQ</f>
        <v>60</v>
      </c>
      <c r="V1477" s="107"/>
      <c r="W1477" s="1"/>
      <c r="X1477" s="97">
        <f ca="1">P_2_minQ+(X1474^2*R_dn)-dpdn_minQ</f>
        <v>60</v>
      </c>
      <c r="Y1477" s="107"/>
      <c r="Z1477" s="1"/>
      <c r="AA1477" s="97">
        <f ca="1">P_2_minQ+(AA1474^2*R_dn)-dpdn_minQ</f>
        <v>60</v>
      </c>
      <c r="AB1477" s="107"/>
      <c r="AC1477" s="1"/>
      <c r="AD1477" s="97">
        <f ca="1">P_2_minQ+(AD1474^2*R_dn)-dpdn_minQ</f>
        <v>60</v>
      </c>
      <c r="AE1477" s="107"/>
      <c r="AF1477" s="1"/>
      <c r="AG1477" s="97">
        <f ca="1">P_2_minQ+(AG1474^2*R_dn)-dpdn_minQ</f>
        <v>60</v>
      </c>
      <c r="AH1477" s="107"/>
      <c r="AI1477" s="1"/>
      <c r="AJ1477" s="97">
        <f ca="1">P_2_minQ+(AJ1474^2*R_dn)-dpdn_minQ</f>
        <v>60</v>
      </c>
      <c r="AK1477" s="107"/>
      <c r="AL1477" s="1"/>
      <c r="AM1477" s="97">
        <f ca="1">P_2_minQ+(AM1474^2*R_dn)-dpdn_minQ</f>
        <v>60</v>
      </c>
      <c r="AN1477" s="107"/>
      <c r="AO1477" s="1"/>
      <c r="AP1477" s="97">
        <f ca="1">P_2_minQ+(AP1474^2*R_dn)-dpdn_minQ</f>
        <v>60</v>
      </c>
      <c r="AQ1477" s="107"/>
      <c r="AR1477" s="1"/>
      <c r="AS1477" s="97">
        <f ca="1">P_2_minQ+(AS1474^2*R_dn)-dpdn_minQ</f>
        <v>60</v>
      </c>
      <c r="AT1477" s="107"/>
      <c r="AU1477" s="1"/>
    </row>
    <row r="1478" spans="15:47" x14ac:dyDescent="0.25">
      <c r="O1478" s="8" t="s">
        <v>138</v>
      </c>
      <c r="P1478" s="1"/>
      <c r="Q1478" s="8"/>
      <c r="R1478" s="97">
        <f>R1476-R1477</f>
        <v>30.183946820093695</v>
      </c>
      <c r="S1478" s="106"/>
      <c r="T1478" s="22"/>
      <c r="U1478" s="97">
        <f ca="1">U1476-U1477</f>
        <v>29.990982157726236</v>
      </c>
      <c r="V1478" s="110"/>
      <c r="W1478" s="25"/>
      <c r="X1478" s="97">
        <f ca="1">X1476-X1477</f>
        <v>29.021504956909908</v>
      </c>
      <c r="Y1478" s="110"/>
      <c r="Z1478" s="25"/>
      <c r="AA1478" s="97">
        <f ca="1">AA1476-AA1477</f>
        <v>25.770924421947086</v>
      </c>
      <c r="AB1478" s="110"/>
      <c r="AC1478" s="25"/>
      <c r="AD1478" s="97">
        <f ca="1">AD1476-AD1477</f>
        <v>17.760892249834015</v>
      </c>
      <c r="AE1478" s="110"/>
      <c r="AF1478" s="25"/>
      <c r="AG1478" s="97">
        <f ca="1">AG1476-AG1477</f>
        <v>3.7188744486081404</v>
      </c>
      <c r="AH1478" s="110"/>
      <c r="AI1478" s="25"/>
      <c r="AJ1478" s="97">
        <f ca="1">AJ1476-AJ1477</f>
        <v>-16.948570433549726</v>
      </c>
      <c r="AK1478" s="110"/>
      <c r="AL1478" s="25"/>
      <c r="AM1478" s="97">
        <f ca="1">AM1476-AM1477</f>
        <v>-39.990483466810304</v>
      </c>
      <c r="AN1478" s="110"/>
      <c r="AO1478" s="25"/>
      <c r="AP1478" s="97">
        <f ca="1">AP1476-AP1477</f>
        <v>-64.400963372107967</v>
      </c>
      <c r="AQ1478" s="110"/>
      <c r="AR1478" s="25"/>
      <c r="AS1478" s="97">
        <f ca="1">AS1476-AS1477</f>
        <v>-99.86510385480517</v>
      </c>
      <c r="AT1478" s="110"/>
      <c r="AU1478" s="25"/>
    </row>
    <row r="1479" spans="15:47" ht="14.4" x14ac:dyDescent="0.3">
      <c r="O1479" s="2" t="s">
        <v>140</v>
      </c>
      <c r="P1479" s="11"/>
      <c r="Q1479" s="2"/>
      <c r="R1479" s="96">
        <f>R1478/R1476</f>
        <v>0.33469312315979138</v>
      </c>
      <c r="S1479" s="106"/>
      <c r="T1479" s="22"/>
      <c r="U1479" s="96">
        <f ca="1">U1478/U1476</f>
        <v>0.33326652780787924</v>
      </c>
      <c r="V1479" s="111"/>
      <c r="W1479" s="28"/>
      <c r="X1479" s="96">
        <f ca="1">X1478/X1476</f>
        <v>0.32600555305100176</v>
      </c>
      <c r="Y1479" s="111"/>
      <c r="Z1479" s="28"/>
      <c r="AA1479" s="96">
        <f ca="1">AA1478/AA1476</f>
        <v>0.30046224400203403</v>
      </c>
      <c r="AB1479" s="111"/>
      <c r="AC1479" s="28"/>
      <c r="AD1479" s="96">
        <f ca="1">AD1478/AD1476</f>
        <v>0.22840391533537124</v>
      </c>
      <c r="AE1479" s="111"/>
      <c r="AF1479" s="28"/>
      <c r="AG1479" s="96">
        <f ca="1">AG1478/AG1476</f>
        <v>5.8363781231063075E-2</v>
      </c>
      <c r="AH1479" s="111"/>
      <c r="AI1479" s="28"/>
      <c r="AJ1479" s="96">
        <f ca="1">AJ1478/AJ1476</f>
        <v>-0.39368194283512592</v>
      </c>
      <c r="AK1479" s="111"/>
      <c r="AL1479" s="28"/>
      <c r="AM1479" s="96">
        <f ca="1">AM1478/AM1476</f>
        <v>-1.9985731989315316</v>
      </c>
      <c r="AN1479" s="111"/>
      <c r="AO1479" s="28"/>
      <c r="AP1479" s="96">
        <f ca="1">AP1478/AP1476</f>
        <v>14.63337863256546</v>
      </c>
      <c r="AQ1479" s="111"/>
      <c r="AR1479" s="28"/>
      <c r="AS1479" s="96">
        <f ca="1">AS1478/AS1476</f>
        <v>2.5050757228309051</v>
      </c>
      <c r="AT1479" s="111"/>
      <c r="AU1479" s="28"/>
    </row>
    <row r="1480" spans="15:47" x14ac:dyDescent="0.25">
      <c r="O1480" s="2" t="s">
        <v>21</v>
      </c>
      <c r="P1480" s="8">
        <v>12</v>
      </c>
      <c r="Q1480" s="2"/>
      <c r="R1480" s="96">
        <f ca="1">1-R1479/(3*F_GAMMA*R$29)</f>
        <v>0.82568875347506221</v>
      </c>
      <c r="S1480" s="106"/>
      <c r="T1480" s="22"/>
      <c r="U1480" s="96">
        <f ca="1">1-U1479/(3*F_GAMMA*U$29)</f>
        <v>0.82647205992881934</v>
      </c>
      <c r="V1480" s="111"/>
      <c r="W1480" s="28"/>
      <c r="X1480" s="96">
        <f ca="1">1-X1479/(3*F_GAMMA*X$29)</f>
        <v>0.82863605185975209</v>
      </c>
      <c r="Y1480" s="111"/>
      <c r="Z1480" s="28"/>
      <c r="AA1480" s="96">
        <f ca="1">1-AA1479/(3*F_GAMMA*AA$29)</f>
        <v>0.83983652872079206</v>
      </c>
      <c r="AB1480" s="111"/>
      <c r="AC1480" s="28"/>
      <c r="AD1480" s="96">
        <f ca="1">1-AD1479/(3*F_GAMMA*AD$29)</f>
        <v>0.87447167044351082</v>
      </c>
      <c r="AE1480" s="111"/>
      <c r="AF1480" s="28"/>
      <c r="AG1480" s="96">
        <f ca="1">1-AG1479/(3*F_GAMMA*AG$29)</f>
        <v>0.96599913055889608</v>
      </c>
      <c r="AH1480" s="111"/>
      <c r="AI1480" s="28"/>
      <c r="AJ1480" s="96">
        <f ca="1">1-AJ1479/(3*F_GAMMA*AJ$29)</f>
        <v>1.2467454231799162</v>
      </c>
      <c r="AK1480" s="111"/>
      <c r="AL1480" s="28"/>
      <c r="AM1480" s="96">
        <f ca="1">1-AM1479/(3*F_GAMMA*AM$29)</f>
        <v>2.4005463744418347</v>
      </c>
      <c r="AN1480" s="111"/>
      <c r="AO1480" s="28"/>
      <c r="AP1480" s="96">
        <f ca="1">1-AP1479/(3*F_GAMMA*AP$29)</f>
        <v>-7.2598635232084163</v>
      </c>
      <c r="AQ1480" s="111"/>
      <c r="AR1480" s="28"/>
      <c r="AS1480" s="96">
        <f ca="1">1-AS1479/(3*F_GAMMA*AS$29)</f>
        <v>-1.2167441126326621</v>
      </c>
      <c r="AT1480" s="111"/>
      <c r="AU1480" s="28"/>
    </row>
    <row r="1481" spans="15:47" x14ac:dyDescent="0.25">
      <c r="O1481" s="2" t="s">
        <v>57</v>
      </c>
      <c r="P1481" s="143">
        <v>7</v>
      </c>
      <c r="Q1481" s="2"/>
      <c r="R1481" s="96">
        <f ca="1">(R1474/(N_9*R$27*R1476*R1480))*SQRT(M*'Valve Sizing'!$W$6*'Valve Sizing'!$G$8/R1479)</f>
        <v>0.98928491673512198</v>
      </c>
      <c r="S1481" s="107"/>
      <c r="T1481" s="22"/>
      <c r="U1481" s="96">
        <f ca="1">(U1474/(N_9*U$27*U1476*U1480))*SQRT(M*'Valve Sizing'!$W$6*'Valve Sizing'!$G$8/U1479)</f>
        <v>13.230227302416877</v>
      </c>
      <c r="V1481" s="111"/>
      <c r="W1481" s="28"/>
      <c r="X1481" s="96">
        <f ca="1">(X1474/(N_9*X$27*X1476*X1480))*SQRT(M*'Valve Sizing'!$W$6*'Valve Sizing'!$G$8/X1479)</f>
        <v>33.101014706887938</v>
      </c>
      <c r="Y1481" s="111"/>
      <c r="Z1481" s="28"/>
      <c r="AA1481" s="96">
        <f ca="1">(AA1474/(N_9*AA$27*AA1476*AA1480))*SQRT(M*'Valve Sizing'!$W$6*'Valve Sizing'!$G$8/AA1479)</f>
        <v>69.180615314614442</v>
      </c>
      <c r="AB1481" s="111"/>
      <c r="AC1481" s="28"/>
      <c r="AD1481" s="96">
        <f ca="1">(AD1474/(N_9*AD$27*AD1476*AD1480))*SQRT(M*'Valve Sizing'!$W$6*'Valve Sizing'!$G$8/AD1479)</f>
        <v>142.76239285416651</v>
      </c>
      <c r="AE1481" s="111"/>
      <c r="AF1481" s="28"/>
      <c r="AG1481" s="96">
        <f ca="1">(AG1474/(N_9*AG$27*AG1476*AG1480))*SQRT(M*'Valve Sizing'!$W$6*'Valve Sizing'!$G$8/AG1479)</f>
        <v>465.62205812759231</v>
      </c>
      <c r="AH1481" s="111"/>
      <c r="AI1481" s="28"/>
      <c r="AJ1481" s="96" t="e">
        <f ca="1">(AJ1474/(N_9*AJ$27*AJ1476*AJ1480))*SQRT(M*'Valve Sizing'!$W$6*'Valve Sizing'!$G$8/AJ1479)</f>
        <v>#NUM!</v>
      </c>
      <c r="AK1481" s="111"/>
      <c r="AL1481" s="28"/>
      <c r="AM1481" s="96" t="e">
        <f ca="1">(AM1474/(N_9*AM$27*AM1476*AM1480))*SQRT(M*'Valve Sizing'!$W$6*'Valve Sizing'!$G$8/AM1479)</f>
        <v>#NUM!</v>
      </c>
      <c r="AN1481" s="111"/>
      <c r="AO1481" s="28"/>
      <c r="AP1481" s="96">
        <f ca="1">(AP1474/(N_9*AP$27*AP1476*AP1480))*SQRT(M*'Valve Sizing'!$W$6*'Valve Sizing'!$G$8/AP1479)</f>
        <v>134.00706386013033</v>
      </c>
      <c r="AQ1481" s="111"/>
      <c r="AR1481" s="28"/>
      <c r="AS1481" s="96">
        <f ca="1">(AS1474/(N_9*AS$27*AS1476*AS1480))*SQRT(M*'Valve Sizing'!$W$6*'Valve Sizing'!$G$8/AS1479)</f>
        <v>335.06003165570047</v>
      </c>
      <c r="AT1481" s="111"/>
      <c r="AU1481" s="28"/>
    </row>
    <row r="1482" spans="15:47" x14ac:dyDescent="0.25">
      <c r="O1482" s="2" t="s">
        <v>59</v>
      </c>
      <c r="P1482" s="143">
        <v>7</v>
      </c>
      <c r="Q1482" s="2"/>
      <c r="R1482" s="96">
        <f ca="1">(R1474/(N_9*R$27*R1476*0.667))*SQRT(M*'Valve Sizing'!$W$6*'Valve Sizing'!$G$8/R1483)</f>
        <v>0.88559520119373591</v>
      </c>
      <c r="S1482" s="107"/>
      <c r="T1482" s="22"/>
      <c r="U1482" s="96">
        <f ca="1">(U1474/(N_9*U$27*U1476*0.667))*SQRT(M*'Valve Sizing'!$W$6*'Valve Sizing'!$G$8/U1483)</f>
        <v>11.828099820437743</v>
      </c>
      <c r="V1482" s="111"/>
      <c r="W1482" s="28"/>
      <c r="X1482" s="96">
        <f ca="1">(X1474/(N_9*X$27*X1476*0.667))*SQRT(M*'Valve Sizing'!$W$6*'Valve Sizing'!$G$8/X1483)</f>
        <v>29.484899706383363</v>
      </c>
      <c r="Y1482" s="111"/>
      <c r="Z1482" s="28"/>
      <c r="AA1482" s="96">
        <f ca="1">(AA1474/(N_9*AA$27*AA1476*0.667))*SQRT(M*'Valve Sizing'!$W$6*'Valve Sizing'!$G$8/AA1483)</f>
        <v>60.380361757468734</v>
      </c>
      <c r="AB1482" s="111"/>
      <c r="AC1482" s="28"/>
      <c r="AD1482" s="96">
        <f ca="1">(AD1474/(N_9*AD$27*AD1476*0.667))*SQRT(M*'Valve Sizing'!$W$6*'Valve Sizing'!$G$8/AD1483)</f>
        <v>114.8590530341874</v>
      </c>
      <c r="AE1482" s="111"/>
      <c r="AF1482" s="28"/>
      <c r="AG1482" s="96">
        <f ca="1">(AG1474/(N_9*AG$27*AG1476*0.667))*SQRT(M*'Valve Sizing'!$W$6*'Valve Sizing'!$G$8/AG1483)</f>
        <v>215.3724192394358</v>
      </c>
      <c r="AH1482" s="111"/>
      <c r="AI1482" s="28"/>
      <c r="AJ1482" s="96">
        <f ca="1">(AJ1474/(N_9*AJ$27*AJ1476*0.667))*SQRT(M*'Valve Sizing'!$W$6*'Valve Sizing'!$G$8/AJ1483)</f>
        <v>457.18501592890982</v>
      </c>
      <c r="AK1482" s="111"/>
      <c r="AL1482" s="28"/>
      <c r="AM1482" s="96">
        <f ca="1">(AM1474/(N_9*AM$27*AM1476*0.667))*SQRT(M*'Valve Sizing'!$W$6*'Valve Sizing'!$G$8/AM1483)</f>
        <v>1346.561055830683</v>
      </c>
      <c r="AN1482" s="111"/>
      <c r="AO1482" s="28"/>
      <c r="AP1482" s="96">
        <f ca="1">(AP1474/(N_9*AP$27*AP1476*0.667))*SQRT(M*'Valve Sizing'!$W$6*'Valve Sizing'!$G$8/AP1483)</f>
        <v>-7260.68135474681</v>
      </c>
      <c r="AQ1482" s="111"/>
      <c r="AR1482" s="28"/>
      <c r="AS1482" s="96">
        <f ca="1">(AS1474/(N_9*AS$27*AS1476*0.667))*SQRT(M*'Valve Sizing'!$W$6*'Valve Sizing'!$G$8/AS1483)</f>
        <v>-1576.2113629498776</v>
      </c>
      <c r="AT1482" s="111"/>
      <c r="AU1482" s="28"/>
    </row>
    <row r="1483" spans="15:47" ht="15.6" x14ac:dyDescent="0.35">
      <c r="O1483" s="2" t="s">
        <v>68</v>
      </c>
      <c r="P1483" s="143">
        <v>10</v>
      </c>
      <c r="Q1483" s="2"/>
      <c r="R1483" s="96">
        <f ca="1">F_GAMMA*R$29</f>
        <v>0.64002969751372984</v>
      </c>
      <c r="S1483" s="107"/>
      <c r="T1483" s="1"/>
      <c r="U1483" s="96">
        <f ca="1">F_GAMMA*U$29</f>
        <v>0.64017842058782071</v>
      </c>
      <c r="V1483" s="111"/>
      <c r="W1483" s="28"/>
      <c r="X1483" s="96">
        <f ca="1">F_GAMMA*X$29</f>
        <v>0.63413873724904268</v>
      </c>
      <c r="Y1483" s="111"/>
      <c r="Z1483" s="28"/>
      <c r="AA1483" s="96">
        <f ca="1">F_GAMMA*AA$29</f>
        <v>0.62532411750377137</v>
      </c>
      <c r="AB1483" s="111"/>
      <c r="AC1483" s="28"/>
      <c r="AD1483" s="96">
        <f ca="1">F_GAMMA*AD$29</f>
        <v>0.60651359509139569</v>
      </c>
      <c r="AE1483" s="111"/>
      <c r="AF1483" s="28"/>
      <c r="AG1483" s="96">
        <f ca="1">F_GAMMA*AG$29</f>
        <v>0.57217930198481592</v>
      </c>
      <c r="AH1483" s="111"/>
      <c r="AI1483" s="28"/>
      <c r="AJ1483" s="96">
        <f ca="1">F_GAMMA*AJ$29</f>
        <v>0.53183282018848232</v>
      </c>
      <c r="AK1483" s="111"/>
      <c r="AL1483" s="28"/>
      <c r="AM1483" s="96">
        <f ca="1">F_GAMMA*AM$29</f>
        <v>0.47566512503094399</v>
      </c>
      <c r="AN1483" s="111"/>
      <c r="AO1483" s="28"/>
      <c r="AP1483" s="96">
        <f ca="1">F_GAMMA*AP$29</f>
        <v>0.59054158265645496</v>
      </c>
      <c r="AQ1483" s="111"/>
      <c r="AR1483" s="28"/>
      <c r="AS1483" s="96">
        <f ca="1">F_GAMMA*AS$29</f>
        <v>0.3766899554102966</v>
      </c>
      <c r="AT1483" s="111"/>
      <c r="AU1483" s="28"/>
    </row>
    <row r="1484" spans="15:47" x14ac:dyDescent="0.25">
      <c r="O1484" s="2" t="s">
        <v>145</v>
      </c>
      <c r="P1484" s="12"/>
      <c r="Q1484" s="2"/>
      <c r="R1484" s="96">
        <f ca="1">IF(R1479&lt;R1483,R1481,R1482)</f>
        <v>0.98928491673512198</v>
      </c>
      <c r="S1484" s="116"/>
      <c r="T1484" s="1"/>
      <c r="U1484" s="96">
        <f ca="1">IF(U1479&lt;U1483,U1481,U1482)</f>
        <v>13.230227302416877</v>
      </c>
      <c r="V1484" s="111"/>
      <c r="W1484" s="28"/>
      <c r="X1484" s="96">
        <f ca="1">IF(X1479&lt;X1483,X1481,X1482)</f>
        <v>33.101014706887938</v>
      </c>
      <c r="Y1484" s="111"/>
      <c r="Z1484" s="28"/>
      <c r="AA1484" s="96">
        <f ca="1">IF(AA1479&lt;AA1483,AA1481,AA1482)</f>
        <v>69.180615314614442</v>
      </c>
      <c r="AB1484" s="111"/>
      <c r="AC1484" s="28"/>
      <c r="AD1484" s="96">
        <f ca="1">IF(AD1479&lt;AD1483,AD1481,AD1482)</f>
        <v>142.76239285416651</v>
      </c>
      <c r="AE1484" s="111"/>
      <c r="AF1484" s="28"/>
      <c r="AG1484" s="96">
        <f ca="1">IF(AG1479&lt;AG1483,AG1481,AG1482)</f>
        <v>465.62205812759231</v>
      </c>
      <c r="AH1484" s="111"/>
      <c r="AI1484" s="28"/>
      <c r="AJ1484" s="96" t="e">
        <f ca="1">IF(AJ1479&lt;AJ1483,AJ1481,AJ1482)</f>
        <v>#NUM!</v>
      </c>
      <c r="AK1484" s="111"/>
      <c r="AL1484" s="28"/>
      <c r="AM1484" s="96" t="e">
        <f ca="1">IF(AM1479&lt;AM1483,AM1481,AM1482)</f>
        <v>#NUM!</v>
      </c>
      <c r="AN1484" s="111"/>
      <c r="AO1484" s="28"/>
      <c r="AP1484" s="96">
        <f ca="1">IF(AP1479&lt;AP1483,AP1481,AP1482)</f>
        <v>-7260.68135474681</v>
      </c>
      <c r="AQ1484" s="111"/>
      <c r="AR1484" s="28"/>
      <c r="AS1484" s="96">
        <f ca="1">IF(AS1479&lt;AS1483,AS1481,AS1482)</f>
        <v>-1576.2113629498776</v>
      </c>
      <c r="AT1484" s="111"/>
      <c r="AU1484" s="28"/>
    </row>
    <row r="1485" spans="15:47" x14ac:dyDescent="0.25">
      <c r="O1485" s="13" t="s">
        <v>143</v>
      </c>
      <c r="P1485" s="1"/>
      <c r="Q1485" s="1"/>
      <c r="R1485" s="113"/>
      <c r="S1485" s="106">
        <f ca="1">IF(R1478&lt;=0,Q_max,ABS(R$23-R1484))</f>
        <v>3.7407150832648783</v>
      </c>
      <c r="T1485" s="7">
        <f>R1474</f>
        <v>2449.651789022203</v>
      </c>
      <c r="U1485" s="98"/>
      <c r="V1485" s="106">
        <f ca="1">IF(U1478&lt;=0,Q_max,ABS(U$23-U1484))</f>
        <v>1.630227302416877</v>
      </c>
      <c r="W1485" s="9">
        <f ca="1">U1474</f>
        <v>32630.176567777638</v>
      </c>
      <c r="X1485" s="98"/>
      <c r="Y1485" s="106">
        <f ca="1">IF(X1478&lt;=0,Q_max,ABS(X$23-X1484))</f>
        <v>10.101014706887938</v>
      </c>
      <c r="Z1485" s="9">
        <f ca="1">X1474</f>
        <v>79899.316523409565</v>
      </c>
      <c r="AA1485" s="98"/>
      <c r="AB1485" s="106">
        <f ca="1">IF(AA1478&lt;=0,Q_max,ABS(AA$23-AA1484))</f>
        <v>29.780615314614444</v>
      </c>
      <c r="AC1485" s="9">
        <f ca="1">AA1474</f>
        <v>155623.47465352982</v>
      </c>
      <c r="AD1485" s="98"/>
      <c r="AE1485" s="106">
        <f ca="1">IF(AD1478&lt;=0,Q_max,ABS(AD$23-AD1484))</f>
        <v>81.762392854166507</v>
      </c>
      <c r="AF1485" s="9">
        <f ca="1">AD1474</f>
        <v>261087.77934579639</v>
      </c>
      <c r="AG1485" s="98"/>
      <c r="AH1485" s="106">
        <f ca="1">IF(AG1478&lt;=0,Q_max,ABS(AG$23-AG1484))</f>
        <v>377.42205812759232</v>
      </c>
      <c r="AI1485" s="9">
        <f ca="1">AG1474</f>
        <v>381064.72497896291</v>
      </c>
      <c r="AJ1485" s="98"/>
      <c r="AK1485" s="106">
        <f ca="1">IF(AJ1478&lt;=0,Q_max,ABS(AJ$23-AJ1484))</f>
        <v>236393</v>
      </c>
      <c r="AL1485" s="9">
        <f ca="1">AJ1474</f>
        <v>508532.35270745266</v>
      </c>
      <c r="AM1485" s="98"/>
      <c r="AN1485" s="106">
        <f ca="1">IF(AM1478&lt;=0,Q_max,ABS(AM$23-AM1484))</f>
        <v>236393</v>
      </c>
      <c r="AO1485" s="9">
        <f ca="1">AM1474</f>
        <v>620506.11176494032</v>
      </c>
      <c r="AP1485" s="98"/>
      <c r="AQ1485" s="106">
        <f ca="1">IF(AP1478&lt;=0,Q_max,ABS(AP$23-AP1484))</f>
        <v>236393</v>
      </c>
      <c r="AR1485" s="9">
        <f ca="1">AP1474</f>
        <v>720388.33237644238</v>
      </c>
      <c r="AS1485" s="98"/>
      <c r="AT1485" s="106">
        <f ca="1">IF(AS1478&lt;=0,Q_max,ABS(AS$23-AS1484))</f>
        <v>236393</v>
      </c>
      <c r="AU1485" s="9">
        <f ca="1">AS1474</f>
        <v>844711.97459681181</v>
      </c>
    </row>
    <row r="1486" spans="15:47" x14ac:dyDescent="0.25">
      <c r="O1486" s="21"/>
      <c r="P1486" s="14"/>
      <c r="Q1486" s="21"/>
      <c r="R1486" s="97"/>
      <c r="S1486" s="106"/>
      <c r="T1486" s="28"/>
      <c r="U1486" s="97"/>
      <c r="V1486" s="111"/>
      <c r="W1486" s="28"/>
      <c r="X1486" s="97"/>
      <c r="Y1486" s="111"/>
      <c r="Z1486" s="28"/>
      <c r="AA1486" s="97"/>
      <c r="AB1486" s="111"/>
      <c r="AC1486" s="28"/>
      <c r="AD1486" s="97"/>
      <c r="AE1486" s="111"/>
      <c r="AF1486" s="28"/>
      <c r="AG1486" s="97"/>
      <c r="AH1486" s="111"/>
      <c r="AI1486" s="28"/>
      <c r="AJ1486" s="97"/>
      <c r="AK1486" s="111"/>
      <c r="AL1486" s="28"/>
      <c r="AM1486" s="97"/>
      <c r="AN1486" s="111"/>
      <c r="AO1486" s="28"/>
      <c r="AP1486" s="97"/>
      <c r="AQ1486" s="111"/>
      <c r="AR1486" s="28"/>
      <c r="AS1486" s="97"/>
      <c r="AT1486" s="111"/>
      <c r="AU1486" s="28"/>
    </row>
    <row r="1487" spans="15:47" x14ac:dyDescent="0.25">
      <c r="O1487" s="1"/>
      <c r="P1487" s="1"/>
      <c r="Q1487" s="1"/>
      <c r="R1487" s="98"/>
      <c r="S1487" s="108" t="s">
        <v>137</v>
      </c>
      <c r="T1487" s="26" t="s">
        <v>146</v>
      </c>
      <c r="U1487" s="98"/>
      <c r="V1487" s="108" t="s">
        <v>137</v>
      </c>
      <c r="W1487" s="26" t="s">
        <v>146</v>
      </c>
      <c r="X1487" s="98"/>
      <c r="Y1487" s="108" t="s">
        <v>137</v>
      </c>
      <c r="Z1487" s="26" t="s">
        <v>146</v>
      </c>
      <c r="AA1487" s="98"/>
      <c r="AB1487" s="108" t="s">
        <v>137</v>
      </c>
      <c r="AC1487" s="26" t="s">
        <v>146</v>
      </c>
      <c r="AD1487" s="98"/>
      <c r="AE1487" s="108" t="s">
        <v>137</v>
      </c>
      <c r="AF1487" s="26" t="s">
        <v>146</v>
      </c>
      <c r="AG1487" s="98"/>
      <c r="AH1487" s="108" t="s">
        <v>137</v>
      </c>
      <c r="AI1487" s="26" t="s">
        <v>146</v>
      </c>
      <c r="AJ1487" s="98"/>
      <c r="AK1487" s="108" t="s">
        <v>137</v>
      </c>
      <c r="AL1487" s="26" t="s">
        <v>146</v>
      </c>
      <c r="AM1487" s="98"/>
      <c r="AN1487" s="108" t="s">
        <v>137</v>
      </c>
      <c r="AO1487" s="26" t="s">
        <v>146</v>
      </c>
      <c r="AP1487" s="98"/>
      <c r="AQ1487" s="108" t="s">
        <v>137</v>
      </c>
      <c r="AR1487" s="26" t="s">
        <v>146</v>
      </c>
      <c r="AS1487" s="98"/>
      <c r="AT1487" s="108" t="s">
        <v>137</v>
      </c>
      <c r="AU1487" s="26" t="s">
        <v>146</v>
      </c>
    </row>
    <row r="1488" spans="15:47" ht="13.8" x14ac:dyDescent="0.25">
      <c r="O1488" s="20" t="s">
        <v>136</v>
      </c>
      <c r="P1488" s="1"/>
      <c r="Q1488" s="1"/>
      <c r="R1488" s="96">
        <f>R1474*1.02</f>
        <v>2498.6448248026472</v>
      </c>
      <c r="S1488" s="109" t="s">
        <v>144</v>
      </c>
      <c r="T1488" s="23" t="s">
        <v>147</v>
      </c>
      <c r="U1488" s="96">
        <f ca="1">U1474*1.01</f>
        <v>32956.478333455416</v>
      </c>
      <c r="V1488" s="109" t="s">
        <v>144</v>
      </c>
      <c r="W1488" s="23" t="s">
        <v>147</v>
      </c>
      <c r="X1488" s="96">
        <f ca="1">X1474*1.01</f>
        <v>80698.309688643654</v>
      </c>
      <c r="Y1488" s="109" t="s">
        <v>144</v>
      </c>
      <c r="Z1488" s="23" t="s">
        <v>147</v>
      </c>
      <c r="AA1488" s="96">
        <f ca="1">AA1474*1.01</f>
        <v>157179.70940006513</v>
      </c>
      <c r="AB1488" s="109" t="s">
        <v>144</v>
      </c>
      <c r="AC1488" s="23" t="s">
        <v>147</v>
      </c>
      <c r="AD1488" s="96">
        <f ca="1">AD1474*1.01</f>
        <v>263698.65713925433</v>
      </c>
      <c r="AE1488" s="109" t="s">
        <v>144</v>
      </c>
      <c r="AF1488" s="23" t="s">
        <v>147</v>
      </c>
      <c r="AG1488" s="96">
        <f ca="1">AG1474*1.01</f>
        <v>384875.37222875253</v>
      </c>
      <c r="AH1488" s="109" t="s">
        <v>144</v>
      </c>
      <c r="AI1488" s="23" t="s">
        <v>147</v>
      </c>
      <c r="AJ1488" s="96">
        <f ca="1">AJ1474*1.01</f>
        <v>513617.6762345272</v>
      </c>
      <c r="AK1488" s="109" t="s">
        <v>144</v>
      </c>
      <c r="AL1488" s="23" t="s">
        <v>147</v>
      </c>
      <c r="AM1488" s="96">
        <f ca="1">AM1474*1.01</f>
        <v>626711.17288258974</v>
      </c>
      <c r="AN1488" s="109" t="s">
        <v>144</v>
      </c>
      <c r="AO1488" s="23" t="s">
        <v>147</v>
      </c>
      <c r="AP1488" s="96">
        <f ca="1">AP1474*1.01</f>
        <v>727592.21570020681</v>
      </c>
      <c r="AQ1488" s="109" t="s">
        <v>144</v>
      </c>
      <c r="AR1488" s="23" t="s">
        <v>147</v>
      </c>
      <c r="AS1488" s="96">
        <f ca="1">AS1474*1.01</f>
        <v>853159.09434277995</v>
      </c>
      <c r="AT1488" s="109" t="s">
        <v>144</v>
      </c>
      <c r="AU1488" s="23" t="s">
        <v>147</v>
      </c>
    </row>
    <row r="1489" spans="15:47" x14ac:dyDescent="0.25">
      <c r="O1489" s="1"/>
      <c r="P1489" s="1"/>
      <c r="Q1489" s="1"/>
      <c r="R1489" s="98"/>
      <c r="S1489" s="107"/>
      <c r="T1489" s="1"/>
      <c r="U1489" s="47"/>
      <c r="V1489" s="107"/>
      <c r="W1489" s="1"/>
      <c r="X1489" s="47"/>
      <c r="Y1489" s="107"/>
      <c r="Z1489" s="1"/>
      <c r="AA1489" s="47"/>
      <c r="AB1489" s="107"/>
      <c r="AC1489" s="1"/>
      <c r="AD1489" s="47"/>
      <c r="AE1489" s="107"/>
      <c r="AF1489" s="1"/>
      <c r="AG1489" s="47"/>
      <c r="AH1489" s="107"/>
      <c r="AI1489" s="1"/>
      <c r="AJ1489" s="47"/>
      <c r="AK1489" s="107"/>
      <c r="AL1489" s="1"/>
      <c r="AM1489" s="47"/>
      <c r="AN1489" s="107"/>
      <c r="AO1489" s="1"/>
      <c r="AP1489" s="47"/>
      <c r="AQ1489" s="107"/>
      <c r="AR1489" s="1"/>
      <c r="AS1489" s="47"/>
      <c r="AT1489" s="107"/>
      <c r="AU1489" s="1"/>
    </row>
    <row r="1490" spans="15:47" x14ac:dyDescent="0.25">
      <c r="O1490" s="8" t="s">
        <v>132</v>
      </c>
      <c r="P1490" s="8"/>
      <c r="Q1490" s="8"/>
      <c r="R1490" s="96">
        <f>P_1_minQ-(R1488^2*R_up)+dpup_minQ</f>
        <v>90.18390263420315</v>
      </c>
      <c r="S1490" s="106"/>
      <c r="T1490" s="22"/>
      <c r="U1490" s="96">
        <f ca="1">P_1_minQ-(U1488^2*R_up)+dpup_minQ</f>
        <v>89.9870815844384</v>
      </c>
      <c r="V1490" s="107"/>
      <c r="W1490" s="1"/>
      <c r="X1490" s="96">
        <f ca="1">P_1_minQ-(X1488^2*R_up)+dpup_minQ</f>
        <v>88.998117891885656</v>
      </c>
      <c r="Y1490" s="107"/>
      <c r="Z1490" s="1"/>
      <c r="AA1490" s="96">
        <f ca="1">P_1_minQ-(AA1488^2*R_up)+dpup_minQ</f>
        <v>85.682200688170084</v>
      </c>
      <c r="AB1490" s="107"/>
      <c r="AC1490" s="1"/>
      <c r="AD1490" s="96">
        <f ca="1">P_1_minQ-(AD1488^2*R_up)+dpup_minQ</f>
        <v>77.511166869397542</v>
      </c>
      <c r="AE1490" s="107"/>
      <c r="AF1490" s="1"/>
      <c r="AG1490" s="96">
        <f ca="1">P_1_minQ-(AG1488^2*R_up)+dpup_minQ</f>
        <v>63.186904510367029</v>
      </c>
      <c r="AH1490" s="107"/>
      <c r="AI1490" s="1"/>
      <c r="AJ1490" s="96">
        <f ca="1">P_1_minQ-(AJ1488^2*R_up)+dpup_minQ</f>
        <v>42.104043986077784</v>
      </c>
      <c r="AK1490" s="107"/>
      <c r="AL1490" s="1"/>
      <c r="AM1490" s="96">
        <f ca="1">P_1_minQ-(AM1488^2*R_up)+dpup_minQ</f>
        <v>18.598988500848677</v>
      </c>
      <c r="AN1490" s="107"/>
      <c r="AO1490" s="1"/>
      <c r="AP1490" s="96">
        <f ca="1">P_1_minQ-(AP1488^2*R_up)+dpup_minQ</f>
        <v>-6.3021420505454708</v>
      </c>
      <c r="AQ1490" s="107"/>
      <c r="AR1490" s="1"/>
      <c r="AS1490" s="96">
        <f ca="1">P_1_minQ-(AS1488^2*R_up)+dpup_minQ</f>
        <v>-42.479111756944889</v>
      </c>
      <c r="AT1490" s="107"/>
      <c r="AU1490" s="1"/>
    </row>
    <row r="1491" spans="15:47" x14ac:dyDescent="0.25">
      <c r="O1491" s="8" t="s">
        <v>134</v>
      </c>
      <c r="P1491" s="1"/>
      <c r="Q1491" s="8"/>
      <c r="R1491" s="97">
        <f>P_2_minQ+(R1488^2*R_dn)-dpdn_minQ</f>
        <v>60</v>
      </c>
      <c r="S1491" s="106"/>
      <c r="T1491" s="22"/>
      <c r="U1491" s="97">
        <f ca="1">P_2_minQ+(U1488^2*R_dn)-dpdn_minQ</f>
        <v>60</v>
      </c>
      <c r="V1491" s="107"/>
      <c r="W1491" s="1"/>
      <c r="X1491" s="97">
        <f ca="1">P_2_minQ+(X1488^2*R_dn)-dpdn_minQ</f>
        <v>60</v>
      </c>
      <c r="Y1491" s="107"/>
      <c r="Z1491" s="1"/>
      <c r="AA1491" s="97">
        <f ca="1">P_2_minQ+(AA1488^2*R_dn)-dpdn_minQ</f>
        <v>60</v>
      </c>
      <c r="AB1491" s="107"/>
      <c r="AC1491" s="1"/>
      <c r="AD1491" s="97">
        <f ca="1">P_2_minQ+(AD1488^2*R_dn)-dpdn_minQ</f>
        <v>60</v>
      </c>
      <c r="AE1491" s="107"/>
      <c r="AF1491" s="1"/>
      <c r="AG1491" s="97">
        <f ca="1">P_2_minQ+(AG1488^2*R_dn)-dpdn_minQ</f>
        <v>60</v>
      </c>
      <c r="AH1491" s="107"/>
      <c r="AI1491" s="1"/>
      <c r="AJ1491" s="97">
        <f ca="1">P_2_minQ+(AJ1488^2*R_dn)-dpdn_minQ</f>
        <v>60</v>
      </c>
      <c r="AK1491" s="107"/>
      <c r="AL1491" s="1"/>
      <c r="AM1491" s="97">
        <f ca="1">P_2_minQ+(AM1488^2*R_dn)-dpdn_minQ</f>
        <v>60</v>
      </c>
      <c r="AN1491" s="107"/>
      <c r="AO1491" s="1"/>
      <c r="AP1491" s="97">
        <f ca="1">P_2_minQ+(AP1488^2*R_dn)-dpdn_minQ</f>
        <v>60</v>
      </c>
      <c r="AQ1491" s="107"/>
      <c r="AR1491" s="1"/>
      <c r="AS1491" s="97">
        <f ca="1">P_2_minQ+(AS1488^2*R_dn)-dpdn_minQ</f>
        <v>60</v>
      </c>
      <c r="AT1491" s="107"/>
      <c r="AU1491" s="1"/>
    </row>
    <row r="1492" spans="15:47" x14ac:dyDescent="0.25">
      <c r="O1492" s="8" t="s">
        <v>138</v>
      </c>
      <c r="P1492" s="1"/>
      <c r="Q1492" s="8"/>
      <c r="R1492" s="97">
        <f>R1490-R1491</f>
        <v>30.18390263420315</v>
      </c>
      <c r="S1492" s="106"/>
      <c r="T1492" s="22"/>
      <c r="U1492" s="97">
        <f ca="1">U1490-U1491</f>
        <v>29.9870815844384</v>
      </c>
      <c r="V1492" s="110"/>
      <c r="W1492" s="25"/>
      <c r="X1492" s="97">
        <f ca="1">X1490-X1491</f>
        <v>28.998117891885656</v>
      </c>
      <c r="Y1492" s="110"/>
      <c r="Z1492" s="25"/>
      <c r="AA1492" s="97">
        <f ca="1">AA1490-AA1491</f>
        <v>25.682200688170084</v>
      </c>
      <c r="AB1492" s="110"/>
      <c r="AC1492" s="25"/>
      <c r="AD1492" s="97">
        <f ca="1">AD1490-AD1491</f>
        <v>17.511166869397542</v>
      </c>
      <c r="AE1492" s="110"/>
      <c r="AF1492" s="25"/>
      <c r="AG1492" s="97">
        <f ca="1">AG1490-AG1491</f>
        <v>3.1869045103670288</v>
      </c>
      <c r="AH1492" s="110"/>
      <c r="AI1492" s="25"/>
      <c r="AJ1492" s="97">
        <f ca="1">AJ1490-AJ1491</f>
        <v>-17.895956013922216</v>
      </c>
      <c r="AK1492" s="110"/>
      <c r="AL1492" s="25"/>
      <c r="AM1492" s="97">
        <f ca="1">AM1490-AM1491</f>
        <v>-41.401011499151323</v>
      </c>
      <c r="AN1492" s="110"/>
      <c r="AO1492" s="25"/>
      <c r="AP1492" s="97">
        <f ca="1">AP1490-AP1491</f>
        <v>-66.30214205054547</v>
      </c>
      <c r="AQ1492" s="110"/>
      <c r="AR1492" s="25"/>
      <c r="AS1492" s="97">
        <f ca="1">AS1490-AS1491</f>
        <v>-102.47911175694489</v>
      </c>
      <c r="AT1492" s="110"/>
      <c r="AU1492" s="25"/>
    </row>
    <row r="1493" spans="15:47" ht="14.4" x14ac:dyDescent="0.3">
      <c r="O1493" s="2" t="s">
        <v>140</v>
      </c>
      <c r="P1493" s="11"/>
      <c r="Q1493" s="2"/>
      <c r="R1493" s="96">
        <f>R1492/R1490</f>
        <v>0.33469279719056649</v>
      </c>
      <c r="S1493" s="106"/>
      <c r="T1493" s="22"/>
      <c r="U1493" s="96">
        <f ca="1">U1492/U1490</f>
        <v>0.33323762762880965</v>
      </c>
      <c r="V1493" s="111"/>
      <c r="W1493" s="28"/>
      <c r="X1493" s="96">
        <f ca="1">X1492/X1490</f>
        <v>0.32582843973298831</v>
      </c>
      <c r="Y1493" s="111"/>
      <c r="Z1493" s="28"/>
      <c r="AA1493" s="96">
        <f ca="1">AA1492/AA1490</f>
        <v>0.29973787416638981</v>
      </c>
      <c r="AB1493" s="111"/>
      <c r="AC1493" s="28"/>
      <c r="AD1493" s="96">
        <f ca="1">AD1492/AD1490</f>
        <v>0.2259179880352335</v>
      </c>
      <c r="AE1493" s="111"/>
      <c r="AF1493" s="28"/>
      <c r="AG1493" s="96">
        <f ca="1">AG1492/AG1490</f>
        <v>5.0436155008102286E-2</v>
      </c>
      <c r="AH1493" s="111"/>
      <c r="AI1493" s="28"/>
      <c r="AJ1493" s="96">
        <f ca="1">AJ1492/AJ1490</f>
        <v>-0.42504126254095054</v>
      </c>
      <c r="AK1493" s="111"/>
      <c r="AL1493" s="28"/>
      <c r="AM1493" s="96">
        <f ca="1">AM1492/AM1490</f>
        <v>-2.2259818859107412</v>
      </c>
      <c r="AN1493" s="111"/>
      <c r="AO1493" s="28"/>
      <c r="AP1493" s="96">
        <f ca="1">AP1492/AP1490</f>
        <v>10.520572452791159</v>
      </c>
      <c r="AQ1493" s="111"/>
      <c r="AR1493" s="28"/>
      <c r="AS1493" s="96">
        <f ca="1">AS1492/AS1490</f>
        <v>2.4124589125899183</v>
      </c>
      <c r="AT1493" s="111"/>
      <c r="AU1493" s="28"/>
    </row>
    <row r="1494" spans="15:47" x14ac:dyDescent="0.25">
      <c r="O1494" s="2" t="s">
        <v>21</v>
      </c>
      <c r="P1494" s="8">
        <v>12</v>
      </c>
      <c r="Q1494" s="2"/>
      <c r="R1494" s="96">
        <f ca="1">1-R1493/(3*F_GAMMA*R$29)</f>
        <v>0.82568892324282261</v>
      </c>
      <c r="S1494" s="106"/>
      <c r="T1494" s="22"/>
      <c r="U1494" s="96">
        <f ca="1">1-U1493/(3*F_GAMMA*U$29)</f>
        <v>0.82648710791030922</v>
      </c>
      <c r="V1494" s="111"/>
      <c r="W1494" s="28"/>
      <c r="X1494" s="96">
        <f ca="1">1-X1493/(3*F_GAMMA*X$29)</f>
        <v>0.82872915100226341</v>
      </c>
      <c r="Y1494" s="111"/>
      <c r="Z1494" s="28"/>
      <c r="AA1494" s="96">
        <f ca="1">1-AA1493/(3*F_GAMMA*AA$29)</f>
        <v>0.84022265905724103</v>
      </c>
      <c r="AB1494" s="111"/>
      <c r="AC1494" s="28"/>
      <c r="AD1494" s="96">
        <f ca="1">1-AD1493/(3*F_GAMMA*AD$29)</f>
        <v>0.87583790928809002</v>
      </c>
      <c r="AE1494" s="111"/>
      <c r="AF1494" s="28"/>
      <c r="AG1494" s="96">
        <f ca="1">1-AG1493/(3*F_GAMMA*AG$29)</f>
        <v>0.97061751165928478</v>
      </c>
      <c r="AH1494" s="111"/>
      <c r="AI1494" s="28"/>
      <c r="AJ1494" s="96">
        <f ca="1">1-AJ1493/(3*F_GAMMA*AJ$29)</f>
        <v>1.2664002962373999</v>
      </c>
      <c r="AK1494" s="111"/>
      <c r="AL1494" s="28"/>
      <c r="AM1494" s="96">
        <f ca="1">1-AM1493/(3*F_GAMMA*AM$29)</f>
        <v>2.5599082693354434</v>
      </c>
      <c r="AN1494" s="111"/>
      <c r="AO1494" s="28"/>
      <c r="AP1494" s="96">
        <f ca="1">1-AP1493/(3*F_GAMMA*AP$29)</f>
        <v>-4.9383751919529422</v>
      </c>
      <c r="AQ1494" s="111"/>
      <c r="AR1494" s="28"/>
      <c r="AS1494" s="96">
        <f ca="1">1-AS1493/(3*F_GAMMA*AS$29)</f>
        <v>-1.1347874009207652</v>
      </c>
      <c r="AT1494" s="111"/>
      <c r="AU1494" s="28"/>
    </row>
    <row r="1495" spans="15:47" x14ac:dyDescent="0.25">
      <c r="O1495" s="2" t="s">
        <v>57</v>
      </c>
      <c r="P1495" s="143">
        <v>7</v>
      </c>
      <c r="Q1495" s="2"/>
      <c r="R1495" s="96">
        <f ca="1">(R1488/(N_9*R$27*R1490*R1494))*SQRT(M*'Valve Sizing'!$W$6*'Valve Sizing'!$G$8/R1493)</f>
        <v>1.0090713933796014</v>
      </c>
      <c r="S1495" s="107"/>
      <c r="T1495" s="22"/>
      <c r="U1495" s="96">
        <f ca="1">(U1488/(N_9*U$27*U1490*U1494))*SQRT(M*'Valve Sizing'!$W$6*'Valve Sizing'!$G$8/U1493)</f>
        <v>13.363444920025763</v>
      </c>
      <c r="V1495" s="111"/>
      <c r="W1495" s="28"/>
      <c r="X1495" s="96">
        <f ca="1">(X1488/(N_9*X$27*X1490*X1494))*SQRT(M*'Valve Sizing'!$W$6*'Valve Sizing'!$G$8/X1493)</f>
        <v>33.446140041168917</v>
      </c>
      <c r="Y1495" s="111"/>
      <c r="Z1495" s="28"/>
      <c r="AA1495" s="96">
        <f ca="1">(AA1488/(N_9*AA$27*AA1490*AA1494))*SQRT(M*'Valve Sizing'!$W$6*'Valve Sizing'!$G$8/AA1493)</f>
        <v>69.997057757742951</v>
      </c>
      <c r="AB1495" s="111"/>
      <c r="AC1495" s="28"/>
      <c r="AD1495" s="96">
        <f ca="1">(AD1488/(N_9*AD$27*AD1490*AD1494))*SQRT(M*'Valve Sizing'!$W$6*'Valve Sizing'!$G$8/AD1493)</f>
        <v>145.22136832747347</v>
      </c>
      <c r="AE1495" s="111"/>
      <c r="AF1495" s="28"/>
      <c r="AG1495" s="96">
        <f ca="1">(AG1488/(N_9*AG$27*AG1490*AG1494))*SQRT(M*'Valve Sizing'!$W$6*'Valve Sizing'!$G$8/AG1493)</f>
        <v>507.72117173248432</v>
      </c>
      <c r="AH1495" s="111"/>
      <c r="AI1495" s="28"/>
      <c r="AJ1495" s="96" t="e">
        <f ca="1">(AJ1488/(N_9*AJ$27*AJ1490*AJ1494))*SQRT(M*'Valve Sizing'!$W$6*'Valve Sizing'!$G$8/AJ1493)</f>
        <v>#NUM!</v>
      </c>
      <c r="AK1495" s="111"/>
      <c r="AL1495" s="28"/>
      <c r="AM1495" s="96" t="e">
        <f ca="1">(AM1488/(N_9*AM$27*AM1490*AM1494))*SQRT(M*'Valve Sizing'!$W$6*'Valve Sizing'!$G$8/AM1493)</f>
        <v>#NUM!</v>
      </c>
      <c r="AN1495" s="111"/>
      <c r="AO1495" s="28"/>
      <c r="AP1495" s="96">
        <f ca="1">(AP1488/(N_9*AP$27*AP1490*AP1494))*SQRT(M*'Valve Sizing'!$W$6*'Valve Sizing'!$G$8/AP1493)</f>
        <v>163.8723286337455</v>
      </c>
      <c r="AQ1495" s="111"/>
      <c r="AR1495" s="28"/>
      <c r="AS1495" s="96">
        <f ca="1">(AS1488/(N_9*AS$27*AS1490*AS1494))*SQRT(M*'Valve Sizing'!$W$6*'Valve Sizing'!$G$8/AS1493)</f>
        <v>346.99777201701733</v>
      </c>
      <c r="AT1495" s="111"/>
      <c r="AU1495" s="28"/>
    </row>
    <row r="1496" spans="15:47" x14ac:dyDescent="0.25">
      <c r="O1496" s="2" t="s">
        <v>59</v>
      </c>
      <c r="P1496" s="143">
        <v>7</v>
      </c>
      <c r="Q1496" s="2"/>
      <c r="R1496" s="96">
        <f ca="1">(R1488/(N_9*R$27*R1490*0.667))*SQRT(M*'Valve Sizing'!$W$6*'Valve Sizing'!$G$8/R1497)</f>
        <v>0.90330754779580591</v>
      </c>
      <c r="S1496" s="107"/>
      <c r="T1496" s="22"/>
      <c r="U1496" s="96">
        <f ca="1">(U1488/(N_9*U$27*U1490*0.667))*SQRT(M*'Valve Sizing'!$W$6*'Valve Sizing'!$G$8/U1497)</f>
        <v>11.946898645568908</v>
      </c>
      <c r="V1496" s="111"/>
      <c r="W1496" s="28"/>
      <c r="X1496" s="96">
        <f ca="1">(X1488/(N_9*X$27*X1490*0.667))*SQRT(M*'Valve Sizing'!$W$6*'Valve Sizing'!$G$8/X1497)</f>
        <v>29.787574272524719</v>
      </c>
      <c r="Y1496" s="111"/>
      <c r="Z1496" s="28"/>
      <c r="AA1496" s="96">
        <f ca="1">(AA1488/(N_9*AA$27*AA1490*0.667))*SQRT(M*'Valve Sizing'!$W$6*'Valve Sizing'!$G$8/AA1497)</f>
        <v>61.047314346590497</v>
      </c>
      <c r="AB1496" s="111"/>
      <c r="AC1496" s="28"/>
      <c r="AD1496" s="96">
        <f ca="1">(AD1488/(N_9*AD$27*AD1490*0.667))*SQRT(M*'Valve Sizing'!$W$6*'Valve Sizing'!$G$8/AD1497)</f>
        <v>116.38139684541464</v>
      </c>
      <c r="AE1496" s="111"/>
      <c r="AF1496" s="28"/>
      <c r="AG1496" s="96">
        <f ca="1">(AG1488/(N_9*AG$27*AG1490*0.667))*SQRT(M*'Valve Sizing'!$W$6*'Valve Sizing'!$G$8/AG1497)</f>
        <v>219.35749393054419</v>
      </c>
      <c r="AH1496" s="111"/>
      <c r="AI1496" s="28"/>
      <c r="AJ1496" s="96">
        <f ca="1">(AJ1488/(N_9*AJ$27*AJ1490*0.667))*SQRT(M*'Valve Sizing'!$W$6*'Valve Sizing'!$G$8/AJ1497)</f>
        <v>472.14688460315682</v>
      </c>
      <c r="AK1496" s="111"/>
      <c r="AL1496" s="28"/>
      <c r="AM1496" s="96">
        <f ca="1">(AM1488/(N_9*AM$27*AM1490*0.667))*SQRT(M*'Valve Sizing'!$W$6*'Valve Sizing'!$G$8/AM1497)</f>
        <v>1463.1696807300891</v>
      </c>
      <c r="AN1496" s="111"/>
      <c r="AO1496" s="28"/>
      <c r="AP1496" s="96">
        <f ca="1">(AP1488/(N_9*AP$27*AP1490*0.667))*SQRT(M*'Valve Sizing'!$W$6*'Valve Sizing'!$G$8/AP1497)</f>
        <v>-5121.0417611869716</v>
      </c>
      <c r="AQ1496" s="111"/>
      <c r="AR1496" s="28"/>
      <c r="AS1496" s="96">
        <f ca="1">(AS1488/(N_9*AS$27*AS1490*0.667))*SQRT(M*'Valve Sizing'!$W$6*'Valve Sizing'!$G$8/AS1497)</f>
        <v>-1494.0092989952022</v>
      </c>
      <c r="AT1496" s="111"/>
      <c r="AU1496" s="28"/>
    </row>
    <row r="1497" spans="15:47" ht="15.6" x14ac:dyDescent="0.35">
      <c r="O1497" s="2" t="s">
        <v>68</v>
      </c>
      <c r="P1497" s="143">
        <v>10</v>
      </c>
      <c r="Q1497" s="2"/>
      <c r="R1497" s="96">
        <f ca="1">F_GAMMA*R$29</f>
        <v>0.64002969751372984</v>
      </c>
      <c r="S1497" s="107"/>
      <c r="T1497" s="1"/>
      <c r="U1497" s="96">
        <f ca="1">F_GAMMA*U$29</f>
        <v>0.64017842058782071</v>
      </c>
      <c r="V1497" s="111"/>
      <c r="W1497" s="28"/>
      <c r="X1497" s="96">
        <f ca="1">F_GAMMA*X$29</f>
        <v>0.63413873724904268</v>
      </c>
      <c r="Y1497" s="111"/>
      <c r="Z1497" s="28"/>
      <c r="AA1497" s="96">
        <f ca="1">F_GAMMA*AA$29</f>
        <v>0.62532411750377137</v>
      </c>
      <c r="AB1497" s="111"/>
      <c r="AC1497" s="28"/>
      <c r="AD1497" s="96">
        <f ca="1">F_GAMMA*AD$29</f>
        <v>0.60651359509139569</v>
      </c>
      <c r="AE1497" s="111"/>
      <c r="AF1497" s="28"/>
      <c r="AG1497" s="96">
        <f ca="1">F_GAMMA*AG$29</f>
        <v>0.57217930198481592</v>
      </c>
      <c r="AH1497" s="111"/>
      <c r="AI1497" s="28"/>
      <c r="AJ1497" s="96">
        <f ca="1">F_GAMMA*AJ$29</f>
        <v>0.53183282018848232</v>
      </c>
      <c r="AK1497" s="111"/>
      <c r="AL1497" s="28"/>
      <c r="AM1497" s="96">
        <f ca="1">F_GAMMA*AM$29</f>
        <v>0.47566512503094399</v>
      </c>
      <c r="AN1497" s="111"/>
      <c r="AO1497" s="28"/>
      <c r="AP1497" s="96">
        <f ca="1">F_GAMMA*AP$29</f>
        <v>0.59054158265645496</v>
      </c>
      <c r="AQ1497" s="111"/>
      <c r="AR1497" s="28"/>
      <c r="AS1497" s="96">
        <f ca="1">F_GAMMA*AS$29</f>
        <v>0.3766899554102966</v>
      </c>
      <c r="AT1497" s="111"/>
      <c r="AU1497" s="28"/>
    </row>
    <row r="1498" spans="15:47" x14ac:dyDescent="0.25">
      <c r="O1498" s="2" t="s">
        <v>145</v>
      </c>
      <c r="P1498" s="12"/>
      <c r="Q1498" s="2"/>
      <c r="R1498" s="96">
        <f ca="1">IF(R1493&lt;R1497,R1495,R1496)</f>
        <v>1.0090713933796014</v>
      </c>
      <c r="S1498" s="116"/>
      <c r="T1498" s="1"/>
      <c r="U1498" s="96">
        <f ca="1">IF(U1493&lt;U1497,U1495,U1496)</f>
        <v>13.363444920025763</v>
      </c>
      <c r="V1498" s="111"/>
      <c r="W1498" s="28"/>
      <c r="X1498" s="96">
        <f ca="1">IF(X1493&lt;X1497,X1495,X1496)</f>
        <v>33.446140041168917</v>
      </c>
      <c r="Y1498" s="111"/>
      <c r="Z1498" s="28"/>
      <c r="AA1498" s="96">
        <f ca="1">IF(AA1493&lt;AA1497,AA1495,AA1496)</f>
        <v>69.997057757742951</v>
      </c>
      <c r="AB1498" s="111"/>
      <c r="AC1498" s="28"/>
      <c r="AD1498" s="96">
        <f ca="1">IF(AD1493&lt;AD1497,AD1495,AD1496)</f>
        <v>145.22136832747347</v>
      </c>
      <c r="AE1498" s="111"/>
      <c r="AF1498" s="28"/>
      <c r="AG1498" s="96">
        <f ca="1">IF(AG1493&lt;AG1497,AG1495,AG1496)</f>
        <v>507.72117173248432</v>
      </c>
      <c r="AH1498" s="111"/>
      <c r="AI1498" s="28"/>
      <c r="AJ1498" s="96" t="e">
        <f ca="1">IF(AJ1493&lt;AJ1497,AJ1495,AJ1496)</f>
        <v>#NUM!</v>
      </c>
      <c r="AK1498" s="111"/>
      <c r="AL1498" s="28"/>
      <c r="AM1498" s="96" t="e">
        <f ca="1">IF(AM1493&lt;AM1497,AM1495,AM1496)</f>
        <v>#NUM!</v>
      </c>
      <c r="AN1498" s="111"/>
      <c r="AO1498" s="28"/>
      <c r="AP1498" s="96">
        <f ca="1">IF(AP1493&lt;AP1497,AP1495,AP1496)</f>
        <v>-5121.0417611869716</v>
      </c>
      <c r="AQ1498" s="111"/>
      <c r="AR1498" s="28"/>
      <c r="AS1498" s="96">
        <f ca="1">IF(AS1493&lt;AS1497,AS1495,AS1496)</f>
        <v>-1494.0092989952022</v>
      </c>
      <c r="AT1498" s="111"/>
      <c r="AU1498" s="28"/>
    </row>
    <row r="1499" spans="15:47" x14ac:dyDescent="0.25">
      <c r="O1499" s="13" t="s">
        <v>143</v>
      </c>
      <c r="P1499" s="1"/>
      <c r="Q1499" s="1"/>
      <c r="R1499" s="113"/>
      <c r="S1499" s="106">
        <f ca="1">IF(R1492&lt;=0,Q_max,ABS(R$23-R1498))</f>
        <v>3.720928606620399</v>
      </c>
      <c r="T1499" s="7">
        <f>R1488</f>
        <v>2498.6448248026472</v>
      </c>
      <c r="U1499" s="98"/>
      <c r="V1499" s="106">
        <f ca="1">IF(U1492&lt;=0,Q_max,ABS(U$23-U1498))</f>
        <v>1.7634449200257638</v>
      </c>
      <c r="W1499" s="9">
        <f ca="1">U1488</f>
        <v>32956.478333455416</v>
      </c>
      <c r="X1499" s="98"/>
      <c r="Y1499" s="106">
        <f ca="1">IF(X1492&lt;=0,Q_max,ABS(X$23-X1498))</f>
        <v>10.446140041168917</v>
      </c>
      <c r="Z1499" s="9">
        <f ca="1">X1488</f>
        <v>80698.309688643654</v>
      </c>
      <c r="AA1499" s="98"/>
      <c r="AB1499" s="106">
        <f ca="1">IF(AA1492&lt;=0,Q_max,ABS(AA$23-AA1498))</f>
        <v>30.597057757742952</v>
      </c>
      <c r="AC1499" s="9">
        <f ca="1">AA1488</f>
        <v>157179.70940006513</v>
      </c>
      <c r="AD1499" s="98"/>
      <c r="AE1499" s="106">
        <f ca="1">IF(AD1492&lt;=0,Q_max,ABS(AD$23-AD1498))</f>
        <v>84.221368327473471</v>
      </c>
      <c r="AF1499" s="9">
        <f ca="1">AD1488</f>
        <v>263698.65713925433</v>
      </c>
      <c r="AG1499" s="98"/>
      <c r="AH1499" s="106">
        <f ca="1">IF(AG1492&lt;=0,Q_max,ABS(AG$23-AG1498))</f>
        <v>419.52117173248433</v>
      </c>
      <c r="AI1499" s="9">
        <f ca="1">AG1488</f>
        <v>384875.37222875253</v>
      </c>
      <c r="AJ1499" s="98"/>
      <c r="AK1499" s="106">
        <f ca="1">IF(AJ1492&lt;=0,Q_max,ABS(AJ$23-AJ1498))</f>
        <v>236393</v>
      </c>
      <c r="AL1499" s="9">
        <f ca="1">AJ1488</f>
        <v>513617.6762345272</v>
      </c>
      <c r="AM1499" s="98"/>
      <c r="AN1499" s="106">
        <f ca="1">IF(AM1492&lt;=0,Q_max,ABS(AM$23-AM1498))</f>
        <v>236393</v>
      </c>
      <c r="AO1499" s="9">
        <f ca="1">AM1488</f>
        <v>626711.17288258974</v>
      </c>
      <c r="AP1499" s="98"/>
      <c r="AQ1499" s="106">
        <f ca="1">IF(AP1492&lt;=0,Q_max,ABS(AP$23-AP1498))</f>
        <v>236393</v>
      </c>
      <c r="AR1499" s="9">
        <f ca="1">AP1488</f>
        <v>727592.21570020681</v>
      </c>
      <c r="AS1499" s="98"/>
      <c r="AT1499" s="106">
        <f ca="1">IF(AS1492&lt;=0,Q_max,ABS(AS$23-AS1498))</f>
        <v>236393</v>
      </c>
      <c r="AU1499" s="9">
        <f ca="1">AS1488</f>
        <v>853159.09434277995</v>
      </c>
    </row>
    <row r="1500" spans="15:47" x14ac:dyDescent="0.25">
      <c r="O1500" s="21"/>
      <c r="P1500" s="14"/>
      <c r="Q1500" s="21"/>
      <c r="R1500" s="97"/>
      <c r="S1500" s="106"/>
      <c r="T1500" s="28"/>
      <c r="U1500" s="97"/>
      <c r="V1500" s="111"/>
      <c r="W1500" s="28"/>
      <c r="X1500" s="97"/>
      <c r="Y1500" s="111"/>
      <c r="Z1500" s="28"/>
      <c r="AA1500" s="97"/>
      <c r="AB1500" s="111"/>
      <c r="AC1500" s="28"/>
      <c r="AD1500" s="97"/>
      <c r="AE1500" s="111"/>
      <c r="AF1500" s="28"/>
      <c r="AG1500" s="97"/>
      <c r="AH1500" s="111"/>
      <c r="AI1500" s="28"/>
      <c r="AJ1500" s="97"/>
      <c r="AK1500" s="111"/>
      <c r="AL1500" s="28"/>
      <c r="AM1500" s="97"/>
      <c r="AN1500" s="111"/>
      <c r="AO1500" s="28"/>
      <c r="AP1500" s="97"/>
      <c r="AQ1500" s="111"/>
      <c r="AR1500" s="28"/>
      <c r="AS1500" s="97"/>
      <c r="AT1500" s="111"/>
      <c r="AU1500" s="28"/>
    </row>
    <row r="1501" spans="15:47" x14ac:dyDescent="0.25">
      <c r="O1501" s="1"/>
      <c r="P1501" s="1"/>
      <c r="Q1501" s="1"/>
      <c r="R1501" s="98"/>
      <c r="S1501" s="108" t="s">
        <v>137</v>
      </c>
      <c r="T1501" s="26" t="s">
        <v>146</v>
      </c>
      <c r="U1501" s="98"/>
      <c r="V1501" s="108" t="s">
        <v>137</v>
      </c>
      <c r="W1501" s="26" t="s">
        <v>146</v>
      </c>
      <c r="X1501" s="98"/>
      <c r="Y1501" s="108" t="s">
        <v>137</v>
      </c>
      <c r="Z1501" s="26" t="s">
        <v>146</v>
      </c>
      <c r="AA1501" s="98"/>
      <c r="AB1501" s="108" t="s">
        <v>137</v>
      </c>
      <c r="AC1501" s="26" t="s">
        <v>146</v>
      </c>
      <c r="AD1501" s="98"/>
      <c r="AE1501" s="108" t="s">
        <v>137</v>
      </c>
      <c r="AF1501" s="26" t="s">
        <v>146</v>
      </c>
      <c r="AG1501" s="98"/>
      <c r="AH1501" s="108" t="s">
        <v>137</v>
      </c>
      <c r="AI1501" s="26" t="s">
        <v>146</v>
      </c>
      <c r="AJ1501" s="98"/>
      <c r="AK1501" s="108" t="s">
        <v>137</v>
      </c>
      <c r="AL1501" s="26" t="s">
        <v>146</v>
      </c>
      <c r="AM1501" s="98"/>
      <c r="AN1501" s="108" t="s">
        <v>137</v>
      </c>
      <c r="AO1501" s="26" t="s">
        <v>146</v>
      </c>
      <c r="AP1501" s="98"/>
      <c r="AQ1501" s="108" t="s">
        <v>137</v>
      </c>
      <c r="AR1501" s="26" t="s">
        <v>146</v>
      </c>
      <c r="AS1501" s="98"/>
      <c r="AT1501" s="108" t="s">
        <v>137</v>
      </c>
      <c r="AU1501" s="26" t="s">
        <v>146</v>
      </c>
    </row>
    <row r="1502" spans="15:47" ht="13.8" x14ac:dyDescent="0.25">
      <c r="O1502" s="20" t="s">
        <v>136</v>
      </c>
      <c r="P1502" s="1"/>
      <c r="Q1502" s="1"/>
      <c r="R1502" s="96">
        <f>R1488*1.02</f>
        <v>2548.6177212987004</v>
      </c>
      <c r="S1502" s="109" t="s">
        <v>144</v>
      </c>
      <c r="T1502" s="23" t="s">
        <v>147</v>
      </c>
      <c r="U1502" s="96">
        <f ca="1">U1488*1.01</f>
        <v>33286.043116789973</v>
      </c>
      <c r="V1502" s="109" t="s">
        <v>144</v>
      </c>
      <c r="W1502" s="23" t="s">
        <v>147</v>
      </c>
      <c r="X1502" s="96">
        <f ca="1">X1488*1.01</f>
        <v>81505.292785530095</v>
      </c>
      <c r="Y1502" s="109" t="s">
        <v>144</v>
      </c>
      <c r="Z1502" s="23" t="s">
        <v>147</v>
      </c>
      <c r="AA1502" s="96">
        <f ca="1">AA1488*1.01</f>
        <v>158751.50649406578</v>
      </c>
      <c r="AB1502" s="109" t="s">
        <v>144</v>
      </c>
      <c r="AC1502" s="23" t="s">
        <v>147</v>
      </c>
      <c r="AD1502" s="96">
        <f ca="1">AD1488*1.01</f>
        <v>266335.64371064689</v>
      </c>
      <c r="AE1502" s="109" t="s">
        <v>144</v>
      </c>
      <c r="AF1502" s="23" t="s">
        <v>147</v>
      </c>
      <c r="AG1502" s="96">
        <f ca="1">AG1488*1.01</f>
        <v>388724.12595104007</v>
      </c>
      <c r="AH1502" s="109" t="s">
        <v>144</v>
      </c>
      <c r="AI1502" s="23" t="s">
        <v>147</v>
      </c>
      <c r="AJ1502" s="96">
        <f ca="1">AJ1488*1.01</f>
        <v>518753.85299687251</v>
      </c>
      <c r="AK1502" s="109" t="s">
        <v>144</v>
      </c>
      <c r="AL1502" s="23" t="s">
        <v>147</v>
      </c>
      <c r="AM1502" s="96">
        <f ca="1">AM1488*1.01</f>
        <v>632978.2846114157</v>
      </c>
      <c r="AN1502" s="109" t="s">
        <v>144</v>
      </c>
      <c r="AO1502" s="23" t="s">
        <v>147</v>
      </c>
      <c r="AP1502" s="96">
        <f ca="1">AP1488*1.01</f>
        <v>734868.13785720884</v>
      </c>
      <c r="AQ1502" s="109" t="s">
        <v>144</v>
      </c>
      <c r="AR1502" s="23" t="s">
        <v>147</v>
      </c>
      <c r="AS1502" s="96">
        <f ca="1">AS1488*1.01</f>
        <v>861690.68528620771</v>
      </c>
      <c r="AT1502" s="109" t="s">
        <v>144</v>
      </c>
      <c r="AU1502" s="23" t="s">
        <v>147</v>
      </c>
    </row>
    <row r="1503" spans="15:47" x14ac:dyDescent="0.25">
      <c r="O1503" s="1"/>
      <c r="P1503" s="1"/>
      <c r="Q1503" s="1"/>
      <c r="R1503" s="98"/>
      <c r="S1503" s="107"/>
      <c r="T1503" s="1"/>
      <c r="U1503" s="47"/>
      <c r="V1503" s="107"/>
      <c r="W1503" s="1"/>
      <c r="X1503" s="47"/>
      <c r="Y1503" s="107"/>
      <c r="Z1503" s="1"/>
      <c r="AA1503" s="47"/>
      <c r="AB1503" s="107"/>
      <c r="AC1503" s="1"/>
      <c r="AD1503" s="47"/>
      <c r="AE1503" s="107"/>
      <c r="AF1503" s="1"/>
      <c r="AG1503" s="47"/>
      <c r="AH1503" s="107"/>
      <c r="AI1503" s="1"/>
      <c r="AJ1503" s="47"/>
      <c r="AK1503" s="107"/>
      <c r="AL1503" s="1"/>
      <c r="AM1503" s="47"/>
      <c r="AN1503" s="107"/>
      <c r="AO1503" s="1"/>
      <c r="AP1503" s="47"/>
      <c r="AQ1503" s="107"/>
      <c r="AR1503" s="1"/>
      <c r="AS1503" s="47"/>
      <c r="AT1503" s="107"/>
      <c r="AU1503" s="1"/>
    </row>
    <row r="1504" spans="15:47" x14ac:dyDescent="0.25">
      <c r="O1504" s="8" t="s">
        <v>132</v>
      </c>
      <c r="P1504" s="8"/>
      <c r="Q1504" s="8"/>
      <c r="R1504" s="96">
        <f>P_1_minQ-(R1502^2*R_up)+dpup_minQ</f>
        <v>90.183856663202633</v>
      </c>
      <c r="S1504" s="106"/>
      <c r="T1504" s="22"/>
      <c r="U1504" s="96">
        <f ca="1">P_1_minQ-(U1502^2*R_up)+dpup_minQ</f>
        <v>89.98310260962748</v>
      </c>
      <c r="V1504" s="107"/>
      <c r="W1504" s="1"/>
      <c r="X1504" s="96">
        <f ca="1">P_1_minQ-(X1502^2*R_up)+dpup_minQ</f>
        <v>88.974260746854426</v>
      </c>
      <c r="Y1504" s="107"/>
      <c r="Z1504" s="1"/>
      <c r="AA1504" s="96">
        <f ca="1">P_1_minQ-(AA1502^2*R_up)+dpup_minQ</f>
        <v>85.591693607344169</v>
      </c>
      <c r="AB1504" s="107"/>
      <c r="AC1504" s="1"/>
      <c r="AD1504" s="96">
        <f ca="1">P_1_minQ-(AD1502^2*R_up)+dpup_minQ</f>
        <v>77.256422008814297</v>
      </c>
      <c r="AE1504" s="107"/>
      <c r="AF1504" s="1"/>
      <c r="AG1504" s="96">
        <f ca="1">P_1_minQ-(AG1502^2*R_up)+dpup_minQ</f>
        <v>62.644241976367269</v>
      </c>
      <c r="AH1504" s="107"/>
      <c r="AI1504" s="1"/>
      <c r="AJ1504" s="96">
        <f ca="1">P_1_minQ-(AJ1502^2*R_up)+dpup_minQ</f>
        <v>41.137615955539808</v>
      </c>
      <c r="AK1504" s="107"/>
      <c r="AL1504" s="1"/>
      <c r="AM1504" s="96">
        <f ca="1">P_1_minQ-(AM1502^2*R_up)+dpup_minQ</f>
        <v>17.160108855057587</v>
      </c>
      <c r="AN1504" s="107"/>
      <c r="AO1504" s="1"/>
      <c r="AP1504" s="96">
        <f ca="1">P_1_minQ-(AP1502^2*R_up)+dpup_minQ</f>
        <v>-8.2415344204195566</v>
      </c>
      <c r="AQ1504" s="107"/>
      <c r="AR1504" s="1"/>
      <c r="AS1504" s="96">
        <f ca="1">P_1_minQ-(AS1502^2*R_up)+dpup_minQ</f>
        <v>-45.145661217917592</v>
      </c>
      <c r="AT1504" s="107"/>
      <c r="AU1504" s="1"/>
    </row>
    <row r="1505" spans="15:47" x14ac:dyDescent="0.25">
      <c r="O1505" s="8" t="s">
        <v>134</v>
      </c>
      <c r="P1505" s="1"/>
      <c r="Q1505" s="8"/>
      <c r="R1505" s="97">
        <f>P_2_minQ+(R1502^2*R_dn)-dpdn_minQ</f>
        <v>60</v>
      </c>
      <c r="S1505" s="106"/>
      <c r="T1505" s="22"/>
      <c r="U1505" s="97">
        <f ca="1">P_2_minQ+(U1502^2*R_dn)-dpdn_minQ</f>
        <v>60</v>
      </c>
      <c r="V1505" s="107"/>
      <c r="W1505" s="1"/>
      <c r="X1505" s="97">
        <f ca="1">P_2_minQ+(X1502^2*R_dn)-dpdn_minQ</f>
        <v>60</v>
      </c>
      <c r="Y1505" s="107"/>
      <c r="Z1505" s="1"/>
      <c r="AA1505" s="97">
        <f ca="1">P_2_minQ+(AA1502^2*R_dn)-dpdn_minQ</f>
        <v>60</v>
      </c>
      <c r="AB1505" s="107"/>
      <c r="AC1505" s="1"/>
      <c r="AD1505" s="97">
        <f ca="1">P_2_minQ+(AD1502^2*R_dn)-dpdn_minQ</f>
        <v>60</v>
      </c>
      <c r="AE1505" s="107"/>
      <c r="AF1505" s="1"/>
      <c r="AG1505" s="97">
        <f ca="1">P_2_minQ+(AG1502^2*R_dn)-dpdn_minQ</f>
        <v>60</v>
      </c>
      <c r="AH1505" s="107"/>
      <c r="AI1505" s="1"/>
      <c r="AJ1505" s="97">
        <f ca="1">P_2_minQ+(AJ1502^2*R_dn)-dpdn_minQ</f>
        <v>60</v>
      </c>
      <c r="AK1505" s="107"/>
      <c r="AL1505" s="1"/>
      <c r="AM1505" s="97">
        <f ca="1">P_2_minQ+(AM1502^2*R_dn)-dpdn_minQ</f>
        <v>60</v>
      </c>
      <c r="AN1505" s="107"/>
      <c r="AO1505" s="1"/>
      <c r="AP1505" s="97">
        <f ca="1">P_2_minQ+(AP1502^2*R_dn)-dpdn_minQ</f>
        <v>60</v>
      </c>
      <c r="AQ1505" s="107"/>
      <c r="AR1505" s="1"/>
      <c r="AS1505" s="97">
        <f ca="1">P_2_minQ+(AS1502^2*R_dn)-dpdn_minQ</f>
        <v>60</v>
      </c>
      <c r="AT1505" s="107"/>
      <c r="AU1505" s="1"/>
    </row>
    <row r="1506" spans="15:47" x14ac:dyDescent="0.25">
      <c r="O1506" s="8" t="s">
        <v>138</v>
      </c>
      <c r="P1506" s="1"/>
      <c r="Q1506" s="8"/>
      <c r="R1506" s="97">
        <f>R1504-R1505</f>
        <v>30.183856663202633</v>
      </c>
      <c r="S1506" s="106"/>
      <c r="T1506" s="22"/>
      <c r="U1506" s="97">
        <f ca="1">U1504-U1505</f>
        <v>29.98310260962748</v>
      </c>
      <c r="V1506" s="110"/>
      <c r="W1506" s="25"/>
      <c r="X1506" s="97">
        <f ca="1">X1504-X1505</f>
        <v>28.974260746854426</v>
      </c>
      <c r="Y1506" s="110"/>
      <c r="Z1506" s="25"/>
      <c r="AA1506" s="97">
        <f ca="1">AA1504-AA1505</f>
        <v>25.591693607344169</v>
      </c>
      <c r="AB1506" s="110"/>
      <c r="AC1506" s="25"/>
      <c r="AD1506" s="97">
        <f ca="1">AD1504-AD1505</f>
        <v>17.256422008814297</v>
      </c>
      <c r="AE1506" s="110"/>
      <c r="AF1506" s="25"/>
      <c r="AG1506" s="97">
        <f ca="1">AG1504-AG1505</f>
        <v>2.6442419763672689</v>
      </c>
      <c r="AH1506" s="110"/>
      <c r="AI1506" s="25"/>
      <c r="AJ1506" s="97">
        <f ca="1">AJ1504-AJ1505</f>
        <v>-18.862384044460192</v>
      </c>
      <c r="AK1506" s="110"/>
      <c r="AL1506" s="25"/>
      <c r="AM1506" s="97">
        <f ca="1">AM1504-AM1505</f>
        <v>-42.839891144942413</v>
      </c>
      <c r="AN1506" s="110"/>
      <c r="AO1506" s="25"/>
      <c r="AP1506" s="97">
        <f ca="1">AP1504-AP1505</f>
        <v>-68.241534420419555</v>
      </c>
      <c r="AQ1506" s="110"/>
      <c r="AR1506" s="25"/>
      <c r="AS1506" s="97">
        <f ca="1">AS1504-AS1505</f>
        <v>-105.14566121791759</v>
      </c>
      <c r="AT1506" s="110"/>
      <c r="AU1506" s="25"/>
    </row>
    <row r="1507" spans="15:47" ht="14.4" x14ac:dyDescent="0.3">
      <c r="O1507" s="2" t="s">
        <v>140</v>
      </c>
      <c r="P1507" s="11"/>
      <c r="Q1507" s="2"/>
      <c r="R1507" s="96">
        <f>R1506/R1504</f>
        <v>0.33469245805184594</v>
      </c>
      <c r="S1507" s="106"/>
      <c r="T1507" s="22"/>
      <c r="U1507" s="96">
        <f ca="1">U1506/U1504</f>
        <v>0.33320814397457243</v>
      </c>
      <c r="V1507" s="111"/>
      <c r="W1507" s="28"/>
      <c r="X1507" s="96">
        <f ca="1">X1506/X1504</f>
        <v>0.32564767050204207</v>
      </c>
      <c r="Y1507" s="111"/>
      <c r="Z1507" s="28"/>
      <c r="AA1507" s="96">
        <f ca="1">AA1506/AA1504</f>
        <v>0.29899739716271112</v>
      </c>
      <c r="AB1507" s="111"/>
      <c r="AC1507" s="28"/>
      <c r="AD1507" s="96">
        <f ca="1">AD1506/AD1504</f>
        <v>0.22336553467160941</v>
      </c>
      <c r="AE1507" s="111"/>
      <c r="AF1507" s="28"/>
      <c r="AG1507" s="96">
        <f ca="1">AG1506/AG1504</f>
        <v>4.2210455309920063E-2</v>
      </c>
      <c r="AH1507" s="111"/>
      <c r="AI1507" s="28"/>
      <c r="AJ1507" s="96">
        <f ca="1">AJ1506/AJ1504</f>
        <v>-0.45851913404136113</v>
      </c>
      <c r="AK1507" s="111"/>
      <c r="AL1507" s="28"/>
      <c r="AM1507" s="96">
        <f ca="1">AM1506/AM1504</f>
        <v>-2.4964813164525026</v>
      </c>
      <c r="AN1507" s="111"/>
      <c r="AO1507" s="28"/>
      <c r="AP1507" s="96">
        <f ca="1">AP1506/AP1504</f>
        <v>8.280197708249764</v>
      </c>
      <c r="AQ1507" s="111"/>
      <c r="AR1507" s="28"/>
      <c r="AS1507" s="96">
        <f ca="1">AS1506/AS1504</f>
        <v>2.3290313704872032</v>
      </c>
      <c r="AT1507" s="111"/>
      <c r="AU1507" s="28"/>
    </row>
    <row r="1508" spans="15:47" x14ac:dyDescent="0.25">
      <c r="O1508" s="2" t="s">
        <v>21</v>
      </c>
      <c r="P1508" s="8">
        <v>12</v>
      </c>
      <c r="Q1508" s="2"/>
      <c r="R1508" s="96">
        <f ca="1">1-R1507/(3*F_GAMMA*R$29)</f>
        <v>0.82568909986937689</v>
      </c>
      <c r="S1508" s="106"/>
      <c r="T1508" s="22"/>
      <c r="U1508" s="96">
        <f ca="1">1-U1507/(3*F_GAMMA*U$29)</f>
        <v>0.82650245970041913</v>
      </c>
      <c r="V1508" s="111"/>
      <c r="W1508" s="28"/>
      <c r="X1508" s="96">
        <f ca="1">1-X1507/(3*F_GAMMA*X$29)</f>
        <v>0.82882417186564239</v>
      </c>
      <c r="Y1508" s="111"/>
      <c r="Z1508" s="28"/>
      <c r="AA1508" s="96">
        <f ca="1">1-AA1507/(3*F_GAMMA*AA$29)</f>
        <v>0.84061737543069259</v>
      </c>
      <c r="AB1508" s="111"/>
      <c r="AC1508" s="28"/>
      <c r="AD1508" s="96">
        <f ca="1">1-AD1507/(3*F_GAMMA*AD$29)</f>
        <v>0.87724071013997607</v>
      </c>
      <c r="AE1508" s="111"/>
      <c r="AF1508" s="28"/>
      <c r="AG1508" s="96">
        <f ca="1">1-AG1507/(3*F_GAMMA*AG$29)</f>
        <v>0.97540954081847098</v>
      </c>
      <c r="AH1508" s="111"/>
      <c r="AI1508" s="28"/>
      <c r="AJ1508" s="96">
        <f ca="1">1-AJ1507/(3*F_GAMMA*AJ$29)</f>
        <v>1.2873829999678352</v>
      </c>
      <c r="AK1508" s="111"/>
      <c r="AL1508" s="28"/>
      <c r="AM1508" s="96">
        <f ca="1">1-AM1507/(3*F_GAMMA*AM$29)</f>
        <v>2.749466999001378</v>
      </c>
      <c r="AN1508" s="111"/>
      <c r="AO1508" s="28"/>
      <c r="AP1508" s="96">
        <f ca="1">1-AP1507/(3*F_GAMMA*AP$29)</f>
        <v>-3.6737875601142518</v>
      </c>
      <c r="AQ1508" s="111"/>
      <c r="AR1508" s="28"/>
      <c r="AS1508" s="96">
        <f ca="1">1-AS1507/(3*F_GAMMA*AS$29)</f>
        <v>-1.0609622821420741</v>
      </c>
      <c r="AT1508" s="111"/>
      <c r="AU1508" s="28"/>
    </row>
    <row r="1509" spans="15:47" x14ac:dyDescent="0.25">
      <c r="O1509" s="2" t="s">
        <v>57</v>
      </c>
      <c r="P1509" s="143">
        <v>7</v>
      </c>
      <c r="Q1509" s="2"/>
      <c r="R1509" s="96">
        <f ca="1">(R1502/(N_9*R$27*R1504*R1508))*SQRT(M*'Valve Sizing'!$W$6*'Valve Sizing'!$G$8/R1507)</f>
        <v>1.0292536471975333</v>
      </c>
      <c r="S1509" s="107"/>
      <c r="T1509" s="22"/>
      <c r="U1509" s="96">
        <f ca="1">(U1502/(N_9*U$27*U1504*U1508))*SQRT(M*'Valve Sizing'!$W$6*'Valve Sizing'!$G$8/U1507)</f>
        <v>13.498022628297489</v>
      </c>
      <c r="V1509" s="111"/>
      <c r="W1509" s="28"/>
      <c r="X1509" s="96">
        <f ca="1">(X1502/(N_9*X$27*X1504*X1508))*SQRT(M*'Valve Sizing'!$W$6*'Valve Sizing'!$G$8/X1507)</f>
        <v>33.795161445114196</v>
      </c>
      <c r="Y1509" s="111"/>
      <c r="Z1509" s="28"/>
      <c r="AA1509" s="96">
        <f ca="1">(AA1502/(N_9*AA$27*AA1504*AA1508))*SQRT(M*'Valve Sizing'!$W$6*'Valve Sizing'!$G$8/AA1507)</f>
        <v>70.826093132637141</v>
      </c>
      <c r="AB1509" s="111"/>
      <c r="AC1509" s="28"/>
      <c r="AD1509" s="96">
        <f ca="1">(AD1502/(N_9*AD$27*AD1504*AD1508))*SQRT(M*'Valve Sizing'!$W$6*'Valve Sizing'!$G$8/AD1507)</f>
        <v>147.75897455018838</v>
      </c>
      <c r="AE1509" s="111"/>
      <c r="AF1509" s="28"/>
      <c r="AG1509" s="96">
        <f ca="1">(AG1502/(N_9*AG$27*AG1504*AG1508))*SQRT(M*'Valve Sizing'!$W$6*'Valve Sizing'!$G$8/AG1507)</f>
        <v>562.61934305951331</v>
      </c>
      <c r="AH1509" s="111"/>
      <c r="AI1509" s="28"/>
      <c r="AJ1509" s="96" t="e">
        <f ca="1">(AJ1502/(N_9*AJ$27*AJ1504*AJ1508))*SQRT(M*'Valve Sizing'!$W$6*'Valve Sizing'!$G$8/AJ1507)</f>
        <v>#NUM!</v>
      </c>
      <c r="AK1509" s="111"/>
      <c r="AL1509" s="28"/>
      <c r="AM1509" s="96" t="e">
        <f ca="1">(AM1502/(N_9*AM$27*AM1504*AM1508))*SQRT(M*'Valve Sizing'!$W$6*'Valve Sizing'!$G$8/AM1507)</f>
        <v>#NUM!</v>
      </c>
      <c r="AN1509" s="111"/>
      <c r="AO1509" s="28"/>
      <c r="AP1509" s="96">
        <f ca="1">(AP1502/(N_9*AP$27*AP1504*AP1508))*SQRT(M*'Valve Sizing'!$W$6*'Valve Sizing'!$G$8/AP1507)</f>
        <v>191.76815307355719</v>
      </c>
      <c r="AQ1509" s="111"/>
      <c r="AR1509" s="28"/>
      <c r="AS1509" s="96">
        <f ca="1">(AS1502/(N_9*AS$27*AS1504*AS1508))*SQRT(M*'Valve Sizing'!$W$6*'Valve Sizing'!$G$8/AS1507)</f>
        <v>358.97509831509103</v>
      </c>
      <c r="AT1509" s="111"/>
      <c r="AU1509" s="28"/>
    </row>
    <row r="1510" spans="15:47" x14ac:dyDescent="0.25">
      <c r="O1510" s="2" t="s">
        <v>59</v>
      </c>
      <c r="P1510" s="143">
        <v>7</v>
      </c>
      <c r="Q1510" s="2"/>
      <c r="R1510" s="96">
        <f ca="1">(R1502/(N_9*R$27*R1504*0.667))*SQRT(M*'Valve Sizing'!$W$6*'Valve Sizing'!$G$8/R1511)</f>
        <v>0.9213741684197132</v>
      </c>
      <c r="S1510" s="107"/>
      <c r="T1510" s="22"/>
      <c r="U1510" s="96">
        <f ca="1">(U1502/(N_9*U$27*U1504*0.667))*SQRT(M*'Valve Sizing'!$W$6*'Valve Sizing'!$G$8/U1511)</f>
        <v>12.066901196343618</v>
      </c>
      <c r="V1510" s="111"/>
      <c r="W1510" s="28"/>
      <c r="X1510" s="96">
        <f ca="1">(X1502/(N_9*X$27*X1504*0.667))*SQRT(M*'Valve Sizing'!$W$6*'Valve Sizing'!$G$8/X1511)</f>
        <v>30.093516988083675</v>
      </c>
      <c r="Y1510" s="111"/>
      <c r="Z1510" s="28"/>
      <c r="AA1510" s="96">
        <f ca="1">(AA1502/(N_9*AA$27*AA1504*0.667))*SQRT(M*'Valve Sizing'!$W$6*'Valve Sizing'!$G$8/AA1511)</f>
        <v>61.722986180732036</v>
      </c>
      <c r="AB1510" s="111"/>
      <c r="AC1510" s="28"/>
      <c r="AD1510" s="96">
        <f ca="1">(AD1502/(N_9*AD$27*AD1504*0.667))*SQRT(M*'Valve Sizing'!$W$6*'Valve Sizing'!$G$8/AD1511)</f>
        <v>117.93280368398112</v>
      </c>
      <c r="AE1510" s="111"/>
      <c r="AF1510" s="28"/>
      <c r="AG1510" s="96">
        <f ca="1">(AG1502/(N_9*AG$27*AG1504*0.667))*SQRT(M*'Valve Sizing'!$W$6*'Valve Sizing'!$G$8/AG1511)</f>
        <v>223.47027901032229</v>
      </c>
      <c r="AH1510" s="111"/>
      <c r="AI1510" s="28"/>
      <c r="AJ1510" s="96">
        <f ca="1">(AJ1502/(N_9*AJ$27*AJ1504*0.667))*SQRT(M*'Valve Sizing'!$W$6*'Valve Sizing'!$G$8/AJ1511)</f>
        <v>488.07121323931023</v>
      </c>
      <c r="AK1510" s="111"/>
      <c r="AL1510" s="28"/>
      <c r="AM1510" s="96">
        <f ca="1">(AM1502/(N_9*AM$27*AM1504*0.667))*SQRT(M*'Valve Sizing'!$W$6*'Valve Sizing'!$G$8/AM1511)</f>
        <v>1601.7154121522628</v>
      </c>
      <c r="AN1510" s="111"/>
      <c r="AO1510" s="28"/>
      <c r="AP1510" s="96">
        <f ca="1">(AP1502/(N_9*AP$27*AP1504*0.667))*SQRT(M*'Valve Sizing'!$W$6*'Valve Sizing'!$G$8/AP1511)</f>
        <v>-3955.1212540315046</v>
      </c>
      <c r="AQ1510" s="111"/>
      <c r="AR1510" s="28"/>
      <c r="AS1510" s="96">
        <f ca="1">(AS1502/(N_9*AS$27*AS1504*0.667))*SQRT(M*'Valve Sizing'!$W$6*'Valve Sizing'!$G$8/AS1511)</f>
        <v>-1419.8225948736708</v>
      </c>
      <c r="AT1510" s="111"/>
      <c r="AU1510" s="28"/>
    </row>
    <row r="1511" spans="15:47" ht="15.6" x14ac:dyDescent="0.35">
      <c r="O1511" s="2" t="s">
        <v>68</v>
      </c>
      <c r="P1511" s="143">
        <v>10</v>
      </c>
      <c r="Q1511" s="2"/>
      <c r="R1511" s="96">
        <f ca="1">F_GAMMA*R$29</f>
        <v>0.64002969751372984</v>
      </c>
      <c r="S1511" s="107"/>
      <c r="T1511" s="1"/>
      <c r="U1511" s="96">
        <f ca="1">F_GAMMA*U$29</f>
        <v>0.64017842058782071</v>
      </c>
      <c r="V1511" s="111"/>
      <c r="W1511" s="28"/>
      <c r="X1511" s="96">
        <f ca="1">F_GAMMA*X$29</f>
        <v>0.63413873724904268</v>
      </c>
      <c r="Y1511" s="111"/>
      <c r="Z1511" s="28"/>
      <c r="AA1511" s="96">
        <f ca="1">F_GAMMA*AA$29</f>
        <v>0.62532411750377137</v>
      </c>
      <c r="AB1511" s="111"/>
      <c r="AC1511" s="28"/>
      <c r="AD1511" s="96">
        <f ca="1">F_GAMMA*AD$29</f>
        <v>0.60651359509139569</v>
      </c>
      <c r="AE1511" s="111"/>
      <c r="AF1511" s="28"/>
      <c r="AG1511" s="96">
        <f ca="1">F_GAMMA*AG$29</f>
        <v>0.57217930198481592</v>
      </c>
      <c r="AH1511" s="111"/>
      <c r="AI1511" s="28"/>
      <c r="AJ1511" s="96">
        <f ca="1">F_GAMMA*AJ$29</f>
        <v>0.53183282018848232</v>
      </c>
      <c r="AK1511" s="111"/>
      <c r="AL1511" s="28"/>
      <c r="AM1511" s="96">
        <f ca="1">F_GAMMA*AM$29</f>
        <v>0.47566512503094399</v>
      </c>
      <c r="AN1511" s="111"/>
      <c r="AO1511" s="28"/>
      <c r="AP1511" s="96">
        <f ca="1">F_GAMMA*AP$29</f>
        <v>0.59054158265645496</v>
      </c>
      <c r="AQ1511" s="111"/>
      <c r="AR1511" s="28"/>
      <c r="AS1511" s="96">
        <f ca="1">F_GAMMA*AS$29</f>
        <v>0.3766899554102966</v>
      </c>
      <c r="AT1511" s="111"/>
      <c r="AU1511" s="28"/>
    </row>
    <row r="1512" spans="15:47" x14ac:dyDescent="0.25">
      <c r="O1512" s="2" t="s">
        <v>145</v>
      </c>
      <c r="P1512" s="12"/>
      <c r="Q1512" s="2"/>
      <c r="R1512" s="96">
        <f ca="1">IF(R1507&lt;R1511,R1509,R1510)</f>
        <v>1.0292536471975333</v>
      </c>
      <c r="S1512" s="116"/>
      <c r="T1512" s="1"/>
      <c r="U1512" s="96">
        <f ca="1">IF(U1507&lt;U1511,U1509,U1510)</f>
        <v>13.498022628297489</v>
      </c>
      <c r="V1512" s="111"/>
      <c r="W1512" s="28"/>
      <c r="X1512" s="96">
        <f ca="1">IF(X1507&lt;X1511,X1509,X1510)</f>
        <v>33.795161445114196</v>
      </c>
      <c r="Y1512" s="111"/>
      <c r="Z1512" s="28"/>
      <c r="AA1512" s="96">
        <f ca="1">IF(AA1507&lt;AA1511,AA1509,AA1510)</f>
        <v>70.826093132637141</v>
      </c>
      <c r="AB1512" s="111"/>
      <c r="AC1512" s="28"/>
      <c r="AD1512" s="96">
        <f ca="1">IF(AD1507&lt;AD1511,AD1509,AD1510)</f>
        <v>147.75897455018838</v>
      </c>
      <c r="AE1512" s="111"/>
      <c r="AF1512" s="28"/>
      <c r="AG1512" s="96">
        <f ca="1">IF(AG1507&lt;AG1511,AG1509,AG1510)</f>
        <v>562.61934305951331</v>
      </c>
      <c r="AH1512" s="111"/>
      <c r="AI1512" s="28"/>
      <c r="AJ1512" s="96" t="e">
        <f ca="1">IF(AJ1507&lt;AJ1511,AJ1509,AJ1510)</f>
        <v>#NUM!</v>
      </c>
      <c r="AK1512" s="111"/>
      <c r="AL1512" s="28"/>
      <c r="AM1512" s="96" t="e">
        <f ca="1">IF(AM1507&lt;AM1511,AM1509,AM1510)</f>
        <v>#NUM!</v>
      </c>
      <c r="AN1512" s="111"/>
      <c r="AO1512" s="28"/>
      <c r="AP1512" s="96">
        <f ca="1">IF(AP1507&lt;AP1511,AP1509,AP1510)</f>
        <v>-3955.1212540315046</v>
      </c>
      <c r="AQ1512" s="111"/>
      <c r="AR1512" s="28"/>
      <c r="AS1512" s="96">
        <f ca="1">IF(AS1507&lt;AS1511,AS1509,AS1510)</f>
        <v>-1419.8225948736708</v>
      </c>
      <c r="AT1512" s="111"/>
      <c r="AU1512" s="28"/>
    </row>
    <row r="1513" spans="15:47" x14ac:dyDescent="0.25">
      <c r="O1513" s="13" t="s">
        <v>143</v>
      </c>
      <c r="P1513" s="1"/>
      <c r="Q1513" s="1"/>
      <c r="R1513" s="113"/>
      <c r="S1513" s="106">
        <f ca="1">IF(R1506&lt;=0,Q_max,ABS(R$23-R1512))</f>
        <v>3.7007463528024669</v>
      </c>
      <c r="T1513" s="7">
        <f>R1502</f>
        <v>2548.6177212987004</v>
      </c>
      <c r="U1513" s="98"/>
      <c r="V1513" s="106">
        <f ca="1">IF(U1506&lt;=0,Q_max,ABS(U$23-U1512))</f>
        <v>1.8980226282974897</v>
      </c>
      <c r="W1513" s="9">
        <f ca="1">U1502</f>
        <v>33286.043116789973</v>
      </c>
      <c r="X1513" s="98"/>
      <c r="Y1513" s="106">
        <f ca="1">IF(X1506&lt;=0,Q_max,ABS(X$23-X1512))</f>
        <v>10.795161445114196</v>
      </c>
      <c r="Z1513" s="9">
        <f ca="1">X1502</f>
        <v>81505.292785530095</v>
      </c>
      <c r="AA1513" s="98"/>
      <c r="AB1513" s="106">
        <f ca="1">IF(AA1506&lt;=0,Q_max,ABS(AA$23-AA1512))</f>
        <v>31.426093132637142</v>
      </c>
      <c r="AC1513" s="9">
        <f ca="1">AA1502</f>
        <v>158751.50649406578</v>
      </c>
      <c r="AD1513" s="98"/>
      <c r="AE1513" s="106">
        <f ca="1">IF(AD1506&lt;=0,Q_max,ABS(AD$23-AD1512))</f>
        <v>86.758974550188384</v>
      </c>
      <c r="AF1513" s="9">
        <f ca="1">AD1502</f>
        <v>266335.64371064689</v>
      </c>
      <c r="AG1513" s="98"/>
      <c r="AH1513" s="106">
        <f ca="1">IF(AG1506&lt;=0,Q_max,ABS(AG$23-AG1512))</f>
        <v>474.41934305951332</v>
      </c>
      <c r="AI1513" s="9">
        <f ca="1">AG1502</f>
        <v>388724.12595104007</v>
      </c>
      <c r="AJ1513" s="98"/>
      <c r="AK1513" s="106">
        <f ca="1">IF(AJ1506&lt;=0,Q_max,ABS(AJ$23-AJ1512))</f>
        <v>236393</v>
      </c>
      <c r="AL1513" s="9">
        <f ca="1">AJ1502</f>
        <v>518753.85299687251</v>
      </c>
      <c r="AM1513" s="98"/>
      <c r="AN1513" s="106">
        <f ca="1">IF(AM1506&lt;=0,Q_max,ABS(AM$23-AM1512))</f>
        <v>236393</v>
      </c>
      <c r="AO1513" s="9">
        <f ca="1">AM1502</f>
        <v>632978.2846114157</v>
      </c>
      <c r="AP1513" s="98"/>
      <c r="AQ1513" s="106">
        <f ca="1">IF(AP1506&lt;=0,Q_max,ABS(AP$23-AP1512))</f>
        <v>236393</v>
      </c>
      <c r="AR1513" s="9">
        <f ca="1">AP1502</f>
        <v>734868.13785720884</v>
      </c>
      <c r="AS1513" s="98"/>
      <c r="AT1513" s="106">
        <f ca="1">IF(AS1506&lt;=0,Q_max,ABS(AS$23-AS1512))</f>
        <v>236393</v>
      </c>
      <c r="AU1513" s="9">
        <f ca="1">AS1502</f>
        <v>861690.68528620771</v>
      </c>
    </row>
    <row r="1514" spans="15:47" x14ac:dyDescent="0.25">
      <c r="O1514" s="21"/>
      <c r="P1514" s="14"/>
      <c r="Q1514" s="21"/>
      <c r="R1514" s="97"/>
      <c r="S1514" s="106"/>
      <c r="T1514" s="28"/>
      <c r="U1514" s="97"/>
      <c r="V1514" s="111"/>
      <c r="W1514" s="28"/>
      <c r="X1514" s="97"/>
      <c r="Y1514" s="111"/>
      <c r="Z1514" s="28"/>
      <c r="AA1514" s="97"/>
      <c r="AB1514" s="111"/>
      <c r="AC1514" s="28"/>
      <c r="AD1514" s="97"/>
      <c r="AE1514" s="111"/>
      <c r="AF1514" s="28"/>
      <c r="AG1514" s="97"/>
      <c r="AH1514" s="111"/>
      <c r="AI1514" s="28"/>
      <c r="AJ1514" s="97"/>
      <c r="AK1514" s="111"/>
      <c r="AL1514" s="28"/>
      <c r="AM1514" s="97"/>
      <c r="AN1514" s="111"/>
      <c r="AO1514" s="28"/>
      <c r="AP1514" s="97"/>
      <c r="AQ1514" s="111"/>
      <c r="AR1514" s="28"/>
      <c r="AS1514" s="97"/>
      <c r="AT1514" s="111"/>
      <c r="AU1514" s="28"/>
    </row>
    <row r="1515" spans="15:47" x14ac:dyDescent="0.25">
      <c r="O1515" s="1"/>
      <c r="P1515" s="1"/>
      <c r="Q1515" s="1"/>
      <c r="R1515" s="98"/>
      <c r="S1515" s="108" t="s">
        <v>137</v>
      </c>
      <c r="T1515" s="26" t="s">
        <v>146</v>
      </c>
      <c r="U1515" s="98"/>
      <c r="V1515" s="108" t="s">
        <v>137</v>
      </c>
      <c r="W1515" s="26" t="s">
        <v>146</v>
      </c>
      <c r="X1515" s="98"/>
      <c r="Y1515" s="108" t="s">
        <v>137</v>
      </c>
      <c r="Z1515" s="26" t="s">
        <v>146</v>
      </c>
      <c r="AA1515" s="98"/>
      <c r="AB1515" s="108" t="s">
        <v>137</v>
      </c>
      <c r="AC1515" s="26" t="s">
        <v>146</v>
      </c>
      <c r="AD1515" s="98"/>
      <c r="AE1515" s="108" t="s">
        <v>137</v>
      </c>
      <c r="AF1515" s="26" t="s">
        <v>146</v>
      </c>
      <c r="AG1515" s="98"/>
      <c r="AH1515" s="108" t="s">
        <v>137</v>
      </c>
      <c r="AI1515" s="26" t="s">
        <v>146</v>
      </c>
      <c r="AJ1515" s="98"/>
      <c r="AK1515" s="108" t="s">
        <v>137</v>
      </c>
      <c r="AL1515" s="26" t="s">
        <v>146</v>
      </c>
      <c r="AM1515" s="98"/>
      <c r="AN1515" s="108" t="s">
        <v>137</v>
      </c>
      <c r="AO1515" s="26" t="s">
        <v>146</v>
      </c>
      <c r="AP1515" s="98"/>
      <c r="AQ1515" s="108" t="s">
        <v>137</v>
      </c>
      <c r="AR1515" s="26" t="s">
        <v>146</v>
      </c>
      <c r="AS1515" s="98"/>
      <c r="AT1515" s="108" t="s">
        <v>137</v>
      </c>
      <c r="AU1515" s="26" t="s">
        <v>146</v>
      </c>
    </row>
    <row r="1516" spans="15:47" ht="13.8" x14ac:dyDescent="0.25">
      <c r="O1516" s="20" t="s">
        <v>136</v>
      </c>
      <c r="P1516" s="1"/>
      <c r="Q1516" s="1"/>
      <c r="R1516" s="96">
        <f>R1502*1.02</f>
        <v>2599.5900757246745</v>
      </c>
      <c r="S1516" s="109" t="s">
        <v>144</v>
      </c>
      <c r="T1516" s="23" t="s">
        <v>147</v>
      </c>
      <c r="U1516" s="96">
        <f ca="1">U1502*1.01</f>
        <v>33618.903547957874</v>
      </c>
      <c r="V1516" s="109" t="s">
        <v>144</v>
      </c>
      <c r="W1516" s="23" t="s">
        <v>147</v>
      </c>
      <c r="X1516" s="96">
        <f ca="1">X1502*1.01</f>
        <v>82320.345713385395</v>
      </c>
      <c r="Y1516" s="109" t="s">
        <v>144</v>
      </c>
      <c r="Z1516" s="23" t="s">
        <v>147</v>
      </c>
      <c r="AA1516" s="96">
        <f ca="1">AA1502*1.01</f>
        <v>160339.02155900645</v>
      </c>
      <c r="AB1516" s="109" t="s">
        <v>144</v>
      </c>
      <c r="AC1516" s="23" t="s">
        <v>147</v>
      </c>
      <c r="AD1516" s="96">
        <f ca="1">AD1502*1.01</f>
        <v>268999.0001477534</v>
      </c>
      <c r="AE1516" s="109" t="s">
        <v>144</v>
      </c>
      <c r="AF1516" s="23" t="s">
        <v>147</v>
      </c>
      <c r="AG1516" s="96">
        <f ca="1">AG1502*1.01</f>
        <v>392611.36721055047</v>
      </c>
      <c r="AH1516" s="109" t="s">
        <v>144</v>
      </c>
      <c r="AI1516" s="23" t="s">
        <v>147</v>
      </c>
      <c r="AJ1516" s="96">
        <f ca="1">AJ1502*1.01</f>
        <v>523941.39152684121</v>
      </c>
      <c r="AK1516" s="109" t="s">
        <v>144</v>
      </c>
      <c r="AL1516" s="23" t="s">
        <v>147</v>
      </c>
      <c r="AM1516" s="96">
        <f ca="1">AM1502*1.01</f>
        <v>639308.06745752983</v>
      </c>
      <c r="AN1516" s="109" t="s">
        <v>144</v>
      </c>
      <c r="AO1516" s="23" t="s">
        <v>147</v>
      </c>
      <c r="AP1516" s="96">
        <f ca="1">AP1502*1.01</f>
        <v>742216.81923578097</v>
      </c>
      <c r="AQ1516" s="109" t="s">
        <v>144</v>
      </c>
      <c r="AR1516" s="23" t="s">
        <v>147</v>
      </c>
      <c r="AS1516" s="96">
        <f ca="1">AS1502*1.01</f>
        <v>870307.59213906981</v>
      </c>
      <c r="AT1516" s="109" t="s">
        <v>144</v>
      </c>
      <c r="AU1516" s="23" t="s">
        <v>147</v>
      </c>
    </row>
    <row r="1517" spans="15:47" x14ac:dyDescent="0.25">
      <c r="O1517" s="1"/>
      <c r="P1517" s="1"/>
      <c r="Q1517" s="1"/>
      <c r="R1517" s="98"/>
      <c r="S1517" s="107"/>
      <c r="T1517" s="1"/>
      <c r="U1517" s="47"/>
      <c r="V1517" s="107"/>
      <c r="W1517" s="1"/>
      <c r="X1517" s="47"/>
      <c r="Y1517" s="107"/>
      <c r="Z1517" s="1"/>
      <c r="AA1517" s="47"/>
      <c r="AB1517" s="107"/>
      <c r="AC1517" s="1"/>
      <c r="AD1517" s="47"/>
      <c r="AE1517" s="107"/>
      <c r="AF1517" s="1"/>
      <c r="AG1517" s="47"/>
      <c r="AH1517" s="107"/>
      <c r="AI1517" s="1"/>
      <c r="AJ1517" s="47"/>
      <c r="AK1517" s="107"/>
      <c r="AL1517" s="1"/>
      <c r="AM1517" s="47"/>
      <c r="AN1517" s="107"/>
      <c r="AO1517" s="1"/>
      <c r="AP1517" s="47"/>
      <c r="AQ1517" s="107"/>
      <c r="AR1517" s="1"/>
      <c r="AS1517" s="47"/>
      <c r="AT1517" s="107"/>
      <c r="AU1517" s="1"/>
    </row>
    <row r="1518" spans="15:47" x14ac:dyDescent="0.25">
      <c r="O1518" s="8" t="s">
        <v>132</v>
      </c>
      <c r="P1518" s="8"/>
      <c r="Q1518" s="8"/>
      <c r="R1518" s="96">
        <f>P_1_minQ-(R1516^2*R_up)+dpup_minQ</f>
        <v>90.183808834973703</v>
      </c>
      <c r="S1518" s="106"/>
      <c r="T1518" s="22"/>
      <c r="U1518" s="96">
        <f ca="1">P_1_minQ-(U1516^2*R_up)+dpup_minQ</f>
        <v>89.979043657422849</v>
      </c>
      <c r="V1518" s="107"/>
      <c r="W1518" s="1"/>
      <c r="X1518" s="96">
        <f ca="1">P_1_minQ-(X1516^2*R_up)+dpup_minQ</f>
        <v>88.949924073208066</v>
      </c>
      <c r="Y1518" s="107"/>
      <c r="Z1518" s="1"/>
      <c r="AA1518" s="96">
        <f ca="1">P_1_minQ-(AA1516^2*R_up)+dpup_minQ</f>
        <v>85.49936733419365</v>
      </c>
      <c r="AB1518" s="107"/>
      <c r="AC1518" s="1"/>
      <c r="AD1518" s="96">
        <f ca="1">P_1_minQ-(AD1516^2*R_up)+dpup_minQ</f>
        <v>76.996556776533325</v>
      </c>
      <c r="AE1518" s="107"/>
      <c r="AF1518" s="1"/>
      <c r="AG1518" s="96">
        <f ca="1">P_1_minQ-(AG1516^2*R_up)+dpup_minQ</f>
        <v>62.090671925434108</v>
      </c>
      <c r="AH1518" s="107"/>
      <c r="AI1518" s="1"/>
      <c r="AJ1518" s="96">
        <f ca="1">P_1_minQ-(AJ1516^2*R_up)+dpup_minQ</f>
        <v>40.151762721588021</v>
      </c>
      <c r="AK1518" s="107"/>
      <c r="AL1518" s="1"/>
      <c r="AM1518" s="96">
        <f ca="1">P_1_minQ-(AM1516^2*R_up)+dpup_minQ</f>
        <v>15.69230772838611</v>
      </c>
      <c r="AN1518" s="107"/>
      <c r="AO1518" s="1"/>
      <c r="AP1518" s="96">
        <f ca="1">P_1_minQ-(AP1516^2*R_up)+dpup_minQ</f>
        <v>-10.21990857692815</v>
      </c>
      <c r="AQ1518" s="107"/>
      <c r="AR1518" s="1"/>
      <c r="AS1518" s="96">
        <f ca="1">P_1_minQ-(AS1516^2*R_up)+dpup_minQ</f>
        <v>-47.865808323055887</v>
      </c>
      <c r="AT1518" s="107"/>
      <c r="AU1518" s="1"/>
    </row>
    <row r="1519" spans="15:47" x14ac:dyDescent="0.25">
      <c r="O1519" s="8" t="s">
        <v>134</v>
      </c>
      <c r="P1519" s="1"/>
      <c r="Q1519" s="8"/>
      <c r="R1519" s="97">
        <f>P_2_minQ+(R1516^2*R_dn)-dpdn_minQ</f>
        <v>60</v>
      </c>
      <c r="S1519" s="106"/>
      <c r="T1519" s="22"/>
      <c r="U1519" s="97">
        <f ca="1">P_2_minQ+(U1516^2*R_dn)-dpdn_minQ</f>
        <v>60</v>
      </c>
      <c r="V1519" s="107"/>
      <c r="W1519" s="1"/>
      <c r="X1519" s="97">
        <f ca="1">P_2_minQ+(X1516^2*R_dn)-dpdn_minQ</f>
        <v>60</v>
      </c>
      <c r="Y1519" s="107"/>
      <c r="Z1519" s="1"/>
      <c r="AA1519" s="97">
        <f ca="1">P_2_minQ+(AA1516^2*R_dn)-dpdn_minQ</f>
        <v>60</v>
      </c>
      <c r="AB1519" s="107"/>
      <c r="AC1519" s="1"/>
      <c r="AD1519" s="97">
        <f ca="1">P_2_minQ+(AD1516^2*R_dn)-dpdn_minQ</f>
        <v>60</v>
      </c>
      <c r="AE1519" s="107"/>
      <c r="AF1519" s="1"/>
      <c r="AG1519" s="97">
        <f ca="1">P_2_minQ+(AG1516^2*R_dn)-dpdn_minQ</f>
        <v>60</v>
      </c>
      <c r="AH1519" s="107"/>
      <c r="AI1519" s="1"/>
      <c r="AJ1519" s="97">
        <f ca="1">P_2_minQ+(AJ1516^2*R_dn)-dpdn_minQ</f>
        <v>60</v>
      </c>
      <c r="AK1519" s="107"/>
      <c r="AL1519" s="1"/>
      <c r="AM1519" s="97">
        <f ca="1">P_2_minQ+(AM1516^2*R_dn)-dpdn_minQ</f>
        <v>60</v>
      </c>
      <c r="AN1519" s="107"/>
      <c r="AO1519" s="1"/>
      <c r="AP1519" s="97">
        <f ca="1">P_2_minQ+(AP1516^2*R_dn)-dpdn_minQ</f>
        <v>60</v>
      </c>
      <c r="AQ1519" s="107"/>
      <c r="AR1519" s="1"/>
      <c r="AS1519" s="97">
        <f ca="1">P_2_minQ+(AS1516^2*R_dn)-dpdn_minQ</f>
        <v>60</v>
      </c>
      <c r="AT1519" s="107"/>
      <c r="AU1519" s="1"/>
    </row>
    <row r="1520" spans="15:47" x14ac:dyDescent="0.25">
      <c r="O1520" s="8" t="s">
        <v>138</v>
      </c>
      <c r="P1520" s="1"/>
      <c r="Q1520" s="8"/>
      <c r="R1520" s="97">
        <f>R1518-R1519</f>
        <v>30.183808834973703</v>
      </c>
      <c r="S1520" s="106"/>
      <c r="T1520" s="22"/>
      <c r="U1520" s="97">
        <f ca="1">U1518-U1519</f>
        <v>29.979043657422849</v>
      </c>
      <c r="V1520" s="110"/>
      <c r="W1520" s="25"/>
      <c r="X1520" s="97">
        <f ca="1">X1518-X1519</f>
        <v>28.949924073208066</v>
      </c>
      <c r="Y1520" s="110"/>
      <c r="Z1520" s="25"/>
      <c r="AA1520" s="97">
        <f ca="1">AA1518-AA1519</f>
        <v>25.49936733419365</v>
      </c>
      <c r="AB1520" s="110"/>
      <c r="AC1520" s="25"/>
      <c r="AD1520" s="97">
        <f ca="1">AD1518-AD1519</f>
        <v>16.996556776533325</v>
      </c>
      <c r="AE1520" s="110"/>
      <c r="AF1520" s="25"/>
      <c r="AG1520" s="97">
        <f ca="1">AG1518-AG1519</f>
        <v>2.0906719254341084</v>
      </c>
      <c r="AH1520" s="110"/>
      <c r="AI1520" s="25"/>
      <c r="AJ1520" s="97">
        <f ca="1">AJ1518-AJ1519</f>
        <v>-19.848237278411979</v>
      </c>
      <c r="AK1520" s="110"/>
      <c r="AL1520" s="25"/>
      <c r="AM1520" s="97">
        <f ca="1">AM1518-AM1519</f>
        <v>-44.307692271613888</v>
      </c>
      <c r="AN1520" s="110"/>
      <c r="AO1520" s="25"/>
      <c r="AP1520" s="97">
        <f ca="1">AP1518-AP1519</f>
        <v>-70.219908576928148</v>
      </c>
      <c r="AQ1520" s="110"/>
      <c r="AR1520" s="25"/>
      <c r="AS1520" s="97">
        <f ca="1">AS1518-AS1519</f>
        <v>-107.86580832305589</v>
      </c>
      <c r="AT1520" s="110"/>
      <c r="AU1520" s="25"/>
    </row>
    <row r="1521" spans="15:47" ht="14.4" x14ac:dyDescent="0.3">
      <c r="O1521" s="2" t="s">
        <v>140</v>
      </c>
      <c r="P1521" s="11"/>
      <c r="Q1521" s="2"/>
      <c r="R1521" s="96">
        <f>R1520/R1518</f>
        <v>0.33469210521155413</v>
      </c>
      <c r="S1521" s="106"/>
      <c r="T1521" s="22"/>
      <c r="U1521" s="96">
        <f ca="1">U1520/U1518</f>
        <v>0.3331780650121382</v>
      </c>
      <c r="V1521" s="111"/>
      <c r="W1521" s="28"/>
      <c r="X1521" s="96">
        <f ca="1">X1520/X1518</f>
        <v>0.32546316789862056</v>
      </c>
      <c r="Y1521" s="111"/>
      <c r="Z1521" s="28"/>
      <c r="AA1521" s="96">
        <f ca="1">AA1520/AA1518</f>
        <v>0.29824042129485701</v>
      </c>
      <c r="AB1521" s="111"/>
      <c r="AC1521" s="28"/>
      <c r="AD1521" s="96">
        <f ca="1">AD1520/AD1518</f>
        <v>0.22074437465901672</v>
      </c>
      <c r="AE1521" s="111"/>
      <c r="AF1521" s="28"/>
      <c r="AG1521" s="96">
        <f ca="1">AG1520/AG1518</f>
        <v>3.3671272360280412E-2</v>
      </c>
      <c r="AH1521" s="111"/>
      <c r="AI1521" s="28"/>
      <c r="AJ1521" s="96">
        <f ca="1">AJ1520/AJ1518</f>
        <v>-0.49433040875538858</v>
      </c>
      <c r="AK1521" s="111"/>
      <c r="AL1521" s="28"/>
      <c r="AM1521" s="96">
        <f ca="1">AM1520/AM1518</f>
        <v>-2.8235294029739726</v>
      </c>
      <c r="AN1521" s="111"/>
      <c r="AO1521" s="28"/>
      <c r="AP1521" s="96">
        <f ca="1">AP1520/AP1518</f>
        <v>6.8708940053976981</v>
      </c>
      <c r="AQ1521" s="111"/>
      <c r="AR1521" s="28"/>
      <c r="AS1521" s="96">
        <f ca="1">AS1520/AS1518</f>
        <v>2.2535043719526899</v>
      </c>
      <c r="AT1521" s="111"/>
      <c r="AU1521" s="28"/>
    </row>
    <row r="1522" spans="15:47" x14ac:dyDescent="0.25">
      <c r="O1522" s="2" t="s">
        <v>21</v>
      </c>
      <c r="P1522" s="8">
        <v>12</v>
      </c>
      <c r="Q1522" s="2"/>
      <c r="R1522" s="96">
        <f ca="1">1-R1521/(3*F_GAMMA*R$29)</f>
        <v>0.82568928363183525</v>
      </c>
      <c r="S1522" s="106"/>
      <c r="T1522" s="22"/>
      <c r="U1522" s="96">
        <f ca="1">1-U1521/(3*F_GAMMA*U$29)</f>
        <v>0.82651812146046755</v>
      </c>
      <c r="V1522" s="111"/>
      <c r="W1522" s="28"/>
      <c r="X1522" s="96">
        <f ca="1">1-X1521/(3*F_GAMMA*X$29)</f>
        <v>0.82892115516629039</v>
      </c>
      <c r="Y1522" s="111"/>
      <c r="Z1522" s="28"/>
      <c r="AA1522" s="96">
        <f ca="1">1-AA1521/(3*F_GAMMA*AA$29)</f>
        <v>0.84102088663747598</v>
      </c>
      <c r="AB1522" s="111"/>
      <c r="AC1522" s="28"/>
      <c r="AD1522" s="96">
        <f ca="1">1-AD1521/(3*F_GAMMA*AD$29)</f>
        <v>0.87868127142544228</v>
      </c>
      <c r="AE1522" s="111"/>
      <c r="AF1522" s="28"/>
      <c r="AG1522" s="96">
        <f ca="1">1-AG1521/(3*F_GAMMA*AG$29)</f>
        <v>0.98038419527848519</v>
      </c>
      <c r="AH1522" s="111"/>
      <c r="AI1522" s="28"/>
      <c r="AJ1522" s="96">
        <f ca="1">1-AJ1521/(3*F_GAMMA*AJ$29)</f>
        <v>1.3098281953717443</v>
      </c>
      <c r="AK1522" s="111"/>
      <c r="AL1522" s="28"/>
      <c r="AM1522" s="96">
        <f ca="1">1-AM1521/(3*F_GAMMA*AM$29)</f>
        <v>2.9786535067013027</v>
      </c>
      <c r="AN1522" s="111"/>
      <c r="AO1522" s="28"/>
      <c r="AP1522" s="96">
        <f ca="1">1-AP1521/(3*F_GAMMA*AP$29)</f>
        <v>-2.8783009851680572</v>
      </c>
      <c r="AQ1522" s="111"/>
      <c r="AR1522" s="28"/>
      <c r="AS1522" s="96">
        <f ca="1">1-AS1521/(3*F_GAMMA*AS$29)</f>
        <v>-0.99412836258414639</v>
      </c>
      <c r="AT1522" s="111"/>
      <c r="AU1522" s="28"/>
    </row>
    <row r="1523" spans="15:47" x14ac:dyDescent="0.25">
      <c r="O1523" s="2" t="s">
        <v>57</v>
      </c>
      <c r="P1523" s="143">
        <v>7</v>
      </c>
      <c r="Q1523" s="2"/>
      <c r="R1523" s="96">
        <f ca="1">(R1516/(N_9*R$27*R1518*R1522))*SQRT(M*'Valve Sizing'!$W$6*'Valve Sizing'!$G$8/R1521)</f>
        <v>1.0498395966485543</v>
      </c>
      <c r="S1523" s="107"/>
      <c r="T1523" s="22"/>
      <c r="U1523" s="96">
        <f ca="1">(U1516/(N_9*U$27*U1518*U1522))*SQRT(M*'Valve Sizing'!$W$6*'Valve Sizing'!$G$8/U1521)</f>
        <v>13.633974883149355</v>
      </c>
      <c r="V1523" s="111"/>
      <c r="W1523" s="28"/>
      <c r="X1523" s="96">
        <f ca="1">(X1516/(N_9*X$27*X1518*X1522))*SQRT(M*'Valve Sizing'!$W$6*'Valve Sizing'!$G$8/X1521)</f>
        <v>34.148132267518761</v>
      </c>
      <c r="Y1523" s="111"/>
      <c r="Z1523" s="28"/>
      <c r="AA1523" s="96">
        <f ca="1">(AA1516/(N_9*AA$27*AA1518*AA1522))*SQRT(M*'Valve Sizing'!$W$6*'Valve Sizing'!$G$8/AA1521)</f>
        <v>71.668020866738772</v>
      </c>
      <c r="AB1523" s="111"/>
      <c r="AC1523" s="28"/>
      <c r="AD1523" s="96">
        <f ca="1">(AD1516/(N_9*AD$27*AD1518*AD1522))*SQRT(M*'Valve Sizing'!$W$6*'Valve Sizing'!$G$8/AD1521)</f>
        <v>150.37969347408045</v>
      </c>
      <c r="AE1523" s="111"/>
      <c r="AF1523" s="28"/>
      <c r="AG1523" s="96">
        <f ca="1">(AG1516/(N_9*AG$27*AG1518*AG1522))*SQRT(M*'Valve Sizing'!$W$6*'Valve Sizing'!$G$8/AG1521)</f>
        <v>638.64833496033179</v>
      </c>
      <c r="AH1523" s="111"/>
      <c r="AI1523" s="28"/>
      <c r="AJ1523" s="96" t="e">
        <f ca="1">(AJ1516/(N_9*AJ$27*AJ1518*AJ1522))*SQRT(M*'Valve Sizing'!$W$6*'Valve Sizing'!$G$8/AJ1521)</f>
        <v>#NUM!</v>
      </c>
      <c r="AK1523" s="111"/>
      <c r="AL1523" s="28"/>
      <c r="AM1523" s="96" t="e">
        <f ca="1">(AM1516/(N_9*AM$27*AM1518*AM1522))*SQRT(M*'Valve Sizing'!$W$6*'Valve Sizing'!$G$8/AM1521)</f>
        <v>#NUM!</v>
      </c>
      <c r="AN1523" s="111"/>
      <c r="AO1523" s="28"/>
      <c r="AP1523" s="96">
        <f ca="1">(AP1516/(N_9*AP$27*AP1518*AP1522))*SQRT(M*'Valve Sizing'!$W$6*'Valve Sizing'!$G$8/AP1521)</f>
        <v>218.85198352765042</v>
      </c>
      <c r="AQ1523" s="111"/>
      <c r="AR1523" s="28"/>
      <c r="AS1523" s="96">
        <f ca="1">(AS1516/(N_9*AS$27*AS1518*AS1522))*SQRT(M*'Valve Sizing'!$W$6*'Valve Sizing'!$G$8/AS1521)</f>
        <v>371.015680325338</v>
      </c>
      <c r="AT1523" s="111"/>
      <c r="AU1523" s="28"/>
    </row>
    <row r="1524" spans="15:47" x14ac:dyDescent="0.25">
      <c r="O1524" s="2" t="s">
        <v>59</v>
      </c>
      <c r="P1524" s="143">
        <v>7</v>
      </c>
      <c r="Q1524" s="2"/>
      <c r="R1524" s="96">
        <f ca="1">(R1516/(N_9*R$27*R1518*0.667))*SQRT(M*'Valve Sizing'!$W$6*'Valve Sizing'!$G$8/R1525)</f>
        <v>0.93980215020405522</v>
      </c>
      <c r="S1524" s="107"/>
      <c r="T1524" s="22"/>
      <c r="U1524" s="96">
        <f ca="1">(U1516/(N_9*U$27*U1518*0.667))*SQRT(M*'Valve Sizing'!$W$6*'Valve Sizing'!$G$8/U1525)</f>
        <v>12.188119989266657</v>
      </c>
      <c r="V1524" s="111"/>
      <c r="W1524" s="28"/>
      <c r="X1524" s="96">
        <f ca="1">(X1516/(N_9*X$27*X1518*0.667))*SQRT(M*'Valve Sizing'!$W$6*'Valve Sizing'!$G$8/X1525)</f>
        <v>30.402768071334144</v>
      </c>
      <c r="Y1524" s="111"/>
      <c r="Z1524" s="28"/>
      <c r="AA1524" s="96">
        <f ca="1">(AA1516/(N_9*AA$27*AA1518*0.667))*SQRT(M*'Valve Sizing'!$W$6*'Valve Sizing'!$G$8/AA1525)</f>
        <v>62.407533965397306</v>
      </c>
      <c r="AB1524" s="111"/>
      <c r="AC1524" s="28"/>
      <c r="AD1524" s="96">
        <f ca="1">(AD1516/(N_9*AD$27*AD1518*0.667))*SQRT(M*'Valve Sizing'!$W$6*'Valve Sizing'!$G$8/AD1525)</f>
        <v>119.51413803218043</v>
      </c>
      <c r="AE1524" s="111"/>
      <c r="AF1524" s="28"/>
      <c r="AG1524" s="96">
        <f ca="1">(AG1516/(N_9*AG$27*AG1518*0.667))*SQRT(M*'Valve Sizing'!$W$6*'Valve Sizing'!$G$8/AG1525)</f>
        <v>227.71725698438834</v>
      </c>
      <c r="AH1524" s="111"/>
      <c r="AI1524" s="28"/>
      <c r="AJ1524" s="96">
        <f ca="1">(AJ1516/(N_9*AJ$27*AJ1518*0.667))*SQRT(M*'Valve Sizing'!$W$6*'Valve Sizing'!$G$8/AJ1525)</f>
        <v>505.055459983128</v>
      </c>
      <c r="AK1524" s="111"/>
      <c r="AL1524" s="28"/>
      <c r="AM1524" s="96">
        <f ca="1">(AM1516/(N_9*AM$27*AM1518*0.667))*SQRT(M*'Valve Sizing'!$W$6*'Valve Sizing'!$G$8/AM1525)</f>
        <v>1769.0493594777895</v>
      </c>
      <c r="AN1524" s="111"/>
      <c r="AO1524" s="28"/>
      <c r="AP1524" s="96">
        <f ca="1">(AP1516/(N_9*AP$27*AP1518*0.667))*SQRT(M*'Valve Sizing'!$W$6*'Valve Sizing'!$G$8/AP1525)</f>
        <v>-3221.3821076518429</v>
      </c>
      <c r="AQ1524" s="111"/>
      <c r="AR1524" s="28"/>
      <c r="AS1524" s="96">
        <f ca="1">(AS1516/(N_9*AS$27*AS1518*0.667))*SQRT(M*'Valve Sizing'!$W$6*'Valve Sizing'!$G$8/AS1525)</f>
        <v>-1352.5274183054964</v>
      </c>
      <c r="AT1524" s="111"/>
      <c r="AU1524" s="28"/>
    </row>
    <row r="1525" spans="15:47" ht="15.6" x14ac:dyDescent="0.35">
      <c r="O1525" s="2" t="s">
        <v>68</v>
      </c>
      <c r="P1525" s="143">
        <v>10</v>
      </c>
      <c r="Q1525" s="2"/>
      <c r="R1525" s="96">
        <f ca="1">F_GAMMA*R$29</f>
        <v>0.64002969751372984</v>
      </c>
      <c r="S1525" s="107"/>
      <c r="T1525" s="1"/>
      <c r="U1525" s="96">
        <f ca="1">F_GAMMA*U$29</f>
        <v>0.64017842058782071</v>
      </c>
      <c r="V1525" s="111"/>
      <c r="W1525" s="28"/>
      <c r="X1525" s="96">
        <f ca="1">F_GAMMA*X$29</f>
        <v>0.63413873724904268</v>
      </c>
      <c r="Y1525" s="111"/>
      <c r="Z1525" s="28"/>
      <c r="AA1525" s="96">
        <f ca="1">F_GAMMA*AA$29</f>
        <v>0.62532411750377137</v>
      </c>
      <c r="AB1525" s="111"/>
      <c r="AC1525" s="28"/>
      <c r="AD1525" s="96">
        <f ca="1">F_GAMMA*AD$29</f>
        <v>0.60651359509139569</v>
      </c>
      <c r="AE1525" s="111"/>
      <c r="AF1525" s="28"/>
      <c r="AG1525" s="96">
        <f ca="1">F_GAMMA*AG$29</f>
        <v>0.57217930198481592</v>
      </c>
      <c r="AH1525" s="111"/>
      <c r="AI1525" s="28"/>
      <c r="AJ1525" s="96">
        <f ca="1">F_GAMMA*AJ$29</f>
        <v>0.53183282018848232</v>
      </c>
      <c r="AK1525" s="111"/>
      <c r="AL1525" s="28"/>
      <c r="AM1525" s="96">
        <f ca="1">F_GAMMA*AM$29</f>
        <v>0.47566512503094399</v>
      </c>
      <c r="AN1525" s="111"/>
      <c r="AO1525" s="28"/>
      <c r="AP1525" s="96">
        <f ca="1">F_GAMMA*AP$29</f>
        <v>0.59054158265645496</v>
      </c>
      <c r="AQ1525" s="111"/>
      <c r="AR1525" s="28"/>
      <c r="AS1525" s="96">
        <f ca="1">F_GAMMA*AS$29</f>
        <v>0.3766899554102966</v>
      </c>
      <c r="AT1525" s="111"/>
      <c r="AU1525" s="28"/>
    </row>
    <row r="1526" spans="15:47" x14ac:dyDescent="0.25">
      <c r="O1526" s="2" t="s">
        <v>145</v>
      </c>
      <c r="P1526" s="12"/>
      <c r="Q1526" s="2"/>
      <c r="R1526" s="96">
        <f ca="1">IF(R1521&lt;R1525,R1523,R1524)</f>
        <v>1.0498395966485543</v>
      </c>
      <c r="S1526" s="116"/>
      <c r="T1526" s="1"/>
      <c r="U1526" s="96">
        <f ca="1">IF(U1521&lt;U1525,U1523,U1524)</f>
        <v>13.633974883149355</v>
      </c>
      <c r="V1526" s="111"/>
      <c r="W1526" s="28"/>
      <c r="X1526" s="96">
        <f ca="1">IF(X1521&lt;X1525,X1523,X1524)</f>
        <v>34.148132267518761</v>
      </c>
      <c r="Y1526" s="111"/>
      <c r="Z1526" s="28"/>
      <c r="AA1526" s="96">
        <f ca="1">IF(AA1521&lt;AA1525,AA1523,AA1524)</f>
        <v>71.668020866738772</v>
      </c>
      <c r="AB1526" s="111"/>
      <c r="AC1526" s="28"/>
      <c r="AD1526" s="96">
        <f ca="1">IF(AD1521&lt;AD1525,AD1523,AD1524)</f>
        <v>150.37969347408045</v>
      </c>
      <c r="AE1526" s="111"/>
      <c r="AF1526" s="28"/>
      <c r="AG1526" s="96">
        <f ca="1">IF(AG1521&lt;AG1525,AG1523,AG1524)</f>
        <v>638.64833496033179</v>
      </c>
      <c r="AH1526" s="111"/>
      <c r="AI1526" s="28"/>
      <c r="AJ1526" s="96" t="e">
        <f ca="1">IF(AJ1521&lt;AJ1525,AJ1523,AJ1524)</f>
        <v>#NUM!</v>
      </c>
      <c r="AK1526" s="111"/>
      <c r="AL1526" s="28"/>
      <c r="AM1526" s="96" t="e">
        <f ca="1">IF(AM1521&lt;AM1525,AM1523,AM1524)</f>
        <v>#NUM!</v>
      </c>
      <c r="AN1526" s="111"/>
      <c r="AO1526" s="28"/>
      <c r="AP1526" s="96">
        <f ca="1">IF(AP1521&lt;AP1525,AP1523,AP1524)</f>
        <v>-3221.3821076518429</v>
      </c>
      <c r="AQ1526" s="111"/>
      <c r="AR1526" s="28"/>
      <c r="AS1526" s="96">
        <f ca="1">IF(AS1521&lt;AS1525,AS1523,AS1524)</f>
        <v>-1352.5274183054964</v>
      </c>
      <c r="AT1526" s="111"/>
      <c r="AU1526" s="28"/>
    </row>
    <row r="1527" spans="15:47" x14ac:dyDescent="0.25">
      <c r="O1527" s="13" t="s">
        <v>143</v>
      </c>
      <c r="P1527" s="1"/>
      <c r="Q1527" s="1"/>
      <c r="R1527" s="113"/>
      <c r="S1527" s="106">
        <f ca="1">IF(R1520&lt;=0,Q_max,ABS(R$23-R1526))</f>
        <v>3.6801604033514463</v>
      </c>
      <c r="T1527" s="7">
        <f>R1516</f>
        <v>2599.5900757246745</v>
      </c>
      <c r="U1527" s="98"/>
      <c r="V1527" s="106">
        <f ca="1">IF(U1520&lt;=0,Q_max,ABS(U$23-U1526))</f>
        <v>2.0339748831493552</v>
      </c>
      <c r="W1527" s="9">
        <f ca="1">U1516</f>
        <v>33618.903547957874</v>
      </c>
      <c r="X1527" s="98"/>
      <c r="Y1527" s="106">
        <f ca="1">IF(X1520&lt;=0,Q_max,ABS(X$23-X1526))</f>
        <v>11.148132267518761</v>
      </c>
      <c r="Z1527" s="9">
        <f ca="1">X1516</f>
        <v>82320.345713385395</v>
      </c>
      <c r="AA1527" s="98"/>
      <c r="AB1527" s="106">
        <f ca="1">IF(AA1520&lt;=0,Q_max,ABS(AA$23-AA1526))</f>
        <v>32.268020866738773</v>
      </c>
      <c r="AC1527" s="9">
        <f ca="1">AA1516</f>
        <v>160339.02155900645</v>
      </c>
      <c r="AD1527" s="98"/>
      <c r="AE1527" s="106">
        <f ca="1">IF(AD1520&lt;=0,Q_max,ABS(AD$23-AD1526))</f>
        <v>89.379693474080455</v>
      </c>
      <c r="AF1527" s="9">
        <f ca="1">AD1516</f>
        <v>268999.0001477534</v>
      </c>
      <c r="AG1527" s="98"/>
      <c r="AH1527" s="106">
        <f ca="1">IF(AG1520&lt;=0,Q_max,ABS(AG$23-AG1526))</f>
        <v>550.44833496033175</v>
      </c>
      <c r="AI1527" s="9">
        <f ca="1">AG1516</f>
        <v>392611.36721055047</v>
      </c>
      <c r="AJ1527" s="98"/>
      <c r="AK1527" s="106">
        <f ca="1">IF(AJ1520&lt;=0,Q_max,ABS(AJ$23-AJ1526))</f>
        <v>236393</v>
      </c>
      <c r="AL1527" s="9">
        <f ca="1">AJ1516</f>
        <v>523941.39152684121</v>
      </c>
      <c r="AM1527" s="98"/>
      <c r="AN1527" s="106">
        <f ca="1">IF(AM1520&lt;=0,Q_max,ABS(AM$23-AM1526))</f>
        <v>236393</v>
      </c>
      <c r="AO1527" s="9">
        <f ca="1">AM1516</f>
        <v>639308.06745752983</v>
      </c>
      <c r="AP1527" s="98"/>
      <c r="AQ1527" s="106">
        <f ca="1">IF(AP1520&lt;=0,Q_max,ABS(AP$23-AP1526))</f>
        <v>236393</v>
      </c>
      <c r="AR1527" s="9">
        <f ca="1">AP1516</f>
        <v>742216.81923578097</v>
      </c>
      <c r="AS1527" s="98"/>
      <c r="AT1527" s="106">
        <f ca="1">IF(AS1520&lt;=0,Q_max,ABS(AS$23-AS1526))</f>
        <v>236393</v>
      </c>
      <c r="AU1527" s="9">
        <f ca="1">AS1516</f>
        <v>870307.59213906981</v>
      </c>
    </row>
    <row r="1528" spans="15:47" x14ac:dyDescent="0.25">
      <c r="O1528" s="21"/>
      <c r="P1528" s="14"/>
      <c r="Q1528" s="21"/>
      <c r="R1528" s="97"/>
      <c r="S1528" s="106"/>
      <c r="T1528" s="28"/>
      <c r="U1528" s="99"/>
      <c r="V1528" s="110"/>
      <c r="W1528" s="25"/>
      <c r="X1528" s="99"/>
      <c r="Y1528" s="110"/>
      <c r="Z1528" s="25"/>
      <c r="AA1528" s="99"/>
      <c r="AB1528" s="110"/>
      <c r="AC1528" s="25"/>
      <c r="AD1528" s="99"/>
      <c r="AE1528" s="110"/>
      <c r="AF1528" s="25"/>
      <c r="AG1528" s="99"/>
      <c r="AH1528" s="110"/>
      <c r="AI1528" s="25"/>
      <c r="AJ1528" s="99"/>
      <c r="AK1528" s="110"/>
      <c r="AL1528" s="25"/>
      <c r="AM1528" s="99"/>
      <c r="AN1528" s="110"/>
      <c r="AO1528" s="25"/>
      <c r="AP1528" s="99"/>
      <c r="AQ1528" s="110"/>
      <c r="AR1528" s="25"/>
      <c r="AS1528" s="99"/>
      <c r="AT1528" s="110"/>
      <c r="AU1528" s="25"/>
    </row>
    <row r="1529" spans="15:47" x14ac:dyDescent="0.25">
      <c r="O1529" s="1"/>
      <c r="P1529" s="1"/>
      <c r="Q1529" s="1"/>
      <c r="R1529" s="98"/>
      <c r="S1529" s="108" t="s">
        <v>137</v>
      </c>
      <c r="T1529" s="26" t="s">
        <v>146</v>
      </c>
      <c r="U1529" s="98"/>
      <c r="V1529" s="108" t="s">
        <v>137</v>
      </c>
      <c r="W1529" s="26" t="s">
        <v>146</v>
      </c>
      <c r="X1529" s="98"/>
      <c r="Y1529" s="108" t="s">
        <v>137</v>
      </c>
      <c r="Z1529" s="26" t="s">
        <v>146</v>
      </c>
      <c r="AA1529" s="98"/>
      <c r="AB1529" s="108" t="s">
        <v>137</v>
      </c>
      <c r="AC1529" s="26" t="s">
        <v>146</v>
      </c>
      <c r="AD1529" s="98"/>
      <c r="AE1529" s="108" t="s">
        <v>137</v>
      </c>
      <c r="AF1529" s="26" t="s">
        <v>146</v>
      </c>
      <c r="AG1529" s="98"/>
      <c r="AH1529" s="108" t="s">
        <v>137</v>
      </c>
      <c r="AI1529" s="26" t="s">
        <v>146</v>
      </c>
      <c r="AJ1529" s="98"/>
      <c r="AK1529" s="108" t="s">
        <v>137</v>
      </c>
      <c r="AL1529" s="26" t="s">
        <v>146</v>
      </c>
      <c r="AM1529" s="98"/>
      <c r="AN1529" s="108" t="s">
        <v>137</v>
      </c>
      <c r="AO1529" s="26" t="s">
        <v>146</v>
      </c>
      <c r="AP1529" s="98"/>
      <c r="AQ1529" s="108" t="s">
        <v>137</v>
      </c>
      <c r="AR1529" s="26" t="s">
        <v>146</v>
      </c>
      <c r="AS1529" s="98"/>
      <c r="AT1529" s="108" t="s">
        <v>137</v>
      </c>
      <c r="AU1529" s="26" t="s">
        <v>146</v>
      </c>
    </row>
    <row r="1530" spans="15:47" ht="13.8" x14ac:dyDescent="0.25">
      <c r="O1530" s="20" t="s">
        <v>136</v>
      </c>
      <c r="P1530" s="1"/>
      <c r="Q1530" s="1"/>
      <c r="R1530" s="96">
        <f>R1516*1.02</f>
        <v>2651.5818772391681</v>
      </c>
      <c r="S1530" s="109" t="s">
        <v>144</v>
      </c>
      <c r="T1530" s="23" t="s">
        <v>147</v>
      </c>
      <c r="U1530" s="96">
        <f ca="1">U1516*1.01</f>
        <v>33955.09258343745</v>
      </c>
      <c r="V1530" s="109" t="s">
        <v>144</v>
      </c>
      <c r="W1530" s="23" t="s">
        <v>147</v>
      </c>
      <c r="X1530" s="96">
        <f ca="1">X1516*1.01</f>
        <v>83143.549170519254</v>
      </c>
      <c r="Y1530" s="109" t="s">
        <v>144</v>
      </c>
      <c r="Z1530" s="23" t="s">
        <v>147</v>
      </c>
      <c r="AA1530" s="96">
        <f ca="1">AA1516*1.01</f>
        <v>161942.41177459652</v>
      </c>
      <c r="AB1530" s="109" t="s">
        <v>144</v>
      </c>
      <c r="AC1530" s="23" t="s">
        <v>147</v>
      </c>
      <c r="AD1530" s="96">
        <f ca="1">AD1516*1.01</f>
        <v>271688.99014923093</v>
      </c>
      <c r="AE1530" s="109" t="s">
        <v>144</v>
      </c>
      <c r="AF1530" s="23" t="s">
        <v>147</v>
      </c>
      <c r="AG1530" s="96">
        <f ca="1">AG1516*1.01</f>
        <v>396537.48088265595</v>
      </c>
      <c r="AH1530" s="109" t="s">
        <v>144</v>
      </c>
      <c r="AI1530" s="23" t="s">
        <v>147</v>
      </c>
      <c r="AJ1530" s="96">
        <f ca="1">AJ1516*1.01</f>
        <v>529180.80544210959</v>
      </c>
      <c r="AK1530" s="109" t="s">
        <v>144</v>
      </c>
      <c r="AL1530" s="23" t="s">
        <v>147</v>
      </c>
      <c r="AM1530" s="96">
        <f ca="1">AM1516*1.01</f>
        <v>645701.14813210513</v>
      </c>
      <c r="AN1530" s="109" t="s">
        <v>144</v>
      </c>
      <c r="AO1530" s="23" t="s">
        <v>147</v>
      </c>
      <c r="AP1530" s="96">
        <f ca="1">AP1516*1.01</f>
        <v>749638.98742813885</v>
      </c>
      <c r="AQ1530" s="109" t="s">
        <v>144</v>
      </c>
      <c r="AR1530" s="23" t="s">
        <v>147</v>
      </c>
      <c r="AS1530" s="96">
        <f ca="1">AS1516*1.01</f>
        <v>879010.66806046048</v>
      </c>
      <c r="AT1530" s="109" t="s">
        <v>144</v>
      </c>
      <c r="AU1530" s="23" t="s">
        <v>147</v>
      </c>
    </row>
    <row r="1531" spans="15:47" x14ac:dyDescent="0.25">
      <c r="O1531" s="1"/>
      <c r="P1531" s="1"/>
      <c r="Q1531" s="1"/>
      <c r="R1531" s="98"/>
      <c r="S1531" s="107"/>
      <c r="T1531" s="1"/>
      <c r="U1531" s="47"/>
      <c r="V1531" s="107"/>
      <c r="W1531" s="1"/>
      <c r="X1531" s="47"/>
      <c r="Y1531" s="107"/>
      <c r="Z1531" s="1"/>
      <c r="AA1531" s="47"/>
      <c r="AB1531" s="107"/>
      <c r="AC1531" s="1"/>
      <c r="AD1531" s="47"/>
      <c r="AE1531" s="107"/>
      <c r="AF1531" s="1"/>
      <c r="AG1531" s="47"/>
      <c r="AH1531" s="107"/>
      <c r="AI1531" s="1"/>
      <c r="AJ1531" s="47"/>
      <c r="AK1531" s="107"/>
      <c r="AL1531" s="1"/>
      <c r="AM1531" s="47"/>
      <c r="AN1531" s="107"/>
      <c r="AO1531" s="1"/>
      <c r="AP1531" s="47"/>
      <c r="AQ1531" s="107"/>
      <c r="AR1531" s="1"/>
      <c r="AS1531" s="47"/>
      <c r="AT1531" s="107"/>
      <c r="AU1531" s="1"/>
    </row>
    <row r="1532" spans="15:47" x14ac:dyDescent="0.25">
      <c r="O1532" s="8" t="s">
        <v>132</v>
      </c>
      <c r="P1532" s="8"/>
      <c r="Q1532" s="8"/>
      <c r="R1532" s="96">
        <f>P_1_minQ-(R1530^2*R_up)+dpup_minQ</f>
        <v>90.183759074484314</v>
      </c>
      <c r="S1532" s="106"/>
      <c r="T1532" s="22"/>
      <c r="U1532" s="96">
        <f ca="1">P_1_minQ-(U1530^2*R_up)+dpup_minQ</f>
        <v>89.97490312027891</v>
      </c>
      <c r="V1532" s="107"/>
      <c r="W1532" s="1"/>
      <c r="X1532" s="96">
        <f ca="1">P_1_minQ-(X1530^2*R_up)+dpup_minQ</f>
        <v>88.925098232421405</v>
      </c>
      <c r="Y1532" s="107"/>
      <c r="Z1532" s="1"/>
      <c r="AA1532" s="96">
        <f ca="1">P_1_minQ-(AA1530^2*R_up)+dpup_minQ</f>
        <v>85.405185302952802</v>
      </c>
      <c r="AB1532" s="107"/>
      <c r="AC1532" s="1"/>
      <c r="AD1532" s="96">
        <f ca="1">P_1_minQ-(AD1530^2*R_up)+dpup_minQ</f>
        <v>76.731468253083506</v>
      </c>
      <c r="AE1532" s="107"/>
      <c r="AF1532" s="1"/>
      <c r="AG1532" s="96">
        <f ca="1">P_1_minQ-(AG1530^2*R_up)+dpup_minQ</f>
        <v>61.525975116477206</v>
      </c>
      <c r="AH1532" s="107"/>
      <c r="AI1532" s="1"/>
      <c r="AJ1532" s="96">
        <f ca="1">P_1_minQ-(AJ1530^2*R_up)+dpup_minQ</f>
        <v>39.146093837633806</v>
      </c>
      <c r="AK1532" s="107"/>
      <c r="AL1532" s="1"/>
      <c r="AM1532" s="96">
        <f ca="1">P_1_minQ-(AM1530^2*R_up)+dpup_minQ</f>
        <v>14.195003799068528</v>
      </c>
      <c r="AN1532" s="107"/>
      <c r="AO1532" s="1"/>
      <c r="AP1532" s="96">
        <f ca="1">P_1_minQ-(AP1530^2*R_up)+dpup_minQ</f>
        <v>-12.238048053982554</v>
      </c>
      <c r="AQ1532" s="107"/>
      <c r="AR1532" s="1"/>
      <c r="AS1532" s="96">
        <f ca="1">P_1_minQ-(AS1530^2*R_up)+dpup_minQ</f>
        <v>-50.640630385007427</v>
      </c>
      <c r="AT1532" s="107"/>
      <c r="AU1532" s="1"/>
    </row>
    <row r="1533" spans="15:47" x14ac:dyDescent="0.25">
      <c r="O1533" s="8" t="s">
        <v>134</v>
      </c>
      <c r="P1533" s="1"/>
      <c r="Q1533" s="8"/>
      <c r="R1533" s="97">
        <f>P_2_minQ+(R1530^2*R_dn)-dpdn_minQ</f>
        <v>60</v>
      </c>
      <c r="S1533" s="106"/>
      <c r="T1533" s="22"/>
      <c r="U1533" s="97">
        <f ca="1">P_2_minQ+(U1530^2*R_dn)-dpdn_minQ</f>
        <v>60</v>
      </c>
      <c r="V1533" s="107"/>
      <c r="W1533" s="1"/>
      <c r="X1533" s="97">
        <f ca="1">P_2_minQ+(X1530^2*R_dn)-dpdn_minQ</f>
        <v>60</v>
      </c>
      <c r="Y1533" s="107"/>
      <c r="Z1533" s="1"/>
      <c r="AA1533" s="97">
        <f ca="1">P_2_minQ+(AA1530^2*R_dn)-dpdn_minQ</f>
        <v>60</v>
      </c>
      <c r="AB1533" s="107"/>
      <c r="AC1533" s="1"/>
      <c r="AD1533" s="97">
        <f ca="1">P_2_minQ+(AD1530^2*R_dn)-dpdn_minQ</f>
        <v>60</v>
      </c>
      <c r="AE1533" s="107"/>
      <c r="AF1533" s="1"/>
      <c r="AG1533" s="97">
        <f ca="1">P_2_minQ+(AG1530^2*R_dn)-dpdn_minQ</f>
        <v>60</v>
      </c>
      <c r="AH1533" s="107"/>
      <c r="AI1533" s="1"/>
      <c r="AJ1533" s="97">
        <f ca="1">P_2_minQ+(AJ1530^2*R_dn)-dpdn_minQ</f>
        <v>60</v>
      </c>
      <c r="AK1533" s="107"/>
      <c r="AL1533" s="1"/>
      <c r="AM1533" s="97">
        <f ca="1">P_2_minQ+(AM1530^2*R_dn)-dpdn_minQ</f>
        <v>60</v>
      </c>
      <c r="AN1533" s="107"/>
      <c r="AO1533" s="1"/>
      <c r="AP1533" s="97">
        <f ca="1">P_2_minQ+(AP1530^2*R_dn)-dpdn_minQ</f>
        <v>60</v>
      </c>
      <c r="AQ1533" s="107"/>
      <c r="AR1533" s="1"/>
      <c r="AS1533" s="97">
        <f ca="1">P_2_minQ+(AS1530^2*R_dn)-dpdn_minQ</f>
        <v>60</v>
      </c>
      <c r="AT1533" s="107"/>
      <c r="AU1533" s="1"/>
    </row>
    <row r="1534" spans="15:47" x14ac:dyDescent="0.25">
      <c r="O1534" s="8" t="s">
        <v>138</v>
      </c>
      <c r="P1534" s="1"/>
      <c r="Q1534" s="8"/>
      <c r="R1534" s="97">
        <f>R1532-R1533</f>
        <v>30.183759074484314</v>
      </c>
      <c r="S1534" s="106"/>
      <c r="T1534" s="22"/>
      <c r="U1534" s="97">
        <f ca="1">U1532-U1533</f>
        <v>29.97490312027891</v>
      </c>
      <c r="V1534" s="110"/>
      <c r="W1534" s="25"/>
      <c r="X1534" s="97">
        <f ca="1">X1532-X1533</f>
        <v>28.925098232421405</v>
      </c>
      <c r="Y1534" s="110"/>
      <c r="Z1534" s="25"/>
      <c r="AA1534" s="97">
        <f ca="1">AA1532-AA1533</f>
        <v>25.405185302952802</v>
      </c>
      <c r="AB1534" s="110"/>
      <c r="AC1534" s="25"/>
      <c r="AD1534" s="97">
        <f ca="1">AD1532-AD1533</f>
        <v>16.731468253083506</v>
      </c>
      <c r="AE1534" s="110"/>
      <c r="AF1534" s="25"/>
      <c r="AG1534" s="97">
        <f ca="1">AG1532-AG1533</f>
        <v>1.5259751164772055</v>
      </c>
      <c r="AH1534" s="110"/>
      <c r="AI1534" s="25"/>
      <c r="AJ1534" s="97">
        <f ca="1">AJ1532-AJ1533</f>
        <v>-20.853906162366194</v>
      </c>
      <c r="AK1534" s="110"/>
      <c r="AL1534" s="25"/>
      <c r="AM1534" s="97">
        <f ca="1">AM1532-AM1533</f>
        <v>-45.80499620093147</v>
      </c>
      <c r="AN1534" s="110"/>
      <c r="AO1534" s="25"/>
      <c r="AP1534" s="97">
        <f ca="1">AP1532-AP1533</f>
        <v>-72.238048053982553</v>
      </c>
      <c r="AQ1534" s="110"/>
      <c r="AR1534" s="25"/>
      <c r="AS1534" s="97">
        <f ca="1">AS1532-AS1533</f>
        <v>-110.64063038500743</v>
      </c>
      <c r="AT1534" s="110"/>
      <c r="AU1534" s="25"/>
    </row>
    <row r="1535" spans="15:47" ht="14.4" x14ac:dyDescent="0.3">
      <c r="O1535" s="2" t="s">
        <v>140</v>
      </c>
      <c r="P1535" s="11"/>
      <c r="Q1535" s="2"/>
      <c r="R1535" s="96">
        <f>R1534/R1532</f>
        <v>0.33469173811611724</v>
      </c>
      <c r="S1535" s="106"/>
      <c r="T1535" s="22"/>
      <c r="U1535" s="96">
        <f ca="1">U1534/U1532</f>
        <v>0.33314737866634109</v>
      </c>
      <c r="V1535" s="111"/>
      <c r="W1535" s="28"/>
      <c r="X1535" s="96">
        <f ca="1">X1534/X1532</f>
        <v>0.32527485273978068</v>
      </c>
      <c r="Y1535" s="111"/>
      <c r="Z1535" s="28"/>
      <c r="AA1535" s="96">
        <f ca="1">AA1534/AA1532</f>
        <v>0.29746654389700672</v>
      </c>
      <c r="AB1535" s="111"/>
      <c r="AC1535" s="28"/>
      <c r="AD1535" s="96">
        <f ca="1">AD1534/AD1532</f>
        <v>0.21805223637710255</v>
      </c>
      <c r="AE1535" s="111"/>
      <c r="AF1535" s="28"/>
      <c r="AG1535" s="96">
        <f ca="1">AG1534/AG1532</f>
        <v>2.4802128102615568E-2</v>
      </c>
      <c r="AH1535" s="111"/>
      <c r="AI1535" s="28"/>
      <c r="AJ1535" s="96">
        <f ca="1">AJ1534/AJ1532</f>
        <v>-0.53271997581321673</v>
      </c>
      <c r="AK1535" s="111"/>
      <c r="AL1535" s="28"/>
      <c r="AM1535" s="96">
        <f ca="1">AM1534/AM1532</f>
        <v>-3.2268393055264402</v>
      </c>
      <c r="AN1535" s="111"/>
      <c r="AO1535" s="28"/>
      <c r="AP1535" s="96">
        <f ca="1">AP1534/AP1532</f>
        <v>5.9027426379874814</v>
      </c>
      <c r="AQ1535" s="111"/>
      <c r="AR1535" s="28"/>
      <c r="AS1535" s="96">
        <f ca="1">AS1534/AS1532</f>
        <v>2.1848193741633102</v>
      </c>
      <c r="AT1535" s="111"/>
      <c r="AU1535" s="28"/>
    </row>
    <row r="1536" spans="15:47" x14ac:dyDescent="0.25">
      <c r="O1536" s="2" t="s">
        <v>21</v>
      </c>
      <c r="P1536" s="8">
        <v>12</v>
      </c>
      <c r="Q1536" s="2"/>
      <c r="R1536" s="96">
        <f ca="1">1-R1535/(3*F_GAMMA*R$29)</f>
        <v>0.82568947481850374</v>
      </c>
      <c r="S1536" s="106"/>
      <c r="T1536" s="22"/>
      <c r="U1536" s="96">
        <f ca="1">1-U1535/(3*F_GAMMA*U$29)</f>
        <v>0.8265340994778505</v>
      </c>
      <c r="V1536" s="111"/>
      <c r="W1536" s="28"/>
      <c r="X1536" s="96">
        <f ca="1">1-X1535/(3*F_GAMMA*X$29)</f>
        <v>0.82902014252651002</v>
      </c>
      <c r="Y1536" s="111"/>
      <c r="Z1536" s="28"/>
      <c r="AA1536" s="96">
        <f ca="1">1-AA1535/(3*F_GAMMA*AA$29)</f>
        <v>0.84143340732138394</v>
      </c>
      <c r="AB1536" s="111"/>
      <c r="AC1536" s="28"/>
      <c r="AD1536" s="96">
        <f ca="1">1-AD1535/(3*F_GAMMA*AD$29)</f>
        <v>0.88016084160254526</v>
      </c>
      <c r="AE1536" s="111"/>
      <c r="AF1536" s="28"/>
      <c r="AG1536" s="96">
        <f ca="1">1-AG1535/(3*F_GAMMA*AG$29)</f>
        <v>0.98555107462725977</v>
      </c>
      <c r="AH1536" s="111"/>
      <c r="AI1536" s="28"/>
      <c r="AJ1536" s="96">
        <f ca="1">1-AJ1535/(3*F_GAMMA*AJ$29)</f>
        <v>1.3338893699868692</v>
      </c>
      <c r="AK1536" s="111"/>
      <c r="AL1536" s="28"/>
      <c r="AM1536" s="96">
        <f ca="1">1-AM1535/(3*F_GAMMA*AM$29)</f>
        <v>3.2612822450924348</v>
      </c>
      <c r="AN1536" s="111"/>
      <c r="AO1536" s="28"/>
      <c r="AP1536" s="96">
        <f ca="1">1-AP1535/(3*F_GAMMA*AP$29)</f>
        <v>-2.3318244423674943</v>
      </c>
      <c r="AQ1536" s="111"/>
      <c r="AR1536" s="28"/>
      <c r="AS1536" s="96">
        <f ca="1">1-AS1535/(3*F_GAMMA*AS$29)</f>
        <v>-0.93334893660187146</v>
      </c>
      <c r="AT1536" s="111"/>
      <c r="AU1536" s="28"/>
    </row>
    <row r="1537" spans="15:47" x14ac:dyDescent="0.25">
      <c r="O1537" s="2" t="s">
        <v>57</v>
      </c>
      <c r="P1537" s="143">
        <v>7</v>
      </c>
      <c r="Q1537" s="2"/>
      <c r="R1537" s="96">
        <f ca="1">(R1530/(N_9*R$27*R1532*R1536))*SQRT(M*'Valve Sizing'!$W$6*'Valve Sizing'!$G$8/R1535)</f>
        <v>1.0708373187400078</v>
      </c>
      <c r="S1537" s="107"/>
      <c r="T1537" s="22"/>
      <c r="U1537" s="96">
        <f ca="1">(U1530/(N_9*U$27*U1532*U1536))*SQRT(M*'Valve Sizing'!$W$6*'Valve Sizing'!$G$8/U1535)</f>
        <v>13.771316311437975</v>
      </c>
      <c r="V1537" s="111"/>
      <c r="W1537" s="28"/>
      <c r="X1537" s="96">
        <f ca="1">(X1530/(N_9*X$27*X1532*X1536))*SQRT(M*'Valve Sizing'!$W$6*'Valve Sizing'!$G$8/X1535)</f>
        <v>34.505106875816459</v>
      </c>
      <c r="Y1537" s="111"/>
      <c r="Z1537" s="28"/>
      <c r="AA1537" s="96">
        <f ca="1">(AA1530/(N_9*AA$27*AA1532*AA1536))*SQRT(M*'Valve Sizing'!$W$6*'Valve Sizing'!$G$8/AA1535)</f>
        <v>72.523151162904583</v>
      </c>
      <c r="AB1537" s="111"/>
      <c r="AC1537" s="28"/>
      <c r="AD1537" s="96">
        <f ca="1">(AD1530/(N_9*AD$27*AD1532*AD1536))*SQRT(M*'Valve Sizing'!$W$6*'Valve Sizing'!$G$8/AD1535)</f>
        <v>153.08838505527427</v>
      </c>
      <c r="AE1537" s="111"/>
      <c r="AF1537" s="28"/>
      <c r="AG1537" s="96">
        <f ca="1">(AG1530/(N_9*AG$27*AG1532*AG1536))*SQRT(M*'Valve Sizing'!$W$6*'Valve Sizing'!$G$8/AG1535)</f>
        <v>754.48996604837237</v>
      </c>
      <c r="AH1537" s="111"/>
      <c r="AI1537" s="28"/>
      <c r="AJ1537" s="96" t="e">
        <f ca="1">(AJ1530/(N_9*AJ$27*AJ1532*AJ1536))*SQRT(M*'Valve Sizing'!$W$6*'Valve Sizing'!$G$8/AJ1535)</f>
        <v>#NUM!</v>
      </c>
      <c r="AK1537" s="111"/>
      <c r="AL1537" s="28"/>
      <c r="AM1537" s="96" t="e">
        <f ca="1">(AM1530/(N_9*AM$27*AM1532*AM1536))*SQRT(M*'Valve Sizing'!$W$6*'Valve Sizing'!$G$8/AM1535)</f>
        <v>#NUM!</v>
      </c>
      <c r="AN1537" s="111"/>
      <c r="AO1537" s="28"/>
      <c r="AP1537" s="96">
        <f ca="1">(AP1530/(N_9*AP$27*AP1532*AP1536))*SQRT(M*'Valve Sizing'!$W$6*'Valve Sizing'!$G$8/AP1535)</f>
        <v>245.82541098590735</v>
      </c>
      <c r="AQ1537" s="111"/>
      <c r="AR1537" s="28"/>
      <c r="AS1537" s="96">
        <f ca="1">(AS1530/(N_9*AS$27*AS1532*AS1536))*SQRT(M*'Valve Sizing'!$W$6*'Valve Sizing'!$G$8/AS1535)</f>
        <v>383.14202774566979</v>
      </c>
      <c r="AT1537" s="111"/>
      <c r="AU1537" s="28"/>
    </row>
    <row r="1538" spans="15:47" x14ac:dyDescent="0.25">
      <c r="O1538" s="2" t="s">
        <v>59</v>
      </c>
      <c r="P1538" s="143">
        <v>7</v>
      </c>
      <c r="Q1538" s="2"/>
      <c r="R1538" s="96">
        <f ca="1">(R1530/(N_9*R$27*R1532*0.667))*SQRT(M*'Valve Sizing'!$W$6*'Valve Sizing'!$G$8/R1539)</f>
        <v>0.95859872213169983</v>
      </c>
      <c r="S1538" s="107"/>
      <c r="T1538" s="22"/>
      <c r="U1538" s="96">
        <f ca="1">(U1530/(N_9*U$27*U1532*0.667))*SQRT(M*'Valve Sizing'!$W$6*'Valve Sizing'!$G$8/U1539)</f>
        <v>12.31056768065193</v>
      </c>
      <c r="V1538" s="111"/>
      <c r="W1538" s="28"/>
      <c r="X1538" s="96">
        <f ca="1">(X1530/(N_9*X$27*X1532*0.667))*SQRT(M*'Valve Sizing'!$W$6*'Valve Sizing'!$G$8/X1539)</f>
        <v>30.715368382694646</v>
      </c>
      <c r="Y1538" s="111"/>
      <c r="Z1538" s="28"/>
      <c r="AA1538" s="96">
        <f ca="1">(AA1530/(N_9*AA$27*AA1532*0.667))*SQRT(M*'Valve Sizing'!$W$6*'Valve Sizing'!$G$8/AA1539)</f>
        <v>63.101118492059918</v>
      </c>
      <c r="AB1538" s="111"/>
      <c r="AC1538" s="28"/>
      <c r="AD1538" s="96">
        <f ca="1">(AD1530/(N_9*AD$27*AD1532*0.667))*SQRT(M*'Valve Sizing'!$W$6*'Valve Sizing'!$G$8/AD1539)</f>
        <v>121.12630055616926</v>
      </c>
      <c r="AE1538" s="111"/>
      <c r="AF1538" s="28"/>
      <c r="AG1538" s="96">
        <f ca="1">(AG1530/(N_9*AG$27*AG1532*0.667))*SQRT(M*'Valve Sizing'!$W$6*'Valve Sizing'!$G$8/AG1539)</f>
        <v>232.10536107870237</v>
      </c>
      <c r="AH1538" s="111"/>
      <c r="AI1538" s="28"/>
      <c r="AJ1538" s="96">
        <f ca="1">(AJ1530/(N_9*AJ$27*AJ1532*0.667))*SQRT(M*'Valve Sizing'!$W$6*'Valve Sizing'!$G$8/AJ1539)</f>
        <v>523.21071280679064</v>
      </c>
      <c r="AK1538" s="111"/>
      <c r="AL1538" s="28"/>
      <c r="AM1538" s="96">
        <f ca="1">(AM1530/(N_9*AM$27*AM1532*0.667))*SQRT(M*'Valve Sizing'!$W$6*'Valve Sizing'!$G$8/AM1539)</f>
        <v>1975.207051852002</v>
      </c>
      <c r="AN1538" s="111"/>
      <c r="AO1538" s="28"/>
      <c r="AP1538" s="96">
        <f ca="1">(AP1530/(N_9*AP$27*AP1532*0.667))*SQRT(M*'Valve Sizing'!$W$6*'Valve Sizing'!$G$8/AP1539)</f>
        <v>-2717.0552682254479</v>
      </c>
      <c r="AQ1538" s="111"/>
      <c r="AR1538" s="28"/>
      <c r="AS1538" s="96">
        <f ca="1">(AS1530/(N_9*AS$27*AS1532*0.667))*SQRT(M*'Valve Sizing'!$W$6*'Valve Sizing'!$G$8/AS1539)</f>
        <v>-1291.200678994901</v>
      </c>
      <c r="AT1538" s="111"/>
      <c r="AU1538" s="28"/>
    </row>
    <row r="1539" spans="15:47" ht="15.6" x14ac:dyDescent="0.35">
      <c r="O1539" s="2" t="s">
        <v>68</v>
      </c>
      <c r="P1539" s="143">
        <v>10</v>
      </c>
      <c r="Q1539" s="2"/>
      <c r="R1539" s="96">
        <f ca="1">F_GAMMA*R$29</f>
        <v>0.64002969751372984</v>
      </c>
      <c r="S1539" s="107"/>
      <c r="T1539" s="1"/>
      <c r="U1539" s="96">
        <f ca="1">F_GAMMA*U$29</f>
        <v>0.64017842058782071</v>
      </c>
      <c r="V1539" s="111"/>
      <c r="W1539" s="28"/>
      <c r="X1539" s="96">
        <f ca="1">F_GAMMA*X$29</f>
        <v>0.63413873724904268</v>
      </c>
      <c r="Y1539" s="111"/>
      <c r="Z1539" s="28"/>
      <c r="AA1539" s="96">
        <f ca="1">F_GAMMA*AA$29</f>
        <v>0.62532411750377137</v>
      </c>
      <c r="AB1539" s="111"/>
      <c r="AC1539" s="28"/>
      <c r="AD1539" s="96">
        <f ca="1">F_GAMMA*AD$29</f>
        <v>0.60651359509139569</v>
      </c>
      <c r="AE1539" s="111"/>
      <c r="AF1539" s="28"/>
      <c r="AG1539" s="96">
        <f ca="1">F_GAMMA*AG$29</f>
        <v>0.57217930198481592</v>
      </c>
      <c r="AH1539" s="111"/>
      <c r="AI1539" s="28"/>
      <c r="AJ1539" s="96">
        <f ca="1">F_GAMMA*AJ$29</f>
        <v>0.53183282018848232</v>
      </c>
      <c r="AK1539" s="111"/>
      <c r="AL1539" s="28"/>
      <c r="AM1539" s="96">
        <f ca="1">F_GAMMA*AM$29</f>
        <v>0.47566512503094399</v>
      </c>
      <c r="AN1539" s="111"/>
      <c r="AO1539" s="28"/>
      <c r="AP1539" s="96">
        <f ca="1">F_GAMMA*AP$29</f>
        <v>0.59054158265645496</v>
      </c>
      <c r="AQ1539" s="111"/>
      <c r="AR1539" s="28"/>
      <c r="AS1539" s="96">
        <f ca="1">F_GAMMA*AS$29</f>
        <v>0.3766899554102966</v>
      </c>
      <c r="AT1539" s="111"/>
      <c r="AU1539" s="28"/>
    </row>
    <row r="1540" spans="15:47" x14ac:dyDescent="0.25">
      <c r="O1540" s="2" t="s">
        <v>145</v>
      </c>
      <c r="P1540" s="12"/>
      <c r="Q1540" s="2"/>
      <c r="R1540" s="96">
        <f ca="1">IF(R1535&lt;R1539,R1537,R1538)</f>
        <v>1.0708373187400078</v>
      </c>
      <c r="S1540" s="116"/>
      <c r="T1540" s="1"/>
      <c r="U1540" s="96">
        <f ca="1">IF(U1535&lt;U1539,U1537,U1538)</f>
        <v>13.771316311437975</v>
      </c>
      <c r="V1540" s="111"/>
      <c r="W1540" s="28"/>
      <c r="X1540" s="96">
        <f ca="1">IF(X1535&lt;X1539,X1537,X1538)</f>
        <v>34.505106875816459</v>
      </c>
      <c r="Y1540" s="111"/>
      <c r="Z1540" s="28"/>
      <c r="AA1540" s="96">
        <f ca="1">IF(AA1535&lt;AA1539,AA1537,AA1538)</f>
        <v>72.523151162904583</v>
      </c>
      <c r="AB1540" s="111"/>
      <c r="AC1540" s="28"/>
      <c r="AD1540" s="96">
        <f ca="1">IF(AD1535&lt;AD1539,AD1537,AD1538)</f>
        <v>153.08838505527427</v>
      </c>
      <c r="AE1540" s="111"/>
      <c r="AF1540" s="28"/>
      <c r="AG1540" s="96">
        <f ca="1">IF(AG1535&lt;AG1539,AG1537,AG1538)</f>
        <v>754.48996604837237</v>
      </c>
      <c r="AH1540" s="111"/>
      <c r="AI1540" s="28"/>
      <c r="AJ1540" s="96" t="e">
        <f ca="1">IF(AJ1535&lt;AJ1539,AJ1537,AJ1538)</f>
        <v>#NUM!</v>
      </c>
      <c r="AK1540" s="111"/>
      <c r="AL1540" s="28"/>
      <c r="AM1540" s="96" t="e">
        <f ca="1">IF(AM1535&lt;AM1539,AM1537,AM1538)</f>
        <v>#NUM!</v>
      </c>
      <c r="AN1540" s="111"/>
      <c r="AO1540" s="28"/>
      <c r="AP1540" s="96">
        <f ca="1">IF(AP1535&lt;AP1539,AP1537,AP1538)</f>
        <v>-2717.0552682254479</v>
      </c>
      <c r="AQ1540" s="111"/>
      <c r="AR1540" s="28"/>
      <c r="AS1540" s="96">
        <f ca="1">IF(AS1535&lt;AS1539,AS1537,AS1538)</f>
        <v>-1291.200678994901</v>
      </c>
      <c r="AT1540" s="111"/>
      <c r="AU1540" s="28"/>
    </row>
    <row r="1541" spans="15:47" x14ac:dyDescent="0.25">
      <c r="O1541" s="13" t="s">
        <v>143</v>
      </c>
      <c r="P1541" s="1"/>
      <c r="Q1541" s="1"/>
      <c r="R1541" s="113"/>
      <c r="S1541" s="106">
        <f ca="1">IF(R1534&lt;=0,Q_max,ABS(R$23-R1540))</f>
        <v>3.6591626812599927</v>
      </c>
      <c r="T1541" s="7">
        <f>R1530</f>
        <v>2651.5818772391681</v>
      </c>
      <c r="U1541" s="98"/>
      <c r="V1541" s="106">
        <f ca="1">IF(U1534&lt;=0,Q_max,ABS(U$23-U1540))</f>
        <v>2.171316311437975</v>
      </c>
      <c r="W1541" s="9">
        <f ca="1">U1530</f>
        <v>33955.09258343745</v>
      </c>
      <c r="X1541" s="98"/>
      <c r="Y1541" s="106">
        <f ca="1">IF(X1534&lt;=0,Q_max,ABS(X$23-X1540))</f>
        <v>11.505106875816459</v>
      </c>
      <c r="Z1541" s="9">
        <f ca="1">X1530</f>
        <v>83143.549170519254</v>
      </c>
      <c r="AA1541" s="98"/>
      <c r="AB1541" s="106">
        <f ca="1">IF(AA1534&lt;=0,Q_max,ABS(AA$23-AA1540))</f>
        <v>33.123151162904584</v>
      </c>
      <c r="AC1541" s="9">
        <f ca="1">AA1530</f>
        <v>161942.41177459652</v>
      </c>
      <c r="AD1541" s="98"/>
      <c r="AE1541" s="106">
        <f ca="1">IF(AD1534&lt;=0,Q_max,ABS(AD$23-AD1540))</f>
        <v>92.088385055274273</v>
      </c>
      <c r="AF1541" s="9">
        <f ca="1">AD1530</f>
        <v>271688.99014923093</v>
      </c>
      <c r="AG1541" s="98"/>
      <c r="AH1541" s="106">
        <f ca="1">IF(AG1534&lt;=0,Q_max,ABS(AG$23-AG1540))</f>
        <v>666.28996604837232</v>
      </c>
      <c r="AI1541" s="9">
        <f ca="1">AG1530</f>
        <v>396537.48088265595</v>
      </c>
      <c r="AJ1541" s="98"/>
      <c r="AK1541" s="106">
        <f ca="1">IF(AJ1534&lt;=0,Q_max,ABS(AJ$23-AJ1540))</f>
        <v>236393</v>
      </c>
      <c r="AL1541" s="9">
        <f ca="1">AJ1530</f>
        <v>529180.80544210959</v>
      </c>
      <c r="AM1541" s="98"/>
      <c r="AN1541" s="106">
        <f ca="1">IF(AM1534&lt;=0,Q_max,ABS(AM$23-AM1540))</f>
        <v>236393</v>
      </c>
      <c r="AO1541" s="9">
        <f ca="1">AM1530</f>
        <v>645701.14813210513</v>
      </c>
      <c r="AP1541" s="98"/>
      <c r="AQ1541" s="106">
        <f ca="1">IF(AP1534&lt;=0,Q_max,ABS(AP$23-AP1540))</f>
        <v>236393</v>
      </c>
      <c r="AR1541" s="9">
        <f ca="1">AP1530</f>
        <v>749638.98742813885</v>
      </c>
      <c r="AS1541" s="98"/>
      <c r="AT1541" s="106">
        <f ca="1">IF(AS1534&lt;=0,Q_max,ABS(AS$23-AS1540))</f>
        <v>236393</v>
      </c>
      <c r="AU1541" s="9">
        <f ca="1">AS1530</f>
        <v>879010.66806046048</v>
      </c>
    </row>
    <row r="1542" spans="15:47" x14ac:dyDescent="0.25">
      <c r="O1542" s="21"/>
      <c r="P1542" s="14"/>
      <c r="Q1542" s="21"/>
      <c r="R1542" s="97"/>
      <c r="S1542" s="106"/>
      <c r="T1542" s="28"/>
      <c r="U1542" s="97"/>
      <c r="V1542" s="111"/>
      <c r="W1542" s="28"/>
      <c r="X1542" s="97"/>
      <c r="Y1542" s="111"/>
      <c r="Z1542" s="28"/>
      <c r="AA1542" s="97"/>
      <c r="AB1542" s="111"/>
      <c r="AC1542" s="28"/>
      <c r="AD1542" s="97"/>
      <c r="AE1542" s="111"/>
      <c r="AF1542" s="28"/>
      <c r="AG1542" s="97"/>
      <c r="AH1542" s="111"/>
      <c r="AI1542" s="28"/>
      <c r="AJ1542" s="97"/>
      <c r="AK1542" s="111"/>
      <c r="AL1542" s="28"/>
      <c r="AM1542" s="97"/>
      <c r="AN1542" s="111"/>
      <c r="AO1542" s="28"/>
      <c r="AP1542" s="97"/>
      <c r="AQ1542" s="111"/>
      <c r="AR1542" s="28"/>
      <c r="AS1542" s="97"/>
      <c r="AT1542" s="111"/>
      <c r="AU1542" s="28"/>
    </row>
    <row r="1543" spans="15:47" x14ac:dyDescent="0.25">
      <c r="O1543" s="1"/>
      <c r="P1543" s="1"/>
      <c r="Q1543" s="1"/>
      <c r="R1543" s="98"/>
      <c r="S1543" s="108" t="s">
        <v>137</v>
      </c>
      <c r="T1543" s="26" t="s">
        <v>146</v>
      </c>
      <c r="U1543" s="98"/>
      <c r="V1543" s="108" t="s">
        <v>137</v>
      </c>
      <c r="W1543" s="26" t="s">
        <v>146</v>
      </c>
      <c r="X1543" s="98"/>
      <c r="Y1543" s="108" t="s">
        <v>137</v>
      </c>
      <c r="Z1543" s="26" t="s">
        <v>146</v>
      </c>
      <c r="AA1543" s="98"/>
      <c r="AB1543" s="108" t="s">
        <v>137</v>
      </c>
      <c r="AC1543" s="26" t="s">
        <v>146</v>
      </c>
      <c r="AD1543" s="98"/>
      <c r="AE1543" s="108" t="s">
        <v>137</v>
      </c>
      <c r="AF1543" s="26" t="s">
        <v>146</v>
      </c>
      <c r="AG1543" s="98"/>
      <c r="AH1543" s="108" t="s">
        <v>137</v>
      </c>
      <c r="AI1543" s="26" t="s">
        <v>146</v>
      </c>
      <c r="AJ1543" s="98"/>
      <c r="AK1543" s="108" t="s">
        <v>137</v>
      </c>
      <c r="AL1543" s="26" t="s">
        <v>146</v>
      </c>
      <c r="AM1543" s="98"/>
      <c r="AN1543" s="108" t="s">
        <v>137</v>
      </c>
      <c r="AO1543" s="26" t="s">
        <v>146</v>
      </c>
      <c r="AP1543" s="98"/>
      <c r="AQ1543" s="108" t="s">
        <v>137</v>
      </c>
      <c r="AR1543" s="26" t="s">
        <v>146</v>
      </c>
      <c r="AS1543" s="98"/>
      <c r="AT1543" s="108" t="s">
        <v>137</v>
      </c>
      <c r="AU1543" s="26" t="s">
        <v>146</v>
      </c>
    </row>
    <row r="1544" spans="15:47" ht="13.8" x14ac:dyDescent="0.25">
      <c r="O1544" s="20" t="s">
        <v>136</v>
      </c>
      <c r="P1544" s="1"/>
      <c r="Q1544" s="1"/>
      <c r="R1544" s="96">
        <f>R1530*1.02</f>
        <v>2704.6135147839514</v>
      </c>
      <c r="S1544" s="109" t="s">
        <v>144</v>
      </c>
      <c r="T1544" s="23" t="s">
        <v>147</v>
      </c>
      <c r="U1544" s="96">
        <f ca="1">U1530*1.01</f>
        <v>34294.643509271824</v>
      </c>
      <c r="V1544" s="109" t="s">
        <v>144</v>
      </c>
      <c r="W1544" s="23" t="s">
        <v>147</v>
      </c>
      <c r="X1544" s="96">
        <f ca="1">X1530*1.01</f>
        <v>83974.984662224451</v>
      </c>
      <c r="Y1544" s="109" t="s">
        <v>144</v>
      </c>
      <c r="Z1544" s="23" t="s">
        <v>147</v>
      </c>
      <c r="AA1544" s="96">
        <f ca="1">AA1530*1.01</f>
        <v>163561.8358923425</v>
      </c>
      <c r="AB1544" s="109" t="s">
        <v>144</v>
      </c>
      <c r="AC1544" s="23" t="s">
        <v>147</v>
      </c>
      <c r="AD1544" s="96">
        <f ca="1">AD1530*1.01</f>
        <v>274405.88005072327</v>
      </c>
      <c r="AE1544" s="109" t="s">
        <v>144</v>
      </c>
      <c r="AF1544" s="23" t="s">
        <v>147</v>
      </c>
      <c r="AG1544" s="96">
        <f ca="1">AG1530*1.01</f>
        <v>400502.85569148249</v>
      </c>
      <c r="AH1544" s="109" t="s">
        <v>144</v>
      </c>
      <c r="AI1544" s="23" t="s">
        <v>147</v>
      </c>
      <c r="AJ1544" s="96">
        <f ca="1">AJ1530*1.01</f>
        <v>534472.61349653068</v>
      </c>
      <c r="AK1544" s="109" t="s">
        <v>144</v>
      </c>
      <c r="AL1544" s="23" t="s">
        <v>147</v>
      </c>
      <c r="AM1544" s="96">
        <f ca="1">AM1530*1.01</f>
        <v>652158.15961342619</v>
      </c>
      <c r="AN1544" s="109" t="s">
        <v>144</v>
      </c>
      <c r="AO1544" s="23" t="s">
        <v>147</v>
      </c>
      <c r="AP1544" s="96">
        <f ca="1">AP1530*1.01</f>
        <v>757135.37730242021</v>
      </c>
      <c r="AQ1544" s="109" t="s">
        <v>144</v>
      </c>
      <c r="AR1544" s="23" t="s">
        <v>147</v>
      </c>
      <c r="AS1544" s="96">
        <f ca="1">AS1530*1.01</f>
        <v>887800.77474106511</v>
      </c>
      <c r="AT1544" s="109" t="s">
        <v>144</v>
      </c>
      <c r="AU1544" s="23" t="s">
        <v>147</v>
      </c>
    </row>
    <row r="1545" spans="15:47" x14ac:dyDescent="0.25">
      <c r="O1545" s="1"/>
      <c r="P1545" s="1"/>
      <c r="Q1545" s="1"/>
      <c r="R1545" s="98"/>
      <c r="S1545" s="107"/>
      <c r="T1545" s="1"/>
      <c r="U1545" s="47"/>
      <c r="V1545" s="107"/>
      <c r="W1545" s="1"/>
      <c r="X1545" s="47"/>
      <c r="Y1545" s="107"/>
      <c r="Z1545" s="1"/>
      <c r="AA1545" s="47"/>
      <c r="AB1545" s="107"/>
      <c r="AC1545" s="1"/>
      <c r="AD1545" s="47"/>
      <c r="AE1545" s="107"/>
      <c r="AF1545" s="1"/>
      <c r="AG1545" s="47"/>
      <c r="AH1545" s="107"/>
      <c r="AI1545" s="1"/>
      <c r="AJ1545" s="47"/>
      <c r="AK1545" s="107"/>
      <c r="AL1545" s="1"/>
      <c r="AM1545" s="47"/>
      <c r="AN1545" s="107"/>
      <c r="AO1545" s="1"/>
      <c r="AP1545" s="47"/>
      <c r="AQ1545" s="107"/>
      <c r="AR1545" s="1"/>
      <c r="AS1545" s="47"/>
      <c r="AT1545" s="107"/>
      <c r="AU1545" s="1"/>
    </row>
    <row r="1546" spans="15:47" x14ac:dyDescent="0.25">
      <c r="O1546" s="8" t="s">
        <v>132</v>
      </c>
      <c r="P1546" s="8"/>
      <c r="Q1546" s="8"/>
      <c r="R1546" s="96">
        <f>P_1_minQ-(R1544^2*R_up)+dpup_minQ</f>
        <v>90.183707303671156</v>
      </c>
      <c r="S1546" s="106"/>
      <c r="T1546" s="22"/>
      <c r="U1546" s="96">
        <f ca="1">P_1_minQ-(U1544^2*R_up)+dpup_minQ</f>
        <v>89.970679358338387</v>
      </c>
      <c r="V1546" s="107"/>
      <c r="W1546" s="1"/>
      <c r="X1546" s="96">
        <f ca="1">P_1_minQ-(X1544^2*R_up)+dpup_minQ</f>
        <v>88.899773392234948</v>
      </c>
      <c r="Y1546" s="107"/>
      <c r="Z1546" s="1"/>
      <c r="AA1546" s="96">
        <f ca="1">P_1_minQ-(AA1544^2*R_up)+dpup_minQ</f>
        <v>85.309110212884022</v>
      </c>
      <c r="AB1546" s="107"/>
      <c r="AC1546" s="1"/>
      <c r="AD1546" s="96">
        <f ca="1">P_1_minQ-(AD1544^2*R_up)+dpup_minQ</f>
        <v>76.46105145031234</v>
      </c>
      <c r="AE1546" s="107"/>
      <c r="AF1546" s="1"/>
      <c r="AG1546" s="96">
        <f ca="1">P_1_minQ-(AG1544^2*R_up)+dpup_minQ</f>
        <v>60.94992790166026</v>
      </c>
      <c r="AH1546" s="107"/>
      <c r="AI1546" s="1"/>
      <c r="AJ1546" s="96">
        <f ca="1">P_1_minQ-(AJ1544^2*R_up)+dpup_minQ</f>
        <v>38.120211009112111</v>
      </c>
      <c r="AK1546" s="107"/>
      <c r="AL1546" s="1"/>
      <c r="AM1546" s="96">
        <f ca="1">P_1_minQ-(AM1544^2*R_up)+dpup_minQ</f>
        <v>12.667604060771664</v>
      </c>
      <c r="AN1546" s="107"/>
      <c r="AO1546" s="1"/>
      <c r="AP1546" s="96">
        <f ca="1">P_1_minQ-(AP1544^2*R_up)+dpup_minQ</f>
        <v>-14.296752134525734</v>
      </c>
      <c r="AQ1546" s="107"/>
      <c r="AR1546" s="1"/>
      <c r="AS1546" s="96">
        <f ca="1">P_1_minQ-(AS1544^2*R_up)+dpup_minQ</f>
        <v>-53.471226370404224</v>
      </c>
      <c r="AT1546" s="107"/>
      <c r="AU1546" s="1"/>
    </row>
    <row r="1547" spans="15:47" x14ac:dyDescent="0.25">
      <c r="O1547" s="8" t="s">
        <v>134</v>
      </c>
      <c r="P1547" s="1"/>
      <c r="Q1547" s="8"/>
      <c r="R1547" s="97">
        <f>P_2_minQ+(R1544^2*R_dn)-dpdn_minQ</f>
        <v>60</v>
      </c>
      <c r="S1547" s="106"/>
      <c r="T1547" s="22"/>
      <c r="U1547" s="97">
        <f ca="1">P_2_minQ+(U1544^2*R_dn)-dpdn_minQ</f>
        <v>60</v>
      </c>
      <c r="V1547" s="107"/>
      <c r="W1547" s="1"/>
      <c r="X1547" s="97">
        <f ca="1">P_2_minQ+(X1544^2*R_dn)-dpdn_minQ</f>
        <v>60</v>
      </c>
      <c r="Y1547" s="107"/>
      <c r="Z1547" s="1"/>
      <c r="AA1547" s="97">
        <f ca="1">P_2_minQ+(AA1544^2*R_dn)-dpdn_minQ</f>
        <v>60</v>
      </c>
      <c r="AB1547" s="107"/>
      <c r="AC1547" s="1"/>
      <c r="AD1547" s="97">
        <f ca="1">P_2_minQ+(AD1544^2*R_dn)-dpdn_minQ</f>
        <v>60</v>
      </c>
      <c r="AE1547" s="107"/>
      <c r="AF1547" s="1"/>
      <c r="AG1547" s="97">
        <f ca="1">P_2_minQ+(AG1544^2*R_dn)-dpdn_minQ</f>
        <v>60</v>
      </c>
      <c r="AH1547" s="107"/>
      <c r="AI1547" s="1"/>
      <c r="AJ1547" s="97">
        <f ca="1">P_2_minQ+(AJ1544^2*R_dn)-dpdn_minQ</f>
        <v>60</v>
      </c>
      <c r="AK1547" s="107"/>
      <c r="AL1547" s="1"/>
      <c r="AM1547" s="97">
        <f ca="1">P_2_minQ+(AM1544^2*R_dn)-dpdn_minQ</f>
        <v>60</v>
      </c>
      <c r="AN1547" s="107"/>
      <c r="AO1547" s="1"/>
      <c r="AP1547" s="97">
        <f ca="1">P_2_minQ+(AP1544^2*R_dn)-dpdn_minQ</f>
        <v>60</v>
      </c>
      <c r="AQ1547" s="107"/>
      <c r="AR1547" s="1"/>
      <c r="AS1547" s="97">
        <f ca="1">P_2_minQ+(AS1544^2*R_dn)-dpdn_minQ</f>
        <v>60</v>
      </c>
      <c r="AT1547" s="107"/>
      <c r="AU1547" s="1"/>
    </row>
    <row r="1548" spans="15:47" x14ac:dyDescent="0.25">
      <c r="O1548" s="8" t="s">
        <v>138</v>
      </c>
      <c r="P1548" s="1"/>
      <c r="Q1548" s="8"/>
      <c r="R1548" s="97">
        <f>R1546-R1547</f>
        <v>30.183707303671156</v>
      </c>
      <c r="S1548" s="106"/>
      <c r="T1548" s="22"/>
      <c r="U1548" s="97">
        <f ca="1">U1546-U1547</f>
        <v>29.970679358338387</v>
      </c>
      <c r="V1548" s="110"/>
      <c r="W1548" s="25"/>
      <c r="X1548" s="97">
        <f ca="1">X1546-X1547</f>
        <v>28.899773392234948</v>
      </c>
      <c r="Y1548" s="110"/>
      <c r="Z1548" s="25"/>
      <c r="AA1548" s="97">
        <f ca="1">AA1546-AA1547</f>
        <v>25.309110212884022</v>
      </c>
      <c r="AB1548" s="110"/>
      <c r="AC1548" s="25"/>
      <c r="AD1548" s="97">
        <f ca="1">AD1546-AD1547</f>
        <v>16.46105145031234</v>
      </c>
      <c r="AE1548" s="110"/>
      <c r="AF1548" s="25"/>
      <c r="AG1548" s="97">
        <f ca="1">AG1546-AG1547</f>
        <v>0.94992790166025998</v>
      </c>
      <c r="AH1548" s="110"/>
      <c r="AI1548" s="25"/>
      <c r="AJ1548" s="97">
        <f ca="1">AJ1546-AJ1547</f>
        <v>-21.879788990887889</v>
      </c>
      <c r="AK1548" s="110"/>
      <c r="AL1548" s="25"/>
      <c r="AM1548" s="97">
        <f ca="1">AM1546-AM1547</f>
        <v>-47.332395939228334</v>
      </c>
      <c r="AN1548" s="110"/>
      <c r="AO1548" s="25"/>
      <c r="AP1548" s="97">
        <f ca="1">AP1546-AP1547</f>
        <v>-74.296752134525732</v>
      </c>
      <c r="AQ1548" s="110"/>
      <c r="AR1548" s="25"/>
      <c r="AS1548" s="97">
        <f ca="1">AS1546-AS1547</f>
        <v>-113.47122637040422</v>
      </c>
      <c r="AT1548" s="110"/>
      <c r="AU1548" s="25"/>
    </row>
    <row r="1549" spans="15:47" ht="14.4" x14ac:dyDescent="0.3">
      <c r="O1549" s="2" t="s">
        <v>140</v>
      </c>
      <c r="P1549" s="11"/>
      <c r="Q1549" s="2"/>
      <c r="R1549" s="96">
        <f>R1548/R1546</f>
        <v>0.33469135618959472</v>
      </c>
      <c r="S1549" s="106"/>
      <c r="T1549" s="22"/>
      <c r="U1549" s="96">
        <f ca="1">U1548/U1546</f>
        <v>0.33311607261483611</v>
      </c>
      <c r="V1549" s="111"/>
      <c r="W1549" s="28"/>
      <c r="X1549" s="96">
        <f ca="1">X1548/X1546</f>
        <v>0.32508264407746207</v>
      </c>
      <c r="Y1549" s="111"/>
      <c r="Z1549" s="28"/>
      <c r="AA1549" s="96">
        <f ca="1">AA1548/AA1546</f>
        <v>0.29667535096458725</v>
      </c>
      <c r="AB1549" s="111"/>
      <c r="AC1549" s="28"/>
      <c r="AD1549" s="96">
        <f ca="1">AD1548/AD1546</f>
        <v>0.21528675238018974</v>
      </c>
      <c r="AE1549" s="111"/>
      <c r="AF1549" s="28"/>
      <c r="AG1549" s="96">
        <f ca="1">AG1548/AG1546</f>
        <v>1.5585381875970753E-2</v>
      </c>
      <c r="AH1549" s="111"/>
      <c r="AI1549" s="28"/>
      <c r="AJ1549" s="96">
        <f ca="1">AJ1548/AJ1546</f>
        <v>-0.57396820247552738</v>
      </c>
      <c r="AK1549" s="111"/>
      <c r="AL1549" s="28"/>
      <c r="AM1549" s="96">
        <f ca="1">AM1548/AM1546</f>
        <v>-3.7364915821615141</v>
      </c>
      <c r="AN1549" s="111"/>
      <c r="AO1549" s="28"/>
      <c r="AP1549" s="96">
        <f ca="1">AP1548/AP1546</f>
        <v>5.19675737785954</v>
      </c>
      <c r="AQ1549" s="111"/>
      <c r="AR1549" s="28"/>
      <c r="AS1549" s="96">
        <f ca="1">AS1548/AS1546</f>
        <v>2.1220988197347457</v>
      </c>
      <c r="AT1549" s="111"/>
      <c r="AU1549" s="28"/>
    </row>
    <row r="1550" spans="15:47" x14ac:dyDescent="0.25">
      <c r="O1550" s="2" t="s">
        <v>21</v>
      </c>
      <c r="P1550" s="8">
        <v>12</v>
      </c>
      <c r="Q1550" s="2"/>
      <c r="R1550" s="96">
        <f ca="1">1-R1549/(3*F_GAMMA*R$29)</f>
        <v>0.82568967372933766</v>
      </c>
      <c r="S1550" s="106"/>
      <c r="T1550" s="22"/>
      <c r="U1550" s="96">
        <f ca="1">1-U1549/(3*F_GAMMA*U$29)</f>
        <v>0.82655040016866743</v>
      </c>
      <c r="V1550" s="111"/>
      <c r="W1550" s="28"/>
      <c r="X1550" s="96">
        <f ca="1">1-X1549/(3*F_GAMMA*X$29)</f>
        <v>0.82912117649643302</v>
      </c>
      <c r="Y1550" s="111"/>
      <c r="Z1550" s="28"/>
      <c r="AA1550" s="96">
        <f ca="1">1-AA1549/(3*F_GAMMA*AA$29)</f>
        <v>0.84185515817040912</v>
      </c>
      <c r="AB1550" s="111"/>
      <c r="AC1550" s="28"/>
      <c r="AD1550" s="96">
        <f ca="1">1-AD1549/(3*F_GAMMA*AD$29)</f>
        <v>0.88168072179390689</v>
      </c>
      <c r="AE1550" s="111"/>
      <c r="AF1550" s="28"/>
      <c r="AG1550" s="96">
        <f ca="1">1-AG1549/(3*F_GAMMA*AG$29)</f>
        <v>0.99092045574880283</v>
      </c>
      <c r="AH1550" s="111"/>
      <c r="AI1550" s="28"/>
      <c r="AJ1550" s="96">
        <f ca="1">1-AJ1549/(3*F_GAMMA*AJ$29)</f>
        <v>1.3597422477437628</v>
      </c>
      <c r="AK1550" s="111"/>
      <c r="AL1550" s="28"/>
      <c r="AM1550" s="96">
        <f ca="1">1-AM1549/(3*F_GAMMA*AM$29)</f>
        <v>3.6184328606660272</v>
      </c>
      <c r="AN1550" s="111"/>
      <c r="AO1550" s="28"/>
      <c r="AP1550" s="96">
        <f ca="1">1-AP1549/(3*F_GAMMA*AP$29)</f>
        <v>-1.9333285075273756</v>
      </c>
      <c r="AQ1550" s="111"/>
      <c r="AR1550" s="28"/>
      <c r="AS1550" s="96">
        <f ca="1">1-AS1549/(3*F_GAMMA*AS$29)</f>
        <v>-0.87784745275312881</v>
      </c>
      <c r="AT1550" s="111"/>
      <c r="AU1550" s="28"/>
    </row>
    <row r="1551" spans="15:47" x14ac:dyDescent="0.25">
      <c r="O1551" s="2" t="s">
        <v>57</v>
      </c>
      <c r="P1551" s="143">
        <v>7</v>
      </c>
      <c r="Q1551" s="2"/>
      <c r="R1551" s="96">
        <f ca="1">(R1544/(N_9*R$27*R1546*R1550))*SQRT(M*'Valve Sizing'!$W$6*'Valve Sizing'!$G$8/R1549)</f>
        <v>1.0922550522088232</v>
      </c>
      <c r="S1551" s="107"/>
      <c r="T1551" s="22"/>
      <c r="U1551" s="96">
        <f ca="1">(U1544/(N_9*U$27*U1546*U1550))*SQRT(M*'Valve Sizing'!$W$6*'Valve Sizing'!$G$8/U1549)</f>
        <v>13.910061713492421</v>
      </c>
      <c r="V1551" s="111"/>
      <c r="W1551" s="28"/>
      <c r="X1551" s="96">
        <f ca="1">(X1544/(N_9*X$27*X1546*X1550))*SQRT(M*'Valve Sizing'!$W$6*'Valve Sizing'!$G$8/X1549)</f>
        <v>34.866140683686673</v>
      </c>
      <c r="Y1551" s="111"/>
      <c r="Z1551" s="28"/>
      <c r="AA1551" s="96">
        <f ca="1">(AA1544/(N_9*AA$27*AA1546*AA1550))*SQRT(M*'Valve Sizing'!$W$6*'Valve Sizing'!$G$8/AA1549)</f>
        <v>73.3918055182518</v>
      </c>
      <c r="AB1551" s="111"/>
      <c r="AC1551" s="28"/>
      <c r="AD1551" s="96">
        <f ca="1">(AD1544/(N_9*AD$27*AD1546*AD1550))*SQRT(M*'Valve Sizing'!$W$6*'Valve Sizing'!$G$8/AD1549)</f>
        <v>155.89032963265996</v>
      </c>
      <c r="AE1551" s="111"/>
      <c r="AF1551" s="28"/>
      <c r="AG1551" s="96">
        <f ca="1">(AG1544/(N_9*AG$27*AG1546*AG1550))*SQRT(M*'Valve Sizing'!$W$6*'Valve Sizing'!$G$8/AG1549)</f>
        <v>965.13094988084583</v>
      </c>
      <c r="AH1551" s="111"/>
      <c r="AI1551" s="28"/>
      <c r="AJ1551" s="96" t="e">
        <f ca="1">(AJ1544/(N_9*AJ$27*AJ1546*AJ1550))*SQRT(M*'Valve Sizing'!$W$6*'Valve Sizing'!$G$8/AJ1549)</f>
        <v>#NUM!</v>
      </c>
      <c r="AK1551" s="111"/>
      <c r="AL1551" s="28"/>
      <c r="AM1551" s="96" t="e">
        <f ca="1">(AM1544/(N_9*AM$27*AM1546*AM1550))*SQRT(M*'Valve Sizing'!$W$6*'Valve Sizing'!$G$8/AM1549)</f>
        <v>#NUM!</v>
      </c>
      <c r="AN1551" s="111"/>
      <c r="AO1551" s="28"/>
      <c r="AP1551" s="96">
        <f ca="1">(AP1544/(N_9*AP$27*AP1546*AP1550))*SQRT(M*'Valve Sizing'!$W$6*'Valve Sizing'!$G$8/AP1549)</f>
        <v>273.19567081249323</v>
      </c>
      <c r="AQ1551" s="111"/>
      <c r="AR1551" s="28"/>
      <c r="AS1551" s="96">
        <f ca="1">(AS1544/(N_9*AS$27*AS1546*AS1550))*SQRT(M*'Valve Sizing'!$W$6*'Valve Sizing'!$G$8/AS1549)</f>
        <v>395.37579350026243</v>
      </c>
      <c r="AT1551" s="111"/>
      <c r="AU1551" s="28"/>
    </row>
    <row r="1552" spans="15:47" x14ac:dyDescent="0.25">
      <c r="O1552" s="2" t="s">
        <v>59</v>
      </c>
      <c r="P1552" s="143">
        <v>7</v>
      </c>
      <c r="Q1552" s="2"/>
      <c r="R1552" s="96">
        <f ca="1">(R1544/(N_9*R$27*R1546*0.667))*SQRT(M*'Valve Sizing'!$W$6*'Valve Sizing'!$G$8/R1553)</f>
        <v>0.97777125787288266</v>
      </c>
      <c r="S1552" s="107"/>
      <c r="T1552" s="22"/>
      <c r="U1552" s="96">
        <f ca="1">(U1544/(N_9*U$27*U1546*0.667))*SQRT(M*'Valve Sizing'!$W$6*'Valve Sizing'!$G$8/U1553)</f>
        <v>12.434257068470552</v>
      </c>
      <c r="V1552" s="111"/>
      <c r="W1552" s="28"/>
      <c r="X1552" s="96">
        <f ca="1">(X1544/(N_9*X$27*X1546*0.667))*SQRT(M*'Valve Sizing'!$W$6*'Valve Sizing'!$G$8/X1553)</f>
        <v>31.031359439031519</v>
      </c>
      <c r="Y1552" s="111"/>
      <c r="Z1552" s="28"/>
      <c r="AA1552" s="96">
        <f ca="1">(AA1544/(N_9*AA$27*AA1546*0.667))*SQRT(M*'Valve Sizing'!$W$6*'Valve Sizing'!$G$8/AA1553)</f>
        <v>63.803904779120394</v>
      </c>
      <c r="AB1552" s="111"/>
      <c r="AC1552" s="28"/>
      <c r="AD1552" s="96">
        <f ca="1">(AD1544/(N_9*AD$27*AD1546*0.667))*SQRT(M*'Valve Sizing'!$W$6*'Valve Sizing'!$G$8/AD1553)</f>
        <v>122.77023002615533</v>
      </c>
      <c r="AE1552" s="111"/>
      <c r="AF1552" s="28"/>
      <c r="AG1552" s="96">
        <f ca="1">(AG1544/(N_9*AG$27*AG1546*0.667))*SQRT(M*'Valve Sizing'!$W$6*'Valve Sizing'!$G$8/AG1553)</f>
        <v>236.64201506688909</v>
      </c>
      <c r="AH1552" s="111"/>
      <c r="AI1552" s="28"/>
      <c r="AJ1552" s="96">
        <f ca="1">(AJ1544/(N_9*AJ$27*AJ1546*0.667))*SQRT(M*'Valve Sizing'!$W$6*'Valve Sizing'!$G$8/AJ1553)</f>
        <v>542.66415818236101</v>
      </c>
      <c r="AK1552" s="111"/>
      <c r="AL1552" s="28"/>
      <c r="AM1552" s="96">
        <f ca="1">(AM1544/(N_9*AM$27*AM1546*0.667))*SQRT(M*'Valve Sizing'!$W$6*'Valve Sizing'!$G$8/AM1553)</f>
        <v>2235.5018506404845</v>
      </c>
      <c r="AN1552" s="111"/>
      <c r="AO1552" s="28"/>
      <c r="AP1552" s="96">
        <f ca="1">(AP1544/(N_9*AP$27*AP1546*0.667))*SQRT(M*'Valve Sizing'!$W$6*'Valve Sizing'!$G$8/AP1553)</f>
        <v>-2349.0627207661428</v>
      </c>
      <c r="AQ1552" s="111"/>
      <c r="AR1552" s="28"/>
      <c r="AS1552" s="96">
        <f ca="1">(AS1544/(N_9*AS$27*AS1546*0.667))*SQRT(M*'Valve Sizing'!$W$6*'Valve Sizing'!$G$8/AS1553)</f>
        <v>-1235.0771243537997</v>
      </c>
      <c r="AT1552" s="111"/>
      <c r="AU1552" s="28"/>
    </row>
    <row r="1553" spans="15:47" ht="15.6" x14ac:dyDescent="0.35">
      <c r="O1553" s="2" t="s">
        <v>68</v>
      </c>
      <c r="P1553" s="143">
        <v>10</v>
      </c>
      <c r="Q1553" s="2"/>
      <c r="R1553" s="96">
        <f ca="1">F_GAMMA*R$29</f>
        <v>0.64002969751372984</v>
      </c>
      <c r="S1553" s="107"/>
      <c r="T1553" s="1"/>
      <c r="U1553" s="96">
        <f ca="1">F_GAMMA*U$29</f>
        <v>0.64017842058782071</v>
      </c>
      <c r="V1553" s="111"/>
      <c r="W1553" s="28"/>
      <c r="X1553" s="96">
        <f ca="1">F_GAMMA*X$29</f>
        <v>0.63413873724904268</v>
      </c>
      <c r="Y1553" s="111"/>
      <c r="Z1553" s="28"/>
      <c r="AA1553" s="96">
        <f ca="1">F_GAMMA*AA$29</f>
        <v>0.62532411750377137</v>
      </c>
      <c r="AB1553" s="111"/>
      <c r="AC1553" s="28"/>
      <c r="AD1553" s="96">
        <f ca="1">F_GAMMA*AD$29</f>
        <v>0.60651359509139569</v>
      </c>
      <c r="AE1553" s="111"/>
      <c r="AF1553" s="28"/>
      <c r="AG1553" s="96">
        <f ca="1">F_GAMMA*AG$29</f>
        <v>0.57217930198481592</v>
      </c>
      <c r="AH1553" s="111"/>
      <c r="AI1553" s="28"/>
      <c r="AJ1553" s="96">
        <f ca="1">F_GAMMA*AJ$29</f>
        <v>0.53183282018848232</v>
      </c>
      <c r="AK1553" s="111"/>
      <c r="AL1553" s="28"/>
      <c r="AM1553" s="96">
        <f ca="1">F_GAMMA*AM$29</f>
        <v>0.47566512503094399</v>
      </c>
      <c r="AN1553" s="111"/>
      <c r="AO1553" s="28"/>
      <c r="AP1553" s="96">
        <f ca="1">F_GAMMA*AP$29</f>
        <v>0.59054158265645496</v>
      </c>
      <c r="AQ1553" s="111"/>
      <c r="AR1553" s="28"/>
      <c r="AS1553" s="96">
        <f ca="1">F_GAMMA*AS$29</f>
        <v>0.3766899554102966</v>
      </c>
      <c r="AT1553" s="111"/>
      <c r="AU1553" s="28"/>
    </row>
    <row r="1554" spans="15:47" x14ac:dyDescent="0.25">
      <c r="O1554" s="2" t="s">
        <v>145</v>
      </c>
      <c r="P1554" s="12"/>
      <c r="Q1554" s="2"/>
      <c r="R1554" s="96">
        <f ca="1">IF(R1549&lt;R1553,R1551,R1552)</f>
        <v>1.0922550522088232</v>
      </c>
      <c r="S1554" s="116"/>
      <c r="T1554" s="1"/>
      <c r="U1554" s="96">
        <f ca="1">IF(U1549&lt;U1553,U1551,U1552)</f>
        <v>13.910061713492421</v>
      </c>
      <c r="V1554" s="111"/>
      <c r="W1554" s="28"/>
      <c r="X1554" s="96">
        <f ca="1">IF(X1549&lt;X1553,X1551,X1552)</f>
        <v>34.866140683686673</v>
      </c>
      <c r="Y1554" s="111"/>
      <c r="Z1554" s="28"/>
      <c r="AA1554" s="96">
        <f ca="1">IF(AA1549&lt;AA1553,AA1551,AA1552)</f>
        <v>73.3918055182518</v>
      </c>
      <c r="AB1554" s="111"/>
      <c r="AC1554" s="28"/>
      <c r="AD1554" s="96">
        <f ca="1">IF(AD1549&lt;AD1553,AD1551,AD1552)</f>
        <v>155.89032963265996</v>
      </c>
      <c r="AE1554" s="111"/>
      <c r="AF1554" s="28"/>
      <c r="AG1554" s="96">
        <f ca="1">IF(AG1549&lt;AG1553,AG1551,AG1552)</f>
        <v>965.13094988084583</v>
      </c>
      <c r="AH1554" s="111"/>
      <c r="AI1554" s="28"/>
      <c r="AJ1554" s="96" t="e">
        <f ca="1">IF(AJ1549&lt;AJ1553,AJ1551,AJ1552)</f>
        <v>#NUM!</v>
      </c>
      <c r="AK1554" s="111"/>
      <c r="AL1554" s="28"/>
      <c r="AM1554" s="96" t="e">
        <f ca="1">IF(AM1549&lt;AM1553,AM1551,AM1552)</f>
        <v>#NUM!</v>
      </c>
      <c r="AN1554" s="111"/>
      <c r="AO1554" s="28"/>
      <c r="AP1554" s="96">
        <f ca="1">IF(AP1549&lt;AP1553,AP1551,AP1552)</f>
        <v>-2349.0627207661428</v>
      </c>
      <c r="AQ1554" s="111"/>
      <c r="AR1554" s="28"/>
      <c r="AS1554" s="96">
        <f ca="1">IF(AS1549&lt;AS1553,AS1551,AS1552)</f>
        <v>-1235.0771243537997</v>
      </c>
      <c r="AT1554" s="111"/>
      <c r="AU1554" s="28"/>
    </row>
    <row r="1555" spans="15:47" x14ac:dyDescent="0.25">
      <c r="O1555" s="13" t="s">
        <v>143</v>
      </c>
      <c r="P1555" s="1"/>
      <c r="Q1555" s="1"/>
      <c r="R1555" s="113"/>
      <c r="S1555" s="106">
        <f ca="1">IF(R1548&lt;=0,Q_max,ABS(R$23-R1554))</f>
        <v>3.6377449477911772</v>
      </c>
      <c r="T1555" s="7">
        <f>R1544</f>
        <v>2704.6135147839514</v>
      </c>
      <c r="U1555" s="98"/>
      <c r="V1555" s="106">
        <f ca="1">IF(U1548&lt;=0,Q_max,ABS(U$23-U1554))</f>
        <v>2.3100617134924217</v>
      </c>
      <c r="W1555" s="9">
        <f ca="1">U1544</f>
        <v>34294.643509271824</v>
      </c>
      <c r="X1555" s="98"/>
      <c r="Y1555" s="106">
        <f ca="1">IF(X1548&lt;=0,Q_max,ABS(X$23-X1554))</f>
        <v>11.866140683686673</v>
      </c>
      <c r="Z1555" s="9">
        <f ca="1">X1544</f>
        <v>83974.984662224451</v>
      </c>
      <c r="AA1555" s="98"/>
      <c r="AB1555" s="106">
        <f ca="1">IF(AA1548&lt;=0,Q_max,ABS(AA$23-AA1554))</f>
        <v>33.991805518251802</v>
      </c>
      <c r="AC1555" s="9">
        <f ca="1">AA1544</f>
        <v>163561.8358923425</v>
      </c>
      <c r="AD1555" s="98"/>
      <c r="AE1555" s="106">
        <f ca="1">IF(AD1548&lt;=0,Q_max,ABS(AD$23-AD1554))</f>
        <v>94.890329632659956</v>
      </c>
      <c r="AF1555" s="9">
        <f ca="1">AD1544</f>
        <v>274405.88005072327</v>
      </c>
      <c r="AG1555" s="98"/>
      <c r="AH1555" s="106">
        <f ca="1">IF(AG1548&lt;=0,Q_max,ABS(AG$23-AG1554))</f>
        <v>876.93094988084579</v>
      </c>
      <c r="AI1555" s="9">
        <f ca="1">AG1544</f>
        <v>400502.85569148249</v>
      </c>
      <c r="AJ1555" s="98"/>
      <c r="AK1555" s="106">
        <f ca="1">IF(AJ1548&lt;=0,Q_max,ABS(AJ$23-AJ1554))</f>
        <v>236393</v>
      </c>
      <c r="AL1555" s="9">
        <f ca="1">AJ1544</f>
        <v>534472.61349653068</v>
      </c>
      <c r="AM1555" s="98"/>
      <c r="AN1555" s="106">
        <f ca="1">IF(AM1548&lt;=0,Q_max,ABS(AM$23-AM1554))</f>
        <v>236393</v>
      </c>
      <c r="AO1555" s="9">
        <f ca="1">AM1544</f>
        <v>652158.15961342619</v>
      </c>
      <c r="AP1555" s="98"/>
      <c r="AQ1555" s="106">
        <f ca="1">IF(AP1548&lt;=0,Q_max,ABS(AP$23-AP1554))</f>
        <v>236393</v>
      </c>
      <c r="AR1555" s="9">
        <f ca="1">AP1544</f>
        <v>757135.37730242021</v>
      </c>
      <c r="AS1555" s="98"/>
      <c r="AT1555" s="106">
        <f ca="1">IF(AS1548&lt;=0,Q_max,ABS(AS$23-AS1554))</f>
        <v>236393</v>
      </c>
      <c r="AU1555" s="9">
        <f ca="1">AS1544</f>
        <v>887800.77474106511</v>
      </c>
    </row>
    <row r="1556" spans="15:47" x14ac:dyDescent="0.25">
      <c r="O1556" s="21"/>
      <c r="P1556" s="14"/>
      <c r="Q1556" s="21"/>
      <c r="R1556" s="97"/>
      <c r="S1556" s="106"/>
      <c r="T1556" s="28"/>
      <c r="U1556" s="97"/>
      <c r="V1556" s="111"/>
      <c r="W1556" s="28"/>
      <c r="X1556" s="97"/>
      <c r="Y1556" s="111"/>
      <c r="Z1556" s="28"/>
      <c r="AA1556" s="97"/>
      <c r="AB1556" s="111"/>
      <c r="AC1556" s="28"/>
      <c r="AD1556" s="97"/>
      <c r="AE1556" s="111"/>
      <c r="AF1556" s="28"/>
      <c r="AG1556" s="97"/>
      <c r="AH1556" s="111"/>
      <c r="AI1556" s="28"/>
      <c r="AJ1556" s="97"/>
      <c r="AK1556" s="111"/>
      <c r="AL1556" s="28"/>
      <c r="AM1556" s="97"/>
      <c r="AN1556" s="111"/>
      <c r="AO1556" s="28"/>
      <c r="AP1556" s="97"/>
      <c r="AQ1556" s="111"/>
      <c r="AR1556" s="28"/>
      <c r="AS1556" s="97"/>
      <c r="AT1556" s="111"/>
      <c r="AU1556" s="28"/>
    </row>
    <row r="1557" spans="15:47" x14ac:dyDescent="0.25">
      <c r="O1557" s="1"/>
      <c r="P1557" s="1"/>
      <c r="Q1557" s="1"/>
      <c r="R1557" s="98"/>
      <c r="S1557" s="108" t="s">
        <v>137</v>
      </c>
      <c r="T1557" s="26" t="s">
        <v>146</v>
      </c>
      <c r="U1557" s="98"/>
      <c r="V1557" s="108" t="s">
        <v>137</v>
      </c>
      <c r="W1557" s="26" t="s">
        <v>146</v>
      </c>
      <c r="X1557" s="98"/>
      <c r="Y1557" s="108" t="s">
        <v>137</v>
      </c>
      <c r="Z1557" s="26" t="s">
        <v>146</v>
      </c>
      <c r="AA1557" s="98"/>
      <c r="AB1557" s="108" t="s">
        <v>137</v>
      </c>
      <c r="AC1557" s="26" t="s">
        <v>146</v>
      </c>
      <c r="AD1557" s="98"/>
      <c r="AE1557" s="108" t="s">
        <v>137</v>
      </c>
      <c r="AF1557" s="26" t="s">
        <v>146</v>
      </c>
      <c r="AG1557" s="98"/>
      <c r="AH1557" s="108" t="s">
        <v>137</v>
      </c>
      <c r="AI1557" s="26" t="s">
        <v>146</v>
      </c>
      <c r="AJ1557" s="98"/>
      <c r="AK1557" s="108" t="s">
        <v>137</v>
      </c>
      <c r="AL1557" s="26" t="s">
        <v>146</v>
      </c>
      <c r="AM1557" s="98"/>
      <c r="AN1557" s="108" t="s">
        <v>137</v>
      </c>
      <c r="AO1557" s="26" t="s">
        <v>146</v>
      </c>
      <c r="AP1557" s="98"/>
      <c r="AQ1557" s="108" t="s">
        <v>137</v>
      </c>
      <c r="AR1557" s="26" t="s">
        <v>146</v>
      </c>
      <c r="AS1557" s="98"/>
      <c r="AT1557" s="108" t="s">
        <v>137</v>
      </c>
      <c r="AU1557" s="26" t="s">
        <v>146</v>
      </c>
    </row>
    <row r="1558" spans="15:47" ht="13.8" x14ac:dyDescent="0.25">
      <c r="O1558" s="20" t="s">
        <v>136</v>
      </c>
      <c r="P1558" s="1"/>
      <c r="Q1558" s="1"/>
      <c r="R1558" s="96">
        <f>R1544*1.02</f>
        <v>2758.7057850796305</v>
      </c>
      <c r="S1558" s="109" t="s">
        <v>144</v>
      </c>
      <c r="T1558" s="23" t="s">
        <v>147</v>
      </c>
      <c r="U1558" s="96">
        <f ca="1">U1544*1.01</f>
        <v>34637.589944364539</v>
      </c>
      <c r="V1558" s="109" t="s">
        <v>144</v>
      </c>
      <c r="W1558" s="23" t="s">
        <v>147</v>
      </c>
      <c r="X1558" s="96">
        <f ca="1">X1544*1.01</f>
        <v>84814.734508846697</v>
      </c>
      <c r="Y1558" s="109" t="s">
        <v>144</v>
      </c>
      <c r="Z1558" s="23" t="s">
        <v>147</v>
      </c>
      <c r="AA1558" s="96">
        <f ca="1">AA1544*1.01</f>
        <v>165197.45425126591</v>
      </c>
      <c r="AB1558" s="109" t="s">
        <v>144</v>
      </c>
      <c r="AC1558" s="23" t="s">
        <v>147</v>
      </c>
      <c r="AD1558" s="96">
        <f ca="1">AD1544*1.01</f>
        <v>277149.93885123049</v>
      </c>
      <c r="AE1558" s="109" t="s">
        <v>144</v>
      </c>
      <c r="AF1558" s="23" t="s">
        <v>147</v>
      </c>
      <c r="AG1558" s="96">
        <f ca="1">AG1544*1.01</f>
        <v>404507.88424839731</v>
      </c>
      <c r="AH1558" s="109" t="s">
        <v>144</v>
      </c>
      <c r="AI1558" s="23" t="s">
        <v>147</v>
      </c>
      <c r="AJ1558" s="96">
        <f ca="1">AJ1544*1.01</f>
        <v>539817.339631496</v>
      </c>
      <c r="AK1558" s="109" t="s">
        <v>144</v>
      </c>
      <c r="AL1558" s="23" t="s">
        <v>147</v>
      </c>
      <c r="AM1558" s="96">
        <f ca="1">AM1544*1.01</f>
        <v>658679.74120956042</v>
      </c>
      <c r="AN1558" s="109" t="s">
        <v>144</v>
      </c>
      <c r="AO1558" s="23" t="s">
        <v>147</v>
      </c>
      <c r="AP1558" s="96">
        <f ca="1">AP1544*1.01</f>
        <v>764706.73107544438</v>
      </c>
      <c r="AQ1558" s="109" t="s">
        <v>144</v>
      </c>
      <c r="AR1558" s="23" t="s">
        <v>147</v>
      </c>
      <c r="AS1558" s="96">
        <f ca="1">AS1544*1.01</f>
        <v>896678.78248847579</v>
      </c>
      <c r="AT1558" s="109" t="s">
        <v>144</v>
      </c>
      <c r="AU1558" s="23" t="s">
        <v>147</v>
      </c>
    </row>
    <row r="1559" spans="15:47" x14ac:dyDescent="0.25">
      <c r="O1559" s="1"/>
      <c r="P1559" s="1"/>
      <c r="Q1559" s="1"/>
      <c r="R1559" s="98"/>
      <c r="S1559" s="107"/>
      <c r="T1559" s="1"/>
      <c r="U1559" s="47"/>
      <c r="V1559" s="107"/>
      <c r="W1559" s="1"/>
      <c r="X1559" s="47"/>
      <c r="Y1559" s="107"/>
      <c r="Z1559" s="1"/>
      <c r="AA1559" s="47"/>
      <c r="AB1559" s="107"/>
      <c r="AC1559" s="1"/>
      <c r="AD1559" s="47"/>
      <c r="AE1559" s="107"/>
      <c r="AF1559" s="1"/>
      <c r="AG1559" s="47"/>
      <c r="AH1559" s="107"/>
      <c r="AI1559" s="1"/>
      <c r="AJ1559" s="47"/>
      <c r="AK1559" s="107"/>
      <c r="AL1559" s="1"/>
      <c r="AM1559" s="47"/>
      <c r="AN1559" s="107"/>
      <c r="AO1559" s="1"/>
      <c r="AP1559" s="47"/>
      <c r="AQ1559" s="107"/>
      <c r="AR1559" s="1"/>
      <c r="AS1559" s="47"/>
      <c r="AT1559" s="107"/>
      <c r="AU1559" s="1"/>
    </row>
    <row r="1560" spans="15:47" x14ac:dyDescent="0.25">
      <c r="O1560" s="8" t="s">
        <v>132</v>
      </c>
      <c r="P1560" s="8"/>
      <c r="Q1560" s="8"/>
      <c r="R1560" s="96">
        <f>P_1_minQ-(R1558^2*R_up)+dpup_minQ</f>
        <v>90.183653441317148</v>
      </c>
      <c r="S1560" s="106"/>
      <c r="T1560" s="22"/>
      <c r="U1560" s="96">
        <f ca="1">P_1_minQ-(U1558^2*R_up)+dpup_minQ</f>
        <v>89.966370698782853</v>
      </c>
      <c r="V1560" s="107"/>
      <c r="W1560" s="1"/>
      <c r="X1560" s="96">
        <f ca="1">P_1_minQ-(X1558^2*R_up)+dpup_minQ</f>
        <v>88.873939522760722</v>
      </c>
      <c r="Y1560" s="107"/>
      <c r="Z1560" s="1"/>
      <c r="AA1560" s="96">
        <f ca="1">P_1_minQ-(AA1558^2*R_up)+dpup_minQ</f>
        <v>85.211104013504851</v>
      </c>
      <c r="AB1560" s="107"/>
      <c r="AC1560" s="1"/>
      <c r="AD1560" s="96">
        <f ca="1">P_1_minQ-(AD1558^2*R_up)+dpup_minQ</f>
        <v>76.185199269805494</v>
      </c>
      <c r="AE1560" s="107"/>
      <c r="AF1560" s="1"/>
      <c r="AG1560" s="96">
        <f ca="1">P_1_minQ-(AG1558^2*R_up)+dpup_minQ</f>
        <v>60.362302137825495</v>
      </c>
      <c r="AH1560" s="107"/>
      <c r="AI1560" s="1"/>
      <c r="AJ1560" s="96">
        <f ca="1">P_1_minQ-(AJ1558^2*R_up)+dpup_minQ</f>
        <v>37.073707935737126</v>
      </c>
      <c r="AK1560" s="107"/>
      <c r="AL1560" s="1"/>
      <c r="AM1560" s="96">
        <f ca="1">P_1_minQ-(AM1558^2*R_up)+dpup_minQ</f>
        <v>11.109503587735047</v>
      </c>
      <c r="AN1560" s="107"/>
      <c r="AO1560" s="1"/>
      <c r="AP1560" s="96">
        <f ca="1">P_1_minQ-(AP1558^2*R_up)+dpup_minQ</f>
        <v>-16.396836167087827</v>
      </c>
      <c r="AQ1560" s="107"/>
      <c r="AR1560" s="1"/>
      <c r="AS1560" s="96">
        <f ca="1">P_1_minQ-(AS1558^2*R_up)+dpup_minQ</f>
        <v>-56.358717335107485</v>
      </c>
      <c r="AT1560" s="107"/>
      <c r="AU1560" s="1"/>
    </row>
    <row r="1561" spans="15:47" x14ac:dyDescent="0.25">
      <c r="O1561" s="8" t="s">
        <v>134</v>
      </c>
      <c r="P1561" s="1"/>
      <c r="Q1561" s="8"/>
      <c r="R1561" s="97">
        <f>P_2_minQ+(R1558^2*R_dn)-dpdn_minQ</f>
        <v>60</v>
      </c>
      <c r="S1561" s="106"/>
      <c r="T1561" s="22"/>
      <c r="U1561" s="97">
        <f ca="1">P_2_minQ+(U1558^2*R_dn)-dpdn_minQ</f>
        <v>60</v>
      </c>
      <c r="V1561" s="107"/>
      <c r="W1561" s="1"/>
      <c r="X1561" s="97">
        <f ca="1">P_2_minQ+(X1558^2*R_dn)-dpdn_minQ</f>
        <v>60</v>
      </c>
      <c r="Y1561" s="107"/>
      <c r="Z1561" s="1"/>
      <c r="AA1561" s="97">
        <f ca="1">P_2_minQ+(AA1558^2*R_dn)-dpdn_minQ</f>
        <v>60</v>
      </c>
      <c r="AB1561" s="107"/>
      <c r="AC1561" s="1"/>
      <c r="AD1561" s="97">
        <f ca="1">P_2_minQ+(AD1558^2*R_dn)-dpdn_minQ</f>
        <v>60</v>
      </c>
      <c r="AE1561" s="107"/>
      <c r="AF1561" s="1"/>
      <c r="AG1561" s="97">
        <f ca="1">P_2_minQ+(AG1558^2*R_dn)-dpdn_minQ</f>
        <v>60</v>
      </c>
      <c r="AH1561" s="107"/>
      <c r="AI1561" s="1"/>
      <c r="AJ1561" s="97">
        <f ca="1">P_2_minQ+(AJ1558^2*R_dn)-dpdn_minQ</f>
        <v>60</v>
      </c>
      <c r="AK1561" s="107"/>
      <c r="AL1561" s="1"/>
      <c r="AM1561" s="97">
        <f ca="1">P_2_minQ+(AM1558^2*R_dn)-dpdn_minQ</f>
        <v>60</v>
      </c>
      <c r="AN1561" s="107"/>
      <c r="AO1561" s="1"/>
      <c r="AP1561" s="97">
        <f ca="1">P_2_minQ+(AP1558^2*R_dn)-dpdn_minQ</f>
        <v>60</v>
      </c>
      <c r="AQ1561" s="107"/>
      <c r="AR1561" s="1"/>
      <c r="AS1561" s="97">
        <f ca="1">P_2_minQ+(AS1558^2*R_dn)-dpdn_minQ</f>
        <v>60</v>
      </c>
      <c r="AT1561" s="107"/>
      <c r="AU1561" s="1"/>
    </row>
    <row r="1562" spans="15:47" x14ac:dyDescent="0.25">
      <c r="O1562" s="8" t="s">
        <v>138</v>
      </c>
      <c r="P1562" s="1"/>
      <c r="Q1562" s="8"/>
      <c r="R1562" s="97">
        <f>R1560-R1561</f>
        <v>30.183653441317148</v>
      </c>
      <c r="S1562" s="106"/>
      <c r="T1562" s="22"/>
      <c r="U1562" s="97">
        <f ca="1">U1560-U1561</f>
        <v>29.966370698782853</v>
      </c>
      <c r="V1562" s="110"/>
      <c r="W1562" s="25"/>
      <c r="X1562" s="97">
        <f ca="1">X1560-X1561</f>
        <v>28.873939522760722</v>
      </c>
      <c r="Y1562" s="110"/>
      <c r="Z1562" s="25"/>
      <c r="AA1562" s="97">
        <f ca="1">AA1560-AA1561</f>
        <v>25.211104013504851</v>
      </c>
      <c r="AB1562" s="110"/>
      <c r="AC1562" s="25"/>
      <c r="AD1562" s="97">
        <f ca="1">AD1560-AD1561</f>
        <v>16.185199269805494</v>
      </c>
      <c r="AE1562" s="110"/>
      <c r="AF1562" s="25"/>
      <c r="AG1562" s="97">
        <f ca="1">AG1560-AG1561</f>
        <v>0.3623021378254947</v>
      </c>
      <c r="AH1562" s="110"/>
      <c r="AI1562" s="25"/>
      <c r="AJ1562" s="97">
        <f ca="1">AJ1560-AJ1561</f>
        <v>-22.926292064262874</v>
      </c>
      <c r="AK1562" s="110"/>
      <c r="AL1562" s="25"/>
      <c r="AM1562" s="97">
        <f ca="1">AM1560-AM1561</f>
        <v>-48.890496412264952</v>
      </c>
      <c r="AN1562" s="110"/>
      <c r="AO1562" s="25"/>
      <c r="AP1562" s="97">
        <f ca="1">AP1560-AP1561</f>
        <v>-76.396836167087827</v>
      </c>
      <c r="AQ1562" s="110"/>
      <c r="AR1562" s="25"/>
      <c r="AS1562" s="97">
        <f ca="1">AS1560-AS1561</f>
        <v>-116.35871733510749</v>
      </c>
      <c r="AT1562" s="110"/>
      <c r="AU1562" s="25"/>
    </row>
    <row r="1563" spans="15:47" ht="14.4" x14ac:dyDescent="0.3">
      <c r="O1563" s="2" t="s">
        <v>140</v>
      </c>
      <c r="P1563" s="11"/>
      <c r="Q1563" s="2"/>
      <c r="R1563" s="96">
        <f>R1562/R1560</f>
        <v>0.33469095883277528</v>
      </c>
      <c r="S1563" s="106"/>
      <c r="T1563" s="22"/>
      <c r="U1563" s="96">
        <f ca="1">U1562/U1560</f>
        <v>0.33308413428294786</v>
      </c>
      <c r="V1563" s="111"/>
      <c r="W1563" s="28"/>
      <c r="X1563" s="96">
        <f ca="1">X1562/X1560</f>
        <v>0.32488645915562314</v>
      </c>
      <c r="Y1563" s="111"/>
      <c r="Z1563" s="28"/>
      <c r="AA1563" s="96">
        <f ca="1">AA1562/AA1560</f>
        <v>0.29586641677015729</v>
      </c>
      <c r="AB1563" s="111"/>
      <c r="AC1563" s="28"/>
      <c r="AD1563" s="96">
        <f ca="1">AD1562/AD1560</f>
        <v>0.21244545429994274</v>
      </c>
      <c r="AE1563" s="111"/>
      <c r="AF1563" s="28"/>
      <c r="AG1563" s="96">
        <f ca="1">AG1562/AG1560</f>
        <v>6.0021259129290454E-3</v>
      </c>
      <c r="AH1563" s="111"/>
      <c r="AI1563" s="28"/>
      <c r="AJ1563" s="96">
        <f ca="1">AJ1562/AJ1560</f>
        <v>-0.61839760144852196</v>
      </c>
      <c r="AK1563" s="111"/>
      <c r="AL1563" s="28"/>
      <c r="AM1563" s="96">
        <f ca="1">AM1562/AM1560</f>
        <v>-4.4007813694070297</v>
      </c>
      <c r="AN1563" s="111"/>
      <c r="AO1563" s="28"/>
      <c r="AP1563" s="96">
        <f ca="1">AP1562/AP1560</f>
        <v>4.6592425141402352</v>
      </c>
      <c r="AQ1563" s="111"/>
      <c r="AR1563" s="28"/>
      <c r="AS1563" s="96">
        <f ca="1">AS1562/AS1560</f>
        <v>2.0646090407494824</v>
      </c>
      <c r="AT1563" s="111"/>
      <c r="AU1563" s="28"/>
    </row>
    <row r="1564" spans="15:47" x14ac:dyDescent="0.25">
      <c r="O1564" s="2" t="s">
        <v>21</v>
      </c>
      <c r="P1564" s="8">
        <v>12</v>
      </c>
      <c r="Q1564" s="2"/>
      <c r="R1564" s="96">
        <f ca="1">1-R1563/(3*F_GAMMA*R$29)</f>
        <v>0.82568988067641158</v>
      </c>
      <c r="S1564" s="106"/>
      <c r="T1564" s="22"/>
      <c r="U1564" s="96">
        <f ca="1">1-U1563/(3*F_GAMMA*U$29)</f>
        <v>0.826567030080403</v>
      </c>
      <c r="V1564" s="111"/>
      <c r="W1564" s="28"/>
      <c r="X1564" s="96">
        <f ca="1">1-X1563/(3*F_GAMMA*X$29)</f>
        <v>0.8292243005765515</v>
      </c>
      <c r="Y1564" s="111"/>
      <c r="Z1564" s="28"/>
      <c r="AA1564" s="96">
        <f ca="1">1-AA1563/(3*F_GAMMA*AA$29)</f>
        <v>0.84228636612150021</v>
      </c>
      <c r="AB1564" s="111"/>
      <c r="AC1564" s="28"/>
      <c r="AD1564" s="96">
        <f ca="1">1-AD1563/(3*F_GAMMA*AD$29)</f>
        <v>0.88324226858815402</v>
      </c>
      <c r="AE1564" s="111"/>
      <c r="AF1564" s="28"/>
      <c r="AG1564" s="96">
        <f ca="1">1-AG1563/(3*F_GAMMA*AG$29)</f>
        <v>0.99650335370275922</v>
      </c>
      <c r="AH1564" s="111"/>
      <c r="AI1564" s="28"/>
      <c r="AJ1564" s="96">
        <f ca="1">1-AJ1563/(3*F_GAMMA*AJ$29)</f>
        <v>1.3875889677946547</v>
      </c>
      <c r="AK1564" s="111"/>
      <c r="AL1564" s="28"/>
      <c r="AM1564" s="96">
        <f ca="1">1-AM1563/(3*F_GAMMA*AM$29)</f>
        <v>4.0839492868859093</v>
      </c>
      <c r="AN1564" s="111"/>
      <c r="AO1564" s="28"/>
      <c r="AP1564" s="96">
        <f ca="1">1-AP1563/(3*F_GAMMA*AP$29)</f>
        <v>-1.6299262975868092</v>
      </c>
      <c r="AQ1564" s="111"/>
      <c r="AR1564" s="28"/>
      <c r="AS1564" s="96">
        <f ca="1">1-AS1563/(3*F_GAMMA*AS$29)</f>
        <v>-0.8269746875346311</v>
      </c>
      <c r="AT1564" s="111"/>
      <c r="AU1564" s="28"/>
    </row>
    <row r="1565" spans="15:47" x14ac:dyDescent="0.25">
      <c r="O1565" s="2" t="s">
        <v>57</v>
      </c>
      <c r="P1565" s="143">
        <v>7</v>
      </c>
      <c r="Q1565" s="2"/>
      <c r="R1565" s="96">
        <f ca="1">(R1558/(N_9*R$27*R1560*R1564))*SQRT(M*'Valve Sizing'!$W$6*'Valve Sizing'!$G$8/R1563)</f>
        <v>1.1141012007677074</v>
      </c>
      <c r="S1565" s="107"/>
      <c r="T1565" s="22"/>
      <c r="U1565" s="96">
        <f ca="1">(U1558/(N_9*U$27*U1560*U1564))*SQRT(M*'Valve Sizing'!$W$6*'Valve Sizing'!$G$8/U1563)</f>
        <v>14.050226065698981</v>
      </c>
      <c r="V1565" s="111"/>
      <c r="W1565" s="28"/>
      <c r="X1565" s="96">
        <f ca="1">(X1558/(N_9*X$27*X1560*X1564))*SQRT(M*'Valve Sizing'!$W$6*'Valve Sizing'!$G$8/X1563)</f>
        <v>35.231290179620217</v>
      </c>
      <c r="Y1565" s="111"/>
      <c r="Z1565" s="28"/>
      <c r="AA1565" s="96">
        <f ca="1">(AA1558/(N_9*AA$27*AA1560*AA1564))*SQRT(M*'Valve Sizing'!$W$6*'Valve Sizing'!$G$8/AA1563)</f>
        <v>74.274317274010741</v>
      </c>
      <c r="AB1565" s="111"/>
      <c r="AC1565" s="28"/>
      <c r="AD1565" s="96">
        <f ca="1">(AD1558/(N_9*AD$27*AD1560*AD1564))*SQRT(M*'Valve Sizing'!$W$6*'Valve Sizing'!$G$8/AD1563)</f>
        <v>158.79127628310005</v>
      </c>
      <c r="AE1565" s="111"/>
      <c r="AF1565" s="28"/>
      <c r="AG1565" s="96">
        <f ca="1">(AG1558/(N_9*AG$27*AG1560*AG1564))*SQRT(M*'Valve Sizing'!$W$6*'Valve Sizing'!$G$8/AG1563)</f>
        <v>1577.179850764822</v>
      </c>
      <c r="AH1565" s="111"/>
      <c r="AI1565" s="28"/>
      <c r="AJ1565" s="96" t="e">
        <f ca="1">(AJ1558/(N_9*AJ$27*AJ1560*AJ1564))*SQRT(M*'Valve Sizing'!$W$6*'Valve Sizing'!$G$8/AJ1563)</f>
        <v>#NUM!</v>
      </c>
      <c r="AK1565" s="111"/>
      <c r="AL1565" s="28"/>
      <c r="AM1565" s="96" t="e">
        <f ca="1">(AM1558/(N_9*AM$27*AM1560*AM1564))*SQRT(M*'Valve Sizing'!$W$6*'Valve Sizing'!$G$8/AM1563)</f>
        <v>#NUM!</v>
      </c>
      <c r="AN1565" s="111"/>
      <c r="AO1565" s="28"/>
      <c r="AP1565" s="96">
        <f ca="1">(AP1558/(N_9*AP$27*AP1560*AP1564))*SQRT(M*'Valve Sizing'!$W$6*'Valve Sizing'!$G$8/AP1563)</f>
        <v>301.38301128989588</v>
      </c>
      <c r="AQ1565" s="111"/>
      <c r="AR1565" s="28"/>
      <c r="AS1565" s="96">
        <f ca="1">(AS1558/(N_9*AS$27*AS1560*AS1564))*SQRT(M*'Valve Sizing'!$W$6*'Valve Sizing'!$G$8/AS1563)</f>
        <v>407.7380305281086</v>
      </c>
      <c r="AT1565" s="111"/>
      <c r="AU1565" s="28"/>
    </row>
    <row r="1566" spans="15:47" x14ac:dyDescent="0.25">
      <c r="O1566" s="2" t="s">
        <v>59</v>
      </c>
      <c r="P1566" s="143">
        <v>7</v>
      </c>
      <c r="Q1566" s="2"/>
      <c r="R1566" s="96">
        <f ca="1">(R1558/(N_9*R$27*R1560*0.667))*SQRT(M*'Valve Sizing'!$W$6*'Valve Sizing'!$G$8/R1567)</f>
        <v>0.9973272786855486</v>
      </c>
      <c r="S1566" s="107"/>
      <c r="T1566" s="22"/>
      <c r="U1566" s="96">
        <f ca="1">(U1558/(N_9*U$27*U1560*0.667))*SQRT(M*'Valve Sizing'!$W$6*'Valve Sizing'!$G$8/U1567)</f>
        <v>12.559201094231407</v>
      </c>
      <c r="V1566" s="111"/>
      <c r="W1566" s="28"/>
      <c r="X1566" s="96">
        <f ca="1">(X1558/(N_9*X$27*X1560*0.667))*SQRT(M*'Valve Sizing'!$W$6*'Valve Sizing'!$G$8/X1567)</f>
        <v>31.350783428376726</v>
      </c>
      <c r="Y1566" s="111"/>
      <c r="Z1566" s="28"/>
      <c r="AA1566" s="96">
        <f ca="1">(AA1558/(N_9*AA$27*AA1560*0.667))*SQRT(M*'Valve Sizing'!$W$6*'Valve Sizing'!$G$8/AA1567)</f>
        <v>64.516062218736209</v>
      </c>
      <c r="AB1566" s="111"/>
      <c r="AC1566" s="28"/>
      <c r="AD1566" s="96">
        <f ca="1">(AD1558/(N_9*AD$27*AD1560*0.667))*SQRT(M*'Valve Sizing'!$W$6*'Valve Sizing'!$G$8/AD1567)</f>
        <v>124.44690535974121</v>
      </c>
      <c r="AE1566" s="111"/>
      <c r="AF1566" s="28"/>
      <c r="AG1566" s="96">
        <f ca="1">(AG1558/(N_9*AG$27*AG1560*0.667))*SQRT(M*'Valve Sizing'!$W$6*'Valve Sizing'!$G$8/AG1567)</f>
        <v>241.33517739493527</v>
      </c>
      <c r="AH1566" s="111"/>
      <c r="AI1566" s="28"/>
      <c r="AJ1566" s="96">
        <f ca="1">(AJ1558/(N_9*AJ$27*AJ1560*0.667))*SQRT(M*'Valve Sizing'!$W$6*'Valve Sizing'!$G$8/AJ1567)</f>
        <v>563.56210647663988</v>
      </c>
      <c r="AK1566" s="111"/>
      <c r="AL1566" s="28"/>
      <c r="AM1566" s="96">
        <f ca="1">(AM1558/(N_9*AM$27*AM1560*0.667))*SQRT(M*'Valve Sizing'!$W$6*'Valve Sizing'!$G$8/AM1567)</f>
        <v>2574.5197900491885</v>
      </c>
      <c r="AN1566" s="111"/>
      <c r="AO1566" s="28"/>
      <c r="AP1566" s="96">
        <f ca="1">(AP1558/(N_9*AP$27*AP1560*0.667))*SQRT(M*'Valve Sizing'!$W$6*'Valve Sizing'!$G$8/AP1567)</f>
        <v>-2068.6800060858945</v>
      </c>
      <c r="AQ1566" s="111"/>
      <c r="AR1566" s="28"/>
      <c r="AS1566" s="96">
        <f ca="1">(AS1558/(N_9*AS$27*AS1560*0.667))*SQRT(M*'Valve Sizing'!$W$6*'Valve Sizing'!$G$8/AS1567)</f>
        <v>-1183.516987968992</v>
      </c>
      <c r="AT1566" s="111"/>
      <c r="AU1566" s="28"/>
    </row>
    <row r="1567" spans="15:47" ht="15.6" x14ac:dyDescent="0.35">
      <c r="O1567" s="2" t="s">
        <v>68</v>
      </c>
      <c r="P1567" s="143">
        <v>10</v>
      </c>
      <c r="Q1567" s="2"/>
      <c r="R1567" s="96">
        <f ca="1">F_GAMMA*R$29</f>
        <v>0.64002969751372984</v>
      </c>
      <c r="S1567" s="107"/>
      <c r="T1567" s="1"/>
      <c r="U1567" s="96">
        <f ca="1">F_GAMMA*U$29</f>
        <v>0.64017842058782071</v>
      </c>
      <c r="V1567" s="111"/>
      <c r="W1567" s="28"/>
      <c r="X1567" s="96">
        <f ca="1">F_GAMMA*X$29</f>
        <v>0.63413873724904268</v>
      </c>
      <c r="Y1567" s="111"/>
      <c r="Z1567" s="28"/>
      <c r="AA1567" s="96">
        <f ca="1">F_GAMMA*AA$29</f>
        <v>0.62532411750377137</v>
      </c>
      <c r="AB1567" s="111"/>
      <c r="AC1567" s="28"/>
      <c r="AD1567" s="96">
        <f ca="1">F_GAMMA*AD$29</f>
        <v>0.60651359509139569</v>
      </c>
      <c r="AE1567" s="111"/>
      <c r="AF1567" s="28"/>
      <c r="AG1567" s="96">
        <f ca="1">F_GAMMA*AG$29</f>
        <v>0.57217930198481592</v>
      </c>
      <c r="AH1567" s="111"/>
      <c r="AI1567" s="28"/>
      <c r="AJ1567" s="96">
        <f ca="1">F_GAMMA*AJ$29</f>
        <v>0.53183282018848232</v>
      </c>
      <c r="AK1567" s="111"/>
      <c r="AL1567" s="28"/>
      <c r="AM1567" s="96">
        <f ca="1">F_GAMMA*AM$29</f>
        <v>0.47566512503094399</v>
      </c>
      <c r="AN1567" s="111"/>
      <c r="AO1567" s="28"/>
      <c r="AP1567" s="96">
        <f ca="1">F_GAMMA*AP$29</f>
        <v>0.59054158265645496</v>
      </c>
      <c r="AQ1567" s="111"/>
      <c r="AR1567" s="28"/>
      <c r="AS1567" s="96">
        <f ca="1">F_GAMMA*AS$29</f>
        <v>0.3766899554102966</v>
      </c>
      <c r="AT1567" s="111"/>
      <c r="AU1567" s="28"/>
    </row>
    <row r="1568" spans="15:47" x14ac:dyDescent="0.25">
      <c r="O1568" s="2" t="s">
        <v>145</v>
      </c>
      <c r="P1568" s="12"/>
      <c r="Q1568" s="2"/>
      <c r="R1568" s="96">
        <f ca="1">IF(R1563&lt;R1567,R1565,R1566)</f>
        <v>1.1141012007677074</v>
      </c>
      <c r="S1568" s="116"/>
      <c r="T1568" s="1"/>
      <c r="U1568" s="96">
        <f ca="1">IF(U1563&lt;U1567,U1565,U1566)</f>
        <v>14.050226065698981</v>
      </c>
      <c r="V1568" s="111"/>
      <c r="W1568" s="28"/>
      <c r="X1568" s="96">
        <f ca="1">IF(X1563&lt;X1567,X1565,X1566)</f>
        <v>35.231290179620217</v>
      </c>
      <c r="Y1568" s="111"/>
      <c r="Z1568" s="28"/>
      <c r="AA1568" s="96">
        <f ca="1">IF(AA1563&lt;AA1567,AA1565,AA1566)</f>
        <v>74.274317274010741</v>
      </c>
      <c r="AB1568" s="111"/>
      <c r="AC1568" s="28"/>
      <c r="AD1568" s="96">
        <f ca="1">IF(AD1563&lt;AD1567,AD1565,AD1566)</f>
        <v>158.79127628310005</v>
      </c>
      <c r="AE1568" s="111"/>
      <c r="AF1568" s="28"/>
      <c r="AG1568" s="96">
        <f ca="1">IF(AG1563&lt;AG1567,AG1565,AG1566)</f>
        <v>1577.179850764822</v>
      </c>
      <c r="AH1568" s="111"/>
      <c r="AI1568" s="28"/>
      <c r="AJ1568" s="96" t="e">
        <f ca="1">IF(AJ1563&lt;AJ1567,AJ1565,AJ1566)</f>
        <v>#NUM!</v>
      </c>
      <c r="AK1568" s="111"/>
      <c r="AL1568" s="28"/>
      <c r="AM1568" s="96" t="e">
        <f ca="1">IF(AM1563&lt;AM1567,AM1565,AM1566)</f>
        <v>#NUM!</v>
      </c>
      <c r="AN1568" s="111"/>
      <c r="AO1568" s="28"/>
      <c r="AP1568" s="96">
        <f ca="1">IF(AP1563&lt;AP1567,AP1565,AP1566)</f>
        <v>-2068.6800060858945</v>
      </c>
      <c r="AQ1568" s="111"/>
      <c r="AR1568" s="28"/>
      <c r="AS1568" s="96">
        <f ca="1">IF(AS1563&lt;AS1567,AS1565,AS1566)</f>
        <v>-1183.516987968992</v>
      </c>
      <c r="AT1568" s="111"/>
      <c r="AU1568" s="28"/>
    </row>
    <row r="1569" spans="15:47" x14ac:dyDescent="0.25">
      <c r="O1569" s="13" t="s">
        <v>143</v>
      </c>
      <c r="P1569" s="1"/>
      <c r="Q1569" s="1"/>
      <c r="R1569" s="113"/>
      <c r="S1569" s="106">
        <f ca="1">IF(R1562&lt;=0,Q_max,ABS(R$23-R1568))</f>
        <v>3.6158987992322933</v>
      </c>
      <c r="T1569" s="7">
        <f>R1558</f>
        <v>2758.7057850796305</v>
      </c>
      <c r="U1569" s="98"/>
      <c r="V1569" s="106">
        <f ca="1">IF(U1562&lt;=0,Q_max,ABS(U$23-U1568))</f>
        <v>2.4502260656989812</v>
      </c>
      <c r="W1569" s="9">
        <f ca="1">U1558</f>
        <v>34637.589944364539</v>
      </c>
      <c r="X1569" s="98"/>
      <c r="Y1569" s="106">
        <f ca="1">IF(X1562&lt;=0,Q_max,ABS(X$23-X1568))</f>
        <v>12.231290179620217</v>
      </c>
      <c r="Z1569" s="9">
        <f ca="1">X1558</f>
        <v>84814.734508846697</v>
      </c>
      <c r="AA1569" s="98"/>
      <c r="AB1569" s="106">
        <f ca="1">IF(AA1562&lt;=0,Q_max,ABS(AA$23-AA1568))</f>
        <v>34.874317274010743</v>
      </c>
      <c r="AC1569" s="9">
        <f ca="1">AA1558</f>
        <v>165197.45425126591</v>
      </c>
      <c r="AD1569" s="98"/>
      <c r="AE1569" s="106">
        <f ca="1">IF(AD1562&lt;=0,Q_max,ABS(AD$23-AD1568))</f>
        <v>97.791276283100046</v>
      </c>
      <c r="AF1569" s="9">
        <f ca="1">AD1558</f>
        <v>277149.93885123049</v>
      </c>
      <c r="AG1569" s="98"/>
      <c r="AH1569" s="106">
        <f ca="1">IF(AG1562&lt;=0,Q_max,ABS(AG$23-AG1568))</f>
        <v>1488.979850764822</v>
      </c>
      <c r="AI1569" s="9">
        <f ca="1">AG1558</f>
        <v>404507.88424839731</v>
      </c>
      <c r="AJ1569" s="98"/>
      <c r="AK1569" s="106">
        <f ca="1">IF(AJ1562&lt;=0,Q_max,ABS(AJ$23-AJ1568))</f>
        <v>236393</v>
      </c>
      <c r="AL1569" s="9">
        <f ca="1">AJ1558</f>
        <v>539817.339631496</v>
      </c>
      <c r="AM1569" s="98"/>
      <c r="AN1569" s="106">
        <f ca="1">IF(AM1562&lt;=0,Q_max,ABS(AM$23-AM1568))</f>
        <v>236393</v>
      </c>
      <c r="AO1569" s="9">
        <f ca="1">AM1558</f>
        <v>658679.74120956042</v>
      </c>
      <c r="AP1569" s="98"/>
      <c r="AQ1569" s="106">
        <f ca="1">IF(AP1562&lt;=0,Q_max,ABS(AP$23-AP1568))</f>
        <v>236393</v>
      </c>
      <c r="AR1569" s="9">
        <f ca="1">AP1558</f>
        <v>764706.73107544438</v>
      </c>
      <c r="AS1569" s="98"/>
      <c r="AT1569" s="106">
        <f ca="1">IF(AS1562&lt;=0,Q_max,ABS(AS$23-AS1568))</f>
        <v>236393</v>
      </c>
      <c r="AU1569" s="9">
        <f ca="1">AS1558</f>
        <v>896678.78248847579</v>
      </c>
    </row>
    <row r="1570" spans="15:47" x14ac:dyDescent="0.25">
      <c r="O1570" s="21"/>
      <c r="P1570" s="14"/>
      <c r="Q1570" s="21"/>
      <c r="R1570" s="97"/>
      <c r="S1570" s="106"/>
      <c r="T1570" s="28"/>
      <c r="U1570" s="97"/>
      <c r="V1570" s="111"/>
      <c r="W1570" s="28"/>
      <c r="X1570" s="97"/>
      <c r="Y1570" s="111"/>
      <c r="Z1570" s="28"/>
      <c r="AA1570" s="97"/>
      <c r="AB1570" s="111"/>
      <c r="AC1570" s="28"/>
      <c r="AD1570" s="97"/>
      <c r="AE1570" s="111"/>
      <c r="AF1570" s="28"/>
      <c r="AG1570" s="97"/>
      <c r="AH1570" s="111"/>
      <c r="AI1570" s="28"/>
      <c r="AJ1570" s="97"/>
      <c r="AK1570" s="111"/>
      <c r="AL1570" s="28"/>
      <c r="AM1570" s="97"/>
      <c r="AN1570" s="111"/>
      <c r="AO1570" s="28"/>
      <c r="AP1570" s="97"/>
      <c r="AQ1570" s="111"/>
      <c r="AR1570" s="28"/>
      <c r="AS1570" s="97"/>
      <c r="AT1570" s="111"/>
      <c r="AU1570" s="28"/>
    </row>
    <row r="1571" spans="15:47" x14ac:dyDescent="0.25">
      <c r="O1571" s="1"/>
      <c r="P1571" s="1"/>
      <c r="Q1571" s="1"/>
      <c r="R1571" s="98"/>
      <c r="S1571" s="108" t="s">
        <v>137</v>
      </c>
      <c r="T1571" s="26" t="s">
        <v>146</v>
      </c>
      <c r="U1571" s="98"/>
      <c r="V1571" s="108" t="s">
        <v>137</v>
      </c>
      <c r="W1571" s="26" t="s">
        <v>146</v>
      </c>
      <c r="X1571" s="98"/>
      <c r="Y1571" s="108" t="s">
        <v>137</v>
      </c>
      <c r="Z1571" s="26" t="s">
        <v>146</v>
      </c>
      <c r="AA1571" s="98"/>
      <c r="AB1571" s="108" t="s">
        <v>137</v>
      </c>
      <c r="AC1571" s="26" t="s">
        <v>146</v>
      </c>
      <c r="AD1571" s="98"/>
      <c r="AE1571" s="108" t="s">
        <v>137</v>
      </c>
      <c r="AF1571" s="26" t="s">
        <v>146</v>
      </c>
      <c r="AG1571" s="98"/>
      <c r="AH1571" s="108" t="s">
        <v>137</v>
      </c>
      <c r="AI1571" s="26" t="s">
        <v>146</v>
      </c>
      <c r="AJ1571" s="98"/>
      <c r="AK1571" s="108" t="s">
        <v>137</v>
      </c>
      <c r="AL1571" s="26" t="s">
        <v>146</v>
      </c>
      <c r="AM1571" s="98"/>
      <c r="AN1571" s="108" t="s">
        <v>137</v>
      </c>
      <c r="AO1571" s="26" t="s">
        <v>146</v>
      </c>
      <c r="AP1571" s="98"/>
      <c r="AQ1571" s="108" t="s">
        <v>137</v>
      </c>
      <c r="AR1571" s="26" t="s">
        <v>146</v>
      </c>
      <c r="AS1571" s="98"/>
      <c r="AT1571" s="108" t="s">
        <v>137</v>
      </c>
      <c r="AU1571" s="26" t="s">
        <v>146</v>
      </c>
    </row>
    <row r="1572" spans="15:47" ht="13.8" x14ac:dyDescent="0.25">
      <c r="O1572" s="20" t="s">
        <v>136</v>
      </c>
      <c r="P1572" s="1"/>
      <c r="Q1572" s="1"/>
      <c r="R1572" s="96">
        <f>R1558*1.02</f>
        <v>2813.8799007812231</v>
      </c>
      <c r="S1572" s="109" t="s">
        <v>144</v>
      </c>
      <c r="T1572" s="23" t="s">
        <v>147</v>
      </c>
      <c r="U1572" s="96">
        <f ca="1">U1558*1.01</f>
        <v>34983.965843808182</v>
      </c>
      <c r="V1572" s="109" t="s">
        <v>144</v>
      </c>
      <c r="W1572" s="23" t="s">
        <v>147</v>
      </c>
      <c r="X1572" s="96">
        <f ca="1">X1558*1.01</f>
        <v>85662.881853935163</v>
      </c>
      <c r="Y1572" s="109" t="s">
        <v>144</v>
      </c>
      <c r="Z1572" s="23" t="s">
        <v>147</v>
      </c>
      <c r="AA1572" s="96">
        <f ca="1">AA1558*1.01</f>
        <v>166849.42879377858</v>
      </c>
      <c r="AB1572" s="109" t="s">
        <v>144</v>
      </c>
      <c r="AC1572" s="23" t="s">
        <v>147</v>
      </c>
      <c r="AD1572" s="96">
        <f ca="1">AD1558*1.01</f>
        <v>279921.43823974277</v>
      </c>
      <c r="AE1572" s="109" t="s">
        <v>144</v>
      </c>
      <c r="AF1572" s="23" t="s">
        <v>147</v>
      </c>
      <c r="AG1572" s="96">
        <f ca="1">AG1558*1.01</f>
        <v>408552.9630908813</v>
      </c>
      <c r="AH1572" s="109" t="s">
        <v>144</v>
      </c>
      <c r="AI1572" s="23" t="s">
        <v>147</v>
      </c>
      <c r="AJ1572" s="96">
        <f ca="1">AJ1558*1.01</f>
        <v>545215.51302781096</v>
      </c>
      <c r="AK1572" s="109" t="s">
        <v>144</v>
      </c>
      <c r="AL1572" s="23" t="s">
        <v>147</v>
      </c>
      <c r="AM1572" s="96">
        <f ca="1">AM1558*1.01</f>
        <v>665266.53862165601</v>
      </c>
      <c r="AN1572" s="109" t="s">
        <v>144</v>
      </c>
      <c r="AO1572" s="23" t="s">
        <v>147</v>
      </c>
      <c r="AP1572" s="96">
        <f ca="1">AP1558*1.01</f>
        <v>772353.79838619882</v>
      </c>
      <c r="AQ1572" s="109" t="s">
        <v>144</v>
      </c>
      <c r="AR1572" s="23" t="s">
        <v>147</v>
      </c>
      <c r="AS1572" s="96">
        <f ca="1">AS1558*1.01</f>
        <v>905645.57031336054</v>
      </c>
      <c r="AT1572" s="109" t="s">
        <v>144</v>
      </c>
      <c r="AU1572" s="23" t="s">
        <v>147</v>
      </c>
    </row>
    <row r="1573" spans="15:47" x14ac:dyDescent="0.25">
      <c r="O1573" s="1"/>
      <c r="P1573" s="1"/>
      <c r="Q1573" s="1"/>
      <c r="R1573" s="98"/>
      <c r="S1573" s="107"/>
      <c r="T1573" s="1"/>
      <c r="U1573" s="47"/>
      <c r="V1573" s="107"/>
      <c r="W1573" s="1"/>
      <c r="X1573" s="47"/>
      <c r="Y1573" s="107"/>
      <c r="Z1573" s="1"/>
      <c r="AA1573" s="47"/>
      <c r="AB1573" s="107"/>
      <c r="AC1573" s="1"/>
      <c r="AD1573" s="47"/>
      <c r="AE1573" s="107"/>
      <c r="AF1573" s="1"/>
      <c r="AG1573" s="47"/>
      <c r="AH1573" s="107"/>
      <c r="AI1573" s="1"/>
      <c r="AJ1573" s="47"/>
      <c r="AK1573" s="107"/>
      <c r="AL1573" s="1"/>
      <c r="AM1573" s="47"/>
      <c r="AN1573" s="107"/>
      <c r="AO1573" s="1"/>
      <c r="AP1573" s="47"/>
      <c r="AQ1573" s="107"/>
      <c r="AR1573" s="1"/>
      <c r="AS1573" s="47"/>
      <c r="AT1573" s="107"/>
      <c r="AU1573" s="1"/>
    </row>
    <row r="1574" spans="15:47" x14ac:dyDescent="0.25">
      <c r="O1574" s="8" t="s">
        <v>132</v>
      </c>
      <c r="P1574" s="8"/>
      <c r="Q1574" s="8"/>
      <c r="R1574" s="96">
        <f>P_1_minQ-(R1572^2*R_up)+dpup_minQ</f>
        <v>90.183597402924036</v>
      </c>
      <c r="S1574" s="106"/>
      <c r="T1574" s="22"/>
      <c r="U1574" s="96">
        <f ca="1">P_1_minQ-(U1572^2*R_up)+dpup_minQ</f>
        <v>89.961975435170245</v>
      </c>
      <c r="V1574" s="107"/>
      <c r="W1574" s="1"/>
      <c r="X1574" s="96">
        <f ca="1">P_1_minQ-(X1572^2*R_up)+dpup_minQ</f>
        <v>88.847586392510081</v>
      </c>
      <c r="Y1574" s="107"/>
      <c r="Z1574" s="1"/>
      <c r="AA1574" s="96">
        <f ca="1">P_1_minQ-(AA1572^2*R_up)+dpup_minQ</f>
        <v>85.111127889518158</v>
      </c>
      <c r="AB1574" s="107"/>
      <c r="AC1574" s="1"/>
      <c r="AD1574" s="96">
        <f ca="1">P_1_minQ-(AD1572^2*R_up)+dpup_minQ</f>
        <v>75.903802460470445</v>
      </c>
      <c r="AE1574" s="107"/>
      <c r="AF1574" s="1"/>
      <c r="AG1574" s="96">
        <f ca="1">P_1_minQ-(AG1572^2*R_up)+dpup_minQ</f>
        <v>59.762865096137645</v>
      </c>
      <c r="AH1574" s="107"/>
      <c r="AI1574" s="1"/>
      <c r="AJ1574" s="96">
        <f ca="1">P_1_minQ-(AJ1572^2*R_up)+dpup_minQ</f>
        <v>36.006170150587316</v>
      </c>
      <c r="AK1574" s="107"/>
      <c r="AL1574" s="1"/>
      <c r="AM1574" s="96">
        <f ca="1">P_1_minQ-(AM1572^2*R_up)+dpup_minQ</f>
        <v>9.5200852951903823</v>
      </c>
      <c r="AN1574" s="107"/>
      <c r="AO1574" s="1"/>
      <c r="AP1574" s="96">
        <f ca="1">P_1_minQ-(AP1572^2*R_up)+dpup_minQ</f>
        <v>-18.539131888704432</v>
      </c>
      <c r="AQ1574" s="107"/>
      <c r="AR1574" s="1"/>
      <c r="AS1574" s="96">
        <f ca="1">P_1_minQ-(AS1572^2*R_up)+dpup_minQ</f>
        <v>-59.30424686820129</v>
      </c>
      <c r="AT1574" s="107"/>
      <c r="AU1574" s="1"/>
    </row>
    <row r="1575" spans="15:47" x14ac:dyDescent="0.25">
      <c r="O1575" s="8" t="s">
        <v>134</v>
      </c>
      <c r="P1575" s="1"/>
      <c r="Q1575" s="8"/>
      <c r="R1575" s="97">
        <f>P_2_minQ+(R1572^2*R_dn)-dpdn_minQ</f>
        <v>60</v>
      </c>
      <c r="S1575" s="106"/>
      <c r="T1575" s="22"/>
      <c r="U1575" s="97">
        <f ca="1">P_2_minQ+(U1572^2*R_dn)-dpdn_minQ</f>
        <v>60</v>
      </c>
      <c r="V1575" s="107"/>
      <c r="W1575" s="1"/>
      <c r="X1575" s="97">
        <f ca="1">P_2_minQ+(X1572^2*R_dn)-dpdn_minQ</f>
        <v>60</v>
      </c>
      <c r="Y1575" s="107"/>
      <c r="Z1575" s="1"/>
      <c r="AA1575" s="97">
        <f ca="1">P_2_minQ+(AA1572^2*R_dn)-dpdn_minQ</f>
        <v>60</v>
      </c>
      <c r="AB1575" s="107"/>
      <c r="AC1575" s="1"/>
      <c r="AD1575" s="97">
        <f ca="1">P_2_minQ+(AD1572^2*R_dn)-dpdn_minQ</f>
        <v>60</v>
      </c>
      <c r="AE1575" s="107"/>
      <c r="AF1575" s="1"/>
      <c r="AG1575" s="97">
        <f ca="1">P_2_minQ+(AG1572^2*R_dn)-dpdn_minQ</f>
        <v>60</v>
      </c>
      <c r="AH1575" s="107"/>
      <c r="AI1575" s="1"/>
      <c r="AJ1575" s="97">
        <f ca="1">P_2_minQ+(AJ1572^2*R_dn)-dpdn_minQ</f>
        <v>60</v>
      </c>
      <c r="AK1575" s="107"/>
      <c r="AL1575" s="1"/>
      <c r="AM1575" s="97">
        <f ca="1">P_2_minQ+(AM1572^2*R_dn)-dpdn_minQ</f>
        <v>60</v>
      </c>
      <c r="AN1575" s="107"/>
      <c r="AO1575" s="1"/>
      <c r="AP1575" s="97">
        <f ca="1">P_2_minQ+(AP1572^2*R_dn)-dpdn_minQ</f>
        <v>60</v>
      </c>
      <c r="AQ1575" s="107"/>
      <c r="AR1575" s="1"/>
      <c r="AS1575" s="97">
        <f ca="1">P_2_minQ+(AS1572^2*R_dn)-dpdn_minQ</f>
        <v>60</v>
      </c>
      <c r="AT1575" s="107"/>
      <c r="AU1575" s="1"/>
    </row>
    <row r="1576" spans="15:47" x14ac:dyDescent="0.25">
      <c r="O1576" s="8" t="s">
        <v>138</v>
      </c>
      <c r="P1576" s="1"/>
      <c r="Q1576" s="8"/>
      <c r="R1576" s="97">
        <f>R1574-R1575</f>
        <v>30.183597402924036</v>
      </c>
      <c r="S1576" s="106"/>
      <c r="T1576" s="22"/>
      <c r="U1576" s="97">
        <f ca="1">U1574-U1575</f>
        <v>29.961975435170245</v>
      </c>
      <c r="V1576" s="110"/>
      <c r="W1576" s="25"/>
      <c r="X1576" s="97">
        <f ca="1">X1574-X1575</f>
        <v>28.847586392510081</v>
      </c>
      <c r="Y1576" s="110"/>
      <c r="Z1576" s="25"/>
      <c r="AA1576" s="97">
        <f ca="1">AA1574-AA1575</f>
        <v>25.111127889518158</v>
      </c>
      <c r="AB1576" s="110"/>
      <c r="AC1576" s="25"/>
      <c r="AD1576" s="97">
        <f ca="1">AD1574-AD1575</f>
        <v>15.903802460470445</v>
      </c>
      <c r="AE1576" s="110"/>
      <c r="AF1576" s="25"/>
      <c r="AG1576" s="97">
        <f ca="1">AG1574-AG1575</f>
        <v>-0.23713490386235492</v>
      </c>
      <c r="AH1576" s="110"/>
      <c r="AI1576" s="25"/>
      <c r="AJ1576" s="97">
        <f ca="1">AJ1574-AJ1575</f>
        <v>-23.993829849412684</v>
      </c>
      <c r="AK1576" s="110"/>
      <c r="AL1576" s="25"/>
      <c r="AM1576" s="97">
        <f ca="1">AM1574-AM1575</f>
        <v>-50.479914704809616</v>
      </c>
      <c r="AN1576" s="110"/>
      <c r="AO1576" s="25"/>
      <c r="AP1576" s="97">
        <f ca="1">AP1574-AP1575</f>
        <v>-78.539131888704432</v>
      </c>
      <c r="AQ1576" s="110"/>
      <c r="AR1576" s="25"/>
      <c r="AS1576" s="97">
        <f ca="1">AS1574-AS1575</f>
        <v>-119.30424686820129</v>
      </c>
      <c r="AT1576" s="110"/>
      <c r="AU1576" s="25"/>
    </row>
    <row r="1577" spans="15:47" ht="14.4" x14ac:dyDescent="0.3">
      <c r="O1577" s="2" t="s">
        <v>140</v>
      </c>
      <c r="P1577" s="11"/>
      <c r="Q1577" s="2"/>
      <c r="R1577" s="96">
        <f>R1576/R1574</f>
        <v>0.33469054542223647</v>
      </c>
      <c r="S1577" s="106"/>
      <c r="T1577" s="22"/>
      <c r="U1577" s="96">
        <f ca="1">U1576/U1574</f>
        <v>0.33305155083840832</v>
      </c>
      <c r="V1577" s="111"/>
      <c r="W1577" s="28"/>
      <c r="X1577" s="96">
        <f ca="1">X1576/X1574</f>
        <v>0.32468621336619624</v>
      </c>
      <c r="Y1577" s="111"/>
      <c r="Z1577" s="28"/>
      <c r="AA1577" s="96">
        <f ca="1">AA1576/AA1574</f>
        <v>0.29503930346352175</v>
      </c>
      <c r="AB1577" s="111"/>
      <c r="AC1577" s="28"/>
      <c r="AD1577" s="96">
        <f ca="1">AD1576/AD1574</f>
        <v>0.20952576741794859</v>
      </c>
      <c r="AE1577" s="111"/>
      <c r="AF1577" s="28"/>
      <c r="AG1577" s="96">
        <f ca="1">AG1576/AG1574</f>
        <v>-3.9679306452407763E-3</v>
      </c>
      <c r="AH1577" s="111"/>
      <c r="AI1577" s="28"/>
      <c r="AJ1577" s="96">
        <f ca="1">AJ1576/AJ1574</f>
        <v>-0.6663810604978021</v>
      </c>
      <c r="AK1577" s="111"/>
      <c r="AL1577" s="28"/>
      <c r="AM1577" s="96">
        <f ca="1">AM1576/AM1574</f>
        <v>-5.3024645409755351</v>
      </c>
      <c r="AN1577" s="111"/>
      <c r="AO1577" s="28"/>
      <c r="AP1577" s="96">
        <f ca="1">AP1576/AP1574</f>
        <v>4.2363974947800518</v>
      </c>
      <c r="AQ1577" s="111"/>
      <c r="AR1577" s="28"/>
      <c r="AS1577" s="96">
        <f ca="1">AS1576/AS1574</f>
        <v>2.0117319276197025</v>
      </c>
      <c r="AT1577" s="111"/>
      <c r="AU1577" s="28"/>
    </row>
    <row r="1578" spans="15:47" x14ac:dyDescent="0.25">
      <c r="O1578" s="2" t="s">
        <v>21</v>
      </c>
      <c r="P1578" s="8">
        <v>12</v>
      </c>
      <c r="Q1578" s="2"/>
      <c r="R1578" s="96">
        <f ca="1">1-R1577/(3*F_GAMMA*R$29)</f>
        <v>0.82569009598440979</v>
      </c>
      <c r="S1578" s="106"/>
      <c r="T1578" s="22"/>
      <c r="U1578" s="96">
        <f ca="1">1-U1577/(3*F_GAMMA*U$29)</f>
        <v>0.82658399589466747</v>
      </c>
      <c r="V1578" s="111"/>
      <c r="W1578" s="28"/>
      <c r="X1578" s="96">
        <f ca="1">1-X1577/(3*F_GAMMA*X$29)</f>
        <v>0.82932955924087026</v>
      </c>
      <c r="Y1578" s="111"/>
      <c r="Z1578" s="28"/>
      <c r="AA1578" s="96">
        <f ca="1">1-AA1577/(3*F_GAMMA*AA$29)</f>
        <v>0.84272726457372338</v>
      </c>
      <c r="AB1578" s="111"/>
      <c r="AC1578" s="28"/>
      <c r="AD1578" s="96">
        <f ca="1">1-AD1577/(3*F_GAMMA*AD$29)</f>
        <v>0.88484689702276986</v>
      </c>
      <c r="AE1578" s="111"/>
      <c r="AF1578" s="28"/>
      <c r="AG1578" s="96">
        <f ca="1">1-AG1577/(3*F_GAMMA*AG$29)</f>
        <v>1.0023115892934706</v>
      </c>
      <c r="AH1578" s="111"/>
      <c r="AI1578" s="28"/>
      <c r="AJ1578" s="96">
        <f ca="1">1-AJ1577/(3*F_GAMMA*AJ$29)</f>
        <v>1.4176632425340201</v>
      </c>
      <c r="AK1578" s="111"/>
      <c r="AL1578" s="28"/>
      <c r="AM1578" s="96">
        <f ca="1">1-AM1577/(3*F_GAMMA*AM$29)</f>
        <v>4.7158246155006545</v>
      </c>
      <c r="AN1578" s="111"/>
      <c r="AO1578" s="28"/>
      <c r="AP1578" s="96">
        <f ca="1">1-AP1577/(3*F_GAMMA*AP$29)</f>
        <v>-1.3912498962524702</v>
      </c>
      <c r="AQ1578" s="111"/>
      <c r="AR1578" s="28"/>
      <c r="AS1578" s="96">
        <f ca="1">1-AS1577/(3*F_GAMMA*AS$29)</f>
        <v>-0.7801836751292297</v>
      </c>
      <c r="AT1578" s="111"/>
      <c r="AU1578" s="28"/>
    </row>
    <row r="1579" spans="15:47" x14ac:dyDescent="0.25">
      <c r="O1579" s="2" t="s">
        <v>57</v>
      </c>
      <c r="P1579" s="143">
        <v>7</v>
      </c>
      <c r="Q1579" s="2"/>
      <c r="R1579" s="96">
        <f ca="1">(R1572/(N_9*R$27*R1574*R1578))*SQRT(M*'Valve Sizing'!$W$6*'Valve Sizing'!$G$8/R1577)</f>
        <v>1.1363843364169657</v>
      </c>
      <c r="S1579" s="107"/>
      <c r="T1579" s="22"/>
      <c r="U1579" s="96">
        <f ca="1">(U1572/(N_9*U$27*U1574*U1578))*SQRT(M*'Valve Sizing'!$W$6*'Valve Sizing'!$G$8/U1577)</f>
        <v>14.191824523138775</v>
      </c>
      <c r="V1579" s="111"/>
      <c r="W1579" s="28"/>
      <c r="X1579" s="96">
        <f ca="1">(X1572/(N_9*X$27*X1574*X1578))*SQRT(M*'Valve Sizing'!$W$6*'Valve Sizing'!$G$8/X1577)</f>
        <v>35.600612956483417</v>
      </c>
      <c r="Y1579" s="111"/>
      <c r="Z1579" s="28"/>
      <c r="AA1579" s="96">
        <f ca="1">(AA1572/(N_9*AA$27*AA1574*AA1578))*SQRT(M*'Valve Sizing'!$W$6*'Valve Sizing'!$G$8/AA1577)</f>
        <v>75.171032198606142</v>
      </c>
      <c r="AB1579" s="111"/>
      <c r="AC1579" s="28"/>
      <c r="AD1579" s="96">
        <f ca="1">(AD1572/(N_9*AD$27*AD1574*AD1578))*SQRT(M*'Valve Sizing'!$W$6*'Valve Sizing'!$G$8/AD1577)</f>
        <v>161.79749817752383</v>
      </c>
      <c r="AE1579" s="111"/>
      <c r="AF1579" s="28"/>
      <c r="AG1579" s="96" t="e">
        <f ca="1">(AG1572/(N_9*AG$27*AG1574*AG1578))*SQRT(M*'Valve Sizing'!$W$6*'Valve Sizing'!$G$8/AG1577)</f>
        <v>#NUM!</v>
      </c>
      <c r="AH1579" s="111"/>
      <c r="AI1579" s="28"/>
      <c r="AJ1579" s="96" t="e">
        <f ca="1">(AJ1572/(N_9*AJ$27*AJ1574*AJ1578))*SQRT(M*'Valve Sizing'!$W$6*'Valve Sizing'!$G$8/AJ1577)</f>
        <v>#NUM!</v>
      </c>
      <c r="AK1579" s="111"/>
      <c r="AL1579" s="28"/>
      <c r="AM1579" s="96" t="e">
        <f ca="1">(AM1572/(N_9*AM$27*AM1574*AM1578))*SQRT(M*'Valve Sizing'!$W$6*'Valve Sizing'!$G$8/AM1577)</f>
        <v>#NUM!</v>
      </c>
      <c r="AN1579" s="111"/>
      <c r="AO1579" s="28"/>
      <c r="AP1579" s="96">
        <f ca="1">(AP1572/(N_9*AP$27*AP1574*AP1578))*SQRT(M*'Valve Sizing'!$W$6*'Valve Sizing'!$G$8/AP1577)</f>
        <v>330.77519454972418</v>
      </c>
      <c r="AQ1579" s="111"/>
      <c r="AR1579" s="28"/>
      <c r="AS1579" s="96">
        <f ca="1">(AS1572/(N_9*AS$27*AS1574*AS1578))*SQRT(M*'Valve Sizing'!$W$6*'Valve Sizing'!$G$8/AS1577)</f>
        <v>420.24941363493053</v>
      </c>
      <c r="AT1579" s="111"/>
      <c r="AU1579" s="28"/>
    </row>
    <row r="1580" spans="15:47" x14ac:dyDescent="0.25">
      <c r="O1580" s="2" t="s">
        <v>59</v>
      </c>
      <c r="P1580" s="143">
        <v>7</v>
      </c>
      <c r="Q1580" s="2"/>
      <c r="R1580" s="96">
        <f ca="1">(R1572/(N_9*R$27*R1574*0.667))*SQRT(M*'Valve Sizing'!$W$6*'Valve Sizing'!$G$8/R1581)</f>
        <v>1.0172744563741019</v>
      </c>
      <c r="S1580" s="107"/>
      <c r="T1580" s="22"/>
      <c r="U1580" s="96">
        <f ca="1">(U1572/(N_9*U$27*U1574*0.667))*SQRT(M*'Valve Sizing'!$W$6*'Valve Sizing'!$G$8/U1581)</f>
        <v>12.685412844894849</v>
      </c>
      <c r="V1580" s="111"/>
      <c r="W1580" s="28"/>
      <c r="X1580" s="96">
        <f ca="1">(X1572/(N_9*X$27*X1574*0.667))*SQRT(M*'Valve Sizing'!$W$6*'Valve Sizing'!$G$8/X1581)</f>
        <v>31.673683225074118</v>
      </c>
      <c r="Y1580" s="111"/>
      <c r="Z1580" s="28"/>
      <c r="AA1580" s="96">
        <f ca="1">(AA1572/(N_9*AA$27*AA1574*0.667))*SQRT(M*'Valve Sizing'!$W$6*'Valve Sizing'!$G$8/AA1581)</f>
        <v>65.237764729809427</v>
      </c>
      <c r="AB1580" s="111"/>
      <c r="AC1580" s="28"/>
      <c r="AD1580" s="96">
        <f ca="1">(AD1572/(N_9*AD$27*AD1574*0.667))*SQRT(M*'Valve Sizing'!$W$6*'Valve Sizing'!$G$8/AD1581)</f>
        <v>126.15734779773221</v>
      </c>
      <c r="AE1580" s="111"/>
      <c r="AF1580" s="28"/>
      <c r="AG1580" s="96">
        <f ca="1">(AG1572/(N_9*AG$27*AG1574*0.667))*SQRT(M*'Valve Sizing'!$W$6*'Valve Sizing'!$G$8/AG1581)</f>
        <v>246.19339015414224</v>
      </c>
      <c r="AH1580" s="111"/>
      <c r="AI1580" s="28"/>
      <c r="AJ1580" s="96">
        <f ca="1">(AJ1572/(N_9*AJ$27*AJ1574*0.667))*SQRT(M*'Valve Sizing'!$W$6*'Valve Sizing'!$G$8/AJ1581)</f>
        <v>586.07372626136316</v>
      </c>
      <c r="AK1580" s="111"/>
      <c r="AL1580" s="28"/>
      <c r="AM1580" s="96">
        <f ca="1">(AM1572/(N_9*AM$27*AM1574*0.667))*SQRT(M*'Valve Sizing'!$W$6*'Valve Sizing'!$G$8/AM1581)</f>
        <v>3034.3901674161521</v>
      </c>
      <c r="AN1580" s="111"/>
      <c r="AO1580" s="28"/>
      <c r="AP1580" s="96">
        <f ca="1">(AP1572/(N_9*AP$27*AP1574*0.667))*SQRT(M*'Valve Sizing'!$W$6*'Valve Sizing'!$G$8/AP1581)</f>
        <v>-1847.9293107684982</v>
      </c>
      <c r="AQ1580" s="111"/>
      <c r="AR1580" s="28"/>
      <c r="AS1580" s="96">
        <f ca="1">(AS1572/(N_9*AS$27*AS1574*0.667))*SQRT(M*'Valve Sizing'!$W$6*'Valve Sizing'!$G$8/AS1581)</f>
        <v>-1135.981281910982</v>
      </c>
      <c r="AT1580" s="111"/>
      <c r="AU1580" s="28"/>
    </row>
    <row r="1581" spans="15:47" ht="15.6" x14ac:dyDescent="0.35">
      <c r="O1581" s="2" t="s">
        <v>68</v>
      </c>
      <c r="P1581" s="143">
        <v>10</v>
      </c>
      <c r="Q1581" s="2"/>
      <c r="R1581" s="96">
        <f ca="1">F_GAMMA*R$29</f>
        <v>0.64002969751372984</v>
      </c>
      <c r="S1581" s="107"/>
      <c r="T1581" s="1"/>
      <c r="U1581" s="96">
        <f ca="1">F_GAMMA*U$29</f>
        <v>0.64017842058782071</v>
      </c>
      <c r="V1581" s="111"/>
      <c r="W1581" s="28"/>
      <c r="X1581" s="96">
        <f ca="1">F_GAMMA*X$29</f>
        <v>0.63413873724904268</v>
      </c>
      <c r="Y1581" s="111"/>
      <c r="Z1581" s="28"/>
      <c r="AA1581" s="96">
        <f ca="1">F_GAMMA*AA$29</f>
        <v>0.62532411750377137</v>
      </c>
      <c r="AB1581" s="111"/>
      <c r="AC1581" s="28"/>
      <c r="AD1581" s="96">
        <f ca="1">F_GAMMA*AD$29</f>
        <v>0.60651359509139569</v>
      </c>
      <c r="AE1581" s="111"/>
      <c r="AF1581" s="28"/>
      <c r="AG1581" s="96">
        <f ca="1">F_GAMMA*AG$29</f>
        <v>0.57217930198481592</v>
      </c>
      <c r="AH1581" s="111"/>
      <c r="AI1581" s="28"/>
      <c r="AJ1581" s="96">
        <f ca="1">F_GAMMA*AJ$29</f>
        <v>0.53183282018848232</v>
      </c>
      <c r="AK1581" s="111"/>
      <c r="AL1581" s="28"/>
      <c r="AM1581" s="96">
        <f ca="1">F_GAMMA*AM$29</f>
        <v>0.47566512503094399</v>
      </c>
      <c r="AN1581" s="111"/>
      <c r="AO1581" s="28"/>
      <c r="AP1581" s="96">
        <f ca="1">F_GAMMA*AP$29</f>
        <v>0.59054158265645496</v>
      </c>
      <c r="AQ1581" s="111"/>
      <c r="AR1581" s="28"/>
      <c r="AS1581" s="96">
        <f ca="1">F_GAMMA*AS$29</f>
        <v>0.3766899554102966</v>
      </c>
      <c r="AT1581" s="111"/>
      <c r="AU1581" s="28"/>
    </row>
    <row r="1582" spans="15:47" x14ac:dyDescent="0.25">
      <c r="O1582" s="2" t="s">
        <v>145</v>
      </c>
      <c r="P1582" s="12"/>
      <c r="Q1582" s="2"/>
      <c r="R1582" s="96">
        <f ca="1">IF(R1577&lt;R1581,R1579,R1580)</f>
        <v>1.1363843364169657</v>
      </c>
      <c r="S1582" s="116"/>
      <c r="T1582" s="1"/>
      <c r="U1582" s="96">
        <f ca="1">IF(U1577&lt;U1581,U1579,U1580)</f>
        <v>14.191824523138775</v>
      </c>
      <c r="V1582" s="111"/>
      <c r="W1582" s="28"/>
      <c r="X1582" s="96">
        <f ca="1">IF(X1577&lt;X1581,X1579,X1580)</f>
        <v>35.600612956483417</v>
      </c>
      <c r="Y1582" s="111"/>
      <c r="Z1582" s="28"/>
      <c r="AA1582" s="96">
        <f ca="1">IF(AA1577&lt;AA1581,AA1579,AA1580)</f>
        <v>75.171032198606142</v>
      </c>
      <c r="AB1582" s="111"/>
      <c r="AC1582" s="28"/>
      <c r="AD1582" s="96">
        <f ca="1">IF(AD1577&lt;AD1581,AD1579,AD1580)</f>
        <v>161.79749817752383</v>
      </c>
      <c r="AE1582" s="111"/>
      <c r="AF1582" s="28"/>
      <c r="AG1582" s="96" t="e">
        <f ca="1">IF(AG1577&lt;AG1581,AG1579,AG1580)</f>
        <v>#NUM!</v>
      </c>
      <c r="AH1582" s="111"/>
      <c r="AI1582" s="28"/>
      <c r="AJ1582" s="96" t="e">
        <f ca="1">IF(AJ1577&lt;AJ1581,AJ1579,AJ1580)</f>
        <v>#NUM!</v>
      </c>
      <c r="AK1582" s="111"/>
      <c r="AL1582" s="28"/>
      <c r="AM1582" s="96" t="e">
        <f ca="1">IF(AM1577&lt;AM1581,AM1579,AM1580)</f>
        <v>#NUM!</v>
      </c>
      <c r="AN1582" s="111"/>
      <c r="AO1582" s="28"/>
      <c r="AP1582" s="96">
        <f ca="1">IF(AP1577&lt;AP1581,AP1579,AP1580)</f>
        <v>-1847.9293107684982</v>
      </c>
      <c r="AQ1582" s="111"/>
      <c r="AR1582" s="28"/>
      <c r="AS1582" s="96">
        <f ca="1">IF(AS1577&lt;AS1581,AS1579,AS1580)</f>
        <v>-1135.981281910982</v>
      </c>
      <c r="AT1582" s="111"/>
      <c r="AU1582" s="28"/>
    </row>
    <row r="1583" spans="15:47" x14ac:dyDescent="0.25">
      <c r="O1583" s="13" t="s">
        <v>143</v>
      </c>
      <c r="P1583" s="1"/>
      <c r="Q1583" s="1"/>
      <c r="R1583" s="113"/>
      <c r="S1583" s="106">
        <f ca="1">IF(R1576&lt;=0,Q_max,ABS(R$23-R1582))</f>
        <v>3.5936156635830345</v>
      </c>
      <c r="T1583" s="7">
        <f>R1572</f>
        <v>2813.8799007812231</v>
      </c>
      <c r="U1583" s="98"/>
      <c r="V1583" s="106">
        <f ca="1">IF(U1576&lt;=0,Q_max,ABS(U$23-U1582))</f>
        <v>2.5918245231387758</v>
      </c>
      <c r="W1583" s="9">
        <f ca="1">U1572</f>
        <v>34983.965843808182</v>
      </c>
      <c r="X1583" s="98"/>
      <c r="Y1583" s="106">
        <f ca="1">IF(X1576&lt;=0,Q_max,ABS(X$23-X1582))</f>
        <v>12.600612956483417</v>
      </c>
      <c r="Z1583" s="9">
        <f ca="1">X1572</f>
        <v>85662.881853935163</v>
      </c>
      <c r="AA1583" s="98"/>
      <c r="AB1583" s="106">
        <f ca="1">IF(AA1576&lt;=0,Q_max,ABS(AA$23-AA1582))</f>
        <v>35.771032198606143</v>
      </c>
      <c r="AC1583" s="9">
        <f ca="1">AA1572</f>
        <v>166849.42879377858</v>
      </c>
      <c r="AD1583" s="98"/>
      <c r="AE1583" s="106">
        <f ca="1">IF(AD1576&lt;=0,Q_max,ABS(AD$23-AD1582))</f>
        <v>100.79749817752383</v>
      </c>
      <c r="AF1583" s="9">
        <f ca="1">AD1572</f>
        <v>279921.43823974277</v>
      </c>
      <c r="AG1583" s="98"/>
      <c r="AH1583" s="106">
        <f ca="1">IF(AG1576&lt;=0,Q_max,ABS(AG$23-AG1582))</f>
        <v>236393</v>
      </c>
      <c r="AI1583" s="9">
        <f ca="1">AG1572</f>
        <v>408552.9630908813</v>
      </c>
      <c r="AJ1583" s="98"/>
      <c r="AK1583" s="106">
        <f ca="1">IF(AJ1576&lt;=0,Q_max,ABS(AJ$23-AJ1582))</f>
        <v>236393</v>
      </c>
      <c r="AL1583" s="9">
        <f ca="1">AJ1572</f>
        <v>545215.51302781096</v>
      </c>
      <c r="AM1583" s="98"/>
      <c r="AN1583" s="106">
        <f ca="1">IF(AM1576&lt;=0,Q_max,ABS(AM$23-AM1582))</f>
        <v>236393</v>
      </c>
      <c r="AO1583" s="9">
        <f ca="1">AM1572</f>
        <v>665266.53862165601</v>
      </c>
      <c r="AP1583" s="98"/>
      <c r="AQ1583" s="106">
        <f ca="1">IF(AP1576&lt;=0,Q_max,ABS(AP$23-AP1582))</f>
        <v>236393</v>
      </c>
      <c r="AR1583" s="9">
        <f ca="1">AP1572</f>
        <v>772353.79838619882</v>
      </c>
      <c r="AS1583" s="98"/>
      <c r="AT1583" s="106">
        <f ca="1">IF(AS1576&lt;=0,Q_max,ABS(AS$23-AS1582))</f>
        <v>236393</v>
      </c>
      <c r="AU1583" s="9">
        <f ca="1">AS1572</f>
        <v>905645.57031336054</v>
      </c>
    </row>
    <row r="1584" spans="15:47" x14ac:dyDescent="0.25">
      <c r="O1584" s="21"/>
      <c r="P1584" s="14"/>
      <c r="Q1584" s="21"/>
      <c r="R1584" s="97"/>
      <c r="S1584" s="106"/>
      <c r="T1584" s="28"/>
      <c r="U1584" s="97"/>
      <c r="V1584" s="111"/>
      <c r="W1584" s="28"/>
      <c r="X1584" s="97"/>
      <c r="Y1584" s="111"/>
      <c r="Z1584" s="28"/>
      <c r="AA1584" s="97"/>
      <c r="AB1584" s="111"/>
      <c r="AC1584" s="28"/>
      <c r="AD1584" s="97"/>
      <c r="AE1584" s="111"/>
      <c r="AF1584" s="28"/>
      <c r="AG1584" s="97"/>
      <c r="AH1584" s="111"/>
      <c r="AI1584" s="28"/>
      <c r="AJ1584" s="97"/>
      <c r="AK1584" s="111"/>
      <c r="AL1584" s="28"/>
      <c r="AM1584" s="97"/>
      <c r="AN1584" s="111"/>
      <c r="AO1584" s="28"/>
      <c r="AP1584" s="97"/>
      <c r="AQ1584" s="111"/>
      <c r="AR1584" s="28"/>
      <c r="AS1584" s="97"/>
      <c r="AT1584" s="111"/>
      <c r="AU1584" s="28"/>
    </row>
    <row r="1585" spans="15:47" x14ac:dyDescent="0.25">
      <c r="O1585" s="1"/>
      <c r="P1585" s="1"/>
      <c r="Q1585" s="1"/>
      <c r="R1585" s="98"/>
      <c r="S1585" s="108" t="s">
        <v>137</v>
      </c>
      <c r="T1585" s="26" t="s">
        <v>146</v>
      </c>
      <c r="U1585" s="98"/>
      <c r="V1585" s="108" t="s">
        <v>137</v>
      </c>
      <c r="W1585" s="26" t="s">
        <v>146</v>
      </c>
      <c r="X1585" s="98"/>
      <c r="Y1585" s="108" t="s">
        <v>137</v>
      </c>
      <c r="Z1585" s="26" t="s">
        <v>146</v>
      </c>
      <c r="AA1585" s="98"/>
      <c r="AB1585" s="108" t="s">
        <v>137</v>
      </c>
      <c r="AC1585" s="26" t="s">
        <v>146</v>
      </c>
      <c r="AD1585" s="98"/>
      <c r="AE1585" s="108" t="s">
        <v>137</v>
      </c>
      <c r="AF1585" s="26" t="s">
        <v>146</v>
      </c>
      <c r="AG1585" s="98"/>
      <c r="AH1585" s="108" t="s">
        <v>137</v>
      </c>
      <c r="AI1585" s="26" t="s">
        <v>146</v>
      </c>
      <c r="AJ1585" s="98"/>
      <c r="AK1585" s="108" t="s">
        <v>137</v>
      </c>
      <c r="AL1585" s="26" t="s">
        <v>146</v>
      </c>
      <c r="AM1585" s="98"/>
      <c r="AN1585" s="108" t="s">
        <v>137</v>
      </c>
      <c r="AO1585" s="26" t="s">
        <v>146</v>
      </c>
      <c r="AP1585" s="98"/>
      <c r="AQ1585" s="108" t="s">
        <v>137</v>
      </c>
      <c r="AR1585" s="26" t="s">
        <v>146</v>
      </c>
      <c r="AS1585" s="98"/>
      <c r="AT1585" s="108" t="s">
        <v>137</v>
      </c>
      <c r="AU1585" s="26" t="s">
        <v>146</v>
      </c>
    </row>
    <row r="1586" spans="15:47" ht="13.8" x14ac:dyDescent="0.25">
      <c r="O1586" s="20" t="s">
        <v>136</v>
      </c>
      <c r="P1586" s="1"/>
      <c r="Q1586" s="1"/>
      <c r="R1586" s="96">
        <f>R1572*1.02</f>
        <v>2870.1574987968474</v>
      </c>
      <c r="S1586" s="109" t="s">
        <v>144</v>
      </c>
      <c r="T1586" s="23" t="s">
        <v>147</v>
      </c>
      <c r="U1586" s="96">
        <f ca="1">U1572*1.01</f>
        <v>35333.805502246265</v>
      </c>
      <c r="V1586" s="109" t="s">
        <v>144</v>
      </c>
      <c r="W1586" s="23" t="s">
        <v>147</v>
      </c>
      <c r="X1586" s="96">
        <f ca="1">X1572*1.01</f>
        <v>86519.510672474513</v>
      </c>
      <c r="Y1586" s="109" t="s">
        <v>144</v>
      </c>
      <c r="Z1586" s="23" t="s">
        <v>147</v>
      </c>
      <c r="AA1586" s="96">
        <f ca="1">AA1572*1.01</f>
        <v>168517.92308171638</v>
      </c>
      <c r="AB1586" s="109" t="s">
        <v>144</v>
      </c>
      <c r="AC1586" s="23" t="s">
        <v>147</v>
      </c>
      <c r="AD1586" s="96">
        <f ca="1">AD1572*1.01</f>
        <v>282720.65262214019</v>
      </c>
      <c r="AE1586" s="109" t="s">
        <v>144</v>
      </c>
      <c r="AF1586" s="23" t="s">
        <v>147</v>
      </c>
      <c r="AG1586" s="96">
        <f ca="1">AG1572*1.01</f>
        <v>412638.4927217901</v>
      </c>
      <c r="AH1586" s="109" t="s">
        <v>144</v>
      </c>
      <c r="AI1586" s="23" t="s">
        <v>147</v>
      </c>
      <c r="AJ1586" s="96">
        <f ca="1">AJ1572*1.01</f>
        <v>550667.66815808904</v>
      </c>
      <c r="AK1586" s="109" t="s">
        <v>144</v>
      </c>
      <c r="AL1586" s="23" t="s">
        <v>147</v>
      </c>
      <c r="AM1586" s="96">
        <f ca="1">AM1572*1.01</f>
        <v>671919.20400787261</v>
      </c>
      <c r="AN1586" s="109" t="s">
        <v>144</v>
      </c>
      <c r="AO1586" s="23" t="s">
        <v>147</v>
      </c>
      <c r="AP1586" s="96">
        <f ca="1">AP1572*1.01</f>
        <v>780077.3363700608</v>
      </c>
      <c r="AQ1586" s="109" t="s">
        <v>144</v>
      </c>
      <c r="AR1586" s="23" t="s">
        <v>147</v>
      </c>
      <c r="AS1586" s="96">
        <f ca="1">AS1572*1.01</f>
        <v>914702.02601649414</v>
      </c>
      <c r="AT1586" s="109" t="s">
        <v>144</v>
      </c>
      <c r="AU1586" s="23" t="s">
        <v>147</v>
      </c>
    </row>
    <row r="1587" spans="15:47" x14ac:dyDescent="0.25">
      <c r="O1587" s="1"/>
      <c r="P1587" s="1"/>
      <c r="Q1587" s="1"/>
      <c r="R1587" s="98"/>
      <c r="S1587" s="107"/>
      <c r="T1587" s="1"/>
      <c r="U1587" s="47"/>
      <c r="V1587" s="107"/>
      <c r="W1587" s="1"/>
      <c r="X1587" s="47"/>
      <c r="Y1587" s="107"/>
      <c r="Z1587" s="1"/>
      <c r="AA1587" s="47"/>
      <c r="AB1587" s="107"/>
      <c r="AC1587" s="1"/>
      <c r="AD1587" s="47"/>
      <c r="AE1587" s="107"/>
      <c r="AF1587" s="1"/>
      <c r="AG1587" s="47"/>
      <c r="AH1587" s="107"/>
      <c r="AI1587" s="1"/>
      <c r="AJ1587" s="47"/>
      <c r="AK1587" s="107"/>
      <c r="AL1587" s="1"/>
      <c r="AM1587" s="47"/>
      <c r="AN1587" s="107"/>
      <c r="AO1587" s="1"/>
      <c r="AP1587" s="47"/>
      <c r="AQ1587" s="107"/>
      <c r="AR1587" s="1"/>
      <c r="AS1587" s="47"/>
      <c r="AT1587" s="107"/>
      <c r="AU1587" s="1"/>
    </row>
    <row r="1588" spans="15:47" x14ac:dyDescent="0.25">
      <c r="O1588" s="8" t="s">
        <v>132</v>
      </c>
      <c r="P1588" s="8"/>
      <c r="Q1588" s="8"/>
      <c r="R1588" s="96">
        <f>P_1_minQ-(R1586^2*R_up)+dpup_minQ</f>
        <v>90.183539100579836</v>
      </c>
      <c r="S1588" s="106"/>
      <c r="T1588" s="22"/>
      <c r="U1588" s="96">
        <f ca="1">P_1_minQ-(U1586^2*R_up)+dpup_minQ</f>
        <v>89.957491826759039</v>
      </c>
      <c r="V1588" s="107"/>
      <c r="W1588" s="1"/>
      <c r="X1588" s="96">
        <f ca="1">P_1_minQ-(X1586^2*R_up)+dpup_minQ</f>
        <v>88.8207035643414</v>
      </c>
      <c r="Y1588" s="107"/>
      <c r="Z1588" s="1"/>
      <c r="AA1588" s="96">
        <f ca="1">P_1_minQ-(AA1586^2*R_up)+dpup_minQ</f>
        <v>85.009142245439335</v>
      </c>
      <c r="AB1588" s="107"/>
      <c r="AC1588" s="1"/>
      <c r="AD1588" s="96">
        <f ca="1">P_1_minQ-(AD1586^2*R_up)+dpup_minQ</f>
        <v>75.616749575267761</v>
      </c>
      <c r="AE1588" s="107"/>
      <c r="AF1588" s="1"/>
      <c r="AG1588" s="96">
        <f ca="1">P_1_minQ-(AG1586^2*R_up)+dpup_minQ</f>
        <v>59.151379369911879</v>
      </c>
      <c r="AH1588" s="107"/>
      <c r="AI1588" s="1"/>
      <c r="AJ1588" s="96">
        <f ca="1">P_1_minQ-(AJ1586^2*R_up)+dpup_minQ</f>
        <v>34.917174855955977</v>
      </c>
      <c r="AK1588" s="107"/>
      <c r="AL1588" s="1"/>
      <c r="AM1588" s="96">
        <f ca="1">P_1_minQ-(AM1586^2*R_up)+dpup_minQ</f>
        <v>7.8987196949655774</v>
      </c>
      <c r="AN1588" s="107"/>
      <c r="AO1588" s="1"/>
      <c r="AP1588" s="96">
        <f ca="1">P_1_minQ-(AP1586^2*R_up)+dpup_minQ</f>
        <v>-20.724487754325523</v>
      </c>
      <c r="AQ1588" s="107"/>
      <c r="AR1588" s="1"/>
      <c r="AS1588" s="96">
        <f ca="1">P_1_minQ-(AS1586^2*R_up)+dpup_minQ</f>
        <v>-62.308981544910267</v>
      </c>
      <c r="AT1588" s="107"/>
      <c r="AU1588" s="1"/>
    </row>
    <row r="1589" spans="15:47" x14ac:dyDescent="0.25">
      <c r="O1589" s="8" t="s">
        <v>134</v>
      </c>
      <c r="P1589" s="1"/>
      <c r="Q1589" s="8"/>
      <c r="R1589" s="97">
        <f>P_2_minQ+(R1586^2*R_dn)-dpdn_minQ</f>
        <v>60</v>
      </c>
      <c r="S1589" s="106"/>
      <c r="T1589" s="22"/>
      <c r="U1589" s="97">
        <f ca="1">P_2_minQ+(U1586^2*R_dn)-dpdn_minQ</f>
        <v>60</v>
      </c>
      <c r="V1589" s="107"/>
      <c r="W1589" s="1"/>
      <c r="X1589" s="97">
        <f ca="1">P_2_minQ+(X1586^2*R_dn)-dpdn_minQ</f>
        <v>60</v>
      </c>
      <c r="Y1589" s="107"/>
      <c r="Z1589" s="1"/>
      <c r="AA1589" s="97">
        <f ca="1">P_2_minQ+(AA1586^2*R_dn)-dpdn_minQ</f>
        <v>60</v>
      </c>
      <c r="AB1589" s="107"/>
      <c r="AC1589" s="1"/>
      <c r="AD1589" s="97">
        <f ca="1">P_2_minQ+(AD1586^2*R_dn)-dpdn_minQ</f>
        <v>60</v>
      </c>
      <c r="AE1589" s="107"/>
      <c r="AF1589" s="1"/>
      <c r="AG1589" s="97">
        <f ca="1">P_2_minQ+(AG1586^2*R_dn)-dpdn_minQ</f>
        <v>60</v>
      </c>
      <c r="AH1589" s="107"/>
      <c r="AI1589" s="1"/>
      <c r="AJ1589" s="97">
        <f ca="1">P_2_minQ+(AJ1586^2*R_dn)-dpdn_minQ</f>
        <v>60</v>
      </c>
      <c r="AK1589" s="107"/>
      <c r="AL1589" s="1"/>
      <c r="AM1589" s="97">
        <f ca="1">P_2_minQ+(AM1586^2*R_dn)-dpdn_minQ</f>
        <v>60</v>
      </c>
      <c r="AN1589" s="107"/>
      <c r="AO1589" s="1"/>
      <c r="AP1589" s="97">
        <f ca="1">P_2_minQ+(AP1586^2*R_dn)-dpdn_minQ</f>
        <v>60</v>
      </c>
      <c r="AQ1589" s="107"/>
      <c r="AR1589" s="1"/>
      <c r="AS1589" s="97">
        <f ca="1">P_2_minQ+(AS1586^2*R_dn)-dpdn_minQ</f>
        <v>60</v>
      </c>
      <c r="AT1589" s="107"/>
      <c r="AU1589" s="1"/>
    </row>
    <row r="1590" spans="15:47" x14ac:dyDescent="0.25">
      <c r="O1590" s="8" t="s">
        <v>138</v>
      </c>
      <c r="P1590" s="1"/>
      <c r="Q1590" s="8"/>
      <c r="R1590" s="97">
        <f>R1588-R1589</f>
        <v>30.183539100579836</v>
      </c>
      <c r="S1590" s="106"/>
      <c r="T1590" s="22"/>
      <c r="U1590" s="97">
        <f ca="1">U1588-U1589</f>
        <v>29.957491826759039</v>
      </c>
      <c r="V1590" s="110"/>
      <c r="W1590" s="25"/>
      <c r="X1590" s="97">
        <f ca="1">X1588-X1589</f>
        <v>28.8207035643414</v>
      </c>
      <c r="Y1590" s="110"/>
      <c r="Z1590" s="25"/>
      <c r="AA1590" s="97">
        <f ca="1">AA1588-AA1589</f>
        <v>25.009142245439335</v>
      </c>
      <c r="AB1590" s="110"/>
      <c r="AC1590" s="25"/>
      <c r="AD1590" s="97">
        <f ca="1">AD1588-AD1589</f>
        <v>15.616749575267761</v>
      </c>
      <c r="AE1590" s="110"/>
      <c r="AF1590" s="25"/>
      <c r="AG1590" s="97">
        <f ca="1">AG1588-AG1589</f>
        <v>-0.84862063008812072</v>
      </c>
      <c r="AH1590" s="110"/>
      <c r="AI1590" s="25"/>
      <c r="AJ1590" s="97">
        <f ca="1">AJ1588-AJ1589</f>
        <v>-25.082825144044023</v>
      </c>
      <c r="AK1590" s="110"/>
      <c r="AL1590" s="25"/>
      <c r="AM1590" s="97">
        <f ca="1">AM1588-AM1589</f>
        <v>-52.101280305034422</v>
      </c>
      <c r="AN1590" s="110"/>
      <c r="AO1590" s="25"/>
      <c r="AP1590" s="97">
        <f ca="1">AP1588-AP1589</f>
        <v>-80.724487754325523</v>
      </c>
      <c r="AQ1590" s="110"/>
      <c r="AR1590" s="25"/>
      <c r="AS1590" s="97">
        <f ca="1">AS1588-AS1589</f>
        <v>-122.30898154491027</v>
      </c>
      <c r="AT1590" s="110"/>
      <c r="AU1590" s="25"/>
    </row>
    <row r="1591" spans="15:47" ht="14.4" x14ac:dyDescent="0.3">
      <c r="O1591" s="2" t="s">
        <v>140</v>
      </c>
      <c r="P1591" s="11"/>
      <c r="Q1591" s="2"/>
      <c r="R1591" s="96">
        <f>R1590/R1588</f>
        <v>0.3346901153093666</v>
      </c>
      <c r="S1591" s="106"/>
      <c r="T1591" s="22"/>
      <c r="U1591" s="96">
        <f ca="1">U1590/U1588</f>
        <v>0.33301830918598141</v>
      </c>
      <c r="V1591" s="111"/>
      <c r="W1591" s="28"/>
      <c r="X1591" s="96">
        <f ca="1">X1590/X1588</f>
        <v>0.32448182020381977</v>
      </c>
      <c r="Y1591" s="111"/>
      <c r="Z1591" s="28"/>
      <c r="AA1591" s="96">
        <f ca="1">AA1590/AA1588</f>
        <v>0.29419356065530766</v>
      </c>
      <c r="AB1591" s="111"/>
      <c r="AC1591" s="28"/>
      <c r="AD1591" s="96">
        <f ca="1">AD1590/AD1588</f>
        <v>0.20652500488298675</v>
      </c>
      <c r="AE1591" s="111"/>
      <c r="AF1591" s="28"/>
      <c r="AG1591" s="96">
        <f ca="1">AG1590/AG1588</f>
        <v>-1.434659071568131E-2</v>
      </c>
      <c r="AH1591" s="111"/>
      <c r="AI1591" s="28"/>
      <c r="AJ1591" s="96">
        <f ca="1">AJ1590/AJ1588</f>
        <v>-0.71835207881274321</v>
      </c>
      <c r="AK1591" s="111"/>
      <c r="AL1591" s="28"/>
      <c r="AM1591" s="96">
        <f ca="1">AM1590/AM1588</f>
        <v>-6.5961677736510032</v>
      </c>
      <c r="AN1591" s="111"/>
      <c r="AO1591" s="28"/>
      <c r="AP1591" s="96">
        <f ca="1">AP1590/AP1588</f>
        <v>3.8951258391164369</v>
      </c>
      <c r="AQ1591" s="111"/>
      <c r="AR1591" s="28"/>
      <c r="AS1591" s="96">
        <f ca="1">AS1590/AS1588</f>
        <v>1.962943038264138</v>
      </c>
      <c r="AT1591" s="111"/>
      <c r="AU1591" s="28"/>
    </row>
    <row r="1592" spans="15:47" x14ac:dyDescent="0.25">
      <c r="O1592" s="2" t="s">
        <v>21</v>
      </c>
      <c r="P1592" s="8">
        <v>12</v>
      </c>
      <c r="Q1592" s="2"/>
      <c r="R1592" s="96">
        <f ca="1">1-R1591/(3*F_GAMMA*R$29)</f>
        <v>0.82569031999113507</v>
      </c>
      <c r="S1592" s="106"/>
      <c r="T1592" s="22"/>
      <c r="U1592" s="96">
        <f ca="1">1-U1591/(3*F_GAMMA*U$29)</f>
        <v>0.82660130442999558</v>
      </c>
      <c r="V1592" s="111"/>
      <c r="W1592" s="28"/>
      <c r="X1592" s="96">
        <f ca="1">1-X1591/(3*F_GAMMA*X$29)</f>
        <v>0.82943699796070158</v>
      </c>
      <c r="Y1592" s="111"/>
      <c r="Z1592" s="28"/>
      <c r="AA1592" s="96">
        <f ca="1">1-AA1591/(3*F_GAMMA*AA$29)</f>
        <v>0.84317809361023976</v>
      </c>
      <c r="AB1592" s="111"/>
      <c r="AC1592" s="28"/>
      <c r="AD1592" s="96">
        <f ca="1">1-AD1591/(3*F_GAMMA*AD$29)</f>
        <v>0.88649608376221944</v>
      </c>
      <c r="AE1592" s="111"/>
      <c r="AF1592" s="28"/>
      <c r="AG1592" s="96">
        <f ca="1">1-AG1591/(3*F_GAMMA*AG$29)</f>
        <v>1.008357864202075</v>
      </c>
      <c r="AH1592" s="111"/>
      <c r="AI1592" s="28"/>
      <c r="AJ1592" s="96">
        <f ca="1">1-AJ1591/(3*F_GAMMA*AJ$29)</f>
        <v>1.4502367733768657</v>
      </c>
      <c r="AK1592" s="111"/>
      <c r="AL1592" s="28"/>
      <c r="AM1592" s="96">
        <f ca="1">1-AM1591/(3*F_GAMMA*AM$29)</f>
        <v>5.6224170651021872</v>
      </c>
      <c r="AN1592" s="111"/>
      <c r="AO1592" s="28"/>
      <c r="AP1592" s="96">
        <f ca="1">1-AP1591/(3*F_GAMMA*AP$29)</f>
        <v>-1.1986178752475816</v>
      </c>
      <c r="AQ1592" s="111"/>
      <c r="AR1592" s="28"/>
      <c r="AS1592" s="96">
        <f ca="1">1-AS1591/(3*F_GAMMA*AS$29)</f>
        <v>-0.73701033619374456</v>
      </c>
      <c r="AT1592" s="111"/>
      <c r="AU1592" s="28"/>
    </row>
    <row r="1593" spans="15:47" x14ac:dyDescent="0.25">
      <c r="O1593" s="2" t="s">
        <v>57</v>
      </c>
      <c r="P1593" s="143">
        <v>7</v>
      </c>
      <c r="Q1593" s="2"/>
      <c r="R1593" s="96">
        <f ca="1">(R1586/(N_9*R$27*R1588*R1592))*SQRT(M*'Valve Sizing'!$W$6*'Valve Sizing'!$G$8/R1591)</f>
        <v>1.1591132028233171</v>
      </c>
      <c r="S1593" s="107"/>
      <c r="T1593" s="22"/>
      <c r="U1593" s="96">
        <f ca="1">(U1586/(N_9*U$27*U1588*U1592))*SQRT(M*'Valve Sizing'!$W$6*'Valve Sizing'!$G$8/U1591)</f>
        <v>14.334872422279828</v>
      </c>
      <c r="V1593" s="111"/>
      <c r="W1593" s="28"/>
      <c r="X1593" s="96">
        <f ca="1">(X1586/(N_9*X$27*X1588*X1592))*SQRT(M*'Valve Sizing'!$W$6*'Valve Sizing'!$G$8/X1591)</f>
        <v>35.974167742122368</v>
      </c>
      <c r="Y1593" s="111"/>
      <c r="Z1593" s="28"/>
      <c r="AA1593" s="96">
        <f ca="1">(AA1586/(N_9*AA$27*AA1588*AA1592))*SQRT(M*'Valve Sizing'!$W$6*'Valve Sizing'!$G$8/AA1591)</f>
        <v>76.082309106374694</v>
      </c>
      <c r="AB1593" s="111"/>
      <c r="AC1593" s="28"/>
      <c r="AD1593" s="96">
        <f ca="1">(AD1586/(N_9*AD$27*AD1588*AD1592))*SQRT(M*'Valve Sizing'!$W$6*'Valve Sizing'!$G$8/AD1591)</f>
        <v>164.91585617010398</v>
      </c>
      <c r="AE1593" s="111"/>
      <c r="AF1593" s="28"/>
      <c r="AG1593" s="96" t="e">
        <f ca="1">(AG1586/(N_9*AG$27*AG1588*AG1592))*SQRT(M*'Valve Sizing'!$W$6*'Valve Sizing'!$G$8/AG1591)</f>
        <v>#NUM!</v>
      </c>
      <c r="AH1593" s="111"/>
      <c r="AI1593" s="28"/>
      <c r="AJ1593" s="96" t="e">
        <f ca="1">(AJ1586/(N_9*AJ$27*AJ1588*AJ1592))*SQRT(M*'Valve Sizing'!$W$6*'Valve Sizing'!$G$8/AJ1591)</f>
        <v>#NUM!</v>
      </c>
      <c r="AK1593" s="111"/>
      <c r="AL1593" s="28"/>
      <c r="AM1593" s="96" t="e">
        <f ca="1">(AM1586/(N_9*AM$27*AM1588*AM1592))*SQRT(M*'Valve Sizing'!$W$6*'Valve Sizing'!$G$8/AM1591)</f>
        <v>#NUM!</v>
      </c>
      <c r="AN1593" s="111"/>
      <c r="AO1593" s="28"/>
      <c r="AP1593" s="96">
        <f ca="1">(AP1586/(N_9*AP$27*AP1588*AP1592))*SQRT(M*'Valve Sizing'!$W$6*'Valve Sizing'!$G$8/AP1591)</f>
        <v>361.76112544261736</v>
      </c>
      <c r="AQ1593" s="111"/>
      <c r="AR1593" s="28"/>
      <c r="AS1593" s="96">
        <f ca="1">(AS1586/(N_9*AS$27*AS1588*AS1592))*SQRT(M*'Valve Sizing'!$W$6*'Valve Sizing'!$G$8/AS1591)</f>
        <v>432.93043519272197</v>
      </c>
      <c r="AT1593" s="111"/>
      <c r="AU1593" s="28"/>
    </row>
    <row r="1594" spans="15:47" x14ac:dyDescent="0.25">
      <c r="O1594" s="2" t="s">
        <v>59</v>
      </c>
      <c r="P1594" s="143">
        <v>7</v>
      </c>
      <c r="Q1594" s="2"/>
      <c r="R1594" s="96">
        <f ca="1">(R1586/(N_9*R$27*R1588*0.667))*SQRT(M*'Valve Sizing'!$W$6*'Valve Sizing'!$G$8/R1595)</f>
        <v>1.0376206163077621</v>
      </c>
      <c r="S1594" s="107"/>
      <c r="T1594" s="22"/>
      <c r="U1594" s="96">
        <f ca="1">(U1586/(N_9*U$27*U1588*0.667))*SQRT(M*'Valve Sizing'!$W$6*'Valve Sizing'!$G$8/U1595)</f>
        <v>12.812905554820469</v>
      </c>
      <c r="V1594" s="111"/>
      <c r="W1594" s="28"/>
      <c r="X1594" s="96">
        <f ca="1">(X1586/(N_9*X$27*X1588*0.667))*SQRT(M*'Valve Sizing'!$W$6*'Valve Sizing'!$G$8/X1595)</f>
        <v>32.000102405369098</v>
      </c>
      <c r="Y1594" s="111"/>
      <c r="Z1594" s="28"/>
      <c r="AA1594" s="96">
        <f ca="1">(AA1586/(N_9*AA$27*AA1588*0.667))*SQRT(M*'Valve Sizing'!$W$6*'Valve Sizing'!$G$8/AA1595)</f>
        <v>65.969190917432442</v>
      </c>
      <c r="AB1594" s="111"/>
      <c r="AC1594" s="28"/>
      <c r="AD1594" s="96">
        <f ca="1">(AD1586/(N_9*AD$27*AD1588*0.667))*SQRT(M*'Valve Sizing'!$W$6*'Valve Sizing'!$G$8/AD1595)</f>
        <v>127.90262322252755</v>
      </c>
      <c r="AE1594" s="111"/>
      <c r="AF1594" s="28"/>
      <c r="AG1594" s="96">
        <f ca="1">(AG1586/(N_9*AG$27*AG1588*0.667))*SQRT(M*'Valve Sizing'!$W$6*'Valve Sizing'!$G$8/AG1595)</f>
        <v>251.2258335354243</v>
      </c>
      <c r="AH1594" s="111"/>
      <c r="AI1594" s="28"/>
      <c r="AJ1594" s="96">
        <f ca="1">(AJ1586/(N_9*AJ$27*AJ1588*0.667))*SQRT(M*'Valve Sizing'!$W$6*'Valve Sizing'!$G$8/AJ1595)</f>
        <v>610.39568921497164</v>
      </c>
      <c r="AK1594" s="111"/>
      <c r="AL1594" s="28"/>
      <c r="AM1594" s="96">
        <f ca="1">(AM1586/(N_9*AM$27*AM1588*0.667))*SQRT(M*'Valve Sizing'!$W$6*'Valve Sizing'!$G$8/AM1595)</f>
        <v>3693.8302499089814</v>
      </c>
      <c r="AN1594" s="111"/>
      <c r="AO1594" s="28"/>
      <c r="AP1594" s="96">
        <f ca="1">(AP1586/(N_9*AP$27*AP1588*0.667))*SQRT(M*'Valve Sizing'!$W$6*'Valve Sizing'!$G$8/AP1595)</f>
        <v>-1669.5995421286768</v>
      </c>
      <c r="AQ1594" s="111"/>
      <c r="AR1594" s="28"/>
      <c r="AS1594" s="96">
        <f ca="1">(AS1586/(N_9*AS$27*AS1588*0.667))*SQRT(M*'Valve Sizing'!$W$6*'Valve Sizing'!$G$8/AS1595)</f>
        <v>-1092.0127056620738</v>
      </c>
      <c r="AT1594" s="111"/>
      <c r="AU1594" s="28"/>
    </row>
    <row r="1595" spans="15:47" ht="15.6" x14ac:dyDescent="0.35">
      <c r="O1595" s="2" t="s">
        <v>68</v>
      </c>
      <c r="P1595" s="143">
        <v>10</v>
      </c>
      <c r="Q1595" s="2"/>
      <c r="R1595" s="96">
        <f ca="1">F_GAMMA*R$29</f>
        <v>0.64002969751372984</v>
      </c>
      <c r="S1595" s="107"/>
      <c r="T1595" s="1"/>
      <c r="U1595" s="96">
        <f ca="1">F_GAMMA*U$29</f>
        <v>0.64017842058782071</v>
      </c>
      <c r="V1595" s="111"/>
      <c r="W1595" s="28"/>
      <c r="X1595" s="96">
        <f ca="1">F_GAMMA*X$29</f>
        <v>0.63413873724904268</v>
      </c>
      <c r="Y1595" s="111"/>
      <c r="Z1595" s="28"/>
      <c r="AA1595" s="96">
        <f ca="1">F_GAMMA*AA$29</f>
        <v>0.62532411750377137</v>
      </c>
      <c r="AB1595" s="111"/>
      <c r="AC1595" s="28"/>
      <c r="AD1595" s="96">
        <f ca="1">F_GAMMA*AD$29</f>
        <v>0.60651359509139569</v>
      </c>
      <c r="AE1595" s="111"/>
      <c r="AF1595" s="28"/>
      <c r="AG1595" s="96">
        <f ca="1">F_GAMMA*AG$29</f>
        <v>0.57217930198481592</v>
      </c>
      <c r="AH1595" s="111"/>
      <c r="AI1595" s="28"/>
      <c r="AJ1595" s="96">
        <f ca="1">F_GAMMA*AJ$29</f>
        <v>0.53183282018848232</v>
      </c>
      <c r="AK1595" s="111"/>
      <c r="AL1595" s="28"/>
      <c r="AM1595" s="96">
        <f ca="1">F_GAMMA*AM$29</f>
        <v>0.47566512503094399</v>
      </c>
      <c r="AN1595" s="111"/>
      <c r="AO1595" s="28"/>
      <c r="AP1595" s="96">
        <f ca="1">F_GAMMA*AP$29</f>
        <v>0.59054158265645496</v>
      </c>
      <c r="AQ1595" s="111"/>
      <c r="AR1595" s="28"/>
      <c r="AS1595" s="96">
        <f ca="1">F_GAMMA*AS$29</f>
        <v>0.3766899554102966</v>
      </c>
      <c r="AT1595" s="111"/>
      <c r="AU1595" s="28"/>
    </row>
    <row r="1596" spans="15:47" x14ac:dyDescent="0.25">
      <c r="O1596" s="2" t="s">
        <v>145</v>
      </c>
      <c r="P1596" s="12"/>
      <c r="Q1596" s="2"/>
      <c r="R1596" s="96">
        <f ca="1">IF(R1591&lt;R1595,R1593,R1594)</f>
        <v>1.1591132028233171</v>
      </c>
      <c r="S1596" s="116"/>
      <c r="T1596" s="1"/>
      <c r="U1596" s="96">
        <f ca="1">IF(U1591&lt;U1595,U1593,U1594)</f>
        <v>14.334872422279828</v>
      </c>
      <c r="V1596" s="111"/>
      <c r="W1596" s="28"/>
      <c r="X1596" s="96">
        <f ca="1">IF(X1591&lt;X1595,X1593,X1594)</f>
        <v>35.974167742122368</v>
      </c>
      <c r="Y1596" s="111"/>
      <c r="Z1596" s="28"/>
      <c r="AA1596" s="96">
        <f ca="1">IF(AA1591&lt;AA1595,AA1593,AA1594)</f>
        <v>76.082309106374694</v>
      </c>
      <c r="AB1596" s="111"/>
      <c r="AC1596" s="28"/>
      <c r="AD1596" s="96">
        <f ca="1">IF(AD1591&lt;AD1595,AD1593,AD1594)</f>
        <v>164.91585617010398</v>
      </c>
      <c r="AE1596" s="111"/>
      <c r="AF1596" s="28"/>
      <c r="AG1596" s="96" t="e">
        <f ca="1">IF(AG1591&lt;AG1595,AG1593,AG1594)</f>
        <v>#NUM!</v>
      </c>
      <c r="AH1596" s="111"/>
      <c r="AI1596" s="28"/>
      <c r="AJ1596" s="96" t="e">
        <f ca="1">IF(AJ1591&lt;AJ1595,AJ1593,AJ1594)</f>
        <v>#NUM!</v>
      </c>
      <c r="AK1596" s="111"/>
      <c r="AL1596" s="28"/>
      <c r="AM1596" s="96" t="e">
        <f ca="1">IF(AM1591&lt;AM1595,AM1593,AM1594)</f>
        <v>#NUM!</v>
      </c>
      <c r="AN1596" s="111"/>
      <c r="AO1596" s="28"/>
      <c r="AP1596" s="96">
        <f ca="1">IF(AP1591&lt;AP1595,AP1593,AP1594)</f>
        <v>-1669.5995421286768</v>
      </c>
      <c r="AQ1596" s="111"/>
      <c r="AR1596" s="28"/>
      <c r="AS1596" s="96">
        <f ca="1">IF(AS1591&lt;AS1595,AS1593,AS1594)</f>
        <v>-1092.0127056620738</v>
      </c>
      <c r="AT1596" s="111"/>
      <c r="AU1596" s="28"/>
    </row>
    <row r="1597" spans="15:47" x14ac:dyDescent="0.25">
      <c r="O1597" s="13" t="s">
        <v>143</v>
      </c>
      <c r="P1597" s="1"/>
      <c r="Q1597" s="1"/>
      <c r="R1597" s="113"/>
      <c r="S1597" s="106">
        <f ca="1">IF(R1590&lt;=0,Q_max,ABS(R$23-R1596))</f>
        <v>3.5708867971766836</v>
      </c>
      <c r="T1597" s="7">
        <f>R1586</f>
        <v>2870.1574987968474</v>
      </c>
      <c r="U1597" s="98"/>
      <c r="V1597" s="106">
        <f ca="1">IF(U1590&lt;=0,Q_max,ABS(U$23-U1596))</f>
        <v>2.7348724222798282</v>
      </c>
      <c r="W1597" s="9">
        <f ca="1">U1586</f>
        <v>35333.805502246265</v>
      </c>
      <c r="X1597" s="98"/>
      <c r="Y1597" s="106">
        <f ca="1">IF(X1590&lt;=0,Q_max,ABS(X$23-X1596))</f>
        <v>12.974167742122368</v>
      </c>
      <c r="Z1597" s="9">
        <f ca="1">X1586</f>
        <v>86519.510672474513</v>
      </c>
      <c r="AA1597" s="98"/>
      <c r="AB1597" s="106">
        <f ca="1">IF(AA1590&lt;=0,Q_max,ABS(AA$23-AA1596))</f>
        <v>36.682309106374696</v>
      </c>
      <c r="AC1597" s="9">
        <f ca="1">AA1586</f>
        <v>168517.92308171638</v>
      </c>
      <c r="AD1597" s="98"/>
      <c r="AE1597" s="106">
        <f ca="1">IF(AD1590&lt;=0,Q_max,ABS(AD$23-AD1596))</f>
        <v>103.91585617010398</v>
      </c>
      <c r="AF1597" s="9">
        <f ca="1">AD1586</f>
        <v>282720.65262214019</v>
      </c>
      <c r="AG1597" s="98"/>
      <c r="AH1597" s="106">
        <f ca="1">IF(AG1590&lt;=0,Q_max,ABS(AG$23-AG1596))</f>
        <v>236393</v>
      </c>
      <c r="AI1597" s="9">
        <f ca="1">AG1586</f>
        <v>412638.4927217901</v>
      </c>
      <c r="AJ1597" s="98"/>
      <c r="AK1597" s="106">
        <f ca="1">IF(AJ1590&lt;=0,Q_max,ABS(AJ$23-AJ1596))</f>
        <v>236393</v>
      </c>
      <c r="AL1597" s="9">
        <f ca="1">AJ1586</f>
        <v>550667.66815808904</v>
      </c>
      <c r="AM1597" s="98"/>
      <c r="AN1597" s="106">
        <f ca="1">IF(AM1590&lt;=0,Q_max,ABS(AM$23-AM1596))</f>
        <v>236393</v>
      </c>
      <c r="AO1597" s="9">
        <f ca="1">AM1586</f>
        <v>671919.20400787261</v>
      </c>
      <c r="AP1597" s="98"/>
      <c r="AQ1597" s="106">
        <f ca="1">IF(AP1590&lt;=0,Q_max,ABS(AP$23-AP1596))</f>
        <v>236393</v>
      </c>
      <c r="AR1597" s="9">
        <f ca="1">AP1586</f>
        <v>780077.3363700608</v>
      </c>
      <c r="AS1597" s="98"/>
      <c r="AT1597" s="106">
        <f ca="1">IF(AS1590&lt;=0,Q_max,ABS(AS$23-AS1596))</f>
        <v>236393</v>
      </c>
      <c r="AU1597" s="9">
        <f ca="1">AS1586</f>
        <v>914702.02601649414</v>
      </c>
    </row>
    <row r="1598" spans="15:47" x14ac:dyDescent="0.25">
      <c r="O1598" s="21"/>
      <c r="P1598" s="14"/>
      <c r="Q1598" s="21"/>
      <c r="R1598" s="97"/>
      <c r="S1598" s="106"/>
      <c r="T1598" s="28"/>
      <c r="U1598" s="97"/>
      <c r="V1598" s="111"/>
      <c r="W1598" s="28"/>
      <c r="X1598" s="97"/>
      <c r="Y1598" s="111"/>
      <c r="Z1598" s="28"/>
      <c r="AA1598" s="97"/>
      <c r="AB1598" s="111"/>
      <c r="AC1598" s="28"/>
      <c r="AD1598" s="97"/>
      <c r="AE1598" s="111"/>
      <c r="AF1598" s="28"/>
      <c r="AG1598" s="97"/>
      <c r="AH1598" s="111"/>
      <c r="AI1598" s="28"/>
      <c r="AJ1598" s="97"/>
      <c r="AK1598" s="111"/>
      <c r="AL1598" s="28"/>
      <c r="AM1598" s="97"/>
      <c r="AN1598" s="111"/>
      <c r="AO1598" s="28"/>
      <c r="AP1598" s="97"/>
      <c r="AQ1598" s="111"/>
      <c r="AR1598" s="28"/>
      <c r="AS1598" s="97"/>
      <c r="AT1598" s="111"/>
      <c r="AU1598" s="28"/>
    </row>
    <row r="1599" spans="15:47" x14ac:dyDescent="0.25">
      <c r="O1599" s="1"/>
      <c r="P1599" s="1"/>
      <c r="Q1599" s="1"/>
      <c r="R1599" s="98"/>
      <c r="S1599" s="108" t="s">
        <v>137</v>
      </c>
      <c r="T1599" s="26" t="s">
        <v>146</v>
      </c>
      <c r="U1599" s="98"/>
      <c r="V1599" s="108" t="s">
        <v>137</v>
      </c>
      <c r="W1599" s="26" t="s">
        <v>146</v>
      </c>
      <c r="X1599" s="98"/>
      <c r="Y1599" s="108" t="s">
        <v>137</v>
      </c>
      <c r="Z1599" s="26" t="s">
        <v>146</v>
      </c>
      <c r="AA1599" s="98"/>
      <c r="AB1599" s="108" t="s">
        <v>137</v>
      </c>
      <c r="AC1599" s="26" t="s">
        <v>146</v>
      </c>
      <c r="AD1599" s="98"/>
      <c r="AE1599" s="108" t="s">
        <v>137</v>
      </c>
      <c r="AF1599" s="26" t="s">
        <v>146</v>
      </c>
      <c r="AG1599" s="98"/>
      <c r="AH1599" s="108" t="s">
        <v>137</v>
      </c>
      <c r="AI1599" s="26" t="s">
        <v>146</v>
      </c>
      <c r="AJ1599" s="98"/>
      <c r="AK1599" s="108" t="s">
        <v>137</v>
      </c>
      <c r="AL1599" s="26" t="s">
        <v>146</v>
      </c>
      <c r="AM1599" s="98"/>
      <c r="AN1599" s="108" t="s">
        <v>137</v>
      </c>
      <c r="AO1599" s="26" t="s">
        <v>146</v>
      </c>
      <c r="AP1599" s="98"/>
      <c r="AQ1599" s="108" t="s">
        <v>137</v>
      </c>
      <c r="AR1599" s="26" t="s">
        <v>146</v>
      </c>
      <c r="AS1599" s="98"/>
      <c r="AT1599" s="108" t="s">
        <v>137</v>
      </c>
      <c r="AU1599" s="26" t="s">
        <v>146</v>
      </c>
    </row>
    <row r="1600" spans="15:47" ht="13.8" x14ac:dyDescent="0.25">
      <c r="O1600" s="20" t="s">
        <v>136</v>
      </c>
      <c r="P1600" s="1"/>
      <c r="Q1600" s="1"/>
      <c r="R1600" s="96">
        <f>R1586*1.02</f>
        <v>2927.5606487727846</v>
      </c>
      <c r="S1600" s="109" t="s">
        <v>144</v>
      </c>
      <c r="T1600" s="23" t="s">
        <v>147</v>
      </c>
      <c r="U1600" s="96">
        <f ca="1">U1586*1.01</f>
        <v>35687.143557268726</v>
      </c>
      <c r="V1600" s="109" t="s">
        <v>144</v>
      </c>
      <c r="W1600" s="23" t="s">
        <v>147</v>
      </c>
      <c r="X1600" s="96">
        <f ca="1">X1586*1.01</f>
        <v>87384.705779199256</v>
      </c>
      <c r="Y1600" s="109" t="s">
        <v>144</v>
      </c>
      <c r="Z1600" s="23" t="s">
        <v>147</v>
      </c>
      <c r="AA1600" s="96">
        <f ca="1">AA1586*1.01</f>
        <v>170203.10231253353</v>
      </c>
      <c r="AB1600" s="109" t="s">
        <v>144</v>
      </c>
      <c r="AC1600" s="23" t="s">
        <v>147</v>
      </c>
      <c r="AD1600" s="96">
        <f ca="1">AD1586*1.01</f>
        <v>285547.8591483616</v>
      </c>
      <c r="AE1600" s="109" t="s">
        <v>144</v>
      </c>
      <c r="AF1600" s="23" t="s">
        <v>147</v>
      </c>
      <c r="AG1600" s="96">
        <f ca="1">AG1586*1.01</f>
        <v>416764.87764900801</v>
      </c>
      <c r="AH1600" s="109" t="s">
        <v>144</v>
      </c>
      <c r="AI1600" s="23" t="s">
        <v>147</v>
      </c>
      <c r="AJ1600" s="96">
        <f ca="1">AJ1586*1.01</f>
        <v>556174.34483967</v>
      </c>
      <c r="AK1600" s="109" t="s">
        <v>144</v>
      </c>
      <c r="AL1600" s="23" t="s">
        <v>147</v>
      </c>
      <c r="AM1600" s="96">
        <f ca="1">AM1586*1.01</f>
        <v>678638.3960479513</v>
      </c>
      <c r="AN1600" s="109" t="s">
        <v>144</v>
      </c>
      <c r="AO1600" s="23" t="s">
        <v>147</v>
      </c>
      <c r="AP1600" s="96">
        <f ca="1">AP1586*1.01</f>
        <v>787878.1097337614</v>
      </c>
      <c r="AQ1600" s="109" t="s">
        <v>144</v>
      </c>
      <c r="AR1600" s="23" t="s">
        <v>147</v>
      </c>
      <c r="AS1600" s="96">
        <f ca="1">AS1586*1.01</f>
        <v>923849.04627665912</v>
      </c>
      <c r="AT1600" s="109" t="s">
        <v>144</v>
      </c>
      <c r="AU1600" s="23" t="s">
        <v>147</v>
      </c>
    </row>
    <row r="1601" spans="15:47" x14ac:dyDescent="0.25">
      <c r="O1601" s="1"/>
      <c r="P1601" s="1"/>
      <c r="Q1601" s="1"/>
      <c r="R1601" s="98"/>
      <c r="S1601" s="107"/>
      <c r="T1601" s="1"/>
      <c r="U1601" s="47"/>
      <c r="V1601" s="107"/>
      <c r="W1601" s="1"/>
      <c r="X1601" s="47"/>
      <c r="Y1601" s="107"/>
      <c r="Z1601" s="1"/>
      <c r="AA1601" s="47"/>
      <c r="AB1601" s="107"/>
      <c r="AC1601" s="1"/>
      <c r="AD1601" s="47"/>
      <c r="AE1601" s="107"/>
      <c r="AF1601" s="1"/>
      <c r="AG1601" s="47"/>
      <c r="AH1601" s="107"/>
      <c r="AI1601" s="1"/>
      <c r="AJ1601" s="47"/>
      <c r="AK1601" s="107"/>
      <c r="AL1601" s="1"/>
      <c r="AM1601" s="47"/>
      <c r="AN1601" s="107"/>
      <c r="AO1601" s="1"/>
      <c r="AP1601" s="47"/>
      <c r="AQ1601" s="107"/>
      <c r="AR1601" s="1"/>
      <c r="AS1601" s="47"/>
      <c r="AT1601" s="107"/>
      <c r="AU1601" s="1"/>
    </row>
    <row r="1602" spans="15:47" x14ac:dyDescent="0.25">
      <c r="O1602" s="8" t="s">
        <v>132</v>
      </c>
      <c r="P1602" s="8"/>
      <c r="Q1602" s="8"/>
      <c r="R1602" s="96">
        <f>P_1_minQ-(R1600^2*R_up)+dpup_minQ</f>
        <v>90.183478442820942</v>
      </c>
      <c r="S1602" s="106"/>
      <c r="T1602" s="22"/>
      <c r="U1602" s="96">
        <f ca="1">P_1_minQ-(U1600^2*R_up)+dpup_minQ</f>
        <v>89.952918097818753</v>
      </c>
      <c r="V1602" s="107"/>
      <c r="W1602" s="1"/>
      <c r="X1602" s="96">
        <f ca="1">P_1_minQ-(X1600^2*R_up)+dpup_minQ</f>
        <v>88.793280391326519</v>
      </c>
      <c r="Y1602" s="107"/>
      <c r="Z1602" s="1"/>
      <c r="AA1602" s="96">
        <f ca="1">P_1_minQ-(AA1600^2*R_up)+dpup_minQ</f>
        <v>84.905106689914533</v>
      </c>
      <c r="AB1602" s="107"/>
      <c r="AC1602" s="1"/>
      <c r="AD1602" s="96">
        <f ca="1">P_1_minQ-(AD1600^2*R_up)+dpup_minQ</f>
        <v>75.323926927072506</v>
      </c>
      <c r="AE1602" s="107"/>
      <c r="AF1602" s="1"/>
      <c r="AG1602" s="96">
        <f ca="1">P_1_minQ-(AG1600^2*R_up)+dpup_minQ</f>
        <v>58.527602780588978</v>
      </c>
      <c r="AH1602" s="107"/>
      <c r="AI1602" s="1"/>
      <c r="AJ1602" s="96">
        <f ca="1">P_1_minQ-(AJ1600^2*R_up)+dpup_minQ</f>
        <v>33.806290755902545</v>
      </c>
      <c r="AK1602" s="107"/>
      <c r="AL1602" s="1"/>
      <c r="AM1602" s="96">
        <f ca="1">P_1_minQ-(AM1600^2*R_up)+dpup_minQ</f>
        <v>6.2447646461762494</v>
      </c>
      <c r="AN1602" s="107"/>
      <c r="AO1602" s="1"/>
      <c r="AP1602" s="96">
        <f ca="1">P_1_minQ-(AP1600^2*R_up)+dpup_minQ</f>
        <v>-22.953769272845605</v>
      </c>
      <c r="AQ1602" s="107"/>
      <c r="AR1602" s="1"/>
      <c r="AS1602" s="96">
        <f ca="1">P_1_minQ-(AS1600^2*R_up)+dpup_minQ</f>
        <v>-65.374111388621117</v>
      </c>
      <c r="AT1602" s="107"/>
      <c r="AU1602" s="1"/>
    </row>
    <row r="1603" spans="15:47" x14ac:dyDescent="0.25">
      <c r="O1603" s="8" t="s">
        <v>134</v>
      </c>
      <c r="P1603" s="1"/>
      <c r="Q1603" s="8"/>
      <c r="R1603" s="97">
        <f>P_2_minQ+(R1600^2*R_dn)-dpdn_minQ</f>
        <v>60</v>
      </c>
      <c r="S1603" s="106"/>
      <c r="T1603" s="22"/>
      <c r="U1603" s="97">
        <f ca="1">P_2_minQ+(U1600^2*R_dn)-dpdn_minQ</f>
        <v>60</v>
      </c>
      <c r="V1603" s="107"/>
      <c r="W1603" s="1"/>
      <c r="X1603" s="97">
        <f ca="1">P_2_minQ+(X1600^2*R_dn)-dpdn_minQ</f>
        <v>60</v>
      </c>
      <c r="Y1603" s="107"/>
      <c r="Z1603" s="1"/>
      <c r="AA1603" s="97">
        <f ca="1">P_2_minQ+(AA1600^2*R_dn)-dpdn_minQ</f>
        <v>60</v>
      </c>
      <c r="AB1603" s="107"/>
      <c r="AC1603" s="1"/>
      <c r="AD1603" s="97">
        <f ca="1">P_2_minQ+(AD1600^2*R_dn)-dpdn_minQ</f>
        <v>60</v>
      </c>
      <c r="AE1603" s="107"/>
      <c r="AF1603" s="1"/>
      <c r="AG1603" s="97">
        <f ca="1">P_2_minQ+(AG1600^2*R_dn)-dpdn_minQ</f>
        <v>60</v>
      </c>
      <c r="AH1603" s="107"/>
      <c r="AI1603" s="1"/>
      <c r="AJ1603" s="97">
        <f ca="1">P_2_minQ+(AJ1600^2*R_dn)-dpdn_minQ</f>
        <v>60</v>
      </c>
      <c r="AK1603" s="107"/>
      <c r="AL1603" s="1"/>
      <c r="AM1603" s="97">
        <f ca="1">P_2_minQ+(AM1600^2*R_dn)-dpdn_minQ</f>
        <v>60</v>
      </c>
      <c r="AN1603" s="107"/>
      <c r="AO1603" s="1"/>
      <c r="AP1603" s="97">
        <f ca="1">P_2_minQ+(AP1600^2*R_dn)-dpdn_minQ</f>
        <v>60</v>
      </c>
      <c r="AQ1603" s="107"/>
      <c r="AR1603" s="1"/>
      <c r="AS1603" s="97">
        <f ca="1">P_2_minQ+(AS1600^2*R_dn)-dpdn_minQ</f>
        <v>60</v>
      </c>
      <c r="AT1603" s="107"/>
      <c r="AU1603" s="1"/>
    </row>
    <row r="1604" spans="15:47" x14ac:dyDescent="0.25">
      <c r="O1604" s="8" t="s">
        <v>138</v>
      </c>
      <c r="P1604" s="1"/>
      <c r="Q1604" s="8"/>
      <c r="R1604" s="97">
        <f>R1602-R1603</f>
        <v>30.183478442820942</v>
      </c>
      <c r="S1604" s="106"/>
      <c r="T1604" s="22"/>
      <c r="U1604" s="97">
        <f ca="1">U1602-U1603</f>
        <v>29.952918097818753</v>
      </c>
      <c r="V1604" s="110"/>
      <c r="W1604" s="25"/>
      <c r="X1604" s="97">
        <f ca="1">X1602-X1603</f>
        <v>28.793280391326519</v>
      </c>
      <c r="Y1604" s="110"/>
      <c r="Z1604" s="25"/>
      <c r="AA1604" s="97">
        <f ca="1">AA1602-AA1603</f>
        <v>24.905106689914533</v>
      </c>
      <c r="AB1604" s="110"/>
      <c r="AC1604" s="25"/>
      <c r="AD1604" s="97">
        <f ca="1">AD1602-AD1603</f>
        <v>15.323926927072506</v>
      </c>
      <c r="AE1604" s="110"/>
      <c r="AF1604" s="25"/>
      <c r="AG1604" s="97">
        <f ca="1">AG1602-AG1603</f>
        <v>-1.4723972194110218</v>
      </c>
      <c r="AH1604" s="110"/>
      <c r="AI1604" s="25"/>
      <c r="AJ1604" s="97">
        <f ca="1">AJ1602-AJ1603</f>
        <v>-26.193709244097455</v>
      </c>
      <c r="AK1604" s="110"/>
      <c r="AL1604" s="25"/>
      <c r="AM1604" s="97">
        <f ca="1">AM1602-AM1603</f>
        <v>-53.75523535382375</v>
      </c>
      <c r="AN1604" s="110"/>
      <c r="AO1604" s="25"/>
      <c r="AP1604" s="97">
        <f ca="1">AP1602-AP1603</f>
        <v>-82.953769272845605</v>
      </c>
      <c r="AQ1604" s="110"/>
      <c r="AR1604" s="25"/>
      <c r="AS1604" s="97">
        <f ca="1">AS1602-AS1603</f>
        <v>-125.37411138862112</v>
      </c>
      <c r="AT1604" s="110"/>
      <c r="AU1604" s="25"/>
    </row>
    <row r="1605" spans="15:47" ht="14.4" x14ac:dyDescent="0.3">
      <c r="O1605" s="2" t="s">
        <v>140</v>
      </c>
      <c r="P1605" s="11"/>
      <c r="Q1605" s="2"/>
      <c r="R1605" s="96">
        <f>R1604/R1602</f>
        <v>0.33468966781934656</v>
      </c>
      <c r="S1605" s="106"/>
      <c r="T1605" s="22"/>
      <c r="U1605" s="96">
        <f ca="1">U1604/U1602</f>
        <v>0.33298439596197016</v>
      </c>
      <c r="V1605" s="111"/>
      <c r="W1605" s="28"/>
      <c r="X1605" s="96">
        <f ca="1">X1604/X1602</f>
        <v>0.32427319121931097</v>
      </c>
      <c r="Y1605" s="111"/>
      <c r="Z1605" s="28"/>
      <c r="AA1605" s="96">
        <f ca="1">AA1604/AA1602</f>
        <v>0.29332872498319218</v>
      </c>
      <c r="AB1605" s="111"/>
      <c r="AC1605" s="28"/>
      <c r="AD1605" s="96">
        <f ca="1">AD1604/AD1602</f>
        <v>0.20344036154552725</v>
      </c>
      <c r="AE1605" s="111"/>
      <c r="AF1605" s="28"/>
      <c r="AG1605" s="96">
        <f ca="1">AG1604/AG1602</f>
        <v>-2.5157312950793723E-2</v>
      </c>
      <c r="AH1605" s="111"/>
      <c r="AI1605" s="28"/>
      <c r="AJ1605" s="96">
        <f ca="1">AJ1604/AJ1602</f>
        <v>-0.77481760519746046</v>
      </c>
      <c r="AK1605" s="111"/>
      <c r="AL1605" s="28"/>
      <c r="AM1605" s="96">
        <f ca="1">AM1604/AM1602</f>
        <v>-8.6080482451390345</v>
      </c>
      <c r="AN1605" s="111"/>
      <c r="AO1605" s="28"/>
      <c r="AP1605" s="96">
        <f ca="1">AP1604/AP1602</f>
        <v>3.6139497738604622</v>
      </c>
      <c r="AQ1605" s="111"/>
      <c r="AR1605" s="28"/>
      <c r="AS1605" s="96">
        <f ca="1">AS1604/AS1602</f>
        <v>1.9177945019141549</v>
      </c>
      <c r="AT1605" s="111"/>
      <c r="AU1605" s="28"/>
    </row>
    <row r="1606" spans="15:47" x14ac:dyDescent="0.25">
      <c r="O1606" s="2" t="s">
        <v>21</v>
      </c>
      <c r="P1606" s="8">
        <v>12</v>
      </c>
      <c r="Q1606" s="2"/>
      <c r="R1606" s="96">
        <f ca="1">1-R1605/(3*F_GAMMA*R$29)</f>
        <v>0.8256905530480394</v>
      </c>
      <c r="S1606" s="106"/>
      <c r="T1606" s="22"/>
      <c r="U1606" s="96">
        <f ca="1">1-U1605/(3*F_GAMMA*U$29)</f>
        <v>0.82661896264470602</v>
      </c>
      <c r="V1606" s="111"/>
      <c r="W1606" s="28"/>
      <c r="X1606" s="96">
        <f ca="1">1-X1605/(3*F_GAMMA*X$29)</f>
        <v>0.82954666322912207</v>
      </c>
      <c r="Y1606" s="111"/>
      <c r="Z1606" s="28"/>
      <c r="AA1606" s="96">
        <f ca="1">1-AA1605/(3*F_GAMMA*AA$29)</f>
        <v>0.84363910022953115</v>
      </c>
      <c r="AB1606" s="111"/>
      <c r="AC1606" s="28"/>
      <c r="AD1606" s="96">
        <f ca="1">1-AD1605/(3*F_GAMMA*AD$29)</f>
        <v>0.88819137048644348</v>
      </c>
      <c r="AE1606" s="111"/>
      <c r="AF1606" s="28"/>
      <c r="AG1606" s="96">
        <f ca="1">1-AG1605/(3*F_GAMMA*AG$29)</f>
        <v>1.0146558446880354</v>
      </c>
      <c r="AH1606" s="111"/>
      <c r="AI1606" s="28"/>
      <c r="AJ1606" s="96">
        <f ca="1">1-AJ1605/(3*F_GAMMA*AJ$29)</f>
        <v>1.485627297266626</v>
      </c>
      <c r="AK1606" s="111"/>
      <c r="AL1606" s="28"/>
      <c r="AM1606" s="96">
        <f ca="1">1-AM1605/(3*F_GAMMA*AM$29)</f>
        <v>7.0322888184406667</v>
      </c>
      <c r="AN1606" s="111"/>
      <c r="AO1606" s="28"/>
      <c r="AP1606" s="96">
        <f ca="1">1-AP1605/(3*F_GAMMA*AP$29)</f>
        <v>-1.0399070277172235</v>
      </c>
      <c r="AQ1606" s="111"/>
      <c r="AR1606" s="28"/>
      <c r="AS1606" s="96">
        <f ca="1">1-AS1605/(3*F_GAMMA*AS$29)</f>
        <v>-0.69705834941918643</v>
      </c>
      <c r="AT1606" s="111"/>
      <c r="AU1606" s="28"/>
    </row>
    <row r="1607" spans="15:47" x14ac:dyDescent="0.25">
      <c r="O1607" s="2" t="s">
        <v>57</v>
      </c>
      <c r="P1607" s="143">
        <v>7</v>
      </c>
      <c r="Q1607" s="2"/>
      <c r="R1607" s="96">
        <f ca="1">(R1600/(N_9*R$27*R1602*R1606))*SQRT(M*'Valve Sizing'!$W$6*'Valve Sizing'!$G$8/R1605)</f>
        <v>1.1822967187670832</v>
      </c>
      <c r="S1607" s="107"/>
      <c r="T1607" s="22"/>
      <c r="U1607" s="96">
        <f ca="1">(U1600/(N_9*U$27*U1602*U1606))*SQRT(M*'Valve Sizing'!$W$6*'Valve Sizing'!$G$8/U1605)</f>
        <v>14.479385283724891</v>
      </c>
      <c r="V1607" s="111"/>
      <c r="W1607" s="28"/>
      <c r="X1607" s="96">
        <f ca="1">(X1600/(N_9*X$27*X1602*X1606))*SQRT(M*'Valve Sizing'!$W$6*'Valve Sizing'!$G$8/X1605)</f>
        <v>36.352014431050193</v>
      </c>
      <c r="Y1607" s="111"/>
      <c r="Z1607" s="28"/>
      <c r="AA1607" s="96">
        <f ca="1">(AA1600/(N_9*AA$27*AA1602*AA1606))*SQRT(M*'Valve Sizing'!$W$6*'Valve Sizing'!$G$8/AA1605)</f>
        <v>77.008520514530701</v>
      </c>
      <c r="AB1607" s="111"/>
      <c r="AC1607" s="28"/>
      <c r="AD1607" s="96">
        <f ca="1">(AD1600/(N_9*AD$27*AD1602*AD1606))*SQRT(M*'Valve Sizing'!$W$6*'Valve Sizing'!$G$8/AD1605)</f>
        <v>168.15387211010579</v>
      </c>
      <c r="AE1607" s="111"/>
      <c r="AF1607" s="28"/>
      <c r="AG1607" s="96" t="e">
        <f ca="1">(AG1600/(N_9*AG$27*AG1602*AG1606))*SQRT(M*'Valve Sizing'!$W$6*'Valve Sizing'!$G$8/AG1605)</f>
        <v>#NUM!</v>
      </c>
      <c r="AH1607" s="111"/>
      <c r="AI1607" s="28"/>
      <c r="AJ1607" s="96" t="e">
        <f ca="1">(AJ1600/(N_9*AJ$27*AJ1602*AJ1606))*SQRT(M*'Valve Sizing'!$W$6*'Valve Sizing'!$G$8/AJ1605)</f>
        <v>#NUM!</v>
      </c>
      <c r="AK1607" s="111"/>
      <c r="AL1607" s="28"/>
      <c r="AM1607" s="96" t="e">
        <f ca="1">(AM1600/(N_9*AM$27*AM1602*AM1606))*SQRT(M*'Valve Sizing'!$W$6*'Valve Sizing'!$G$8/AM1605)</f>
        <v>#NUM!</v>
      </c>
      <c r="AN1607" s="111"/>
      <c r="AO1607" s="28"/>
      <c r="AP1607" s="96">
        <f ca="1">(AP1600/(N_9*AP$27*AP1602*AP1606))*SQRT(M*'Valve Sizing'!$W$6*'Valve Sizing'!$G$8/AP1605)</f>
        <v>394.75622759876529</v>
      </c>
      <c r="AQ1607" s="111"/>
      <c r="AR1607" s="28"/>
      <c r="AS1607" s="96">
        <f ca="1">(AS1600/(N_9*AS$27*AS1602*AS1606))*SQRT(M*'Valve Sizing'!$W$6*'Valve Sizing'!$G$8/AS1605)</f>
        <v>445.80158148526255</v>
      </c>
      <c r="AT1607" s="111"/>
      <c r="AU1607" s="28"/>
    </row>
    <row r="1608" spans="15:47" x14ac:dyDescent="0.25">
      <c r="O1608" s="2" t="s">
        <v>59</v>
      </c>
      <c r="P1608" s="143">
        <v>7</v>
      </c>
      <c r="Q1608" s="2"/>
      <c r="R1608" s="96">
        <f ca="1">(R1600/(N_9*R$27*R1602*0.667))*SQRT(M*'Valve Sizing'!$W$6*'Valve Sizing'!$G$8/R1609)</f>
        <v>1.0583737404997393</v>
      </c>
      <c r="S1608" s="107"/>
      <c r="T1608" s="22"/>
      <c r="U1608" s="96">
        <f ca="1">(U1600/(N_9*U$27*U1602*0.667))*SQRT(M*'Valve Sizing'!$W$6*'Valve Sizing'!$G$8/U1609)</f>
        <v>12.941692607749594</v>
      </c>
      <c r="V1608" s="111"/>
      <c r="W1608" s="28"/>
      <c r="X1608" s="96">
        <f ca="1">(X1600/(N_9*X$27*X1602*0.667))*SQRT(M*'Valve Sizing'!$W$6*'Valve Sizing'!$G$8/X1609)</f>
        <v>32.33008526345683</v>
      </c>
      <c r="Y1608" s="111"/>
      <c r="Z1608" s="28"/>
      <c r="AA1608" s="96">
        <f ca="1">(AA1600/(N_9*AA$27*AA1602*0.667))*SQRT(M*'Valve Sizing'!$W$6*'Valve Sizing'!$G$8/AA1609)</f>
        <v>66.710524239109517</v>
      </c>
      <c r="AB1608" s="111"/>
      <c r="AC1608" s="28"/>
      <c r="AD1608" s="96">
        <f ca="1">(AD1600/(N_9*AD$27*AD1602*0.667))*SQRT(M*'Valve Sizing'!$W$6*'Valve Sizing'!$G$8/AD1609)</f>
        <v>129.68384463010787</v>
      </c>
      <c r="AE1608" s="111"/>
      <c r="AF1608" s="28"/>
      <c r="AG1608" s="96">
        <f ca="1">(AG1600/(N_9*AG$27*AG1602*0.667))*SQRT(M*'Valve Sizing'!$W$6*'Valve Sizing'!$G$8/AG1609)</f>
        <v>256.44238649432236</v>
      </c>
      <c r="AH1608" s="111"/>
      <c r="AI1608" s="28"/>
      <c r="AJ1608" s="96">
        <f ca="1">(AJ1600/(N_9*AJ$27*AJ1602*0.667))*SQRT(M*'Valve Sizing'!$W$6*'Valve Sizing'!$G$8/AJ1609)</f>
        <v>636.75799564017063</v>
      </c>
      <c r="AK1608" s="111"/>
      <c r="AL1608" s="28"/>
      <c r="AM1608" s="96">
        <f ca="1">(AM1600/(N_9*AM$27*AM1602*0.667))*SQRT(M*'Valve Sizing'!$W$6*'Valve Sizing'!$G$8/AM1609)</f>
        <v>4718.8800078010408</v>
      </c>
      <c r="AN1608" s="111"/>
      <c r="AO1608" s="28"/>
      <c r="AP1608" s="96">
        <f ca="1">(AP1600/(N_9*AP$27*AP1602*0.667))*SQRT(M*'Valve Sizing'!$W$6*'Valve Sizing'!$G$8/AP1609)</f>
        <v>-1522.5216740098172</v>
      </c>
      <c r="AQ1608" s="111"/>
      <c r="AR1608" s="28"/>
      <c r="AS1608" s="96">
        <f ca="1">(AS1600/(N_9*AS$27*AS1602*0.667))*SQRT(M*'Valve Sizing'!$W$6*'Valve Sizing'!$G$8/AS1609)</f>
        <v>-1051.2207364566405</v>
      </c>
      <c r="AT1608" s="111"/>
      <c r="AU1608" s="28"/>
    </row>
    <row r="1609" spans="15:47" ht="15.6" x14ac:dyDescent="0.35">
      <c r="O1609" s="2" t="s">
        <v>68</v>
      </c>
      <c r="P1609" s="143">
        <v>10</v>
      </c>
      <c r="Q1609" s="2"/>
      <c r="R1609" s="96">
        <f ca="1">F_GAMMA*R$29</f>
        <v>0.64002969751372984</v>
      </c>
      <c r="S1609" s="107"/>
      <c r="T1609" s="1"/>
      <c r="U1609" s="96">
        <f ca="1">F_GAMMA*U$29</f>
        <v>0.64017842058782071</v>
      </c>
      <c r="V1609" s="111"/>
      <c r="W1609" s="28"/>
      <c r="X1609" s="96">
        <f ca="1">F_GAMMA*X$29</f>
        <v>0.63413873724904268</v>
      </c>
      <c r="Y1609" s="111"/>
      <c r="Z1609" s="28"/>
      <c r="AA1609" s="96">
        <f ca="1">F_GAMMA*AA$29</f>
        <v>0.62532411750377137</v>
      </c>
      <c r="AB1609" s="111"/>
      <c r="AC1609" s="28"/>
      <c r="AD1609" s="96">
        <f ca="1">F_GAMMA*AD$29</f>
        <v>0.60651359509139569</v>
      </c>
      <c r="AE1609" s="111"/>
      <c r="AF1609" s="28"/>
      <c r="AG1609" s="96">
        <f ca="1">F_GAMMA*AG$29</f>
        <v>0.57217930198481592</v>
      </c>
      <c r="AH1609" s="111"/>
      <c r="AI1609" s="28"/>
      <c r="AJ1609" s="96">
        <f ca="1">F_GAMMA*AJ$29</f>
        <v>0.53183282018848232</v>
      </c>
      <c r="AK1609" s="111"/>
      <c r="AL1609" s="28"/>
      <c r="AM1609" s="96">
        <f ca="1">F_GAMMA*AM$29</f>
        <v>0.47566512503094399</v>
      </c>
      <c r="AN1609" s="111"/>
      <c r="AO1609" s="28"/>
      <c r="AP1609" s="96">
        <f ca="1">F_GAMMA*AP$29</f>
        <v>0.59054158265645496</v>
      </c>
      <c r="AQ1609" s="111"/>
      <c r="AR1609" s="28"/>
      <c r="AS1609" s="96">
        <f ca="1">F_GAMMA*AS$29</f>
        <v>0.3766899554102966</v>
      </c>
      <c r="AT1609" s="111"/>
      <c r="AU1609" s="28"/>
    </row>
    <row r="1610" spans="15:47" x14ac:dyDescent="0.25">
      <c r="O1610" s="2" t="s">
        <v>145</v>
      </c>
      <c r="P1610" s="12"/>
      <c r="Q1610" s="2"/>
      <c r="R1610" s="96">
        <f ca="1">IF(R1605&lt;R1609,R1607,R1608)</f>
        <v>1.1822967187670832</v>
      </c>
      <c r="S1610" s="116"/>
      <c r="T1610" s="1"/>
      <c r="U1610" s="96">
        <f ca="1">IF(U1605&lt;U1609,U1607,U1608)</f>
        <v>14.479385283724891</v>
      </c>
      <c r="V1610" s="111"/>
      <c r="W1610" s="28"/>
      <c r="X1610" s="96">
        <f ca="1">IF(X1605&lt;X1609,X1607,X1608)</f>
        <v>36.352014431050193</v>
      </c>
      <c r="Y1610" s="111"/>
      <c r="Z1610" s="28"/>
      <c r="AA1610" s="96">
        <f ca="1">IF(AA1605&lt;AA1609,AA1607,AA1608)</f>
        <v>77.008520514530701</v>
      </c>
      <c r="AB1610" s="111"/>
      <c r="AC1610" s="28"/>
      <c r="AD1610" s="96">
        <f ca="1">IF(AD1605&lt;AD1609,AD1607,AD1608)</f>
        <v>168.15387211010579</v>
      </c>
      <c r="AE1610" s="111"/>
      <c r="AF1610" s="28"/>
      <c r="AG1610" s="96" t="e">
        <f ca="1">IF(AG1605&lt;AG1609,AG1607,AG1608)</f>
        <v>#NUM!</v>
      </c>
      <c r="AH1610" s="111"/>
      <c r="AI1610" s="28"/>
      <c r="AJ1610" s="96" t="e">
        <f ca="1">IF(AJ1605&lt;AJ1609,AJ1607,AJ1608)</f>
        <v>#NUM!</v>
      </c>
      <c r="AK1610" s="111"/>
      <c r="AL1610" s="28"/>
      <c r="AM1610" s="96" t="e">
        <f ca="1">IF(AM1605&lt;AM1609,AM1607,AM1608)</f>
        <v>#NUM!</v>
      </c>
      <c r="AN1610" s="111"/>
      <c r="AO1610" s="28"/>
      <c r="AP1610" s="96">
        <f ca="1">IF(AP1605&lt;AP1609,AP1607,AP1608)</f>
        <v>-1522.5216740098172</v>
      </c>
      <c r="AQ1610" s="111"/>
      <c r="AR1610" s="28"/>
      <c r="AS1610" s="96">
        <f ca="1">IF(AS1605&lt;AS1609,AS1607,AS1608)</f>
        <v>-1051.2207364566405</v>
      </c>
      <c r="AT1610" s="111"/>
      <c r="AU1610" s="28"/>
    </row>
    <row r="1611" spans="15:47" x14ac:dyDescent="0.25">
      <c r="O1611" s="13" t="s">
        <v>143</v>
      </c>
      <c r="P1611" s="1"/>
      <c r="Q1611" s="1"/>
      <c r="R1611" s="113"/>
      <c r="S1611" s="106">
        <f ca="1">IF(R1604&lt;=0,Q_max,ABS(R$23-R1610))</f>
        <v>3.5477032812329172</v>
      </c>
      <c r="T1611" s="7">
        <f>R1600</f>
        <v>2927.5606487727846</v>
      </c>
      <c r="U1611" s="98"/>
      <c r="V1611" s="106">
        <f ca="1">IF(U1604&lt;=0,Q_max,ABS(U$23-U1610))</f>
        <v>2.8793852837248917</v>
      </c>
      <c r="W1611" s="9">
        <f ca="1">U1600</f>
        <v>35687.143557268726</v>
      </c>
      <c r="X1611" s="98"/>
      <c r="Y1611" s="106">
        <f ca="1">IF(X1604&lt;=0,Q_max,ABS(X$23-X1610))</f>
        <v>13.352014431050193</v>
      </c>
      <c r="Z1611" s="9">
        <f ca="1">X1600</f>
        <v>87384.705779199256</v>
      </c>
      <c r="AA1611" s="98"/>
      <c r="AB1611" s="106">
        <f ca="1">IF(AA1604&lt;=0,Q_max,ABS(AA$23-AA1610))</f>
        <v>37.608520514530703</v>
      </c>
      <c r="AC1611" s="9">
        <f ca="1">AA1600</f>
        <v>170203.10231253353</v>
      </c>
      <c r="AD1611" s="98"/>
      <c r="AE1611" s="106">
        <f ca="1">IF(AD1604&lt;=0,Q_max,ABS(AD$23-AD1610))</f>
        <v>107.15387211010579</v>
      </c>
      <c r="AF1611" s="9">
        <f ca="1">AD1600</f>
        <v>285547.8591483616</v>
      </c>
      <c r="AG1611" s="98"/>
      <c r="AH1611" s="106">
        <f ca="1">IF(AG1604&lt;=0,Q_max,ABS(AG$23-AG1610))</f>
        <v>236393</v>
      </c>
      <c r="AI1611" s="9">
        <f ca="1">AG1600</f>
        <v>416764.87764900801</v>
      </c>
      <c r="AJ1611" s="98"/>
      <c r="AK1611" s="106">
        <f ca="1">IF(AJ1604&lt;=0,Q_max,ABS(AJ$23-AJ1610))</f>
        <v>236393</v>
      </c>
      <c r="AL1611" s="9">
        <f ca="1">AJ1600</f>
        <v>556174.34483967</v>
      </c>
      <c r="AM1611" s="98"/>
      <c r="AN1611" s="106">
        <f ca="1">IF(AM1604&lt;=0,Q_max,ABS(AM$23-AM1610))</f>
        <v>236393</v>
      </c>
      <c r="AO1611" s="9">
        <f ca="1">AM1600</f>
        <v>678638.3960479513</v>
      </c>
      <c r="AP1611" s="98"/>
      <c r="AQ1611" s="106">
        <f ca="1">IF(AP1604&lt;=0,Q_max,ABS(AP$23-AP1610))</f>
        <v>236393</v>
      </c>
      <c r="AR1611" s="9">
        <f ca="1">AP1600</f>
        <v>787878.1097337614</v>
      </c>
      <c r="AS1611" s="98"/>
      <c r="AT1611" s="106">
        <f ca="1">IF(AS1604&lt;=0,Q_max,ABS(AS$23-AS1610))</f>
        <v>236393</v>
      </c>
      <c r="AU1611" s="9">
        <f ca="1">AS1600</f>
        <v>923849.04627665912</v>
      </c>
    </row>
    <row r="1612" spans="15:47" x14ac:dyDescent="0.25">
      <c r="O1612" s="21"/>
      <c r="P1612" s="14"/>
      <c r="Q1612" s="21"/>
      <c r="R1612" s="97"/>
      <c r="S1612" s="106"/>
      <c r="T1612" s="28"/>
      <c r="U1612" s="97"/>
      <c r="V1612" s="111"/>
      <c r="W1612" s="28"/>
      <c r="X1612" s="97"/>
      <c r="Y1612" s="111"/>
      <c r="Z1612" s="28"/>
      <c r="AA1612" s="97"/>
      <c r="AB1612" s="111"/>
      <c r="AC1612" s="28"/>
      <c r="AD1612" s="97"/>
      <c r="AE1612" s="111"/>
      <c r="AF1612" s="28"/>
      <c r="AG1612" s="97"/>
      <c r="AH1612" s="111"/>
      <c r="AI1612" s="28"/>
      <c r="AJ1612" s="97"/>
      <c r="AK1612" s="111"/>
      <c r="AL1612" s="28"/>
      <c r="AM1612" s="97"/>
      <c r="AN1612" s="111"/>
      <c r="AO1612" s="28"/>
      <c r="AP1612" s="97"/>
      <c r="AQ1612" s="111"/>
      <c r="AR1612" s="28"/>
      <c r="AS1612" s="97"/>
      <c r="AT1612" s="111"/>
      <c r="AU1612" s="28"/>
    </row>
    <row r="1613" spans="15:47" x14ac:dyDescent="0.25">
      <c r="O1613" s="1"/>
      <c r="P1613" s="1"/>
      <c r="Q1613" s="1"/>
      <c r="R1613" s="98"/>
      <c r="S1613" s="108" t="s">
        <v>137</v>
      </c>
      <c r="T1613" s="26" t="s">
        <v>146</v>
      </c>
      <c r="U1613" s="98"/>
      <c r="V1613" s="108" t="s">
        <v>137</v>
      </c>
      <c r="W1613" s="26" t="s">
        <v>146</v>
      </c>
      <c r="X1613" s="98"/>
      <c r="Y1613" s="108" t="s">
        <v>137</v>
      </c>
      <c r="Z1613" s="26" t="s">
        <v>146</v>
      </c>
      <c r="AA1613" s="98"/>
      <c r="AB1613" s="108" t="s">
        <v>137</v>
      </c>
      <c r="AC1613" s="26" t="s">
        <v>146</v>
      </c>
      <c r="AD1613" s="98"/>
      <c r="AE1613" s="108" t="s">
        <v>137</v>
      </c>
      <c r="AF1613" s="26" t="s">
        <v>146</v>
      </c>
      <c r="AG1613" s="98"/>
      <c r="AH1613" s="108" t="s">
        <v>137</v>
      </c>
      <c r="AI1613" s="26" t="s">
        <v>146</v>
      </c>
      <c r="AJ1613" s="98"/>
      <c r="AK1613" s="108" t="s">
        <v>137</v>
      </c>
      <c r="AL1613" s="26" t="s">
        <v>146</v>
      </c>
      <c r="AM1613" s="98"/>
      <c r="AN1613" s="108" t="s">
        <v>137</v>
      </c>
      <c r="AO1613" s="26" t="s">
        <v>146</v>
      </c>
      <c r="AP1613" s="98"/>
      <c r="AQ1613" s="108" t="s">
        <v>137</v>
      </c>
      <c r="AR1613" s="26" t="s">
        <v>146</v>
      </c>
      <c r="AS1613" s="98"/>
      <c r="AT1613" s="108" t="s">
        <v>137</v>
      </c>
      <c r="AU1613" s="26" t="s">
        <v>146</v>
      </c>
    </row>
    <row r="1614" spans="15:47" ht="13.8" x14ac:dyDescent="0.25">
      <c r="O1614" s="20" t="s">
        <v>136</v>
      </c>
      <c r="P1614" s="1"/>
      <c r="Q1614" s="1"/>
      <c r="R1614" s="96">
        <f>R1600*1.02</f>
        <v>2986.1118617482402</v>
      </c>
      <c r="S1614" s="109" t="s">
        <v>144</v>
      </c>
      <c r="T1614" s="23" t="s">
        <v>147</v>
      </c>
      <c r="U1614" s="96">
        <f ca="1">U1600*1.01</f>
        <v>36044.01499284141</v>
      </c>
      <c r="V1614" s="109" t="s">
        <v>144</v>
      </c>
      <c r="W1614" s="23" t="s">
        <v>147</v>
      </c>
      <c r="X1614" s="96">
        <f ca="1">X1600*1.01</f>
        <v>88258.55283699125</v>
      </c>
      <c r="Y1614" s="109" t="s">
        <v>144</v>
      </c>
      <c r="Z1614" s="23" t="s">
        <v>147</v>
      </c>
      <c r="AA1614" s="96">
        <f ca="1">AA1600*1.01</f>
        <v>171905.13333565887</v>
      </c>
      <c r="AB1614" s="109" t="s">
        <v>144</v>
      </c>
      <c r="AC1614" s="23" t="s">
        <v>147</v>
      </c>
      <c r="AD1614" s="96">
        <f ca="1">AD1600*1.01</f>
        <v>288403.33773984521</v>
      </c>
      <c r="AE1614" s="109" t="s">
        <v>144</v>
      </c>
      <c r="AF1614" s="23" t="s">
        <v>147</v>
      </c>
      <c r="AG1614" s="96">
        <f ca="1">AG1600*1.01</f>
        <v>420932.52642549807</v>
      </c>
      <c r="AH1614" s="109" t="s">
        <v>144</v>
      </c>
      <c r="AI1614" s="23" t="s">
        <v>147</v>
      </c>
      <c r="AJ1614" s="96">
        <f ca="1">AJ1600*1.01</f>
        <v>561736.08828806668</v>
      </c>
      <c r="AK1614" s="109" t="s">
        <v>144</v>
      </c>
      <c r="AL1614" s="23" t="s">
        <v>147</v>
      </c>
      <c r="AM1614" s="96">
        <f ca="1">AM1600*1.01</f>
        <v>685424.78000843083</v>
      </c>
      <c r="AN1614" s="109" t="s">
        <v>144</v>
      </c>
      <c r="AO1614" s="23" t="s">
        <v>147</v>
      </c>
      <c r="AP1614" s="96">
        <f ca="1">AP1600*1.01</f>
        <v>795756.89083109901</v>
      </c>
      <c r="AQ1614" s="109" t="s">
        <v>144</v>
      </c>
      <c r="AR1614" s="23" t="s">
        <v>147</v>
      </c>
      <c r="AS1614" s="96">
        <f ca="1">AS1600*1.01</f>
        <v>933087.53673942573</v>
      </c>
      <c r="AT1614" s="109" t="s">
        <v>144</v>
      </c>
      <c r="AU1614" s="23" t="s">
        <v>147</v>
      </c>
    </row>
    <row r="1615" spans="15:47" x14ac:dyDescent="0.25">
      <c r="O1615" s="1"/>
      <c r="P1615" s="1"/>
      <c r="Q1615" s="1"/>
      <c r="R1615" s="98"/>
      <c r="S1615" s="107"/>
      <c r="T1615" s="1"/>
      <c r="U1615" s="47"/>
      <c r="V1615" s="107"/>
      <c r="W1615" s="1"/>
      <c r="X1615" s="47"/>
      <c r="Y1615" s="107"/>
      <c r="Z1615" s="1"/>
      <c r="AA1615" s="47"/>
      <c r="AB1615" s="107"/>
      <c r="AC1615" s="1"/>
      <c r="AD1615" s="47"/>
      <c r="AE1615" s="107"/>
      <c r="AF1615" s="1"/>
      <c r="AG1615" s="47"/>
      <c r="AH1615" s="107"/>
      <c r="AI1615" s="1"/>
      <c r="AJ1615" s="47"/>
      <c r="AK1615" s="107"/>
      <c r="AL1615" s="1"/>
      <c r="AM1615" s="47"/>
      <c r="AN1615" s="107"/>
      <c r="AO1615" s="1"/>
      <c r="AP1615" s="47"/>
      <c r="AQ1615" s="107"/>
      <c r="AR1615" s="1"/>
      <c r="AS1615" s="47"/>
      <c r="AT1615" s="107"/>
      <c r="AU1615" s="1"/>
    </row>
    <row r="1616" spans="15:47" x14ac:dyDescent="0.25">
      <c r="O1616" s="8" t="s">
        <v>132</v>
      </c>
      <c r="P1616" s="8"/>
      <c r="Q1616" s="8"/>
      <c r="R1616" s="96">
        <f>P_1_minQ-(R1614^2*R_up)+dpup_minQ</f>
        <v>90.183415334488586</v>
      </c>
      <c r="S1616" s="106"/>
      <c r="T1616" s="22"/>
      <c r="U1616" s="96">
        <f ca="1">P_1_minQ-(U1614^2*R_up)+dpup_minQ</f>
        <v>89.948252436926779</v>
      </c>
      <c r="V1616" s="107"/>
      <c r="W1616" s="1"/>
      <c r="X1616" s="96">
        <f ca="1">P_1_minQ-(X1614^2*R_up)+dpup_minQ</f>
        <v>88.765306012534055</v>
      </c>
      <c r="Y1616" s="107"/>
      <c r="Z1616" s="1"/>
      <c r="AA1616" s="96">
        <f ca="1">P_1_minQ-(AA1614^2*R_up)+dpup_minQ</f>
        <v>84.798980019723672</v>
      </c>
      <c r="AB1616" s="107"/>
      <c r="AC1616" s="1"/>
      <c r="AD1616" s="96">
        <f ca="1">P_1_minQ-(AD1614^2*R_up)+dpup_minQ</f>
        <v>75.025218543648535</v>
      </c>
      <c r="AE1616" s="107"/>
      <c r="AF1616" s="1"/>
      <c r="AG1616" s="96">
        <f ca="1">P_1_minQ-(AG1614^2*R_up)+dpup_minQ</f>
        <v>57.891288281820678</v>
      </c>
      <c r="AH1616" s="107"/>
      <c r="AI1616" s="1"/>
      <c r="AJ1616" s="96">
        <f ca="1">P_1_minQ-(AJ1614^2*R_up)+dpup_minQ</f>
        <v>32.673077885438055</v>
      </c>
      <c r="AK1616" s="107"/>
      <c r="AL1616" s="1"/>
      <c r="AM1616" s="96">
        <f ca="1">P_1_minQ-(AM1614^2*R_up)+dpup_minQ</f>
        <v>4.5575651009062588</v>
      </c>
      <c r="AN1616" s="107"/>
      <c r="AO1616" s="1"/>
      <c r="AP1616" s="96">
        <f ca="1">P_1_minQ-(AP1614^2*R_up)+dpup_minQ</f>
        <v>-25.227859349887922</v>
      </c>
      <c r="AQ1616" s="107"/>
      <c r="AR1616" s="1"/>
      <c r="AS1616" s="96">
        <f ca="1">P_1_minQ-(AS1614^2*R_up)+dpup_minQ</f>
        <v>-68.500850342190546</v>
      </c>
      <c r="AT1616" s="107"/>
      <c r="AU1616" s="1"/>
    </row>
    <row r="1617" spans="15:47" x14ac:dyDescent="0.25">
      <c r="O1617" s="8" t="s">
        <v>134</v>
      </c>
      <c r="P1617" s="1"/>
      <c r="Q1617" s="8"/>
      <c r="R1617" s="97">
        <f>P_2_minQ+(R1614^2*R_dn)-dpdn_minQ</f>
        <v>60</v>
      </c>
      <c r="S1617" s="106"/>
      <c r="T1617" s="22"/>
      <c r="U1617" s="97">
        <f ca="1">P_2_minQ+(U1614^2*R_dn)-dpdn_minQ</f>
        <v>60</v>
      </c>
      <c r="V1617" s="107"/>
      <c r="W1617" s="1"/>
      <c r="X1617" s="97">
        <f ca="1">P_2_minQ+(X1614^2*R_dn)-dpdn_minQ</f>
        <v>60</v>
      </c>
      <c r="Y1617" s="107"/>
      <c r="Z1617" s="1"/>
      <c r="AA1617" s="97">
        <f ca="1">P_2_minQ+(AA1614^2*R_dn)-dpdn_minQ</f>
        <v>60</v>
      </c>
      <c r="AB1617" s="107"/>
      <c r="AC1617" s="1"/>
      <c r="AD1617" s="97">
        <f ca="1">P_2_minQ+(AD1614^2*R_dn)-dpdn_minQ</f>
        <v>60</v>
      </c>
      <c r="AE1617" s="107"/>
      <c r="AF1617" s="1"/>
      <c r="AG1617" s="97">
        <f ca="1">P_2_minQ+(AG1614^2*R_dn)-dpdn_minQ</f>
        <v>60</v>
      </c>
      <c r="AH1617" s="107"/>
      <c r="AI1617" s="1"/>
      <c r="AJ1617" s="97">
        <f ca="1">P_2_minQ+(AJ1614^2*R_dn)-dpdn_minQ</f>
        <v>60</v>
      </c>
      <c r="AK1617" s="107"/>
      <c r="AL1617" s="1"/>
      <c r="AM1617" s="97">
        <f ca="1">P_2_minQ+(AM1614^2*R_dn)-dpdn_minQ</f>
        <v>60</v>
      </c>
      <c r="AN1617" s="107"/>
      <c r="AO1617" s="1"/>
      <c r="AP1617" s="97">
        <f ca="1">P_2_minQ+(AP1614^2*R_dn)-dpdn_minQ</f>
        <v>60</v>
      </c>
      <c r="AQ1617" s="107"/>
      <c r="AR1617" s="1"/>
      <c r="AS1617" s="97">
        <f ca="1">P_2_minQ+(AS1614^2*R_dn)-dpdn_minQ</f>
        <v>60</v>
      </c>
      <c r="AT1617" s="107"/>
      <c r="AU1617" s="1"/>
    </row>
    <row r="1618" spans="15:47" x14ac:dyDescent="0.25">
      <c r="O1618" s="8" t="s">
        <v>138</v>
      </c>
      <c r="P1618" s="1"/>
      <c r="Q1618" s="8"/>
      <c r="R1618" s="97">
        <f>R1616-R1617</f>
        <v>30.183415334488586</v>
      </c>
      <c r="S1618" s="106"/>
      <c r="T1618" s="22"/>
      <c r="U1618" s="97">
        <f ca="1">U1616-U1617</f>
        <v>29.948252436926779</v>
      </c>
      <c r="V1618" s="110"/>
      <c r="W1618" s="25"/>
      <c r="X1618" s="97">
        <f ca="1">X1616-X1617</f>
        <v>28.765306012534055</v>
      </c>
      <c r="Y1618" s="110"/>
      <c r="Z1618" s="25"/>
      <c r="AA1618" s="97">
        <f ca="1">AA1616-AA1617</f>
        <v>24.798980019723672</v>
      </c>
      <c r="AB1618" s="110"/>
      <c r="AC1618" s="25"/>
      <c r="AD1618" s="97">
        <f ca="1">AD1616-AD1617</f>
        <v>15.025218543648535</v>
      </c>
      <c r="AE1618" s="110"/>
      <c r="AF1618" s="25"/>
      <c r="AG1618" s="97">
        <f ca="1">AG1616-AG1617</f>
        <v>-2.1087117181793218</v>
      </c>
      <c r="AH1618" s="110"/>
      <c r="AI1618" s="25"/>
      <c r="AJ1618" s="97">
        <f ca="1">AJ1616-AJ1617</f>
        <v>-27.326922114561945</v>
      </c>
      <c r="AK1618" s="110"/>
      <c r="AL1618" s="25"/>
      <c r="AM1618" s="97">
        <f ca="1">AM1616-AM1617</f>
        <v>-55.44243489909374</v>
      </c>
      <c r="AN1618" s="110"/>
      <c r="AO1618" s="25"/>
      <c r="AP1618" s="97">
        <f ca="1">AP1616-AP1617</f>
        <v>-85.227859349887922</v>
      </c>
      <c r="AQ1618" s="110"/>
      <c r="AR1618" s="25"/>
      <c r="AS1618" s="97">
        <f ca="1">AS1616-AS1617</f>
        <v>-128.50085034219055</v>
      </c>
      <c r="AT1618" s="110"/>
      <c r="AU1618" s="25"/>
    </row>
    <row r="1619" spans="15:47" ht="14.4" x14ac:dyDescent="0.3">
      <c r="O1619" s="2" t="s">
        <v>140</v>
      </c>
      <c r="P1619" s="11"/>
      <c r="Q1619" s="2"/>
      <c r="R1619" s="96">
        <f>R1618/R1616</f>
        <v>0.33468920225009074</v>
      </c>
      <c r="S1619" s="106"/>
      <c r="T1619" s="22"/>
      <c r="U1619" s="96">
        <f ca="1">U1618/U1616</f>
        <v>0.33294979752860676</v>
      </c>
      <c r="V1619" s="111"/>
      <c r="W1619" s="28"/>
      <c r="X1619" s="96">
        <f ca="1">X1618/X1616</f>
        <v>0.32406023597183642</v>
      </c>
      <c r="Y1619" s="111"/>
      <c r="Z1619" s="28"/>
      <c r="AA1619" s="96">
        <f ca="1">AA1618/AA1616</f>
        <v>0.29244431965992512</v>
      </c>
      <c r="AB1619" s="111"/>
      <c r="AC1619" s="28"/>
      <c r="AD1619" s="96">
        <f ca="1">AD1618/AD1616</f>
        <v>0.20026890737955119</v>
      </c>
      <c r="AE1619" s="111"/>
      <c r="AF1619" s="28"/>
      <c r="AG1619" s="96">
        <f ca="1">AG1618/AG1616</f>
        <v>-3.6425372120134879E-2</v>
      </c>
      <c r="AH1619" s="111"/>
      <c r="AI1619" s="28"/>
      <c r="AJ1619" s="96">
        <f ca="1">AJ1618/AJ1616</f>
        <v>-0.8363742837567556</v>
      </c>
      <c r="AK1619" s="111"/>
      <c r="AL1619" s="28"/>
      <c r="AM1619" s="96">
        <f ca="1">AM1618/AM1616</f>
        <v>-12.164924399668843</v>
      </c>
      <c r="AN1619" s="111"/>
      <c r="AO1619" s="28"/>
      <c r="AP1619" s="96">
        <f ca="1">AP1618/AP1616</f>
        <v>3.3783230740212034</v>
      </c>
      <c r="AQ1619" s="111"/>
      <c r="AR1619" s="28"/>
      <c r="AS1619" s="96">
        <f ca="1">AS1618/AS1616</f>
        <v>1.8759015355324025</v>
      </c>
      <c r="AT1619" s="111"/>
      <c r="AU1619" s="28"/>
    </row>
    <row r="1620" spans="15:47" x14ac:dyDescent="0.25">
      <c r="O1620" s="2" t="s">
        <v>21</v>
      </c>
      <c r="P1620" s="8">
        <v>12</v>
      </c>
      <c r="Q1620" s="2"/>
      <c r="R1620" s="96">
        <f ca="1">1-R1619/(3*F_GAMMA*R$29)</f>
        <v>0.82569079552077551</v>
      </c>
      <c r="S1620" s="106"/>
      <c r="T1620" s="22"/>
      <c r="U1620" s="96">
        <f ca="1">1-U1619/(3*F_GAMMA*U$29)</f>
        <v>0.82663697763982336</v>
      </c>
      <c r="V1620" s="111"/>
      <c r="W1620" s="28"/>
      <c r="X1620" s="96">
        <f ca="1">1-X1619/(3*F_GAMMA*X$29)</f>
        <v>0.82965860258611435</v>
      </c>
      <c r="Y1620" s="111"/>
      <c r="Z1620" s="28"/>
      <c r="AA1620" s="96">
        <f ca="1">1-AA1619/(3*F_GAMMA*AA$29)</f>
        <v>0.84411053858632956</v>
      </c>
      <c r="AB1620" s="111"/>
      <c r="AC1620" s="28"/>
      <c r="AD1620" s="96">
        <f ca="1">1-AD1619/(3*F_GAMMA*AD$29)</f>
        <v>0.88993436750615484</v>
      </c>
      <c r="AE1620" s="111"/>
      <c r="AF1620" s="28"/>
      <c r="AG1620" s="96">
        <f ca="1">1-AG1619/(3*F_GAMMA*AG$29)</f>
        <v>1.0212202550224962</v>
      </c>
      <c r="AH1620" s="111"/>
      <c r="AI1620" s="28"/>
      <c r="AJ1620" s="96">
        <f ca="1">1-AJ1619/(3*F_GAMMA*AJ$29)</f>
        <v>1.5242087688761186</v>
      </c>
      <c r="AK1620" s="111"/>
      <c r="AL1620" s="28"/>
      <c r="AM1620" s="96">
        <f ca="1">1-AM1619/(3*F_GAMMA*AM$29)</f>
        <v>9.52485201563983</v>
      </c>
      <c r="AN1620" s="111"/>
      <c r="AO1620" s="28"/>
      <c r="AP1620" s="96">
        <f ca="1">1-AP1619/(3*F_GAMMA*AP$29)</f>
        <v>-0.90690668432659649</v>
      </c>
      <c r="AQ1620" s="111"/>
      <c r="AR1620" s="28"/>
      <c r="AS1620" s="96">
        <f ca="1">1-AS1619/(3*F_GAMMA*AS$29)</f>
        <v>-0.65998721989559561</v>
      </c>
      <c r="AT1620" s="111"/>
      <c r="AU1620" s="28"/>
    </row>
    <row r="1621" spans="15:47" x14ac:dyDescent="0.25">
      <c r="O1621" s="2" t="s">
        <v>57</v>
      </c>
      <c r="P1621" s="143">
        <v>7</v>
      </c>
      <c r="Q1621" s="2"/>
      <c r="R1621" s="96">
        <f ca="1">(R1614/(N_9*R$27*R1616*R1620))*SQRT(M*'Valve Sizing'!$W$6*'Valve Sizing'!$G$8/R1619)</f>
        <v>1.2059439816591675</v>
      </c>
      <c r="S1621" s="107"/>
      <c r="T1621" s="22"/>
      <c r="U1621" s="96">
        <f ca="1">(U1614/(N_9*U$27*U1616*U1620))*SQRT(M*'Valve Sizing'!$W$6*'Valve Sizing'!$G$8/U1619)</f>
        <v>14.62537881501666</v>
      </c>
      <c r="V1621" s="111"/>
      <c r="W1621" s="28"/>
      <c r="X1621" s="96">
        <f ca="1">(X1614/(N_9*X$27*X1616*X1620))*SQRT(M*'Valve Sizing'!$W$6*'Valve Sizing'!$G$8/X1619)</f>
        <v>36.734214117262937</v>
      </c>
      <c r="Y1621" s="111"/>
      <c r="Z1621" s="28"/>
      <c r="AA1621" s="96">
        <f ca="1">(AA1614/(N_9*AA$27*AA1616*AA1620))*SQRT(M*'Valve Sizing'!$W$6*'Valve Sizing'!$G$8/AA1619)</f>
        <v>77.950053341216105</v>
      </c>
      <c r="AB1621" s="111"/>
      <c r="AC1621" s="28"/>
      <c r="AD1621" s="96">
        <f ca="1">(AD1614/(N_9*AD$27*AD1616*AD1620))*SQRT(M*'Valve Sizing'!$W$6*'Valve Sizing'!$G$8/AD1619)</f>
        <v>171.51981368609691</v>
      </c>
      <c r="AE1621" s="111"/>
      <c r="AF1621" s="28"/>
      <c r="AG1621" s="96" t="e">
        <f ca="1">(AG1614/(N_9*AG$27*AG1616*AG1620))*SQRT(M*'Valve Sizing'!$W$6*'Valve Sizing'!$G$8/AG1619)</f>
        <v>#NUM!</v>
      </c>
      <c r="AH1621" s="111"/>
      <c r="AI1621" s="28"/>
      <c r="AJ1621" s="96" t="e">
        <f ca="1">(AJ1614/(N_9*AJ$27*AJ1616*AJ1620))*SQRT(M*'Valve Sizing'!$W$6*'Valve Sizing'!$G$8/AJ1619)</f>
        <v>#NUM!</v>
      </c>
      <c r="AK1621" s="111"/>
      <c r="AL1621" s="28"/>
      <c r="AM1621" s="96" t="e">
        <f ca="1">(AM1614/(N_9*AM$27*AM1616*AM1620))*SQRT(M*'Valve Sizing'!$W$6*'Valve Sizing'!$G$8/AM1619)</f>
        <v>#NUM!</v>
      </c>
      <c r="AN1621" s="111"/>
      <c r="AO1621" s="28"/>
      <c r="AP1621" s="96">
        <f ca="1">(AP1614/(N_9*AP$27*AP1616*AP1620))*SQRT(M*'Valve Sizing'!$W$6*'Valve Sizing'!$G$8/AP1619)</f>
        <v>430.22570164958427</v>
      </c>
      <c r="AQ1621" s="111"/>
      <c r="AR1621" s="28"/>
      <c r="AS1621" s="96">
        <f ca="1">(AS1614/(N_9*AS$27*AS1616*AS1620))*SQRT(M*'Valve Sizing'!$W$6*'Valve Sizing'!$G$8/AS1619)</f>
        <v>458.8834950743929</v>
      </c>
      <c r="AT1621" s="111"/>
      <c r="AU1621" s="28"/>
    </row>
    <row r="1622" spans="15:47" x14ac:dyDescent="0.25">
      <c r="O1622" s="2" t="s">
        <v>59</v>
      </c>
      <c r="P1622" s="143">
        <v>7</v>
      </c>
      <c r="Q1622" s="2"/>
      <c r="R1622" s="96">
        <f ca="1">(R1614/(N_9*R$27*R1616*0.667))*SQRT(M*'Valve Sizing'!$W$6*'Valve Sizing'!$G$8/R1623)</f>
        <v>1.0795419707484759</v>
      </c>
      <c r="S1622" s="107"/>
      <c r="T1622" s="22"/>
      <c r="U1622" s="96">
        <f ca="1">(U1614/(N_9*U$27*U1616*0.667))*SQRT(M*'Valve Sizing'!$W$6*'Valve Sizing'!$G$8/U1623)</f>
        <v>13.071787538823456</v>
      </c>
      <c r="V1622" s="111"/>
      <c r="W1622" s="28"/>
      <c r="X1622" s="96">
        <f ca="1">(X1614/(N_9*X$27*X1616*0.667))*SQRT(M*'Valve Sizing'!$W$6*'Valve Sizing'!$G$8/X1623)</f>
        <v>32.663676828004668</v>
      </c>
      <c r="Y1622" s="111"/>
      <c r="Z1622" s="28"/>
      <c r="AA1622" s="96">
        <f ca="1">(AA1614/(N_9*AA$27*AA1616*0.667))*SQRT(M*'Valve Sizing'!$W$6*'Valve Sizing'!$G$8/AA1623)</f>
        <v>67.461953178089459</v>
      </c>
      <c r="AB1622" s="111"/>
      <c r="AC1622" s="28"/>
      <c r="AD1622" s="96">
        <f ca="1">(AD1614/(N_9*AD$27*AD1616*0.667))*SQRT(M*'Valve Sizing'!$W$6*'Valve Sizing'!$G$8/AD1623)</f>
        <v>131.5021747676162</v>
      </c>
      <c r="AE1622" s="111"/>
      <c r="AF1622" s="28"/>
      <c r="AG1622" s="96">
        <f ca="1">(AG1614/(N_9*AG$27*AG1616*0.667))*SQRT(M*'Valve Sizing'!$W$6*'Valve Sizing'!$G$8/AG1623)</f>
        <v>261.8536944691686</v>
      </c>
      <c r="AH1622" s="111"/>
      <c r="AI1622" s="28"/>
      <c r="AJ1622" s="96">
        <f ca="1">(AJ1614/(N_9*AJ$27*AJ1616*0.667))*SQRT(M*'Valve Sizing'!$W$6*'Valve Sizing'!$G$8/AJ1623)</f>
        <v>665.43134618073077</v>
      </c>
      <c r="AK1622" s="111"/>
      <c r="AL1622" s="28"/>
      <c r="AM1622" s="96">
        <f ca="1">(AM1614/(N_9*AM$27*AM1616*0.667))*SQRT(M*'Valve Sizing'!$W$6*'Valve Sizing'!$G$8/AM1623)</f>
        <v>6530.4559197120852</v>
      </c>
      <c r="AN1622" s="111"/>
      <c r="AO1622" s="28"/>
      <c r="AP1622" s="96">
        <f ca="1">(AP1614/(N_9*AP$27*AP1616*0.667))*SQRT(M*'Valve Sizing'!$W$6*'Valve Sizing'!$G$8/AP1623)</f>
        <v>-1399.1312873902673</v>
      </c>
      <c r="AQ1622" s="111"/>
      <c r="AR1622" s="28"/>
      <c r="AS1622" s="96">
        <f ca="1">(AS1614/(N_9*AS$27*AS1616*0.667))*SQRT(M*'Valve Sizing'!$W$6*'Valve Sizing'!$G$8/AS1623)</f>
        <v>-1013.2698701929221</v>
      </c>
      <c r="AT1622" s="111"/>
      <c r="AU1622" s="28"/>
    </row>
    <row r="1623" spans="15:47" ht="15.6" x14ac:dyDescent="0.35">
      <c r="O1623" s="2" t="s">
        <v>68</v>
      </c>
      <c r="P1623" s="143">
        <v>10</v>
      </c>
      <c r="Q1623" s="2"/>
      <c r="R1623" s="96">
        <f ca="1">F_GAMMA*R$29</f>
        <v>0.64002969751372984</v>
      </c>
      <c r="S1623" s="107"/>
      <c r="T1623" s="1"/>
      <c r="U1623" s="96">
        <f ca="1">F_GAMMA*U$29</f>
        <v>0.64017842058782071</v>
      </c>
      <c r="V1623" s="111"/>
      <c r="W1623" s="28"/>
      <c r="X1623" s="96">
        <f ca="1">F_GAMMA*X$29</f>
        <v>0.63413873724904268</v>
      </c>
      <c r="Y1623" s="111"/>
      <c r="Z1623" s="28"/>
      <c r="AA1623" s="96">
        <f ca="1">F_GAMMA*AA$29</f>
        <v>0.62532411750377137</v>
      </c>
      <c r="AB1623" s="111"/>
      <c r="AC1623" s="28"/>
      <c r="AD1623" s="96">
        <f ca="1">F_GAMMA*AD$29</f>
        <v>0.60651359509139569</v>
      </c>
      <c r="AE1623" s="111"/>
      <c r="AF1623" s="28"/>
      <c r="AG1623" s="96">
        <f ca="1">F_GAMMA*AG$29</f>
        <v>0.57217930198481592</v>
      </c>
      <c r="AH1623" s="111"/>
      <c r="AI1623" s="28"/>
      <c r="AJ1623" s="96">
        <f ca="1">F_GAMMA*AJ$29</f>
        <v>0.53183282018848232</v>
      </c>
      <c r="AK1623" s="111"/>
      <c r="AL1623" s="28"/>
      <c r="AM1623" s="96">
        <f ca="1">F_GAMMA*AM$29</f>
        <v>0.47566512503094399</v>
      </c>
      <c r="AN1623" s="111"/>
      <c r="AO1623" s="28"/>
      <c r="AP1623" s="96">
        <f ca="1">F_GAMMA*AP$29</f>
        <v>0.59054158265645496</v>
      </c>
      <c r="AQ1623" s="111"/>
      <c r="AR1623" s="28"/>
      <c r="AS1623" s="96">
        <f ca="1">F_GAMMA*AS$29</f>
        <v>0.3766899554102966</v>
      </c>
      <c r="AT1623" s="111"/>
      <c r="AU1623" s="28"/>
    </row>
    <row r="1624" spans="15:47" x14ac:dyDescent="0.25">
      <c r="O1624" s="2" t="s">
        <v>145</v>
      </c>
      <c r="P1624" s="12"/>
      <c r="Q1624" s="2"/>
      <c r="R1624" s="96">
        <f ca="1">IF(R1619&lt;R1623,R1621,R1622)</f>
        <v>1.2059439816591675</v>
      </c>
      <c r="S1624" s="116"/>
      <c r="T1624" s="1"/>
      <c r="U1624" s="96">
        <f ca="1">IF(U1619&lt;U1623,U1621,U1622)</f>
        <v>14.62537881501666</v>
      </c>
      <c r="V1624" s="111"/>
      <c r="W1624" s="28"/>
      <c r="X1624" s="96">
        <f ca="1">IF(X1619&lt;X1623,X1621,X1622)</f>
        <v>36.734214117262937</v>
      </c>
      <c r="Y1624" s="111"/>
      <c r="Z1624" s="28"/>
      <c r="AA1624" s="96">
        <f ca="1">IF(AA1619&lt;AA1623,AA1621,AA1622)</f>
        <v>77.950053341216105</v>
      </c>
      <c r="AB1624" s="111"/>
      <c r="AC1624" s="28"/>
      <c r="AD1624" s="96">
        <f ca="1">IF(AD1619&lt;AD1623,AD1621,AD1622)</f>
        <v>171.51981368609691</v>
      </c>
      <c r="AE1624" s="111"/>
      <c r="AF1624" s="28"/>
      <c r="AG1624" s="96" t="e">
        <f ca="1">IF(AG1619&lt;AG1623,AG1621,AG1622)</f>
        <v>#NUM!</v>
      </c>
      <c r="AH1624" s="111"/>
      <c r="AI1624" s="28"/>
      <c r="AJ1624" s="96" t="e">
        <f ca="1">IF(AJ1619&lt;AJ1623,AJ1621,AJ1622)</f>
        <v>#NUM!</v>
      </c>
      <c r="AK1624" s="111"/>
      <c r="AL1624" s="28"/>
      <c r="AM1624" s="96" t="e">
        <f ca="1">IF(AM1619&lt;AM1623,AM1621,AM1622)</f>
        <v>#NUM!</v>
      </c>
      <c r="AN1624" s="111"/>
      <c r="AO1624" s="28"/>
      <c r="AP1624" s="96">
        <f ca="1">IF(AP1619&lt;AP1623,AP1621,AP1622)</f>
        <v>-1399.1312873902673</v>
      </c>
      <c r="AQ1624" s="111"/>
      <c r="AR1624" s="28"/>
      <c r="AS1624" s="96">
        <f ca="1">IF(AS1619&lt;AS1623,AS1621,AS1622)</f>
        <v>-1013.2698701929221</v>
      </c>
      <c r="AT1624" s="111"/>
      <c r="AU1624" s="28"/>
    </row>
    <row r="1625" spans="15:47" x14ac:dyDescent="0.25">
      <c r="O1625" s="13" t="s">
        <v>143</v>
      </c>
      <c r="P1625" s="1"/>
      <c r="Q1625" s="1"/>
      <c r="R1625" s="113"/>
      <c r="S1625" s="106">
        <f ca="1">IF(R1618&lt;=0,Q_max,ABS(R$23-R1624))</f>
        <v>3.5240560183408327</v>
      </c>
      <c r="T1625" s="7">
        <f>R1614</f>
        <v>2986.1118617482402</v>
      </c>
      <c r="U1625" s="98"/>
      <c r="V1625" s="106">
        <f ca="1">IF(U1618&lt;=0,Q_max,ABS(U$23-U1624))</f>
        <v>3.0253788150166603</v>
      </c>
      <c r="W1625" s="9">
        <f ca="1">U1614</f>
        <v>36044.01499284141</v>
      </c>
      <c r="X1625" s="98"/>
      <c r="Y1625" s="106">
        <f ca="1">IF(X1618&lt;=0,Q_max,ABS(X$23-X1624))</f>
        <v>13.734214117262937</v>
      </c>
      <c r="Z1625" s="9">
        <f ca="1">X1614</f>
        <v>88258.55283699125</v>
      </c>
      <c r="AA1625" s="98"/>
      <c r="AB1625" s="106">
        <f ca="1">IF(AA1618&lt;=0,Q_max,ABS(AA$23-AA1624))</f>
        <v>38.550053341216106</v>
      </c>
      <c r="AC1625" s="9">
        <f ca="1">AA1614</f>
        <v>171905.13333565887</v>
      </c>
      <c r="AD1625" s="98"/>
      <c r="AE1625" s="106">
        <f ca="1">IF(AD1618&lt;=0,Q_max,ABS(AD$23-AD1624))</f>
        <v>110.51981368609691</v>
      </c>
      <c r="AF1625" s="9">
        <f ca="1">AD1614</f>
        <v>288403.33773984521</v>
      </c>
      <c r="AG1625" s="98"/>
      <c r="AH1625" s="106">
        <f ca="1">IF(AG1618&lt;=0,Q_max,ABS(AG$23-AG1624))</f>
        <v>236393</v>
      </c>
      <c r="AI1625" s="9">
        <f ca="1">AG1614</f>
        <v>420932.52642549807</v>
      </c>
      <c r="AJ1625" s="98"/>
      <c r="AK1625" s="106">
        <f ca="1">IF(AJ1618&lt;=0,Q_max,ABS(AJ$23-AJ1624))</f>
        <v>236393</v>
      </c>
      <c r="AL1625" s="9">
        <f ca="1">AJ1614</f>
        <v>561736.08828806668</v>
      </c>
      <c r="AM1625" s="98"/>
      <c r="AN1625" s="106">
        <f ca="1">IF(AM1618&lt;=0,Q_max,ABS(AM$23-AM1624))</f>
        <v>236393</v>
      </c>
      <c r="AO1625" s="9">
        <f ca="1">AM1614</f>
        <v>685424.78000843083</v>
      </c>
      <c r="AP1625" s="98"/>
      <c r="AQ1625" s="106">
        <f ca="1">IF(AP1618&lt;=0,Q_max,ABS(AP$23-AP1624))</f>
        <v>236393</v>
      </c>
      <c r="AR1625" s="9">
        <f ca="1">AP1614</f>
        <v>795756.89083109901</v>
      </c>
      <c r="AS1625" s="98"/>
      <c r="AT1625" s="106">
        <f ca="1">IF(AS1618&lt;=0,Q_max,ABS(AS$23-AS1624))</f>
        <v>236393</v>
      </c>
      <c r="AU1625" s="9">
        <f ca="1">AS1614</f>
        <v>933087.53673942573</v>
      </c>
    </row>
    <row r="1626" spans="15:47" x14ac:dyDescent="0.25">
      <c r="O1626" s="21"/>
      <c r="P1626" s="14"/>
      <c r="Q1626" s="21"/>
      <c r="R1626" s="97"/>
      <c r="S1626" s="106"/>
      <c r="T1626" s="28"/>
      <c r="U1626" s="97"/>
      <c r="V1626" s="111"/>
      <c r="W1626" s="28"/>
      <c r="X1626" s="97"/>
      <c r="Y1626" s="111"/>
      <c r="Z1626" s="28"/>
      <c r="AA1626" s="97"/>
      <c r="AB1626" s="111"/>
      <c r="AC1626" s="28"/>
      <c r="AD1626" s="97"/>
      <c r="AE1626" s="111"/>
      <c r="AF1626" s="28"/>
      <c r="AG1626" s="97"/>
      <c r="AH1626" s="111"/>
      <c r="AI1626" s="28"/>
      <c r="AJ1626" s="97"/>
      <c r="AK1626" s="111"/>
      <c r="AL1626" s="28"/>
      <c r="AM1626" s="97"/>
      <c r="AN1626" s="111"/>
      <c r="AO1626" s="28"/>
      <c r="AP1626" s="97"/>
      <c r="AQ1626" s="111"/>
      <c r="AR1626" s="28"/>
      <c r="AS1626" s="97"/>
      <c r="AT1626" s="111"/>
      <c r="AU1626" s="28"/>
    </row>
    <row r="1627" spans="15:47" x14ac:dyDescent="0.25">
      <c r="O1627" s="1"/>
      <c r="P1627" s="1"/>
      <c r="Q1627" s="1"/>
      <c r="R1627" s="98"/>
      <c r="S1627" s="108" t="s">
        <v>137</v>
      </c>
      <c r="T1627" s="26" t="s">
        <v>146</v>
      </c>
      <c r="U1627" s="98"/>
      <c r="V1627" s="108" t="s">
        <v>137</v>
      </c>
      <c r="W1627" s="26" t="s">
        <v>146</v>
      </c>
      <c r="X1627" s="98"/>
      <c r="Y1627" s="108" t="s">
        <v>137</v>
      </c>
      <c r="Z1627" s="26" t="s">
        <v>146</v>
      </c>
      <c r="AA1627" s="98"/>
      <c r="AB1627" s="108" t="s">
        <v>137</v>
      </c>
      <c r="AC1627" s="26" t="s">
        <v>146</v>
      </c>
      <c r="AD1627" s="98"/>
      <c r="AE1627" s="108" t="s">
        <v>137</v>
      </c>
      <c r="AF1627" s="26" t="s">
        <v>146</v>
      </c>
      <c r="AG1627" s="98"/>
      <c r="AH1627" s="108" t="s">
        <v>137</v>
      </c>
      <c r="AI1627" s="26" t="s">
        <v>146</v>
      </c>
      <c r="AJ1627" s="98"/>
      <c r="AK1627" s="108" t="s">
        <v>137</v>
      </c>
      <c r="AL1627" s="26" t="s">
        <v>146</v>
      </c>
      <c r="AM1627" s="98"/>
      <c r="AN1627" s="108" t="s">
        <v>137</v>
      </c>
      <c r="AO1627" s="26" t="s">
        <v>146</v>
      </c>
      <c r="AP1627" s="98"/>
      <c r="AQ1627" s="108" t="s">
        <v>137</v>
      </c>
      <c r="AR1627" s="26" t="s">
        <v>146</v>
      </c>
      <c r="AS1627" s="98"/>
      <c r="AT1627" s="108" t="s">
        <v>137</v>
      </c>
      <c r="AU1627" s="26" t="s">
        <v>146</v>
      </c>
    </row>
    <row r="1628" spans="15:47" ht="13.8" x14ac:dyDescent="0.25">
      <c r="O1628" s="20" t="s">
        <v>136</v>
      </c>
      <c r="P1628" s="1"/>
      <c r="Q1628" s="1"/>
      <c r="R1628" s="96">
        <f>R1614*1.02</f>
        <v>3045.834098983205</v>
      </c>
      <c r="S1628" s="109" t="s">
        <v>144</v>
      </c>
      <c r="T1628" s="23" t="s">
        <v>147</v>
      </c>
      <c r="U1628" s="96">
        <f ca="1">U1614*1.01</f>
        <v>36404.455142769824</v>
      </c>
      <c r="V1628" s="109" t="s">
        <v>144</v>
      </c>
      <c r="W1628" s="23" t="s">
        <v>147</v>
      </c>
      <c r="X1628" s="96">
        <f ca="1">X1614*1.01</f>
        <v>89141.13836536117</v>
      </c>
      <c r="Y1628" s="109" t="s">
        <v>144</v>
      </c>
      <c r="Z1628" s="23" t="s">
        <v>147</v>
      </c>
      <c r="AA1628" s="96">
        <f ca="1">AA1614*1.01</f>
        <v>173624.18466901546</v>
      </c>
      <c r="AB1628" s="109" t="s">
        <v>144</v>
      </c>
      <c r="AC1628" s="23" t="s">
        <v>147</v>
      </c>
      <c r="AD1628" s="96">
        <f ca="1">AD1614*1.01</f>
        <v>291287.37111724366</v>
      </c>
      <c r="AE1628" s="109" t="s">
        <v>144</v>
      </c>
      <c r="AF1628" s="23" t="s">
        <v>147</v>
      </c>
      <c r="AG1628" s="96">
        <f ca="1">AG1614*1.01</f>
        <v>425141.85168975306</v>
      </c>
      <c r="AH1628" s="109" t="s">
        <v>144</v>
      </c>
      <c r="AI1628" s="23" t="s">
        <v>147</v>
      </c>
      <c r="AJ1628" s="96">
        <f ca="1">AJ1614*1.01</f>
        <v>567353.44917094731</v>
      </c>
      <c r="AK1628" s="109" t="s">
        <v>144</v>
      </c>
      <c r="AL1628" s="23" t="s">
        <v>147</v>
      </c>
      <c r="AM1628" s="96">
        <f ca="1">AM1614*1.01</f>
        <v>692279.02780851512</v>
      </c>
      <c r="AN1628" s="109" t="s">
        <v>144</v>
      </c>
      <c r="AO1628" s="23" t="s">
        <v>147</v>
      </c>
      <c r="AP1628" s="96">
        <f ca="1">AP1614*1.01</f>
        <v>803714.45973940997</v>
      </c>
      <c r="AQ1628" s="109" t="s">
        <v>144</v>
      </c>
      <c r="AR1628" s="23" t="s">
        <v>147</v>
      </c>
      <c r="AS1628" s="96">
        <f ca="1">AS1614*1.01</f>
        <v>942418.41210682003</v>
      </c>
      <c r="AT1628" s="109" t="s">
        <v>144</v>
      </c>
      <c r="AU1628" s="23" t="s">
        <v>147</v>
      </c>
    </row>
    <row r="1629" spans="15:47" x14ac:dyDescent="0.25">
      <c r="O1629" s="1"/>
      <c r="P1629" s="1"/>
      <c r="Q1629" s="1"/>
      <c r="R1629" s="98"/>
      <c r="S1629" s="107"/>
      <c r="T1629" s="1"/>
      <c r="U1629" s="47"/>
      <c r="V1629" s="107"/>
      <c r="W1629" s="1"/>
      <c r="X1629" s="47"/>
      <c r="Y1629" s="107"/>
      <c r="Z1629" s="1"/>
      <c r="AA1629" s="47"/>
      <c r="AB1629" s="107"/>
      <c r="AC1629" s="1"/>
      <c r="AD1629" s="47"/>
      <c r="AE1629" s="107"/>
      <c r="AF1629" s="1"/>
      <c r="AG1629" s="47"/>
      <c r="AH1629" s="107"/>
      <c r="AI1629" s="1"/>
      <c r="AJ1629" s="47"/>
      <c r="AK1629" s="107"/>
      <c r="AL1629" s="1"/>
      <c r="AM1629" s="47"/>
      <c r="AN1629" s="107"/>
      <c r="AO1629" s="1"/>
      <c r="AP1629" s="47"/>
      <c r="AQ1629" s="107"/>
      <c r="AR1629" s="1"/>
      <c r="AS1629" s="47"/>
      <c r="AT1629" s="107"/>
      <c r="AU1629" s="1"/>
    </row>
    <row r="1630" spans="15:47" x14ac:dyDescent="0.25">
      <c r="O1630" s="8" t="s">
        <v>132</v>
      </c>
      <c r="P1630" s="8"/>
      <c r="Q1630" s="8"/>
      <c r="R1630" s="96">
        <f>P_1_minQ-(R1628^2*R_up)+dpup_minQ</f>
        <v>90.183349676579596</v>
      </c>
      <c r="S1630" s="106"/>
      <c r="T1630" s="22"/>
      <c r="U1630" s="96">
        <f ca="1">P_1_minQ-(U1628^2*R_up)+dpup_minQ</f>
        <v>89.943492996250868</v>
      </c>
      <c r="V1630" s="107"/>
      <c r="W1630" s="1"/>
      <c r="X1630" s="96">
        <f ca="1">P_1_minQ-(X1628^2*R_up)+dpup_minQ</f>
        <v>88.736769348727847</v>
      </c>
      <c r="Y1630" s="107"/>
      <c r="Z1630" s="1"/>
      <c r="AA1630" s="96">
        <f ca="1">P_1_minQ-(AA1628^2*R_up)+dpup_minQ</f>
        <v>84.690720203461979</v>
      </c>
      <c r="AB1630" s="107"/>
      <c r="AC1630" s="1"/>
      <c r="AD1630" s="96">
        <f ca="1">P_1_minQ-(AD1628^2*R_up)+dpup_minQ</f>
        <v>74.720506121717733</v>
      </c>
      <c r="AE1630" s="107"/>
      <c r="AF1630" s="1"/>
      <c r="AG1630" s="96">
        <f ca="1">P_1_minQ-(AG1628^2*R_up)+dpup_minQ</f>
        <v>57.242183861627133</v>
      </c>
      <c r="AH1630" s="107"/>
      <c r="AI1630" s="1"/>
      <c r="AJ1630" s="96">
        <f ca="1">P_1_minQ-(AJ1628^2*R_up)+dpup_minQ</f>
        <v>31.51708743627723</v>
      </c>
      <c r="AK1630" s="107"/>
      <c r="AL1630" s="1"/>
      <c r="AM1630" s="96">
        <f ca="1">P_1_minQ-(AM1628^2*R_up)+dpup_minQ</f>
        <v>2.8364528447763306</v>
      </c>
      <c r="AN1630" s="107"/>
      <c r="AO1630" s="1"/>
      <c r="AP1630" s="96">
        <f ca="1">P_1_minQ-(AP1628^2*R_up)+dpup_minQ</f>
        <v>-27.547658637478804</v>
      </c>
      <c r="AQ1630" s="107"/>
      <c r="AR1630" s="1"/>
      <c r="AS1630" s="96">
        <f ca="1">P_1_minQ-(AS1628^2*R_up)+dpup_minQ</f>
        <v>-71.690436748726739</v>
      </c>
      <c r="AT1630" s="107"/>
      <c r="AU1630" s="1"/>
    </row>
    <row r="1631" spans="15:47" x14ac:dyDescent="0.25">
      <c r="O1631" s="8" t="s">
        <v>134</v>
      </c>
      <c r="P1631" s="1"/>
      <c r="Q1631" s="8"/>
      <c r="R1631" s="97">
        <f>P_2_minQ+(R1628^2*R_dn)-dpdn_minQ</f>
        <v>60</v>
      </c>
      <c r="S1631" s="106"/>
      <c r="T1631" s="22"/>
      <c r="U1631" s="97">
        <f ca="1">P_2_minQ+(U1628^2*R_dn)-dpdn_minQ</f>
        <v>60</v>
      </c>
      <c r="V1631" s="107"/>
      <c r="W1631" s="1"/>
      <c r="X1631" s="97">
        <f ca="1">P_2_minQ+(X1628^2*R_dn)-dpdn_minQ</f>
        <v>60</v>
      </c>
      <c r="Y1631" s="107"/>
      <c r="Z1631" s="1"/>
      <c r="AA1631" s="97">
        <f ca="1">P_2_minQ+(AA1628^2*R_dn)-dpdn_minQ</f>
        <v>60</v>
      </c>
      <c r="AB1631" s="107"/>
      <c r="AC1631" s="1"/>
      <c r="AD1631" s="97">
        <f ca="1">P_2_minQ+(AD1628^2*R_dn)-dpdn_minQ</f>
        <v>60</v>
      </c>
      <c r="AE1631" s="107"/>
      <c r="AF1631" s="1"/>
      <c r="AG1631" s="97">
        <f ca="1">P_2_minQ+(AG1628^2*R_dn)-dpdn_minQ</f>
        <v>60</v>
      </c>
      <c r="AH1631" s="107"/>
      <c r="AI1631" s="1"/>
      <c r="AJ1631" s="97">
        <f ca="1">P_2_minQ+(AJ1628^2*R_dn)-dpdn_minQ</f>
        <v>60</v>
      </c>
      <c r="AK1631" s="107"/>
      <c r="AL1631" s="1"/>
      <c r="AM1631" s="97">
        <f ca="1">P_2_minQ+(AM1628^2*R_dn)-dpdn_minQ</f>
        <v>60</v>
      </c>
      <c r="AN1631" s="107"/>
      <c r="AO1631" s="1"/>
      <c r="AP1631" s="97">
        <f ca="1">P_2_minQ+(AP1628^2*R_dn)-dpdn_minQ</f>
        <v>60</v>
      </c>
      <c r="AQ1631" s="107"/>
      <c r="AR1631" s="1"/>
      <c r="AS1631" s="97">
        <f ca="1">P_2_minQ+(AS1628^2*R_dn)-dpdn_minQ</f>
        <v>60</v>
      </c>
      <c r="AT1631" s="107"/>
      <c r="AU1631" s="1"/>
    </row>
    <row r="1632" spans="15:47" x14ac:dyDescent="0.25">
      <c r="O1632" s="8" t="s">
        <v>138</v>
      </c>
      <c r="P1632" s="1"/>
      <c r="Q1632" s="8"/>
      <c r="R1632" s="97">
        <f>R1630-R1631</f>
        <v>30.183349676579596</v>
      </c>
      <c r="S1632" s="106"/>
      <c r="T1632" s="22"/>
      <c r="U1632" s="97">
        <f ca="1">U1630-U1631</f>
        <v>29.943492996250868</v>
      </c>
      <c r="V1632" s="110"/>
      <c r="W1632" s="25"/>
      <c r="X1632" s="97">
        <f ca="1">X1630-X1631</f>
        <v>28.736769348727847</v>
      </c>
      <c r="Y1632" s="110"/>
      <c r="Z1632" s="25"/>
      <c r="AA1632" s="97">
        <f ca="1">AA1630-AA1631</f>
        <v>24.690720203461979</v>
      </c>
      <c r="AB1632" s="110"/>
      <c r="AC1632" s="25"/>
      <c r="AD1632" s="97">
        <f ca="1">AD1630-AD1631</f>
        <v>14.720506121717733</v>
      </c>
      <c r="AE1632" s="110"/>
      <c r="AF1632" s="25"/>
      <c r="AG1632" s="97">
        <f ca="1">AG1630-AG1631</f>
        <v>-2.757816138372867</v>
      </c>
      <c r="AH1632" s="110"/>
      <c r="AI1632" s="25"/>
      <c r="AJ1632" s="97">
        <f ca="1">AJ1630-AJ1631</f>
        <v>-28.48291256372277</v>
      </c>
      <c r="AK1632" s="110"/>
      <c r="AL1632" s="25"/>
      <c r="AM1632" s="97">
        <f ca="1">AM1630-AM1631</f>
        <v>-57.163547155223668</v>
      </c>
      <c r="AN1632" s="110"/>
      <c r="AO1632" s="25"/>
      <c r="AP1632" s="97">
        <f ca="1">AP1630-AP1631</f>
        <v>-87.547658637478804</v>
      </c>
      <c r="AQ1632" s="110"/>
      <c r="AR1632" s="25"/>
      <c r="AS1632" s="97">
        <f ca="1">AS1630-AS1631</f>
        <v>-131.69043674872674</v>
      </c>
      <c r="AT1632" s="110"/>
      <c r="AU1632" s="25"/>
    </row>
    <row r="1633" spans="15:47" ht="14.4" x14ac:dyDescent="0.3">
      <c r="O1633" s="2" t="s">
        <v>140</v>
      </c>
      <c r="P1633" s="11"/>
      <c r="Q1633" s="2"/>
      <c r="R1633" s="96">
        <f>R1632/R1630</f>
        <v>0.33468871787114535</v>
      </c>
      <c r="S1633" s="106"/>
      <c r="T1633" s="22"/>
      <c r="U1633" s="96">
        <f ca="1">U1632/U1630</f>
        <v>0.33291449996831907</v>
      </c>
      <c r="V1633" s="111"/>
      <c r="W1633" s="28"/>
      <c r="X1633" s="96">
        <f ca="1">X1632/X1630</f>
        <v>0.32384286197973722</v>
      </c>
      <c r="Y1633" s="111"/>
      <c r="Z1633" s="28"/>
      <c r="AA1633" s="96">
        <f ca="1">AA1632/AA1630</f>
        <v>0.29153985400224136</v>
      </c>
      <c r="AB1633" s="111"/>
      <c r="AC1633" s="28"/>
      <c r="AD1633" s="96">
        <f ca="1">AD1632/AD1630</f>
        <v>0.19700758045908331</v>
      </c>
      <c r="AE1633" s="111"/>
      <c r="AF1633" s="28"/>
      <c r="AG1633" s="96">
        <f ca="1">AG1632/AG1630</f>
        <v>-4.8178038508093969E-2</v>
      </c>
      <c r="AH1633" s="111"/>
      <c r="AI1633" s="28"/>
      <c r="AJ1633" s="96">
        <f ca="1">AJ1632/AJ1630</f>
        <v>-0.90372921106085391</v>
      </c>
      <c r="AK1633" s="111"/>
      <c r="AL1633" s="28"/>
      <c r="AM1633" s="96">
        <f ca="1">AM1632/AM1630</f>
        <v>-20.153180850687232</v>
      </c>
      <c r="AN1633" s="111"/>
      <c r="AO1633" s="28"/>
      <c r="AP1633" s="96">
        <f ca="1">AP1632/AP1630</f>
        <v>3.178043542269307</v>
      </c>
      <c r="AQ1633" s="111"/>
      <c r="AR1633" s="28"/>
      <c r="AS1633" s="96">
        <f ca="1">AS1632/AS1630</f>
        <v>1.8369317125281097</v>
      </c>
      <c r="AT1633" s="111"/>
      <c r="AU1633" s="28"/>
    </row>
    <row r="1634" spans="15:47" x14ac:dyDescent="0.25">
      <c r="O1634" s="2" t="s">
        <v>21</v>
      </c>
      <c r="P1634" s="8">
        <v>12</v>
      </c>
      <c r="Q1634" s="2"/>
      <c r="R1634" s="96">
        <f ca="1">1-R1633/(3*F_GAMMA*R$29)</f>
        <v>0.82569104778977043</v>
      </c>
      <c r="S1634" s="106"/>
      <c r="T1634" s="22"/>
      <c r="U1634" s="96">
        <f ca="1">1-U1633/(3*F_GAMMA*U$29)</f>
        <v>0.82665535666206291</v>
      </c>
      <c r="V1634" s="111"/>
      <c r="W1634" s="28"/>
      <c r="X1634" s="96">
        <f ca="1">1-X1633/(3*F_GAMMA*X$29)</f>
        <v>0.82977286464441524</v>
      </c>
      <c r="Y1634" s="111"/>
      <c r="Z1634" s="28"/>
      <c r="AA1634" s="96">
        <f ca="1">1-AA1633/(3*F_GAMMA*AA$29)</f>
        <v>0.84459267024273321</v>
      </c>
      <c r="AB1634" s="111"/>
      <c r="AC1634" s="28"/>
      <c r="AD1634" s="96">
        <f ca="1">1-AD1633/(3*F_GAMMA*AD$29)</f>
        <v>0.89172675762286024</v>
      </c>
      <c r="AE1634" s="111"/>
      <c r="AF1634" s="28"/>
      <c r="AG1634" s="96">
        <f ca="1">1-AG1633/(3*F_GAMMA*AG$29)</f>
        <v>1.0280669819996229</v>
      </c>
      <c r="AH1634" s="111"/>
      <c r="AI1634" s="28"/>
      <c r="AJ1634" s="96">
        <f ca="1">1-AJ1633/(3*F_GAMMA*AJ$29)</f>
        <v>1.5664243704381708</v>
      </c>
      <c r="AK1634" s="111"/>
      <c r="AL1634" s="28"/>
      <c r="AM1634" s="96">
        <f ca="1">1-AM1633/(3*F_GAMMA*AM$29)</f>
        <v>15.122807405298131</v>
      </c>
      <c r="AN1634" s="111"/>
      <c r="AO1634" s="28"/>
      <c r="AP1634" s="96">
        <f ca="1">1-AP1633/(3*F_GAMMA*AP$29)</f>
        <v>-0.79385817787428103</v>
      </c>
      <c r="AQ1634" s="111"/>
      <c r="AR1634" s="28"/>
      <c r="AS1634" s="96">
        <f ca="1">1-AS1633/(3*F_GAMMA*AS$29)</f>
        <v>-0.62550278298704542</v>
      </c>
      <c r="AT1634" s="111"/>
      <c r="AU1634" s="28"/>
    </row>
    <row r="1635" spans="15:47" x14ac:dyDescent="0.25">
      <c r="O1635" s="2" t="s">
        <v>57</v>
      </c>
      <c r="P1635" s="143">
        <v>7</v>
      </c>
      <c r="Q1635" s="2"/>
      <c r="R1635" s="96">
        <f ca="1">(R1628/(N_9*R$27*R1630*R1634))*SQRT(M*'Valve Sizing'!$W$6*'Valve Sizing'!$G$8/R1633)</f>
        <v>1.2300642711292802</v>
      </c>
      <c r="S1635" s="107"/>
      <c r="T1635" s="22"/>
      <c r="U1635" s="96">
        <f ca="1">(U1628/(N_9*U$27*U1630*U1634))*SQRT(M*'Valve Sizing'!$W$6*'Valve Sizing'!$G$8/U1633)</f>
        <v>14.772868913501828</v>
      </c>
      <c r="V1635" s="111"/>
      <c r="W1635" s="28"/>
      <c r="X1635" s="96">
        <f ca="1">(X1628/(N_9*X$27*X1630*X1634))*SQRT(M*'Valve Sizing'!$W$6*'Valve Sizing'!$G$8/X1633)</f>
        <v>37.120829128231847</v>
      </c>
      <c r="Y1635" s="111"/>
      <c r="Z1635" s="28"/>
      <c r="AA1635" s="96">
        <f ca="1">(AA1628/(N_9*AA$27*AA1630*AA1634))*SQRT(M*'Valve Sizing'!$W$6*'Valve Sizing'!$G$8/AA1633)</f>
        <v>78.907309647717042</v>
      </c>
      <c r="AB1635" s="111"/>
      <c r="AC1635" s="28"/>
      <c r="AD1635" s="96">
        <f ca="1">(AD1628/(N_9*AD$27*AD1630*AD1634))*SQRT(M*'Valve Sizing'!$W$6*'Valve Sizing'!$G$8/AD1633)</f>
        <v>175.02279301259622</v>
      </c>
      <c r="AE1635" s="111"/>
      <c r="AF1635" s="28"/>
      <c r="AG1635" s="96" t="e">
        <f ca="1">(AG1628/(N_9*AG$27*AG1630*AG1634))*SQRT(M*'Valve Sizing'!$W$6*'Valve Sizing'!$G$8/AG1633)</f>
        <v>#NUM!</v>
      </c>
      <c r="AH1635" s="111"/>
      <c r="AI1635" s="28"/>
      <c r="AJ1635" s="96" t="e">
        <f ca="1">(AJ1628/(N_9*AJ$27*AJ1630*AJ1634))*SQRT(M*'Valve Sizing'!$W$6*'Valve Sizing'!$G$8/AJ1633)</f>
        <v>#NUM!</v>
      </c>
      <c r="AK1635" s="111"/>
      <c r="AL1635" s="28"/>
      <c r="AM1635" s="96" t="e">
        <f ca="1">(AM1628/(N_9*AM$27*AM1630*AM1634))*SQRT(M*'Valve Sizing'!$W$6*'Valve Sizing'!$G$8/AM1633)</f>
        <v>#NUM!</v>
      </c>
      <c r="AN1635" s="111"/>
      <c r="AO1635" s="28"/>
      <c r="AP1635" s="96">
        <f ca="1">(AP1628/(N_9*AP$27*AP1630*AP1634))*SQRT(M*'Valve Sizing'!$W$6*'Valve Sizing'!$G$8/AP1633)</f>
        <v>468.70952764792764</v>
      </c>
      <c r="AQ1635" s="111"/>
      <c r="AR1635" s="28"/>
      <c r="AS1635" s="96">
        <f ca="1">(AS1628/(N_9*AS$27*AS1630*AS1634))*SQRT(M*'Valve Sizing'!$W$6*'Valve Sizing'!$G$8/AS1633)</f>
        <v>472.19712753702089</v>
      </c>
      <c r="AT1635" s="111"/>
      <c r="AU1635" s="28"/>
    </row>
    <row r="1636" spans="15:47" x14ac:dyDescent="0.25">
      <c r="O1636" s="2" t="s">
        <v>59</v>
      </c>
      <c r="P1636" s="143">
        <v>7</v>
      </c>
      <c r="Q1636" s="2"/>
      <c r="R1636" s="96">
        <f ca="1">(R1628/(N_9*R$27*R1630*0.667))*SQRT(M*'Valve Sizing'!$W$6*'Valve Sizing'!$G$8/R1637)</f>
        <v>1.1011336118422264</v>
      </c>
      <c r="S1636" s="107"/>
      <c r="T1636" s="22"/>
      <c r="U1636" s="96">
        <f ca="1">(U1628/(N_9*U$27*U1630*0.667))*SQRT(M*'Valve Sizing'!$W$6*'Valve Sizing'!$G$8/U1637)</f>
        <v>13.20320403663783</v>
      </c>
      <c r="V1636" s="111"/>
      <c r="W1636" s="28"/>
      <c r="X1636" s="96">
        <f ca="1">(X1628/(N_9*X$27*X1630*0.667))*SQRT(M*'Valve Sizing'!$W$6*'Valve Sizing'!$G$8/X1637)</f>
        <v>33.000922879165628</v>
      </c>
      <c r="Y1636" s="111"/>
      <c r="Z1636" s="28"/>
      <c r="AA1636" s="96">
        <f ca="1">(AA1628/(N_9*AA$27*AA1630*0.667))*SQRT(M*'Valve Sizing'!$W$6*'Valve Sizing'!$G$8/AA1637)</f>
        <v>68.223671424163371</v>
      </c>
      <c r="AB1636" s="111"/>
      <c r="AC1636" s="28"/>
      <c r="AD1636" s="96">
        <f ca="1">(AD1628/(N_9*AD$27*AD1630*0.667))*SQRT(M*'Valve Sizing'!$W$6*'Valve Sizing'!$G$8/AD1637)</f>
        <v>133.35882894961111</v>
      </c>
      <c r="AE1636" s="111"/>
      <c r="AF1636" s="28"/>
      <c r="AG1636" s="96">
        <f ca="1">(AG1628/(N_9*AG$27*AG1630*0.667))*SQRT(M*'Valve Sizing'!$W$6*'Valve Sizing'!$G$8/AG1637)</f>
        <v>267.47124512801508</v>
      </c>
      <c r="AH1636" s="111"/>
      <c r="AI1636" s="28"/>
      <c r="AJ1636" s="96">
        <f ca="1">(AJ1628/(N_9*AJ$27*AJ1630*0.667))*SQRT(M*'Valve Sizing'!$W$6*'Valve Sizing'!$G$8/AJ1637)</f>
        <v>696.73656068583875</v>
      </c>
      <c r="AK1636" s="111"/>
      <c r="AL1636" s="28"/>
      <c r="AM1636" s="96">
        <f ca="1">(AM1628/(N_9*AM$27*AM1630*0.667))*SQRT(M*'Valve Sizing'!$W$6*'Valve Sizing'!$G$8/AM1637)</f>
        <v>10597.957878261073</v>
      </c>
      <c r="AN1636" s="111"/>
      <c r="AO1636" s="28"/>
      <c r="AP1636" s="96">
        <f ca="1">(AP1628/(N_9*AP$27*AP1630*0.667))*SQRT(M*'Valve Sizing'!$W$6*'Valve Sizing'!$G$8/AP1637)</f>
        <v>-1294.1229841983809</v>
      </c>
      <c r="AQ1636" s="111"/>
      <c r="AR1636" s="28"/>
      <c r="AS1636" s="96">
        <f ca="1">(AS1628/(N_9*AS$27*AS1630*0.667))*SQRT(M*'Valve Sizing'!$W$6*'Valve Sizing'!$G$8/AS1637)</f>
        <v>-977.87026263199107</v>
      </c>
      <c r="AT1636" s="111"/>
      <c r="AU1636" s="28"/>
    </row>
    <row r="1637" spans="15:47" ht="15.6" x14ac:dyDescent="0.35">
      <c r="O1637" s="2" t="s">
        <v>68</v>
      </c>
      <c r="P1637" s="143">
        <v>10</v>
      </c>
      <c r="Q1637" s="2"/>
      <c r="R1637" s="96">
        <f ca="1">F_GAMMA*R$29</f>
        <v>0.64002969751372984</v>
      </c>
      <c r="S1637" s="107"/>
      <c r="T1637" s="1"/>
      <c r="U1637" s="96">
        <f ca="1">F_GAMMA*U$29</f>
        <v>0.64017842058782071</v>
      </c>
      <c r="V1637" s="111"/>
      <c r="W1637" s="28"/>
      <c r="X1637" s="96">
        <f ca="1">F_GAMMA*X$29</f>
        <v>0.63413873724904268</v>
      </c>
      <c r="Y1637" s="111"/>
      <c r="Z1637" s="28"/>
      <c r="AA1637" s="96">
        <f ca="1">F_GAMMA*AA$29</f>
        <v>0.62532411750377137</v>
      </c>
      <c r="AB1637" s="111"/>
      <c r="AC1637" s="28"/>
      <c r="AD1637" s="96">
        <f ca="1">F_GAMMA*AD$29</f>
        <v>0.60651359509139569</v>
      </c>
      <c r="AE1637" s="111"/>
      <c r="AF1637" s="28"/>
      <c r="AG1637" s="96">
        <f ca="1">F_GAMMA*AG$29</f>
        <v>0.57217930198481592</v>
      </c>
      <c r="AH1637" s="111"/>
      <c r="AI1637" s="28"/>
      <c r="AJ1637" s="96">
        <f ca="1">F_GAMMA*AJ$29</f>
        <v>0.53183282018848232</v>
      </c>
      <c r="AK1637" s="111"/>
      <c r="AL1637" s="28"/>
      <c r="AM1637" s="96">
        <f ca="1">F_GAMMA*AM$29</f>
        <v>0.47566512503094399</v>
      </c>
      <c r="AN1637" s="111"/>
      <c r="AO1637" s="28"/>
      <c r="AP1637" s="96">
        <f ca="1">F_GAMMA*AP$29</f>
        <v>0.59054158265645496</v>
      </c>
      <c r="AQ1637" s="111"/>
      <c r="AR1637" s="28"/>
      <c r="AS1637" s="96">
        <f ca="1">F_GAMMA*AS$29</f>
        <v>0.3766899554102966</v>
      </c>
      <c r="AT1637" s="111"/>
      <c r="AU1637" s="28"/>
    </row>
    <row r="1638" spans="15:47" x14ac:dyDescent="0.25">
      <c r="O1638" s="2" t="s">
        <v>145</v>
      </c>
      <c r="P1638" s="12"/>
      <c r="Q1638" s="2"/>
      <c r="R1638" s="96">
        <f ca="1">IF(R1633&lt;R1637,R1635,R1636)</f>
        <v>1.2300642711292802</v>
      </c>
      <c r="S1638" s="116"/>
      <c r="T1638" s="1"/>
      <c r="U1638" s="96">
        <f ca="1">IF(U1633&lt;U1637,U1635,U1636)</f>
        <v>14.772868913501828</v>
      </c>
      <c r="V1638" s="111"/>
      <c r="W1638" s="28"/>
      <c r="X1638" s="96">
        <f ca="1">IF(X1633&lt;X1637,X1635,X1636)</f>
        <v>37.120829128231847</v>
      </c>
      <c r="Y1638" s="111"/>
      <c r="Z1638" s="28"/>
      <c r="AA1638" s="96">
        <f ca="1">IF(AA1633&lt;AA1637,AA1635,AA1636)</f>
        <v>78.907309647717042</v>
      </c>
      <c r="AB1638" s="111"/>
      <c r="AC1638" s="28"/>
      <c r="AD1638" s="96">
        <f ca="1">IF(AD1633&lt;AD1637,AD1635,AD1636)</f>
        <v>175.02279301259622</v>
      </c>
      <c r="AE1638" s="111"/>
      <c r="AF1638" s="28"/>
      <c r="AG1638" s="96" t="e">
        <f ca="1">IF(AG1633&lt;AG1637,AG1635,AG1636)</f>
        <v>#NUM!</v>
      </c>
      <c r="AH1638" s="111"/>
      <c r="AI1638" s="28"/>
      <c r="AJ1638" s="96" t="e">
        <f ca="1">IF(AJ1633&lt;AJ1637,AJ1635,AJ1636)</f>
        <v>#NUM!</v>
      </c>
      <c r="AK1638" s="111"/>
      <c r="AL1638" s="28"/>
      <c r="AM1638" s="96" t="e">
        <f ca="1">IF(AM1633&lt;AM1637,AM1635,AM1636)</f>
        <v>#NUM!</v>
      </c>
      <c r="AN1638" s="111"/>
      <c r="AO1638" s="28"/>
      <c r="AP1638" s="96">
        <f ca="1">IF(AP1633&lt;AP1637,AP1635,AP1636)</f>
        <v>-1294.1229841983809</v>
      </c>
      <c r="AQ1638" s="111"/>
      <c r="AR1638" s="28"/>
      <c r="AS1638" s="96">
        <f ca="1">IF(AS1633&lt;AS1637,AS1635,AS1636)</f>
        <v>-977.87026263199107</v>
      </c>
      <c r="AT1638" s="111"/>
      <c r="AU1638" s="28"/>
    </row>
    <row r="1639" spans="15:47" x14ac:dyDescent="0.25">
      <c r="O1639" s="13" t="s">
        <v>143</v>
      </c>
      <c r="P1639" s="1"/>
      <c r="Q1639" s="1"/>
      <c r="R1639" s="113"/>
      <c r="S1639" s="106">
        <f ca="1">IF(R1632&lt;=0,Q_max,ABS(R$23-R1638))</f>
        <v>3.49993572887072</v>
      </c>
      <c r="T1639" s="7">
        <f>R1628</f>
        <v>3045.834098983205</v>
      </c>
      <c r="U1639" s="98"/>
      <c r="V1639" s="106">
        <f ca="1">IF(U1632&lt;=0,Q_max,ABS(U$23-U1638))</f>
        <v>3.1728689135018282</v>
      </c>
      <c r="W1639" s="9">
        <f ca="1">U1628</f>
        <v>36404.455142769824</v>
      </c>
      <c r="X1639" s="98"/>
      <c r="Y1639" s="106">
        <f ca="1">IF(X1632&lt;=0,Q_max,ABS(X$23-X1638))</f>
        <v>14.120829128231847</v>
      </c>
      <c r="Z1639" s="9">
        <f ca="1">X1628</f>
        <v>89141.13836536117</v>
      </c>
      <c r="AA1639" s="98"/>
      <c r="AB1639" s="106">
        <f ca="1">IF(AA1632&lt;=0,Q_max,ABS(AA$23-AA1638))</f>
        <v>39.507309647717044</v>
      </c>
      <c r="AC1639" s="9">
        <f ca="1">AA1628</f>
        <v>173624.18466901546</v>
      </c>
      <c r="AD1639" s="98"/>
      <c r="AE1639" s="106">
        <f ca="1">IF(AD1632&lt;=0,Q_max,ABS(AD$23-AD1638))</f>
        <v>114.02279301259622</v>
      </c>
      <c r="AF1639" s="9">
        <f ca="1">AD1628</f>
        <v>291287.37111724366</v>
      </c>
      <c r="AG1639" s="98"/>
      <c r="AH1639" s="106">
        <f ca="1">IF(AG1632&lt;=0,Q_max,ABS(AG$23-AG1638))</f>
        <v>236393</v>
      </c>
      <c r="AI1639" s="9">
        <f ca="1">AG1628</f>
        <v>425141.85168975306</v>
      </c>
      <c r="AJ1639" s="98"/>
      <c r="AK1639" s="106">
        <f ca="1">IF(AJ1632&lt;=0,Q_max,ABS(AJ$23-AJ1638))</f>
        <v>236393</v>
      </c>
      <c r="AL1639" s="9">
        <f ca="1">AJ1628</f>
        <v>567353.44917094731</v>
      </c>
      <c r="AM1639" s="98"/>
      <c r="AN1639" s="106">
        <f ca="1">IF(AM1632&lt;=0,Q_max,ABS(AM$23-AM1638))</f>
        <v>236393</v>
      </c>
      <c r="AO1639" s="9">
        <f ca="1">AM1628</f>
        <v>692279.02780851512</v>
      </c>
      <c r="AP1639" s="98"/>
      <c r="AQ1639" s="106">
        <f ca="1">IF(AP1632&lt;=0,Q_max,ABS(AP$23-AP1638))</f>
        <v>236393</v>
      </c>
      <c r="AR1639" s="9">
        <f ca="1">AP1628</f>
        <v>803714.45973940997</v>
      </c>
      <c r="AS1639" s="98"/>
      <c r="AT1639" s="106">
        <f ca="1">IF(AS1632&lt;=0,Q_max,ABS(AS$23-AS1638))</f>
        <v>236393</v>
      </c>
      <c r="AU1639" s="9">
        <f ca="1">AS1628</f>
        <v>942418.41210682003</v>
      </c>
    </row>
    <row r="1640" spans="15:47" x14ac:dyDescent="0.25">
      <c r="O1640" s="21"/>
      <c r="P1640" s="14"/>
      <c r="Q1640" s="21"/>
      <c r="R1640" s="97"/>
      <c r="S1640" s="106"/>
      <c r="T1640" s="28"/>
      <c r="U1640" s="97"/>
      <c r="V1640" s="111"/>
      <c r="W1640" s="28"/>
      <c r="X1640" s="97"/>
      <c r="Y1640" s="111"/>
      <c r="Z1640" s="28"/>
      <c r="AA1640" s="97"/>
      <c r="AB1640" s="111"/>
      <c r="AC1640" s="28"/>
      <c r="AD1640" s="97"/>
      <c r="AE1640" s="111"/>
      <c r="AF1640" s="28"/>
      <c r="AG1640" s="97"/>
      <c r="AH1640" s="111"/>
      <c r="AI1640" s="28"/>
      <c r="AJ1640" s="97"/>
      <c r="AK1640" s="111"/>
      <c r="AL1640" s="28"/>
      <c r="AM1640" s="97"/>
      <c r="AN1640" s="111"/>
      <c r="AO1640" s="28"/>
      <c r="AP1640" s="97"/>
      <c r="AQ1640" s="111"/>
      <c r="AR1640" s="28"/>
      <c r="AS1640" s="97"/>
      <c r="AT1640" s="111"/>
      <c r="AU1640" s="28"/>
    </row>
    <row r="1641" spans="15:47" x14ac:dyDescent="0.25">
      <c r="O1641" s="1"/>
      <c r="P1641" s="1"/>
      <c r="Q1641" s="1"/>
      <c r="R1641" s="98"/>
      <c r="S1641" s="108" t="s">
        <v>137</v>
      </c>
      <c r="T1641" s="26" t="s">
        <v>146</v>
      </c>
      <c r="U1641" s="98"/>
      <c r="V1641" s="108" t="s">
        <v>137</v>
      </c>
      <c r="W1641" s="26" t="s">
        <v>146</v>
      </c>
      <c r="X1641" s="98"/>
      <c r="Y1641" s="108" t="s">
        <v>137</v>
      </c>
      <c r="Z1641" s="26" t="s">
        <v>146</v>
      </c>
      <c r="AA1641" s="98"/>
      <c r="AB1641" s="108" t="s">
        <v>137</v>
      </c>
      <c r="AC1641" s="26" t="s">
        <v>146</v>
      </c>
      <c r="AD1641" s="98"/>
      <c r="AE1641" s="108" t="s">
        <v>137</v>
      </c>
      <c r="AF1641" s="26" t="s">
        <v>146</v>
      </c>
      <c r="AG1641" s="98"/>
      <c r="AH1641" s="108" t="s">
        <v>137</v>
      </c>
      <c r="AI1641" s="26" t="s">
        <v>146</v>
      </c>
      <c r="AJ1641" s="98"/>
      <c r="AK1641" s="108" t="s">
        <v>137</v>
      </c>
      <c r="AL1641" s="26" t="s">
        <v>146</v>
      </c>
      <c r="AM1641" s="98"/>
      <c r="AN1641" s="108" t="s">
        <v>137</v>
      </c>
      <c r="AO1641" s="26" t="s">
        <v>146</v>
      </c>
      <c r="AP1641" s="98"/>
      <c r="AQ1641" s="108" t="s">
        <v>137</v>
      </c>
      <c r="AR1641" s="26" t="s">
        <v>146</v>
      </c>
      <c r="AS1641" s="98"/>
      <c r="AT1641" s="108" t="s">
        <v>137</v>
      </c>
      <c r="AU1641" s="26" t="s">
        <v>146</v>
      </c>
    </row>
    <row r="1642" spans="15:47" ht="13.8" x14ac:dyDescent="0.25">
      <c r="O1642" s="20" t="s">
        <v>136</v>
      </c>
      <c r="P1642" s="1"/>
      <c r="Q1642" s="1"/>
      <c r="R1642" s="96">
        <f>R1628*1.02</f>
        <v>3106.7507809628692</v>
      </c>
      <c r="S1642" s="109" t="s">
        <v>144</v>
      </c>
      <c r="T1642" s="23" t="s">
        <v>147</v>
      </c>
      <c r="U1642" s="96">
        <f ca="1">U1628*1.01</f>
        <v>36768.499694197526</v>
      </c>
      <c r="V1642" s="109" t="s">
        <v>144</v>
      </c>
      <c r="W1642" s="23" t="s">
        <v>147</v>
      </c>
      <c r="X1642" s="96">
        <f ca="1">X1628*1.01</f>
        <v>90032.549749014783</v>
      </c>
      <c r="Y1642" s="109" t="s">
        <v>144</v>
      </c>
      <c r="Z1642" s="23" t="s">
        <v>147</v>
      </c>
      <c r="AA1642" s="96">
        <f ca="1">AA1628*1.01</f>
        <v>175360.42651570562</v>
      </c>
      <c r="AB1642" s="109" t="s">
        <v>144</v>
      </c>
      <c r="AC1642" s="23" t="s">
        <v>147</v>
      </c>
      <c r="AD1642" s="96">
        <f ca="1">AD1628*1.01</f>
        <v>294200.24482841609</v>
      </c>
      <c r="AE1642" s="109" t="s">
        <v>144</v>
      </c>
      <c r="AF1642" s="23" t="s">
        <v>147</v>
      </c>
      <c r="AG1642" s="96">
        <f ca="1">AG1628*1.01</f>
        <v>429393.2702066506</v>
      </c>
      <c r="AH1642" s="109" t="s">
        <v>144</v>
      </c>
      <c r="AI1642" s="23" t="s">
        <v>147</v>
      </c>
      <c r="AJ1642" s="96">
        <f ca="1">AJ1628*1.01</f>
        <v>573026.98366265674</v>
      </c>
      <c r="AK1642" s="109" t="s">
        <v>144</v>
      </c>
      <c r="AL1642" s="23" t="s">
        <v>147</v>
      </c>
      <c r="AM1642" s="96">
        <f ca="1">AM1628*1.01</f>
        <v>699201.81808660028</v>
      </c>
      <c r="AN1642" s="109" t="s">
        <v>144</v>
      </c>
      <c r="AO1642" s="23" t="s">
        <v>147</v>
      </c>
      <c r="AP1642" s="96">
        <f ca="1">AP1628*1.01</f>
        <v>811751.60433680413</v>
      </c>
      <c r="AQ1642" s="109" t="s">
        <v>144</v>
      </c>
      <c r="AR1642" s="23" t="s">
        <v>147</v>
      </c>
      <c r="AS1642" s="96">
        <f ca="1">AS1628*1.01</f>
        <v>951842.59622788825</v>
      </c>
      <c r="AT1642" s="109" t="s">
        <v>144</v>
      </c>
      <c r="AU1642" s="23" t="s">
        <v>147</v>
      </c>
    </row>
    <row r="1643" spans="15:47" x14ac:dyDescent="0.25">
      <c r="O1643" s="1"/>
      <c r="P1643" s="1"/>
      <c r="Q1643" s="1"/>
      <c r="R1643" s="98"/>
      <c r="S1643" s="107"/>
      <c r="T1643" s="1"/>
      <c r="U1643" s="47"/>
      <c r="V1643" s="107"/>
      <c r="W1643" s="1"/>
      <c r="X1643" s="47"/>
      <c r="Y1643" s="107"/>
      <c r="Z1643" s="1"/>
      <c r="AA1643" s="47"/>
      <c r="AB1643" s="107"/>
      <c r="AC1643" s="1"/>
      <c r="AD1643" s="47"/>
      <c r="AE1643" s="107"/>
      <c r="AF1643" s="1"/>
      <c r="AG1643" s="47"/>
      <c r="AH1643" s="107"/>
      <c r="AI1643" s="1"/>
      <c r="AJ1643" s="47"/>
      <c r="AK1643" s="107"/>
      <c r="AL1643" s="1"/>
      <c r="AM1643" s="47"/>
      <c r="AN1643" s="107"/>
      <c r="AO1643" s="1"/>
      <c r="AP1643" s="47"/>
      <c r="AQ1643" s="107"/>
      <c r="AR1643" s="1"/>
      <c r="AS1643" s="47"/>
      <c r="AT1643" s="107"/>
      <c r="AU1643" s="1"/>
    </row>
    <row r="1644" spans="15:47" x14ac:dyDescent="0.25">
      <c r="O1644" s="8" t="s">
        <v>132</v>
      </c>
      <c r="P1644" s="8"/>
      <c r="Q1644" s="8"/>
      <c r="R1644" s="96">
        <f>P_1_minQ-(R1642^2*R_up)+dpup_minQ</f>
        <v>90.18328136609108</v>
      </c>
      <c r="S1644" s="106"/>
      <c r="T1644" s="22"/>
      <c r="U1644" s="96">
        <f ca="1">P_1_minQ-(U1642^2*R_up)+dpup_minQ</f>
        <v>89.938637890817375</v>
      </c>
      <c r="V1644" s="107"/>
      <c r="W1644" s="1"/>
      <c r="X1644" s="96">
        <f ca="1">P_1_minQ-(X1642^2*R_up)+dpup_minQ</f>
        <v>88.707659097979146</v>
      </c>
      <c r="Y1644" s="107"/>
      <c r="Z1644" s="1"/>
      <c r="AA1644" s="96">
        <f ca="1">P_1_minQ-(AA1642^2*R_up)+dpup_minQ</f>
        <v>84.58028436489343</v>
      </c>
      <c r="AB1644" s="107"/>
      <c r="AC1644" s="1"/>
      <c r="AD1644" s="96">
        <f ca="1">P_1_minQ-(AD1642^2*R_up)+dpup_minQ</f>
        <v>74.409668980106119</v>
      </c>
      <c r="AE1644" s="107"/>
      <c r="AF1644" s="1"/>
      <c r="AG1644" s="96">
        <f ca="1">P_1_minQ-(AG1642^2*R_up)+dpup_minQ</f>
        <v>56.580032442587701</v>
      </c>
      <c r="AH1644" s="107"/>
      <c r="AI1644" s="1"/>
      <c r="AJ1644" s="96">
        <f ca="1">P_1_minQ-(AJ1642^2*R_up)+dpup_minQ</f>
        <v>30.337861579088269</v>
      </c>
      <c r="AK1644" s="107"/>
      <c r="AL1644" s="1"/>
      <c r="AM1644" s="96">
        <f ca="1">P_1_minQ-(AM1642^2*R_up)+dpup_minQ</f>
        <v>1.0807462322981951</v>
      </c>
      <c r="AN1644" s="107"/>
      <c r="AO1644" s="1"/>
      <c r="AP1644" s="96">
        <f ca="1">P_1_minQ-(AP1642^2*R_up)+dpup_minQ</f>
        <v>-29.914085890750272</v>
      </c>
      <c r="AQ1644" s="107"/>
      <c r="AR1644" s="1"/>
      <c r="AS1644" s="96">
        <f ca="1">P_1_minQ-(AS1642^2*R_up)+dpup_minQ</f>
        <v>-74.94413384203429</v>
      </c>
      <c r="AT1644" s="107"/>
      <c r="AU1644" s="1"/>
    </row>
    <row r="1645" spans="15:47" x14ac:dyDescent="0.25">
      <c r="O1645" s="8" t="s">
        <v>134</v>
      </c>
      <c r="P1645" s="1"/>
      <c r="Q1645" s="8"/>
      <c r="R1645" s="97">
        <f>P_2_minQ+(R1642^2*R_dn)-dpdn_minQ</f>
        <v>60</v>
      </c>
      <c r="S1645" s="106"/>
      <c r="T1645" s="22"/>
      <c r="U1645" s="97">
        <f ca="1">P_2_minQ+(U1642^2*R_dn)-dpdn_minQ</f>
        <v>60</v>
      </c>
      <c r="V1645" s="107"/>
      <c r="W1645" s="1"/>
      <c r="X1645" s="97">
        <f ca="1">P_2_minQ+(X1642^2*R_dn)-dpdn_minQ</f>
        <v>60</v>
      </c>
      <c r="Y1645" s="107"/>
      <c r="Z1645" s="1"/>
      <c r="AA1645" s="97">
        <f ca="1">P_2_minQ+(AA1642^2*R_dn)-dpdn_minQ</f>
        <v>60</v>
      </c>
      <c r="AB1645" s="107"/>
      <c r="AC1645" s="1"/>
      <c r="AD1645" s="97">
        <f ca="1">P_2_minQ+(AD1642^2*R_dn)-dpdn_minQ</f>
        <v>60</v>
      </c>
      <c r="AE1645" s="107"/>
      <c r="AF1645" s="1"/>
      <c r="AG1645" s="97">
        <f ca="1">P_2_minQ+(AG1642^2*R_dn)-dpdn_minQ</f>
        <v>60</v>
      </c>
      <c r="AH1645" s="107"/>
      <c r="AI1645" s="1"/>
      <c r="AJ1645" s="97">
        <f ca="1">P_2_minQ+(AJ1642^2*R_dn)-dpdn_minQ</f>
        <v>60</v>
      </c>
      <c r="AK1645" s="107"/>
      <c r="AL1645" s="1"/>
      <c r="AM1645" s="97">
        <f ca="1">P_2_minQ+(AM1642^2*R_dn)-dpdn_minQ</f>
        <v>60</v>
      </c>
      <c r="AN1645" s="107"/>
      <c r="AO1645" s="1"/>
      <c r="AP1645" s="97">
        <f ca="1">P_2_minQ+(AP1642^2*R_dn)-dpdn_minQ</f>
        <v>60</v>
      </c>
      <c r="AQ1645" s="107"/>
      <c r="AR1645" s="1"/>
      <c r="AS1645" s="97">
        <f ca="1">P_2_minQ+(AS1642^2*R_dn)-dpdn_minQ</f>
        <v>60</v>
      </c>
      <c r="AT1645" s="107"/>
      <c r="AU1645" s="1"/>
    </row>
    <row r="1646" spans="15:47" x14ac:dyDescent="0.25">
      <c r="O1646" s="8" t="s">
        <v>138</v>
      </c>
      <c r="P1646" s="1"/>
      <c r="Q1646" s="8"/>
      <c r="R1646" s="97">
        <f>R1644-R1645</f>
        <v>30.18328136609108</v>
      </c>
      <c r="S1646" s="106"/>
      <c r="T1646" s="22"/>
      <c r="U1646" s="97">
        <f ca="1">U1644-U1645</f>
        <v>29.938637890817375</v>
      </c>
      <c r="V1646" s="110"/>
      <c r="W1646" s="25"/>
      <c r="X1646" s="97">
        <f ca="1">X1644-X1645</f>
        <v>28.707659097979146</v>
      </c>
      <c r="Y1646" s="110"/>
      <c r="Z1646" s="25"/>
      <c r="AA1646" s="97">
        <f ca="1">AA1644-AA1645</f>
        <v>24.58028436489343</v>
      </c>
      <c r="AB1646" s="110"/>
      <c r="AC1646" s="25"/>
      <c r="AD1646" s="97">
        <f ca="1">AD1644-AD1645</f>
        <v>14.409668980106119</v>
      </c>
      <c r="AE1646" s="110"/>
      <c r="AF1646" s="25"/>
      <c r="AG1646" s="97">
        <f ca="1">AG1644-AG1645</f>
        <v>-3.4199675574122992</v>
      </c>
      <c r="AH1646" s="110"/>
      <c r="AI1646" s="25"/>
      <c r="AJ1646" s="97">
        <f ca="1">AJ1644-AJ1645</f>
        <v>-29.662138420911731</v>
      </c>
      <c r="AK1646" s="110"/>
      <c r="AL1646" s="25"/>
      <c r="AM1646" s="97">
        <f ca="1">AM1644-AM1645</f>
        <v>-58.919253767701804</v>
      </c>
      <c r="AN1646" s="110"/>
      <c r="AO1646" s="25"/>
      <c r="AP1646" s="97">
        <f ca="1">AP1644-AP1645</f>
        <v>-89.914085890750272</v>
      </c>
      <c r="AQ1646" s="110"/>
      <c r="AR1646" s="25"/>
      <c r="AS1646" s="97">
        <f ca="1">AS1644-AS1645</f>
        <v>-134.94413384203429</v>
      </c>
      <c r="AT1646" s="110"/>
      <c r="AU1646" s="25"/>
    </row>
    <row r="1647" spans="15:47" ht="14.4" x14ac:dyDescent="0.3">
      <c r="O1647" s="2" t="s">
        <v>140</v>
      </c>
      <c r="P1647" s="11"/>
      <c r="Q1647" s="2"/>
      <c r="R1647" s="96">
        <f>R1646/R1644</f>
        <v>0.33468821392254194</v>
      </c>
      <c r="S1647" s="106"/>
      <c r="T1647" s="22"/>
      <c r="U1647" s="96">
        <f ca="1">U1646/U1644</f>
        <v>0.33287848907787465</v>
      </c>
      <c r="V1647" s="111"/>
      <c r="W1647" s="28"/>
      <c r="X1647" s="96">
        <f ca="1">X1646/X1644</f>
        <v>0.32362097466996664</v>
      </c>
      <c r="Y1647" s="111"/>
      <c r="Z1647" s="28"/>
      <c r="AA1647" s="96">
        <f ca="1">AA1646/AA1644</f>
        <v>0.29061482293970531</v>
      </c>
      <c r="AB1647" s="111"/>
      <c r="AC1647" s="28"/>
      <c r="AD1647" s="96">
        <f ca="1">AD1646/AD1644</f>
        <v>0.19365317945385072</v>
      </c>
      <c r="AE1647" s="111"/>
      <c r="AF1647" s="28"/>
      <c r="AG1647" s="96">
        <f ca="1">AG1646/AG1644</f>
        <v>-6.0444779010732683E-2</v>
      </c>
      <c r="AH1647" s="111"/>
      <c r="AI1647" s="28"/>
      <c r="AJ1647" s="96">
        <f ca="1">AJ1646/AJ1644</f>
        <v>-0.97772673738341831</v>
      </c>
      <c r="AK1647" s="111"/>
      <c r="AL1647" s="28"/>
      <c r="AM1647" s="96">
        <f ca="1">AM1646/AM1644</f>
        <v>-54.517195625480603</v>
      </c>
      <c r="AN1647" s="111"/>
      <c r="AO1647" s="28"/>
      <c r="AP1647" s="96">
        <f ca="1">AP1646/AP1644</f>
        <v>3.0057440571350567</v>
      </c>
      <c r="AQ1647" s="111"/>
      <c r="AR1647" s="28"/>
      <c r="AS1647" s="96">
        <f ca="1">AS1646/AS1644</f>
        <v>1.8005963498953337</v>
      </c>
      <c r="AT1647" s="111"/>
      <c r="AU1647" s="28"/>
    </row>
    <row r="1648" spans="15:47" x14ac:dyDescent="0.25">
      <c r="O1648" s="2" t="s">
        <v>21</v>
      </c>
      <c r="P1648" s="8">
        <v>12</v>
      </c>
      <c r="Q1648" s="2"/>
      <c r="R1648" s="96">
        <f ca="1">1-R1647/(3*F_GAMMA*R$29)</f>
        <v>0.82569131025082254</v>
      </c>
      <c r="S1648" s="106"/>
      <c r="T1648" s="22"/>
      <c r="U1648" s="96">
        <f ca="1">1-U1647/(3*F_GAMMA*U$29)</f>
        <v>0.82667410710687972</v>
      </c>
      <c r="V1648" s="111"/>
      <c r="W1648" s="28"/>
      <c r="X1648" s="96">
        <f ca="1">1-X1647/(3*F_GAMMA*X$29)</f>
        <v>0.82988949911609411</v>
      </c>
      <c r="Y1648" s="111"/>
      <c r="Z1648" s="28"/>
      <c r="AA1648" s="96">
        <f ca="1">1-AA1647/(3*F_GAMMA*AA$29)</f>
        <v>0.84508576443002104</v>
      </c>
      <c r="AB1648" s="111"/>
      <c r="AC1648" s="28"/>
      <c r="AD1648" s="96">
        <f ca="1">1-AD1647/(3*F_GAMMA*AD$29)</f>
        <v>0.89357030025316575</v>
      </c>
      <c r="AE1648" s="111"/>
      <c r="AF1648" s="28"/>
      <c r="AG1648" s="96">
        <f ca="1">1-AG1647/(3*F_GAMMA*AG$29)</f>
        <v>1.0352131920891801</v>
      </c>
      <c r="AH1648" s="111"/>
      <c r="AI1648" s="28"/>
      <c r="AJ1648" s="96">
        <f ca="1">1-AJ1647/(3*F_GAMMA*AJ$29)</f>
        <v>1.612803309780011</v>
      </c>
      <c r="AK1648" s="111"/>
      <c r="AL1648" s="28"/>
      <c r="AM1648" s="96">
        <f ca="1">1-AM1647/(3*F_GAMMA*AM$29)</f>
        <v>39.204185225151157</v>
      </c>
      <c r="AN1648" s="111"/>
      <c r="AO1648" s="28"/>
      <c r="AP1648" s="96">
        <f ca="1">1-AP1647/(3*F_GAMMA*AP$29)</f>
        <v>-0.6966031099871679</v>
      </c>
      <c r="AQ1648" s="111"/>
      <c r="AR1648" s="28"/>
      <c r="AS1648" s="96">
        <f ca="1">1-AS1647/(3*F_GAMMA*AS$29)</f>
        <v>-0.59334958280132155</v>
      </c>
      <c r="AT1648" s="111"/>
      <c r="AU1648" s="28"/>
    </row>
    <row r="1649" spans="15:47" x14ac:dyDescent="0.25">
      <c r="O1649" s="2" t="s">
        <v>57</v>
      </c>
      <c r="P1649" s="143">
        <v>7</v>
      </c>
      <c r="Q1649" s="2"/>
      <c r="R1649" s="96">
        <f ca="1">(R1642/(N_9*R$27*R1644*R1648))*SQRT(M*'Valve Sizing'!$W$6*'Valve Sizing'!$G$8/R1647)</f>
        <v>1.2546670526868791</v>
      </c>
      <c r="S1649" s="107"/>
      <c r="T1649" s="22"/>
      <c r="U1649" s="96">
        <f ca="1">(U1642/(N_9*U$27*U1644*U1648))*SQRT(M*'Valve Sizing'!$W$6*'Valve Sizing'!$G$8/U1647)</f>
        <v>14.921871669255694</v>
      </c>
      <c r="V1649" s="111"/>
      <c r="W1649" s="28"/>
      <c r="X1649" s="96">
        <f ca="1">(X1642/(N_9*X$27*X1644*X1648))*SQRT(M*'Valve Sizing'!$W$6*'Valve Sizing'!$G$8/X1647)</f>
        <v>37.511923060121582</v>
      </c>
      <c r="Y1649" s="111"/>
      <c r="Z1649" s="28"/>
      <c r="AA1649" s="96">
        <f ca="1">(AA1642/(N_9*AA$27*AA1644*AA1648))*SQRT(M*'Valve Sizing'!$W$6*'Valve Sizing'!$G$8/AA1647)</f>
        <v>79.880707428200296</v>
      </c>
      <c r="AB1649" s="111"/>
      <c r="AC1649" s="28"/>
      <c r="AD1649" s="96">
        <f ca="1">(AD1642/(N_9*AD$27*AD1644*AD1648))*SQRT(M*'Valve Sizing'!$W$6*'Valve Sizing'!$G$8/AD1647)</f>
        <v>178.67288167311875</v>
      </c>
      <c r="AE1649" s="111"/>
      <c r="AF1649" s="28"/>
      <c r="AG1649" s="96" t="e">
        <f ca="1">(AG1642/(N_9*AG$27*AG1644*AG1648))*SQRT(M*'Valve Sizing'!$W$6*'Valve Sizing'!$G$8/AG1647)</f>
        <v>#NUM!</v>
      </c>
      <c r="AH1649" s="111"/>
      <c r="AI1649" s="28"/>
      <c r="AJ1649" s="96" t="e">
        <f ca="1">(AJ1642/(N_9*AJ$27*AJ1644*AJ1648))*SQRT(M*'Valve Sizing'!$W$6*'Valve Sizing'!$G$8/AJ1647)</f>
        <v>#NUM!</v>
      </c>
      <c r="AK1649" s="111"/>
      <c r="AL1649" s="28"/>
      <c r="AM1649" s="96" t="e">
        <f ca="1">(AM1642/(N_9*AM$27*AM1644*AM1648))*SQRT(M*'Valve Sizing'!$W$6*'Valve Sizing'!$G$8/AM1647)</f>
        <v>#NUM!</v>
      </c>
      <c r="AN1649" s="111"/>
      <c r="AO1649" s="28"/>
      <c r="AP1649" s="96">
        <f ca="1">(AP1642/(N_9*AP$27*AP1644*AP1648))*SQRT(M*'Valve Sizing'!$W$6*'Valve Sizing'!$G$8/AP1647)</f>
        <v>510.85253035548214</v>
      </c>
      <c r="AQ1649" s="111"/>
      <c r="AR1649" s="28"/>
      <c r="AS1649" s="96">
        <f ca="1">(AS1642/(N_9*AS$27*AS1644*AS1648))*SQRT(M*'Valve Sizing'!$W$6*'Valve Sizing'!$G$8/AS1647)</f>
        <v>485.76388618629585</v>
      </c>
      <c r="AT1649" s="111"/>
      <c r="AU1649" s="28"/>
    </row>
    <row r="1650" spans="15:47" x14ac:dyDescent="0.25">
      <c r="O1650" s="2" t="s">
        <v>59</v>
      </c>
      <c r="P1650" s="143">
        <v>7</v>
      </c>
      <c r="Q1650" s="2"/>
      <c r="R1650" s="96">
        <f ca="1">(R1642/(N_9*R$27*R1644*0.667))*SQRT(M*'Valve Sizing'!$W$6*'Valve Sizing'!$G$8/R1651)</f>
        <v>1.1231571348282705</v>
      </c>
      <c r="S1650" s="107"/>
      <c r="T1650" s="22"/>
      <c r="U1650" s="96">
        <f ca="1">(U1642/(N_9*U$27*U1644*0.667))*SQRT(M*'Valve Sizing'!$W$6*'Valve Sizing'!$G$8/U1651)</f>
        <v>13.335955945335026</v>
      </c>
      <c r="V1650" s="111"/>
      <c r="W1650" s="28"/>
      <c r="X1650" s="96">
        <f ca="1">(X1642/(N_9*X$27*X1644*0.667))*SQRT(M*'Valve Sizing'!$W$6*'Valve Sizing'!$G$8/X1651)</f>
        <v>33.341869966099594</v>
      </c>
      <c r="Y1650" s="111"/>
      <c r="Z1650" s="28"/>
      <c r="AA1650" s="96">
        <f ca="1">(AA1642/(N_9*AA$27*AA1644*0.667))*SQRT(M*'Valve Sizing'!$W$6*'Valve Sizing'!$G$8/AA1651)</f>
        <v>68.995878062303134</v>
      </c>
      <c r="AB1650" s="111"/>
      <c r="AC1650" s="28"/>
      <c r="AD1650" s="96">
        <f ca="1">(AD1642/(N_9*AD$27*AD1644*0.667))*SQRT(M*'Valve Sizing'!$W$6*'Valve Sizing'!$G$8/AD1651)</f>
        <v>135.25507806726597</v>
      </c>
      <c r="AE1650" s="111"/>
      <c r="AF1650" s="28"/>
      <c r="AG1650" s="96">
        <f ca="1">(AG1642/(N_9*AG$27*AG1644*0.667))*SQRT(M*'Valve Sizing'!$W$6*'Valve Sizing'!$G$8/AG1651)</f>
        <v>273.30745327727681</v>
      </c>
      <c r="AH1650" s="111"/>
      <c r="AI1650" s="28"/>
      <c r="AJ1650" s="96">
        <f ca="1">(AJ1642/(N_9*AJ$27*AJ1644*0.667))*SQRT(M*'Valve Sizing'!$W$6*'Valve Sizing'!$G$8/AJ1651)</f>
        <v>731.05673965847961</v>
      </c>
      <c r="AK1650" s="111"/>
      <c r="AL1650" s="28"/>
      <c r="AM1650" s="96">
        <f ca="1">(AM1642/(N_9*AM$27*AM1644*0.667))*SQRT(M*'Valve Sizing'!$W$6*'Valve Sizing'!$G$8/AM1651)</f>
        <v>28092.824145939132</v>
      </c>
      <c r="AN1650" s="111"/>
      <c r="AO1650" s="28"/>
      <c r="AP1650" s="96">
        <f ca="1">(AP1642/(N_9*AP$27*AP1644*0.667))*SQRT(M*'Valve Sizing'!$W$6*'Valve Sizing'!$G$8/AP1651)</f>
        <v>-1203.6656883699754</v>
      </c>
      <c r="AQ1650" s="111"/>
      <c r="AR1650" s="28"/>
      <c r="AS1650" s="96">
        <f ca="1">(AS1642/(N_9*AS$27*AS1644*0.667))*SQRT(M*'Valve Sizing'!$W$6*'Valve Sizing'!$G$8/AS1651)</f>
        <v>-944.77021808054599</v>
      </c>
      <c r="AT1650" s="111"/>
      <c r="AU1650" s="28"/>
    </row>
    <row r="1651" spans="15:47" ht="15.6" x14ac:dyDescent="0.35">
      <c r="O1651" s="2" t="s">
        <v>68</v>
      </c>
      <c r="P1651" s="143">
        <v>10</v>
      </c>
      <c r="Q1651" s="2"/>
      <c r="R1651" s="96">
        <f ca="1">F_GAMMA*R$29</f>
        <v>0.64002969751372984</v>
      </c>
      <c r="S1651" s="107"/>
      <c r="T1651" s="1"/>
      <c r="U1651" s="96">
        <f ca="1">F_GAMMA*U$29</f>
        <v>0.64017842058782071</v>
      </c>
      <c r="V1651" s="111"/>
      <c r="W1651" s="28"/>
      <c r="X1651" s="96">
        <f ca="1">F_GAMMA*X$29</f>
        <v>0.63413873724904268</v>
      </c>
      <c r="Y1651" s="111"/>
      <c r="Z1651" s="28"/>
      <c r="AA1651" s="96">
        <f ca="1">F_GAMMA*AA$29</f>
        <v>0.62532411750377137</v>
      </c>
      <c r="AB1651" s="111"/>
      <c r="AC1651" s="28"/>
      <c r="AD1651" s="96">
        <f ca="1">F_GAMMA*AD$29</f>
        <v>0.60651359509139569</v>
      </c>
      <c r="AE1651" s="111"/>
      <c r="AF1651" s="28"/>
      <c r="AG1651" s="96">
        <f ca="1">F_GAMMA*AG$29</f>
        <v>0.57217930198481592</v>
      </c>
      <c r="AH1651" s="111"/>
      <c r="AI1651" s="28"/>
      <c r="AJ1651" s="96">
        <f ca="1">F_GAMMA*AJ$29</f>
        <v>0.53183282018848232</v>
      </c>
      <c r="AK1651" s="111"/>
      <c r="AL1651" s="28"/>
      <c r="AM1651" s="96">
        <f ca="1">F_GAMMA*AM$29</f>
        <v>0.47566512503094399</v>
      </c>
      <c r="AN1651" s="111"/>
      <c r="AO1651" s="28"/>
      <c r="AP1651" s="96">
        <f ca="1">F_GAMMA*AP$29</f>
        <v>0.59054158265645496</v>
      </c>
      <c r="AQ1651" s="111"/>
      <c r="AR1651" s="28"/>
      <c r="AS1651" s="96">
        <f ca="1">F_GAMMA*AS$29</f>
        <v>0.3766899554102966</v>
      </c>
      <c r="AT1651" s="111"/>
      <c r="AU1651" s="28"/>
    </row>
    <row r="1652" spans="15:47" x14ac:dyDescent="0.25">
      <c r="O1652" s="2" t="s">
        <v>145</v>
      </c>
      <c r="P1652" s="12"/>
      <c r="Q1652" s="2"/>
      <c r="R1652" s="96">
        <f ca="1">IF(R1647&lt;R1651,R1649,R1650)</f>
        <v>1.2546670526868791</v>
      </c>
      <c r="S1652" s="116"/>
      <c r="T1652" s="1"/>
      <c r="U1652" s="96">
        <f ca="1">IF(U1647&lt;U1651,U1649,U1650)</f>
        <v>14.921871669255694</v>
      </c>
      <c r="V1652" s="111"/>
      <c r="W1652" s="28"/>
      <c r="X1652" s="96">
        <f ca="1">IF(X1647&lt;X1651,X1649,X1650)</f>
        <v>37.511923060121582</v>
      </c>
      <c r="Y1652" s="111"/>
      <c r="Z1652" s="28"/>
      <c r="AA1652" s="96">
        <f ca="1">IF(AA1647&lt;AA1651,AA1649,AA1650)</f>
        <v>79.880707428200296</v>
      </c>
      <c r="AB1652" s="111"/>
      <c r="AC1652" s="28"/>
      <c r="AD1652" s="96">
        <f ca="1">IF(AD1647&lt;AD1651,AD1649,AD1650)</f>
        <v>178.67288167311875</v>
      </c>
      <c r="AE1652" s="111"/>
      <c r="AF1652" s="28"/>
      <c r="AG1652" s="96" t="e">
        <f ca="1">IF(AG1647&lt;AG1651,AG1649,AG1650)</f>
        <v>#NUM!</v>
      </c>
      <c r="AH1652" s="111"/>
      <c r="AI1652" s="28"/>
      <c r="AJ1652" s="96" t="e">
        <f ca="1">IF(AJ1647&lt;AJ1651,AJ1649,AJ1650)</f>
        <v>#NUM!</v>
      </c>
      <c r="AK1652" s="111"/>
      <c r="AL1652" s="28"/>
      <c r="AM1652" s="96" t="e">
        <f ca="1">IF(AM1647&lt;AM1651,AM1649,AM1650)</f>
        <v>#NUM!</v>
      </c>
      <c r="AN1652" s="111"/>
      <c r="AO1652" s="28"/>
      <c r="AP1652" s="96">
        <f ca="1">IF(AP1647&lt;AP1651,AP1649,AP1650)</f>
        <v>-1203.6656883699754</v>
      </c>
      <c r="AQ1652" s="111"/>
      <c r="AR1652" s="28"/>
      <c r="AS1652" s="96">
        <f ca="1">IF(AS1647&lt;AS1651,AS1649,AS1650)</f>
        <v>-944.77021808054599</v>
      </c>
      <c r="AT1652" s="111"/>
      <c r="AU1652" s="28"/>
    </row>
    <row r="1653" spans="15:47" x14ac:dyDescent="0.25">
      <c r="O1653" s="13" t="s">
        <v>143</v>
      </c>
      <c r="P1653" s="1"/>
      <c r="Q1653" s="1"/>
      <c r="R1653" s="113"/>
      <c r="S1653" s="106">
        <f ca="1">IF(R1646&lt;=0,Q_max,ABS(R$23-R1652))</f>
        <v>3.4753329473131211</v>
      </c>
      <c r="T1653" s="7">
        <f>R1642</f>
        <v>3106.7507809628692</v>
      </c>
      <c r="U1653" s="98"/>
      <c r="V1653" s="106">
        <f ca="1">IF(U1646&lt;=0,Q_max,ABS(U$23-U1652))</f>
        <v>3.3218716692556942</v>
      </c>
      <c r="W1653" s="9">
        <f ca="1">U1642</f>
        <v>36768.499694197526</v>
      </c>
      <c r="X1653" s="98"/>
      <c r="Y1653" s="106">
        <f ca="1">IF(X1646&lt;=0,Q_max,ABS(X$23-X1652))</f>
        <v>14.511923060121582</v>
      </c>
      <c r="Z1653" s="9">
        <f ca="1">X1642</f>
        <v>90032.549749014783</v>
      </c>
      <c r="AA1653" s="98"/>
      <c r="AB1653" s="106">
        <f ca="1">IF(AA1646&lt;=0,Q_max,ABS(AA$23-AA1652))</f>
        <v>40.480707428200297</v>
      </c>
      <c r="AC1653" s="9">
        <f ca="1">AA1642</f>
        <v>175360.42651570562</v>
      </c>
      <c r="AD1653" s="98"/>
      <c r="AE1653" s="106">
        <f ca="1">IF(AD1646&lt;=0,Q_max,ABS(AD$23-AD1652))</f>
        <v>117.67288167311875</v>
      </c>
      <c r="AF1653" s="9">
        <f ca="1">AD1642</f>
        <v>294200.24482841609</v>
      </c>
      <c r="AG1653" s="98"/>
      <c r="AH1653" s="106">
        <f ca="1">IF(AG1646&lt;=0,Q_max,ABS(AG$23-AG1652))</f>
        <v>236393</v>
      </c>
      <c r="AI1653" s="9">
        <f ca="1">AG1642</f>
        <v>429393.2702066506</v>
      </c>
      <c r="AJ1653" s="98"/>
      <c r="AK1653" s="106">
        <f ca="1">IF(AJ1646&lt;=0,Q_max,ABS(AJ$23-AJ1652))</f>
        <v>236393</v>
      </c>
      <c r="AL1653" s="9">
        <f ca="1">AJ1642</f>
        <v>573026.98366265674</v>
      </c>
      <c r="AM1653" s="98"/>
      <c r="AN1653" s="106">
        <f ca="1">IF(AM1646&lt;=0,Q_max,ABS(AM$23-AM1652))</f>
        <v>236393</v>
      </c>
      <c r="AO1653" s="9">
        <f ca="1">AM1642</f>
        <v>699201.81808660028</v>
      </c>
      <c r="AP1653" s="98"/>
      <c r="AQ1653" s="106">
        <f ca="1">IF(AP1646&lt;=0,Q_max,ABS(AP$23-AP1652))</f>
        <v>236393</v>
      </c>
      <c r="AR1653" s="9">
        <f ca="1">AP1642</f>
        <v>811751.60433680413</v>
      </c>
      <c r="AS1653" s="98"/>
      <c r="AT1653" s="106">
        <f ca="1">IF(AS1646&lt;=0,Q_max,ABS(AS$23-AS1652))</f>
        <v>236393</v>
      </c>
      <c r="AU1653" s="9">
        <f ca="1">AS1642</f>
        <v>951842.59622788825</v>
      </c>
    </row>
    <row r="1654" spans="15:47" x14ac:dyDescent="0.25">
      <c r="O1654" s="21"/>
      <c r="P1654" s="14"/>
      <c r="Q1654" s="21"/>
      <c r="R1654" s="97"/>
      <c r="S1654" s="106"/>
      <c r="T1654" s="28"/>
      <c r="U1654" s="99"/>
      <c r="V1654" s="110"/>
      <c r="W1654" s="25"/>
      <c r="X1654" s="99"/>
      <c r="Y1654" s="110"/>
      <c r="Z1654" s="25"/>
      <c r="AA1654" s="99"/>
      <c r="AB1654" s="110"/>
      <c r="AC1654" s="25"/>
      <c r="AD1654" s="99"/>
      <c r="AE1654" s="110"/>
      <c r="AF1654" s="25"/>
      <c r="AG1654" s="99"/>
      <c r="AH1654" s="110"/>
      <c r="AI1654" s="25"/>
      <c r="AJ1654" s="99"/>
      <c r="AK1654" s="110"/>
      <c r="AL1654" s="25"/>
      <c r="AM1654" s="99"/>
      <c r="AN1654" s="110"/>
      <c r="AO1654" s="25"/>
      <c r="AP1654" s="99"/>
      <c r="AQ1654" s="110"/>
      <c r="AR1654" s="25"/>
      <c r="AS1654" s="99"/>
      <c r="AT1654" s="110"/>
      <c r="AU1654" s="25"/>
    </row>
    <row r="1655" spans="15:47" x14ac:dyDescent="0.25">
      <c r="O1655" s="1"/>
      <c r="P1655" s="1"/>
      <c r="Q1655" s="1"/>
      <c r="R1655" s="98"/>
      <c r="S1655" s="108" t="s">
        <v>137</v>
      </c>
      <c r="T1655" s="26" t="s">
        <v>146</v>
      </c>
      <c r="U1655" s="98"/>
      <c r="V1655" s="108" t="s">
        <v>137</v>
      </c>
      <c r="W1655" s="26" t="s">
        <v>146</v>
      </c>
      <c r="X1655" s="98"/>
      <c r="Y1655" s="108" t="s">
        <v>137</v>
      </c>
      <c r="Z1655" s="26" t="s">
        <v>146</v>
      </c>
      <c r="AA1655" s="98"/>
      <c r="AB1655" s="108" t="s">
        <v>137</v>
      </c>
      <c r="AC1655" s="26" t="s">
        <v>146</v>
      </c>
      <c r="AD1655" s="98"/>
      <c r="AE1655" s="108" t="s">
        <v>137</v>
      </c>
      <c r="AF1655" s="26" t="s">
        <v>146</v>
      </c>
      <c r="AG1655" s="98"/>
      <c r="AH1655" s="108" t="s">
        <v>137</v>
      </c>
      <c r="AI1655" s="26" t="s">
        <v>146</v>
      </c>
      <c r="AJ1655" s="98"/>
      <c r="AK1655" s="108" t="s">
        <v>137</v>
      </c>
      <c r="AL1655" s="26" t="s">
        <v>146</v>
      </c>
      <c r="AM1655" s="98"/>
      <c r="AN1655" s="108" t="s">
        <v>137</v>
      </c>
      <c r="AO1655" s="26" t="s">
        <v>146</v>
      </c>
      <c r="AP1655" s="98"/>
      <c r="AQ1655" s="108" t="s">
        <v>137</v>
      </c>
      <c r="AR1655" s="26" t="s">
        <v>146</v>
      </c>
      <c r="AS1655" s="98"/>
      <c r="AT1655" s="108" t="s">
        <v>137</v>
      </c>
      <c r="AU1655" s="26" t="s">
        <v>146</v>
      </c>
    </row>
    <row r="1656" spans="15:47" ht="13.8" x14ac:dyDescent="0.25">
      <c r="O1656" s="20" t="s">
        <v>136</v>
      </c>
      <c r="P1656" s="1"/>
      <c r="Q1656" s="1"/>
      <c r="R1656" s="96">
        <f>R1642*1.02</f>
        <v>3168.8857965821267</v>
      </c>
      <c r="S1656" s="109" t="s">
        <v>144</v>
      </c>
      <c r="T1656" s="23" t="s">
        <v>147</v>
      </c>
      <c r="U1656" s="96">
        <f ca="1">U1642*1.01</f>
        <v>37136.184691139504</v>
      </c>
      <c r="V1656" s="109" t="s">
        <v>144</v>
      </c>
      <c r="W1656" s="23" t="s">
        <v>147</v>
      </c>
      <c r="X1656" s="96">
        <f ca="1">X1642*1.01</f>
        <v>90932.875246504933</v>
      </c>
      <c r="Y1656" s="109" t="s">
        <v>144</v>
      </c>
      <c r="Z1656" s="23" t="s">
        <v>147</v>
      </c>
      <c r="AA1656" s="96">
        <f ca="1">AA1642*1.01</f>
        <v>177114.03078086267</v>
      </c>
      <c r="AB1656" s="109" t="s">
        <v>144</v>
      </c>
      <c r="AC1656" s="23" t="s">
        <v>147</v>
      </c>
      <c r="AD1656" s="96">
        <f ca="1">AD1642*1.01</f>
        <v>297142.24727670028</v>
      </c>
      <c r="AE1656" s="109" t="s">
        <v>144</v>
      </c>
      <c r="AF1656" s="23" t="s">
        <v>147</v>
      </c>
      <c r="AG1656" s="96">
        <f ca="1">AG1642*1.01</f>
        <v>433687.2029087171</v>
      </c>
      <c r="AH1656" s="109" t="s">
        <v>144</v>
      </c>
      <c r="AI1656" s="23" t="s">
        <v>147</v>
      </c>
      <c r="AJ1656" s="96">
        <f ca="1">AJ1642*1.01</f>
        <v>578757.25349928334</v>
      </c>
      <c r="AK1656" s="109" t="s">
        <v>144</v>
      </c>
      <c r="AL1656" s="23" t="s">
        <v>147</v>
      </c>
      <c r="AM1656" s="96">
        <f ca="1">AM1642*1.01</f>
        <v>706193.83626746631</v>
      </c>
      <c r="AN1656" s="109" t="s">
        <v>144</v>
      </c>
      <c r="AO1656" s="23" t="s">
        <v>147</v>
      </c>
      <c r="AP1656" s="96">
        <f ca="1">AP1642*1.01</f>
        <v>819869.12038017216</v>
      </c>
      <c r="AQ1656" s="109" t="s">
        <v>144</v>
      </c>
      <c r="AR1656" s="23" t="s">
        <v>147</v>
      </c>
      <c r="AS1656" s="96">
        <f ca="1">AS1642*1.01</f>
        <v>961361.0221901671</v>
      </c>
      <c r="AT1656" s="109" t="s">
        <v>144</v>
      </c>
      <c r="AU1656" s="23" t="s">
        <v>147</v>
      </c>
    </row>
    <row r="1657" spans="15:47" x14ac:dyDescent="0.25">
      <c r="O1657" s="1"/>
      <c r="P1657" s="1"/>
      <c r="Q1657" s="1"/>
      <c r="R1657" s="98"/>
      <c r="S1657" s="107"/>
      <c r="T1657" s="1"/>
      <c r="U1657" s="47"/>
      <c r="V1657" s="107"/>
      <c r="W1657" s="1"/>
      <c r="X1657" s="47"/>
      <c r="Y1657" s="107"/>
      <c r="Z1657" s="1"/>
      <c r="AA1657" s="47"/>
      <c r="AB1657" s="107"/>
      <c r="AC1657" s="1"/>
      <c r="AD1657" s="47"/>
      <c r="AE1657" s="107"/>
      <c r="AF1657" s="1"/>
      <c r="AG1657" s="47"/>
      <c r="AH1657" s="107"/>
      <c r="AI1657" s="1"/>
      <c r="AJ1657" s="47"/>
      <c r="AK1657" s="107"/>
      <c r="AL1657" s="1"/>
      <c r="AM1657" s="47"/>
      <c r="AN1657" s="107"/>
      <c r="AO1657" s="1"/>
      <c r="AP1657" s="47"/>
      <c r="AQ1657" s="107"/>
      <c r="AR1657" s="1"/>
      <c r="AS1657" s="47"/>
      <c r="AT1657" s="107"/>
      <c r="AU1657" s="1"/>
    </row>
    <row r="1658" spans="15:47" x14ac:dyDescent="0.25">
      <c r="O1658" s="8" t="s">
        <v>132</v>
      </c>
      <c r="P1658" s="8"/>
      <c r="Q1658" s="8"/>
      <c r="R1658" s="96">
        <f>P_1_minQ-(R1656^2*R_up)+dpup_minQ</f>
        <v>90.183210295858842</v>
      </c>
      <c r="S1658" s="106"/>
      <c r="T1658" s="22"/>
      <c r="U1658" s="96">
        <f ca="1">P_1_minQ-(U1656^2*R_up)+dpup_minQ</f>
        <v>89.93368519776466</v>
      </c>
      <c r="V1658" s="107"/>
      <c r="W1658" s="1"/>
      <c r="X1658" s="96">
        <f ca="1">P_1_minQ-(X1656^2*R_up)+dpup_minQ</f>
        <v>88.677963731190388</v>
      </c>
      <c r="Y1658" s="107"/>
      <c r="Z1658" s="1"/>
      <c r="AA1658" s="96">
        <f ca="1">P_1_minQ-(AA1656^2*R_up)+dpup_minQ</f>
        <v>84.467628765969664</v>
      </c>
      <c r="AB1658" s="107"/>
      <c r="AC1658" s="1"/>
      <c r="AD1658" s="96">
        <f ca="1">P_1_minQ-(AD1656^2*R_up)+dpup_minQ</f>
        <v>74.092584011948119</v>
      </c>
      <c r="AE1658" s="107"/>
      <c r="AF1658" s="1"/>
      <c r="AG1658" s="96">
        <f ca="1">P_1_minQ-(AG1656^2*R_up)+dpup_minQ</f>
        <v>55.904571780025584</v>
      </c>
      <c r="AH1658" s="107"/>
      <c r="AI1658" s="1"/>
      <c r="AJ1658" s="96">
        <f ca="1">P_1_minQ-(AJ1656^2*R_up)+dpup_minQ</f>
        <v>29.134933282169811</v>
      </c>
      <c r="AK1658" s="107"/>
      <c r="AL1658" s="1"/>
      <c r="AM1658" s="96">
        <f ca="1">P_1_minQ-(AM1656^2*R_up)+dpup_minQ</f>
        <v>-0.71025008309074289</v>
      </c>
      <c r="AN1658" s="107"/>
      <c r="AO1658" s="1"/>
      <c r="AP1658" s="96">
        <f ca="1">P_1_minQ-(AP1656^2*R_up)+dpup_minQ</f>
        <v>-32.328078331812506</v>
      </c>
      <c r="AQ1658" s="107"/>
      <c r="AR1658" s="1"/>
      <c r="AS1658" s="96">
        <f ca="1">P_1_minQ-(AS1656^2*R_up)+dpup_minQ</f>
        <v>-78.263230246917288</v>
      </c>
      <c r="AT1658" s="107"/>
      <c r="AU1658" s="1"/>
    </row>
    <row r="1659" spans="15:47" x14ac:dyDescent="0.25">
      <c r="O1659" s="8" t="s">
        <v>134</v>
      </c>
      <c r="P1659" s="1"/>
      <c r="Q1659" s="8"/>
      <c r="R1659" s="97">
        <f>P_2_minQ+(R1656^2*R_dn)-dpdn_minQ</f>
        <v>60</v>
      </c>
      <c r="S1659" s="106"/>
      <c r="T1659" s="22"/>
      <c r="U1659" s="97">
        <f ca="1">P_2_minQ+(U1656^2*R_dn)-dpdn_minQ</f>
        <v>60</v>
      </c>
      <c r="V1659" s="107"/>
      <c r="W1659" s="1"/>
      <c r="X1659" s="97">
        <f ca="1">P_2_minQ+(X1656^2*R_dn)-dpdn_minQ</f>
        <v>60</v>
      </c>
      <c r="Y1659" s="107"/>
      <c r="Z1659" s="1"/>
      <c r="AA1659" s="97">
        <f ca="1">P_2_minQ+(AA1656^2*R_dn)-dpdn_minQ</f>
        <v>60</v>
      </c>
      <c r="AB1659" s="107"/>
      <c r="AC1659" s="1"/>
      <c r="AD1659" s="97">
        <f ca="1">P_2_minQ+(AD1656^2*R_dn)-dpdn_minQ</f>
        <v>60</v>
      </c>
      <c r="AE1659" s="107"/>
      <c r="AF1659" s="1"/>
      <c r="AG1659" s="97">
        <f ca="1">P_2_minQ+(AG1656^2*R_dn)-dpdn_minQ</f>
        <v>60</v>
      </c>
      <c r="AH1659" s="107"/>
      <c r="AI1659" s="1"/>
      <c r="AJ1659" s="97">
        <f ca="1">P_2_minQ+(AJ1656^2*R_dn)-dpdn_minQ</f>
        <v>60</v>
      </c>
      <c r="AK1659" s="107"/>
      <c r="AL1659" s="1"/>
      <c r="AM1659" s="97">
        <f ca="1">P_2_minQ+(AM1656^2*R_dn)-dpdn_minQ</f>
        <v>60</v>
      </c>
      <c r="AN1659" s="107"/>
      <c r="AO1659" s="1"/>
      <c r="AP1659" s="97">
        <f ca="1">P_2_minQ+(AP1656^2*R_dn)-dpdn_minQ</f>
        <v>60</v>
      </c>
      <c r="AQ1659" s="107"/>
      <c r="AR1659" s="1"/>
      <c r="AS1659" s="97">
        <f ca="1">P_2_minQ+(AS1656^2*R_dn)-dpdn_minQ</f>
        <v>60</v>
      </c>
      <c r="AT1659" s="107"/>
      <c r="AU1659" s="1"/>
    </row>
    <row r="1660" spans="15:47" x14ac:dyDescent="0.25">
      <c r="O1660" s="8" t="s">
        <v>138</v>
      </c>
      <c r="P1660" s="1"/>
      <c r="Q1660" s="8"/>
      <c r="R1660" s="97">
        <f>R1658-R1659</f>
        <v>30.183210295858842</v>
      </c>
      <c r="S1660" s="106"/>
      <c r="T1660" s="22"/>
      <c r="U1660" s="97">
        <f ca="1">U1658-U1659</f>
        <v>29.93368519776466</v>
      </c>
      <c r="V1660" s="110"/>
      <c r="W1660" s="25"/>
      <c r="X1660" s="97">
        <f ca="1">X1658-X1659</f>
        <v>28.677963731190388</v>
      </c>
      <c r="Y1660" s="110"/>
      <c r="Z1660" s="25"/>
      <c r="AA1660" s="97">
        <f ca="1">AA1658-AA1659</f>
        <v>24.467628765969664</v>
      </c>
      <c r="AB1660" s="110"/>
      <c r="AC1660" s="25"/>
      <c r="AD1660" s="97">
        <f ca="1">AD1658-AD1659</f>
        <v>14.092584011948119</v>
      </c>
      <c r="AE1660" s="110"/>
      <c r="AF1660" s="25"/>
      <c r="AG1660" s="97">
        <f ca="1">AG1658-AG1659</f>
        <v>-4.0954282199744156</v>
      </c>
      <c r="AH1660" s="110"/>
      <c r="AI1660" s="25"/>
      <c r="AJ1660" s="97">
        <f ca="1">AJ1658-AJ1659</f>
        <v>-30.865066717830189</v>
      </c>
      <c r="AK1660" s="110"/>
      <c r="AL1660" s="25"/>
      <c r="AM1660" s="97">
        <f ca="1">AM1658-AM1659</f>
        <v>-60.710250083090742</v>
      </c>
      <c r="AN1660" s="110"/>
      <c r="AO1660" s="25"/>
      <c r="AP1660" s="97">
        <f ca="1">AP1658-AP1659</f>
        <v>-92.328078331812506</v>
      </c>
      <c r="AQ1660" s="110"/>
      <c r="AR1660" s="25"/>
      <c r="AS1660" s="97">
        <f ca="1">AS1658-AS1659</f>
        <v>-138.26323024691729</v>
      </c>
      <c r="AT1660" s="110"/>
      <c r="AU1660" s="25"/>
    </row>
    <row r="1661" spans="15:47" ht="14.4" x14ac:dyDescent="0.3">
      <c r="O1661" s="2" t="s">
        <v>140</v>
      </c>
      <c r="P1661" s="11"/>
      <c r="Q1661" s="2"/>
      <c r="R1661" s="96">
        <f>R1660/R1658</f>
        <v>0.33468768961360468</v>
      </c>
      <c r="S1661" s="106"/>
      <c r="T1661" s="22"/>
      <c r="U1661" s="96">
        <f ca="1">U1660/U1658</f>
        <v>0.33284175036239561</v>
      </c>
      <c r="V1661" s="111"/>
      <c r="W1661" s="28"/>
      <c r="X1661" s="96">
        <f ca="1">X1660/X1658</f>
        <v>0.32339447732609122</v>
      </c>
      <c r="Y1661" s="111"/>
      <c r="Z1661" s="28"/>
      <c r="AA1661" s="96">
        <f ca="1">AA1660/AA1658</f>
        <v>0.28966870650247478</v>
      </c>
      <c r="AB1661" s="111"/>
      <c r="AC1661" s="28"/>
      <c r="AD1661" s="96">
        <f ca="1">AD1660/AD1658</f>
        <v>0.190202355605192</v>
      </c>
      <c r="AE1661" s="111"/>
      <c r="AF1661" s="28"/>
      <c r="AG1661" s="96">
        <f ca="1">AG1660/AG1658</f>
        <v>-7.3257483056827402E-2</v>
      </c>
      <c r="AH1661" s="111"/>
      <c r="AI1661" s="28"/>
      <c r="AJ1661" s="96">
        <f ca="1">AJ1660/AJ1658</f>
        <v>-1.0593834699707103</v>
      </c>
      <c r="AK1661" s="111"/>
      <c r="AL1661" s="28"/>
      <c r="AM1661" s="96">
        <f ca="1">AM1660/AM1658</f>
        <v>85.477286843674023</v>
      </c>
      <c r="AN1661" s="111"/>
      <c r="AO1661" s="28"/>
      <c r="AP1661" s="96">
        <f ca="1">AP1660/AP1658</f>
        <v>2.8559717464231977</v>
      </c>
      <c r="AQ1661" s="111"/>
      <c r="AR1661" s="28"/>
      <c r="AS1661" s="96">
        <f ca="1">AS1660/AS1658</f>
        <v>1.7666435414268291</v>
      </c>
      <c r="AT1661" s="111"/>
      <c r="AU1661" s="28"/>
    </row>
    <row r="1662" spans="15:47" x14ac:dyDescent="0.25">
      <c r="O1662" s="2" t="s">
        <v>21</v>
      </c>
      <c r="P1662" s="8">
        <v>12</v>
      </c>
      <c r="Q1662" s="2"/>
      <c r="R1662" s="96">
        <f ca="1">1-R1661/(3*F_GAMMA*R$29)</f>
        <v>0.82569158331572312</v>
      </c>
      <c r="S1662" s="106"/>
      <c r="T1662" s="22"/>
      <c r="U1662" s="96">
        <f ca="1">1-U1661/(3*F_GAMMA*U$29)</f>
        <v>0.82669323652158533</v>
      </c>
      <c r="V1662" s="111"/>
      <c r="W1662" s="28"/>
      <c r="X1662" s="96">
        <f ca="1">1-X1661/(3*F_GAMMA*X$29)</f>
        <v>0.83000855683988606</v>
      </c>
      <c r="Y1662" s="111"/>
      <c r="Z1662" s="28"/>
      <c r="AA1662" s="96">
        <f ca="1">1-AA1661/(3*F_GAMMA*AA$29)</f>
        <v>0.8455900983217034</v>
      </c>
      <c r="AB1662" s="111"/>
      <c r="AC1662" s="28"/>
      <c r="AD1662" s="96">
        <f ca="1">1-AD1661/(3*F_GAMMA*AD$29)</f>
        <v>0.89546683583873043</v>
      </c>
      <c r="AE1662" s="111"/>
      <c r="AF1662" s="28"/>
      <c r="AG1662" s="96">
        <f ca="1">1-AG1661/(3*F_GAMMA*AG$29)</f>
        <v>1.0426774630508926</v>
      </c>
      <c r="AH1662" s="111"/>
      <c r="AI1662" s="28"/>
      <c r="AJ1662" s="96">
        <f ca="1">1-AJ1661/(3*F_GAMMA*AJ$29)</f>
        <v>1.6639827590903868</v>
      </c>
      <c r="AK1662" s="111"/>
      <c r="AL1662" s="28"/>
      <c r="AM1662" s="96">
        <f ca="1">1-AM1661/(3*F_GAMMA*AM$29)</f>
        <v>-58.900184916936659</v>
      </c>
      <c r="AN1662" s="111"/>
      <c r="AO1662" s="28"/>
      <c r="AP1662" s="96">
        <f ca="1">1-AP1661/(3*F_GAMMA*AP$29)</f>
        <v>-0.61206358722224374</v>
      </c>
      <c r="AQ1662" s="111"/>
      <c r="AR1662" s="28"/>
      <c r="AS1662" s="96">
        <f ca="1">1-AS1661/(3*F_GAMMA*AS$29)</f>
        <v>-0.56330470727362791</v>
      </c>
      <c r="AT1662" s="111"/>
      <c r="AU1662" s="28"/>
    </row>
    <row r="1663" spans="15:47" x14ac:dyDescent="0.25">
      <c r="O1663" s="2" t="s">
        <v>57</v>
      </c>
      <c r="P1663" s="143">
        <v>7</v>
      </c>
      <c r="Q1663" s="2"/>
      <c r="R1663" s="96">
        <f ca="1">(R1656/(N_9*R$27*R1658*R1662))*SQRT(M*'Valve Sizing'!$W$6*'Valve Sizing'!$G$8/R1661)</f>
        <v>1.2797619814563448</v>
      </c>
      <c r="S1663" s="107"/>
      <c r="T1663" s="22"/>
      <c r="U1663" s="96">
        <f ca="1">(U1656/(N_9*U$27*U1658*U1662))*SQRT(M*'Valve Sizing'!$W$6*'Valve Sizing'!$G$8/U1661)</f>
        <v>15.072403368068933</v>
      </c>
      <c r="V1663" s="111"/>
      <c r="W1663" s="28"/>
      <c r="X1663" s="96">
        <f ca="1">(X1656/(N_9*X$27*X1658*X1662))*SQRT(M*'Valve Sizing'!$W$6*'Valve Sizing'!$G$8/X1661)</f>
        <v>37.907560814287258</v>
      </c>
      <c r="Y1663" s="111"/>
      <c r="Z1663" s="28"/>
      <c r="AA1663" s="96">
        <f ca="1">(AA1656/(N_9*AA$27*AA1658*AA1662))*SQRT(M*'Valve Sizing'!$W$6*'Valve Sizing'!$G$8/AA1661)</f>
        <v>80.870681450621362</v>
      </c>
      <c r="AB1663" s="111"/>
      <c r="AC1663" s="28"/>
      <c r="AD1663" s="96">
        <f ca="1">(AD1656/(N_9*AD$27*AD1658*AD1662))*SQRT(M*'Valve Sizing'!$W$6*'Valve Sizing'!$G$8/AD1661)</f>
        <v>182.48124557179017</v>
      </c>
      <c r="AE1663" s="111"/>
      <c r="AF1663" s="28"/>
      <c r="AG1663" s="96" t="e">
        <f ca="1">(AG1656/(N_9*AG$27*AG1658*AG1662))*SQRT(M*'Valve Sizing'!$W$6*'Valve Sizing'!$G$8/AG1661)</f>
        <v>#NUM!</v>
      </c>
      <c r="AH1663" s="111"/>
      <c r="AI1663" s="28"/>
      <c r="AJ1663" s="96" t="e">
        <f ca="1">(AJ1656/(N_9*AJ$27*AJ1658*AJ1662))*SQRT(M*'Valve Sizing'!$W$6*'Valve Sizing'!$G$8/AJ1661)</f>
        <v>#NUM!</v>
      </c>
      <c r="AK1663" s="111"/>
      <c r="AL1663" s="28"/>
      <c r="AM1663" s="96">
        <f ca="1">(AM1656/(N_9*AM$27*AM1658*AM1662))*SQRT(M*'Valve Sizing'!$W$6*'Valve Sizing'!$G$8/AM1661)</f>
        <v>36.472344229549968</v>
      </c>
      <c r="AN1663" s="111"/>
      <c r="AO1663" s="28"/>
      <c r="AP1663" s="96">
        <f ca="1">(AP1656/(N_9*AP$27*AP1658*AP1662))*SQRT(M*'Valve Sizing'!$W$6*'Valve Sizing'!$G$8/AP1661)</f>
        <v>557.44327452172854</v>
      </c>
      <c r="AQ1663" s="111"/>
      <c r="AR1663" s="28"/>
      <c r="AS1663" s="96">
        <f ca="1">(AS1656/(N_9*AS$27*AS1658*AS1662))*SQRT(M*'Valve Sizing'!$W$6*'Valve Sizing'!$G$8/AS1661)</f>
        <v>499.605777866751</v>
      </c>
      <c r="AT1663" s="111"/>
      <c r="AU1663" s="28"/>
    </row>
    <row r="1664" spans="15:47" x14ac:dyDescent="0.25">
      <c r="O1664" s="2" t="s">
        <v>59</v>
      </c>
      <c r="P1664" s="143">
        <v>7</v>
      </c>
      <c r="Q1664" s="2"/>
      <c r="R1664" s="96">
        <f ca="1">(R1656/(N_9*R$27*R1658*0.667))*SQRT(M*'Valve Sizing'!$W$6*'Valve Sizing'!$G$8/R1665)</f>
        <v>1.145621180348088</v>
      </c>
      <c r="S1664" s="107"/>
      <c r="T1664" s="22"/>
      <c r="U1664" s="96">
        <f ca="1">(U1656/(N_9*U$27*U1658*0.667))*SQRT(M*'Valve Sizing'!$W$6*'Valve Sizing'!$G$8/U1665)</f>
        <v>13.470057266734178</v>
      </c>
      <c r="V1664" s="111"/>
      <c r="W1664" s="28"/>
      <c r="X1664" s="96">
        <f ca="1">(X1656/(N_9*X$27*X1658*0.667))*SQRT(M*'Valve Sizing'!$W$6*'Valve Sizing'!$G$8/X1665)</f>
        <v>33.686565425020405</v>
      </c>
      <c r="Y1664" s="111"/>
      <c r="Z1664" s="28"/>
      <c r="AA1664" s="96">
        <f ca="1">(AA1656/(N_9*AA$27*AA1658*0.667))*SQRT(M*'Valve Sizing'!$W$6*'Valve Sizing'!$G$8/AA1665)</f>
        <v>69.778777769535992</v>
      </c>
      <c r="AB1664" s="111"/>
      <c r="AC1664" s="28"/>
      <c r="AD1664" s="96">
        <f ca="1">(AD1656/(N_9*AD$27*AD1658*0.667))*SQRT(M*'Valve Sizing'!$W$6*'Valve Sizing'!$G$8/AD1665)</f>
        <v>137.19225180610678</v>
      </c>
      <c r="AE1664" s="111"/>
      <c r="AF1664" s="28"/>
      <c r="AG1664" s="96">
        <f ca="1">(AG1656/(N_9*AG$27*AG1658*0.667))*SQRT(M*'Valve Sizing'!$W$6*'Valve Sizing'!$G$8/AG1665)</f>
        <v>279.37575625151288</v>
      </c>
      <c r="AH1664" s="111"/>
      <c r="AI1664" s="28"/>
      <c r="AJ1664" s="96">
        <f ca="1">(AJ1656/(N_9*AJ$27*AJ1658*0.667))*SQRT(M*'Valve Sizing'!$W$6*'Valve Sizing'!$G$8/AJ1665)</f>
        <v>768.8531474918293</v>
      </c>
      <c r="AK1664" s="111"/>
      <c r="AL1664" s="28"/>
      <c r="AM1664" s="96">
        <f ca="1">(AM1656/(N_9*AM$27*AM1658*0.667))*SQRT(M*'Valve Sizing'!$W$6*'Valve Sizing'!$G$8/AM1665)</f>
        <v>-43174.688351180499</v>
      </c>
      <c r="AN1664" s="111"/>
      <c r="AO1664" s="28"/>
      <c r="AP1664" s="96">
        <f ca="1">(AP1656/(N_9*AP$27*AP1658*0.667))*SQRT(M*'Valve Sizing'!$W$6*'Valve Sizing'!$G$8/AP1665)</f>
        <v>-1124.9237891668413</v>
      </c>
      <c r="AQ1664" s="111"/>
      <c r="AR1664" s="28"/>
      <c r="AS1664" s="96">
        <f ca="1">(AS1656/(N_9*AS$27*AS1658*0.667))*SQRT(M*'Valve Sizing'!$W$6*'Valve Sizing'!$G$8/AS1665)</f>
        <v>-913.75011362185808</v>
      </c>
      <c r="AT1664" s="111"/>
      <c r="AU1664" s="28"/>
    </row>
    <row r="1665" spans="15:47" ht="15.6" x14ac:dyDescent="0.35">
      <c r="O1665" s="2" t="s">
        <v>68</v>
      </c>
      <c r="P1665" s="143">
        <v>10</v>
      </c>
      <c r="Q1665" s="2"/>
      <c r="R1665" s="96">
        <f ca="1">F_GAMMA*R$29</f>
        <v>0.64002969751372984</v>
      </c>
      <c r="S1665" s="107"/>
      <c r="T1665" s="1"/>
      <c r="U1665" s="96">
        <f ca="1">F_GAMMA*U$29</f>
        <v>0.64017842058782071</v>
      </c>
      <c r="V1665" s="111"/>
      <c r="W1665" s="28"/>
      <c r="X1665" s="96">
        <f ca="1">F_GAMMA*X$29</f>
        <v>0.63413873724904268</v>
      </c>
      <c r="Y1665" s="111"/>
      <c r="Z1665" s="28"/>
      <c r="AA1665" s="96">
        <f ca="1">F_GAMMA*AA$29</f>
        <v>0.62532411750377137</v>
      </c>
      <c r="AB1665" s="111"/>
      <c r="AC1665" s="28"/>
      <c r="AD1665" s="96">
        <f ca="1">F_GAMMA*AD$29</f>
        <v>0.60651359509139569</v>
      </c>
      <c r="AE1665" s="111"/>
      <c r="AF1665" s="28"/>
      <c r="AG1665" s="96">
        <f ca="1">F_GAMMA*AG$29</f>
        <v>0.57217930198481592</v>
      </c>
      <c r="AH1665" s="111"/>
      <c r="AI1665" s="28"/>
      <c r="AJ1665" s="96">
        <f ca="1">F_GAMMA*AJ$29</f>
        <v>0.53183282018848232</v>
      </c>
      <c r="AK1665" s="111"/>
      <c r="AL1665" s="28"/>
      <c r="AM1665" s="96">
        <f ca="1">F_GAMMA*AM$29</f>
        <v>0.47566512503094399</v>
      </c>
      <c r="AN1665" s="111"/>
      <c r="AO1665" s="28"/>
      <c r="AP1665" s="96">
        <f ca="1">F_GAMMA*AP$29</f>
        <v>0.59054158265645496</v>
      </c>
      <c r="AQ1665" s="111"/>
      <c r="AR1665" s="28"/>
      <c r="AS1665" s="96">
        <f ca="1">F_GAMMA*AS$29</f>
        <v>0.3766899554102966</v>
      </c>
      <c r="AT1665" s="111"/>
      <c r="AU1665" s="28"/>
    </row>
    <row r="1666" spans="15:47" x14ac:dyDescent="0.25">
      <c r="O1666" s="2" t="s">
        <v>145</v>
      </c>
      <c r="P1666" s="12"/>
      <c r="Q1666" s="2"/>
      <c r="R1666" s="96">
        <f ca="1">IF(R1661&lt;R1665,R1663,R1664)</f>
        <v>1.2797619814563448</v>
      </c>
      <c r="S1666" s="116"/>
      <c r="T1666" s="1"/>
      <c r="U1666" s="96">
        <f ca="1">IF(U1661&lt;U1665,U1663,U1664)</f>
        <v>15.072403368068933</v>
      </c>
      <c r="V1666" s="111"/>
      <c r="W1666" s="28"/>
      <c r="X1666" s="96">
        <f ca="1">IF(X1661&lt;X1665,X1663,X1664)</f>
        <v>37.907560814287258</v>
      </c>
      <c r="Y1666" s="111"/>
      <c r="Z1666" s="28"/>
      <c r="AA1666" s="96">
        <f ca="1">IF(AA1661&lt;AA1665,AA1663,AA1664)</f>
        <v>80.870681450621362</v>
      </c>
      <c r="AB1666" s="111"/>
      <c r="AC1666" s="28"/>
      <c r="AD1666" s="96">
        <f ca="1">IF(AD1661&lt;AD1665,AD1663,AD1664)</f>
        <v>182.48124557179017</v>
      </c>
      <c r="AE1666" s="111"/>
      <c r="AF1666" s="28"/>
      <c r="AG1666" s="96" t="e">
        <f ca="1">IF(AG1661&lt;AG1665,AG1663,AG1664)</f>
        <v>#NUM!</v>
      </c>
      <c r="AH1666" s="111"/>
      <c r="AI1666" s="28"/>
      <c r="AJ1666" s="96" t="e">
        <f ca="1">IF(AJ1661&lt;AJ1665,AJ1663,AJ1664)</f>
        <v>#NUM!</v>
      </c>
      <c r="AK1666" s="111"/>
      <c r="AL1666" s="28"/>
      <c r="AM1666" s="96">
        <f ca="1">IF(AM1661&lt;AM1665,AM1663,AM1664)</f>
        <v>-43174.688351180499</v>
      </c>
      <c r="AN1666" s="111"/>
      <c r="AO1666" s="28"/>
      <c r="AP1666" s="96">
        <f ca="1">IF(AP1661&lt;AP1665,AP1663,AP1664)</f>
        <v>-1124.9237891668413</v>
      </c>
      <c r="AQ1666" s="111"/>
      <c r="AR1666" s="28"/>
      <c r="AS1666" s="96">
        <f ca="1">IF(AS1661&lt;AS1665,AS1663,AS1664)</f>
        <v>-913.75011362185808</v>
      </c>
      <c r="AT1666" s="111"/>
      <c r="AU1666" s="28"/>
    </row>
    <row r="1667" spans="15:47" x14ac:dyDescent="0.25">
      <c r="O1667" s="13" t="s">
        <v>143</v>
      </c>
      <c r="P1667" s="1"/>
      <c r="Q1667" s="1"/>
      <c r="R1667" s="113"/>
      <c r="S1667" s="106">
        <f ca="1">IF(R1660&lt;=0,Q_max,ABS(R$23-R1666))</f>
        <v>3.4502380185436556</v>
      </c>
      <c r="T1667" s="7">
        <f>R1656</f>
        <v>3168.8857965821267</v>
      </c>
      <c r="U1667" s="98"/>
      <c r="V1667" s="106">
        <f ca="1">IF(U1660&lt;=0,Q_max,ABS(U$23-U1666))</f>
        <v>3.4724033680689335</v>
      </c>
      <c r="W1667" s="9">
        <f ca="1">U1656</f>
        <v>37136.184691139504</v>
      </c>
      <c r="X1667" s="98"/>
      <c r="Y1667" s="106">
        <f ca="1">IF(X1660&lt;=0,Q_max,ABS(X$23-X1666))</f>
        <v>14.907560814287258</v>
      </c>
      <c r="Z1667" s="9">
        <f ca="1">X1656</f>
        <v>90932.875246504933</v>
      </c>
      <c r="AA1667" s="98"/>
      <c r="AB1667" s="106">
        <f ca="1">IF(AA1660&lt;=0,Q_max,ABS(AA$23-AA1666))</f>
        <v>41.470681450621363</v>
      </c>
      <c r="AC1667" s="9">
        <f ca="1">AA1656</f>
        <v>177114.03078086267</v>
      </c>
      <c r="AD1667" s="98"/>
      <c r="AE1667" s="106">
        <f ca="1">IF(AD1660&lt;=0,Q_max,ABS(AD$23-AD1666))</f>
        <v>121.48124557179017</v>
      </c>
      <c r="AF1667" s="9">
        <f ca="1">AD1656</f>
        <v>297142.24727670028</v>
      </c>
      <c r="AG1667" s="98"/>
      <c r="AH1667" s="106">
        <f ca="1">IF(AG1660&lt;=0,Q_max,ABS(AG$23-AG1666))</f>
        <v>236393</v>
      </c>
      <c r="AI1667" s="9">
        <f ca="1">AG1656</f>
        <v>433687.2029087171</v>
      </c>
      <c r="AJ1667" s="98"/>
      <c r="AK1667" s="106">
        <f ca="1">IF(AJ1660&lt;=0,Q_max,ABS(AJ$23-AJ1666))</f>
        <v>236393</v>
      </c>
      <c r="AL1667" s="9">
        <f ca="1">AJ1656</f>
        <v>578757.25349928334</v>
      </c>
      <c r="AM1667" s="98"/>
      <c r="AN1667" s="106">
        <f ca="1">IF(AM1660&lt;=0,Q_max,ABS(AM$23-AM1666))</f>
        <v>236393</v>
      </c>
      <c r="AO1667" s="9">
        <f ca="1">AM1656</f>
        <v>706193.83626746631</v>
      </c>
      <c r="AP1667" s="98"/>
      <c r="AQ1667" s="106">
        <f ca="1">IF(AP1660&lt;=0,Q_max,ABS(AP$23-AP1666))</f>
        <v>236393</v>
      </c>
      <c r="AR1667" s="9">
        <f ca="1">AP1656</f>
        <v>819869.12038017216</v>
      </c>
      <c r="AS1667" s="98"/>
      <c r="AT1667" s="106">
        <f ca="1">IF(AS1660&lt;=0,Q_max,ABS(AS$23-AS1666))</f>
        <v>236393</v>
      </c>
      <c r="AU1667" s="9">
        <f ca="1">AS1656</f>
        <v>961361.0221901671</v>
      </c>
    </row>
    <row r="1668" spans="15:47" x14ac:dyDescent="0.25">
      <c r="O1668" s="21"/>
      <c r="P1668" s="14"/>
      <c r="Q1668" s="21"/>
      <c r="R1668" s="97"/>
      <c r="S1668" s="106"/>
      <c r="T1668" s="28"/>
      <c r="U1668" s="97"/>
      <c r="V1668" s="111"/>
      <c r="W1668" s="28"/>
      <c r="X1668" s="97"/>
      <c r="Y1668" s="111"/>
      <c r="Z1668" s="28"/>
      <c r="AA1668" s="97"/>
      <c r="AB1668" s="111"/>
      <c r="AC1668" s="28"/>
      <c r="AD1668" s="97"/>
      <c r="AE1668" s="111"/>
      <c r="AF1668" s="28"/>
      <c r="AG1668" s="97"/>
      <c r="AH1668" s="111"/>
      <c r="AI1668" s="28"/>
      <c r="AJ1668" s="97"/>
      <c r="AK1668" s="111"/>
      <c r="AL1668" s="28"/>
      <c r="AM1668" s="97"/>
      <c r="AN1668" s="111"/>
      <c r="AO1668" s="28"/>
      <c r="AP1668" s="97"/>
      <c r="AQ1668" s="111"/>
      <c r="AR1668" s="28"/>
      <c r="AS1668" s="97"/>
      <c r="AT1668" s="111"/>
      <c r="AU1668" s="28"/>
    </row>
    <row r="1669" spans="15:47" x14ac:dyDescent="0.25">
      <c r="O1669" s="1"/>
      <c r="P1669" s="1"/>
      <c r="Q1669" s="1"/>
      <c r="R1669" s="98"/>
      <c r="S1669" s="108" t="s">
        <v>137</v>
      </c>
      <c r="T1669" s="26" t="s">
        <v>146</v>
      </c>
      <c r="U1669" s="98"/>
      <c r="V1669" s="108" t="s">
        <v>137</v>
      </c>
      <c r="W1669" s="26" t="s">
        <v>146</v>
      </c>
      <c r="X1669" s="98"/>
      <c r="Y1669" s="108" t="s">
        <v>137</v>
      </c>
      <c r="Z1669" s="26" t="s">
        <v>146</v>
      </c>
      <c r="AA1669" s="98"/>
      <c r="AB1669" s="108" t="s">
        <v>137</v>
      </c>
      <c r="AC1669" s="26" t="s">
        <v>146</v>
      </c>
      <c r="AD1669" s="98"/>
      <c r="AE1669" s="108" t="s">
        <v>137</v>
      </c>
      <c r="AF1669" s="26" t="s">
        <v>146</v>
      </c>
      <c r="AG1669" s="98"/>
      <c r="AH1669" s="108" t="s">
        <v>137</v>
      </c>
      <c r="AI1669" s="26" t="s">
        <v>146</v>
      </c>
      <c r="AJ1669" s="98"/>
      <c r="AK1669" s="108" t="s">
        <v>137</v>
      </c>
      <c r="AL1669" s="26" t="s">
        <v>146</v>
      </c>
      <c r="AM1669" s="98"/>
      <c r="AN1669" s="108" t="s">
        <v>137</v>
      </c>
      <c r="AO1669" s="26" t="s">
        <v>146</v>
      </c>
      <c r="AP1669" s="98"/>
      <c r="AQ1669" s="108" t="s">
        <v>137</v>
      </c>
      <c r="AR1669" s="26" t="s">
        <v>146</v>
      </c>
      <c r="AS1669" s="98"/>
      <c r="AT1669" s="108" t="s">
        <v>137</v>
      </c>
      <c r="AU1669" s="26" t="s">
        <v>146</v>
      </c>
    </row>
    <row r="1670" spans="15:47" ht="13.8" x14ac:dyDescent="0.25">
      <c r="O1670" s="20" t="s">
        <v>136</v>
      </c>
      <c r="P1670" s="1"/>
      <c r="Q1670" s="1"/>
      <c r="R1670" s="96">
        <f>R1656*1.02</f>
        <v>3232.2635125137695</v>
      </c>
      <c r="S1670" s="109" t="s">
        <v>144</v>
      </c>
      <c r="T1670" s="23" t="s">
        <v>147</v>
      </c>
      <c r="U1670" s="96">
        <f ca="1">U1656*1.01</f>
        <v>37507.546538050898</v>
      </c>
      <c r="V1670" s="109" t="s">
        <v>144</v>
      </c>
      <c r="W1670" s="23" t="s">
        <v>147</v>
      </c>
      <c r="X1670" s="96">
        <f ca="1">X1656*1.01</f>
        <v>91842.203998969984</v>
      </c>
      <c r="Y1670" s="109" t="s">
        <v>144</v>
      </c>
      <c r="Z1670" s="23" t="s">
        <v>147</v>
      </c>
      <c r="AA1670" s="96">
        <f ca="1">AA1656*1.01</f>
        <v>178885.17108867128</v>
      </c>
      <c r="AB1670" s="109" t="s">
        <v>144</v>
      </c>
      <c r="AC1670" s="23" t="s">
        <v>147</v>
      </c>
      <c r="AD1670" s="96">
        <f ca="1">AD1656*1.01</f>
        <v>300113.66974946728</v>
      </c>
      <c r="AE1670" s="109" t="s">
        <v>144</v>
      </c>
      <c r="AF1670" s="23" t="s">
        <v>147</v>
      </c>
      <c r="AG1670" s="96">
        <f ca="1">AG1656*1.01</f>
        <v>438024.07493780425</v>
      </c>
      <c r="AH1670" s="109" t="s">
        <v>144</v>
      </c>
      <c r="AI1670" s="23" t="s">
        <v>147</v>
      </c>
      <c r="AJ1670" s="96">
        <f ca="1">AJ1656*1.01</f>
        <v>584544.82603427616</v>
      </c>
      <c r="AK1670" s="109" t="s">
        <v>144</v>
      </c>
      <c r="AL1670" s="23" t="s">
        <v>147</v>
      </c>
      <c r="AM1670" s="96">
        <f ca="1">AM1656*1.01</f>
        <v>713255.77463014098</v>
      </c>
      <c r="AN1670" s="109" t="s">
        <v>144</v>
      </c>
      <c r="AO1670" s="23" t="s">
        <v>147</v>
      </c>
      <c r="AP1670" s="96">
        <f ca="1">AP1656*1.01</f>
        <v>828067.81158397393</v>
      </c>
      <c r="AQ1670" s="109" t="s">
        <v>144</v>
      </c>
      <c r="AR1670" s="23" t="s">
        <v>147</v>
      </c>
      <c r="AS1670" s="96">
        <f ca="1">AS1656*1.01</f>
        <v>970974.63241206878</v>
      </c>
      <c r="AT1670" s="109" t="s">
        <v>144</v>
      </c>
      <c r="AU1670" s="23" t="s">
        <v>147</v>
      </c>
    </row>
    <row r="1671" spans="15:47" x14ac:dyDescent="0.25">
      <c r="O1671" s="1"/>
      <c r="P1671" s="1"/>
      <c r="Q1671" s="1"/>
      <c r="R1671" s="98"/>
      <c r="S1671" s="107"/>
      <c r="T1671" s="1"/>
      <c r="U1671" s="47"/>
      <c r="V1671" s="107"/>
      <c r="W1671" s="1"/>
      <c r="X1671" s="47"/>
      <c r="Y1671" s="107"/>
      <c r="Z1671" s="1"/>
      <c r="AA1671" s="47"/>
      <c r="AB1671" s="107"/>
      <c r="AC1671" s="1"/>
      <c r="AD1671" s="47"/>
      <c r="AE1671" s="107"/>
      <c r="AF1671" s="1"/>
      <c r="AG1671" s="47"/>
      <c r="AH1671" s="107"/>
      <c r="AI1671" s="1"/>
      <c r="AJ1671" s="47"/>
      <c r="AK1671" s="107"/>
      <c r="AL1671" s="1"/>
      <c r="AM1671" s="47"/>
      <c r="AN1671" s="107"/>
      <c r="AO1671" s="1"/>
      <c r="AP1671" s="47"/>
      <c r="AQ1671" s="107"/>
      <c r="AR1671" s="1"/>
      <c r="AS1671" s="47"/>
      <c r="AT1671" s="107"/>
      <c r="AU1671" s="1"/>
    </row>
    <row r="1672" spans="15:47" x14ac:dyDescent="0.25">
      <c r="O1672" s="8" t="s">
        <v>132</v>
      </c>
      <c r="P1672" s="8"/>
      <c r="Q1672" s="8"/>
      <c r="R1672" s="96">
        <f>P_1_minQ-(R1670^2*R_up)+dpup_minQ</f>
        <v>90.183136354389219</v>
      </c>
      <c r="S1672" s="106"/>
      <c r="T1672" s="22"/>
      <c r="U1672" s="96">
        <f ca="1">P_1_minQ-(U1670^2*R_up)+dpup_minQ</f>
        <v>89.928632955581591</v>
      </c>
      <c r="V1672" s="107"/>
      <c r="W1672" s="1"/>
      <c r="X1672" s="96">
        <f ca="1">P_1_minQ-(X1670^2*R_up)+dpup_minQ</f>
        <v>88.64767148752918</v>
      </c>
      <c r="Y1672" s="107"/>
      <c r="Z1672" s="1"/>
      <c r="AA1672" s="96">
        <f ca="1">P_1_minQ-(AA1670^2*R_up)+dpup_minQ</f>
        <v>84.352708789507517</v>
      </c>
      <c r="AB1672" s="107"/>
      <c r="AC1672" s="1"/>
      <c r="AD1672" s="96">
        <f ca="1">P_1_minQ-(AD1670^2*R_up)+dpup_minQ</f>
        <v>73.769125635930138</v>
      </c>
      <c r="AE1672" s="107"/>
      <c r="AF1672" s="1"/>
      <c r="AG1672" s="96">
        <f ca="1">P_1_minQ-(AG1670^2*R_up)+dpup_minQ</f>
        <v>55.215534358145966</v>
      </c>
      <c r="AH1672" s="107"/>
      <c r="AI1672" s="1"/>
      <c r="AJ1672" s="96">
        <f ca="1">P_1_minQ-(AJ1670^2*R_up)+dpup_minQ</f>
        <v>27.907826126483286</v>
      </c>
      <c r="AK1672" s="107"/>
      <c r="AL1672" s="1"/>
      <c r="AM1672" s="96">
        <f ca="1">P_1_minQ-(AM1670^2*R_up)+dpup_minQ</f>
        <v>-2.5372454244189995</v>
      </c>
      <c r="AN1672" s="107"/>
      <c r="AO1672" s="1"/>
      <c r="AP1672" s="96">
        <f ca="1">P_1_minQ-(AP1670^2*R_up)+dpup_minQ</f>
        <v>-34.790592020940096</v>
      </c>
      <c r="AQ1672" s="107"/>
      <c r="AR1672" s="1"/>
      <c r="AS1672" s="96">
        <f ca="1">P_1_minQ-(AS1670^2*R_up)+dpup_minQ</f>
        <v>-81.649040489538464</v>
      </c>
      <c r="AT1672" s="107"/>
      <c r="AU1672" s="1"/>
    </row>
    <row r="1673" spans="15:47" x14ac:dyDescent="0.25">
      <c r="O1673" s="8" t="s">
        <v>134</v>
      </c>
      <c r="P1673" s="1"/>
      <c r="Q1673" s="8"/>
      <c r="R1673" s="97">
        <f>P_2_minQ+(R1670^2*R_dn)-dpdn_minQ</f>
        <v>60</v>
      </c>
      <c r="S1673" s="106"/>
      <c r="T1673" s="22"/>
      <c r="U1673" s="97">
        <f ca="1">P_2_minQ+(U1670^2*R_dn)-dpdn_minQ</f>
        <v>60</v>
      </c>
      <c r="V1673" s="107"/>
      <c r="W1673" s="1"/>
      <c r="X1673" s="97">
        <f ca="1">P_2_minQ+(X1670^2*R_dn)-dpdn_minQ</f>
        <v>60</v>
      </c>
      <c r="Y1673" s="107"/>
      <c r="Z1673" s="1"/>
      <c r="AA1673" s="97">
        <f ca="1">P_2_minQ+(AA1670^2*R_dn)-dpdn_minQ</f>
        <v>60</v>
      </c>
      <c r="AB1673" s="107"/>
      <c r="AC1673" s="1"/>
      <c r="AD1673" s="97">
        <f ca="1">P_2_minQ+(AD1670^2*R_dn)-dpdn_minQ</f>
        <v>60</v>
      </c>
      <c r="AE1673" s="107"/>
      <c r="AF1673" s="1"/>
      <c r="AG1673" s="97">
        <f ca="1">P_2_minQ+(AG1670^2*R_dn)-dpdn_minQ</f>
        <v>60</v>
      </c>
      <c r="AH1673" s="107"/>
      <c r="AI1673" s="1"/>
      <c r="AJ1673" s="97">
        <f ca="1">P_2_minQ+(AJ1670^2*R_dn)-dpdn_minQ</f>
        <v>60</v>
      </c>
      <c r="AK1673" s="107"/>
      <c r="AL1673" s="1"/>
      <c r="AM1673" s="97">
        <f ca="1">P_2_minQ+(AM1670^2*R_dn)-dpdn_minQ</f>
        <v>60</v>
      </c>
      <c r="AN1673" s="107"/>
      <c r="AO1673" s="1"/>
      <c r="AP1673" s="97">
        <f ca="1">P_2_minQ+(AP1670^2*R_dn)-dpdn_minQ</f>
        <v>60</v>
      </c>
      <c r="AQ1673" s="107"/>
      <c r="AR1673" s="1"/>
      <c r="AS1673" s="97">
        <f ca="1">P_2_minQ+(AS1670^2*R_dn)-dpdn_minQ</f>
        <v>60</v>
      </c>
      <c r="AT1673" s="107"/>
      <c r="AU1673" s="1"/>
    </row>
    <row r="1674" spans="15:47" x14ac:dyDescent="0.25">
      <c r="O1674" s="8" t="s">
        <v>138</v>
      </c>
      <c r="P1674" s="1"/>
      <c r="Q1674" s="8"/>
      <c r="R1674" s="97">
        <f>R1672-R1673</f>
        <v>30.183136354389219</v>
      </c>
      <c r="S1674" s="106"/>
      <c r="T1674" s="22"/>
      <c r="U1674" s="97">
        <f ca="1">U1672-U1673</f>
        <v>29.928632955581591</v>
      </c>
      <c r="V1674" s="110"/>
      <c r="W1674" s="25"/>
      <c r="X1674" s="97">
        <f ca="1">X1672-X1673</f>
        <v>28.64767148752918</v>
      </c>
      <c r="Y1674" s="110"/>
      <c r="Z1674" s="25"/>
      <c r="AA1674" s="97">
        <f ca="1">AA1672-AA1673</f>
        <v>24.352708789507517</v>
      </c>
      <c r="AB1674" s="110"/>
      <c r="AC1674" s="25"/>
      <c r="AD1674" s="97">
        <f ca="1">AD1672-AD1673</f>
        <v>13.769125635930138</v>
      </c>
      <c r="AE1674" s="110"/>
      <c r="AF1674" s="25"/>
      <c r="AG1674" s="97">
        <f ca="1">AG1672-AG1673</f>
        <v>-4.7844656418540339</v>
      </c>
      <c r="AH1674" s="110"/>
      <c r="AI1674" s="25"/>
      <c r="AJ1674" s="97">
        <f ca="1">AJ1672-AJ1673</f>
        <v>-32.092173873516714</v>
      </c>
      <c r="AK1674" s="110"/>
      <c r="AL1674" s="25"/>
      <c r="AM1674" s="97">
        <f ca="1">AM1672-AM1673</f>
        <v>-62.537245424418998</v>
      </c>
      <c r="AN1674" s="110"/>
      <c r="AO1674" s="25"/>
      <c r="AP1674" s="97">
        <f ca="1">AP1672-AP1673</f>
        <v>-94.790592020940096</v>
      </c>
      <c r="AQ1674" s="110"/>
      <c r="AR1674" s="25"/>
      <c r="AS1674" s="97">
        <f ca="1">AS1672-AS1673</f>
        <v>-141.64904048953846</v>
      </c>
      <c r="AT1674" s="110"/>
      <c r="AU1674" s="25"/>
    </row>
    <row r="1675" spans="15:47" ht="14.4" x14ac:dyDescent="0.3">
      <c r="O1675" s="2" t="s">
        <v>140</v>
      </c>
      <c r="P1675" s="11"/>
      <c r="Q1675" s="2"/>
      <c r="R1675" s="96">
        <f>R1674/R1672</f>
        <v>0.33468714412170925</v>
      </c>
      <c r="S1675" s="106"/>
      <c r="T1675" s="22"/>
      <c r="U1675" s="96">
        <f ca="1">U1674/U1672</f>
        <v>0.33280426902924487</v>
      </c>
      <c r="V1675" s="111"/>
      <c r="W1675" s="28"/>
      <c r="X1675" s="96">
        <f ca="1">X1674/X1672</f>
        <v>0.32316327103480991</v>
      </c>
      <c r="Y1675" s="111"/>
      <c r="Z1675" s="28"/>
      <c r="AA1675" s="96">
        <f ca="1">AA1674/AA1672</f>
        <v>0.28870096928691291</v>
      </c>
      <c r="AB1675" s="111"/>
      <c r="AC1675" s="28"/>
      <c r="AD1675" s="96">
        <f ca="1">AD1674/AD1672</f>
        <v>0.18665160413970963</v>
      </c>
      <c r="AE1675" s="111"/>
      <c r="AF1675" s="28"/>
      <c r="AG1675" s="96">
        <f ca="1">AG1674/AG1672</f>
        <v>-8.6650717003306149E-2</v>
      </c>
      <c r="AH1675" s="111"/>
      <c r="AI1675" s="28"/>
      <c r="AJ1675" s="96">
        <f ca="1">AJ1674/AJ1672</f>
        <v>-1.1499345641638017</v>
      </c>
      <c r="AK1675" s="111"/>
      <c r="AL1675" s="28"/>
      <c r="AM1675" s="96">
        <f ca="1">AM1674/AM1672</f>
        <v>24.647692660137253</v>
      </c>
      <c r="AN1675" s="111"/>
      <c r="AO1675" s="28"/>
      <c r="AP1675" s="96">
        <f ca="1">AP1674/AP1672</f>
        <v>2.7246041678131441</v>
      </c>
      <c r="AQ1675" s="111"/>
      <c r="AR1675" s="28"/>
      <c r="AS1675" s="96">
        <f ca="1">AS1674/AS1672</f>
        <v>1.7348524813061053</v>
      </c>
      <c r="AT1675" s="111"/>
      <c r="AU1675" s="28"/>
    </row>
    <row r="1676" spans="15:47" x14ac:dyDescent="0.25">
      <c r="O1676" s="2" t="s">
        <v>21</v>
      </c>
      <c r="P1676" s="8">
        <v>12</v>
      </c>
      <c r="Q1676" s="2"/>
      <c r="R1676" s="96">
        <f ca="1">1-R1675/(3*F_GAMMA*R$29)</f>
        <v>0.82569186741290257</v>
      </c>
      <c r="S1676" s="106"/>
      <c r="T1676" s="22"/>
      <c r="U1676" s="96">
        <f ca="1">1-U1675/(3*F_GAMMA*U$29)</f>
        <v>0.82671275260853094</v>
      </c>
      <c r="V1676" s="111"/>
      <c r="W1676" s="28"/>
      <c r="X1676" s="96">
        <f ca="1">1-X1675/(3*F_GAMMA*X$29)</f>
        <v>0.83013008980930336</v>
      </c>
      <c r="Y1676" s="111"/>
      <c r="Z1676" s="28"/>
      <c r="AA1676" s="96">
        <f ca="1">1-AA1675/(3*F_GAMMA*AA$29)</f>
        <v>0.84610595731838123</v>
      </c>
      <c r="AB1676" s="111"/>
      <c r="AC1676" s="28"/>
      <c r="AD1676" s="96">
        <f ca="1">1-AD1675/(3*F_GAMMA*AD$29)</f>
        <v>0.89741829056523015</v>
      </c>
      <c r="AE1676" s="111"/>
      <c r="AF1676" s="28"/>
      <c r="AG1676" s="96">
        <f ca="1">1-AG1675/(3*F_GAMMA*AG$29)</f>
        <v>1.0504799321370801</v>
      </c>
      <c r="AH1676" s="111"/>
      <c r="AI1676" s="28"/>
      <c r="AJ1676" s="96">
        <f ca="1">1-AJ1675/(3*F_GAMMA*AJ$29)</f>
        <v>1.7207368684995554</v>
      </c>
      <c r="AK1676" s="111"/>
      <c r="AL1676" s="28"/>
      <c r="AM1676" s="96">
        <f ca="1">1-AM1675/(3*F_GAMMA*AM$29)</f>
        <v>-16.27244046501119</v>
      </c>
      <c r="AN1676" s="111"/>
      <c r="AO1676" s="28"/>
      <c r="AP1676" s="96">
        <f ca="1">1-AP1675/(3*F_GAMMA*AP$29)</f>
        <v>-0.53791268209370169</v>
      </c>
      <c r="AQ1676" s="111"/>
      <c r="AR1676" s="28"/>
      <c r="AS1676" s="96">
        <f ca="1">1-AS1675/(3*F_GAMMA*AS$29)</f>
        <v>-0.53517276510729417</v>
      </c>
      <c r="AT1676" s="111"/>
      <c r="AU1676" s="28"/>
    </row>
    <row r="1677" spans="15:47" x14ac:dyDescent="0.25">
      <c r="O1677" s="2" t="s">
        <v>57</v>
      </c>
      <c r="P1677" s="143">
        <v>7</v>
      </c>
      <c r="Q1677" s="2"/>
      <c r="R1677" s="96">
        <f ca="1">(R1670/(N_9*R$27*R1672*R1676))*SQRT(M*'Valve Sizing'!$W$6*'Valve Sizing'!$G$8/R1675)</f>
        <v>1.3053589059879374</v>
      </c>
      <c r="S1677" s="107"/>
      <c r="T1677" s="22"/>
      <c r="U1677" s="96">
        <f ca="1">(U1670/(N_9*U$27*U1672*U1676))*SQRT(M*'Valve Sizing'!$W$6*'Valve Sizing'!$G$8/U1675)</f>
        <v>15.224480494498206</v>
      </c>
      <c r="V1677" s="111"/>
      <c r="W1677" s="28"/>
      <c r="X1677" s="96">
        <f ca="1">(X1670/(N_9*X$27*X1672*X1676))*SQRT(M*'Valve Sizing'!$W$6*'Valve Sizing'!$G$8/X1675)</f>
        <v>38.307808635104891</v>
      </c>
      <c r="Y1677" s="111"/>
      <c r="Z1677" s="28"/>
      <c r="AA1677" s="96">
        <f ca="1">(AA1670/(N_9*AA$27*AA1672*AA1676))*SQRT(M*'Valve Sizing'!$W$6*'Valve Sizing'!$G$8/AA1675)</f>
        <v>81.877684152784241</v>
      </c>
      <c r="AB1677" s="111"/>
      <c r="AC1677" s="28"/>
      <c r="AD1677" s="96">
        <f ca="1">(AD1670/(N_9*AD$27*AD1672*AD1676))*SQRT(M*'Valve Sizing'!$W$6*'Valve Sizing'!$G$8/AD1675)</f>
        <v>186.46030375957844</v>
      </c>
      <c r="AE1677" s="111"/>
      <c r="AF1677" s="28"/>
      <c r="AG1677" s="96" t="e">
        <f ca="1">(AG1670/(N_9*AG$27*AG1672*AG1676))*SQRT(M*'Valve Sizing'!$W$6*'Valve Sizing'!$G$8/AG1675)</f>
        <v>#NUM!</v>
      </c>
      <c r="AH1677" s="111"/>
      <c r="AI1677" s="28"/>
      <c r="AJ1677" s="96" t="e">
        <f ca="1">(AJ1670/(N_9*AJ$27*AJ1672*AJ1676))*SQRT(M*'Valve Sizing'!$W$6*'Valve Sizing'!$G$8/AJ1675)</f>
        <v>#NUM!</v>
      </c>
      <c r="AK1677" s="111"/>
      <c r="AL1677" s="28"/>
      <c r="AM1677" s="96">
        <f ca="1">(AM1670/(N_9*AM$27*AM1672*AM1676))*SQRT(M*'Valve Sizing'!$W$6*'Valve Sizing'!$G$8/AM1675)</f>
        <v>69.508043369742879</v>
      </c>
      <c r="AN1677" s="111"/>
      <c r="AO1677" s="28"/>
      <c r="AP1677" s="96">
        <f ca="1">(AP1670/(N_9*AP$27*AP1672*AP1676))*SQRT(M*'Valve Sizing'!$W$6*'Valve Sizing'!$G$8/AP1675)</f>
        <v>609.46690733220908</v>
      </c>
      <c r="AQ1677" s="111"/>
      <c r="AR1677" s="28"/>
      <c r="AS1677" s="96">
        <f ca="1">(AS1670/(N_9*AS$27*AS1672*AS1676))*SQRT(M*'Valve Sizing'!$W$6*'Valve Sizing'!$G$8/AS1675)</f>
        <v>513.74555255061762</v>
      </c>
      <c r="AT1677" s="111"/>
      <c r="AU1677" s="28"/>
    </row>
    <row r="1678" spans="15:47" x14ac:dyDescent="0.25">
      <c r="O1678" s="2" t="s">
        <v>59</v>
      </c>
      <c r="P1678" s="143">
        <v>7</v>
      </c>
      <c r="Q1678" s="2"/>
      <c r="R1678" s="96">
        <f ca="1">(R1670/(N_9*R$27*R1672*0.667))*SQRT(M*'Valve Sizing'!$W$6*'Valve Sizing'!$G$8/R1679)</f>
        <v>1.1685345620398477</v>
      </c>
      <c r="S1678" s="107"/>
      <c r="T1678" s="22"/>
      <c r="U1678" s="96">
        <f ca="1">(U1670/(N_9*U$27*U1672*0.667))*SQRT(M*'Valve Sizing'!$W$6*'Valve Sizing'!$G$8/U1679)</f>
        <v>13.60552216250071</v>
      </c>
      <c r="V1678" s="111"/>
      <c r="W1678" s="28"/>
      <c r="X1678" s="96">
        <f ca="1">(X1670/(N_9*X$27*X1672*0.667))*SQRT(M*'Valve Sizing'!$W$6*'Valve Sizing'!$G$8/X1679)</f>
        <v>34.035057397786922</v>
      </c>
      <c r="Y1678" s="111"/>
      <c r="Z1678" s="28"/>
      <c r="AA1678" s="96">
        <f ca="1">(AA1670/(N_9*AA$27*AA1672*0.667))*SQRT(M*'Valve Sizing'!$W$6*'Valve Sizing'!$G$8/AA1679)</f>
        <v>70.572581020475141</v>
      </c>
      <c r="AB1678" s="111"/>
      <c r="AC1678" s="28"/>
      <c r="AD1678" s="96">
        <f ca="1">(AD1670/(N_9*AD$27*AD1672*0.667))*SQRT(M*'Valve Sizing'!$W$6*'Valve Sizing'!$G$8/AD1679)</f>
        <v>139.17174208933784</v>
      </c>
      <c r="AE1678" s="111"/>
      <c r="AF1678" s="28"/>
      <c r="AG1678" s="96">
        <f ca="1">(AG1670/(N_9*AG$27*AG1672*0.667))*SQRT(M*'Valve Sizing'!$W$6*'Valve Sizing'!$G$8/AG1679)</f>
        <v>285.69072132549275</v>
      </c>
      <c r="AH1678" s="111"/>
      <c r="AI1678" s="28"/>
      <c r="AJ1678" s="96">
        <f ca="1">(AJ1670/(N_9*AJ$27*AJ1672*0.667))*SQRT(M*'Valve Sizing'!$W$6*'Valve Sizing'!$G$8/AJ1679)</f>
        <v>810.68621772910785</v>
      </c>
      <c r="AK1678" s="111"/>
      <c r="AL1678" s="28"/>
      <c r="AM1678" s="96">
        <f ca="1">(AM1670/(N_9*AM$27*AM1672*0.667))*SQRT(M*'Valve Sizing'!$W$6*'Valve Sizing'!$G$8/AM1679)</f>
        <v>-12206.731737755887</v>
      </c>
      <c r="AN1678" s="111"/>
      <c r="AO1678" s="28"/>
      <c r="AP1678" s="96">
        <f ca="1">(AP1670/(N_9*AP$27*AP1672*0.667))*SQRT(M*'Valve Sizing'!$W$6*'Valve Sizing'!$G$8/AP1679)</f>
        <v>-1055.7535380580027</v>
      </c>
      <c r="AQ1678" s="111"/>
      <c r="AR1678" s="28"/>
      <c r="AS1678" s="96">
        <f ca="1">(AS1670/(N_9*AS$27*AS1672*0.667))*SQRT(M*'Valve Sizing'!$W$6*'Valve Sizing'!$G$8/AS1679)</f>
        <v>-884.61744868997107</v>
      </c>
      <c r="AT1678" s="111"/>
      <c r="AU1678" s="28"/>
    </row>
    <row r="1679" spans="15:47" ht="15.6" x14ac:dyDescent="0.35">
      <c r="O1679" s="2" t="s">
        <v>68</v>
      </c>
      <c r="P1679" s="143">
        <v>10</v>
      </c>
      <c r="Q1679" s="2"/>
      <c r="R1679" s="96">
        <f ca="1">F_GAMMA*R$29</f>
        <v>0.64002969751372984</v>
      </c>
      <c r="S1679" s="107"/>
      <c r="T1679" s="1"/>
      <c r="U1679" s="96">
        <f ca="1">F_GAMMA*U$29</f>
        <v>0.64017842058782071</v>
      </c>
      <c r="V1679" s="111"/>
      <c r="W1679" s="28"/>
      <c r="X1679" s="96">
        <f ca="1">F_GAMMA*X$29</f>
        <v>0.63413873724904268</v>
      </c>
      <c r="Y1679" s="111"/>
      <c r="Z1679" s="28"/>
      <c r="AA1679" s="96">
        <f ca="1">F_GAMMA*AA$29</f>
        <v>0.62532411750377137</v>
      </c>
      <c r="AB1679" s="111"/>
      <c r="AC1679" s="28"/>
      <c r="AD1679" s="96">
        <f ca="1">F_GAMMA*AD$29</f>
        <v>0.60651359509139569</v>
      </c>
      <c r="AE1679" s="111"/>
      <c r="AF1679" s="28"/>
      <c r="AG1679" s="96">
        <f ca="1">F_GAMMA*AG$29</f>
        <v>0.57217930198481592</v>
      </c>
      <c r="AH1679" s="111"/>
      <c r="AI1679" s="28"/>
      <c r="AJ1679" s="96">
        <f ca="1">F_GAMMA*AJ$29</f>
        <v>0.53183282018848232</v>
      </c>
      <c r="AK1679" s="111"/>
      <c r="AL1679" s="28"/>
      <c r="AM1679" s="96">
        <f ca="1">F_GAMMA*AM$29</f>
        <v>0.47566512503094399</v>
      </c>
      <c r="AN1679" s="111"/>
      <c r="AO1679" s="28"/>
      <c r="AP1679" s="96">
        <f ca="1">F_GAMMA*AP$29</f>
        <v>0.59054158265645496</v>
      </c>
      <c r="AQ1679" s="111"/>
      <c r="AR1679" s="28"/>
      <c r="AS1679" s="96">
        <f ca="1">F_GAMMA*AS$29</f>
        <v>0.3766899554102966</v>
      </c>
      <c r="AT1679" s="111"/>
      <c r="AU1679" s="28"/>
    </row>
    <row r="1680" spans="15:47" x14ac:dyDescent="0.25">
      <c r="O1680" s="2" t="s">
        <v>145</v>
      </c>
      <c r="P1680" s="12"/>
      <c r="Q1680" s="2"/>
      <c r="R1680" s="96">
        <f ca="1">IF(R1675&lt;R1679,R1677,R1678)</f>
        <v>1.3053589059879374</v>
      </c>
      <c r="S1680" s="116"/>
      <c r="T1680" s="1"/>
      <c r="U1680" s="96">
        <f ca="1">IF(U1675&lt;U1679,U1677,U1678)</f>
        <v>15.224480494498206</v>
      </c>
      <c r="V1680" s="111"/>
      <c r="W1680" s="28"/>
      <c r="X1680" s="96">
        <f ca="1">IF(X1675&lt;X1679,X1677,X1678)</f>
        <v>38.307808635104891</v>
      </c>
      <c r="Y1680" s="111"/>
      <c r="Z1680" s="28"/>
      <c r="AA1680" s="96">
        <f ca="1">IF(AA1675&lt;AA1679,AA1677,AA1678)</f>
        <v>81.877684152784241</v>
      </c>
      <c r="AB1680" s="111"/>
      <c r="AC1680" s="28"/>
      <c r="AD1680" s="96">
        <f ca="1">IF(AD1675&lt;AD1679,AD1677,AD1678)</f>
        <v>186.46030375957844</v>
      </c>
      <c r="AE1680" s="111"/>
      <c r="AF1680" s="28"/>
      <c r="AG1680" s="96" t="e">
        <f ca="1">IF(AG1675&lt;AG1679,AG1677,AG1678)</f>
        <v>#NUM!</v>
      </c>
      <c r="AH1680" s="111"/>
      <c r="AI1680" s="28"/>
      <c r="AJ1680" s="96" t="e">
        <f ca="1">IF(AJ1675&lt;AJ1679,AJ1677,AJ1678)</f>
        <v>#NUM!</v>
      </c>
      <c r="AK1680" s="111"/>
      <c r="AL1680" s="28"/>
      <c r="AM1680" s="96">
        <f ca="1">IF(AM1675&lt;AM1679,AM1677,AM1678)</f>
        <v>-12206.731737755887</v>
      </c>
      <c r="AN1680" s="111"/>
      <c r="AO1680" s="28"/>
      <c r="AP1680" s="96">
        <f ca="1">IF(AP1675&lt;AP1679,AP1677,AP1678)</f>
        <v>-1055.7535380580027</v>
      </c>
      <c r="AQ1680" s="111"/>
      <c r="AR1680" s="28"/>
      <c r="AS1680" s="96">
        <f ca="1">IF(AS1675&lt;AS1679,AS1677,AS1678)</f>
        <v>-884.61744868997107</v>
      </c>
      <c r="AT1680" s="111"/>
      <c r="AU1680" s="28"/>
    </row>
    <row r="1681" spans="15:47" x14ac:dyDescent="0.25">
      <c r="O1681" s="13" t="s">
        <v>143</v>
      </c>
      <c r="P1681" s="1"/>
      <c r="Q1681" s="1"/>
      <c r="R1681" s="113"/>
      <c r="S1681" s="106">
        <f ca="1">IF(R1674&lt;=0,Q_max,ABS(R$23-R1680))</f>
        <v>3.4246410940120633</v>
      </c>
      <c r="T1681" s="7">
        <f>R1670</f>
        <v>3232.2635125137695</v>
      </c>
      <c r="U1681" s="98"/>
      <c r="V1681" s="106">
        <f ca="1">IF(U1674&lt;=0,Q_max,ABS(U$23-U1680))</f>
        <v>3.6244804944982061</v>
      </c>
      <c r="W1681" s="9">
        <f ca="1">U1670</f>
        <v>37507.546538050898</v>
      </c>
      <c r="X1681" s="98"/>
      <c r="Y1681" s="106">
        <f ca="1">IF(X1674&lt;=0,Q_max,ABS(X$23-X1680))</f>
        <v>15.307808635104891</v>
      </c>
      <c r="Z1681" s="9">
        <f ca="1">X1670</f>
        <v>91842.203998969984</v>
      </c>
      <c r="AA1681" s="98"/>
      <c r="AB1681" s="106">
        <f ca="1">IF(AA1674&lt;=0,Q_max,ABS(AA$23-AA1680))</f>
        <v>42.477684152784242</v>
      </c>
      <c r="AC1681" s="9">
        <f ca="1">AA1670</f>
        <v>178885.17108867128</v>
      </c>
      <c r="AD1681" s="98"/>
      <c r="AE1681" s="106">
        <f ca="1">IF(AD1674&lt;=0,Q_max,ABS(AD$23-AD1680))</f>
        <v>125.46030375957844</v>
      </c>
      <c r="AF1681" s="9">
        <f ca="1">AD1670</f>
        <v>300113.66974946728</v>
      </c>
      <c r="AG1681" s="98"/>
      <c r="AH1681" s="106">
        <f ca="1">IF(AG1674&lt;=0,Q_max,ABS(AG$23-AG1680))</f>
        <v>236393</v>
      </c>
      <c r="AI1681" s="9">
        <f ca="1">AG1670</f>
        <v>438024.07493780425</v>
      </c>
      <c r="AJ1681" s="98"/>
      <c r="AK1681" s="106">
        <f ca="1">IF(AJ1674&lt;=0,Q_max,ABS(AJ$23-AJ1680))</f>
        <v>236393</v>
      </c>
      <c r="AL1681" s="9">
        <f ca="1">AJ1670</f>
        <v>584544.82603427616</v>
      </c>
      <c r="AM1681" s="98"/>
      <c r="AN1681" s="106">
        <f ca="1">IF(AM1674&lt;=0,Q_max,ABS(AM$23-AM1680))</f>
        <v>236393</v>
      </c>
      <c r="AO1681" s="9">
        <f ca="1">AM1670</f>
        <v>713255.77463014098</v>
      </c>
      <c r="AP1681" s="98"/>
      <c r="AQ1681" s="106">
        <f ca="1">IF(AP1674&lt;=0,Q_max,ABS(AP$23-AP1680))</f>
        <v>236393</v>
      </c>
      <c r="AR1681" s="9">
        <f ca="1">AP1670</f>
        <v>828067.81158397393</v>
      </c>
      <c r="AS1681" s="98"/>
      <c r="AT1681" s="106">
        <f ca="1">IF(AS1674&lt;=0,Q_max,ABS(AS$23-AS1680))</f>
        <v>236393</v>
      </c>
      <c r="AU1681" s="9">
        <f ca="1">AS1670</f>
        <v>970974.63241206878</v>
      </c>
    </row>
    <row r="1682" spans="15:47" x14ac:dyDescent="0.25">
      <c r="O1682" s="21"/>
      <c r="P1682" s="14"/>
      <c r="Q1682" s="21"/>
      <c r="R1682" s="97"/>
      <c r="S1682" s="106"/>
      <c r="T1682" s="28"/>
      <c r="U1682" s="97"/>
      <c r="V1682" s="111"/>
      <c r="W1682" s="28"/>
      <c r="X1682" s="97"/>
      <c r="Y1682" s="111"/>
      <c r="Z1682" s="28"/>
      <c r="AA1682" s="97"/>
      <c r="AB1682" s="111"/>
      <c r="AC1682" s="28"/>
      <c r="AD1682" s="97"/>
      <c r="AE1682" s="111"/>
      <c r="AF1682" s="28"/>
      <c r="AG1682" s="97"/>
      <c r="AH1682" s="111"/>
      <c r="AI1682" s="28"/>
      <c r="AJ1682" s="97"/>
      <c r="AK1682" s="111"/>
      <c r="AL1682" s="28"/>
      <c r="AM1682" s="97"/>
      <c r="AN1682" s="111"/>
      <c r="AO1682" s="28"/>
      <c r="AP1682" s="97"/>
      <c r="AQ1682" s="111"/>
      <c r="AR1682" s="28"/>
      <c r="AS1682" s="97"/>
      <c r="AT1682" s="111"/>
      <c r="AU1682" s="28"/>
    </row>
    <row r="1683" spans="15:47" x14ac:dyDescent="0.25">
      <c r="O1683" s="1"/>
      <c r="P1683" s="1"/>
      <c r="Q1683" s="1"/>
      <c r="R1683" s="98"/>
      <c r="S1683" s="108" t="s">
        <v>137</v>
      </c>
      <c r="T1683" s="26" t="s">
        <v>146</v>
      </c>
      <c r="U1683" s="98"/>
      <c r="V1683" s="108" t="s">
        <v>137</v>
      </c>
      <c r="W1683" s="26" t="s">
        <v>146</v>
      </c>
      <c r="X1683" s="98"/>
      <c r="Y1683" s="108" t="s">
        <v>137</v>
      </c>
      <c r="Z1683" s="26" t="s">
        <v>146</v>
      </c>
      <c r="AA1683" s="98"/>
      <c r="AB1683" s="108" t="s">
        <v>137</v>
      </c>
      <c r="AC1683" s="26" t="s">
        <v>146</v>
      </c>
      <c r="AD1683" s="98"/>
      <c r="AE1683" s="108" t="s">
        <v>137</v>
      </c>
      <c r="AF1683" s="26" t="s">
        <v>146</v>
      </c>
      <c r="AG1683" s="98"/>
      <c r="AH1683" s="108" t="s">
        <v>137</v>
      </c>
      <c r="AI1683" s="26" t="s">
        <v>146</v>
      </c>
      <c r="AJ1683" s="98"/>
      <c r="AK1683" s="108" t="s">
        <v>137</v>
      </c>
      <c r="AL1683" s="26" t="s">
        <v>146</v>
      </c>
      <c r="AM1683" s="98"/>
      <c r="AN1683" s="108" t="s">
        <v>137</v>
      </c>
      <c r="AO1683" s="26" t="s">
        <v>146</v>
      </c>
      <c r="AP1683" s="98"/>
      <c r="AQ1683" s="108" t="s">
        <v>137</v>
      </c>
      <c r="AR1683" s="26" t="s">
        <v>146</v>
      </c>
      <c r="AS1683" s="98"/>
      <c r="AT1683" s="108" t="s">
        <v>137</v>
      </c>
      <c r="AU1683" s="26" t="s">
        <v>146</v>
      </c>
    </row>
    <row r="1684" spans="15:47" ht="13.8" x14ac:dyDescent="0.25">
      <c r="O1684" s="20" t="s">
        <v>136</v>
      </c>
      <c r="P1684" s="1"/>
      <c r="Q1684" s="1"/>
      <c r="R1684" s="96">
        <f>R1670*1.02</f>
        <v>3296.9087827640451</v>
      </c>
      <c r="S1684" s="109" t="s">
        <v>144</v>
      </c>
      <c r="T1684" s="23" t="s">
        <v>147</v>
      </c>
      <c r="U1684" s="96">
        <f ca="1">U1670*1.01</f>
        <v>37882.62200343141</v>
      </c>
      <c r="V1684" s="109" t="s">
        <v>144</v>
      </c>
      <c r="W1684" s="23" t="s">
        <v>147</v>
      </c>
      <c r="X1684" s="96">
        <f ca="1">X1670*1.01</f>
        <v>92760.626038959686</v>
      </c>
      <c r="Y1684" s="109" t="s">
        <v>144</v>
      </c>
      <c r="Z1684" s="23" t="s">
        <v>147</v>
      </c>
      <c r="AA1684" s="96">
        <f ca="1">AA1670*1.01</f>
        <v>180674.02279955801</v>
      </c>
      <c r="AB1684" s="109" t="s">
        <v>144</v>
      </c>
      <c r="AC1684" s="23" t="s">
        <v>147</v>
      </c>
      <c r="AD1684" s="96">
        <f ca="1">AD1670*1.01</f>
        <v>303114.80644696194</v>
      </c>
      <c r="AE1684" s="109" t="s">
        <v>144</v>
      </c>
      <c r="AF1684" s="23" t="s">
        <v>147</v>
      </c>
      <c r="AG1684" s="96">
        <f ca="1">AG1670*1.01</f>
        <v>442404.3156871823</v>
      </c>
      <c r="AH1684" s="109" t="s">
        <v>144</v>
      </c>
      <c r="AI1684" s="23" t="s">
        <v>147</v>
      </c>
      <c r="AJ1684" s="96">
        <f ca="1">AJ1670*1.01</f>
        <v>590390.27429461898</v>
      </c>
      <c r="AK1684" s="109" t="s">
        <v>144</v>
      </c>
      <c r="AL1684" s="23" t="s">
        <v>147</v>
      </c>
      <c r="AM1684" s="96">
        <f ca="1">AM1670*1.01</f>
        <v>720388.33237644238</v>
      </c>
      <c r="AN1684" s="109" t="s">
        <v>144</v>
      </c>
      <c r="AO1684" s="23" t="s">
        <v>147</v>
      </c>
      <c r="AP1684" s="96">
        <f ca="1">AP1670*1.01</f>
        <v>836348.48969981365</v>
      </c>
      <c r="AQ1684" s="109" t="s">
        <v>144</v>
      </c>
      <c r="AR1684" s="23" t="s">
        <v>147</v>
      </c>
      <c r="AS1684" s="96">
        <f ca="1">AS1670*1.01</f>
        <v>980684.37873618945</v>
      </c>
      <c r="AT1684" s="109" t="s">
        <v>144</v>
      </c>
      <c r="AU1684" s="23" t="s">
        <v>147</v>
      </c>
    </row>
    <row r="1685" spans="15:47" x14ac:dyDescent="0.25">
      <c r="O1685" s="1"/>
      <c r="P1685" s="1"/>
      <c r="Q1685" s="1"/>
      <c r="R1685" s="98"/>
      <c r="S1685" s="107"/>
      <c r="T1685" s="1"/>
      <c r="U1685" s="47"/>
      <c r="V1685" s="107"/>
      <c r="W1685" s="1"/>
      <c r="X1685" s="47"/>
      <c r="Y1685" s="107"/>
      <c r="Z1685" s="1"/>
      <c r="AA1685" s="47"/>
      <c r="AB1685" s="107"/>
      <c r="AC1685" s="1"/>
      <c r="AD1685" s="47"/>
      <c r="AE1685" s="107"/>
      <c r="AF1685" s="1"/>
      <c r="AG1685" s="47"/>
      <c r="AH1685" s="107"/>
      <c r="AI1685" s="1"/>
      <c r="AJ1685" s="47"/>
      <c r="AK1685" s="107"/>
      <c r="AL1685" s="1"/>
      <c r="AM1685" s="47"/>
      <c r="AN1685" s="107"/>
      <c r="AO1685" s="1"/>
      <c r="AP1685" s="47"/>
      <c r="AQ1685" s="107"/>
      <c r="AR1685" s="1"/>
      <c r="AS1685" s="47"/>
      <c r="AT1685" s="107"/>
      <c r="AU1685" s="1"/>
    </row>
    <row r="1686" spans="15:47" x14ac:dyDescent="0.25">
      <c r="O1686" s="8" t="s">
        <v>132</v>
      </c>
      <c r="P1686" s="8"/>
      <c r="Q1686" s="8"/>
      <c r="R1686" s="96">
        <f>P_1_minQ-(R1684^2*R_up)+dpup_minQ</f>
        <v>90.18305942568422</v>
      </c>
      <c r="S1686" s="106"/>
      <c r="T1686" s="22"/>
      <c r="U1686" s="96">
        <f ca="1">P_1_minQ-(U1684^2*R_up)+dpup_minQ</f>
        <v>89.923479163330654</v>
      </c>
      <c r="V1686" s="107"/>
      <c r="W1686" s="1"/>
      <c r="X1686" s="96">
        <f ca="1">P_1_minQ-(X1684^2*R_up)+dpup_minQ</f>
        <v>88.616770369770379</v>
      </c>
      <c r="Y1686" s="107"/>
      <c r="Z1686" s="1"/>
      <c r="AA1686" s="96">
        <f ca="1">P_1_minQ-(AA1684^2*R_up)+dpup_minQ</f>
        <v>84.235478921518478</v>
      </c>
      <c r="AB1686" s="107"/>
      <c r="AC1686" s="1"/>
      <c r="AD1686" s="96">
        <f ca="1">P_1_minQ-(AD1684^2*R_up)+dpup_minQ</f>
        <v>73.439165746554195</v>
      </c>
      <c r="AE1686" s="107"/>
      <c r="AF1686" s="1"/>
      <c r="AG1686" s="96">
        <f ca="1">P_1_minQ-(AG1684^2*R_up)+dpup_minQ</f>
        <v>54.512647284086562</v>
      </c>
      <c r="AH1686" s="107"/>
      <c r="AI1686" s="1"/>
      <c r="AJ1686" s="96">
        <f ca="1">P_1_minQ-(AJ1684^2*R_up)+dpup_minQ</f>
        <v>26.656054116967454</v>
      </c>
      <c r="AK1686" s="107"/>
      <c r="AL1686" s="1"/>
      <c r="AM1686" s="96">
        <f ca="1">P_1_minQ-(AM1684^2*R_up)+dpup_minQ</f>
        <v>-4.4009633721079675</v>
      </c>
      <c r="AN1686" s="107"/>
      <c r="AO1686" s="1"/>
      <c r="AP1686" s="96">
        <f ca="1">P_1_minQ-(AP1684^2*R_up)+dpup_minQ</f>
        <v>-37.302602235219112</v>
      </c>
      <c r="AQ1686" s="107"/>
      <c r="AR1686" s="1"/>
      <c r="AS1686" s="96">
        <f ca="1">P_1_minQ-(AS1684^2*R_up)+dpup_minQ</f>
        <v>-85.102905518036323</v>
      </c>
      <c r="AT1686" s="107"/>
      <c r="AU1686" s="1"/>
    </row>
    <row r="1687" spans="15:47" x14ac:dyDescent="0.25">
      <c r="O1687" s="8" t="s">
        <v>134</v>
      </c>
      <c r="P1687" s="1"/>
      <c r="Q1687" s="8"/>
      <c r="R1687" s="97">
        <f>P_2_minQ+(R1684^2*R_dn)-dpdn_minQ</f>
        <v>60</v>
      </c>
      <c r="S1687" s="106"/>
      <c r="T1687" s="22"/>
      <c r="U1687" s="97">
        <f ca="1">P_2_minQ+(U1684^2*R_dn)-dpdn_minQ</f>
        <v>60</v>
      </c>
      <c r="V1687" s="107"/>
      <c r="W1687" s="1"/>
      <c r="X1687" s="97">
        <f ca="1">P_2_minQ+(X1684^2*R_dn)-dpdn_minQ</f>
        <v>60</v>
      </c>
      <c r="Y1687" s="107"/>
      <c r="Z1687" s="1"/>
      <c r="AA1687" s="97">
        <f ca="1">P_2_minQ+(AA1684^2*R_dn)-dpdn_minQ</f>
        <v>60</v>
      </c>
      <c r="AB1687" s="107"/>
      <c r="AC1687" s="1"/>
      <c r="AD1687" s="97">
        <f ca="1">P_2_minQ+(AD1684^2*R_dn)-dpdn_minQ</f>
        <v>60</v>
      </c>
      <c r="AE1687" s="107"/>
      <c r="AF1687" s="1"/>
      <c r="AG1687" s="97">
        <f ca="1">P_2_minQ+(AG1684^2*R_dn)-dpdn_minQ</f>
        <v>60</v>
      </c>
      <c r="AH1687" s="107"/>
      <c r="AI1687" s="1"/>
      <c r="AJ1687" s="97">
        <f ca="1">P_2_minQ+(AJ1684^2*R_dn)-dpdn_minQ</f>
        <v>60</v>
      </c>
      <c r="AK1687" s="107"/>
      <c r="AL1687" s="1"/>
      <c r="AM1687" s="97">
        <f ca="1">P_2_minQ+(AM1684^2*R_dn)-dpdn_minQ</f>
        <v>60</v>
      </c>
      <c r="AN1687" s="107"/>
      <c r="AO1687" s="1"/>
      <c r="AP1687" s="97">
        <f ca="1">P_2_minQ+(AP1684^2*R_dn)-dpdn_minQ</f>
        <v>60</v>
      </c>
      <c r="AQ1687" s="107"/>
      <c r="AR1687" s="1"/>
      <c r="AS1687" s="97">
        <f ca="1">P_2_minQ+(AS1684^2*R_dn)-dpdn_minQ</f>
        <v>60</v>
      </c>
      <c r="AT1687" s="107"/>
      <c r="AU1687" s="1"/>
    </row>
    <row r="1688" spans="15:47" x14ac:dyDescent="0.25">
      <c r="O1688" s="8" t="s">
        <v>138</v>
      </c>
      <c r="P1688" s="1"/>
      <c r="Q1688" s="8"/>
      <c r="R1688" s="97">
        <f>R1686-R1687</f>
        <v>30.18305942568422</v>
      </c>
      <c r="S1688" s="106"/>
      <c r="T1688" s="22"/>
      <c r="U1688" s="97">
        <f ca="1">U1686-U1687</f>
        <v>29.923479163330654</v>
      </c>
      <c r="V1688" s="110"/>
      <c r="W1688" s="25"/>
      <c r="X1688" s="97">
        <f ca="1">X1686-X1687</f>
        <v>28.616770369770379</v>
      </c>
      <c r="Y1688" s="110"/>
      <c r="Z1688" s="25"/>
      <c r="AA1688" s="97">
        <f ca="1">AA1686-AA1687</f>
        <v>24.235478921518478</v>
      </c>
      <c r="AB1688" s="110"/>
      <c r="AC1688" s="25"/>
      <c r="AD1688" s="97">
        <f ca="1">AD1686-AD1687</f>
        <v>13.439165746554195</v>
      </c>
      <c r="AE1688" s="110"/>
      <c r="AF1688" s="25"/>
      <c r="AG1688" s="97">
        <f ca="1">AG1686-AG1687</f>
        <v>-5.4873527159134383</v>
      </c>
      <c r="AH1688" s="110"/>
      <c r="AI1688" s="25"/>
      <c r="AJ1688" s="97">
        <f ca="1">AJ1686-AJ1687</f>
        <v>-33.343945883032546</v>
      </c>
      <c r="AK1688" s="110"/>
      <c r="AL1688" s="25"/>
      <c r="AM1688" s="97">
        <f ca="1">AM1686-AM1687</f>
        <v>-64.400963372107967</v>
      </c>
      <c r="AN1688" s="110"/>
      <c r="AO1688" s="25"/>
      <c r="AP1688" s="97">
        <f ca="1">AP1686-AP1687</f>
        <v>-97.302602235219112</v>
      </c>
      <c r="AQ1688" s="110"/>
      <c r="AR1688" s="25"/>
      <c r="AS1688" s="97">
        <f ca="1">AS1686-AS1687</f>
        <v>-145.10290551803632</v>
      </c>
      <c r="AT1688" s="110"/>
      <c r="AU1688" s="25"/>
    </row>
    <row r="1689" spans="15:47" ht="14.4" x14ac:dyDescent="0.3">
      <c r="O1689" s="2" t="s">
        <v>140</v>
      </c>
      <c r="P1689" s="11"/>
      <c r="Q1689" s="2"/>
      <c r="R1689" s="96">
        <f>R1688/R1686</f>
        <v>0.33468657659099171</v>
      </c>
      <c r="S1689" s="106"/>
      <c r="T1689" s="22"/>
      <c r="U1689" s="96">
        <f ca="1">U1688/U1686</f>
        <v>0.33276602998177773</v>
      </c>
      <c r="V1689" s="111"/>
      <c r="W1689" s="28"/>
      <c r="X1689" s="96">
        <f ca="1">X1688/X1686</f>
        <v>0.32292725463094002</v>
      </c>
      <c r="Y1689" s="111"/>
      <c r="Z1689" s="28"/>
      <c r="AA1689" s="96">
        <f ca="1">AA1688/AA1686</f>
        <v>0.28771105989791401</v>
      </c>
      <c r="AB1689" s="111"/>
      <c r="AC1689" s="28"/>
      <c r="AD1689" s="96">
        <f ca="1">AD1688/AD1686</f>
        <v>0.18299725507413961</v>
      </c>
      <c r="AE1689" s="111"/>
      <c r="AF1689" s="28"/>
      <c r="AG1689" s="96">
        <f ca="1">AG1688/AG1686</f>
        <v>-0.10066201128183545</v>
      </c>
      <c r="AH1689" s="111"/>
      <c r="AI1689" s="28"/>
      <c r="AJ1689" s="96">
        <f ca="1">AJ1688/AJ1686</f>
        <v>-1.250895790379118</v>
      </c>
      <c r="AK1689" s="111"/>
      <c r="AL1689" s="28"/>
      <c r="AM1689" s="96">
        <f ca="1">AM1688/AM1686</f>
        <v>14.63337863256546</v>
      </c>
      <c r="AN1689" s="111"/>
      <c r="AO1689" s="28"/>
      <c r="AP1689" s="96">
        <f ca="1">AP1688/AP1686</f>
        <v>2.6084668737493928</v>
      </c>
      <c r="AQ1689" s="111"/>
      <c r="AR1689" s="28"/>
      <c r="AS1689" s="96">
        <f ca="1">AS1688/AS1686</f>
        <v>1.7050288075920494</v>
      </c>
      <c r="AT1689" s="111"/>
      <c r="AU1689" s="28"/>
    </row>
    <row r="1690" spans="15:47" x14ac:dyDescent="0.25">
      <c r="O1690" s="2" t="s">
        <v>21</v>
      </c>
      <c r="P1690" s="8">
        <v>12</v>
      </c>
      <c r="Q1690" s="2"/>
      <c r="R1690" s="96">
        <f ca="1">1-R1689/(3*F_GAMMA*R$29)</f>
        <v>0.82569216298810255</v>
      </c>
      <c r="S1690" s="106"/>
      <c r="T1690" s="22"/>
      <c r="U1690" s="96">
        <f ca="1">1-U1689/(3*F_GAMMA*U$29)</f>
        <v>0.82673266322836092</v>
      </c>
      <c r="V1690" s="111"/>
      <c r="W1690" s="28"/>
      <c r="X1690" s="96">
        <f ca="1">1-X1689/(3*F_GAMMA*X$29)</f>
        <v>0.83025415120155421</v>
      </c>
      <c r="Y1690" s="111"/>
      <c r="Z1690" s="28"/>
      <c r="AA1690" s="96">
        <f ca="1">1-AA1689/(3*F_GAMMA*AA$29)</f>
        <v>0.84663363534501834</v>
      </c>
      <c r="AB1690" s="111"/>
      <c r="AC1690" s="28"/>
      <c r="AD1690" s="96">
        <f ca="1">1-AD1689/(3*F_GAMMA*AD$29)</f>
        <v>0.89942668141590254</v>
      </c>
      <c r="AE1690" s="111"/>
      <c r="AF1690" s="28"/>
      <c r="AG1690" s="96">
        <f ca="1">1-AG1689/(3*F_GAMMA*AG$29)</f>
        <v>1.0586424633750597</v>
      </c>
      <c r="AH1690" s="111"/>
      <c r="AI1690" s="28"/>
      <c r="AJ1690" s="96">
        <f ca="1">1-AJ1689/(3*F_GAMMA*AJ$29)</f>
        <v>1.7840156673894869</v>
      </c>
      <c r="AK1690" s="111"/>
      <c r="AL1690" s="28"/>
      <c r="AM1690" s="96">
        <f ca="1">1-AM1689/(3*F_GAMMA*AM$29)</f>
        <v>-9.2546783878773944</v>
      </c>
      <c r="AN1690" s="111"/>
      <c r="AO1690" s="28"/>
      <c r="AP1690" s="96">
        <f ca="1">1-AP1689/(3*F_GAMMA*AP$29)</f>
        <v>-0.47235856619141048</v>
      </c>
      <c r="AQ1690" s="111"/>
      <c r="AR1690" s="28"/>
      <c r="AS1690" s="96">
        <f ca="1">1-AS1689/(3*F_GAMMA*AS$29)</f>
        <v>-0.50878176521847629</v>
      </c>
      <c r="AT1690" s="111"/>
      <c r="AU1690" s="28"/>
    </row>
    <row r="1691" spans="15:47" x14ac:dyDescent="0.25">
      <c r="O1691" s="2" t="s">
        <v>57</v>
      </c>
      <c r="P1691" s="143">
        <v>7</v>
      </c>
      <c r="Q1691" s="2"/>
      <c r="R1691" s="96">
        <f ca="1">(R1684/(N_9*R$27*R1686*R1690))*SQRT(M*'Valve Sizing'!$W$6*'Valve Sizing'!$G$8/R1689)</f>
        <v>1.3314678721461117</v>
      </c>
      <c r="S1691" s="107"/>
      <c r="T1691" s="22"/>
      <c r="U1691" s="96">
        <f ca="1">(U1684/(N_9*U$27*U1686*U1690))*SQRT(M*'Valve Sizing'!$W$6*'Valve Sizing'!$G$8/U1689)</f>
        <v>15.378119734982501</v>
      </c>
      <c r="V1691" s="111"/>
      <c r="W1691" s="28"/>
      <c r="X1691" s="96">
        <f ca="1">(X1684/(N_9*X$27*X1686*X1690))*SQRT(M*'Valve Sizing'!$W$6*'Valve Sizing'!$G$8/X1689)</f>
        <v>38.712734149193061</v>
      </c>
      <c r="Y1691" s="111"/>
      <c r="Z1691" s="28"/>
      <c r="AA1691" s="96">
        <f ca="1">(AA1684/(N_9*AA$27*AA1686*AA1690))*SQRT(M*'Valve Sizing'!$W$6*'Valve Sizing'!$G$8/AA1689)</f>
        <v>82.902186597895835</v>
      </c>
      <c r="AB1691" s="111"/>
      <c r="AC1691" s="28"/>
      <c r="AD1691" s="96">
        <f ca="1">(AD1684/(N_9*AD$27*AD1686*AD1690))*SQRT(M*'Valve Sizing'!$W$6*'Valve Sizing'!$G$8/AD1689)</f>
        <v>190.62391644660866</v>
      </c>
      <c r="AE1691" s="111"/>
      <c r="AF1691" s="28"/>
      <c r="AG1691" s="96" t="e">
        <f ca="1">(AG1684/(N_9*AG$27*AG1686*AG1690))*SQRT(M*'Valve Sizing'!$W$6*'Valve Sizing'!$G$8/AG1689)</f>
        <v>#NUM!</v>
      </c>
      <c r="AH1691" s="111"/>
      <c r="AI1691" s="28"/>
      <c r="AJ1691" s="96" t="e">
        <f ca="1">(AJ1684/(N_9*AJ$27*AJ1686*AJ1690))*SQRT(M*'Valve Sizing'!$W$6*'Valve Sizing'!$G$8/AJ1689)</f>
        <v>#NUM!</v>
      </c>
      <c r="AK1691" s="111"/>
      <c r="AL1691" s="28"/>
      <c r="AM1691" s="96">
        <f ca="1">(AM1684/(N_9*AM$27*AM1686*AM1690))*SQRT(M*'Valve Sizing'!$W$6*'Valve Sizing'!$G$8/AM1689)</f>
        <v>92.358814845626625</v>
      </c>
      <c r="AN1691" s="111"/>
      <c r="AO1691" s="28"/>
      <c r="AP1691" s="96">
        <f ca="1">(AP1684/(N_9*AP$27*AP1686*AP1690))*SQRT(M*'Valve Sizing'!$W$6*'Valve Sizing'!$G$8/AP1689)</f>
        <v>668.17962161433286</v>
      </c>
      <c r="AQ1691" s="111"/>
      <c r="AR1691" s="28"/>
      <c r="AS1691" s="96">
        <f ca="1">(AS1684/(N_9*AS$27*AS1686*AS1690))*SQRT(M*'Valve Sizing'!$W$6*'Valve Sizing'!$G$8/AS1689)</f>
        <v>528.20684922526266</v>
      </c>
      <c r="AT1691" s="111"/>
      <c r="AU1691" s="28"/>
    </row>
    <row r="1692" spans="15:47" x14ac:dyDescent="0.25">
      <c r="O1692" s="2" t="s">
        <v>59</v>
      </c>
      <c r="P1692" s="143">
        <v>7</v>
      </c>
      <c r="Q1692" s="2"/>
      <c r="R1692" s="96">
        <f ca="1">(R1684/(N_9*R$27*R1686*0.667))*SQRT(M*'Valve Sizing'!$W$6*'Valve Sizing'!$G$8/R1693)</f>
        <v>1.1919062700095981</v>
      </c>
      <c r="S1692" s="107"/>
      <c r="T1692" s="22"/>
      <c r="U1692" s="96">
        <f ca="1">(U1684/(N_9*U$27*U1686*0.667))*SQRT(M*'Valve Sizing'!$W$6*'Valve Sizing'!$G$8/U1693)</f>
        <v>13.742364956355987</v>
      </c>
      <c r="V1692" s="111"/>
      <c r="W1692" s="28"/>
      <c r="X1692" s="96">
        <f ca="1">(X1684/(N_9*X$27*X1686*0.667))*SQRT(M*'Valve Sizing'!$W$6*'Valve Sizing'!$G$8/X1693)</f>
        <v>34.387394851057614</v>
      </c>
      <c r="Y1692" s="111"/>
      <c r="Z1692" s="28"/>
      <c r="AA1692" s="96">
        <f ca="1">(AA1684/(N_9*AA$27*AA1686*0.667))*SQRT(M*'Valve Sizing'!$W$6*'Valve Sizing'!$G$8/AA1693)</f>
        <v>71.377504301950026</v>
      </c>
      <c r="AB1692" s="111"/>
      <c r="AC1692" s="28"/>
      <c r="AD1692" s="96">
        <f ca="1">(AD1684/(N_9*AD$27*AD1686*0.667))*SQRT(M*'Valve Sizing'!$W$6*'Valve Sizing'!$G$8/AD1693)</f>
        <v>141.19500676541603</v>
      </c>
      <c r="AE1692" s="111"/>
      <c r="AF1692" s="28"/>
      <c r="AG1692" s="96">
        <f ca="1">(AG1684/(N_9*AG$27*AG1686*0.667))*SQRT(M*'Valve Sizing'!$W$6*'Valve Sizing'!$G$8/AG1693)</f>
        <v>292.26816695423548</v>
      </c>
      <c r="AH1692" s="111"/>
      <c r="AI1692" s="28"/>
      <c r="AJ1692" s="96">
        <f ca="1">(AJ1684/(N_9*AJ$27*AJ1686*0.667))*SQRT(M*'Valve Sizing'!$W$6*'Valve Sizing'!$G$8/AJ1693)</f>
        <v>857.24371684293214</v>
      </c>
      <c r="AK1692" s="111"/>
      <c r="AL1692" s="28"/>
      <c r="AM1692" s="96">
        <f ca="1">(AM1684/(N_9*AM$27*AM1686*0.667))*SQRT(M*'Valve Sizing'!$W$6*'Valve Sizing'!$G$8/AM1693)</f>
        <v>-7107.804893235364</v>
      </c>
      <c r="AN1692" s="111"/>
      <c r="AO1692" s="28"/>
      <c r="AP1692" s="96">
        <f ca="1">(AP1684/(N_9*AP$27*AP1686*0.667))*SQRT(M*'Valve Sizing'!$W$6*'Valve Sizing'!$G$8/AP1693)</f>
        <v>-994.50417130381527</v>
      </c>
      <c r="AQ1692" s="111"/>
      <c r="AR1692" s="28"/>
      <c r="AS1692" s="96">
        <f ca="1">(AS1684/(N_9*AS$27*AS1686*0.667))*SQRT(M*'Valve Sizing'!$W$6*'Valve Sizing'!$G$8/AS1693)</f>
        <v>-857.20278409574723</v>
      </c>
      <c r="AT1692" s="111"/>
      <c r="AU1692" s="28"/>
    </row>
    <row r="1693" spans="15:47" ht="15.6" x14ac:dyDescent="0.35">
      <c r="O1693" s="2" t="s">
        <v>68</v>
      </c>
      <c r="P1693" s="143">
        <v>10</v>
      </c>
      <c r="Q1693" s="2"/>
      <c r="R1693" s="96">
        <f ca="1">F_GAMMA*R$29</f>
        <v>0.64002969751372984</v>
      </c>
      <c r="S1693" s="107"/>
      <c r="T1693" s="1"/>
      <c r="U1693" s="96">
        <f ca="1">F_GAMMA*U$29</f>
        <v>0.64017842058782071</v>
      </c>
      <c r="V1693" s="111"/>
      <c r="W1693" s="28"/>
      <c r="X1693" s="96">
        <f ca="1">F_GAMMA*X$29</f>
        <v>0.63413873724904268</v>
      </c>
      <c r="Y1693" s="111"/>
      <c r="Z1693" s="28"/>
      <c r="AA1693" s="96">
        <f ca="1">F_GAMMA*AA$29</f>
        <v>0.62532411750377137</v>
      </c>
      <c r="AB1693" s="111"/>
      <c r="AC1693" s="28"/>
      <c r="AD1693" s="96">
        <f ca="1">F_GAMMA*AD$29</f>
        <v>0.60651359509139569</v>
      </c>
      <c r="AE1693" s="111"/>
      <c r="AF1693" s="28"/>
      <c r="AG1693" s="96">
        <f ca="1">F_GAMMA*AG$29</f>
        <v>0.57217930198481592</v>
      </c>
      <c r="AH1693" s="111"/>
      <c r="AI1693" s="28"/>
      <c r="AJ1693" s="96">
        <f ca="1">F_GAMMA*AJ$29</f>
        <v>0.53183282018848232</v>
      </c>
      <c r="AK1693" s="111"/>
      <c r="AL1693" s="28"/>
      <c r="AM1693" s="96">
        <f ca="1">F_GAMMA*AM$29</f>
        <v>0.47566512503094399</v>
      </c>
      <c r="AN1693" s="111"/>
      <c r="AO1693" s="28"/>
      <c r="AP1693" s="96">
        <f ca="1">F_GAMMA*AP$29</f>
        <v>0.59054158265645496</v>
      </c>
      <c r="AQ1693" s="111"/>
      <c r="AR1693" s="28"/>
      <c r="AS1693" s="96">
        <f ca="1">F_GAMMA*AS$29</f>
        <v>0.3766899554102966</v>
      </c>
      <c r="AT1693" s="111"/>
      <c r="AU1693" s="28"/>
    </row>
    <row r="1694" spans="15:47" x14ac:dyDescent="0.25">
      <c r="O1694" s="2" t="s">
        <v>145</v>
      </c>
      <c r="P1694" s="12"/>
      <c r="Q1694" s="2"/>
      <c r="R1694" s="96">
        <f ca="1">IF(R1689&lt;R1693,R1691,R1692)</f>
        <v>1.3314678721461117</v>
      </c>
      <c r="S1694" s="116"/>
      <c r="T1694" s="1"/>
      <c r="U1694" s="96">
        <f ca="1">IF(U1689&lt;U1693,U1691,U1692)</f>
        <v>15.378119734982501</v>
      </c>
      <c r="V1694" s="111"/>
      <c r="W1694" s="28"/>
      <c r="X1694" s="96">
        <f ca="1">IF(X1689&lt;X1693,X1691,X1692)</f>
        <v>38.712734149193061</v>
      </c>
      <c r="Y1694" s="111"/>
      <c r="Z1694" s="28"/>
      <c r="AA1694" s="96">
        <f ca="1">IF(AA1689&lt;AA1693,AA1691,AA1692)</f>
        <v>82.902186597895835</v>
      </c>
      <c r="AB1694" s="111"/>
      <c r="AC1694" s="28"/>
      <c r="AD1694" s="96">
        <f ca="1">IF(AD1689&lt;AD1693,AD1691,AD1692)</f>
        <v>190.62391644660866</v>
      </c>
      <c r="AE1694" s="111"/>
      <c r="AF1694" s="28"/>
      <c r="AG1694" s="96" t="e">
        <f ca="1">IF(AG1689&lt;AG1693,AG1691,AG1692)</f>
        <v>#NUM!</v>
      </c>
      <c r="AH1694" s="111"/>
      <c r="AI1694" s="28"/>
      <c r="AJ1694" s="96" t="e">
        <f ca="1">IF(AJ1689&lt;AJ1693,AJ1691,AJ1692)</f>
        <v>#NUM!</v>
      </c>
      <c r="AK1694" s="111"/>
      <c r="AL1694" s="28"/>
      <c r="AM1694" s="96">
        <f ca="1">IF(AM1689&lt;AM1693,AM1691,AM1692)</f>
        <v>-7107.804893235364</v>
      </c>
      <c r="AN1694" s="111"/>
      <c r="AO1694" s="28"/>
      <c r="AP1694" s="96">
        <f ca="1">IF(AP1689&lt;AP1693,AP1691,AP1692)</f>
        <v>-994.50417130381527</v>
      </c>
      <c r="AQ1694" s="111"/>
      <c r="AR1694" s="28"/>
      <c r="AS1694" s="96">
        <f ca="1">IF(AS1689&lt;AS1693,AS1691,AS1692)</f>
        <v>-857.20278409574723</v>
      </c>
      <c r="AT1694" s="111"/>
      <c r="AU1694" s="28"/>
    </row>
    <row r="1695" spans="15:47" x14ac:dyDescent="0.25">
      <c r="O1695" s="13" t="s">
        <v>143</v>
      </c>
      <c r="P1695" s="1"/>
      <c r="Q1695" s="1"/>
      <c r="R1695" s="113"/>
      <c r="S1695" s="106">
        <f ca="1">IF(R1688&lt;=0,Q_max,ABS(R$23-R1694))</f>
        <v>3.3985321278538887</v>
      </c>
      <c r="T1695" s="7">
        <f>R1684</f>
        <v>3296.9087827640451</v>
      </c>
      <c r="U1695" s="98"/>
      <c r="V1695" s="106">
        <f ca="1">IF(U1688&lt;=0,Q_max,ABS(U$23-U1694))</f>
        <v>3.7781197349825018</v>
      </c>
      <c r="W1695" s="9">
        <f ca="1">U1684</f>
        <v>37882.62200343141</v>
      </c>
      <c r="X1695" s="98"/>
      <c r="Y1695" s="106">
        <f ca="1">IF(X1688&lt;=0,Q_max,ABS(X$23-X1694))</f>
        <v>15.712734149193061</v>
      </c>
      <c r="Z1695" s="9">
        <f ca="1">X1684</f>
        <v>92760.626038959686</v>
      </c>
      <c r="AA1695" s="98"/>
      <c r="AB1695" s="106">
        <f ca="1">IF(AA1688&lt;=0,Q_max,ABS(AA$23-AA1694))</f>
        <v>43.502186597895836</v>
      </c>
      <c r="AC1695" s="9">
        <f ca="1">AA1684</f>
        <v>180674.02279955801</v>
      </c>
      <c r="AD1695" s="98"/>
      <c r="AE1695" s="106">
        <f ca="1">IF(AD1688&lt;=0,Q_max,ABS(AD$23-AD1694))</f>
        <v>129.62391644660866</v>
      </c>
      <c r="AF1695" s="9">
        <f ca="1">AD1684</f>
        <v>303114.80644696194</v>
      </c>
      <c r="AG1695" s="98"/>
      <c r="AH1695" s="106">
        <f ca="1">IF(AG1688&lt;=0,Q_max,ABS(AG$23-AG1694))</f>
        <v>236393</v>
      </c>
      <c r="AI1695" s="9">
        <f ca="1">AG1684</f>
        <v>442404.3156871823</v>
      </c>
      <c r="AJ1695" s="98"/>
      <c r="AK1695" s="106">
        <f ca="1">IF(AJ1688&lt;=0,Q_max,ABS(AJ$23-AJ1694))</f>
        <v>236393</v>
      </c>
      <c r="AL1695" s="9">
        <f ca="1">AJ1684</f>
        <v>590390.27429461898</v>
      </c>
      <c r="AM1695" s="98"/>
      <c r="AN1695" s="106">
        <f ca="1">IF(AM1688&lt;=0,Q_max,ABS(AM$23-AM1694))</f>
        <v>236393</v>
      </c>
      <c r="AO1695" s="9">
        <f ca="1">AM1684</f>
        <v>720388.33237644238</v>
      </c>
      <c r="AP1695" s="98"/>
      <c r="AQ1695" s="106">
        <f ca="1">IF(AP1688&lt;=0,Q_max,ABS(AP$23-AP1694))</f>
        <v>236393</v>
      </c>
      <c r="AR1695" s="9">
        <f ca="1">AP1684</f>
        <v>836348.48969981365</v>
      </c>
      <c r="AS1695" s="98"/>
      <c r="AT1695" s="106">
        <f ca="1">IF(AS1688&lt;=0,Q_max,ABS(AS$23-AS1694))</f>
        <v>236393</v>
      </c>
      <c r="AU1695" s="9">
        <f ca="1">AS1684</f>
        <v>980684.37873618945</v>
      </c>
    </row>
    <row r="1696" spans="15:47" x14ac:dyDescent="0.25">
      <c r="O1696" s="21"/>
      <c r="P1696" s="14"/>
      <c r="Q1696" s="21"/>
      <c r="R1696" s="97"/>
      <c r="S1696" s="106"/>
      <c r="T1696" s="28"/>
      <c r="U1696" s="97"/>
      <c r="V1696" s="111"/>
      <c r="W1696" s="28"/>
      <c r="X1696" s="97"/>
      <c r="Y1696" s="111"/>
      <c r="Z1696" s="28"/>
      <c r="AA1696" s="97"/>
      <c r="AB1696" s="111"/>
      <c r="AC1696" s="28"/>
      <c r="AD1696" s="97"/>
      <c r="AE1696" s="111"/>
      <c r="AF1696" s="28"/>
      <c r="AG1696" s="97"/>
      <c r="AH1696" s="111"/>
      <c r="AI1696" s="28"/>
      <c r="AJ1696" s="97"/>
      <c r="AK1696" s="111"/>
      <c r="AL1696" s="28"/>
      <c r="AM1696" s="97"/>
      <c r="AN1696" s="111"/>
      <c r="AO1696" s="28"/>
      <c r="AP1696" s="97"/>
      <c r="AQ1696" s="111"/>
      <c r="AR1696" s="28"/>
      <c r="AS1696" s="97"/>
      <c r="AT1696" s="111"/>
      <c r="AU1696" s="28"/>
    </row>
    <row r="1697" spans="15:47" x14ac:dyDescent="0.25">
      <c r="O1697" s="1"/>
      <c r="P1697" s="1"/>
      <c r="Q1697" s="1"/>
      <c r="R1697" s="98"/>
      <c r="S1697" s="108" t="s">
        <v>137</v>
      </c>
      <c r="T1697" s="26" t="s">
        <v>146</v>
      </c>
      <c r="U1697" s="98"/>
      <c r="V1697" s="108" t="s">
        <v>137</v>
      </c>
      <c r="W1697" s="26" t="s">
        <v>146</v>
      </c>
      <c r="X1697" s="98"/>
      <c r="Y1697" s="108" t="s">
        <v>137</v>
      </c>
      <c r="Z1697" s="26" t="s">
        <v>146</v>
      </c>
      <c r="AA1697" s="98"/>
      <c r="AB1697" s="108" t="s">
        <v>137</v>
      </c>
      <c r="AC1697" s="26" t="s">
        <v>146</v>
      </c>
      <c r="AD1697" s="98"/>
      <c r="AE1697" s="108" t="s">
        <v>137</v>
      </c>
      <c r="AF1697" s="26" t="s">
        <v>146</v>
      </c>
      <c r="AG1697" s="98"/>
      <c r="AH1697" s="108" t="s">
        <v>137</v>
      </c>
      <c r="AI1697" s="26" t="s">
        <v>146</v>
      </c>
      <c r="AJ1697" s="98"/>
      <c r="AK1697" s="108" t="s">
        <v>137</v>
      </c>
      <c r="AL1697" s="26" t="s">
        <v>146</v>
      </c>
      <c r="AM1697" s="98"/>
      <c r="AN1697" s="108" t="s">
        <v>137</v>
      </c>
      <c r="AO1697" s="26" t="s">
        <v>146</v>
      </c>
      <c r="AP1697" s="98"/>
      <c r="AQ1697" s="108" t="s">
        <v>137</v>
      </c>
      <c r="AR1697" s="26" t="s">
        <v>146</v>
      </c>
      <c r="AS1697" s="98"/>
      <c r="AT1697" s="108" t="s">
        <v>137</v>
      </c>
      <c r="AU1697" s="26" t="s">
        <v>146</v>
      </c>
    </row>
    <row r="1698" spans="15:47" ht="13.8" x14ac:dyDescent="0.25">
      <c r="O1698" s="20" t="s">
        <v>136</v>
      </c>
      <c r="P1698" s="1"/>
      <c r="Q1698" s="1"/>
      <c r="R1698" s="96">
        <f>R1684*1.02</f>
        <v>3362.8469584193263</v>
      </c>
      <c r="S1698" s="109" t="s">
        <v>144</v>
      </c>
      <c r="T1698" s="23" t="s">
        <v>147</v>
      </c>
      <c r="U1698" s="96">
        <f ca="1">U1684*1.01</f>
        <v>38261.448223465726</v>
      </c>
      <c r="V1698" s="109" t="s">
        <v>144</v>
      </c>
      <c r="W1698" s="23" t="s">
        <v>147</v>
      </c>
      <c r="X1698" s="96">
        <f ca="1">X1684*1.01</f>
        <v>93688.232299349285</v>
      </c>
      <c r="Y1698" s="109" t="s">
        <v>144</v>
      </c>
      <c r="Z1698" s="23" t="s">
        <v>147</v>
      </c>
      <c r="AA1698" s="96">
        <f ca="1">AA1684*1.01</f>
        <v>182480.76302755359</v>
      </c>
      <c r="AB1698" s="109" t="s">
        <v>144</v>
      </c>
      <c r="AC1698" s="23" t="s">
        <v>147</v>
      </c>
      <c r="AD1698" s="96">
        <f ca="1">AD1684*1.01</f>
        <v>306145.95451143157</v>
      </c>
      <c r="AE1698" s="109" t="s">
        <v>144</v>
      </c>
      <c r="AF1698" s="23" t="s">
        <v>147</v>
      </c>
      <c r="AG1698" s="96">
        <f ca="1">AG1684*1.01</f>
        <v>446828.35884405411</v>
      </c>
      <c r="AH1698" s="109" t="s">
        <v>144</v>
      </c>
      <c r="AI1698" s="23" t="s">
        <v>147</v>
      </c>
      <c r="AJ1698" s="96">
        <f ca="1">AJ1684*1.01</f>
        <v>596294.17703756515</v>
      </c>
      <c r="AK1698" s="109" t="s">
        <v>144</v>
      </c>
      <c r="AL1698" s="23" t="s">
        <v>147</v>
      </c>
      <c r="AM1698" s="96">
        <f ca="1">AM1684*1.01</f>
        <v>727592.21570020681</v>
      </c>
      <c r="AN1698" s="109" t="s">
        <v>144</v>
      </c>
      <c r="AO1698" s="23" t="s">
        <v>147</v>
      </c>
      <c r="AP1698" s="96">
        <f ca="1">AP1684*1.01</f>
        <v>844711.97459681181</v>
      </c>
      <c r="AQ1698" s="109" t="s">
        <v>144</v>
      </c>
      <c r="AR1698" s="23" t="s">
        <v>147</v>
      </c>
      <c r="AS1698" s="96">
        <f ca="1">AS1684*1.01</f>
        <v>990491.22252355132</v>
      </c>
      <c r="AT1698" s="109" t="s">
        <v>144</v>
      </c>
      <c r="AU1698" s="23" t="s">
        <v>147</v>
      </c>
    </row>
    <row r="1699" spans="15:47" x14ac:dyDescent="0.25">
      <c r="O1699" s="1"/>
      <c r="P1699" s="1"/>
      <c r="Q1699" s="1"/>
      <c r="R1699" s="98"/>
      <c r="S1699" s="107"/>
      <c r="T1699" s="1"/>
      <c r="U1699" s="47"/>
      <c r="V1699" s="107"/>
      <c r="W1699" s="1"/>
      <c r="X1699" s="47"/>
      <c r="Y1699" s="107"/>
      <c r="Z1699" s="1"/>
      <c r="AA1699" s="47"/>
      <c r="AB1699" s="107"/>
      <c r="AC1699" s="1"/>
      <c r="AD1699" s="47"/>
      <c r="AE1699" s="107"/>
      <c r="AF1699" s="1"/>
      <c r="AG1699" s="47"/>
      <c r="AH1699" s="107"/>
      <c r="AI1699" s="1"/>
      <c r="AJ1699" s="47"/>
      <c r="AK1699" s="107"/>
      <c r="AL1699" s="1"/>
      <c r="AM1699" s="47"/>
      <c r="AN1699" s="107"/>
      <c r="AO1699" s="1"/>
      <c r="AP1699" s="47"/>
      <c r="AQ1699" s="107"/>
      <c r="AR1699" s="1"/>
      <c r="AS1699" s="47"/>
      <c r="AT1699" s="107"/>
      <c r="AU1699" s="1"/>
    </row>
    <row r="1700" spans="15:47" x14ac:dyDescent="0.25">
      <c r="O1700" s="8" t="s">
        <v>132</v>
      </c>
      <c r="P1700" s="8"/>
      <c r="Q1700" s="8"/>
      <c r="R1700" s="96">
        <f>P_1_minQ-(R1698^2*R_up)+dpup_minQ</f>
        <v>90.18297938905954</v>
      </c>
      <c r="S1700" s="106"/>
      <c r="T1700" s="22"/>
      <c r="U1700" s="96">
        <f ca="1">P_1_minQ-(U1698^2*R_up)+dpup_minQ</f>
        <v>89.918221779855457</v>
      </c>
      <c r="V1700" s="107"/>
      <c r="W1700" s="1"/>
      <c r="X1700" s="96">
        <f ca="1">P_1_minQ-(X1698^2*R_up)+dpup_minQ</f>
        <v>88.585248139544618</v>
      </c>
      <c r="Y1700" s="107"/>
      <c r="Z1700" s="1"/>
      <c r="AA1700" s="96">
        <f ca="1">P_1_minQ-(AA1698^2*R_up)+dpup_minQ</f>
        <v>84.115892733182861</v>
      </c>
      <c r="AB1700" s="107"/>
      <c r="AC1700" s="1"/>
      <c r="AD1700" s="96">
        <f ca="1">P_1_minQ-(AD1698^2*R_up)+dpup_minQ</f>
        <v>73.102573663401799</v>
      </c>
      <c r="AE1700" s="107"/>
      <c r="AF1700" s="1"/>
      <c r="AG1700" s="96">
        <f ca="1">P_1_minQ-(AG1698^2*R_up)+dpup_minQ</f>
        <v>53.795632179838563</v>
      </c>
      <c r="AH1700" s="107"/>
      <c r="AI1700" s="1"/>
      <c r="AJ1700" s="96">
        <f ca="1">P_1_minQ-(AJ1698^2*R_up)+dpup_minQ</f>
        <v>25.379121490060371</v>
      </c>
      <c r="AK1700" s="107"/>
      <c r="AL1700" s="1"/>
      <c r="AM1700" s="96">
        <f ca="1">P_1_minQ-(AM1698^2*R_up)+dpup_minQ</f>
        <v>-6.3021420505454708</v>
      </c>
      <c r="AN1700" s="107"/>
      <c r="AO1700" s="1"/>
      <c r="AP1700" s="96">
        <f ca="1">P_1_minQ-(AP1698^2*R_up)+dpup_minQ</f>
        <v>-39.86510385480517</v>
      </c>
      <c r="AQ1700" s="107"/>
      <c r="AR1700" s="1"/>
      <c r="AS1700" s="96">
        <f ca="1">P_1_minQ-(AS1698^2*R_up)+dpup_minQ</f>
        <v>-88.626193233606983</v>
      </c>
      <c r="AT1700" s="107"/>
      <c r="AU1700" s="1"/>
    </row>
    <row r="1701" spans="15:47" x14ac:dyDescent="0.25">
      <c r="O1701" s="8" t="s">
        <v>134</v>
      </c>
      <c r="P1701" s="1"/>
      <c r="Q1701" s="8"/>
      <c r="R1701" s="97">
        <f>P_2_minQ+(R1698^2*R_dn)-dpdn_minQ</f>
        <v>60</v>
      </c>
      <c r="S1701" s="106"/>
      <c r="T1701" s="22"/>
      <c r="U1701" s="97">
        <f ca="1">P_2_minQ+(U1698^2*R_dn)-dpdn_minQ</f>
        <v>60</v>
      </c>
      <c r="V1701" s="107"/>
      <c r="W1701" s="1"/>
      <c r="X1701" s="97">
        <f ca="1">P_2_minQ+(X1698^2*R_dn)-dpdn_minQ</f>
        <v>60</v>
      </c>
      <c r="Y1701" s="107"/>
      <c r="Z1701" s="1"/>
      <c r="AA1701" s="97">
        <f ca="1">P_2_minQ+(AA1698^2*R_dn)-dpdn_minQ</f>
        <v>60</v>
      </c>
      <c r="AB1701" s="107"/>
      <c r="AC1701" s="1"/>
      <c r="AD1701" s="97">
        <f ca="1">P_2_minQ+(AD1698^2*R_dn)-dpdn_minQ</f>
        <v>60</v>
      </c>
      <c r="AE1701" s="107"/>
      <c r="AF1701" s="1"/>
      <c r="AG1701" s="97">
        <f ca="1">P_2_minQ+(AG1698^2*R_dn)-dpdn_minQ</f>
        <v>60</v>
      </c>
      <c r="AH1701" s="107"/>
      <c r="AI1701" s="1"/>
      <c r="AJ1701" s="97">
        <f ca="1">P_2_minQ+(AJ1698^2*R_dn)-dpdn_minQ</f>
        <v>60</v>
      </c>
      <c r="AK1701" s="107"/>
      <c r="AL1701" s="1"/>
      <c r="AM1701" s="97">
        <f ca="1">P_2_minQ+(AM1698^2*R_dn)-dpdn_minQ</f>
        <v>60</v>
      </c>
      <c r="AN1701" s="107"/>
      <c r="AO1701" s="1"/>
      <c r="AP1701" s="97">
        <f ca="1">P_2_minQ+(AP1698^2*R_dn)-dpdn_minQ</f>
        <v>60</v>
      </c>
      <c r="AQ1701" s="107"/>
      <c r="AR1701" s="1"/>
      <c r="AS1701" s="97">
        <f ca="1">P_2_minQ+(AS1698^2*R_dn)-dpdn_minQ</f>
        <v>60</v>
      </c>
      <c r="AT1701" s="107"/>
      <c r="AU1701" s="1"/>
    </row>
    <row r="1702" spans="15:47" x14ac:dyDescent="0.25">
      <c r="O1702" s="8" t="s">
        <v>138</v>
      </c>
      <c r="P1702" s="1"/>
      <c r="Q1702" s="8"/>
      <c r="R1702" s="97">
        <f>R1700-R1701</f>
        <v>30.18297938905954</v>
      </c>
      <c r="S1702" s="106"/>
      <c r="T1702" s="22"/>
      <c r="U1702" s="97">
        <f ca="1">U1700-U1701</f>
        <v>29.918221779855457</v>
      </c>
      <c r="V1702" s="110"/>
      <c r="W1702" s="25"/>
      <c r="X1702" s="97">
        <f ca="1">X1700-X1701</f>
        <v>28.585248139544618</v>
      </c>
      <c r="Y1702" s="110"/>
      <c r="Z1702" s="25"/>
      <c r="AA1702" s="97">
        <f ca="1">AA1700-AA1701</f>
        <v>24.115892733182861</v>
      </c>
      <c r="AB1702" s="110"/>
      <c r="AC1702" s="25"/>
      <c r="AD1702" s="97">
        <f ca="1">AD1700-AD1701</f>
        <v>13.102573663401799</v>
      </c>
      <c r="AE1702" s="110"/>
      <c r="AF1702" s="25"/>
      <c r="AG1702" s="97">
        <f ca="1">AG1700-AG1701</f>
        <v>-6.204367820161437</v>
      </c>
      <c r="AH1702" s="110"/>
      <c r="AI1702" s="25"/>
      <c r="AJ1702" s="97">
        <f ca="1">AJ1700-AJ1701</f>
        <v>-34.620878509939629</v>
      </c>
      <c r="AK1702" s="110"/>
      <c r="AL1702" s="25"/>
      <c r="AM1702" s="97">
        <f ca="1">AM1700-AM1701</f>
        <v>-66.30214205054547</v>
      </c>
      <c r="AN1702" s="110"/>
      <c r="AO1702" s="25"/>
      <c r="AP1702" s="97">
        <f ca="1">AP1700-AP1701</f>
        <v>-99.86510385480517</v>
      </c>
      <c r="AQ1702" s="110"/>
      <c r="AR1702" s="25"/>
      <c r="AS1702" s="97">
        <f ca="1">AS1700-AS1701</f>
        <v>-148.62619323360698</v>
      </c>
      <c r="AT1702" s="110"/>
      <c r="AU1702" s="25"/>
    </row>
    <row r="1703" spans="15:47" ht="14.4" x14ac:dyDescent="0.3">
      <c r="O1703" s="2" t="s">
        <v>140</v>
      </c>
      <c r="P1703" s="11"/>
      <c r="Q1703" s="2"/>
      <c r="R1703" s="96">
        <f>R1702/R1700</f>
        <v>0.33468598613100553</v>
      </c>
      <c r="S1703" s="106"/>
      <c r="T1703" s="22"/>
      <c r="U1703" s="96">
        <f ca="1">U1702/U1700</f>
        <v>0.33272701781295783</v>
      </c>
      <c r="V1703" s="111"/>
      <c r="W1703" s="28"/>
      <c r="X1703" s="96">
        <f ca="1">X1702/X1700</f>
        <v>0.3226863246408192</v>
      </c>
      <c r="Y1703" s="111"/>
      <c r="Z1703" s="28"/>
      <c r="AA1703" s="96">
        <f ca="1">AA1702/AA1700</f>
        <v>0.28669841036674137</v>
      </c>
      <c r="AB1703" s="111"/>
      <c r="AC1703" s="28"/>
      <c r="AD1703" s="96">
        <f ca="1">AD1702/AD1700</f>
        <v>0.17923546336045751</v>
      </c>
      <c r="AE1703" s="111"/>
      <c r="AF1703" s="28"/>
      <c r="AG1703" s="96">
        <f ca="1">AG1702/AG1700</f>
        <v>-0.11533218532352706</v>
      </c>
      <c r="AH1703" s="111"/>
      <c r="AI1703" s="28"/>
      <c r="AJ1703" s="96">
        <f ca="1">AJ1702/AJ1700</f>
        <v>-1.3641480270898563</v>
      </c>
      <c r="AK1703" s="111"/>
      <c r="AL1703" s="28"/>
      <c r="AM1703" s="96">
        <f ca="1">AM1702/AM1700</f>
        <v>10.520572452791159</v>
      </c>
      <c r="AN1703" s="111"/>
      <c r="AO1703" s="28"/>
      <c r="AP1703" s="96">
        <f ca="1">AP1702/AP1700</f>
        <v>2.5050757228309051</v>
      </c>
      <c r="AQ1703" s="111"/>
      <c r="AR1703" s="28"/>
      <c r="AS1703" s="96">
        <f ca="1">AS1702/AS1700</f>
        <v>1.6770007580247512</v>
      </c>
      <c r="AT1703" s="111"/>
      <c r="AU1703" s="28"/>
    </row>
    <row r="1704" spans="15:47" x14ac:dyDescent="0.25">
      <c r="O1704" s="2" t="s">
        <v>21</v>
      </c>
      <c r="P1704" s="8">
        <v>12</v>
      </c>
      <c r="Q1704" s="2"/>
      <c r="R1704" s="96">
        <f ca="1">1-R1703/(3*F_GAMMA*R$29)</f>
        <v>0.82569247050507588</v>
      </c>
      <c r="S1704" s="106"/>
      <c r="T1704" s="22"/>
      <c r="U1704" s="96">
        <f ca="1">1-U1703/(3*F_GAMMA*U$29)</f>
        <v>0.826752976403337</v>
      </c>
      <c r="V1704" s="111"/>
      <c r="W1704" s="28"/>
      <c r="X1704" s="96">
        <f ca="1">1-X1703/(3*F_GAMMA*X$29)</f>
        <v>0.8303807954072927</v>
      </c>
      <c r="Y1704" s="111"/>
      <c r="Z1704" s="28"/>
      <c r="AA1704" s="96">
        <f ca="1">1-AA1703/(3*F_GAMMA*AA$29)</f>
        <v>0.84717343516126675</v>
      </c>
      <c r="AB1704" s="111"/>
      <c r="AC1704" s="28"/>
      <c r="AD1704" s="96">
        <f ca="1">1-AD1703/(3*F_GAMMA*AD$29)</f>
        <v>0.90149412158769038</v>
      </c>
      <c r="AE1704" s="111"/>
      <c r="AF1704" s="28"/>
      <c r="AG1704" s="96">
        <f ca="1">1-AG1703/(3*F_GAMMA*AG$29)</f>
        <v>1.0671888368578724</v>
      </c>
      <c r="AH1704" s="111"/>
      <c r="AI1704" s="28"/>
      <c r="AJ1704" s="96">
        <f ca="1">1-AJ1703/(3*F_GAMMA*AJ$29)</f>
        <v>1.8549980215000648</v>
      </c>
      <c r="AK1704" s="111"/>
      <c r="AL1704" s="28"/>
      <c r="AM1704" s="96">
        <f ca="1">1-AM1703/(3*F_GAMMA*AM$29)</f>
        <v>-6.3725343728649104</v>
      </c>
      <c r="AN1704" s="111"/>
      <c r="AO1704" s="28"/>
      <c r="AP1704" s="96">
        <f ca="1">1-AP1703/(3*F_GAMMA*AP$29)</f>
        <v>-0.41399905691214878</v>
      </c>
      <c r="AQ1704" s="111"/>
      <c r="AR1704" s="28"/>
      <c r="AS1704" s="96">
        <f ca="1">1-AS1703/(3*F_GAMMA*AS$29)</f>
        <v>-0.48397971500473158</v>
      </c>
      <c r="AT1704" s="111"/>
      <c r="AU1704" s="28"/>
    </row>
    <row r="1705" spans="15:47" x14ac:dyDescent="0.25">
      <c r="O1705" s="2" t="s">
        <v>57</v>
      </c>
      <c r="P1705" s="143">
        <v>7</v>
      </c>
      <c r="Q1705" s="2"/>
      <c r="R1705" s="96">
        <f ca="1">(R1698/(N_9*R$27*R1700*R1704))*SQRT(M*'Valve Sizing'!$W$6*'Valve Sizing'!$G$8/R1703)</f>
        <v>1.3580991270768157</v>
      </c>
      <c r="S1705" s="107"/>
      <c r="T1705" s="22"/>
      <c r="U1705" s="96">
        <f ca="1">(U1698/(N_9*U$27*U1700*U1704))*SQRT(M*'Valve Sizing'!$W$6*'Valve Sizing'!$G$8/U1703)</f>
        <v>15.533337981026881</v>
      </c>
      <c r="V1705" s="111"/>
      <c r="W1705" s="28"/>
      <c r="X1705" s="96">
        <f ca="1">(X1698/(N_9*X$27*X1700*X1704))*SQRT(M*'Valve Sizing'!$W$6*'Valve Sizing'!$G$8/X1703)</f>
        <v>39.122406406086505</v>
      </c>
      <c r="Y1705" s="111"/>
      <c r="Z1705" s="28"/>
      <c r="AA1705" s="96">
        <f ca="1">(AA1698/(N_9*AA$27*AA1700*AA1704))*SQRT(M*'Valve Sizing'!$W$6*'Valve Sizing'!$G$8/AA1703)</f>
        <v>83.944679494359349</v>
      </c>
      <c r="AB1705" s="111"/>
      <c r="AC1705" s="28"/>
      <c r="AD1705" s="96">
        <f ca="1">(AD1698/(N_9*AD$27*AD1700*AD1704))*SQRT(M*'Valve Sizing'!$W$6*'Valve Sizing'!$G$8/AD1703)</f>
        <v>194.98760876515337</v>
      </c>
      <c r="AE1705" s="111"/>
      <c r="AF1705" s="28"/>
      <c r="AG1705" s="96" t="e">
        <f ca="1">(AG1698/(N_9*AG$27*AG1700*AG1704))*SQRT(M*'Valve Sizing'!$W$6*'Valve Sizing'!$G$8/AG1703)</f>
        <v>#NUM!</v>
      </c>
      <c r="AH1705" s="111"/>
      <c r="AI1705" s="28"/>
      <c r="AJ1705" s="96" t="e">
        <f ca="1">(AJ1698/(N_9*AJ$27*AJ1700*AJ1704))*SQRT(M*'Valve Sizing'!$W$6*'Valve Sizing'!$G$8/AJ1703)</f>
        <v>#NUM!</v>
      </c>
      <c r="AK1705" s="111"/>
      <c r="AL1705" s="28"/>
      <c r="AM1705" s="96">
        <f ca="1">(AM1698/(N_9*AM$27*AM1700*AM1704))*SQRT(M*'Valve Sizing'!$W$6*'Valve Sizing'!$G$8/AM1703)</f>
        <v>111.57349946897914</v>
      </c>
      <c r="AN1705" s="111"/>
      <c r="AO1705" s="28"/>
      <c r="AP1705" s="96">
        <f ca="1">(AP1698/(N_9*AP$27*AP1700*AP1704))*SQRT(M*'Valve Sizing'!$W$6*'Valve Sizing'!$G$8/AP1703)</f>
        <v>735.21694367749888</v>
      </c>
      <c r="AQ1705" s="111"/>
      <c r="AR1705" s="28"/>
      <c r="AS1705" s="96">
        <f ca="1">(AS1698/(N_9*AS$27*AS1700*AS1704))*SQRT(M*'Valve Sizing'!$W$6*'Valve Sizing'!$G$8/AS1703)</f>
        <v>543.01434642537356</v>
      </c>
      <c r="AT1705" s="111"/>
      <c r="AU1705" s="28"/>
    </row>
    <row r="1706" spans="15:47" x14ac:dyDescent="0.25">
      <c r="O1706" s="2" t="s">
        <v>59</v>
      </c>
      <c r="P1706" s="143">
        <v>7</v>
      </c>
      <c r="Q1706" s="2"/>
      <c r="R1706" s="96">
        <f ca="1">(R1698/(N_9*R$27*R1700*0.667))*SQRT(M*'Valve Sizing'!$W$6*'Valve Sizing'!$G$8/R1707)</f>
        <v>1.2157454743725673</v>
      </c>
      <c r="S1706" s="107"/>
      <c r="T1706" s="22"/>
      <c r="U1706" s="96">
        <f ca="1">(U1698/(N_9*U$27*U1700*0.667))*SQRT(M*'Valve Sizing'!$W$6*'Valve Sizing'!$G$8/U1707)</f>
        <v>13.880600136328082</v>
      </c>
      <c r="V1706" s="111"/>
      <c r="W1706" s="28"/>
      <c r="X1706" s="96">
        <f ca="1">(X1698/(N_9*X$27*X1700*0.667))*SQRT(M*'Valve Sizing'!$W$6*'Valve Sizing'!$G$8/X1707)</f>
        <v>34.743627596028389</v>
      </c>
      <c r="Y1706" s="111"/>
      <c r="Z1706" s="28"/>
      <c r="AA1706" s="96">
        <f ca="1">(AA1698/(N_9*AA$27*AA1700*0.667))*SQRT(M*'Valve Sizing'!$W$6*'Valve Sizing'!$G$8/AA1707)</f>
        <v>72.19377033720626</v>
      </c>
      <c r="AB1706" s="111"/>
      <c r="AC1706" s="28"/>
      <c r="AD1706" s="96">
        <f ca="1">(AD1698/(N_9*AD$27*AD1700*0.667))*SQRT(M*'Valve Sizing'!$W$6*'Valve Sizing'!$G$8/AD1707)</f>
        <v>143.26357356032088</v>
      </c>
      <c r="AE1706" s="111"/>
      <c r="AF1706" s="28"/>
      <c r="AG1706" s="96">
        <f ca="1">(AG1698/(N_9*AG$27*AG1700*0.667))*SQRT(M*'Valve Sizing'!$W$6*'Valve Sizing'!$G$8/AG1707)</f>
        <v>299.12529996346029</v>
      </c>
      <c r="AH1706" s="111"/>
      <c r="AI1706" s="28"/>
      <c r="AJ1706" s="96">
        <f ca="1">(AJ1698/(N_9*AJ$27*AJ1700*0.667))*SQRT(M*'Valve Sizing'!$W$6*'Valve Sizing'!$G$8/AJ1707)</f>
        <v>909.3790841306452</v>
      </c>
      <c r="AK1706" s="111"/>
      <c r="AL1706" s="28"/>
      <c r="AM1706" s="96">
        <f ca="1">(AM1698/(N_9*AM$27*AM1700*0.667))*SQRT(M*'Valve Sizing'!$W$6*'Valve Sizing'!$G$8/AM1707)</f>
        <v>-5013.2162410392257</v>
      </c>
      <c r="AN1706" s="111"/>
      <c r="AO1706" s="28"/>
      <c r="AP1706" s="96">
        <f ca="1">(AP1698/(N_9*AP$27*AP1700*0.667))*SQRT(M*'Valve Sizing'!$W$6*'Valve Sizing'!$G$8/AP1707)</f>
        <v>-939.88390435687427</v>
      </c>
      <c r="AQ1706" s="111"/>
      <c r="AR1706" s="28"/>
      <c r="AS1706" s="96">
        <f ca="1">(AS1698/(N_9*AS$27*AS1700*0.667))*SQRT(M*'Valve Sizing'!$W$6*'Valve Sizing'!$G$8/AS1707)</f>
        <v>-831.35638948109147</v>
      </c>
      <c r="AT1706" s="111"/>
      <c r="AU1706" s="28"/>
    </row>
    <row r="1707" spans="15:47" ht="15.6" x14ac:dyDescent="0.35">
      <c r="O1707" s="2" t="s">
        <v>68</v>
      </c>
      <c r="P1707" s="143">
        <v>10</v>
      </c>
      <c r="Q1707" s="2"/>
      <c r="R1707" s="96">
        <f ca="1">F_GAMMA*R$29</f>
        <v>0.64002969751372984</v>
      </c>
      <c r="S1707" s="107"/>
      <c r="T1707" s="1"/>
      <c r="U1707" s="96">
        <f ca="1">F_GAMMA*U$29</f>
        <v>0.64017842058782071</v>
      </c>
      <c r="V1707" s="111"/>
      <c r="W1707" s="28"/>
      <c r="X1707" s="96">
        <f ca="1">F_GAMMA*X$29</f>
        <v>0.63413873724904268</v>
      </c>
      <c r="Y1707" s="111"/>
      <c r="Z1707" s="28"/>
      <c r="AA1707" s="96">
        <f ca="1">F_GAMMA*AA$29</f>
        <v>0.62532411750377137</v>
      </c>
      <c r="AB1707" s="111"/>
      <c r="AC1707" s="28"/>
      <c r="AD1707" s="96">
        <f ca="1">F_GAMMA*AD$29</f>
        <v>0.60651359509139569</v>
      </c>
      <c r="AE1707" s="111"/>
      <c r="AF1707" s="28"/>
      <c r="AG1707" s="96">
        <f ca="1">F_GAMMA*AG$29</f>
        <v>0.57217930198481592</v>
      </c>
      <c r="AH1707" s="111"/>
      <c r="AI1707" s="28"/>
      <c r="AJ1707" s="96">
        <f ca="1">F_GAMMA*AJ$29</f>
        <v>0.53183282018848232</v>
      </c>
      <c r="AK1707" s="111"/>
      <c r="AL1707" s="28"/>
      <c r="AM1707" s="96">
        <f ca="1">F_GAMMA*AM$29</f>
        <v>0.47566512503094399</v>
      </c>
      <c r="AN1707" s="111"/>
      <c r="AO1707" s="28"/>
      <c r="AP1707" s="96">
        <f ca="1">F_GAMMA*AP$29</f>
        <v>0.59054158265645496</v>
      </c>
      <c r="AQ1707" s="111"/>
      <c r="AR1707" s="28"/>
      <c r="AS1707" s="96">
        <f ca="1">F_GAMMA*AS$29</f>
        <v>0.3766899554102966</v>
      </c>
      <c r="AT1707" s="111"/>
      <c r="AU1707" s="28"/>
    </row>
    <row r="1708" spans="15:47" x14ac:dyDescent="0.25">
      <c r="O1708" s="2" t="s">
        <v>145</v>
      </c>
      <c r="P1708" s="12"/>
      <c r="Q1708" s="2"/>
      <c r="R1708" s="96">
        <f ca="1">IF(R1703&lt;R1707,R1705,R1706)</f>
        <v>1.3580991270768157</v>
      </c>
      <c r="S1708" s="116"/>
      <c r="T1708" s="1"/>
      <c r="U1708" s="96">
        <f ca="1">IF(U1703&lt;U1707,U1705,U1706)</f>
        <v>15.533337981026881</v>
      </c>
      <c r="V1708" s="111"/>
      <c r="W1708" s="28"/>
      <c r="X1708" s="96">
        <f ca="1">IF(X1703&lt;X1707,X1705,X1706)</f>
        <v>39.122406406086505</v>
      </c>
      <c r="Y1708" s="111"/>
      <c r="Z1708" s="28"/>
      <c r="AA1708" s="96">
        <f ca="1">IF(AA1703&lt;AA1707,AA1705,AA1706)</f>
        <v>83.944679494359349</v>
      </c>
      <c r="AB1708" s="111"/>
      <c r="AC1708" s="28"/>
      <c r="AD1708" s="96">
        <f ca="1">IF(AD1703&lt;AD1707,AD1705,AD1706)</f>
        <v>194.98760876515337</v>
      </c>
      <c r="AE1708" s="111"/>
      <c r="AF1708" s="28"/>
      <c r="AG1708" s="96" t="e">
        <f ca="1">IF(AG1703&lt;AG1707,AG1705,AG1706)</f>
        <v>#NUM!</v>
      </c>
      <c r="AH1708" s="111"/>
      <c r="AI1708" s="28"/>
      <c r="AJ1708" s="96" t="e">
        <f ca="1">IF(AJ1703&lt;AJ1707,AJ1705,AJ1706)</f>
        <v>#NUM!</v>
      </c>
      <c r="AK1708" s="111"/>
      <c r="AL1708" s="28"/>
      <c r="AM1708" s="96">
        <f ca="1">IF(AM1703&lt;AM1707,AM1705,AM1706)</f>
        <v>-5013.2162410392257</v>
      </c>
      <c r="AN1708" s="111"/>
      <c r="AO1708" s="28"/>
      <c r="AP1708" s="96">
        <f ca="1">IF(AP1703&lt;AP1707,AP1705,AP1706)</f>
        <v>-939.88390435687427</v>
      </c>
      <c r="AQ1708" s="111"/>
      <c r="AR1708" s="28"/>
      <c r="AS1708" s="96">
        <f ca="1">IF(AS1703&lt;AS1707,AS1705,AS1706)</f>
        <v>-831.35638948109147</v>
      </c>
      <c r="AT1708" s="111"/>
      <c r="AU1708" s="28"/>
    </row>
    <row r="1709" spans="15:47" x14ac:dyDescent="0.25">
      <c r="O1709" s="13" t="s">
        <v>143</v>
      </c>
      <c r="P1709" s="1"/>
      <c r="Q1709" s="1"/>
      <c r="R1709" s="113"/>
      <c r="S1709" s="106">
        <f ca="1">IF(R1702&lt;=0,Q_max,ABS(R$23-R1708))</f>
        <v>3.3719008729231845</v>
      </c>
      <c r="T1709" s="7">
        <f>R1698</f>
        <v>3362.8469584193263</v>
      </c>
      <c r="U1709" s="98"/>
      <c r="V1709" s="106">
        <f ca="1">IF(U1702&lt;=0,Q_max,ABS(U$23-U1708))</f>
        <v>3.9333379810268809</v>
      </c>
      <c r="W1709" s="9">
        <f ca="1">U1698</f>
        <v>38261.448223465726</v>
      </c>
      <c r="X1709" s="98"/>
      <c r="Y1709" s="106">
        <f ca="1">IF(X1702&lt;=0,Q_max,ABS(X$23-X1708))</f>
        <v>16.122406406086505</v>
      </c>
      <c r="Z1709" s="9">
        <f ca="1">X1698</f>
        <v>93688.232299349285</v>
      </c>
      <c r="AA1709" s="98"/>
      <c r="AB1709" s="106">
        <f ca="1">IF(AA1702&lt;=0,Q_max,ABS(AA$23-AA1708))</f>
        <v>44.54467949435935</v>
      </c>
      <c r="AC1709" s="9">
        <f ca="1">AA1698</f>
        <v>182480.76302755359</v>
      </c>
      <c r="AD1709" s="98"/>
      <c r="AE1709" s="106">
        <f ca="1">IF(AD1702&lt;=0,Q_max,ABS(AD$23-AD1708))</f>
        <v>133.98760876515337</v>
      </c>
      <c r="AF1709" s="9">
        <f ca="1">AD1698</f>
        <v>306145.95451143157</v>
      </c>
      <c r="AG1709" s="98"/>
      <c r="AH1709" s="106">
        <f ca="1">IF(AG1702&lt;=0,Q_max,ABS(AG$23-AG1708))</f>
        <v>236393</v>
      </c>
      <c r="AI1709" s="9">
        <f ca="1">AG1698</f>
        <v>446828.35884405411</v>
      </c>
      <c r="AJ1709" s="98"/>
      <c r="AK1709" s="106">
        <f ca="1">IF(AJ1702&lt;=0,Q_max,ABS(AJ$23-AJ1708))</f>
        <v>236393</v>
      </c>
      <c r="AL1709" s="9">
        <f ca="1">AJ1698</f>
        <v>596294.17703756515</v>
      </c>
      <c r="AM1709" s="98"/>
      <c r="AN1709" s="106">
        <f ca="1">IF(AM1702&lt;=0,Q_max,ABS(AM$23-AM1708))</f>
        <v>236393</v>
      </c>
      <c r="AO1709" s="9">
        <f ca="1">AM1698</f>
        <v>727592.21570020681</v>
      </c>
      <c r="AP1709" s="98"/>
      <c r="AQ1709" s="106">
        <f ca="1">IF(AP1702&lt;=0,Q_max,ABS(AP$23-AP1708))</f>
        <v>236393</v>
      </c>
      <c r="AR1709" s="9">
        <f ca="1">AP1698</f>
        <v>844711.97459681181</v>
      </c>
      <c r="AS1709" s="98"/>
      <c r="AT1709" s="106">
        <f ca="1">IF(AS1702&lt;=0,Q_max,ABS(AS$23-AS1708))</f>
        <v>236393</v>
      </c>
      <c r="AU1709" s="9">
        <f ca="1">AS1698</f>
        <v>990491.22252355132</v>
      </c>
    </row>
    <row r="1710" spans="15:47" ht="13.8" x14ac:dyDescent="0.25">
      <c r="O1710" s="21"/>
      <c r="P1710" s="21"/>
      <c r="Q1710" s="21"/>
      <c r="R1710" s="114"/>
      <c r="S1710" s="117"/>
      <c r="T1710" s="25"/>
      <c r="U1710" s="99"/>
      <c r="V1710" s="111"/>
      <c r="W1710" s="28"/>
      <c r="X1710" s="99"/>
      <c r="Y1710" s="111"/>
      <c r="Z1710" s="28"/>
      <c r="AA1710" s="99"/>
      <c r="AB1710" s="111"/>
      <c r="AC1710" s="28"/>
      <c r="AD1710" s="99"/>
      <c r="AE1710" s="111"/>
      <c r="AF1710" s="28"/>
      <c r="AG1710" s="99"/>
      <c r="AH1710" s="111"/>
      <c r="AI1710" s="28"/>
      <c r="AJ1710" s="99"/>
      <c r="AK1710" s="111"/>
      <c r="AL1710" s="28"/>
      <c r="AM1710" s="99"/>
      <c r="AN1710" s="111"/>
      <c r="AO1710" s="28"/>
      <c r="AP1710" s="99"/>
      <c r="AQ1710" s="111"/>
      <c r="AR1710" s="28"/>
      <c r="AS1710" s="99"/>
      <c r="AT1710" s="111"/>
      <c r="AU1710" s="28"/>
    </row>
    <row r="1711" spans="15:47" x14ac:dyDescent="0.25">
      <c r="O1711" s="1"/>
      <c r="P1711" s="1"/>
      <c r="Q1711" s="1"/>
      <c r="R1711" s="98"/>
      <c r="S1711" s="108" t="s">
        <v>137</v>
      </c>
      <c r="T1711" s="26" t="s">
        <v>146</v>
      </c>
      <c r="U1711" s="98"/>
      <c r="V1711" s="108" t="s">
        <v>137</v>
      </c>
      <c r="W1711" s="26" t="s">
        <v>146</v>
      </c>
      <c r="X1711" s="98"/>
      <c r="Y1711" s="108" t="s">
        <v>137</v>
      </c>
      <c r="Z1711" s="26" t="s">
        <v>146</v>
      </c>
      <c r="AA1711" s="98"/>
      <c r="AB1711" s="108" t="s">
        <v>137</v>
      </c>
      <c r="AC1711" s="26" t="s">
        <v>146</v>
      </c>
      <c r="AD1711" s="98"/>
      <c r="AE1711" s="108" t="s">
        <v>137</v>
      </c>
      <c r="AF1711" s="26" t="s">
        <v>146</v>
      </c>
      <c r="AG1711" s="98"/>
      <c r="AH1711" s="108" t="s">
        <v>137</v>
      </c>
      <c r="AI1711" s="26" t="s">
        <v>146</v>
      </c>
      <c r="AJ1711" s="98"/>
      <c r="AK1711" s="108" t="s">
        <v>137</v>
      </c>
      <c r="AL1711" s="26" t="s">
        <v>146</v>
      </c>
      <c r="AM1711" s="98"/>
      <c r="AN1711" s="108" t="s">
        <v>137</v>
      </c>
      <c r="AO1711" s="26" t="s">
        <v>146</v>
      </c>
      <c r="AP1711" s="98"/>
      <c r="AQ1711" s="108" t="s">
        <v>137</v>
      </c>
      <c r="AR1711" s="26" t="s">
        <v>146</v>
      </c>
      <c r="AS1711" s="98"/>
      <c r="AT1711" s="108" t="s">
        <v>137</v>
      </c>
      <c r="AU1711" s="26" t="s">
        <v>146</v>
      </c>
    </row>
    <row r="1712" spans="15:47" ht="13.8" x14ac:dyDescent="0.25">
      <c r="O1712" s="20" t="s">
        <v>136</v>
      </c>
      <c r="P1712" s="1"/>
      <c r="Q1712" s="1"/>
      <c r="R1712" s="96">
        <f>R1698*1.02</f>
        <v>3430.1038975877127</v>
      </c>
      <c r="S1712" s="109" t="s">
        <v>144</v>
      </c>
      <c r="T1712" s="23" t="s">
        <v>147</v>
      </c>
      <c r="U1712" s="96">
        <f ca="1">U1698*1.01</f>
        <v>38644.06270570038</v>
      </c>
      <c r="V1712" s="109" t="s">
        <v>144</v>
      </c>
      <c r="W1712" s="23" t="s">
        <v>147</v>
      </c>
      <c r="X1712" s="96">
        <f ca="1">X1698*1.01</f>
        <v>94625.114622342779</v>
      </c>
      <c r="Y1712" s="109" t="s">
        <v>144</v>
      </c>
      <c r="Z1712" s="23" t="s">
        <v>147</v>
      </c>
      <c r="AA1712" s="96">
        <f ca="1">AA1698*1.01</f>
        <v>184305.57065782914</v>
      </c>
      <c r="AB1712" s="109" t="s">
        <v>144</v>
      </c>
      <c r="AC1712" s="23" t="s">
        <v>147</v>
      </c>
      <c r="AD1712" s="96">
        <f ca="1">AD1698*1.01</f>
        <v>309207.41405654588</v>
      </c>
      <c r="AE1712" s="109" t="s">
        <v>144</v>
      </c>
      <c r="AF1712" s="23" t="s">
        <v>147</v>
      </c>
      <c r="AG1712" s="96">
        <f ca="1">AG1698*1.01</f>
        <v>451296.64243249467</v>
      </c>
      <c r="AH1712" s="109" t="s">
        <v>144</v>
      </c>
      <c r="AI1712" s="23" t="s">
        <v>147</v>
      </c>
      <c r="AJ1712" s="96">
        <f ca="1">AJ1698*1.01</f>
        <v>602257.11880794086</v>
      </c>
      <c r="AK1712" s="109" t="s">
        <v>144</v>
      </c>
      <c r="AL1712" s="23" t="s">
        <v>147</v>
      </c>
      <c r="AM1712" s="96">
        <f ca="1">AM1698*1.01</f>
        <v>734868.13785720884</v>
      </c>
      <c r="AN1712" s="109" t="s">
        <v>144</v>
      </c>
      <c r="AO1712" s="23" t="s">
        <v>147</v>
      </c>
      <c r="AP1712" s="96">
        <f ca="1">AP1698*1.01</f>
        <v>853159.09434277995</v>
      </c>
      <c r="AQ1712" s="109" t="s">
        <v>144</v>
      </c>
      <c r="AR1712" s="23" t="s">
        <v>147</v>
      </c>
      <c r="AS1712" s="96">
        <f ca="1">AS1698*1.01</f>
        <v>1000396.1347487868</v>
      </c>
      <c r="AT1712" s="109" t="s">
        <v>144</v>
      </c>
      <c r="AU1712" s="23" t="s">
        <v>147</v>
      </c>
    </row>
    <row r="1713" spans="15:47" x14ac:dyDescent="0.25">
      <c r="O1713" s="1"/>
      <c r="P1713" s="1"/>
      <c r="Q1713" s="1"/>
      <c r="R1713" s="98"/>
      <c r="S1713" s="107"/>
      <c r="T1713" s="1"/>
      <c r="U1713" s="47"/>
      <c r="V1713" s="107"/>
      <c r="W1713" s="1"/>
      <c r="X1713" s="47"/>
      <c r="Y1713" s="107"/>
      <c r="Z1713" s="1"/>
      <c r="AA1713" s="47"/>
      <c r="AB1713" s="107"/>
      <c r="AC1713" s="1"/>
      <c r="AD1713" s="47"/>
      <c r="AE1713" s="107"/>
      <c r="AF1713" s="1"/>
      <c r="AG1713" s="47"/>
      <c r="AH1713" s="107"/>
      <c r="AI1713" s="1"/>
      <c r="AJ1713" s="47"/>
      <c r="AK1713" s="107"/>
      <c r="AL1713" s="1"/>
      <c r="AM1713" s="47"/>
      <c r="AN1713" s="107"/>
      <c r="AO1713" s="1"/>
      <c r="AP1713" s="47"/>
      <c r="AQ1713" s="107"/>
      <c r="AR1713" s="1"/>
      <c r="AS1713" s="47"/>
      <c r="AT1713" s="107"/>
      <c r="AU1713" s="1"/>
    </row>
    <row r="1714" spans="15:47" x14ac:dyDescent="0.25">
      <c r="O1714" s="8" t="s">
        <v>132</v>
      </c>
      <c r="P1714" s="8"/>
      <c r="Q1714" s="8"/>
      <c r="R1714" s="96">
        <f>P_1_minQ-(R1712^2*R_up)+dpup_minQ</f>
        <v>90.182896118955213</v>
      </c>
      <c r="S1714" s="106"/>
      <c r="T1714" s="22"/>
      <c r="U1714" s="96">
        <f ca="1">P_1_minQ-(U1712^2*R_up)+dpup_minQ</f>
        <v>89.912858722972416</v>
      </c>
      <c r="V1714" s="107"/>
      <c r="W1714" s="1"/>
      <c r="X1714" s="96">
        <f ca="1">P_1_minQ-(X1712^2*R_up)+dpup_minQ</f>
        <v>88.55309231249133</v>
      </c>
      <c r="Y1714" s="107"/>
      <c r="Z1714" s="1"/>
      <c r="AA1714" s="96">
        <f ca="1">P_1_minQ-(AA1712^2*R_up)+dpup_minQ</f>
        <v>83.993902862461695</v>
      </c>
      <c r="AB1714" s="107"/>
      <c r="AC1714" s="1"/>
      <c r="AD1714" s="96">
        <f ca="1">P_1_minQ-(AD1712^2*R_up)+dpup_minQ</f>
        <v>72.759216079378035</v>
      </c>
      <c r="AE1714" s="107"/>
      <c r="AF1714" s="1"/>
      <c r="AG1714" s="96">
        <f ca="1">P_1_minQ-(AG1712^2*R_up)+dpup_minQ</f>
        <v>53.064205071995175</v>
      </c>
      <c r="AH1714" s="107"/>
      <c r="AI1714" s="1"/>
      <c r="AJ1714" s="96">
        <f ca="1">P_1_minQ-(AJ1712^2*R_up)+dpup_minQ</f>
        <v>24.07652251735243</v>
      </c>
      <c r="AK1714" s="107"/>
      <c r="AL1714" s="1"/>
      <c r="AM1714" s="96">
        <f ca="1">P_1_minQ-(AM1712^2*R_up)+dpup_minQ</f>
        <v>-8.2415344204195566</v>
      </c>
      <c r="AN1714" s="107"/>
      <c r="AO1714" s="1"/>
      <c r="AP1714" s="96">
        <f ca="1">P_1_minQ-(AP1712^2*R_up)+dpup_minQ</f>
        <v>-42.479111756944889</v>
      </c>
      <c r="AQ1714" s="107"/>
      <c r="AR1714" s="1"/>
      <c r="AS1714" s="96">
        <f ca="1">P_1_minQ-(AS1712^2*R_up)+dpup_minQ</f>
        <v>-92.220299032260613</v>
      </c>
      <c r="AT1714" s="107"/>
      <c r="AU1714" s="1"/>
    </row>
    <row r="1715" spans="15:47" x14ac:dyDescent="0.25">
      <c r="O1715" s="8" t="s">
        <v>134</v>
      </c>
      <c r="P1715" s="1"/>
      <c r="Q1715" s="8"/>
      <c r="R1715" s="97">
        <f>P_2_minQ+(R1712^2*R_dn)-dpdn_minQ</f>
        <v>60</v>
      </c>
      <c r="S1715" s="106"/>
      <c r="T1715" s="22"/>
      <c r="U1715" s="97">
        <f ca="1">P_2_minQ+(U1712^2*R_dn)-dpdn_minQ</f>
        <v>60</v>
      </c>
      <c r="V1715" s="107"/>
      <c r="W1715" s="1"/>
      <c r="X1715" s="97">
        <f ca="1">P_2_minQ+(X1712^2*R_dn)-dpdn_minQ</f>
        <v>60</v>
      </c>
      <c r="Y1715" s="107"/>
      <c r="Z1715" s="1"/>
      <c r="AA1715" s="97">
        <f ca="1">P_2_minQ+(AA1712^2*R_dn)-dpdn_minQ</f>
        <v>60</v>
      </c>
      <c r="AB1715" s="107"/>
      <c r="AC1715" s="1"/>
      <c r="AD1715" s="97">
        <f ca="1">P_2_minQ+(AD1712^2*R_dn)-dpdn_minQ</f>
        <v>60</v>
      </c>
      <c r="AE1715" s="107"/>
      <c r="AF1715" s="1"/>
      <c r="AG1715" s="97">
        <f ca="1">P_2_minQ+(AG1712^2*R_dn)-dpdn_minQ</f>
        <v>60</v>
      </c>
      <c r="AH1715" s="107"/>
      <c r="AI1715" s="1"/>
      <c r="AJ1715" s="97">
        <f ca="1">P_2_minQ+(AJ1712^2*R_dn)-dpdn_minQ</f>
        <v>60</v>
      </c>
      <c r="AK1715" s="107"/>
      <c r="AL1715" s="1"/>
      <c r="AM1715" s="97">
        <f ca="1">P_2_minQ+(AM1712^2*R_dn)-dpdn_minQ</f>
        <v>60</v>
      </c>
      <c r="AN1715" s="107"/>
      <c r="AO1715" s="1"/>
      <c r="AP1715" s="97">
        <f ca="1">P_2_minQ+(AP1712^2*R_dn)-dpdn_minQ</f>
        <v>60</v>
      </c>
      <c r="AQ1715" s="107"/>
      <c r="AR1715" s="1"/>
      <c r="AS1715" s="97">
        <f ca="1">P_2_minQ+(AS1712^2*R_dn)-dpdn_minQ</f>
        <v>60</v>
      </c>
      <c r="AT1715" s="107"/>
      <c r="AU1715" s="1"/>
    </row>
    <row r="1716" spans="15:47" x14ac:dyDescent="0.25">
      <c r="O1716" s="8" t="s">
        <v>138</v>
      </c>
      <c r="P1716" s="1"/>
      <c r="Q1716" s="8"/>
      <c r="R1716" s="97">
        <f>R1714-R1715</f>
        <v>30.182896118955213</v>
      </c>
      <c r="S1716" s="106"/>
      <c r="T1716" s="22"/>
      <c r="U1716" s="97">
        <f ca="1">U1714-U1715</f>
        <v>29.912858722972416</v>
      </c>
      <c r="V1716" s="110"/>
      <c r="W1716" s="25"/>
      <c r="X1716" s="97">
        <f ca="1">X1714-X1715</f>
        <v>28.55309231249133</v>
      </c>
      <c r="Y1716" s="110"/>
      <c r="Z1716" s="25"/>
      <c r="AA1716" s="97">
        <f ca="1">AA1714-AA1715</f>
        <v>23.993902862461695</v>
      </c>
      <c r="AB1716" s="110"/>
      <c r="AC1716" s="25"/>
      <c r="AD1716" s="97">
        <f ca="1">AD1714-AD1715</f>
        <v>12.759216079378035</v>
      </c>
      <c r="AE1716" s="110"/>
      <c r="AF1716" s="25"/>
      <c r="AG1716" s="97">
        <f ca="1">AG1714-AG1715</f>
        <v>-6.9357949280048246</v>
      </c>
      <c r="AH1716" s="110"/>
      <c r="AI1716" s="25"/>
      <c r="AJ1716" s="97">
        <f ca="1">AJ1714-AJ1715</f>
        <v>-35.92347748264757</v>
      </c>
      <c r="AK1716" s="110"/>
      <c r="AL1716" s="25"/>
      <c r="AM1716" s="97">
        <f ca="1">AM1714-AM1715</f>
        <v>-68.241534420419555</v>
      </c>
      <c r="AN1716" s="110"/>
      <c r="AO1716" s="25"/>
      <c r="AP1716" s="97">
        <f ca="1">AP1714-AP1715</f>
        <v>-102.47911175694489</v>
      </c>
      <c r="AQ1716" s="110"/>
      <c r="AR1716" s="25"/>
      <c r="AS1716" s="97">
        <f ca="1">AS1714-AS1715</f>
        <v>-152.22029903226061</v>
      </c>
      <c r="AT1716" s="110"/>
      <c r="AU1716" s="25"/>
    </row>
    <row r="1717" spans="15:47" ht="14.4" x14ac:dyDescent="0.3">
      <c r="O1717" s="2" t="s">
        <v>140</v>
      </c>
      <c r="P1717" s="11"/>
      <c r="Q1717" s="2"/>
      <c r="R1717" s="96">
        <f>R1716/R1714</f>
        <v>0.33468537181532343</v>
      </c>
      <c r="S1717" s="106"/>
      <c r="T1717" s="22"/>
      <c r="U1717" s="96">
        <f ca="1">U1716/U1714</f>
        <v>0.33268721679883356</v>
      </c>
      <c r="V1717" s="111"/>
      <c r="W1717" s="28"/>
      <c r="X1717" s="96">
        <f ca="1">X1716/X1714</f>
        <v>0.32244037522406904</v>
      </c>
      <c r="Y1717" s="111"/>
      <c r="Z1717" s="28"/>
      <c r="AA1717" s="96">
        <f ca="1">AA1716/AA1714</f>
        <v>0.28566243554310389</v>
      </c>
      <c r="AB1717" s="111"/>
      <c r="AC1717" s="28"/>
      <c r="AD1717" s="96">
        <f ca="1">AD1716/AD1714</f>
        <v>0.17536219831530522</v>
      </c>
      <c r="AE1717" s="111"/>
      <c r="AF1717" s="28"/>
      <c r="AG1717" s="96">
        <f ca="1">AG1716/AG1714</f>
        <v>-0.13070571619031404</v>
      </c>
      <c r="AH1717" s="111"/>
      <c r="AI1717" s="28"/>
      <c r="AJ1717" s="96">
        <f ca="1">AJ1716/AJ1714</f>
        <v>-1.4920542390105052</v>
      </c>
      <c r="AK1717" s="111"/>
      <c r="AL1717" s="28"/>
      <c r="AM1717" s="96">
        <f ca="1">AM1716/AM1714</f>
        <v>8.280197708249764</v>
      </c>
      <c r="AN1717" s="111"/>
      <c r="AO1717" s="28"/>
      <c r="AP1717" s="96">
        <f ca="1">AP1716/AP1714</f>
        <v>2.4124589125899183</v>
      </c>
      <c r="AQ1717" s="111"/>
      <c r="AR1717" s="28"/>
      <c r="AS1717" s="96">
        <f ca="1">AS1716/AS1714</f>
        <v>1.6506159774976519</v>
      </c>
      <c r="AT1717" s="111"/>
      <c r="AU1717" s="28"/>
    </row>
    <row r="1718" spans="15:47" x14ac:dyDescent="0.25">
      <c r="O1718" s="2" t="s">
        <v>21</v>
      </c>
      <c r="P1718" s="8">
        <v>12</v>
      </c>
      <c r="Q1718" s="2"/>
      <c r="R1718" s="96">
        <f ca="1">1-R1717/(3*F_GAMMA*R$29)</f>
        <v>0.82569279044631427</v>
      </c>
      <c r="S1718" s="106"/>
      <c r="T1718" s="22"/>
      <c r="U1718" s="96">
        <f ca="1">1-U1717/(3*F_GAMMA*U$29)</f>
        <v>0.82677370032073472</v>
      </c>
      <c r="V1718" s="111"/>
      <c r="W1718" s="28"/>
      <c r="X1718" s="96">
        <f ca="1">1-X1717/(3*F_GAMMA*X$29)</f>
        <v>0.83051007806123112</v>
      </c>
      <c r="Y1718" s="111"/>
      <c r="Z1718" s="28"/>
      <c r="AA1718" s="96">
        <f ca="1">1-AA1717/(3*F_GAMMA*AA$29)</f>
        <v>0.84772566868552446</v>
      </c>
      <c r="AB1718" s="111"/>
      <c r="AC1718" s="28"/>
      <c r="AD1718" s="96">
        <f ca="1">1-AD1717/(3*F_GAMMA*AD$29)</f>
        <v>0.90362282630071422</v>
      </c>
      <c r="AE1718" s="111"/>
      <c r="AF1718" s="28"/>
      <c r="AG1718" s="96">
        <f ca="1">1-AG1717/(3*F_GAMMA*AG$29)</f>
        <v>1.0761449634971141</v>
      </c>
      <c r="AH1718" s="111"/>
      <c r="AI1718" s="28"/>
      <c r="AJ1718" s="96">
        <f ca="1">1-AJ1717/(3*F_GAMMA*AJ$29)</f>
        <v>1.9351649505708197</v>
      </c>
      <c r="AK1718" s="111"/>
      <c r="AL1718" s="28"/>
      <c r="AM1718" s="96">
        <f ca="1">1-AM1717/(3*F_GAMMA*AM$29)</f>
        <v>-4.802539975093544</v>
      </c>
      <c r="AN1718" s="111"/>
      <c r="AO1718" s="28"/>
      <c r="AP1718" s="96">
        <f ca="1">1-AP1717/(3*F_GAMMA*AP$29)</f>
        <v>-0.36172116321759296</v>
      </c>
      <c r="AQ1718" s="111"/>
      <c r="AR1718" s="28"/>
      <c r="AS1718" s="96">
        <f ca="1">1-AS1717/(3*F_GAMMA*AS$29)</f>
        <v>-0.46063179527380371</v>
      </c>
      <c r="AT1718" s="111"/>
      <c r="AU1718" s="28"/>
    </row>
    <row r="1719" spans="15:47" x14ac:dyDescent="0.25">
      <c r="O1719" s="2" t="s">
        <v>57</v>
      </c>
      <c r="P1719" s="143">
        <v>7</v>
      </c>
      <c r="Q1719" s="2"/>
      <c r="R1719" s="96">
        <f ca="1">(R1712/(N_9*R$27*R1714*R1718))*SQRT(M*'Valve Sizing'!$W$6*'Valve Sizing'!$G$8/R1717)</f>
        <v>1.3852631232554167</v>
      </c>
      <c r="S1719" s="107"/>
      <c r="T1719" s="22"/>
      <c r="U1719" s="96">
        <f ca="1">(U1712/(N_9*U$27*U1714*U1718))*SQRT(M*'Valve Sizing'!$W$6*'Valve Sizing'!$G$8/U1717)</f>
        <v>15.690152332455625</v>
      </c>
      <c r="V1719" s="111"/>
      <c r="W1719" s="28"/>
      <c r="X1719" s="96">
        <f ca="1">(X1712/(N_9*X$27*X1714*X1718))*SQRT(M*'Valve Sizing'!$W$6*'Valve Sizing'!$G$8/X1717)</f>
        <v>39.536895920425195</v>
      </c>
      <c r="Y1719" s="111"/>
      <c r="Z1719" s="28"/>
      <c r="AA1719" s="96">
        <f ca="1">(AA1712/(N_9*AA$27*AA1714*AA1718))*SQRT(M*'Valve Sizing'!$W$6*'Valve Sizing'!$G$8/AA1717)</f>
        <v>85.005674284993191</v>
      </c>
      <c r="AB1719" s="111"/>
      <c r="AC1719" s="28"/>
      <c r="AD1719" s="96">
        <f ca="1">(AD1712/(N_9*AD$27*AD1714*AD1718))*SQRT(M*'Valve Sizing'!$W$6*'Valve Sizing'!$G$8/AD1717)</f>
        <v>199.56883861364074</v>
      </c>
      <c r="AE1719" s="111"/>
      <c r="AF1719" s="28"/>
      <c r="AG1719" s="96" t="e">
        <f ca="1">(AG1712/(N_9*AG$27*AG1714*AG1718))*SQRT(M*'Valve Sizing'!$W$6*'Valve Sizing'!$G$8/AG1717)</f>
        <v>#NUM!</v>
      </c>
      <c r="AH1719" s="111"/>
      <c r="AI1719" s="28"/>
      <c r="AJ1719" s="96" t="e">
        <f ca="1">(AJ1712/(N_9*AJ$27*AJ1714*AJ1718))*SQRT(M*'Valve Sizing'!$W$6*'Valve Sizing'!$G$8/AJ1717)</f>
        <v>#NUM!</v>
      </c>
      <c r="AK1719" s="111"/>
      <c r="AL1719" s="28"/>
      <c r="AM1719" s="96">
        <f ca="1">(AM1712/(N_9*AM$27*AM1714*AM1718))*SQRT(M*'Valve Sizing'!$W$6*'Valve Sizing'!$G$8/AM1717)</f>
        <v>128.88520612201552</v>
      </c>
      <c r="AN1719" s="111"/>
      <c r="AO1719" s="28"/>
      <c r="AP1719" s="96">
        <f ca="1">(AP1712/(N_9*AP$27*AP1714*AP1718))*SQRT(M*'Valve Sizing'!$W$6*'Valve Sizing'!$G$8/AP1717)</f>
        <v>812.75612889063325</v>
      </c>
      <c r="AQ1719" s="111"/>
      <c r="AR1719" s="28"/>
      <c r="AS1719" s="96">
        <f ca="1">(AS1712/(N_9*AS$27*AS1714*AS1718))*SQRT(M*'Valve Sizing'!$W$6*'Valve Sizing'!$G$8/AS1717)</f>
        <v>558.19391971181585</v>
      </c>
      <c r="AT1719" s="111"/>
      <c r="AU1719" s="28"/>
    </row>
    <row r="1720" spans="15:47" x14ac:dyDescent="0.25">
      <c r="O1720" s="2" t="s">
        <v>59</v>
      </c>
      <c r="P1720" s="143">
        <v>7</v>
      </c>
      <c r="Q1720" s="2"/>
      <c r="R1720" s="96">
        <f ca="1">(R1712/(N_9*R$27*R1714*0.667))*SQRT(M*'Valve Sizing'!$W$6*'Valve Sizing'!$G$8/R1721)</f>
        <v>1.2400615288660228</v>
      </c>
      <c r="S1720" s="107"/>
      <c r="T1720" s="22"/>
      <c r="U1720" s="96">
        <f ca="1">(U1712/(N_9*U$27*U1714*0.667))*SQRT(M*'Valve Sizing'!$W$6*'Valve Sizing'!$G$8/U1721)</f>
        <v>14.020242357044756</v>
      </c>
      <c r="V1720" s="111"/>
      <c r="W1720" s="28"/>
      <c r="X1720" s="96">
        <f ca="1">(X1712/(N_9*X$27*X1714*0.667))*SQRT(M*'Valve Sizing'!$W$6*'Valve Sizing'!$G$8/X1721)</f>
        <v>35.10380630877453</v>
      </c>
      <c r="Y1720" s="111"/>
      <c r="Z1720" s="28"/>
      <c r="AA1720" s="96">
        <f ca="1">(AA1712/(N_9*AA$27*AA1714*0.667))*SQRT(M*'Valve Sizing'!$W$6*'Valve Sizing'!$G$8/AA1721)</f>
        <v>73.021608320173357</v>
      </c>
      <c r="AB1720" s="111"/>
      <c r="AC1720" s="28"/>
      <c r="AD1720" s="96">
        <f ca="1">(AD1712/(N_9*AD$27*AD1714*0.667))*SQRT(M*'Valve Sizing'!$W$6*'Valve Sizing'!$G$8/AD1721)</f>
        <v>145.37904431694798</v>
      </c>
      <c r="AE1720" s="111"/>
      <c r="AF1720" s="28"/>
      <c r="AG1720" s="96">
        <f ca="1">(AG1712/(N_9*AG$27*AG1714*0.667))*SQRT(M*'Valve Sizing'!$W$6*'Valve Sizing'!$G$8/AG1721)</f>
        <v>306.28087119354046</v>
      </c>
      <c r="AH1720" s="111"/>
      <c r="AI1720" s="28"/>
      <c r="AJ1720" s="96">
        <f ca="1">(AJ1712/(N_9*AJ$27*AJ1714*0.667))*SQRT(M*'Valve Sizing'!$W$6*'Valve Sizing'!$G$8/AJ1721)</f>
        <v>968.16451223129025</v>
      </c>
      <c r="AK1720" s="111"/>
      <c r="AL1720" s="28"/>
      <c r="AM1720" s="96">
        <f ca="1">(AM1712/(N_9*AM$27*AM1714*0.667))*SQRT(M*'Valve Sizing'!$W$6*'Valve Sizing'!$G$8/AM1721)</f>
        <v>-3871.8446422890329</v>
      </c>
      <c r="AN1720" s="111"/>
      <c r="AO1720" s="28"/>
      <c r="AP1720" s="96">
        <f ca="1">(AP1712/(N_9*AP$27*AP1714*0.667))*SQRT(M*'Valve Sizing'!$W$6*'Valve Sizing'!$G$8/AP1721)</f>
        <v>-890.86738370997239</v>
      </c>
      <c r="AQ1720" s="111"/>
      <c r="AR1720" s="28"/>
      <c r="AS1720" s="96">
        <f ca="1">(AS1712/(N_9*AS$27*AS1714*0.667))*SQRT(M*'Valve Sizing'!$W$6*'Valve Sizing'!$G$8/AS1721)</f>
        <v>-806.94545909370697</v>
      </c>
      <c r="AT1720" s="111"/>
      <c r="AU1720" s="28"/>
    </row>
    <row r="1721" spans="15:47" ht="15.6" x14ac:dyDescent="0.35">
      <c r="O1721" s="2" t="s">
        <v>68</v>
      </c>
      <c r="P1721" s="143">
        <v>10</v>
      </c>
      <c r="Q1721" s="2"/>
      <c r="R1721" s="96">
        <f ca="1">F_GAMMA*R$29</f>
        <v>0.64002969751372984</v>
      </c>
      <c r="S1721" s="107"/>
      <c r="T1721" s="1"/>
      <c r="U1721" s="96">
        <f ca="1">F_GAMMA*U$29</f>
        <v>0.64017842058782071</v>
      </c>
      <c r="V1721" s="111"/>
      <c r="W1721" s="28"/>
      <c r="X1721" s="96">
        <f ca="1">F_GAMMA*X$29</f>
        <v>0.63413873724904268</v>
      </c>
      <c r="Y1721" s="111"/>
      <c r="Z1721" s="28"/>
      <c r="AA1721" s="96">
        <f ca="1">F_GAMMA*AA$29</f>
        <v>0.62532411750377137</v>
      </c>
      <c r="AB1721" s="111"/>
      <c r="AC1721" s="28"/>
      <c r="AD1721" s="96">
        <f ca="1">F_GAMMA*AD$29</f>
        <v>0.60651359509139569</v>
      </c>
      <c r="AE1721" s="111"/>
      <c r="AF1721" s="28"/>
      <c r="AG1721" s="96">
        <f ca="1">F_GAMMA*AG$29</f>
        <v>0.57217930198481592</v>
      </c>
      <c r="AH1721" s="111"/>
      <c r="AI1721" s="28"/>
      <c r="AJ1721" s="96">
        <f ca="1">F_GAMMA*AJ$29</f>
        <v>0.53183282018848232</v>
      </c>
      <c r="AK1721" s="111"/>
      <c r="AL1721" s="28"/>
      <c r="AM1721" s="96">
        <f ca="1">F_GAMMA*AM$29</f>
        <v>0.47566512503094399</v>
      </c>
      <c r="AN1721" s="111"/>
      <c r="AO1721" s="28"/>
      <c r="AP1721" s="96">
        <f ca="1">F_GAMMA*AP$29</f>
        <v>0.59054158265645496</v>
      </c>
      <c r="AQ1721" s="111"/>
      <c r="AR1721" s="28"/>
      <c r="AS1721" s="96">
        <f ca="1">F_GAMMA*AS$29</f>
        <v>0.3766899554102966</v>
      </c>
      <c r="AT1721" s="111"/>
      <c r="AU1721" s="28"/>
    </row>
    <row r="1722" spans="15:47" x14ac:dyDescent="0.25">
      <c r="O1722" s="2" t="s">
        <v>145</v>
      </c>
      <c r="P1722" s="12"/>
      <c r="Q1722" s="2"/>
      <c r="R1722" s="96">
        <f ca="1">IF(R1717&lt;R1721,R1719,R1720)</f>
        <v>1.3852631232554167</v>
      </c>
      <c r="S1722" s="116"/>
      <c r="T1722" s="1"/>
      <c r="U1722" s="96">
        <f ca="1">IF(U1717&lt;U1721,U1719,U1720)</f>
        <v>15.690152332455625</v>
      </c>
      <c r="V1722" s="111"/>
      <c r="W1722" s="28"/>
      <c r="X1722" s="96">
        <f ca="1">IF(X1717&lt;X1721,X1719,X1720)</f>
        <v>39.536895920425195</v>
      </c>
      <c r="Y1722" s="111"/>
      <c r="Z1722" s="28"/>
      <c r="AA1722" s="96">
        <f ca="1">IF(AA1717&lt;AA1721,AA1719,AA1720)</f>
        <v>85.005674284993191</v>
      </c>
      <c r="AB1722" s="111"/>
      <c r="AC1722" s="28"/>
      <c r="AD1722" s="96">
        <f ca="1">IF(AD1717&lt;AD1721,AD1719,AD1720)</f>
        <v>199.56883861364074</v>
      </c>
      <c r="AE1722" s="111"/>
      <c r="AF1722" s="28"/>
      <c r="AG1722" s="96" t="e">
        <f ca="1">IF(AG1717&lt;AG1721,AG1719,AG1720)</f>
        <v>#NUM!</v>
      </c>
      <c r="AH1722" s="111"/>
      <c r="AI1722" s="28"/>
      <c r="AJ1722" s="96" t="e">
        <f ca="1">IF(AJ1717&lt;AJ1721,AJ1719,AJ1720)</f>
        <v>#NUM!</v>
      </c>
      <c r="AK1722" s="111"/>
      <c r="AL1722" s="28"/>
      <c r="AM1722" s="96">
        <f ca="1">IF(AM1717&lt;AM1721,AM1719,AM1720)</f>
        <v>-3871.8446422890329</v>
      </c>
      <c r="AN1722" s="111"/>
      <c r="AO1722" s="28"/>
      <c r="AP1722" s="96">
        <f ca="1">IF(AP1717&lt;AP1721,AP1719,AP1720)</f>
        <v>-890.86738370997239</v>
      </c>
      <c r="AQ1722" s="111"/>
      <c r="AR1722" s="28"/>
      <c r="AS1722" s="96">
        <f ca="1">IF(AS1717&lt;AS1721,AS1719,AS1720)</f>
        <v>-806.94545909370697</v>
      </c>
      <c r="AT1722" s="111"/>
      <c r="AU1722" s="28"/>
    </row>
    <row r="1723" spans="15:47" x14ac:dyDescent="0.25">
      <c r="O1723" s="13" t="s">
        <v>143</v>
      </c>
      <c r="P1723" s="1"/>
      <c r="Q1723" s="1"/>
      <c r="R1723" s="113"/>
      <c r="S1723" s="106">
        <f ca="1">IF(R1716&lt;=0,Q_max,ABS(R$23-R1722))</f>
        <v>3.3447368767445838</v>
      </c>
      <c r="T1723" s="7">
        <f>R1712</f>
        <v>3430.1038975877127</v>
      </c>
      <c r="U1723" s="98"/>
      <c r="V1723" s="106">
        <f ca="1">IF(U1716&lt;=0,Q_max,ABS(U$23-U1722))</f>
        <v>4.0901523324556255</v>
      </c>
      <c r="W1723" s="9">
        <f ca="1">U1712</f>
        <v>38644.06270570038</v>
      </c>
      <c r="X1723" s="98"/>
      <c r="Y1723" s="106">
        <f ca="1">IF(X1716&lt;=0,Q_max,ABS(X$23-X1722))</f>
        <v>16.536895920425195</v>
      </c>
      <c r="Z1723" s="9">
        <f ca="1">X1712</f>
        <v>94625.114622342779</v>
      </c>
      <c r="AA1723" s="98"/>
      <c r="AB1723" s="106">
        <f ca="1">IF(AA1716&lt;=0,Q_max,ABS(AA$23-AA1722))</f>
        <v>45.605674284993192</v>
      </c>
      <c r="AC1723" s="9">
        <f ca="1">AA1712</f>
        <v>184305.57065782914</v>
      </c>
      <c r="AD1723" s="98"/>
      <c r="AE1723" s="106">
        <f ca="1">IF(AD1716&lt;=0,Q_max,ABS(AD$23-AD1722))</f>
        <v>138.56883861364074</v>
      </c>
      <c r="AF1723" s="9">
        <f ca="1">AD1712</f>
        <v>309207.41405654588</v>
      </c>
      <c r="AG1723" s="98"/>
      <c r="AH1723" s="106">
        <f ca="1">IF(AG1716&lt;=0,Q_max,ABS(AG$23-AG1722))</f>
        <v>236393</v>
      </c>
      <c r="AI1723" s="9">
        <f ca="1">AG1712</f>
        <v>451296.64243249467</v>
      </c>
      <c r="AJ1723" s="98"/>
      <c r="AK1723" s="106">
        <f ca="1">IF(AJ1716&lt;=0,Q_max,ABS(AJ$23-AJ1722))</f>
        <v>236393</v>
      </c>
      <c r="AL1723" s="9">
        <f ca="1">AJ1712</f>
        <v>602257.11880794086</v>
      </c>
      <c r="AM1723" s="98"/>
      <c r="AN1723" s="106">
        <f ca="1">IF(AM1716&lt;=0,Q_max,ABS(AM$23-AM1722))</f>
        <v>236393</v>
      </c>
      <c r="AO1723" s="9">
        <f ca="1">AM1712</f>
        <v>734868.13785720884</v>
      </c>
      <c r="AP1723" s="98"/>
      <c r="AQ1723" s="106">
        <f ca="1">IF(AP1716&lt;=0,Q_max,ABS(AP$23-AP1722))</f>
        <v>236393</v>
      </c>
      <c r="AR1723" s="9">
        <f ca="1">AP1712</f>
        <v>853159.09434277995</v>
      </c>
      <c r="AS1723" s="98"/>
      <c r="AT1723" s="106">
        <f ca="1">IF(AS1716&lt;=0,Q_max,ABS(AS$23-AS1722))</f>
        <v>236393</v>
      </c>
      <c r="AU1723" s="9">
        <f ca="1">AS1712</f>
        <v>1000396.1347487868</v>
      </c>
    </row>
    <row r="1724" spans="15:47" x14ac:dyDescent="0.25">
      <c r="O1724" s="21"/>
      <c r="P1724" s="14"/>
      <c r="Q1724" s="21"/>
      <c r="R1724" s="97"/>
      <c r="S1724" s="106"/>
      <c r="T1724" s="28"/>
      <c r="U1724" s="97"/>
      <c r="V1724" s="111"/>
      <c r="W1724" s="28"/>
      <c r="X1724" s="97"/>
      <c r="Y1724" s="111"/>
      <c r="Z1724" s="28"/>
      <c r="AA1724" s="97"/>
      <c r="AB1724" s="111"/>
      <c r="AC1724" s="28"/>
      <c r="AD1724" s="97"/>
      <c r="AE1724" s="111"/>
      <c r="AF1724" s="28"/>
      <c r="AG1724" s="97"/>
      <c r="AH1724" s="111"/>
      <c r="AI1724" s="28"/>
      <c r="AJ1724" s="97"/>
      <c r="AK1724" s="111"/>
      <c r="AL1724" s="28"/>
      <c r="AM1724" s="97"/>
      <c r="AN1724" s="111"/>
      <c r="AO1724" s="28"/>
      <c r="AP1724" s="97"/>
      <c r="AQ1724" s="111"/>
      <c r="AR1724" s="28"/>
      <c r="AS1724" s="97"/>
      <c r="AT1724" s="111"/>
      <c r="AU1724" s="28"/>
    </row>
    <row r="1725" spans="15:47" x14ac:dyDescent="0.25">
      <c r="O1725" s="1"/>
      <c r="P1725" s="1"/>
      <c r="Q1725" s="1"/>
      <c r="R1725" s="98"/>
      <c r="S1725" s="108" t="s">
        <v>137</v>
      </c>
      <c r="T1725" s="26" t="s">
        <v>146</v>
      </c>
      <c r="U1725" s="98"/>
      <c r="V1725" s="108" t="s">
        <v>137</v>
      </c>
      <c r="W1725" s="26" t="s">
        <v>146</v>
      </c>
      <c r="X1725" s="98"/>
      <c r="Y1725" s="108" t="s">
        <v>137</v>
      </c>
      <c r="Z1725" s="26" t="s">
        <v>146</v>
      </c>
      <c r="AA1725" s="98"/>
      <c r="AB1725" s="108" t="s">
        <v>137</v>
      </c>
      <c r="AC1725" s="26" t="s">
        <v>146</v>
      </c>
      <c r="AD1725" s="98"/>
      <c r="AE1725" s="108" t="s">
        <v>137</v>
      </c>
      <c r="AF1725" s="26" t="s">
        <v>146</v>
      </c>
      <c r="AG1725" s="98"/>
      <c r="AH1725" s="108" t="s">
        <v>137</v>
      </c>
      <c r="AI1725" s="26" t="s">
        <v>146</v>
      </c>
      <c r="AJ1725" s="98"/>
      <c r="AK1725" s="108" t="s">
        <v>137</v>
      </c>
      <c r="AL1725" s="26" t="s">
        <v>146</v>
      </c>
      <c r="AM1725" s="98"/>
      <c r="AN1725" s="108" t="s">
        <v>137</v>
      </c>
      <c r="AO1725" s="26" t="s">
        <v>146</v>
      </c>
      <c r="AP1725" s="98"/>
      <c r="AQ1725" s="108" t="s">
        <v>137</v>
      </c>
      <c r="AR1725" s="26" t="s">
        <v>146</v>
      </c>
      <c r="AS1725" s="98"/>
      <c r="AT1725" s="108" t="s">
        <v>137</v>
      </c>
      <c r="AU1725" s="26" t="s">
        <v>146</v>
      </c>
    </row>
    <row r="1726" spans="15:47" ht="13.8" x14ac:dyDescent="0.25">
      <c r="O1726" s="20" t="s">
        <v>136</v>
      </c>
      <c r="P1726" s="1"/>
      <c r="Q1726" s="1"/>
      <c r="R1726" s="96">
        <f>R1712*1.02</f>
        <v>3498.7059755394671</v>
      </c>
      <c r="S1726" s="109" t="s">
        <v>144</v>
      </c>
      <c r="T1726" s="23" t="s">
        <v>147</v>
      </c>
      <c r="U1726" s="96">
        <f ca="1">U1712*1.01</f>
        <v>39030.503332757384</v>
      </c>
      <c r="V1726" s="109" t="s">
        <v>144</v>
      </c>
      <c r="W1726" s="23" t="s">
        <v>147</v>
      </c>
      <c r="X1726" s="96">
        <f ca="1">X1712*1.01</f>
        <v>95571.365768566204</v>
      </c>
      <c r="Y1726" s="109" t="s">
        <v>144</v>
      </c>
      <c r="Z1726" s="23" t="s">
        <v>147</v>
      </c>
      <c r="AA1726" s="96">
        <f ca="1">AA1712*1.01</f>
        <v>186148.62636440745</v>
      </c>
      <c r="AB1726" s="109" t="s">
        <v>144</v>
      </c>
      <c r="AC1726" s="23" t="s">
        <v>147</v>
      </c>
      <c r="AD1726" s="96">
        <f ca="1">AD1712*1.01</f>
        <v>312299.48819711135</v>
      </c>
      <c r="AE1726" s="109" t="s">
        <v>144</v>
      </c>
      <c r="AF1726" s="23" t="s">
        <v>147</v>
      </c>
      <c r="AG1726" s="96">
        <f ca="1">AG1712*1.01</f>
        <v>455809.60885681963</v>
      </c>
      <c r="AH1726" s="109" t="s">
        <v>144</v>
      </c>
      <c r="AI1726" s="23" t="s">
        <v>147</v>
      </c>
      <c r="AJ1726" s="96">
        <f ca="1">AJ1712*1.01</f>
        <v>608279.68999602029</v>
      </c>
      <c r="AK1726" s="109" t="s">
        <v>144</v>
      </c>
      <c r="AL1726" s="23" t="s">
        <v>147</v>
      </c>
      <c r="AM1726" s="96">
        <f ca="1">AM1712*1.01</f>
        <v>742216.81923578097</v>
      </c>
      <c r="AN1726" s="109" t="s">
        <v>144</v>
      </c>
      <c r="AO1726" s="23" t="s">
        <v>147</v>
      </c>
      <c r="AP1726" s="96">
        <f ca="1">AP1712*1.01</f>
        <v>861690.68528620771</v>
      </c>
      <c r="AQ1726" s="109" t="s">
        <v>144</v>
      </c>
      <c r="AR1726" s="23" t="s">
        <v>147</v>
      </c>
      <c r="AS1726" s="96">
        <f ca="1">AS1712*1.01</f>
        <v>1010400.0960962747</v>
      </c>
      <c r="AT1726" s="109" t="s">
        <v>144</v>
      </c>
      <c r="AU1726" s="23" t="s">
        <v>147</v>
      </c>
    </row>
    <row r="1727" spans="15:47" x14ac:dyDescent="0.25">
      <c r="O1727" s="1"/>
      <c r="P1727" s="1"/>
      <c r="Q1727" s="1"/>
      <c r="R1727" s="98"/>
      <c r="S1727" s="107"/>
      <c r="T1727" s="1"/>
      <c r="U1727" s="47"/>
      <c r="V1727" s="107"/>
      <c r="W1727" s="1"/>
      <c r="X1727" s="47"/>
      <c r="Y1727" s="107"/>
      <c r="Z1727" s="1"/>
      <c r="AA1727" s="47"/>
      <c r="AB1727" s="107"/>
      <c r="AC1727" s="1"/>
      <c r="AD1727" s="47"/>
      <c r="AE1727" s="107"/>
      <c r="AF1727" s="1"/>
      <c r="AG1727" s="47"/>
      <c r="AH1727" s="107"/>
      <c r="AI1727" s="1"/>
      <c r="AJ1727" s="47"/>
      <c r="AK1727" s="107"/>
      <c r="AL1727" s="1"/>
      <c r="AM1727" s="47"/>
      <c r="AN1727" s="107"/>
      <c r="AO1727" s="1"/>
      <c r="AP1727" s="47"/>
      <c r="AQ1727" s="107"/>
      <c r="AR1727" s="1"/>
      <c r="AS1727" s="47"/>
      <c r="AT1727" s="107"/>
      <c r="AU1727" s="1"/>
    </row>
    <row r="1728" spans="15:47" x14ac:dyDescent="0.25">
      <c r="O1728" s="8" t="s">
        <v>132</v>
      </c>
      <c r="P1728" s="8"/>
      <c r="Q1728" s="8"/>
      <c r="R1728" s="96">
        <f>P_1_minQ-(R1726^2*R_up)+dpup_minQ</f>
        <v>90.182809484738684</v>
      </c>
      <c r="S1728" s="106"/>
      <c r="T1728" s="22"/>
      <c r="U1728" s="96">
        <f ca="1">P_1_minQ-(U1726^2*R_up)+dpup_minQ</f>
        <v>89.907387868646026</v>
      </c>
      <c r="V1728" s="107"/>
      <c r="W1728" s="1"/>
      <c r="X1728" s="96">
        <f ca="1">P_1_minQ-(X1726^2*R_up)+dpup_minQ</f>
        <v>88.520290153314278</v>
      </c>
      <c r="Y1728" s="107"/>
      <c r="Z1728" s="1"/>
      <c r="AA1728" s="96">
        <f ca="1">P_1_minQ-(AA1726^2*R_up)+dpup_minQ</f>
        <v>83.86946099533904</v>
      </c>
      <c r="AB1728" s="107"/>
      <c r="AC1728" s="1"/>
      <c r="AD1728" s="96">
        <f ca="1">P_1_minQ-(AD1726^2*R_up)+dpup_minQ</f>
        <v>72.408957007915404</v>
      </c>
      <c r="AE1728" s="107"/>
      <c r="AF1728" s="1"/>
      <c r="AG1728" s="96">
        <f ca="1">P_1_minQ-(AG1726^2*R_up)+dpup_minQ</f>
        <v>52.318076279284142</v>
      </c>
      <c r="AH1728" s="107"/>
      <c r="AI1728" s="1"/>
      <c r="AJ1728" s="96">
        <f ca="1">P_1_minQ-(AJ1726^2*R_up)+dpup_minQ</f>
        <v>22.747741305293076</v>
      </c>
      <c r="AK1728" s="107"/>
      <c r="AL1728" s="1"/>
      <c r="AM1728" s="96">
        <f ca="1">P_1_minQ-(AM1726^2*R_up)+dpup_minQ</f>
        <v>-10.21990857692815</v>
      </c>
      <c r="AN1728" s="107"/>
      <c r="AO1728" s="1"/>
      <c r="AP1728" s="96">
        <f ca="1">P_1_minQ-(AP1726^2*R_up)+dpup_minQ</f>
        <v>-45.145661217917592</v>
      </c>
      <c r="AQ1728" s="107"/>
      <c r="AR1728" s="1"/>
      <c r="AS1728" s="96">
        <f ca="1">P_1_minQ-(AS1726^2*R_up)+dpup_minQ</f>
        <v>-95.886646357467185</v>
      </c>
      <c r="AT1728" s="107"/>
      <c r="AU1728" s="1"/>
    </row>
    <row r="1729" spans="15:47" x14ac:dyDescent="0.25">
      <c r="O1729" s="8" t="s">
        <v>134</v>
      </c>
      <c r="P1729" s="1"/>
      <c r="Q1729" s="8"/>
      <c r="R1729" s="97">
        <f>P_2_minQ+(R1726^2*R_dn)-dpdn_minQ</f>
        <v>60</v>
      </c>
      <c r="S1729" s="106"/>
      <c r="T1729" s="22"/>
      <c r="U1729" s="97">
        <f ca="1">P_2_minQ+(U1726^2*R_dn)-dpdn_minQ</f>
        <v>60</v>
      </c>
      <c r="V1729" s="107"/>
      <c r="W1729" s="1"/>
      <c r="X1729" s="97">
        <f ca="1">P_2_minQ+(X1726^2*R_dn)-dpdn_minQ</f>
        <v>60</v>
      </c>
      <c r="Y1729" s="107"/>
      <c r="Z1729" s="1"/>
      <c r="AA1729" s="97">
        <f ca="1">P_2_minQ+(AA1726^2*R_dn)-dpdn_minQ</f>
        <v>60</v>
      </c>
      <c r="AB1729" s="107"/>
      <c r="AC1729" s="1"/>
      <c r="AD1729" s="97">
        <f ca="1">P_2_minQ+(AD1726^2*R_dn)-dpdn_minQ</f>
        <v>60</v>
      </c>
      <c r="AE1729" s="107"/>
      <c r="AF1729" s="1"/>
      <c r="AG1729" s="97">
        <f ca="1">P_2_minQ+(AG1726^2*R_dn)-dpdn_minQ</f>
        <v>60</v>
      </c>
      <c r="AH1729" s="107"/>
      <c r="AI1729" s="1"/>
      <c r="AJ1729" s="97">
        <f ca="1">P_2_minQ+(AJ1726^2*R_dn)-dpdn_minQ</f>
        <v>60</v>
      </c>
      <c r="AK1729" s="107"/>
      <c r="AL1729" s="1"/>
      <c r="AM1729" s="97">
        <f ca="1">P_2_minQ+(AM1726^2*R_dn)-dpdn_minQ</f>
        <v>60</v>
      </c>
      <c r="AN1729" s="107"/>
      <c r="AO1729" s="1"/>
      <c r="AP1729" s="97">
        <f ca="1">P_2_minQ+(AP1726^2*R_dn)-dpdn_minQ</f>
        <v>60</v>
      </c>
      <c r="AQ1729" s="107"/>
      <c r="AR1729" s="1"/>
      <c r="AS1729" s="97">
        <f ca="1">P_2_minQ+(AS1726^2*R_dn)-dpdn_minQ</f>
        <v>60</v>
      </c>
      <c r="AT1729" s="107"/>
      <c r="AU1729" s="1"/>
    </row>
    <row r="1730" spans="15:47" x14ac:dyDescent="0.25">
      <c r="O1730" s="8" t="s">
        <v>138</v>
      </c>
      <c r="P1730" s="1"/>
      <c r="Q1730" s="8"/>
      <c r="R1730" s="97">
        <f>R1728-R1729</f>
        <v>30.182809484738684</v>
      </c>
      <c r="S1730" s="106"/>
      <c r="T1730" s="22"/>
      <c r="U1730" s="97">
        <f ca="1">U1728-U1729</f>
        <v>29.907387868646026</v>
      </c>
      <c r="V1730" s="110"/>
      <c r="W1730" s="25"/>
      <c r="X1730" s="97">
        <f ca="1">X1728-X1729</f>
        <v>28.520290153314278</v>
      </c>
      <c r="Y1730" s="110"/>
      <c r="Z1730" s="25"/>
      <c r="AA1730" s="97">
        <f ca="1">AA1728-AA1729</f>
        <v>23.86946099533904</v>
      </c>
      <c r="AB1730" s="110"/>
      <c r="AC1730" s="25"/>
      <c r="AD1730" s="97">
        <f ca="1">AD1728-AD1729</f>
        <v>12.408957007915404</v>
      </c>
      <c r="AE1730" s="110"/>
      <c r="AF1730" s="25"/>
      <c r="AG1730" s="97">
        <f ca="1">AG1728-AG1729</f>
        <v>-7.6819237207158579</v>
      </c>
      <c r="AH1730" s="110"/>
      <c r="AI1730" s="25"/>
      <c r="AJ1730" s="97">
        <f ca="1">AJ1728-AJ1729</f>
        <v>-37.252258694706924</v>
      </c>
      <c r="AK1730" s="110"/>
      <c r="AL1730" s="25"/>
      <c r="AM1730" s="97">
        <f ca="1">AM1728-AM1729</f>
        <v>-70.219908576928148</v>
      </c>
      <c r="AN1730" s="110"/>
      <c r="AO1730" s="25"/>
      <c r="AP1730" s="97">
        <f ca="1">AP1728-AP1729</f>
        <v>-105.14566121791759</v>
      </c>
      <c r="AQ1730" s="110"/>
      <c r="AR1730" s="25"/>
      <c r="AS1730" s="97">
        <f ca="1">AS1728-AS1729</f>
        <v>-155.88664635746719</v>
      </c>
      <c r="AT1730" s="110"/>
      <c r="AU1730" s="25"/>
    </row>
    <row r="1731" spans="15:47" ht="14.4" x14ac:dyDescent="0.3">
      <c r="O1731" s="2" t="s">
        <v>140</v>
      </c>
      <c r="P1731" s="11"/>
      <c r="Q1731" s="2"/>
      <c r="R1731" s="96">
        <f>R1730/R1728</f>
        <v>0.3346847326800837</v>
      </c>
      <c r="S1731" s="106"/>
      <c r="T1731" s="22"/>
      <c r="U1731" s="96">
        <f ca="1">U1730/U1728</f>
        <v>0.33264661089187109</v>
      </c>
      <c r="V1731" s="111"/>
      <c r="W1731" s="28"/>
      <c r="X1731" s="96">
        <f ca="1">X1730/X1728</f>
        <v>0.32218929811366476</v>
      </c>
      <c r="Y1731" s="111"/>
      <c r="Z1731" s="28"/>
      <c r="AA1731" s="96">
        <f ca="1">AA1730/AA1728</f>
        <v>0.28460253246012351</v>
      </c>
      <c r="AB1731" s="111"/>
      <c r="AC1731" s="28"/>
      <c r="AD1731" s="96">
        <f ca="1">AD1730/AD1728</f>
        <v>0.1713732322723405</v>
      </c>
      <c r="AE1731" s="111"/>
      <c r="AF1731" s="28"/>
      <c r="AG1731" s="96">
        <f ca="1">AG1730/AG1728</f>
        <v>-0.14683115792920681</v>
      </c>
      <c r="AH1731" s="111"/>
      <c r="AI1731" s="28"/>
      <c r="AJ1731" s="96">
        <f ca="1">AJ1730/AJ1728</f>
        <v>-1.6376245093854156</v>
      </c>
      <c r="AK1731" s="111"/>
      <c r="AL1731" s="28"/>
      <c r="AM1731" s="96">
        <f ca="1">AM1730/AM1728</f>
        <v>6.8708940053976981</v>
      </c>
      <c r="AN1731" s="111"/>
      <c r="AO1731" s="28"/>
      <c r="AP1731" s="96">
        <f ca="1">AP1730/AP1728</f>
        <v>2.3290313704872032</v>
      </c>
      <c r="AQ1731" s="111"/>
      <c r="AR1731" s="28"/>
      <c r="AS1731" s="96">
        <f ca="1">AS1730/AS1728</f>
        <v>1.6257388518555429</v>
      </c>
      <c r="AT1731" s="111"/>
      <c r="AU1731" s="28"/>
    </row>
    <row r="1732" spans="15:47" x14ac:dyDescent="0.25">
      <c r="O1732" s="2" t="s">
        <v>21</v>
      </c>
      <c r="P1732" s="8">
        <v>12</v>
      </c>
      <c r="Q1732" s="2"/>
      <c r="R1732" s="96">
        <f ca="1">1-R1731/(3*F_GAMMA*R$29)</f>
        <v>0.82569312331380584</v>
      </c>
      <c r="S1732" s="106"/>
      <c r="T1732" s="22"/>
      <c r="U1732" s="96">
        <f ca="1">1-U1731/(3*F_GAMMA*U$29)</f>
        <v>0.82679484333631537</v>
      </c>
      <c r="V1732" s="111"/>
      <c r="W1732" s="28"/>
      <c r="X1732" s="96">
        <f ca="1">1-X1731/(3*F_GAMMA*X$29)</f>
        <v>0.83064205607364183</v>
      </c>
      <c r="Y1732" s="111"/>
      <c r="Z1732" s="28"/>
      <c r="AA1732" s="96">
        <f ca="1">1-AA1731/(3*F_GAMMA*AA$29)</f>
        <v>0.84829065733344433</v>
      </c>
      <c r="AB1732" s="111"/>
      <c r="AC1732" s="28"/>
      <c r="AD1732" s="96">
        <f ca="1">1-AD1731/(3*F_GAMMA*AD$29)</f>
        <v>0.90581511903481937</v>
      </c>
      <c r="AE1732" s="111"/>
      <c r="AF1732" s="28"/>
      <c r="AG1732" s="96">
        <f ca="1">1-AG1731/(3*F_GAMMA*AG$29)</f>
        <v>1.0855391293252941</v>
      </c>
      <c r="AH1732" s="111"/>
      <c r="AI1732" s="28"/>
      <c r="AJ1732" s="96">
        <f ca="1">1-AJ1731/(3*F_GAMMA*AJ$29)</f>
        <v>2.0264030645351041</v>
      </c>
      <c r="AK1732" s="111"/>
      <c r="AL1732" s="28"/>
      <c r="AM1732" s="96">
        <f ca="1">1-AM1731/(3*F_GAMMA*AM$29)</f>
        <v>-3.8149378234324818</v>
      </c>
      <c r="AN1732" s="111"/>
      <c r="AO1732" s="28"/>
      <c r="AP1732" s="96">
        <f ca="1">1-AP1731/(3*F_GAMMA*AP$29)</f>
        <v>-0.31463018517704588</v>
      </c>
      <c r="AQ1732" s="111"/>
      <c r="AR1732" s="28"/>
      <c r="AS1732" s="96">
        <f ca="1">1-AS1731/(3*F_GAMMA*AS$29)</f>
        <v>-0.43861800091869774</v>
      </c>
      <c r="AT1732" s="111"/>
      <c r="AU1732" s="28"/>
    </row>
    <row r="1733" spans="15:47" x14ac:dyDescent="0.25">
      <c r="O1733" s="2" t="s">
        <v>57</v>
      </c>
      <c r="P1733" s="143">
        <v>7</v>
      </c>
      <c r="Q1733" s="2"/>
      <c r="R1733" s="96">
        <f ca="1">(R1726/(N_9*R$27*R1728*R1732))*SQRT(M*'Valve Sizing'!$W$6*'Valve Sizing'!$G$8/R1731)</f>
        <v>1.4129705226169547</v>
      </c>
      <c r="S1733" s="107"/>
      <c r="T1733" s="22"/>
      <c r="U1733" s="96">
        <f ca="1">(U1726/(N_9*U$27*U1728*U1732))*SQRT(M*'Valve Sizing'!$W$6*'Valve Sizing'!$G$8/U1731)</f>
        <v>15.848580100736699</v>
      </c>
      <c r="V1733" s="111"/>
      <c r="W1733" s="28"/>
      <c r="X1733" s="96">
        <f ca="1">(X1726/(N_9*X$27*X1728*X1732))*SQRT(M*'Valve Sizing'!$W$6*'Valve Sizing'!$G$8/X1731)</f>
        <v>39.956274715725684</v>
      </c>
      <c r="Y1733" s="111"/>
      <c r="Z1733" s="28"/>
      <c r="AA1733" s="96">
        <f ca="1">(AA1726/(N_9*AA$27*AA1728*AA1732))*SQRT(M*'Valve Sizing'!$W$6*'Valve Sizing'!$G$8/AA1731)</f>
        <v>86.085704311353894</v>
      </c>
      <c r="AB1733" s="111"/>
      <c r="AC1733" s="28"/>
      <c r="AD1733" s="96">
        <f ca="1">(AD1726/(N_9*AD$27*AD1728*AD1732))*SQRT(M*'Valve Sizing'!$W$6*'Valve Sizing'!$G$8/AD1731)</f>
        <v>204.38731923627884</v>
      </c>
      <c r="AE1733" s="111"/>
      <c r="AF1733" s="28"/>
      <c r="AG1733" s="96" t="e">
        <f ca="1">(AG1726/(N_9*AG$27*AG1728*AG1732))*SQRT(M*'Valve Sizing'!$W$6*'Valve Sizing'!$G$8/AG1731)</f>
        <v>#NUM!</v>
      </c>
      <c r="AH1733" s="111"/>
      <c r="AI1733" s="28"/>
      <c r="AJ1733" s="96" t="e">
        <f ca="1">(AJ1726/(N_9*AJ$27*AJ1728*AJ1732))*SQRT(M*'Valve Sizing'!$W$6*'Valve Sizing'!$G$8/AJ1731)</f>
        <v>#NUM!</v>
      </c>
      <c r="AK1733" s="111"/>
      <c r="AL1733" s="28"/>
      <c r="AM1733" s="96">
        <f ca="1">(AM1726/(N_9*AM$27*AM1728*AM1732))*SQRT(M*'Valve Sizing'!$W$6*'Valve Sizing'!$G$8/AM1731)</f>
        <v>145.07172109551982</v>
      </c>
      <c r="AN1733" s="111"/>
      <c r="AO1733" s="28"/>
      <c r="AP1733" s="96">
        <f ca="1">(AP1726/(N_9*AP$27*AP1728*AP1732))*SQRT(M*'Valve Sizing'!$W$6*'Valve Sizing'!$G$8/AP1731)</f>
        <v>903.76779638273513</v>
      </c>
      <c r="AQ1733" s="111"/>
      <c r="AR1733" s="28"/>
      <c r="AS1733" s="96">
        <f ca="1">(AS1726/(N_9*AS$27*AS1728*AS1732))*SQRT(M*'Valve Sizing'!$W$6*'Valve Sizing'!$G$8/AS1731)</f>
        <v>573.77280842177174</v>
      </c>
      <c r="AT1733" s="111"/>
      <c r="AU1733" s="28"/>
    </row>
    <row r="1734" spans="15:47" x14ac:dyDescent="0.25">
      <c r="O1734" s="2" t="s">
        <v>59</v>
      </c>
      <c r="P1734" s="143">
        <v>7</v>
      </c>
      <c r="Q1734" s="2"/>
      <c r="R1734" s="96">
        <f ca="1">(R1726/(N_9*R$27*R1728*0.667))*SQRT(M*'Valve Sizing'!$W$6*'Valve Sizing'!$G$8/R1735)</f>
        <v>1.2648639745351642</v>
      </c>
      <c r="S1734" s="107"/>
      <c r="T1734" s="22"/>
      <c r="U1734" s="96">
        <f ca="1">(U1726/(N_9*U$27*U1728*0.667))*SQRT(M*'Valve Sizing'!$W$6*'Valve Sizing'!$G$8/U1735)</f>
        <v>14.161306442069597</v>
      </c>
      <c r="V1734" s="111"/>
      <c r="W1734" s="28"/>
      <c r="X1734" s="96">
        <f ca="1">(X1726/(N_9*X$27*X1728*0.667))*SQRT(M*'Valve Sizing'!$W$6*'Valve Sizing'!$G$8/X1735)</f>
        <v>35.467982551218313</v>
      </c>
      <c r="Y1734" s="111"/>
      <c r="Z1734" s="28"/>
      <c r="AA1734" s="96">
        <f ca="1">(AA1726/(N_9*AA$27*AA1728*0.667))*SQRT(M*'Valve Sizing'!$W$6*'Valve Sizing'!$G$8/AA1735)</f>
        <v>73.861254160327633</v>
      </c>
      <c r="AB1734" s="111"/>
      <c r="AC1734" s="28"/>
      <c r="AD1734" s="96">
        <f ca="1">(AD1726/(N_9*AD$27*AD1728*0.667))*SQRT(M*'Valve Sizing'!$W$6*'Valve Sizing'!$G$8/AD1735)</f>
        <v>147.54309954624998</v>
      </c>
      <c r="AE1734" s="111"/>
      <c r="AF1734" s="28"/>
      <c r="AG1734" s="96">
        <f ca="1">(AG1726/(N_9*AG$27*AG1728*0.667))*SQRT(M*'Valve Sizing'!$W$6*'Valve Sizing'!$G$8/AG1735)</f>
        <v>313.75535255927434</v>
      </c>
      <c r="AH1734" s="111"/>
      <c r="AI1734" s="28"/>
      <c r="AJ1734" s="96">
        <f ca="1">(AJ1726/(N_9*AJ$27*AJ1728*0.667))*SQRT(M*'Valve Sizing'!$W$6*'Valve Sizing'!$G$8/AJ1735)</f>
        <v>1034.965832873808</v>
      </c>
      <c r="AK1734" s="111"/>
      <c r="AL1734" s="28"/>
      <c r="AM1734" s="96">
        <f ca="1">(AM1726/(N_9*AM$27*AM1728*0.667))*SQRT(M*'Valve Sizing'!$W$6*'Valve Sizing'!$G$8/AM1735)</f>
        <v>-3153.5546581698268</v>
      </c>
      <c r="AN1734" s="111"/>
      <c r="AO1734" s="28"/>
      <c r="AP1734" s="96">
        <f ca="1">(AP1726/(N_9*AP$27*AP1728*0.667))*SQRT(M*'Valve Sizing'!$W$6*'Valve Sizing'!$G$8/AP1735)</f>
        <v>-846.6303665433029</v>
      </c>
      <c r="AQ1734" s="111"/>
      <c r="AR1734" s="28"/>
      <c r="AS1734" s="96">
        <f ca="1">(AS1726/(N_9*AS$27*AS1728*0.667))*SQRT(M*'Valve Sizing'!$W$6*'Valve Sizing'!$G$8/AS1735)</f>
        <v>-783.85178657253959</v>
      </c>
      <c r="AT1734" s="111"/>
      <c r="AU1734" s="28"/>
    </row>
    <row r="1735" spans="15:47" ht="15.6" x14ac:dyDescent="0.35">
      <c r="O1735" s="2" t="s">
        <v>68</v>
      </c>
      <c r="P1735" s="143">
        <v>10</v>
      </c>
      <c r="Q1735" s="2"/>
      <c r="R1735" s="96">
        <f ca="1">F_GAMMA*R$29</f>
        <v>0.64002969751372984</v>
      </c>
      <c r="S1735" s="107"/>
      <c r="T1735" s="1"/>
      <c r="U1735" s="96">
        <f ca="1">F_GAMMA*U$29</f>
        <v>0.64017842058782071</v>
      </c>
      <c r="V1735" s="111"/>
      <c r="W1735" s="28"/>
      <c r="X1735" s="96">
        <f ca="1">F_GAMMA*X$29</f>
        <v>0.63413873724904268</v>
      </c>
      <c r="Y1735" s="111"/>
      <c r="Z1735" s="28"/>
      <c r="AA1735" s="96">
        <f ca="1">F_GAMMA*AA$29</f>
        <v>0.62532411750377137</v>
      </c>
      <c r="AB1735" s="111"/>
      <c r="AC1735" s="28"/>
      <c r="AD1735" s="96">
        <f ca="1">F_GAMMA*AD$29</f>
        <v>0.60651359509139569</v>
      </c>
      <c r="AE1735" s="111"/>
      <c r="AF1735" s="28"/>
      <c r="AG1735" s="96">
        <f ca="1">F_GAMMA*AG$29</f>
        <v>0.57217930198481592</v>
      </c>
      <c r="AH1735" s="111"/>
      <c r="AI1735" s="28"/>
      <c r="AJ1735" s="96">
        <f ca="1">F_GAMMA*AJ$29</f>
        <v>0.53183282018848232</v>
      </c>
      <c r="AK1735" s="111"/>
      <c r="AL1735" s="28"/>
      <c r="AM1735" s="96">
        <f ca="1">F_GAMMA*AM$29</f>
        <v>0.47566512503094399</v>
      </c>
      <c r="AN1735" s="111"/>
      <c r="AO1735" s="28"/>
      <c r="AP1735" s="96">
        <f ca="1">F_GAMMA*AP$29</f>
        <v>0.59054158265645496</v>
      </c>
      <c r="AQ1735" s="111"/>
      <c r="AR1735" s="28"/>
      <c r="AS1735" s="96">
        <f ca="1">F_GAMMA*AS$29</f>
        <v>0.3766899554102966</v>
      </c>
      <c r="AT1735" s="111"/>
      <c r="AU1735" s="28"/>
    </row>
    <row r="1736" spans="15:47" x14ac:dyDescent="0.25">
      <c r="O1736" s="2" t="s">
        <v>145</v>
      </c>
      <c r="P1736" s="12"/>
      <c r="Q1736" s="2"/>
      <c r="R1736" s="96">
        <f ca="1">IF(R1731&lt;R1735,R1733,R1734)</f>
        <v>1.4129705226169547</v>
      </c>
      <c r="S1736" s="116"/>
      <c r="T1736" s="1"/>
      <c r="U1736" s="96">
        <f ca="1">IF(U1731&lt;U1735,U1733,U1734)</f>
        <v>15.848580100736699</v>
      </c>
      <c r="V1736" s="111"/>
      <c r="W1736" s="28"/>
      <c r="X1736" s="96">
        <f ca="1">IF(X1731&lt;X1735,X1733,X1734)</f>
        <v>39.956274715725684</v>
      </c>
      <c r="Y1736" s="111"/>
      <c r="Z1736" s="28"/>
      <c r="AA1736" s="96">
        <f ca="1">IF(AA1731&lt;AA1735,AA1733,AA1734)</f>
        <v>86.085704311353894</v>
      </c>
      <c r="AB1736" s="111"/>
      <c r="AC1736" s="28"/>
      <c r="AD1736" s="96">
        <f ca="1">IF(AD1731&lt;AD1735,AD1733,AD1734)</f>
        <v>204.38731923627884</v>
      </c>
      <c r="AE1736" s="111"/>
      <c r="AF1736" s="28"/>
      <c r="AG1736" s="96" t="e">
        <f ca="1">IF(AG1731&lt;AG1735,AG1733,AG1734)</f>
        <v>#NUM!</v>
      </c>
      <c r="AH1736" s="111"/>
      <c r="AI1736" s="28"/>
      <c r="AJ1736" s="96" t="e">
        <f ca="1">IF(AJ1731&lt;AJ1735,AJ1733,AJ1734)</f>
        <v>#NUM!</v>
      </c>
      <c r="AK1736" s="111"/>
      <c r="AL1736" s="28"/>
      <c r="AM1736" s="96">
        <f ca="1">IF(AM1731&lt;AM1735,AM1733,AM1734)</f>
        <v>-3153.5546581698268</v>
      </c>
      <c r="AN1736" s="111"/>
      <c r="AO1736" s="28"/>
      <c r="AP1736" s="96">
        <f ca="1">IF(AP1731&lt;AP1735,AP1733,AP1734)</f>
        <v>-846.6303665433029</v>
      </c>
      <c r="AQ1736" s="111"/>
      <c r="AR1736" s="28"/>
      <c r="AS1736" s="96">
        <f ca="1">IF(AS1731&lt;AS1735,AS1733,AS1734)</f>
        <v>-783.85178657253959</v>
      </c>
      <c r="AT1736" s="111"/>
      <c r="AU1736" s="28"/>
    </row>
    <row r="1737" spans="15:47" x14ac:dyDescent="0.25">
      <c r="O1737" s="13" t="s">
        <v>143</v>
      </c>
      <c r="P1737" s="1"/>
      <c r="Q1737" s="1"/>
      <c r="R1737" s="113"/>
      <c r="S1737" s="106">
        <f ca="1">IF(R1730&lt;=0,Q_max,ABS(R$23-R1736))</f>
        <v>3.3170294773830458</v>
      </c>
      <c r="T1737" s="7">
        <f>R1726</f>
        <v>3498.7059755394671</v>
      </c>
      <c r="U1737" s="98"/>
      <c r="V1737" s="106">
        <f ca="1">IF(U1730&lt;=0,Q_max,ABS(U$23-U1736))</f>
        <v>4.2485801007366994</v>
      </c>
      <c r="W1737" s="9">
        <f ca="1">U1726</f>
        <v>39030.503332757384</v>
      </c>
      <c r="X1737" s="98"/>
      <c r="Y1737" s="106">
        <f ca="1">IF(X1730&lt;=0,Q_max,ABS(X$23-X1736))</f>
        <v>16.956274715725684</v>
      </c>
      <c r="Z1737" s="9">
        <f ca="1">X1726</f>
        <v>95571.365768566204</v>
      </c>
      <c r="AA1737" s="98"/>
      <c r="AB1737" s="106">
        <f ca="1">IF(AA1730&lt;=0,Q_max,ABS(AA$23-AA1736))</f>
        <v>46.685704311353895</v>
      </c>
      <c r="AC1737" s="9">
        <f ca="1">AA1726</f>
        <v>186148.62636440745</v>
      </c>
      <c r="AD1737" s="98"/>
      <c r="AE1737" s="106">
        <f ca="1">IF(AD1730&lt;=0,Q_max,ABS(AD$23-AD1736))</f>
        <v>143.38731923627884</v>
      </c>
      <c r="AF1737" s="9">
        <f ca="1">AD1726</f>
        <v>312299.48819711135</v>
      </c>
      <c r="AG1737" s="98"/>
      <c r="AH1737" s="106">
        <f ca="1">IF(AG1730&lt;=0,Q_max,ABS(AG$23-AG1736))</f>
        <v>236393</v>
      </c>
      <c r="AI1737" s="9">
        <f ca="1">AG1726</f>
        <v>455809.60885681963</v>
      </c>
      <c r="AJ1737" s="98"/>
      <c r="AK1737" s="106">
        <f ca="1">IF(AJ1730&lt;=0,Q_max,ABS(AJ$23-AJ1736))</f>
        <v>236393</v>
      </c>
      <c r="AL1737" s="9">
        <f ca="1">AJ1726</f>
        <v>608279.68999602029</v>
      </c>
      <c r="AM1737" s="98"/>
      <c r="AN1737" s="106">
        <f ca="1">IF(AM1730&lt;=0,Q_max,ABS(AM$23-AM1736))</f>
        <v>236393</v>
      </c>
      <c r="AO1737" s="9">
        <f ca="1">AM1726</f>
        <v>742216.81923578097</v>
      </c>
      <c r="AP1737" s="98"/>
      <c r="AQ1737" s="106">
        <f ca="1">IF(AP1730&lt;=0,Q_max,ABS(AP$23-AP1736))</f>
        <v>236393</v>
      </c>
      <c r="AR1737" s="9">
        <f ca="1">AP1726</f>
        <v>861690.68528620771</v>
      </c>
      <c r="AS1737" s="98"/>
      <c r="AT1737" s="106">
        <f ca="1">IF(AS1730&lt;=0,Q_max,ABS(AS$23-AS1736))</f>
        <v>236393</v>
      </c>
      <c r="AU1737" s="9">
        <f ca="1">AS1726</f>
        <v>1010400.0960962747</v>
      </c>
    </row>
    <row r="1738" spans="15:47" x14ac:dyDescent="0.25">
      <c r="O1738" s="21"/>
      <c r="P1738" s="14"/>
      <c r="Q1738" s="21"/>
      <c r="R1738" s="97"/>
      <c r="S1738" s="106"/>
      <c r="T1738" s="28"/>
      <c r="U1738" s="97"/>
      <c r="V1738" s="111"/>
      <c r="W1738" s="28"/>
      <c r="X1738" s="97"/>
      <c r="Y1738" s="111"/>
      <c r="Z1738" s="28"/>
      <c r="AA1738" s="97"/>
      <c r="AB1738" s="111"/>
      <c r="AC1738" s="28"/>
      <c r="AD1738" s="97"/>
      <c r="AE1738" s="111"/>
      <c r="AF1738" s="28"/>
      <c r="AG1738" s="97"/>
      <c r="AH1738" s="111"/>
      <c r="AI1738" s="28"/>
      <c r="AJ1738" s="97"/>
      <c r="AK1738" s="111"/>
      <c r="AL1738" s="28"/>
      <c r="AM1738" s="97"/>
      <c r="AN1738" s="111"/>
      <c r="AO1738" s="28"/>
      <c r="AP1738" s="97"/>
      <c r="AQ1738" s="111"/>
      <c r="AR1738" s="28"/>
      <c r="AS1738" s="97"/>
      <c r="AT1738" s="111"/>
      <c r="AU1738" s="28"/>
    </row>
    <row r="1739" spans="15:47" x14ac:dyDescent="0.25">
      <c r="O1739" s="1"/>
      <c r="P1739" s="1"/>
      <c r="Q1739" s="1"/>
      <c r="R1739" s="98"/>
      <c r="S1739" s="108" t="s">
        <v>137</v>
      </c>
      <c r="T1739" s="26" t="s">
        <v>146</v>
      </c>
      <c r="U1739" s="98"/>
      <c r="V1739" s="108" t="s">
        <v>137</v>
      </c>
      <c r="W1739" s="26" t="s">
        <v>146</v>
      </c>
      <c r="X1739" s="98"/>
      <c r="Y1739" s="108" t="s">
        <v>137</v>
      </c>
      <c r="Z1739" s="26" t="s">
        <v>146</v>
      </c>
      <c r="AA1739" s="98"/>
      <c r="AB1739" s="108" t="s">
        <v>137</v>
      </c>
      <c r="AC1739" s="26" t="s">
        <v>146</v>
      </c>
      <c r="AD1739" s="98"/>
      <c r="AE1739" s="108" t="s">
        <v>137</v>
      </c>
      <c r="AF1739" s="26" t="s">
        <v>146</v>
      </c>
      <c r="AG1739" s="98"/>
      <c r="AH1739" s="108" t="s">
        <v>137</v>
      </c>
      <c r="AI1739" s="26" t="s">
        <v>146</v>
      </c>
      <c r="AJ1739" s="98"/>
      <c r="AK1739" s="108" t="s">
        <v>137</v>
      </c>
      <c r="AL1739" s="26" t="s">
        <v>146</v>
      </c>
      <c r="AM1739" s="98"/>
      <c r="AN1739" s="108" t="s">
        <v>137</v>
      </c>
      <c r="AO1739" s="26" t="s">
        <v>146</v>
      </c>
      <c r="AP1739" s="98"/>
      <c r="AQ1739" s="108" t="s">
        <v>137</v>
      </c>
      <c r="AR1739" s="26" t="s">
        <v>146</v>
      </c>
      <c r="AS1739" s="98"/>
      <c r="AT1739" s="108" t="s">
        <v>137</v>
      </c>
      <c r="AU1739" s="26" t="s">
        <v>146</v>
      </c>
    </row>
    <row r="1740" spans="15:47" ht="13.8" x14ac:dyDescent="0.25">
      <c r="O1740" s="20" t="s">
        <v>136</v>
      </c>
      <c r="P1740" s="1"/>
      <c r="Q1740" s="1"/>
      <c r="R1740" s="96">
        <f>R1726*1.02</f>
        <v>3568.6800950502566</v>
      </c>
      <c r="S1740" s="109" t="s">
        <v>144</v>
      </c>
      <c r="T1740" s="23" t="s">
        <v>147</v>
      </c>
      <c r="U1740" s="96">
        <f ca="1">U1726*1.01</f>
        <v>39420.808366084959</v>
      </c>
      <c r="V1740" s="109" t="s">
        <v>144</v>
      </c>
      <c r="W1740" s="23" t="s">
        <v>147</v>
      </c>
      <c r="X1740" s="96">
        <f ca="1">X1726*1.01</f>
        <v>96527.079426251861</v>
      </c>
      <c r="Y1740" s="109" t="s">
        <v>144</v>
      </c>
      <c r="Z1740" s="23" t="s">
        <v>147</v>
      </c>
      <c r="AA1740" s="96">
        <f ca="1">AA1726*1.01</f>
        <v>188010.11262805152</v>
      </c>
      <c r="AB1740" s="109" t="s">
        <v>144</v>
      </c>
      <c r="AC1740" s="23" t="s">
        <v>147</v>
      </c>
      <c r="AD1740" s="96">
        <f ca="1">AD1726*1.01</f>
        <v>315422.48307908245</v>
      </c>
      <c r="AE1740" s="109" t="s">
        <v>144</v>
      </c>
      <c r="AF1740" s="23" t="s">
        <v>147</v>
      </c>
      <c r="AG1740" s="96">
        <f ca="1">AG1726*1.01</f>
        <v>460367.70494538784</v>
      </c>
      <c r="AH1740" s="109" t="s">
        <v>144</v>
      </c>
      <c r="AI1740" s="23" t="s">
        <v>147</v>
      </c>
      <c r="AJ1740" s="96">
        <f ca="1">AJ1726*1.01</f>
        <v>614362.48689598055</v>
      </c>
      <c r="AK1740" s="109" t="s">
        <v>144</v>
      </c>
      <c r="AL1740" s="23" t="s">
        <v>147</v>
      </c>
      <c r="AM1740" s="96">
        <f ca="1">AM1726*1.01</f>
        <v>749638.98742813885</v>
      </c>
      <c r="AN1740" s="109" t="s">
        <v>144</v>
      </c>
      <c r="AO1740" s="23" t="s">
        <v>147</v>
      </c>
      <c r="AP1740" s="96">
        <f ca="1">AP1726*1.01</f>
        <v>870307.59213906981</v>
      </c>
      <c r="AQ1740" s="109" t="s">
        <v>144</v>
      </c>
      <c r="AR1740" s="23" t="s">
        <v>147</v>
      </c>
      <c r="AS1740" s="96">
        <f ca="1">AS1726*1.01</f>
        <v>1020504.0970572374</v>
      </c>
      <c r="AT1740" s="109" t="s">
        <v>144</v>
      </c>
      <c r="AU1740" s="23" t="s">
        <v>147</v>
      </c>
    </row>
    <row r="1741" spans="15:47" x14ac:dyDescent="0.25">
      <c r="O1741" s="1"/>
      <c r="P1741" s="1"/>
      <c r="Q1741" s="1"/>
      <c r="R1741" s="98"/>
      <c r="S1741" s="107"/>
      <c r="T1741" s="1"/>
      <c r="U1741" s="47"/>
      <c r="V1741" s="107"/>
      <c r="W1741" s="1"/>
      <c r="X1741" s="47"/>
      <c r="Y1741" s="107"/>
      <c r="Z1741" s="1"/>
      <c r="AA1741" s="47"/>
      <c r="AB1741" s="107"/>
      <c r="AC1741" s="1"/>
      <c r="AD1741" s="47"/>
      <c r="AE1741" s="107"/>
      <c r="AF1741" s="1"/>
      <c r="AG1741" s="47"/>
      <c r="AH1741" s="107"/>
      <c r="AI1741" s="1"/>
      <c r="AJ1741" s="47"/>
      <c r="AK1741" s="107"/>
      <c r="AL1741" s="1"/>
      <c r="AM1741" s="47"/>
      <c r="AN1741" s="107"/>
      <c r="AO1741" s="1"/>
      <c r="AP1741" s="47"/>
      <c r="AQ1741" s="107"/>
      <c r="AR1741" s="1"/>
      <c r="AS1741" s="47"/>
      <c r="AT1741" s="107"/>
      <c r="AU1741" s="1"/>
    </row>
    <row r="1742" spans="15:47" x14ac:dyDescent="0.25">
      <c r="O1742" s="8" t="s">
        <v>132</v>
      </c>
      <c r="P1742" s="8"/>
      <c r="Q1742" s="8"/>
      <c r="R1742" s="96">
        <f>P_1_minQ-(R1740^2*R_up)+dpup_minQ</f>
        <v>90.182719350499795</v>
      </c>
      <c r="S1742" s="106"/>
      <c r="T1742" s="22"/>
      <c r="U1742" s="96">
        <f ca="1">P_1_minQ-(U1740^2*R_up)+dpup_minQ</f>
        <v>89.901807050147681</v>
      </c>
      <c r="V1742" s="107"/>
      <c r="W1742" s="1"/>
      <c r="X1742" s="96">
        <f ca="1">P_1_minQ-(X1740^2*R_up)+dpup_minQ</f>
        <v>88.486828670737751</v>
      </c>
      <c r="Y1742" s="107"/>
      <c r="Z1742" s="1"/>
      <c r="AA1742" s="96">
        <f ca="1">P_1_minQ-(AA1740^2*R_up)+dpup_minQ</f>
        <v>83.742517846687221</v>
      </c>
      <c r="AB1742" s="107"/>
      <c r="AC1742" s="1"/>
      <c r="AD1742" s="96">
        <f ca="1">P_1_minQ-(AD1740^2*R_up)+dpup_minQ</f>
        <v>72.051657729116357</v>
      </c>
      <c r="AE1742" s="107"/>
      <c r="AF1742" s="1"/>
      <c r="AG1742" s="96">
        <f ca="1">P_1_minQ-(AG1740^2*R_up)+dpup_minQ</f>
        <v>51.556950297839613</v>
      </c>
      <c r="AH1742" s="107"/>
      <c r="AI1742" s="1"/>
      <c r="AJ1742" s="96">
        <f ca="1">P_1_minQ-(AJ1740^2*R_up)+dpup_minQ</f>
        <v>21.392251590871311</v>
      </c>
      <c r="AK1742" s="107"/>
      <c r="AL1742" s="1"/>
      <c r="AM1742" s="96">
        <f ca="1">P_1_minQ-(AM1740^2*R_up)+dpup_minQ</f>
        <v>-12.238048053982554</v>
      </c>
      <c r="AN1742" s="107"/>
      <c r="AO1742" s="1"/>
      <c r="AP1742" s="96">
        <f ca="1">P_1_minQ-(AP1740^2*R_up)+dpup_minQ</f>
        <v>-47.865808323055887</v>
      </c>
      <c r="AQ1742" s="107"/>
      <c r="AR1742" s="1"/>
      <c r="AS1742" s="96">
        <f ca="1">P_1_minQ-(AS1740^2*R_up)+dpup_minQ</f>
        <v>-99.626687263910412</v>
      </c>
      <c r="AT1742" s="107"/>
      <c r="AU1742" s="1"/>
    </row>
    <row r="1743" spans="15:47" x14ac:dyDescent="0.25">
      <c r="O1743" s="8" t="s">
        <v>134</v>
      </c>
      <c r="P1743" s="1"/>
      <c r="Q1743" s="8"/>
      <c r="R1743" s="97">
        <f>P_2_minQ+(R1740^2*R_dn)-dpdn_minQ</f>
        <v>60</v>
      </c>
      <c r="S1743" s="106"/>
      <c r="T1743" s="22"/>
      <c r="U1743" s="97">
        <f ca="1">P_2_minQ+(U1740^2*R_dn)-dpdn_minQ</f>
        <v>60</v>
      </c>
      <c r="V1743" s="107"/>
      <c r="W1743" s="1"/>
      <c r="X1743" s="97">
        <f ca="1">P_2_minQ+(X1740^2*R_dn)-dpdn_minQ</f>
        <v>60</v>
      </c>
      <c r="Y1743" s="107"/>
      <c r="Z1743" s="1"/>
      <c r="AA1743" s="97">
        <f ca="1">P_2_minQ+(AA1740^2*R_dn)-dpdn_minQ</f>
        <v>60</v>
      </c>
      <c r="AB1743" s="107"/>
      <c r="AC1743" s="1"/>
      <c r="AD1743" s="97">
        <f ca="1">P_2_minQ+(AD1740^2*R_dn)-dpdn_minQ</f>
        <v>60</v>
      </c>
      <c r="AE1743" s="107"/>
      <c r="AF1743" s="1"/>
      <c r="AG1743" s="97">
        <f ca="1">P_2_minQ+(AG1740^2*R_dn)-dpdn_minQ</f>
        <v>60</v>
      </c>
      <c r="AH1743" s="107"/>
      <c r="AI1743" s="1"/>
      <c r="AJ1743" s="97">
        <f ca="1">P_2_minQ+(AJ1740^2*R_dn)-dpdn_minQ</f>
        <v>60</v>
      </c>
      <c r="AK1743" s="107"/>
      <c r="AL1743" s="1"/>
      <c r="AM1743" s="97">
        <f ca="1">P_2_minQ+(AM1740^2*R_dn)-dpdn_minQ</f>
        <v>60</v>
      </c>
      <c r="AN1743" s="107"/>
      <c r="AO1743" s="1"/>
      <c r="AP1743" s="97">
        <f ca="1">P_2_minQ+(AP1740^2*R_dn)-dpdn_minQ</f>
        <v>60</v>
      </c>
      <c r="AQ1743" s="107"/>
      <c r="AR1743" s="1"/>
      <c r="AS1743" s="97">
        <f ca="1">P_2_minQ+(AS1740^2*R_dn)-dpdn_minQ</f>
        <v>60</v>
      </c>
      <c r="AT1743" s="107"/>
      <c r="AU1743" s="1"/>
    </row>
    <row r="1744" spans="15:47" x14ac:dyDescent="0.25">
      <c r="O1744" s="8" t="s">
        <v>138</v>
      </c>
      <c r="P1744" s="1"/>
      <c r="Q1744" s="8"/>
      <c r="R1744" s="97">
        <f>R1742-R1743</f>
        <v>30.182719350499795</v>
      </c>
      <c r="S1744" s="106"/>
      <c r="T1744" s="22"/>
      <c r="U1744" s="97">
        <f ca="1">U1742-U1743</f>
        <v>29.901807050147681</v>
      </c>
      <c r="V1744" s="110"/>
      <c r="W1744" s="25"/>
      <c r="X1744" s="97">
        <f ca="1">X1742-X1743</f>
        <v>28.486828670737751</v>
      </c>
      <c r="Y1744" s="110"/>
      <c r="Z1744" s="25"/>
      <c r="AA1744" s="97">
        <f ca="1">AA1742-AA1743</f>
        <v>23.742517846687221</v>
      </c>
      <c r="AB1744" s="110"/>
      <c r="AC1744" s="25"/>
      <c r="AD1744" s="97">
        <f ca="1">AD1742-AD1743</f>
        <v>12.051657729116357</v>
      </c>
      <c r="AE1744" s="110"/>
      <c r="AF1744" s="25"/>
      <c r="AG1744" s="97">
        <f ca="1">AG1742-AG1743</f>
        <v>-8.443049702160387</v>
      </c>
      <c r="AH1744" s="110"/>
      <c r="AI1744" s="25"/>
      <c r="AJ1744" s="97">
        <f ca="1">AJ1742-AJ1743</f>
        <v>-38.607748409128689</v>
      </c>
      <c r="AK1744" s="110"/>
      <c r="AL1744" s="25"/>
      <c r="AM1744" s="97">
        <f ca="1">AM1742-AM1743</f>
        <v>-72.238048053982553</v>
      </c>
      <c r="AN1744" s="110"/>
      <c r="AO1744" s="25"/>
      <c r="AP1744" s="97">
        <f ca="1">AP1742-AP1743</f>
        <v>-107.86580832305589</v>
      </c>
      <c r="AQ1744" s="110"/>
      <c r="AR1744" s="25"/>
      <c r="AS1744" s="97">
        <f ca="1">AS1742-AS1743</f>
        <v>-159.62668726391041</v>
      </c>
      <c r="AT1744" s="110"/>
      <c r="AU1744" s="25"/>
    </row>
    <row r="1745" spans="15:47" ht="14.4" x14ac:dyDescent="0.3">
      <c r="O1745" s="2" t="s">
        <v>140</v>
      </c>
      <c r="P1745" s="11"/>
      <c r="Q1745" s="2"/>
      <c r="R1745" s="96">
        <f>R1744/R1742</f>
        <v>0.33468406772247683</v>
      </c>
      <c r="S1745" s="106"/>
      <c r="T1745" s="22"/>
      <c r="U1745" s="96">
        <f ca="1">U1744/U1742</f>
        <v>0.33260518371414161</v>
      </c>
      <c r="V1745" s="111"/>
      <c r="W1745" s="28"/>
      <c r="X1745" s="96">
        <f ca="1">X1744/X1742</f>
        <v>0.32193298255425257</v>
      </c>
      <c r="Y1745" s="111"/>
      <c r="Z1745" s="28"/>
      <c r="AA1745" s="96">
        <f ca="1">AA1744/AA1742</f>
        <v>0.28351807967076137</v>
      </c>
      <c r="AB1745" s="111"/>
      <c r="AC1745" s="28"/>
      <c r="AD1745" s="96">
        <f ca="1">AD1744/AD1742</f>
        <v>0.16726412839001531</v>
      </c>
      <c r="AE1745" s="111"/>
      <c r="AF1745" s="28"/>
      <c r="AG1745" s="96">
        <f ca="1">AG1744/AG1742</f>
        <v>-0.16376161998306124</v>
      </c>
      <c r="AH1745" s="111"/>
      <c r="AI1745" s="28"/>
      <c r="AJ1745" s="96">
        <f ca="1">AJ1744/AJ1742</f>
        <v>-1.8047538495482041</v>
      </c>
      <c r="AK1745" s="111"/>
      <c r="AL1745" s="28"/>
      <c r="AM1745" s="96">
        <f ca="1">AM1744/AM1742</f>
        <v>5.9027426379874814</v>
      </c>
      <c r="AN1745" s="111"/>
      <c r="AO1745" s="28"/>
      <c r="AP1745" s="96">
        <f ca="1">AP1744/AP1742</f>
        <v>2.2535043719526899</v>
      </c>
      <c r="AQ1745" s="111"/>
      <c r="AR1745" s="28"/>
      <c r="AS1745" s="96">
        <f ca="1">AS1744/AS1742</f>
        <v>1.6022482694928961</v>
      </c>
      <c r="AT1745" s="111"/>
      <c r="AU1745" s="28"/>
    </row>
    <row r="1746" spans="15:47" x14ac:dyDescent="0.25">
      <c r="O1746" s="2" t="s">
        <v>21</v>
      </c>
      <c r="P1746" s="8">
        <v>12</v>
      </c>
      <c r="Q1746" s="2"/>
      <c r="R1746" s="96">
        <f ca="1">1-R1745/(3*F_GAMMA*R$29)</f>
        <v>0.82569346962982282</v>
      </c>
      <c r="S1746" s="106"/>
      <c r="T1746" s="22"/>
      <c r="U1746" s="96">
        <f ca="1">1-U1745/(3*F_GAMMA*U$29)</f>
        <v>0.82681641397787253</v>
      </c>
      <c r="V1746" s="111"/>
      <c r="W1746" s="28"/>
      <c r="X1746" s="96">
        <f ca="1">1-X1745/(3*F_GAMMA*X$29)</f>
        <v>0.83077678766278074</v>
      </c>
      <c r="Y1746" s="111"/>
      <c r="Z1746" s="28"/>
      <c r="AA1746" s="96">
        <f ca="1">1-AA1745/(3*F_GAMMA*AA$29)</f>
        <v>0.84886873237165605</v>
      </c>
      <c r="AB1746" s="111"/>
      <c r="AC1746" s="28"/>
      <c r="AD1746" s="96">
        <f ca="1">1-AD1745/(3*F_GAMMA*AD$29)</f>
        <v>0.90807343823028941</v>
      </c>
      <c r="AE1746" s="111"/>
      <c r="AF1746" s="28"/>
      <c r="AG1746" s="96">
        <f ca="1">1-AG1745/(3*F_GAMMA*AG$29)</f>
        <v>1.0954022742026224</v>
      </c>
      <c r="AH1746" s="111"/>
      <c r="AI1746" s="28"/>
      <c r="AJ1746" s="96">
        <f ca="1">1-AJ1745/(3*F_GAMMA*AJ$29)</f>
        <v>2.1311536138421574</v>
      </c>
      <c r="AK1746" s="111"/>
      <c r="AL1746" s="28"/>
      <c r="AM1746" s="96">
        <f ca="1">1-AM1745/(3*F_GAMMA*AM$29)</f>
        <v>-3.1364833698942327</v>
      </c>
      <c r="AN1746" s="111"/>
      <c r="AO1746" s="28"/>
      <c r="AP1746" s="96">
        <f ca="1">1-AP1745/(3*F_GAMMA*AP$29)</f>
        <v>-0.27199869754340211</v>
      </c>
      <c r="AQ1746" s="111"/>
      <c r="AR1746" s="28"/>
      <c r="AS1746" s="96">
        <f ca="1">1-AS1745/(3*F_GAMMA*AS$29)</f>
        <v>-0.41783116015371502</v>
      </c>
      <c r="AT1746" s="111"/>
      <c r="AU1746" s="28"/>
    </row>
    <row r="1747" spans="15:47" x14ac:dyDescent="0.25">
      <c r="O1747" s="2" t="s">
        <v>57</v>
      </c>
      <c r="P1747" s="143">
        <v>7</v>
      </c>
      <c r="Q1747" s="2"/>
      <c r="R1747" s="96">
        <f ca="1">(R1740/(N_9*R$27*R1742*R1746))*SQRT(M*'Valve Sizing'!$W$6*'Valve Sizing'!$G$8/R1745)</f>
        <v>1.4412322007704503</v>
      </c>
      <c r="S1747" s="107"/>
      <c r="T1747" s="22"/>
      <c r="U1747" s="96">
        <f ca="1">(U1740/(N_9*U$27*U1742*U1746))*SQRT(M*'Valve Sizing'!$W$6*'Valve Sizing'!$G$8/U1745)</f>
        <v>16.008638812379548</v>
      </c>
      <c r="V1747" s="111"/>
      <c r="W1747" s="28"/>
      <c r="X1747" s="96">
        <f ca="1">(X1740/(N_9*X$27*X1742*X1746))*SQRT(M*'Valve Sizing'!$W$6*'Valve Sizing'!$G$8/X1745)</f>
        <v>40.380616369805338</v>
      </c>
      <c r="Y1747" s="111"/>
      <c r="Z1747" s="28"/>
      <c r="AA1747" s="96">
        <f ca="1">(AA1740/(N_9*AA$27*AA1742*AA1746))*SQRT(M*'Valve Sizing'!$W$6*'Valve Sizing'!$G$8/AA1745)</f>
        <v>87.185326059385261</v>
      </c>
      <c r="AB1747" s="111"/>
      <c r="AC1747" s="28"/>
      <c r="AD1747" s="96">
        <f ca="1">(AD1740/(N_9*AD$27*AD1742*AD1746))*SQRT(M*'Valve Sizing'!$W$6*'Valve Sizing'!$G$8/AD1745)</f>
        <v>209.46541028080537</v>
      </c>
      <c r="AE1747" s="111"/>
      <c r="AF1747" s="28"/>
      <c r="AG1747" s="96" t="e">
        <f ca="1">(AG1740/(N_9*AG$27*AG1742*AG1746))*SQRT(M*'Valve Sizing'!$W$6*'Valve Sizing'!$G$8/AG1745)</f>
        <v>#NUM!</v>
      </c>
      <c r="AH1747" s="111"/>
      <c r="AI1747" s="28"/>
      <c r="AJ1747" s="96" t="e">
        <f ca="1">(AJ1740/(N_9*AJ$27*AJ1742*AJ1746))*SQRT(M*'Valve Sizing'!$W$6*'Valve Sizing'!$G$8/AJ1745)</f>
        <v>#NUM!</v>
      </c>
      <c r="AK1747" s="111"/>
      <c r="AL1747" s="28"/>
      <c r="AM1747" s="96">
        <f ca="1">(AM1740/(N_9*AM$27*AM1742*AM1746))*SQRT(M*'Valve Sizing'!$W$6*'Valve Sizing'!$G$8/AM1745)</f>
        <v>160.56954219793178</v>
      </c>
      <c r="AN1747" s="111"/>
      <c r="AO1747" s="28"/>
      <c r="AP1747" s="96">
        <f ca="1">(AP1740/(N_9*AP$27*AP1742*AP1746))*SQRT(M*'Valve Sizing'!$W$6*'Valve Sizing'!$G$8/AP1745)</f>
        <v>1012.4203940652932</v>
      </c>
      <c r="AQ1747" s="111"/>
      <c r="AR1747" s="28"/>
      <c r="AS1747" s="96">
        <f ca="1">(AS1740/(N_9*AS$27*AS1742*AS1746))*SQRT(M*'Valve Sizing'!$W$6*'Valve Sizing'!$G$8/AS1745)</f>
        <v>589.77979410624732</v>
      </c>
      <c r="AT1747" s="111"/>
      <c r="AU1747" s="28"/>
    </row>
    <row r="1748" spans="15:47" x14ac:dyDescent="0.25">
      <c r="O1748" s="2" t="s">
        <v>59</v>
      </c>
      <c r="P1748" s="143">
        <v>7</v>
      </c>
      <c r="Q1748" s="2"/>
      <c r="R1748" s="96">
        <f ca="1">(R1740/(N_9*R$27*R1742*0.667))*SQRT(M*'Valve Sizing'!$W$6*'Valve Sizing'!$G$8/R1749)</f>
        <v>1.2901625434935564</v>
      </c>
      <c r="S1748" s="107"/>
      <c r="T1748" s="22"/>
      <c r="U1748" s="96">
        <f ca="1">(U1740/(N_9*U$27*U1742*0.667))*SQRT(M*'Valve Sizing'!$W$6*'Valve Sizing'!$G$8/U1749)</f>
        <v>14.303807386282493</v>
      </c>
      <c r="V1748" s="111"/>
      <c r="W1748" s="28"/>
      <c r="X1748" s="96">
        <f ca="1">(X1740/(N_9*X$27*X1742*0.667))*SQRT(M*'Valve Sizing'!$W$6*'Valve Sizing'!$G$8/X1749)</f>
        <v>35.836208792744848</v>
      </c>
      <c r="Y1748" s="111"/>
      <c r="Z1748" s="28"/>
      <c r="AA1748" s="96">
        <f ca="1">(AA1740/(N_9*AA$27*AA1742*0.667))*SQRT(M*'Valve Sizing'!$W$6*'Valve Sizing'!$G$8/AA1749)</f>
        <v>74.712950738709992</v>
      </c>
      <c r="AB1748" s="111"/>
      <c r="AC1748" s="28"/>
      <c r="AD1748" s="96">
        <f ca="1">(AD1740/(N_9*AD$27*AD1742*0.667))*SQRT(M*'Valve Sizing'!$W$6*'Valve Sizing'!$G$8/AD1749)</f>
        <v>149.75750331719564</v>
      </c>
      <c r="AE1748" s="111"/>
      <c r="AF1748" s="28"/>
      <c r="AG1748" s="96">
        <f ca="1">(AG1740/(N_9*AG$27*AG1742*0.667))*SQRT(M*'Valve Sizing'!$W$6*'Valve Sizing'!$G$8/AG1749)</f>
        <v>321.57113904401797</v>
      </c>
      <c r="AH1748" s="111"/>
      <c r="AI1748" s="28"/>
      <c r="AJ1748" s="96">
        <f ca="1">(AJ1740/(N_9*AJ$27*AJ1742*0.667))*SQRT(M*'Valve Sizing'!$W$6*'Valve Sizing'!$G$8/AJ1749)</f>
        <v>1111.5504263439891</v>
      </c>
      <c r="AK1748" s="111"/>
      <c r="AL1748" s="28"/>
      <c r="AM1748" s="96">
        <f ca="1">(AM1740/(N_9*AM$27*AM1742*0.667))*SQRT(M*'Valve Sizing'!$W$6*'Valve Sizing'!$G$8/AM1749)</f>
        <v>-2659.8466159182117</v>
      </c>
      <c r="AN1748" s="111"/>
      <c r="AO1748" s="28"/>
      <c r="AP1748" s="96">
        <f ca="1">(AP1740/(N_9*AP$27*AP1742*0.667))*SQRT(M*'Valve Sizing'!$W$6*'Valve Sizing'!$G$8/AP1749)</f>
        <v>-806.50271946245118</v>
      </c>
      <c r="AQ1748" s="111"/>
      <c r="AR1748" s="28"/>
      <c r="AS1748" s="96">
        <f ca="1">(AS1740/(N_9*AS$27*AS1742*0.667))*SQRT(M*'Valve Sizing'!$W$6*'Valve Sizing'!$G$8/AS1749)</f>
        <v>-761.96981281948774</v>
      </c>
      <c r="AT1748" s="111"/>
      <c r="AU1748" s="28"/>
    </row>
    <row r="1749" spans="15:47" ht="15.6" x14ac:dyDescent="0.35">
      <c r="O1749" s="2" t="s">
        <v>68</v>
      </c>
      <c r="P1749" s="143">
        <v>10</v>
      </c>
      <c r="Q1749" s="2"/>
      <c r="R1749" s="96">
        <f ca="1">F_GAMMA*R$29</f>
        <v>0.64002969751372984</v>
      </c>
      <c r="S1749" s="107"/>
      <c r="T1749" s="1"/>
      <c r="U1749" s="96">
        <f ca="1">F_GAMMA*U$29</f>
        <v>0.64017842058782071</v>
      </c>
      <c r="V1749" s="111"/>
      <c r="W1749" s="28"/>
      <c r="X1749" s="96">
        <f ca="1">F_GAMMA*X$29</f>
        <v>0.63413873724904268</v>
      </c>
      <c r="Y1749" s="111"/>
      <c r="Z1749" s="28"/>
      <c r="AA1749" s="96">
        <f ca="1">F_GAMMA*AA$29</f>
        <v>0.62532411750377137</v>
      </c>
      <c r="AB1749" s="111"/>
      <c r="AC1749" s="28"/>
      <c r="AD1749" s="96">
        <f ca="1">F_GAMMA*AD$29</f>
        <v>0.60651359509139569</v>
      </c>
      <c r="AE1749" s="111"/>
      <c r="AF1749" s="28"/>
      <c r="AG1749" s="96">
        <f ca="1">F_GAMMA*AG$29</f>
        <v>0.57217930198481592</v>
      </c>
      <c r="AH1749" s="111"/>
      <c r="AI1749" s="28"/>
      <c r="AJ1749" s="96">
        <f ca="1">F_GAMMA*AJ$29</f>
        <v>0.53183282018848232</v>
      </c>
      <c r="AK1749" s="111"/>
      <c r="AL1749" s="28"/>
      <c r="AM1749" s="96">
        <f ca="1">F_GAMMA*AM$29</f>
        <v>0.47566512503094399</v>
      </c>
      <c r="AN1749" s="111"/>
      <c r="AO1749" s="28"/>
      <c r="AP1749" s="96">
        <f ca="1">F_GAMMA*AP$29</f>
        <v>0.59054158265645496</v>
      </c>
      <c r="AQ1749" s="111"/>
      <c r="AR1749" s="28"/>
      <c r="AS1749" s="96">
        <f ca="1">F_GAMMA*AS$29</f>
        <v>0.3766899554102966</v>
      </c>
      <c r="AT1749" s="111"/>
      <c r="AU1749" s="28"/>
    </row>
    <row r="1750" spans="15:47" x14ac:dyDescent="0.25">
      <c r="O1750" s="2" t="s">
        <v>145</v>
      </c>
      <c r="P1750" s="12"/>
      <c r="Q1750" s="2"/>
      <c r="R1750" s="96">
        <f ca="1">IF(R1745&lt;R1749,R1747,R1748)</f>
        <v>1.4412322007704503</v>
      </c>
      <c r="S1750" s="116"/>
      <c r="T1750" s="1"/>
      <c r="U1750" s="96">
        <f ca="1">IF(U1745&lt;U1749,U1747,U1748)</f>
        <v>16.008638812379548</v>
      </c>
      <c r="V1750" s="111"/>
      <c r="W1750" s="28"/>
      <c r="X1750" s="96">
        <f ca="1">IF(X1745&lt;X1749,X1747,X1748)</f>
        <v>40.380616369805338</v>
      </c>
      <c r="Y1750" s="111"/>
      <c r="Z1750" s="28"/>
      <c r="AA1750" s="96">
        <f ca="1">IF(AA1745&lt;AA1749,AA1747,AA1748)</f>
        <v>87.185326059385261</v>
      </c>
      <c r="AB1750" s="111"/>
      <c r="AC1750" s="28"/>
      <c r="AD1750" s="96">
        <f ca="1">IF(AD1745&lt;AD1749,AD1747,AD1748)</f>
        <v>209.46541028080537</v>
      </c>
      <c r="AE1750" s="111"/>
      <c r="AF1750" s="28"/>
      <c r="AG1750" s="96" t="e">
        <f ca="1">IF(AG1745&lt;AG1749,AG1747,AG1748)</f>
        <v>#NUM!</v>
      </c>
      <c r="AH1750" s="111"/>
      <c r="AI1750" s="28"/>
      <c r="AJ1750" s="96" t="e">
        <f ca="1">IF(AJ1745&lt;AJ1749,AJ1747,AJ1748)</f>
        <v>#NUM!</v>
      </c>
      <c r="AK1750" s="111"/>
      <c r="AL1750" s="28"/>
      <c r="AM1750" s="96">
        <f ca="1">IF(AM1745&lt;AM1749,AM1747,AM1748)</f>
        <v>-2659.8466159182117</v>
      </c>
      <c r="AN1750" s="111"/>
      <c r="AO1750" s="28"/>
      <c r="AP1750" s="96">
        <f ca="1">IF(AP1745&lt;AP1749,AP1747,AP1748)</f>
        <v>-806.50271946245118</v>
      </c>
      <c r="AQ1750" s="111"/>
      <c r="AR1750" s="28"/>
      <c r="AS1750" s="96">
        <f ca="1">IF(AS1745&lt;AS1749,AS1747,AS1748)</f>
        <v>-761.96981281948774</v>
      </c>
      <c r="AT1750" s="111"/>
      <c r="AU1750" s="28"/>
    </row>
    <row r="1751" spans="15:47" x14ac:dyDescent="0.25">
      <c r="O1751" s="13" t="s">
        <v>143</v>
      </c>
      <c r="P1751" s="1"/>
      <c r="Q1751" s="1"/>
      <c r="R1751" s="113"/>
      <c r="S1751" s="106">
        <f ca="1">IF(R1744&lt;=0,Q_max,ABS(R$23-R1750))</f>
        <v>3.2887677992295501</v>
      </c>
      <c r="T1751" s="7">
        <f>R1740</f>
        <v>3568.6800950502566</v>
      </c>
      <c r="U1751" s="98"/>
      <c r="V1751" s="106">
        <f ca="1">IF(U1744&lt;=0,Q_max,ABS(U$23-U1750))</f>
        <v>4.4086388123795484</v>
      </c>
      <c r="W1751" s="9">
        <f ca="1">U1740</f>
        <v>39420.808366084959</v>
      </c>
      <c r="X1751" s="98"/>
      <c r="Y1751" s="106">
        <f ca="1">IF(X1744&lt;=0,Q_max,ABS(X$23-X1750))</f>
        <v>17.380616369805338</v>
      </c>
      <c r="Z1751" s="9">
        <f ca="1">X1740</f>
        <v>96527.079426251861</v>
      </c>
      <c r="AA1751" s="98"/>
      <c r="AB1751" s="106">
        <f ca="1">IF(AA1744&lt;=0,Q_max,ABS(AA$23-AA1750))</f>
        <v>47.785326059385262</v>
      </c>
      <c r="AC1751" s="9">
        <f ca="1">AA1740</f>
        <v>188010.11262805152</v>
      </c>
      <c r="AD1751" s="98"/>
      <c r="AE1751" s="106">
        <f ca="1">IF(AD1744&lt;=0,Q_max,ABS(AD$23-AD1750))</f>
        <v>148.46541028080537</v>
      </c>
      <c r="AF1751" s="9">
        <f ca="1">AD1740</f>
        <v>315422.48307908245</v>
      </c>
      <c r="AG1751" s="98"/>
      <c r="AH1751" s="106">
        <f ca="1">IF(AG1744&lt;=0,Q_max,ABS(AG$23-AG1750))</f>
        <v>236393</v>
      </c>
      <c r="AI1751" s="9">
        <f ca="1">AG1740</f>
        <v>460367.70494538784</v>
      </c>
      <c r="AJ1751" s="98"/>
      <c r="AK1751" s="106">
        <f ca="1">IF(AJ1744&lt;=0,Q_max,ABS(AJ$23-AJ1750))</f>
        <v>236393</v>
      </c>
      <c r="AL1751" s="9">
        <f ca="1">AJ1740</f>
        <v>614362.48689598055</v>
      </c>
      <c r="AM1751" s="98"/>
      <c r="AN1751" s="106">
        <f ca="1">IF(AM1744&lt;=0,Q_max,ABS(AM$23-AM1750))</f>
        <v>236393</v>
      </c>
      <c r="AO1751" s="9">
        <f ca="1">AM1740</f>
        <v>749638.98742813885</v>
      </c>
      <c r="AP1751" s="98"/>
      <c r="AQ1751" s="106">
        <f ca="1">IF(AP1744&lt;=0,Q_max,ABS(AP$23-AP1750))</f>
        <v>236393</v>
      </c>
      <c r="AR1751" s="9">
        <f ca="1">AP1740</f>
        <v>870307.59213906981</v>
      </c>
      <c r="AS1751" s="98"/>
      <c r="AT1751" s="106">
        <f ca="1">IF(AS1744&lt;=0,Q_max,ABS(AS$23-AS1750))</f>
        <v>236393</v>
      </c>
      <c r="AU1751" s="9">
        <f ca="1">AS1740</f>
        <v>1020504.0970572374</v>
      </c>
    </row>
    <row r="1752" spans="15:47" x14ac:dyDescent="0.25">
      <c r="O1752" s="21"/>
      <c r="P1752" s="14"/>
      <c r="Q1752" s="21"/>
      <c r="R1752" s="97"/>
      <c r="S1752" s="106"/>
      <c r="T1752" s="28"/>
      <c r="U1752" s="97"/>
      <c r="V1752" s="111"/>
      <c r="W1752" s="28"/>
      <c r="X1752" s="97"/>
      <c r="Y1752" s="111"/>
      <c r="Z1752" s="28"/>
      <c r="AA1752" s="97"/>
      <c r="AB1752" s="111"/>
      <c r="AC1752" s="28"/>
      <c r="AD1752" s="97"/>
      <c r="AE1752" s="111"/>
      <c r="AF1752" s="28"/>
      <c r="AG1752" s="97"/>
      <c r="AH1752" s="111"/>
      <c r="AI1752" s="28"/>
      <c r="AJ1752" s="97"/>
      <c r="AK1752" s="111"/>
      <c r="AL1752" s="28"/>
      <c r="AM1752" s="97"/>
      <c r="AN1752" s="111"/>
      <c r="AO1752" s="28"/>
      <c r="AP1752" s="97"/>
      <c r="AQ1752" s="111"/>
      <c r="AR1752" s="28"/>
      <c r="AS1752" s="97"/>
      <c r="AT1752" s="111"/>
      <c r="AU1752" s="28"/>
    </row>
    <row r="1753" spans="15:47" x14ac:dyDescent="0.25">
      <c r="O1753" s="1"/>
      <c r="P1753" s="1"/>
      <c r="Q1753" s="1"/>
      <c r="R1753" s="98"/>
      <c r="S1753" s="108" t="s">
        <v>137</v>
      </c>
      <c r="T1753" s="26" t="s">
        <v>146</v>
      </c>
      <c r="U1753" s="98"/>
      <c r="V1753" s="108" t="s">
        <v>137</v>
      </c>
      <c r="W1753" s="26" t="s">
        <v>146</v>
      </c>
      <c r="X1753" s="98"/>
      <c r="Y1753" s="108" t="s">
        <v>137</v>
      </c>
      <c r="Z1753" s="26" t="s">
        <v>146</v>
      </c>
      <c r="AA1753" s="98"/>
      <c r="AB1753" s="108" t="s">
        <v>137</v>
      </c>
      <c r="AC1753" s="26" t="s">
        <v>146</v>
      </c>
      <c r="AD1753" s="98"/>
      <c r="AE1753" s="108" t="s">
        <v>137</v>
      </c>
      <c r="AF1753" s="26" t="s">
        <v>146</v>
      </c>
      <c r="AG1753" s="98"/>
      <c r="AH1753" s="108" t="s">
        <v>137</v>
      </c>
      <c r="AI1753" s="26" t="s">
        <v>146</v>
      </c>
      <c r="AJ1753" s="98"/>
      <c r="AK1753" s="108" t="s">
        <v>137</v>
      </c>
      <c r="AL1753" s="26" t="s">
        <v>146</v>
      </c>
      <c r="AM1753" s="98"/>
      <c r="AN1753" s="108" t="s">
        <v>137</v>
      </c>
      <c r="AO1753" s="26" t="s">
        <v>146</v>
      </c>
      <c r="AP1753" s="98"/>
      <c r="AQ1753" s="108" t="s">
        <v>137</v>
      </c>
      <c r="AR1753" s="26" t="s">
        <v>146</v>
      </c>
      <c r="AS1753" s="98"/>
      <c r="AT1753" s="108" t="s">
        <v>137</v>
      </c>
      <c r="AU1753" s="26" t="s">
        <v>146</v>
      </c>
    </row>
    <row r="1754" spans="15:47" ht="13.8" x14ac:dyDescent="0.25">
      <c r="O1754" s="20" t="s">
        <v>136</v>
      </c>
      <c r="P1754" s="1"/>
      <c r="Q1754" s="1"/>
      <c r="R1754" s="96">
        <f>R1740*1.02</f>
        <v>3640.0536969512618</v>
      </c>
      <c r="S1754" s="109" t="s">
        <v>144</v>
      </c>
      <c r="T1754" s="23" t="s">
        <v>147</v>
      </c>
      <c r="U1754" s="96">
        <f ca="1">U1740*1.01</f>
        <v>39815.01644974581</v>
      </c>
      <c r="V1754" s="109" t="s">
        <v>144</v>
      </c>
      <c r="W1754" s="23" t="s">
        <v>147</v>
      </c>
      <c r="X1754" s="96">
        <f ca="1">X1740*1.01</f>
        <v>97492.350220514374</v>
      </c>
      <c r="Y1754" s="109" t="s">
        <v>144</v>
      </c>
      <c r="Z1754" s="23" t="s">
        <v>147</v>
      </c>
      <c r="AA1754" s="96">
        <f ca="1">AA1740*1.01</f>
        <v>189890.21375433204</v>
      </c>
      <c r="AB1754" s="109" t="s">
        <v>144</v>
      </c>
      <c r="AC1754" s="23" t="s">
        <v>147</v>
      </c>
      <c r="AD1754" s="96">
        <f ca="1">AD1740*1.01</f>
        <v>318576.70790987328</v>
      </c>
      <c r="AE1754" s="109" t="s">
        <v>144</v>
      </c>
      <c r="AF1754" s="23" t="s">
        <v>147</v>
      </c>
      <c r="AG1754" s="96">
        <f ca="1">AG1740*1.01</f>
        <v>464971.38199484174</v>
      </c>
      <c r="AH1754" s="109" t="s">
        <v>144</v>
      </c>
      <c r="AI1754" s="23" t="s">
        <v>147</v>
      </c>
      <c r="AJ1754" s="96">
        <f ca="1">AJ1740*1.01</f>
        <v>620506.11176494032</v>
      </c>
      <c r="AK1754" s="109" t="s">
        <v>144</v>
      </c>
      <c r="AL1754" s="23" t="s">
        <v>147</v>
      </c>
      <c r="AM1754" s="96">
        <f ca="1">AM1740*1.01</f>
        <v>757135.37730242021</v>
      </c>
      <c r="AN1754" s="109" t="s">
        <v>144</v>
      </c>
      <c r="AO1754" s="23" t="s">
        <v>147</v>
      </c>
      <c r="AP1754" s="96">
        <f ca="1">AP1740*1.01</f>
        <v>879010.66806046048</v>
      </c>
      <c r="AQ1754" s="109" t="s">
        <v>144</v>
      </c>
      <c r="AR1754" s="23" t="s">
        <v>147</v>
      </c>
      <c r="AS1754" s="96">
        <f ca="1">AS1740*1.01</f>
        <v>1030709.1380278098</v>
      </c>
      <c r="AT1754" s="109" t="s">
        <v>144</v>
      </c>
      <c r="AU1754" s="23" t="s">
        <v>147</v>
      </c>
    </row>
    <row r="1755" spans="15:47" x14ac:dyDescent="0.25">
      <c r="O1755" s="1"/>
      <c r="P1755" s="1"/>
      <c r="Q1755" s="1"/>
      <c r="R1755" s="98"/>
      <c r="S1755" s="107"/>
      <c r="T1755" s="1"/>
      <c r="U1755" s="47"/>
      <c r="V1755" s="107"/>
      <c r="W1755" s="1"/>
      <c r="X1755" s="47"/>
      <c r="Y1755" s="107"/>
      <c r="Z1755" s="1"/>
      <c r="AA1755" s="47"/>
      <c r="AB1755" s="107"/>
      <c r="AC1755" s="1"/>
      <c r="AD1755" s="47"/>
      <c r="AE1755" s="107"/>
      <c r="AF1755" s="1"/>
      <c r="AG1755" s="47"/>
      <c r="AH1755" s="107"/>
      <c r="AI1755" s="1"/>
      <c r="AJ1755" s="47"/>
      <c r="AK1755" s="107"/>
      <c r="AL1755" s="1"/>
      <c r="AM1755" s="47"/>
      <c r="AN1755" s="107"/>
      <c r="AO1755" s="1"/>
      <c r="AP1755" s="47"/>
      <c r="AQ1755" s="107"/>
      <c r="AR1755" s="1"/>
      <c r="AS1755" s="47"/>
      <c r="AT1755" s="107"/>
      <c r="AU1755" s="1"/>
    </row>
    <row r="1756" spans="15:47" x14ac:dyDescent="0.25">
      <c r="O1756" s="8" t="s">
        <v>132</v>
      </c>
      <c r="P1756" s="8"/>
      <c r="Q1756" s="8"/>
      <c r="R1756" s="96">
        <f>P_1_minQ-(R1754^2*R_up)+dpup_minQ</f>
        <v>90.182625574837672</v>
      </c>
      <c r="S1756" s="106"/>
      <c r="T1756" s="22"/>
      <c r="U1756" s="96">
        <f ca="1">P_1_minQ-(U1754^2*R_up)+dpup_minQ</f>
        <v>89.896114057197508</v>
      </c>
      <c r="V1756" s="107"/>
      <c r="W1756" s="1"/>
      <c r="X1756" s="96">
        <f ca="1">P_1_minQ-(X1754^2*R_up)+dpup_minQ</f>
        <v>88.452694612361441</v>
      </c>
      <c r="Y1756" s="107"/>
      <c r="Z1756" s="1"/>
      <c r="AA1756" s="96">
        <f ca="1">P_1_minQ-(AA1754^2*R_up)+dpup_minQ</f>
        <v>83.613023140747487</v>
      </c>
      <c r="AB1756" s="107"/>
      <c r="AC1756" s="1"/>
      <c r="AD1756" s="96">
        <f ca="1">P_1_minQ-(AD1754^2*R_up)+dpup_minQ</f>
        <v>71.687176734813463</v>
      </c>
      <c r="AE1756" s="107"/>
      <c r="AF1756" s="1"/>
      <c r="AG1756" s="96">
        <f ca="1">P_1_minQ-(AG1754^2*R_up)+dpup_minQ</f>
        <v>50.780525684168055</v>
      </c>
      <c r="AH1756" s="107"/>
      <c r="AI1756" s="1"/>
      <c r="AJ1756" s="96">
        <f ca="1">P_1_minQ-(AJ1754^2*R_up)+dpup_minQ</f>
        <v>20.009516533189696</v>
      </c>
      <c r="AK1756" s="107"/>
      <c r="AL1756" s="1"/>
      <c r="AM1756" s="96">
        <f ca="1">P_1_minQ-(AM1754^2*R_up)+dpup_minQ</f>
        <v>-14.296752134525734</v>
      </c>
      <c r="AN1756" s="107"/>
      <c r="AO1756" s="1"/>
      <c r="AP1756" s="96">
        <f ca="1">P_1_minQ-(AP1754^2*R_up)+dpup_minQ</f>
        <v>-50.640630385007427</v>
      </c>
      <c r="AQ1756" s="107"/>
      <c r="AR1756" s="1"/>
      <c r="AS1756" s="96">
        <f ca="1">P_1_minQ-(AS1754^2*R_up)+dpup_minQ</f>
        <v>-103.44190299257315</v>
      </c>
      <c r="AT1756" s="107"/>
      <c r="AU1756" s="1"/>
    </row>
    <row r="1757" spans="15:47" x14ac:dyDescent="0.25">
      <c r="O1757" s="8" t="s">
        <v>134</v>
      </c>
      <c r="P1757" s="1"/>
      <c r="Q1757" s="8"/>
      <c r="R1757" s="97">
        <f>P_2_minQ+(R1754^2*R_dn)-dpdn_minQ</f>
        <v>60</v>
      </c>
      <c r="S1757" s="106"/>
      <c r="T1757" s="22"/>
      <c r="U1757" s="97">
        <f ca="1">P_2_minQ+(U1754^2*R_dn)-dpdn_minQ</f>
        <v>60</v>
      </c>
      <c r="V1757" s="107"/>
      <c r="W1757" s="1"/>
      <c r="X1757" s="97">
        <f ca="1">P_2_minQ+(X1754^2*R_dn)-dpdn_minQ</f>
        <v>60</v>
      </c>
      <c r="Y1757" s="107"/>
      <c r="Z1757" s="1"/>
      <c r="AA1757" s="97">
        <f ca="1">P_2_minQ+(AA1754^2*R_dn)-dpdn_minQ</f>
        <v>60</v>
      </c>
      <c r="AB1757" s="107"/>
      <c r="AC1757" s="1"/>
      <c r="AD1757" s="97">
        <f ca="1">P_2_minQ+(AD1754^2*R_dn)-dpdn_minQ</f>
        <v>60</v>
      </c>
      <c r="AE1757" s="107"/>
      <c r="AF1757" s="1"/>
      <c r="AG1757" s="97">
        <f ca="1">P_2_minQ+(AG1754^2*R_dn)-dpdn_minQ</f>
        <v>60</v>
      </c>
      <c r="AH1757" s="107"/>
      <c r="AI1757" s="1"/>
      <c r="AJ1757" s="97">
        <f ca="1">P_2_minQ+(AJ1754^2*R_dn)-dpdn_minQ</f>
        <v>60</v>
      </c>
      <c r="AK1757" s="107"/>
      <c r="AL1757" s="1"/>
      <c r="AM1757" s="97">
        <f ca="1">P_2_minQ+(AM1754^2*R_dn)-dpdn_minQ</f>
        <v>60</v>
      </c>
      <c r="AN1757" s="107"/>
      <c r="AO1757" s="1"/>
      <c r="AP1757" s="97">
        <f ca="1">P_2_minQ+(AP1754^2*R_dn)-dpdn_minQ</f>
        <v>60</v>
      </c>
      <c r="AQ1757" s="107"/>
      <c r="AR1757" s="1"/>
      <c r="AS1757" s="97">
        <f ca="1">P_2_minQ+(AS1754^2*R_dn)-dpdn_minQ</f>
        <v>60</v>
      </c>
      <c r="AT1757" s="107"/>
      <c r="AU1757" s="1"/>
    </row>
    <row r="1758" spans="15:47" x14ac:dyDescent="0.25">
      <c r="O1758" s="8" t="s">
        <v>138</v>
      </c>
      <c r="P1758" s="1"/>
      <c r="Q1758" s="8"/>
      <c r="R1758" s="97">
        <f>R1756-R1757</f>
        <v>30.182625574837672</v>
      </c>
      <c r="S1758" s="106"/>
      <c r="T1758" s="22"/>
      <c r="U1758" s="97">
        <f ca="1">U1756-U1757</f>
        <v>29.896114057197508</v>
      </c>
      <c r="V1758" s="110"/>
      <c r="W1758" s="25"/>
      <c r="X1758" s="97">
        <f ca="1">X1756-X1757</f>
        <v>28.452694612361441</v>
      </c>
      <c r="Y1758" s="110"/>
      <c r="Z1758" s="25"/>
      <c r="AA1758" s="97">
        <f ca="1">AA1756-AA1757</f>
        <v>23.613023140747487</v>
      </c>
      <c r="AB1758" s="110"/>
      <c r="AC1758" s="25"/>
      <c r="AD1758" s="97">
        <f ca="1">AD1756-AD1757</f>
        <v>11.687176734813463</v>
      </c>
      <c r="AE1758" s="110"/>
      <c r="AF1758" s="25"/>
      <c r="AG1758" s="97">
        <f ca="1">AG1756-AG1757</f>
        <v>-9.2194743158319454</v>
      </c>
      <c r="AH1758" s="110"/>
      <c r="AI1758" s="25"/>
      <c r="AJ1758" s="97">
        <f ca="1">AJ1756-AJ1757</f>
        <v>-39.990483466810304</v>
      </c>
      <c r="AK1758" s="110"/>
      <c r="AL1758" s="25"/>
      <c r="AM1758" s="97">
        <f ca="1">AM1756-AM1757</f>
        <v>-74.296752134525732</v>
      </c>
      <c r="AN1758" s="110"/>
      <c r="AO1758" s="25"/>
      <c r="AP1758" s="97">
        <f ca="1">AP1756-AP1757</f>
        <v>-110.64063038500743</v>
      </c>
      <c r="AQ1758" s="110"/>
      <c r="AR1758" s="25"/>
      <c r="AS1758" s="97">
        <f ca="1">AS1756-AS1757</f>
        <v>-163.44190299257315</v>
      </c>
      <c r="AT1758" s="110"/>
      <c r="AU1758" s="25"/>
    </row>
    <row r="1759" spans="15:47" ht="14.4" x14ac:dyDescent="0.3">
      <c r="O1759" s="2" t="s">
        <v>140</v>
      </c>
      <c r="P1759" s="11"/>
      <c r="Q1759" s="2"/>
      <c r="R1759" s="96">
        <f>R1758/R1756</f>
        <v>0.33468337589917191</v>
      </c>
      <c r="S1759" s="106"/>
      <c r="T1759" s="22"/>
      <c r="U1759" s="96">
        <f ca="1">U1758/U1756</f>
        <v>0.33256291855035847</v>
      </c>
      <c r="V1759" s="111"/>
      <c r="W1759" s="28"/>
      <c r="X1759" s="96">
        <f ca="1">X1758/X1756</f>
        <v>0.3216713152386555</v>
      </c>
      <c r="Y1759" s="111"/>
      <c r="Z1759" s="28"/>
      <c r="AA1759" s="96">
        <f ca="1">AA1758/AA1756</f>
        <v>0.28240843655418618</v>
      </c>
      <c r="AB1759" s="111"/>
      <c r="AC1759" s="28"/>
      <c r="AD1759" s="96">
        <f ca="1">AD1758/AD1756</f>
        <v>0.16303022754051097</v>
      </c>
      <c r="AE1759" s="111"/>
      <c r="AF1759" s="28"/>
      <c r="AG1759" s="96">
        <f ca="1">AG1758/AG1756</f>
        <v>-0.18155531459388416</v>
      </c>
      <c r="AH1759" s="111"/>
      <c r="AI1759" s="28"/>
      <c r="AJ1759" s="96">
        <f ca="1">AJ1758/AJ1756</f>
        <v>-1.9985731989315316</v>
      </c>
      <c r="AK1759" s="111"/>
      <c r="AL1759" s="28"/>
      <c r="AM1759" s="96">
        <f ca="1">AM1758/AM1756</f>
        <v>5.19675737785954</v>
      </c>
      <c r="AN1759" s="111"/>
      <c r="AO1759" s="28"/>
      <c r="AP1759" s="96">
        <f ca="1">AP1758/AP1756</f>
        <v>2.1848193741633102</v>
      </c>
      <c r="AQ1759" s="111"/>
      <c r="AR1759" s="28"/>
      <c r="AS1759" s="96">
        <f ca="1">AS1758/AS1756</f>
        <v>1.5800357327562684</v>
      </c>
      <c r="AT1759" s="111"/>
      <c r="AU1759" s="28"/>
    </row>
    <row r="1760" spans="15:47" x14ac:dyDescent="0.25">
      <c r="O1760" s="2" t="s">
        <v>21</v>
      </c>
      <c r="P1760" s="8">
        <v>12</v>
      </c>
      <c r="Q1760" s="2"/>
      <c r="R1760" s="96">
        <f ca="1">1-R1759/(3*F_GAMMA*R$29)</f>
        <v>0.82569382993774165</v>
      </c>
      <c r="S1760" s="106"/>
      <c r="T1760" s="22"/>
      <c r="U1760" s="96">
        <f ca="1">1-U1759/(3*F_GAMMA*U$29)</f>
        <v>0.82683842094885851</v>
      </c>
      <c r="V1760" s="111"/>
      <c r="W1760" s="28"/>
      <c r="X1760" s="96">
        <f ca="1">1-X1759/(3*F_GAMMA*X$29)</f>
        <v>0.83091433238826262</v>
      </c>
      <c r="Y1760" s="111"/>
      <c r="Z1760" s="28"/>
      <c r="AA1760" s="96">
        <f ca="1">1-AA1759/(3*F_GAMMA*AA$29)</f>
        <v>0.8494602352875118</v>
      </c>
      <c r="AB1760" s="111"/>
      <c r="AC1760" s="28"/>
      <c r="AD1760" s="96">
        <f ca="1">1-AD1759/(3*F_GAMMA*AD$29)</f>
        <v>0.91040034449354545</v>
      </c>
      <c r="AE1760" s="111"/>
      <c r="AF1760" s="28"/>
      <c r="AG1760" s="96">
        <f ca="1">1-AG1759/(3*F_GAMMA*AG$29)</f>
        <v>1.1057683107166421</v>
      </c>
      <c r="AH1760" s="111"/>
      <c r="AI1760" s="28"/>
      <c r="AJ1760" s="96">
        <f ca="1">1-AJ1759/(3*F_GAMMA*AJ$29)</f>
        <v>2.2526324834078713</v>
      </c>
      <c r="AK1760" s="111"/>
      <c r="AL1760" s="28"/>
      <c r="AM1760" s="96">
        <f ca="1">1-AM1759/(3*F_GAMMA*AM$29)</f>
        <v>-2.6417478770885783</v>
      </c>
      <c r="AN1760" s="111"/>
      <c r="AO1760" s="28"/>
      <c r="AP1760" s="96">
        <f ca="1">1-AP1759/(3*F_GAMMA*AP$29)</f>
        <v>-0.23322920198961361</v>
      </c>
      <c r="AQ1760" s="111"/>
      <c r="AR1760" s="28"/>
      <c r="AS1760" s="96">
        <f ca="1">1-AS1759/(3*F_GAMMA*AS$29)</f>
        <v>-0.39817526329247666</v>
      </c>
      <c r="AT1760" s="111"/>
      <c r="AU1760" s="28"/>
    </row>
    <row r="1761" spans="15:47" x14ac:dyDescent="0.25">
      <c r="O1761" s="2" t="s">
        <v>57</v>
      </c>
      <c r="P1761" s="143">
        <v>7</v>
      </c>
      <c r="Q1761" s="2"/>
      <c r="R1761" s="96">
        <f ca="1">(R1754/(N_9*R$27*R1756*R1760))*SQRT(M*'Valve Sizing'!$W$6*'Valve Sizing'!$G$8/R1759)</f>
        <v>1.4700592512990338</v>
      </c>
      <c r="S1761" s="107"/>
      <c r="T1761" s="22"/>
      <c r="U1761" s="96">
        <f ca="1">(U1754/(N_9*U$27*U1756*U1760))*SQRT(M*'Valve Sizing'!$W$6*'Valve Sizing'!$G$8/U1759)</f>
        <v>16.170346212408283</v>
      </c>
      <c r="V1761" s="111"/>
      <c r="W1761" s="28"/>
      <c r="X1761" s="96">
        <f ca="1">(X1754/(N_9*X$27*X1756*X1760))*SQRT(M*'Valve Sizing'!$W$6*'Valve Sizing'!$G$8/X1759)</f>
        <v>40.809996061932786</v>
      </c>
      <c r="Y1761" s="111"/>
      <c r="Z1761" s="28"/>
      <c r="AA1761" s="96">
        <f ca="1">(AA1754/(N_9*AA$27*AA1756*AA1760))*SQRT(M*'Valve Sizing'!$W$6*'Valve Sizing'!$G$8/AA1759)</f>
        <v>88.305120493220699</v>
      </c>
      <c r="AB1761" s="111"/>
      <c r="AC1761" s="28"/>
      <c r="AD1761" s="96">
        <f ca="1">(AD1754/(N_9*AD$27*AD1756*AD1760))*SQRT(M*'Valve Sizing'!$W$6*'Valve Sizing'!$G$8/AD1759)</f>
        <v>214.82859522020837</v>
      </c>
      <c r="AE1761" s="111"/>
      <c r="AF1761" s="28"/>
      <c r="AG1761" s="96" t="e">
        <f ca="1">(AG1754/(N_9*AG$27*AG1756*AG1760))*SQRT(M*'Valve Sizing'!$W$6*'Valve Sizing'!$G$8/AG1759)</f>
        <v>#NUM!</v>
      </c>
      <c r="AH1761" s="111"/>
      <c r="AI1761" s="28"/>
      <c r="AJ1761" s="96" t="e">
        <f ca="1">(AJ1754/(N_9*AJ$27*AJ1756*AJ1760))*SQRT(M*'Valve Sizing'!$W$6*'Valve Sizing'!$G$8/AJ1759)</f>
        <v>#NUM!</v>
      </c>
      <c r="AK1761" s="111"/>
      <c r="AL1761" s="28"/>
      <c r="AM1761" s="96">
        <f ca="1">(AM1754/(N_9*AM$27*AM1756*AM1760))*SQRT(M*'Valve Sizing'!$W$6*'Valve Sizing'!$G$8/AM1759)</f>
        <v>175.65949701387797</v>
      </c>
      <c r="AN1761" s="111"/>
      <c r="AO1761" s="28"/>
      <c r="AP1761" s="96">
        <f ca="1">(AP1754/(N_9*AP$27*AP1756*AP1760))*SQRT(M*'Valve Sizing'!$W$6*'Valve Sizing'!$G$8/AP1759)</f>
        <v>1144.7585194999015</v>
      </c>
      <c r="AQ1761" s="111"/>
      <c r="AR1761" s="28"/>
      <c r="AS1761" s="96">
        <f ca="1">(AS1754/(N_9*AS$27*AS1756*AS1760))*SQRT(M*'Valve Sizing'!$W$6*'Valve Sizing'!$G$8/AS1759)</f>
        <v>606.24539322951512</v>
      </c>
      <c r="AT1761" s="111"/>
      <c r="AU1761" s="28"/>
    </row>
    <row r="1762" spans="15:47" x14ac:dyDescent="0.25">
      <c r="O1762" s="2" t="s">
        <v>59</v>
      </c>
      <c r="P1762" s="143">
        <v>7</v>
      </c>
      <c r="Q1762" s="2"/>
      <c r="R1762" s="96">
        <f ca="1">(R1754/(N_9*R$27*R1756*0.667))*SQRT(M*'Valve Sizing'!$W$6*'Valve Sizing'!$G$8/R1763)</f>
        <v>1.3159671627596445</v>
      </c>
      <c r="S1762" s="107"/>
      <c r="T1762" s="22"/>
      <c r="U1762" s="96">
        <f ca="1">(U1754/(N_9*U$27*U1756*0.667))*SQRT(M*'Valve Sizing'!$W$6*'Valve Sizing'!$G$8/U1763)</f>
        <v>14.447760358305484</v>
      </c>
      <c r="V1762" s="111"/>
      <c r="W1762" s="28"/>
      <c r="X1762" s="96">
        <f ca="1">(X1754/(N_9*X$27*X1756*0.667))*SQRT(M*'Valve Sizing'!$W$6*'Valve Sizing'!$G$8/X1763)</f>
        <v>36.208538432489227</v>
      </c>
      <c r="Y1762" s="111"/>
      <c r="Z1762" s="28"/>
      <c r="AA1762" s="96">
        <f ca="1">(AA1754/(N_9*AA$27*AA1756*0.667))*SQRT(M*'Valve Sizing'!$W$6*'Valve Sizing'!$G$8/AA1763)</f>
        <v>75.576948175692323</v>
      </c>
      <c r="AB1762" s="111"/>
      <c r="AC1762" s="28"/>
      <c r="AD1762" s="96">
        <f ca="1">(AD1754/(N_9*AD$27*AD1756*0.667))*SQRT(M*'Valve Sizing'!$W$6*'Valve Sizing'!$G$8/AD1763)</f>
        <v>152.02410851533614</v>
      </c>
      <c r="AE1762" s="111"/>
      <c r="AF1762" s="28"/>
      <c r="AG1762" s="96">
        <f ca="1">(AG1754/(N_9*AG$27*AG1756*0.667))*SQRT(M*'Valve Sizing'!$W$6*'Valve Sizing'!$G$8/AG1763)</f>
        <v>329.75277982326708</v>
      </c>
      <c r="AH1762" s="111"/>
      <c r="AI1762" s="28"/>
      <c r="AJ1762" s="96">
        <f ca="1">(AJ1754/(N_9*AJ$27*AJ1756*0.667))*SQRT(M*'Valve Sizing'!$W$6*'Valve Sizing'!$G$8/AJ1763)</f>
        <v>1200.2464927234987</v>
      </c>
      <c r="AK1762" s="111"/>
      <c r="AL1762" s="28"/>
      <c r="AM1762" s="96">
        <f ca="1">(AM1754/(N_9*AM$27*AM1756*0.667))*SQRT(M*'Valve Sizing'!$W$6*'Valve Sizing'!$G$8/AM1763)</f>
        <v>-2299.6022942478521</v>
      </c>
      <c r="AN1762" s="111"/>
      <c r="AO1762" s="28"/>
      <c r="AP1762" s="96">
        <f ca="1">(AP1754/(N_9*AP$27*AP1756*0.667))*SQRT(M*'Valve Sizing'!$W$6*'Valve Sizing'!$G$8/AP1763)</f>
        <v>-769.93401012587765</v>
      </c>
      <c r="AQ1762" s="111"/>
      <c r="AR1762" s="28"/>
      <c r="AS1762" s="96">
        <f ca="1">(AS1754/(N_9*AS$27*AS1756*0.667))*SQRT(M*'Valve Sizing'!$W$6*'Valve Sizing'!$G$8/AS1763)</f>
        <v>-741.2049789365858</v>
      </c>
      <c r="AT1762" s="111"/>
      <c r="AU1762" s="28"/>
    </row>
    <row r="1763" spans="15:47" ht="15.6" x14ac:dyDescent="0.35">
      <c r="O1763" s="2" t="s">
        <v>68</v>
      </c>
      <c r="P1763" s="143">
        <v>10</v>
      </c>
      <c r="Q1763" s="2"/>
      <c r="R1763" s="96">
        <f ca="1">F_GAMMA*R$29</f>
        <v>0.64002969751372984</v>
      </c>
      <c r="S1763" s="107"/>
      <c r="T1763" s="1"/>
      <c r="U1763" s="96">
        <f ca="1">F_GAMMA*U$29</f>
        <v>0.64017842058782071</v>
      </c>
      <c r="V1763" s="111"/>
      <c r="W1763" s="28"/>
      <c r="X1763" s="96">
        <f ca="1">F_GAMMA*X$29</f>
        <v>0.63413873724904268</v>
      </c>
      <c r="Y1763" s="111"/>
      <c r="Z1763" s="28"/>
      <c r="AA1763" s="96">
        <f ca="1">F_GAMMA*AA$29</f>
        <v>0.62532411750377137</v>
      </c>
      <c r="AB1763" s="111"/>
      <c r="AC1763" s="28"/>
      <c r="AD1763" s="96">
        <f ca="1">F_GAMMA*AD$29</f>
        <v>0.60651359509139569</v>
      </c>
      <c r="AE1763" s="111"/>
      <c r="AF1763" s="28"/>
      <c r="AG1763" s="96">
        <f ca="1">F_GAMMA*AG$29</f>
        <v>0.57217930198481592</v>
      </c>
      <c r="AH1763" s="111"/>
      <c r="AI1763" s="28"/>
      <c r="AJ1763" s="96">
        <f ca="1">F_GAMMA*AJ$29</f>
        <v>0.53183282018848232</v>
      </c>
      <c r="AK1763" s="111"/>
      <c r="AL1763" s="28"/>
      <c r="AM1763" s="96">
        <f ca="1">F_GAMMA*AM$29</f>
        <v>0.47566512503094399</v>
      </c>
      <c r="AN1763" s="111"/>
      <c r="AO1763" s="28"/>
      <c r="AP1763" s="96">
        <f ca="1">F_GAMMA*AP$29</f>
        <v>0.59054158265645496</v>
      </c>
      <c r="AQ1763" s="111"/>
      <c r="AR1763" s="28"/>
      <c r="AS1763" s="96">
        <f ca="1">F_GAMMA*AS$29</f>
        <v>0.3766899554102966</v>
      </c>
      <c r="AT1763" s="111"/>
      <c r="AU1763" s="28"/>
    </row>
    <row r="1764" spans="15:47" x14ac:dyDescent="0.25">
      <c r="O1764" s="2" t="s">
        <v>145</v>
      </c>
      <c r="P1764" s="12"/>
      <c r="Q1764" s="2"/>
      <c r="R1764" s="96">
        <f ca="1">IF(R1759&lt;R1763,R1761,R1762)</f>
        <v>1.4700592512990338</v>
      </c>
      <c r="S1764" s="116"/>
      <c r="T1764" s="1"/>
      <c r="U1764" s="96">
        <f ca="1">IF(U1759&lt;U1763,U1761,U1762)</f>
        <v>16.170346212408283</v>
      </c>
      <c r="V1764" s="111"/>
      <c r="W1764" s="28"/>
      <c r="X1764" s="96">
        <f ca="1">IF(X1759&lt;X1763,X1761,X1762)</f>
        <v>40.809996061932786</v>
      </c>
      <c r="Y1764" s="111"/>
      <c r="Z1764" s="28"/>
      <c r="AA1764" s="96">
        <f ca="1">IF(AA1759&lt;AA1763,AA1761,AA1762)</f>
        <v>88.305120493220699</v>
      </c>
      <c r="AB1764" s="111"/>
      <c r="AC1764" s="28"/>
      <c r="AD1764" s="96">
        <f ca="1">IF(AD1759&lt;AD1763,AD1761,AD1762)</f>
        <v>214.82859522020837</v>
      </c>
      <c r="AE1764" s="111"/>
      <c r="AF1764" s="28"/>
      <c r="AG1764" s="96" t="e">
        <f ca="1">IF(AG1759&lt;AG1763,AG1761,AG1762)</f>
        <v>#NUM!</v>
      </c>
      <c r="AH1764" s="111"/>
      <c r="AI1764" s="28"/>
      <c r="AJ1764" s="96" t="e">
        <f ca="1">IF(AJ1759&lt;AJ1763,AJ1761,AJ1762)</f>
        <v>#NUM!</v>
      </c>
      <c r="AK1764" s="111"/>
      <c r="AL1764" s="28"/>
      <c r="AM1764" s="96">
        <f ca="1">IF(AM1759&lt;AM1763,AM1761,AM1762)</f>
        <v>-2299.6022942478521</v>
      </c>
      <c r="AN1764" s="111"/>
      <c r="AO1764" s="28"/>
      <c r="AP1764" s="96">
        <f ca="1">IF(AP1759&lt;AP1763,AP1761,AP1762)</f>
        <v>-769.93401012587765</v>
      </c>
      <c r="AQ1764" s="111"/>
      <c r="AR1764" s="28"/>
      <c r="AS1764" s="96">
        <f ca="1">IF(AS1759&lt;AS1763,AS1761,AS1762)</f>
        <v>-741.2049789365858</v>
      </c>
      <c r="AT1764" s="111"/>
      <c r="AU1764" s="28"/>
    </row>
    <row r="1765" spans="15:47" x14ac:dyDescent="0.25">
      <c r="O1765" s="13" t="s">
        <v>143</v>
      </c>
      <c r="P1765" s="1"/>
      <c r="Q1765" s="1"/>
      <c r="R1765" s="113"/>
      <c r="S1765" s="106">
        <f ca="1">IF(R1758&lt;=0,Q_max,ABS(R$23-R1764))</f>
        <v>3.2599407487009664</v>
      </c>
      <c r="T1765" s="7">
        <f>R1754</f>
        <v>3640.0536969512618</v>
      </c>
      <c r="U1765" s="98"/>
      <c r="V1765" s="106">
        <f ca="1">IF(U1758&lt;=0,Q_max,ABS(U$23-U1764))</f>
        <v>4.5703462124082836</v>
      </c>
      <c r="W1765" s="9">
        <f ca="1">U1754</f>
        <v>39815.01644974581</v>
      </c>
      <c r="X1765" s="98"/>
      <c r="Y1765" s="106">
        <f ca="1">IF(X1758&lt;=0,Q_max,ABS(X$23-X1764))</f>
        <v>17.809996061932786</v>
      </c>
      <c r="Z1765" s="9">
        <f ca="1">X1754</f>
        <v>97492.350220514374</v>
      </c>
      <c r="AA1765" s="98"/>
      <c r="AB1765" s="106">
        <f ca="1">IF(AA1758&lt;=0,Q_max,ABS(AA$23-AA1764))</f>
        <v>48.9051204932207</v>
      </c>
      <c r="AC1765" s="9">
        <f ca="1">AA1754</f>
        <v>189890.21375433204</v>
      </c>
      <c r="AD1765" s="98"/>
      <c r="AE1765" s="106">
        <f ca="1">IF(AD1758&lt;=0,Q_max,ABS(AD$23-AD1764))</f>
        <v>153.82859522020837</v>
      </c>
      <c r="AF1765" s="9">
        <f ca="1">AD1754</f>
        <v>318576.70790987328</v>
      </c>
      <c r="AG1765" s="98"/>
      <c r="AH1765" s="106">
        <f ca="1">IF(AG1758&lt;=0,Q_max,ABS(AG$23-AG1764))</f>
        <v>236393</v>
      </c>
      <c r="AI1765" s="9">
        <f ca="1">AG1754</f>
        <v>464971.38199484174</v>
      </c>
      <c r="AJ1765" s="98"/>
      <c r="AK1765" s="106">
        <f ca="1">IF(AJ1758&lt;=0,Q_max,ABS(AJ$23-AJ1764))</f>
        <v>236393</v>
      </c>
      <c r="AL1765" s="9">
        <f ca="1">AJ1754</f>
        <v>620506.11176494032</v>
      </c>
      <c r="AM1765" s="98"/>
      <c r="AN1765" s="106">
        <f ca="1">IF(AM1758&lt;=0,Q_max,ABS(AM$23-AM1764))</f>
        <v>236393</v>
      </c>
      <c r="AO1765" s="9">
        <f ca="1">AM1754</f>
        <v>757135.37730242021</v>
      </c>
      <c r="AP1765" s="98"/>
      <c r="AQ1765" s="106">
        <f ca="1">IF(AP1758&lt;=0,Q_max,ABS(AP$23-AP1764))</f>
        <v>236393</v>
      </c>
      <c r="AR1765" s="9">
        <f ca="1">AP1754</f>
        <v>879010.66806046048</v>
      </c>
      <c r="AS1765" s="98"/>
      <c r="AT1765" s="106">
        <f ca="1">IF(AS1758&lt;=0,Q_max,ABS(AS$23-AS1764))</f>
        <v>236393</v>
      </c>
      <c r="AU1765" s="9">
        <f ca="1">AS1754</f>
        <v>1030709.1380278098</v>
      </c>
    </row>
    <row r="1766" spans="15:47" x14ac:dyDescent="0.25">
      <c r="O1766" s="21"/>
      <c r="P1766" s="14"/>
      <c r="Q1766" s="21"/>
      <c r="R1766" s="97"/>
      <c r="S1766" s="106"/>
      <c r="T1766" s="28"/>
      <c r="U1766" s="97"/>
      <c r="V1766" s="111"/>
      <c r="W1766" s="28"/>
      <c r="X1766" s="97"/>
      <c r="Y1766" s="111"/>
      <c r="Z1766" s="28"/>
      <c r="AA1766" s="97"/>
      <c r="AB1766" s="111"/>
      <c r="AC1766" s="28"/>
      <c r="AD1766" s="97"/>
      <c r="AE1766" s="111"/>
      <c r="AF1766" s="28"/>
      <c r="AG1766" s="97"/>
      <c r="AH1766" s="111"/>
      <c r="AI1766" s="28"/>
      <c r="AJ1766" s="97"/>
      <c r="AK1766" s="111"/>
      <c r="AL1766" s="28"/>
      <c r="AM1766" s="97"/>
      <c r="AN1766" s="111"/>
      <c r="AO1766" s="28"/>
      <c r="AP1766" s="97"/>
      <c r="AQ1766" s="111"/>
      <c r="AR1766" s="28"/>
      <c r="AS1766" s="97"/>
      <c r="AT1766" s="111"/>
      <c r="AU1766" s="28"/>
    </row>
    <row r="1767" spans="15:47" x14ac:dyDescent="0.25">
      <c r="O1767" s="1"/>
      <c r="P1767" s="1"/>
      <c r="Q1767" s="1"/>
      <c r="R1767" s="98"/>
      <c r="S1767" s="108" t="s">
        <v>137</v>
      </c>
      <c r="T1767" s="26" t="s">
        <v>146</v>
      </c>
      <c r="U1767" s="98"/>
      <c r="V1767" s="108" t="s">
        <v>137</v>
      </c>
      <c r="W1767" s="26" t="s">
        <v>146</v>
      </c>
      <c r="X1767" s="98"/>
      <c r="Y1767" s="108" t="s">
        <v>137</v>
      </c>
      <c r="Z1767" s="26" t="s">
        <v>146</v>
      </c>
      <c r="AA1767" s="98"/>
      <c r="AB1767" s="108" t="s">
        <v>137</v>
      </c>
      <c r="AC1767" s="26" t="s">
        <v>146</v>
      </c>
      <c r="AD1767" s="98"/>
      <c r="AE1767" s="108" t="s">
        <v>137</v>
      </c>
      <c r="AF1767" s="26" t="s">
        <v>146</v>
      </c>
      <c r="AG1767" s="98"/>
      <c r="AH1767" s="108" t="s">
        <v>137</v>
      </c>
      <c r="AI1767" s="26" t="s">
        <v>146</v>
      </c>
      <c r="AJ1767" s="98"/>
      <c r="AK1767" s="108" t="s">
        <v>137</v>
      </c>
      <c r="AL1767" s="26" t="s">
        <v>146</v>
      </c>
      <c r="AM1767" s="98"/>
      <c r="AN1767" s="108" t="s">
        <v>137</v>
      </c>
      <c r="AO1767" s="26" t="s">
        <v>146</v>
      </c>
      <c r="AP1767" s="98"/>
      <c r="AQ1767" s="108" t="s">
        <v>137</v>
      </c>
      <c r="AR1767" s="26" t="s">
        <v>146</v>
      </c>
      <c r="AS1767" s="98"/>
      <c r="AT1767" s="108" t="s">
        <v>137</v>
      </c>
      <c r="AU1767" s="26" t="s">
        <v>146</v>
      </c>
    </row>
    <row r="1768" spans="15:47" ht="13.8" x14ac:dyDescent="0.25">
      <c r="O1768" s="20" t="s">
        <v>136</v>
      </c>
      <c r="P1768" s="1"/>
      <c r="Q1768" s="1"/>
      <c r="R1768" s="96">
        <f>R1754*1.02</f>
        <v>3712.854770890287</v>
      </c>
      <c r="S1768" s="109" t="s">
        <v>144</v>
      </c>
      <c r="T1768" s="23" t="s">
        <v>147</v>
      </c>
      <c r="U1768" s="96">
        <f ca="1">U1754*1.01</f>
        <v>40213.166614243266</v>
      </c>
      <c r="V1768" s="109" t="s">
        <v>144</v>
      </c>
      <c r="W1768" s="23" t="s">
        <v>147</v>
      </c>
      <c r="X1768" s="96">
        <f ca="1">X1754*1.01</f>
        <v>98467.273722719518</v>
      </c>
      <c r="Y1768" s="109" t="s">
        <v>144</v>
      </c>
      <c r="Z1768" s="23" t="s">
        <v>147</v>
      </c>
      <c r="AA1768" s="96">
        <f ca="1">AA1754*1.01</f>
        <v>191789.11589187535</v>
      </c>
      <c r="AB1768" s="109" t="s">
        <v>144</v>
      </c>
      <c r="AC1768" s="23" t="s">
        <v>147</v>
      </c>
      <c r="AD1768" s="96">
        <f ca="1">AD1754*1.01</f>
        <v>321762.47498897201</v>
      </c>
      <c r="AE1768" s="109" t="s">
        <v>144</v>
      </c>
      <c r="AF1768" s="23" t="s">
        <v>147</v>
      </c>
      <c r="AG1768" s="96">
        <f ca="1">AG1754*1.01</f>
        <v>469621.09581479017</v>
      </c>
      <c r="AH1768" s="109" t="s">
        <v>144</v>
      </c>
      <c r="AI1768" s="23" t="s">
        <v>147</v>
      </c>
      <c r="AJ1768" s="96">
        <f ca="1">AJ1754*1.01</f>
        <v>626711.17288258974</v>
      </c>
      <c r="AK1768" s="109" t="s">
        <v>144</v>
      </c>
      <c r="AL1768" s="23" t="s">
        <v>147</v>
      </c>
      <c r="AM1768" s="96">
        <f ca="1">AM1754*1.01</f>
        <v>764706.73107544438</v>
      </c>
      <c r="AN1768" s="109" t="s">
        <v>144</v>
      </c>
      <c r="AO1768" s="23" t="s">
        <v>147</v>
      </c>
      <c r="AP1768" s="96">
        <f ca="1">AP1754*1.01</f>
        <v>887800.77474106511</v>
      </c>
      <c r="AQ1768" s="109" t="s">
        <v>144</v>
      </c>
      <c r="AR1768" s="23" t="s">
        <v>147</v>
      </c>
      <c r="AS1768" s="96">
        <f ca="1">AS1754*1.01</f>
        <v>1041016.2294080879</v>
      </c>
      <c r="AT1768" s="109" t="s">
        <v>144</v>
      </c>
      <c r="AU1768" s="23" t="s">
        <v>147</v>
      </c>
    </row>
    <row r="1769" spans="15:47" x14ac:dyDescent="0.25">
      <c r="O1769" s="1"/>
      <c r="P1769" s="1"/>
      <c r="Q1769" s="1"/>
      <c r="R1769" s="98"/>
      <c r="S1769" s="107"/>
      <c r="T1769" s="1"/>
      <c r="U1769" s="47"/>
      <c r="V1769" s="107"/>
      <c r="W1769" s="1"/>
      <c r="X1769" s="47"/>
      <c r="Y1769" s="107"/>
      <c r="Z1769" s="1"/>
      <c r="AA1769" s="47"/>
      <c r="AB1769" s="107"/>
      <c r="AC1769" s="1"/>
      <c r="AD1769" s="47"/>
      <c r="AE1769" s="107"/>
      <c r="AF1769" s="1"/>
      <c r="AG1769" s="47"/>
      <c r="AH1769" s="107"/>
      <c r="AI1769" s="1"/>
      <c r="AJ1769" s="47"/>
      <c r="AK1769" s="107"/>
      <c r="AL1769" s="1"/>
      <c r="AM1769" s="47"/>
      <c r="AN1769" s="107"/>
      <c r="AO1769" s="1"/>
      <c r="AP1769" s="47"/>
      <c r="AQ1769" s="107"/>
      <c r="AR1769" s="1"/>
      <c r="AS1769" s="47"/>
      <c r="AT1769" s="107"/>
      <c r="AU1769" s="1"/>
    </row>
    <row r="1770" spans="15:47" x14ac:dyDescent="0.25">
      <c r="O1770" s="8" t="s">
        <v>132</v>
      </c>
      <c r="P1770" s="8"/>
      <c r="Q1770" s="8"/>
      <c r="R1770" s="96">
        <f>P_1_minQ-(R1768^2*R_up)+dpup_minQ</f>
        <v>90.182528010638791</v>
      </c>
      <c r="S1770" s="106"/>
      <c r="T1770" s="22"/>
      <c r="U1770" s="96">
        <f ca="1">P_1_minQ-(U1768^2*R_up)+dpup_minQ</f>
        <v>89.890306635089047</v>
      </c>
      <c r="V1770" s="107"/>
      <c r="W1770" s="1"/>
      <c r="X1770" s="96">
        <f ca="1">P_1_minQ-(X1768^2*R_up)+dpup_minQ</f>
        <v>88.417874459411777</v>
      </c>
      <c r="Y1770" s="107"/>
      <c r="Z1770" s="1"/>
      <c r="AA1770" s="96">
        <f ca="1">P_1_minQ-(AA1768^2*R_up)+dpup_minQ</f>
        <v>83.48092559121838</v>
      </c>
      <c r="AB1770" s="107"/>
      <c r="AC1770" s="1"/>
      <c r="AD1770" s="96">
        <f ca="1">P_1_minQ-(AD1768^2*R_up)+dpup_minQ</f>
        <v>71.31536967252508</v>
      </c>
      <c r="AE1770" s="107"/>
      <c r="AF1770" s="1"/>
      <c r="AG1770" s="96">
        <f ca="1">P_1_minQ-(AG1768^2*R_up)+dpup_minQ</f>
        <v>49.988494935761686</v>
      </c>
      <c r="AH1770" s="107"/>
      <c r="AI1770" s="1"/>
      <c r="AJ1770" s="96">
        <f ca="1">P_1_minQ-(AJ1768^2*R_up)+dpup_minQ</f>
        <v>18.598988500848677</v>
      </c>
      <c r="AK1770" s="107"/>
      <c r="AL1770" s="1"/>
      <c r="AM1770" s="96">
        <f ca="1">P_1_minQ-(AM1768^2*R_up)+dpup_minQ</f>
        <v>-16.396836167087827</v>
      </c>
      <c r="AN1770" s="107"/>
      <c r="AO1770" s="1"/>
      <c r="AP1770" s="96">
        <f ca="1">P_1_minQ-(AP1768^2*R_up)+dpup_minQ</f>
        <v>-53.471226370404224</v>
      </c>
      <c r="AQ1770" s="107"/>
      <c r="AR1770" s="1"/>
      <c r="AS1770" s="96">
        <f ca="1">P_1_minQ-(AS1768^2*R_up)+dpup_minQ</f>
        <v>-107.33380455738202</v>
      </c>
      <c r="AT1770" s="107"/>
      <c r="AU1770" s="1"/>
    </row>
    <row r="1771" spans="15:47" x14ac:dyDescent="0.25">
      <c r="O1771" s="8" t="s">
        <v>134</v>
      </c>
      <c r="P1771" s="1"/>
      <c r="Q1771" s="8"/>
      <c r="R1771" s="97">
        <f>P_2_minQ+(R1768^2*R_dn)-dpdn_minQ</f>
        <v>60</v>
      </c>
      <c r="S1771" s="106"/>
      <c r="T1771" s="22"/>
      <c r="U1771" s="97">
        <f ca="1">P_2_minQ+(U1768^2*R_dn)-dpdn_minQ</f>
        <v>60</v>
      </c>
      <c r="V1771" s="107"/>
      <c r="W1771" s="1"/>
      <c r="X1771" s="97">
        <f ca="1">P_2_minQ+(X1768^2*R_dn)-dpdn_minQ</f>
        <v>60</v>
      </c>
      <c r="Y1771" s="107"/>
      <c r="Z1771" s="1"/>
      <c r="AA1771" s="97">
        <f ca="1">P_2_minQ+(AA1768^2*R_dn)-dpdn_minQ</f>
        <v>60</v>
      </c>
      <c r="AB1771" s="107"/>
      <c r="AC1771" s="1"/>
      <c r="AD1771" s="97">
        <f ca="1">P_2_minQ+(AD1768^2*R_dn)-dpdn_minQ</f>
        <v>60</v>
      </c>
      <c r="AE1771" s="107"/>
      <c r="AF1771" s="1"/>
      <c r="AG1771" s="97">
        <f ca="1">P_2_minQ+(AG1768^2*R_dn)-dpdn_minQ</f>
        <v>60</v>
      </c>
      <c r="AH1771" s="107"/>
      <c r="AI1771" s="1"/>
      <c r="AJ1771" s="97">
        <f ca="1">P_2_minQ+(AJ1768^2*R_dn)-dpdn_minQ</f>
        <v>60</v>
      </c>
      <c r="AK1771" s="107"/>
      <c r="AL1771" s="1"/>
      <c r="AM1771" s="97">
        <f ca="1">P_2_minQ+(AM1768^2*R_dn)-dpdn_minQ</f>
        <v>60</v>
      </c>
      <c r="AN1771" s="107"/>
      <c r="AO1771" s="1"/>
      <c r="AP1771" s="97">
        <f ca="1">P_2_minQ+(AP1768^2*R_dn)-dpdn_minQ</f>
        <v>60</v>
      </c>
      <c r="AQ1771" s="107"/>
      <c r="AR1771" s="1"/>
      <c r="AS1771" s="97">
        <f ca="1">P_2_minQ+(AS1768^2*R_dn)-dpdn_minQ</f>
        <v>60</v>
      </c>
      <c r="AT1771" s="107"/>
      <c r="AU1771" s="1"/>
    </row>
    <row r="1772" spans="15:47" x14ac:dyDescent="0.25">
      <c r="O1772" s="8" t="s">
        <v>138</v>
      </c>
      <c r="P1772" s="1"/>
      <c r="Q1772" s="8"/>
      <c r="R1772" s="97">
        <f>R1770-R1771</f>
        <v>30.182528010638791</v>
      </c>
      <c r="S1772" s="106"/>
      <c r="T1772" s="22"/>
      <c r="U1772" s="97">
        <f ca="1">U1770-U1771</f>
        <v>29.890306635089047</v>
      </c>
      <c r="V1772" s="110"/>
      <c r="W1772" s="25"/>
      <c r="X1772" s="97">
        <f ca="1">X1770-X1771</f>
        <v>28.417874459411777</v>
      </c>
      <c r="Y1772" s="110"/>
      <c r="Z1772" s="25"/>
      <c r="AA1772" s="97">
        <f ca="1">AA1770-AA1771</f>
        <v>23.48092559121838</v>
      </c>
      <c r="AB1772" s="110"/>
      <c r="AC1772" s="25"/>
      <c r="AD1772" s="97">
        <f ca="1">AD1770-AD1771</f>
        <v>11.31536967252508</v>
      </c>
      <c r="AE1772" s="110"/>
      <c r="AF1772" s="25"/>
      <c r="AG1772" s="97">
        <f ca="1">AG1770-AG1771</f>
        <v>-10.011505064238314</v>
      </c>
      <c r="AH1772" s="110"/>
      <c r="AI1772" s="25"/>
      <c r="AJ1772" s="97">
        <f ca="1">AJ1770-AJ1771</f>
        <v>-41.401011499151323</v>
      </c>
      <c r="AK1772" s="110"/>
      <c r="AL1772" s="25"/>
      <c r="AM1772" s="97">
        <f ca="1">AM1770-AM1771</f>
        <v>-76.396836167087827</v>
      </c>
      <c r="AN1772" s="110"/>
      <c r="AO1772" s="25"/>
      <c r="AP1772" s="97">
        <f ca="1">AP1770-AP1771</f>
        <v>-113.47122637040422</v>
      </c>
      <c r="AQ1772" s="110"/>
      <c r="AR1772" s="25"/>
      <c r="AS1772" s="97">
        <f ca="1">AS1770-AS1771</f>
        <v>-167.33380455738202</v>
      </c>
      <c r="AT1772" s="110"/>
      <c r="AU1772" s="25"/>
    </row>
    <row r="1773" spans="15:47" ht="14.4" x14ac:dyDescent="0.3">
      <c r="O1773" s="2" t="s">
        <v>140</v>
      </c>
      <c r="P1773" s="11"/>
      <c r="Q1773" s="2"/>
      <c r="R1773" s="96">
        <f>R1772/R1770</f>
        <v>0.33468265612467829</v>
      </c>
      <c r="S1773" s="106"/>
      <c r="T1773" s="22"/>
      <c r="U1773" s="96">
        <f ca="1">U1772/U1770</f>
        <v>0.33251979834076173</v>
      </c>
      <c r="V1773" s="111"/>
      <c r="W1773" s="28"/>
      <c r="X1773" s="96">
        <f ca="1">X1772/X1770</f>
        <v>0.32140418024250289</v>
      </c>
      <c r="Y1773" s="111"/>
      <c r="Z1773" s="28"/>
      <c r="AA1773" s="96">
        <f ca="1">AA1772/AA1770</f>
        <v>0.28127294259047375</v>
      </c>
      <c r="AB1773" s="111"/>
      <c r="AC1773" s="28"/>
      <c r="AD1773" s="96">
        <f ca="1">AD1772/AD1770</f>
        <v>0.1586666341979916</v>
      </c>
      <c r="AE1773" s="111"/>
      <c r="AF1773" s="28"/>
      <c r="AG1773" s="96">
        <f ca="1">AG1772/AG1770</f>
        <v>-0.20027618509226411</v>
      </c>
      <c r="AH1773" s="111"/>
      <c r="AI1773" s="28"/>
      <c r="AJ1773" s="96">
        <f ca="1">AJ1772/AJ1770</f>
        <v>-2.2259818859107412</v>
      </c>
      <c r="AK1773" s="111"/>
      <c r="AL1773" s="28"/>
      <c r="AM1773" s="96">
        <f ca="1">AM1772/AM1770</f>
        <v>4.6592425141402352</v>
      </c>
      <c r="AN1773" s="111"/>
      <c r="AO1773" s="28"/>
      <c r="AP1773" s="96">
        <f ca="1">AP1772/AP1770</f>
        <v>2.1220988197347457</v>
      </c>
      <c r="AQ1773" s="111"/>
      <c r="AR1773" s="28"/>
      <c r="AS1773" s="96">
        <f ca="1">AS1772/AS1770</f>
        <v>1.5590037569936621</v>
      </c>
      <c r="AT1773" s="111"/>
      <c r="AU1773" s="28"/>
    </row>
    <row r="1774" spans="15:47" x14ac:dyDescent="0.25">
      <c r="O1774" s="2" t="s">
        <v>21</v>
      </c>
      <c r="P1774" s="8">
        <v>12</v>
      </c>
      <c r="Q1774" s="2"/>
      <c r="R1774" s="96">
        <f ca="1">1-R1773/(3*F_GAMMA*R$29)</f>
        <v>0.82569420480289579</v>
      </c>
      <c r="S1774" s="106"/>
      <c r="T1774" s="22"/>
      <c r="U1774" s="96">
        <f ca="1">1-U1773/(3*F_GAMMA*U$29)</f>
        <v>0.82686087313208845</v>
      </c>
      <c r="V1774" s="111"/>
      <c r="W1774" s="28"/>
      <c r="X1774" s="96">
        <f ca="1">1-X1773/(3*F_GAMMA*X$29)</f>
        <v>0.83105475118542338</v>
      </c>
      <c r="Y1774" s="111"/>
      <c r="Z1774" s="28"/>
      <c r="AA1774" s="96">
        <f ca="1">1-AA1773/(3*F_GAMMA*AA$29)</f>
        <v>0.85006551817571241</v>
      </c>
      <c r="AB1774" s="111"/>
      <c r="AC1774" s="28"/>
      <c r="AD1774" s="96">
        <f ca="1">1-AD1773/(3*F_GAMMA*AD$29)</f>
        <v>0.91279852835281072</v>
      </c>
      <c r="AE1774" s="111"/>
      <c r="AF1774" s="28"/>
      <c r="AG1774" s="96">
        <f ca="1">1-AG1773/(3*F_GAMMA*AG$29)</f>
        <v>1.1166744902035266</v>
      </c>
      <c r="AH1774" s="111"/>
      <c r="AI1774" s="28"/>
      <c r="AJ1774" s="96">
        <f ca="1">1-AJ1773/(3*F_GAMMA*AJ$29)</f>
        <v>2.3951639195702201</v>
      </c>
      <c r="AK1774" s="111"/>
      <c r="AL1774" s="28"/>
      <c r="AM1774" s="96">
        <f ca="1">1-AM1773/(3*F_GAMMA*AM$29)</f>
        <v>-2.2650719094567018</v>
      </c>
      <c r="AN1774" s="111"/>
      <c r="AO1774" s="28"/>
      <c r="AP1774" s="96">
        <f ca="1">1-AP1773/(3*F_GAMMA*AP$29)</f>
        <v>-0.19782635807447035</v>
      </c>
      <c r="AQ1774" s="111"/>
      <c r="AR1774" s="28"/>
      <c r="AS1774" s="96">
        <f ca="1">1-AS1773/(3*F_GAMMA*AS$29)</f>
        <v>-0.37956404606503757</v>
      </c>
      <c r="AT1774" s="111"/>
      <c r="AU1774" s="28"/>
    </row>
    <row r="1775" spans="15:47" x14ac:dyDescent="0.25">
      <c r="O1775" s="2" t="s">
        <v>57</v>
      </c>
      <c r="P1775" s="143">
        <v>7</v>
      </c>
      <c r="Q1775" s="2"/>
      <c r="R1775" s="96">
        <f ca="1">(R1768/(N_9*R$27*R1770*R1774))*SQRT(M*'Valve Sizing'!$W$6*'Valve Sizing'!$G$8/R1773)</f>
        <v>1.4994629901477137</v>
      </c>
      <c r="S1775" s="107"/>
      <c r="T1775" s="22"/>
      <c r="U1775" s="96">
        <f ca="1">(U1768/(N_9*U$27*U1770*U1774))*SQRT(M*'Valve Sizing'!$W$6*'Valve Sizing'!$G$8/U1773)</f>
        <v>16.333720267912412</v>
      </c>
      <c r="V1775" s="111"/>
      <c r="W1775" s="28"/>
      <c r="X1775" s="96">
        <f ca="1">(X1768/(N_9*X$27*X1770*X1774))*SQRT(M*'Valve Sizing'!$W$6*'Valve Sizing'!$G$8/X1773)</f>
        <v>41.244490621782958</v>
      </c>
      <c r="Y1775" s="111"/>
      <c r="Z1775" s="28"/>
      <c r="AA1775" s="96">
        <f ca="1">(AA1768/(N_9*AA$27*AA1770*AA1774))*SQRT(M*'Valve Sizing'!$W$6*'Valve Sizing'!$G$8/AA1773)</f>
        <v>89.445694484637386</v>
      </c>
      <c r="AB1775" s="111"/>
      <c r="AC1775" s="28"/>
      <c r="AD1775" s="96">
        <f ca="1">(AD1768/(N_9*AD$27*AD1770*AD1774))*SQRT(M*'Valve Sizing'!$W$6*'Valve Sizing'!$G$8/AD1773)</f>
        <v>220.50606864323686</v>
      </c>
      <c r="AE1775" s="111"/>
      <c r="AF1775" s="28"/>
      <c r="AG1775" s="96" t="e">
        <f ca="1">(AG1768/(N_9*AG$27*AG1770*AG1774))*SQRT(M*'Valve Sizing'!$W$6*'Valve Sizing'!$G$8/AG1773)</f>
        <v>#NUM!</v>
      </c>
      <c r="AH1775" s="111"/>
      <c r="AI1775" s="28"/>
      <c r="AJ1775" s="96" t="e">
        <f ca="1">(AJ1768/(N_9*AJ$27*AJ1770*AJ1774))*SQRT(M*'Valve Sizing'!$W$6*'Valve Sizing'!$G$8/AJ1773)</f>
        <v>#NUM!</v>
      </c>
      <c r="AK1775" s="111"/>
      <c r="AL1775" s="28"/>
      <c r="AM1775" s="96">
        <f ca="1">(AM1768/(N_9*AM$27*AM1770*AM1774))*SQRT(M*'Valve Sizing'!$W$6*'Valve Sizing'!$G$8/AM1773)</f>
        <v>190.54092737569607</v>
      </c>
      <c r="AN1775" s="111"/>
      <c r="AO1775" s="28"/>
      <c r="AP1775" s="96">
        <f ca="1">(AP1768/(N_9*AP$27*AP1770*AP1774))*SQRT(M*'Valve Sizing'!$W$6*'Valve Sizing'!$G$8/AP1773)</f>
        <v>1309.8994332242953</v>
      </c>
      <c r="AQ1775" s="111"/>
      <c r="AR1775" s="28"/>
      <c r="AS1775" s="96">
        <f ca="1">(AS1768/(N_9*AS$27*AS1770*AS1774))*SQRT(M*'Valve Sizing'!$W$6*'Valve Sizing'!$G$8/AS1773)</f>
        <v>623.20206693212072</v>
      </c>
      <c r="AT1775" s="111"/>
      <c r="AU1775" s="28"/>
    </row>
    <row r="1776" spans="15:47" x14ac:dyDescent="0.25">
      <c r="O1776" s="2" t="s">
        <v>59</v>
      </c>
      <c r="P1776" s="143">
        <v>7</v>
      </c>
      <c r="Q1776" s="2"/>
      <c r="R1776" s="96">
        <f ca="1">(R1768/(N_9*R$27*R1770*0.667))*SQRT(M*'Valve Sizing'!$W$6*'Valve Sizing'!$G$8/R1777)</f>
        <v>1.3422879581709315</v>
      </c>
      <c r="S1776" s="107"/>
      <c r="T1776" s="22"/>
      <c r="U1776" s="96">
        <f ca="1">(U1768/(N_9*U$27*U1770*0.667))*SQRT(M*'Valve Sizing'!$W$6*'Valve Sizing'!$G$8/U1777)</f>
        <v>14.593180702975134</v>
      </c>
      <c r="V1776" s="111"/>
      <c r="W1776" s="28"/>
      <c r="X1776" s="96">
        <f ca="1">(X1768/(N_9*X$27*X1770*0.667))*SQRT(M*'Valve Sizing'!$W$6*'Valve Sizing'!$G$8/X1777)</f>
        <v>36.585025822319814</v>
      </c>
      <c r="Y1776" s="111"/>
      <c r="Z1776" s="28"/>
      <c r="AA1776" s="96">
        <f ca="1">(AA1768/(N_9*AA$27*AA1770*0.667))*SQRT(M*'Valve Sizing'!$W$6*'Valve Sizing'!$G$8/AA1777)</f>
        <v>76.453504111121575</v>
      </c>
      <c r="AB1776" s="111"/>
      <c r="AC1776" s="28"/>
      <c r="AD1776" s="96">
        <f ca="1">(AD1768/(N_9*AD$27*AD1770*0.667))*SQRT(M*'Valve Sizing'!$W$6*'Valve Sizing'!$G$8/AD1777)</f>
        <v>154.34486250280057</v>
      </c>
      <c r="AE1776" s="111"/>
      <c r="AF1776" s="28"/>
      <c r="AG1776" s="96">
        <f ca="1">(AG1768/(N_9*AG$27*AG1770*0.667))*SQRT(M*'Valve Sizing'!$W$6*'Valve Sizing'!$G$8/AG1777)</f>
        <v>338.32724353928268</v>
      </c>
      <c r="AH1776" s="111"/>
      <c r="AI1776" s="28"/>
      <c r="AJ1776" s="96">
        <f ca="1">(AJ1768/(N_9*AJ$27*AJ1770*0.667))*SQRT(M*'Valve Sizing'!$W$6*'Valve Sizing'!$G$8/AJ1777)</f>
        <v>1304.184663555628</v>
      </c>
      <c r="AK1776" s="111"/>
      <c r="AL1776" s="28"/>
      <c r="AM1776" s="96">
        <f ca="1">(AM1768/(N_9*AM$27*AM1770*0.667))*SQRT(M*'Valve Sizing'!$W$6*'Valve Sizing'!$G$8/AM1777)</f>
        <v>-2025.1231463535589</v>
      </c>
      <c r="AN1776" s="111"/>
      <c r="AO1776" s="28"/>
      <c r="AP1776" s="96">
        <f ca="1">(AP1768/(N_9*AP$27*AP1770*0.667))*SQRT(M*'Valve Sizing'!$W$6*'Valve Sizing'!$G$8/AP1777)</f>
        <v>-736.46792372250115</v>
      </c>
      <c r="AQ1776" s="111"/>
      <c r="AR1776" s="28"/>
      <c r="AS1776" s="96">
        <f ca="1">(AS1768/(N_9*AS$27*AS1770*0.667))*SQRT(M*'Valve Sizing'!$W$6*'Valve Sizing'!$G$8/AS1777)</f>
        <v>-721.47233002123482</v>
      </c>
      <c r="AT1776" s="111"/>
      <c r="AU1776" s="28"/>
    </row>
    <row r="1777" spans="15:47" ht="15.6" x14ac:dyDescent="0.35">
      <c r="O1777" s="2" t="s">
        <v>68</v>
      </c>
      <c r="P1777" s="143">
        <v>10</v>
      </c>
      <c r="Q1777" s="2"/>
      <c r="R1777" s="96">
        <f ca="1">F_GAMMA*R$29</f>
        <v>0.64002969751372984</v>
      </c>
      <c r="S1777" s="107"/>
      <c r="T1777" s="1"/>
      <c r="U1777" s="96">
        <f ca="1">F_GAMMA*U$29</f>
        <v>0.64017842058782071</v>
      </c>
      <c r="V1777" s="111"/>
      <c r="W1777" s="28"/>
      <c r="X1777" s="96">
        <f ca="1">F_GAMMA*X$29</f>
        <v>0.63413873724904268</v>
      </c>
      <c r="Y1777" s="111"/>
      <c r="Z1777" s="28"/>
      <c r="AA1777" s="96">
        <f ca="1">F_GAMMA*AA$29</f>
        <v>0.62532411750377137</v>
      </c>
      <c r="AB1777" s="111"/>
      <c r="AC1777" s="28"/>
      <c r="AD1777" s="96">
        <f ca="1">F_GAMMA*AD$29</f>
        <v>0.60651359509139569</v>
      </c>
      <c r="AE1777" s="111"/>
      <c r="AF1777" s="28"/>
      <c r="AG1777" s="96">
        <f ca="1">F_GAMMA*AG$29</f>
        <v>0.57217930198481592</v>
      </c>
      <c r="AH1777" s="111"/>
      <c r="AI1777" s="28"/>
      <c r="AJ1777" s="96">
        <f ca="1">F_GAMMA*AJ$29</f>
        <v>0.53183282018848232</v>
      </c>
      <c r="AK1777" s="111"/>
      <c r="AL1777" s="28"/>
      <c r="AM1777" s="96">
        <f ca="1">F_GAMMA*AM$29</f>
        <v>0.47566512503094399</v>
      </c>
      <c r="AN1777" s="111"/>
      <c r="AO1777" s="28"/>
      <c r="AP1777" s="96">
        <f ca="1">F_GAMMA*AP$29</f>
        <v>0.59054158265645496</v>
      </c>
      <c r="AQ1777" s="111"/>
      <c r="AR1777" s="28"/>
      <c r="AS1777" s="96">
        <f ca="1">F_GAMMA*AS$29</f>
        <v>0.3766899554102966</v>
      </c>
      <c r="AT1777" s="111"/>
      <c r="AU1777" s="28"/>
    </row>
    <row r="1778" spans="15:47" x14ac:dyDescent="0.25">
      <c r="O1778" s="2" t="s">
        <v>145</v>
      </c>
      <c r="P1778" s="12"/>
      <c r="Q1778" s="2"/>
      <c r="R1778" s="96">
        <f ca="1">IF(R1773&lt;R1777,R1775,R1776)</f>
        <v>1.4994629901477137</v>
      </c>
      <c r="S1778" s="116"/>
      <c r="T1778" s="1"/>
      <c r="U1778" s="96">
        <f ca="1">IF(U1773&lt;U1777,U1775,U1776)</f>
        <v>16.333720267912412</v>
      </c>
      <c r="V1778" s="111"/>
      <c r="W1778" s="28"/>
      <c r="X1778" s="96">
        <f ca="1">IF(X1773&lt;X1777,X1775,X1776)</f>
        <v>41.244490621782958</v>
      </c>
      <c r="Y1778" s="111"/>
      <c r="Z1778" s="28"/>
      <c r="AA1778" s="96">
        <f ca="1">IF(AA1773&lt;AA1777,AA1775,AA1776)</f>
        <v>89.445694484637386</v>
      </c>
      <c r="AB1778" s="111"/>
      <c r="AC1778" s="28"/>
      <c r="AD1778" s="96">
        <f ca="1">IF(AD1773&lt;AD1777,AD1775,AD1776)</f>
        <v>220.50606864323686</v>
      </c>
      <c r="AE1778" s="111"/>
      <c r="AF1778" s="28"/>
      <c r="AG1778" s="96" t="e">
        <f ca="1">IF(AG1773&lt;AG1777,AG1775,AG1776)</f>
        <v>#NUM!</v>
      </c>
      <c r="AH1778" s="111"/>
      <c r="AI1778" s="28"/>
      <c r="AJ1778" s="96" t="e">
        <f ca="1">IF(AJ1773&lt;AJ1777,AJ1775,AJ1776)</f>
        <v>#NUM!</v>
      </c>
      <c r="AK1778" s="111"/>
      <c r="AL1778" s="28"/>
      <c r="AM1778" s="96">
        <f ca="1">IF(AM1773&lt;AM1777,AM1775,AM1776)</f>
        <v>-2025.1231463535589</v>
      </c>
      <c r="AN1778" s="111"/>
      <c r="AO1778" s="28"/>
      <c r="AP1778" s="96">
        <f ca="1">IF(AP1773&lt;AP1777,AP1775,AP1776)</f>
        <v>-736.46792372250115</v>
      </c>
      <c r="AQ1778" s="111"/>
      <c r="AR1778" s="28"/>
      <c r="AS1778" s="96">
        <f ca="1">IF(AS1773&lt;AS1777,AS1775,AS1776)</f>
        <v>-721.47233002123482</v>
      </c>
      <c r="AT1778" s="111"/>
      <c r="AU1778" s="28"/>
    </row>
    <row r="1779" spans="15:47" x14ac:dyDescent="0.25">
      <c r="O1779" s="13" t="s">
        <v>143</v>
      </c>
      <c r="P1779" s="1"/>
      <c r="Q1779" s="1"/>
      <c r="R1779" s="113"/>
      <c r="S1779" s="106">
        <f ca="1">IF(R1772&lt;=0,Q_max,ABS(R$23-R1778))</f>
        <v>3.230537009852287</v>
      </c>
      <c r="T1779" s="7">
        <f>R1768</f>
        <v>3712.854770890287</v>
      </c>
      <c r="U1779" s="98"/>
      <c r="V1779" s="106">
        <f ca="1">IF(U1772&lt;=0,Q_max,ABS(U$23-U1778))</f>
        <v>4.7337202679124122</v>
      </c>
      <c r="W1779" s="9">
        <f ca="1">U1768</f>
        <v>40213.166614243266</v>
      </c>
      <c r="X1779" s="98"/>
      <c r="Y1779" s="106">
        <f ca="1">IF(X1772&lt;=0,Q_max,ABS(X$23-X1778))</f>
        <v>18.244490621782958</v>
      </c>
      <c r="Z1779" s="9">
        <f ca="1">X1768</f>
        <v>98467.273722719518</v>
      </c>
      <c r="AA1779" s="98"/>
      <c r="AB1779" s="106">
        <f ca="1">IF(AA1772&lt;=0,Q_max,ABS(AA$23-AA1778))</f>
        <v>50.045694484637387</v>
      </c>
      <c r="AC1779" s="9">
        <f ca="1">AA1768</f>
        <v>191789.11589187535</v>
      </c>
      <c r="AD1779" s="98"/>
      <c r="AE1779" s="106">
        <f ca="1">IF(AD1772&lt;=0,Q_max,ABS(AD$23-AD1778))</f>
        <v>159.50606864323686</v>
      </c>
      <c r="AF1779" s="9">
        <f ca="1">AD1768</f>
        <v>321762.47498897201</v>
      </c>
      <c r="AG1779" s="98"/>
      <c r="AH1779" s="106">
        <f ca="1">IF(AG1772&lt;=0,Q_max,ABS(AG$23-AG1778))</f>
        <v>236393</v>
      </c>
      <c r="AI1779" s="9">
        <f ca="1">AG1768</f>
        <v>469621.09581479017</v>
      </c>
      <c r="AJ1779" s="98"/>
      <c r="AK1779" s="106">
        <f ca="1">IF(AJ1772&lt;=0,Q_max,ABS(AJ$23-AJ1778))</f>
        <v>236393</v>
      </c>
      <c r="AL1779" s="9">
        <f ca="1">AJ1768</f>
        <v>626711.17288258974</v>
      </c>
      <c r="AM1779" s="98"/>
      <c r="AN1779" s="106">
        <f ca="1">IF(AM1772&lt;=0,Q_max,ABS(AM$23-AM1778))</f>
        <v>236393</v>
      </c>
      <c r="AO1779" s="9">
        <f ca="1">AM1768</f>
        <v>764706.73107544438</v>
      </c>
      <c r="AP1779" s="98"/>
      <c r="AQ1779" s="106">
        <f ca="1">IF(AP1772&lt;=0,Q_max,ABS(AP$23-AP1778))</f>
        <v>236393</v>
      </c>
      <c r="AR1779" s="9">
        <f ca="1">AP1768</f>
        <v>887800.77474106511</v>
      </c>
      <c r="AS1779" s="98"/>
      <c r="AT1779" s="106">
        <f ca="1">IF(AS1772&lt;=0,Q_max,ABS(AS$23-AS1778))</f>
        <v>236393</v>
      </c>
      <c r="AU1779" s="9">
        <f ca="1">AS1768</f>
        <v>1041016.2294080879</v>
      </c>
    </row>
    <row r="1780" spans="15:47" x14ac:dyDescent="0.25">
      <c r="O1780" s="21"/>
      <c r="P1780" s="14"/>
      <c r="Q1780" s="21"/>
      <c r="R1780" s="97"/>
      <c r="S1780" s="106"/>
      <c r="T1780" s="28"/>
      <c r="U1780" s="99"/>
      <c r="V1780" s="110"/>
      <c r="W1780" s="25"/>
      <c r="X1780" s="99"/>
      <c r="Y1780" s="110"/>
      <c r="Z1780" s="25"/>
      <c r="AA1780" s="99"/>
      <c r="AB1780" s="110"/>
      <c r="AC1780" s="25"/>
      <c r="AD1780" s="99"/>
      <c r="AE1780" s="110"/>
      <c r="AF1780" s="25"/>
      <c r="AG1780" s="99"/>
      <c r="AH1780" s="110"/>
      <c r="AI1780" s="25"/>
      <c r="AJ1780" s="99"/>
      <c r="AK1780" s="110"/>
      <c r="AL1780" s="25"/>
      <c r="AM1780" s="99"/>
      <c r="AN1780" s="110"/>
      <c r="AO1780" s="25"/>
      <c r="AP1780" s="99"/>
      <c r="AQ1780" s="110"/>
      <c r="AR1780" s="25"/>
      <c r="AS1780" s="99"/>
      <c r="AT1780" s="110"/>
      <c r="AU1780" s="25"/>
    </row>
    <row r="1781" spans="15:47" x14ac:dyDescent="0.25">
      <c r="O1781" s="1"/>
      <c r="P1781" s="1"/>
      <c r="Q1781" s="1"/>
      <c r="R1781" s="98"/>
      <c r="S1781" s="108" t="s">
        <v>137</v>
      </c>
      <c r="T1781" s="26" t="s">
        <v>146</v>
      </c>
      <c r="U1781" s="98"/>
      <c r="V1781" s="108" t="s">
        <v>137</v>
      </c>
      <c r="W1781" s="26" t="s">
        <v>146</v>
      </c>
      <c r="X1781" s="98"/>
      <c r="Y1781" s="108" t="s">
        <v>137</v>
      </c>
      <c r="Z1781" s="26" t="s">
        <v>146</v>
      </c>
      <c r="AA1781" s="98"/>
      <c r="AB1781" s="108" t="s">
        <v>137</v>
      </c>
      <c r="AC1781" s="26" t="s">
        <v>146</v>
      </c>
      <c r="AD1781" s="98"/>
      <c r="AE1781" s="108" t="s">
        <v>137</v>
      </c>
      <c r="AF1781" s="26" t="s">
        <v>146</v>
      </c>
      <c r="AG1781" s="98"/>
      <c r="AH1781" s="108" t="s">
        <v>137</v>
      </c>
      <c r="AI1781" s="26" t="s">
        <v>146</v>
      </c>
      <c r="AJ1781" s="98"/>
      <c r="AK1781" s="108" t="s">
        <v>137</v>
      </c>
      <c r="AL1781" s="26" t="s">
        <v>146</v>
      </c>
      <c r="AM1781" s="98"/>
      <c r="AN1781" s="108" t="s">
        <v>137</v>
      </c>
      <c r="AO1781" s="26" t="s">
        <v>146</v>
      </c>
      <c r="AP1781" s="98"/>
      <c r="AQ1781" s="108" t="s">
        <v>137</v>
      </c>
      <c r="AR1781" s="26" t="s">
        <v>146</v>
      </c>
      <c r="AS1781" s="98"/>
      <c r="AT1781" s="108" t="s">
        <v>137</v>
      </c>
      <c r="AU1781" s="26" t="s">
        <v>146</v>
      </c>
    </row>
    <row r="1782" spans="15:47" ht="13.8" x14ac:dyDescent="0.25">
      <c r="O1782" s="20" t="s">
        <v>136</v>
      </c>
      <c r="P1782" s="1"/>
      <c r="Q1782" s="1"/>
      <c r="R1782" s="96">
        <f>R1768*1.02</f>
        <v>3787.1118663080929</v>
      </c>
      <c r="S1782" s="109" t="s">
        <v>144</v>
      </c>
      <c r="T1782" s="23" t="s">
        <v>147</v>
      </c>
      <c r="U1782" s="96">
        <f ca="1">U1768*1.01</f>
        <v>40615.298280385701</v>
      </c>
      <c r="V1782" s="109" t="s">
        <v>144</v>
      </c>
      <c r="W1782" s="23" t="s">
        <v>147</v>
      </c>
      <c r="X1782" s="96">
        <f ca="1">X1768*1.01</f>
        <v>99451.946459946717</v>
      </c>
      <c r="Y1782" s="109" t="s">
        <v>144</v>
      </c>
      <c r="Z1782" s="23" t="s">
        <v>147</v>
      </c>
      <c r="AA1782" s="96">
        <f ca="1">AA1768*1.01</f>
        <v>193707.00705079411</v>
      </c>
      <c r="AB1782" s="109" t="s">
        <v>144</v>
      </c>
      <c r="AC1782" s="23" t="s">
        <v>147</v>
      </c>
      <c r="AD1782" s="96">
        <f ca="1">AD1768*1.01</f>
        <v>324980.09973886173</v>
      </c>
      <c r="AE1782" s="109" t="s">
        <v>144</v>
      </c>
      <c r="AF1782" s="23" t="s">
        <v>147</v>
      </c>
      <c r="AG1782" s="96">
        <f ca="1">AG1768*1.01</f>
        <v>474317.30677293806</v>
      </c>
      <c r="AH1782" s="109" t="s">
        <v>144</v>
      </c>
      <c r="AI1782" s="23" t="s">
        <v>147</v>
      </c>
      <c r="AJ1782" s="96">
        <f ca="1">AJ1768*1.01</f>
        <v>632978.2846114157</v>
      </c>
      <c r="AK1782" s="109" t="s">
        <v>144</v>
      </c>
      <c r="AL1782" s="23" t="s">
        <v>147</v>
      </c>
      <c r="AM1782" s="96">
        <f ca="1">AM1768*1.01</f>
        <v>772353.79838619882</v>
      </c>
      <c r="AN1782" s="109" t="s">
        <v>144</v>
      </c>
      <c r="AO1782" s="23" t="s">
        <v>147</v>
      </c>
      <c r="AP1782" s="96">
        <f ca="1">AP1768*1.01</f>
        <v>896678.78248847579</v>
      </c>
      <c r="AQ1782" s="109" t="s">
        <v>144</v>
      </c>
      <c r="AR1782" s="23" t="s">
        <v>147</v>
      </c>
      <c r="AS1782" s="96">
        <f ca="1">AS1768*1.01</f>
        <v>1051426.3917021689</v>
      </c>
      <c r="AT1782" s="109" t="s">
        <v>144</v>
      </c>
      <c r="AU1782" s="23" t="s">
        <v>147</v>
      </c>
    </row>
    <row r="1783" spans="15:47" x14ac:dyDescent="0.25">
      <c r="O1783" s="1"/>
      <c r="P1783" s="1"/>
      <c r="Q1783" s="1"/>
      <c r="R1783" s="98"/>
      <c r="S1783" s="107"/>
      <c r="T1783" s="1"/>
      <c r="U1783" s="47"/>
      <c r="V1783" s="107"/>
      <c r="W1783" s="1"/>
      <c r="X1783" s="47"/>
      <c r="Y1783" s="107"/>
      <c r="Z1783" s="1"/>
      <c r="AA1783" s="47"/>
      <c r="AB1783" s="107"/>
      <c r="AC1783" s="1"/>
      <c r="AD1783" s="47"/>
      <c r="AE1783" s="107"/>
      <c r="AF1783" s="1"/>
      <c r="AG1783" s="47"/>
      <c r="AH1783" s="107"/>
      <c r="AI1783" s="1"/>
      <c r="AJ1783" s="47"/>
      <c r="AK1783" s="107"/>
      <c r="AL1783" s="1"/>
      <c r="AM1783" s="47"/>
      <c r="AN1783" s="107"/>
      <c r="AO1783" s="1"/>
      <c r="AP1783" s="47"/>
      <c r="AQ1783" s="107"/>
      <c r="AR1783" s="1"/>
      <c r="AS1783" s="47"/>
      <c r="AT1783" s="107"/>
      <c r="AU1783" s="1"/>
    </row>
    <row r="1784" spans="15:47" x14ac:dyDescent="0.25">
      <c r="O1784" s="8" t="s">
        <v>132</v>
      </c>
      <c r="P1784" s="8"/>
      <c r="Q1784" s="8"/>
      <c r="R1784" s="96">
        <f>P_1_minQ-(R1782^2*R_up)+dpup_minQ</f>
        <v>90.182426504846262</v>
      </c>
      <c r="S1784" s="106"/>
      <c r="T1784" s="22"/>
      <c r="U1784" s="96">
        <f ca="1">P_1_minQ-(U1782^2*R_up)+dpup_minQ</f>
        <v>89.884382483796188</v>
      </c>
      <c r="V1784" s="107"/>
      <c r="W1784" s="1"/>
      <c r="X1784" s="96">
        <f ca="1">P_1_minQ-(X1782^2*R_up)+dpup_minQ</f>
        <v>88.382354421387817</v>
      </c>
      <c r="Y1784" s="107"/>
      <c r="Z1784" s="1"/>
      <c r="AA1784" s="96">
        <f ca="1">P_1_minQ-(AA1782^2*R_up)+dpup_minQ</f>
        <v>83.34617288094374</v>
      </c>
      <c r="AB1784" s="107"/>
      <c r="AC1784" s="1"/>
      <c r="AD1784" s="96">
        <f ca="1">P_1_minQ-(AD1782^2*R_up)+dpup_minQ</f>
        <v>70.936089288284705</v>
      </c>
      <c r="AE1784" s="107"/>
      <c r="AF1784" s="1"/>
      <c r="AG1784" s="96">
        <f ca="1">P_1_minQ-(AG1782^2*R_up)+dpup_minQ</f>
        <v>49.180544369312365</v>
      </c>
      <c r="AH1784" s="107"/>
      <c r="AI1784" s="1"/>
      <c r="AJ1784" s="96">
        <f ca="1">P_1_minQ-(AJ1782^2*R_up)+dpup_minQ</f>
        <v>17.160108855057587</v>
      </c>
      <c r="AK1784" s="107"/>
      <c r="AL1784" s="1"/>
      <c r="AM1784" s="96">
        <f ca="1">P_1_minQ-(AM1782^2*R_up)+dpup_minQ</f>
        <v>-18.539131888704432</v>
      </c>
      <c r="AN1784" s="107"/>
      <c r="AO1784" s="1"/>
      <c r="AP1784" s="96">
        <f ca="1">P_1_minQ-(AP1782^2*R_up)+dpup_minQ</f>
        <v>-56.358717335107485</v>
      </c>
      <c r="AQ1784" s="107"/>
      <c r="AR1784" s="1"/>
      <c r="AS1784" s="96">
        <f ca="1">P_1_minQ-(AS1782^2*R_up)+dpup_minQ</f>
        <v>-111.30393334364354</v>
      </c>
      <c r="AT1784" s="107"/>
      <c r="AU1784" s="1"/>
    </row>
    <row r="1785" spans="15:47" x14ac:dyDescent="0.25">
      <c r="O1785" s="8" t="s">
        <v>134</v>
      </c>
      <c r="P1785" s="1"/>
      <c r="Q1785" s="8"/>
      <c r="R1785" s="97">
        <f>P_2_minQ+(R1782^2*R_dn)-dpdn_minQ</f>
        <v>60</v>
      </c>
      <c r="S1785" s="106"/>
      <c r="T1785" s="22"/>
      <c r="U1785" s="97">
        <f ca="1">P_2_minQ+(U1782^2*R_dn)-dpdn_minQ</f>
        <v>60</v>
      </c>
      <c r="V1785" s="107"/>
      <c r="W1785" s="1"/>
      <c r="X1785" s="97">
        <f ca="1">P_2_minQ+(X1782^2*R_dn)-dpdn_minQ</f>
        <v>60</v>
      </c>
      <c r="Y1785" s="107"/>
      <c r="Z1785" s="1"/>
      <c r="AA1785" s="97">
        <f ca="1">P_2_minQ+(AA1782^2*R_dn)-dpdn_minQ</f>
        <v>60</v>
      </c>
      <c r="AB1785" s="107"/>
      <c r="AC1785" s="1"/>
      <c r="AD1785" s="97">
        <f ca="1">P_2_minQ+(AD1782^2*R_dn)-dpdn_minQ</f>
        <v>60</v>
      </c>
      <c r="AE1785" s="107"/>
      <c r="AF1785" s="1"/>
      <c r="AG1785" s="97">
        <f ca="1">P_2_minQ+(AG1782^2*R_dn)-dpdn_minQ</f>
        <v>60</v>
      </c>
      <c r="AH1785" s="107"/>
      <c r="AI1785" s="1"/>
      <c r="AJ1785" s="97">
        <f ca="1">P_2_minQ+(AJ1782^2*R_dn)-dpdn_minQ</f>
        <v>60</v>
      </c>
      <c r="AK1785" s="107"/>
      <c r="AL1785" s="1"/>
      <c r="AM1785" s="97">
        <f ca="1">P_2_minQ+(AM1782^2*R_dn)-dpdn_minQ</f>
        <v>60</v>
      </c>
      <c r="AN1785" s="107"/>
      <c r="AO1785" s="1"/>
      <c r="AP1785" s="97">
        <f ca="1">P_2_minQ+(AP1782^2*R_dn)-dpdn_minQ</f>
        <v>60</v>
      </c>
      <c r="AQ1785" s="107"/>
      <c r="AR1785" s="1"/>
      <c r="AS1785" s="97">
        <f ca="1">P_2_minQ+(AS1782^2*R_dn)-dpdn_minQ</f>
        <v>60</v>
      </c>
      <c r="AT1785" s="107"/>
      <c r="AU1785" s="1"/>
    </row>
    <row r="1786" spans="15:47" x14ac:dyDescent="0.25">
      <c r="O1786" s="8" t="s">
        <v>138</v>
      </c>
      <c r="P1786" s="1"/>
      <c r="Q1786" s="8"/>
      <c r="R1786" s="97">
        <f>R1784-R1785</f>
        <v>30.182426504846262</v>
      </c>
      <c r="S1786" s="106"/>
      <c r="T1786" s="22"/>
      <c r="U1786" s="97">
        <f ca="1">U1784-U1785</f>
        <v>29.884382483796188</v>
      </c>
      <c r="V1786" s="110"/>
      <c r="W1786" s="25"/>
      <c r="X1786" s="97">
        <f ca="1">X1784-X1785</f>
        <v>28.382354421387817</v>
      </c>
      <c r="Y1786" s="110"/>
      <c r="Z1786" s="25"/>
      <c r="AA1786" s="97">
        <f ca="1">AA1784-AA1785</f>
        <v>23.34617288094374</v>
      </c>
      <c r="AB1786" s="110"/>
      <c r="AC1786" s="25"/>
      <c r="AD1786" s="97">
        <f ca="1">AD1784-AD1785</f>
        <v>10.936089288284705</v>
      </c>
      <c r="AE1786" s="110"/>
      <c r="AF1786" s="25"/>
      <c r="AG1786" s="97">
        <f ca="1">AG1784-AG1785</f>
        <v>-10.819455630687635</v>
      </c>
      <c r="AH1786" s="110"/>
      <c r="AI1786" s="25"/>
      <c r="AJ1786" s="97">
        <f ca="1">AJ1784-AJ1785</f>
        <v>-42.839891144942413</v>
      </c>
      <c r="AK1786" s="110"/>
      <c r="AL1786" s="25"/>
      <c r="AM1786" s="97">
        <f ca="1">AM1784-AM1785</f>
        <v>-78.539131888704432</v>
      </c>
      <c r="AN1786" s="110"/>
      <c r="AO1786" s="25"/>
      <c r="AP1786" s="97">
        <f ca="1">AP1784-AP1785</f>
        <v>-116.35871733510749</v>
      </c>
      <c r="AQ1786" s="110"/>
      <c r="AR1786" s="25"/>
      <c r="AS1786" s="97">
        <f ca="1">AS1784-AS1785</f>
        <v>-171.30393334364354</v>
      </c>
      <c r="AT1786" s="110"/>
      <c r="AU1786" s="25"/>
    </row>
    <row r="1787" spans="15:47" ht="14.4" x14ac:dyDescent="0.3">
      <c r="O1787" s="2" t="s">
        <v>140</v>
      </c>
      <c r="P1787" s="11"/>
      <c r="Q1787" s="2"/>
      <c r="R1787" s="96">
        <f>R1786/R1784</f>
        <v>0.33468190726964203</v>
      </c>
      <c r="S1787" s="106"/>
      <c r="T1787" s="22"/>
      <c r="U1787" s="96">
        <f ca="1">U1786/U1784</f>
        <v>0.3324758056738451</v>
      </c>
      <c r="V1787" s="111"/>
      <c r="W1787" s="28"/>
      <c r="X1787" s="96">
        <f ca="1">X1786/X1784</f>
        <v>0.32113145895691952</v>
      </c>
      <c r="Y1787" s="111"/>
      <c r="Z1787" s="28"/>
      <c r="AA1787" s="96">
        <f ca="1">AA1786/AA1784</f>
        <v>0.280110916601926</v>
      </c>
      <c r="AB1787" s="111"/>
      <c r="AC1787" s="28"/>
      <c r="AD1787" s="96">
        <f ca="1">AD1786/AD1784</f>
        <v>0.1541682012359093</v>
      </c>
      <c r="AE1787" s="111"/>
      <c r="AF1787" s="28"/>
      <c r="AG1787" s="96">
        <f ca="1">AG1786/AG1784</f>
        <v>-0.21999462936890041</v>
      </c>
      <c r="AH1787" s="111"/>
      <c r="AI1787" s="28"/>
      <c r="AJ1787" s="96">
        <f ca="1">AJ1786/AJ1784</f>
        <v>-2.4964813164525026</v>
      </c>
      <c r="AK1787" s="111"/>
      <c r="AL1787" s="28"/>
      <c r="AM1787" s="96">
        <f ca="1">AM1786/AM1784</f>
        <v>4.2363974947800518</v>
      </c>
      <c r="AN1787" s="111"/>
      <c r="AO1787" s="28"/>
      <c r="AP1787" s="96">
        <f ca="1">AP1786/AP1784</f>
        <v>2.0646090407494824</v>
      </c>
      <c r="AQ1787" s="111"/>
      <c r="AR1787" s="28"/>
      <c r="AS1787" s="96">
        <f ca="1">AS1786/AS1784</f>
        <v>1.5390645074038307</v>
      </c>
      <c r="AT1787" s="111"/>
      <c r="AU1787" s="28"/>
    </row>
    <row r="1788" spans="15:47" x14ac:dyDescent="0.25">
      <c r="O1788" s="2" t="s">
        <v>21</v>
      </c>
      <c r="P1788" s="8">
        <v>12</v>
      </c>
      <c r="Q1788" s="2"/>
      <c r="R1788" s="96">
        <f ca="1">1-R1787/(3*F_GAMMA*R$29)</f>
        <v>0.82569459481346308</v>
      </c>
      <c r="S1788" s="106"/>
      <c r="T1788" s="22"/>
      <c r="U1788" s="96">
        <f ca="1">1-U1787/(3*F_GAMMA*U$29)</f>
        <v>0.82688377959352788</v>
      </c>
      <c r="V1788" s="111"/>
      <c r="W1788" s="28"/>
      <c r="X1788" s="96">
        <f ca="1">1-X1787/(3*F_GAMMA*X$29)</f>
        <v>0.83119810640070135</v>
      </c>
      <c r="Y1788" s="111"/>
      <c r="Z1788" s="28"/>
      <c r="AA1788" s="96">
        <f ca="1">1-AA1787/(3*F_GAMMA*AA$29)</f>
        <v>0.85068494414272733</v>
      </c>
      <c r="AB1788" s="111"/>
      <c r="AC1788" s="28"/>
      <c r="AD1788" s="96">
        <f ca="1">1-AD1787/(3*F_GAMMA*AD$29)</f>
        <v>0.91527081861334714</v>
      </c>
      <c r="AE1788" s="111"/>
      <c r="AF1788" s="28"/>
      <c r="AG1788" s="96">
        <f ca="1">1-AG1787/(3*F_GAMMA*AG$29)</f>
        <v>1.1281618242194171</v>
      </c>
      <c r="AH1788" s="111"/>
      <c r="AI1788" s="28"/>
      <c r="AJ1788" s="96">
        <f ca="1">1-AJ1787/(3*F_GAMMA*AJ$29)</f>
        <v>2.5647030556004085</v>
      </c>
      <c r="AK1788" s="111"/>
      <c r="AL1788" s="28"/>
      <c r="AM1788" s="96">
        <f ca="1">1-AM1787/(3*F_GAMMA*AM$29)</f>
        <v>-1.968753486327492</v>
      </c>
      <c r="AN1788" s="111"/>
      <c r="AO1788" s="28"/>
      <c r="AP1788" s="96">
        <f ca="1">1-AP1787/(3*F_GAMMA*AP$29)</f>
        <v>-0.16537604428699471</v>
      </c>
      <c r="AQ1788" s="111"/>
      <c r="AR1788" s="28"/>
      <c r="AS1788" s="96">
        <f ca="1">1-AS1787/(3*F_GAMMA*AS$29)</f>
        <v>-0.36191978336441832</v>
      </c>
      <c r="AT1788" s="111"/>
      <c r="AU1788" s="28"/>
    </row>
    <row r="1789" spans="15:47" x14ac:dyDescent="0.25">
      <c r="O1789" s="2" t="s">
        <v>57</v>
      </c>
      <c r="P1789" s="143">
        <v>7</v>
      </c>
      <c r="Q1789" s="2"/>
      <c r="R1789" s="96">
        <f ca="1">(R1782/(N_9*R$27*R1784*R1788))*SQRT(M*'Valve Sizing'!$W$6*'Valve Sizing'!$G$8/R1787)</f>
        <v>1.5294549601006278</v>
      </c>
      <c r="S1789" s="107"/>
      <c r="T1789" s="22"/>
      <c r="U1789" s="96">
        <f ca="1">(U1782/(N_9*U$27*U1784*U1788))*SQRT(M*'Valve Sizing'!$W$6*'Valve Sizing'!$G$8/U1787)</f>
        <v>16.498779171677391</v>
      </c>
      <c r="V1789" s="111"/>
      <c r="W1789" s="28"/>
      <c r="X1789" s="96">
        <f ca="1">(X1782/(N_9*X$27*X1784*X1788))*SQRT(M*'Valve Sizing'!$W$6*'Valve Sizing'!$G$8/X1787)</f>
        <v>41.684178580278164</v>
      </c>
      <c r="Y1789" s="111"/>
      <c r="Z1789" s="28"/>
      <c r="AA1789" s="96">
        <f ca="1">(AA1782/(N_9*AA$27*AA1784*AA1788))*SQRT(M*'Valve Sizing'!$W$6*'Valve Sizing'!$G$8/AA1787)</f>
        <v>90.607682346409263</v>
      </c>
      <c r="AB1789" s="111"/>
      <c r="AC1789" s="28"/>
      <c r="AD1789" s="96">
        <f ca="1">(AD1782/(N_9*AD$27*AD1784*AD1788))*SQRT(M*'Valve Sizing'!$W$6*'Valve Sizing'!$G$8/AD1787)</f>
        <v>226.53146462636042</v>
      </c>
      <c r="AE1789" s="111"/>
      <c r="AF1789" s="28"/>
      <c r="AG1789" s="96" t="e">
        <f ca="1">(AG1782/(N_9*AG$27*AG1784*AG1788))*SQRT(M*'Valve Sizing'!$W$6*'Valve Sizing'!$G$8/AG1787)</f>
        <v>#NUM!</v>
      </c>
      <c r="AH1789" s="111"/>
      <c r="AI1789" s="28"/>
      <c r="AJ1789" s="96" t="e">
        <f ca="1">(AJ1782/(N_9*AJ$27*AJ1784*AJ1788))*SQRT(M*'Valve Sizing'!$W$6*'Valve Sizing'!$G$8/AJ1787)</f>
        <v>#NUM!</v>
      </c>
      <c r="AK1789" s="111"/>
      <c r="AL1789" s="28"/>
      <c r="AM1789" s="96">
        <f ca="1">(AM1782/(N_9*AM$27*AM1784*AM1788))*SQRT(M*'Valve Sizing'!$W$6*'Valve Sizing'!$G$8/AM1787)</f>
        <v>205.36681720932333</v>
      </c>
      <c r="AN1789" s="111"/>
      <c r="AO1789" s="28"/>
      <c r="AP1789" s="96">
        <f ca="1">(AP1782/(N_9*AP$27*AP1784*AP1788))*SQRT(M*'Valve Sizing'!$W$6*'Valve Sizing'!$G$8/AP1787)</f>
        <v>1522.2774641840831</v>
      </c>
      <c r="AQ1789" s="111"/>
      <c r="AR1789" s="28"/>
      <c r="AS1789" s="96">
        <f ca="1">(AS1782/(N_9*AS$27*AS1784*AS1788))*SQRT(M*'Valve Sizing'!$W$6*'Valve Sizing'!$G$8/AS1787)</f>
        <v>640.68445095938296</v>
      </c>
      <c r="AT1789" s="111"/>
      <c r="AU1789" s="28"/>
    </row>
    <row r="1790" spans="15:47" x14ac:dyDescent="0.25">
      <c r="O1790" s="2" t="s">
        <v>59</v>
      </c>
      <c r="P1790" s="143">
        <v>7</v>
      </c>
      <c r="Q1790" s="2"/>
      <c r="R1790" s="96">
        <f ca="1">(R1782/(N_9*R$27*R1784*0.667))*SQRT(M*'Valve Sizing'!$W$6*'Valve Sizing'!$G$8/R1791)</f>
        <v>1.3691352583774163</v>
      </c>
      <c r="S1790" s="107"/>
      <c r="T1790" s="22"/>
      <c r="U1790" s="96">
        <f ca="1">(U1782/(N_9*U$27*U1784*0.667))*SQRT(M*'Valve Sizing'!$W$6*'Valve Sizing'!$G$8/U1791)</f>
        <v>14.740083943862683</v>
      </c>
      <c r="V1790" s="111"/>
      <c r="W1790" s="28"/>
      <c r="X1790" s="96">
        <f ca="1">(X1782/(N_9*X$27*X1784*0.667))*SQRT(M*'Valve Sizing'!$W$6*'Valve Sizing'!$G$8/X1791)</f>
        <v>36.965726290542428</v>
      </c>
      <c r="Y1790" s="111"/>
      <c r="Z1790" s="28"/>
      <c r="AA1790" s="96">
        <f ca="1">(AA1782/(N_9*AA$27*AA1784*0.667))*SQRT(M*'Valve Sizing'!$W$6*'Valve Sizing'!$G$8/AA1791)</f>
        <v>77.342883997511052</v>
      </c>
      <c r="AB1790" s="111"/>
      <c r="AC1790" s="28"/>
      <c r="AD1790" s="96">
        <f ca="1">(AD1782/(N_9*AD$27*AD1784*0.667))*SQRT(M*'Valve Sizing'!$W$6*'Valve Sizing'!$G$8/AD1791)</f>
        <v>156.72181321592453</v>
      </c>
      <c r="AE1790" s="111"/>
      <c r="AF1790" s="28"/>
      <c r="AG1790" s="96">
        <f ca="1">(AG1782/(N_9*AG$27*AG1784*0.667))*SQRT(M*'Valve Sizing'!$W$6*'Valve Sizing'!$G$8/AG1791)</f>
        <v>347.32422376266203</v>
      </c>
      <c r="AH1790" s="111"/>
      <c r="AI1790" s="28"/>
      <c r="AJ1790" s="96">
        <f ca="1">(AJ1782/(N_9*AJ$27*AJ1784*0.667))*SQRT(M*'Valve Sizing'!$W$6*'Valve Sizing'!$G$8/AJ1791)</f>
        <v>1427.6762998993611</v>
      </c>
      <c r="AK1790" s="111"/>
      <c r="AL1790" s="28"/>
      <c r="AM1790" s="96">
        <f ca="1">(AM1782/(N_9*AM$27*AM1784*0.667))*SQRT(M*'Valve Sizing'!$W$6*'Valve Sizing'!$G$8/AM1791)</f>
        <v>-1809.0204425299983</v>
      </c>
      <c r="AN1790" s="111"/>
      <c r="AO1790" s="28"/>
      <c r="AP1790" s="96">
        <f ca="1">(AP1782/(N_9*AP$27*AP1784*0.667))*SQRT(M*'Valve Sizing'!$W$6*'Valve Sizing'!$G$8/AP1791)</f>
        <v>-705.72297197704972</v>
      </c>
      <c r="AQ1790" s="111"/>
      <c r="AR1790" s="28"/>
      <c r="AS1790" s="96">
        <f ca="1">(AS1782/(N_9*AS$27*AS1784*0.667))*SQRT(M*'Valve Sizing'!$W$6*'Valve Sizing'!$G$8/AS1791)</f>
        <v>-702.69532634774123</v>
      </c>
      <c r="AT1790" s="111"/>
      <c r="AU1790" s="28"/>
    </row>
    <row r="1791" spans="15:47" ht="15.6" x14ac:dyDescent="0.35">
      <c r="O1791" s="2" t="s">
        <v>68</v>
      </c>
      <c r="P1791" s="143">
        <v>10</v>
      </c>
      <c r="Q1791" s="2"/>
      <c r="R1791" s="96">
        <f ca="1">F_GAMMA*R$29</f>
        <v>0.64002969751372984</v>
      </c>
      <c r="S1791" s="107"/>
      <c r="T1791" s="1"/>
      <c r="U1791" s="96">
        <f ca="1">F_GAMMA*U$29</f>
        <v>0.64017842058782071</v>
      </c>
      <c r="V1791" s="111"/>
      <c r="W1791" s="28"/>
      <c r="X1791" s="96">
        <f ca="1">F_GAMMA*X$29</f>
        <v>0.63413873724904268</v>
      </c>
      <c r="Y1791" s="111"/>
      <c r="Z1791" s="28"/>
      <c r="AA1791" s="96">
        <f ca="1">F_GAMMA*AA$29</f>
        <v>0.62532411750377137</v>
      </c>
      <c r="AB1791" s="111"/>
      <c r="AC1791" s="28"/>
      <c r="AD1791" s="96">
        <f ca="1">F_GAMMA*AD$29</f>
        <v>0.60651359509139569</v>
      </c>
      <c r="AE1791" s="111"/>
      <c r="AF1791" s="28"/>
      <c r="AG1791" s="96">
        <f ca="1">F_GAMMA*AG$29</f>
        <v>0.57217930198481592</v>
      </c>
      <c r="AH1791" s="111"/>
      <c r="AI1791" s="28"/>
      <c r="AJ1791" s="96">
        <f ca="1">F_GAMMA*AJ$29</f>
        <v>0.53183282018848232</v>
      </c>
      <c r="AK1791" s="111"/>
      <c r="AL1791" s="28"/>
      <c r="AM1791" s="96">
        <f ca="1">F_GAMMA*AM$29</f>
        <v>0.47566512503094399</v>
      </c>
      <c r="AN1791" s="111"/>
      <c r="AO1791" s="28"/>
      <c r="AP1791" s="96">
        <f ca="1">F_GAMMA*AP$29</f>
        <v>0.59054158265645496</v>
      </c>
      <c r="AQ1791" s="111"/>
      <c r="AR1791" s="28"/>
      <c r="AS1791" s="96">
        <f ca="1">F_GAMMA*AS$29</f>
        <v>0.3766899554102966</v>
      </c>
      <c r="AT1791" s="111"/>
      <c r="AU1791" s="28"/>
    </row>
    <row r="1792" spans="15:47" x14ac:dyDescent="0.25">
      <c r="O1792" s="2" t="s">
        <v>145</v>
      </c>
      <c r="P1792" s="12"/>
      <c r="Q1792" s="2"/>
      <c r="R1792" s="96">
        <f ca="1">IF(R1787&lt;R1791,R1789,R1790)</f>
        <v>1.5294549601006278</v>
      </c>
      <c r="S1792" s="116"/>
      <c r="T1792" s="1"/>
      <c r="U1792" s="96">
        <f ca="1">IF(U1787&lt;U1791,U1789,U1790)</f>
        <v>16.498779171677391</v>
      </c>
      <c r="V1792" s="111"/>
      <c r="W1792" s="28"/>
      <c r="X1792" s="96">
        <f ca="1">IF(X1787&lt;X1791,X1789,X1790)</f>
        <v>41.684178580278164</v>
      </c>
      <c r="Y1792" s="111"/>
      <c r="Z1792" s="28"/>
      <c r="AA1792" s="96">
        <f ca="1">IF(AA1787&lt;AA1791,AA1789,AA1790)</f>
        <v>90.607682346409263</v>
      </c>
      <c r="AB1792" s="111"/>
      <c r="AC1792" s="28"/>
      <c r="AD1792" s="96">
        <f ca="1">IF(AD1787&lt;AD1791,AD1789,AD1790)</f>
        <v>226.53146462636042</v>
      </c>
      <c r="AE1792" s="111"/>
      <c r="AF1792" s="28"/>
      <c r="AG1792" s="96" t="e">
        <f ca="1">IF(AG1787&lt;AG1791,AG1789,AG1790)</f>
        <v>#NUM!</v>
      </c>
      <c r="AH1792" s="111"/>
      <c r="AI1792" s="28"/>
      <c r="AJ1792" s="96" t="e">
        <f ca="1">IF(AJ1787&lt;AJ1791,AJ1789,AJ1790)</f>
        <v>#NUM!</v>
      </c>
      <c r="AK1792" s="111"/>
      <c r="AL1792" s="28"/>
      <c r="AM1792" s="96">
        <f ca="1">IF(AM1787&lt;AM1791,AM1789,AM1790)</f>
        <v>-1809.0204425299983</v>
      </c>
      <c r="AN1792" s="111"/>
      <c r="AO1792" s="28"/>
      <c r="AP1792" s="96">
        <f ca="1">IF(AP1787&lt;AP1791,AP1789,AP1790)</f>
        <v>-705.72297197704972</v>
      </c>
      <c r="AQ1792" s="111"/>
      <c r="AR1792" s="28"/>
      <c r="AS1792" s="96">
        <f ca="1">IF(AS1787&lt;AS1791,AS1789,AS1790)</f>
        <v>-702.69532634774123</v>
      </c>
      <c r="AT1792" s="111"/>
      <c r="AU1792" s="28"/>
    </row>
    <row r="1793" spans="15:47" x14ac:dyDescent="0.25">
      <c r="O1793" s="13" t="s">
        <v>143</v>
      </c>
      <c r="P1793" s="1"/>
      <c r="Q1793" s="1"/>
      <c r="R1793" s="113"/>
      <c r="S1793" s="106">
        <f ca="1">IF(R1786&lt;=0,Q_max,ABS(R$23-R1792))</f>
        <v>3.2005450398993727</v>
      </c>
      <c r="T1793" s="7">
        <f>R1782</f>
        <v>3787.1118663080929</v>
      </c>
      <c r="U1793" s="98"/>
      <c r="V1793" s="106">
        <f ca="1">IF(U1786&lt;=0,Q_max,ABS(U$23-U1792))</f>
        <v>4.8987791716773916</v>
      </c>
      <c r="W1793" s="9">
        <f ca="1">U1782</f>
        <v>40615.298280385701</v>
      </c>
      <c r="X1793" s="98"/>
      <c r="Y1793" s="106">
        <f ca="1">IF(X1786&lt;=0,Q_max,ABS(X$23-X1792))</f>
        <v>18.684178580278164</v>
      </c>
      <c r="Z1793" s="9">
        <f ca="1">X1782</f>
        <v>99451.946459946717</v>
      </c>
      <c r="AA1793" s="98"/>
      <c r="AB1793" s="106">
        <f ca="1">IF(AA1786&lt;=0,Q_max,ABS(AA$23-AA1792))</f>
        <v>51.207682346409264</v>
      </c>
      <c r="AC1793" s="9">
        <f ca="1">AA1782</f>
        <v>193707.00705079411</v>
      </c>
      <c r="AD1793" s="98"/>
      <c r="AE1793" s="106">
        <f ca="1">IF(AD1786&lt;=0,Q_max,ABS(AD$23-AD1792))</f>
        <v>165.53146462636042</v>
      </c>
      <c r="AF1793" s="9">
        <f ca="1">AD1782</f>
        <v>324980.09973886173</v>
      </c>
      <c r="AG1793" s="98"/>
      <c r="AH1793" s="106">
        <f ca="1">IF(AG1786&lt;=0,Q_max,ABS(AG$23-AG1792))</f>
        <v>236393</v>
      </c>
      <c r="AI1793" s="9">
        <f ca="1">AG1782</f>
        <v>474317.30677293806</v>
      </c>
      <c r="AJ1793" s="98"/>
      <c r="AK1793" s="106">
        <f ca="1">IF(AJ1786&lt;=0,Q_max,ABS(AJ$23-AJ1792))</f>
        <v>236393</v>
      </c>
      <c r="AL1793" s="9">
        <f ca="1">AJ1782</f>
        <v>632978.2846114157</v>
      </c>
      <c r="AM1793" s="98"/>
      <c r="AN1793" s="106">
        <f ca="1">IF(AM1786&lt;=0,Q_max,ABS(AM$23-AM1792))</f>
        <v>236393</v>
      </c>
      <c r="AO1793" s="9">
        <f ca="1">AM1782</f>
        <v>772353.79838619882</v>
      </c>
      <c r="AP1793" s="98"/>
      <c r="AQ1793" s="106">
        <f ca="1">IF(AP1786&lt;=0,Q_max,ABS(AP$23-AP1792))</f>
        <v>236393</v>
      </c>
      <c r="AR1793" s="9">
        <f ca="1">AP1782</f>
        <v>896678.78248847579</v>
      </c>
      <c r="AS1793" s="98"/>
      <c r="AT1793" s="106">
        <f ca="1">IF(AS1786&lt;=0,Q_max,ABS(AS$23-AS1792))</f>
        <v>236393</v>
      </c>
      <c r="AU1793" s="9">
        <f ca="1">AS1782</f>
        <v>1051426.3917021689</v>
      </c>
    </row>
    <row r="1794" spans="15:47" x14ac:dyDescent="0.25">
      <c r="O1794" s="21"/>
      <c r="P1794" s="14"/>
      <c r="Q1794" s="21"/>
      <c r="R1794" s="97"/>
      <c r="S1794" s="106"/>
      <c r="T1794" s="28"/>
      <c r="U1794" s="97"/>
      <c r="V1794" s="111"/>
      <c r="W1794" s="28"/>
      <c r="X1794" s="97"/>
      <c r="Y1794" s="111"/>
      <c r="Z1794" s="28"/>
      <c r="AA1794" s="97"/>
      <c r="AB1794" s="111"/>
      <c r="AC1794" s="28"/>
      <c r="AD1794" s="97"/>
      <c r="AE1794" s="111"/>
      <c r="AF1794" s="28"/>
      <c r="AG1794" s="97"/>
      <c r="AH1794" s="111"/>
      <c r="AI1794" s="28"/>
      <c r="AJ1794" s="97"/>
      <c r="AK1794" s="111"/>
      <c r="AL1794" s="28"/>
      <c r="AM1794" s="97"/>
      <c r="AN1794" s="111"/>
      <c r="AO1794" s="28"/>
      <c r="AP1794" s="97"/>
      <c r="AQ1794" s="111"/>
      <c r="AR1794" s="28"/>
      <c r="AS1794" s="97"/>
      <c r="AT1794" s="111"/>
      <c r="AU1794" s="28"/>
    </row>
    <row r="1795" spans="15:47" x14ac:dyDescent="0.25">
      <c r="O1795" s="1"/>
      <c r="P1795" s="1"/>
      <c r="Q1795" s="1"/>
      <c r="R1795" s="98"/>
      <c r="S1795" s="108" t="s">
        <v>137</v>
      </c>
      <c r="T1795" s="26" t="s">
        <v>146</v>
      </c>
      <c r="U1795" s="98"/>
      <c r="V1795" s="108" t="s">
        <v>137</v>
      </c>
      <c r="W1795" s="26" t="s">
        <v>146</v>
      </c>
      <c r="X1795" s="98"/>
      <c r="Y1795" s="108" t="s">
        <v>137</v>
      </c>
      <c r="Z1795" s="26" t="s">
        <v>146</v>
      </c>
      <c r="AA1795" s="98"/>
      <c r="AB1795" s="108" t="s">
        <v>137</v>
      </c>
      <c r="AC1795" s="26" t="s">
        <v>146</v>
      </c>
      <c r="AD1795" s="98"/>
      <c r="AE1795" s="108" t="s">
        <v>137</v>
      </c>
      <c r="AF1795" s="26" t="s">
        <v>146</v>
      </c>
      <c r="AG1795" s="98"/>
      <c r="AH1795" s="108" t="s">
        <v>137</v>
      </c>
      <c r="AI1795" s="26" t="s">
        <v>146</v>
      </c>
      <c r="AJ1795" s="98"/>
      <c r="AK1795" s="108" t="s">
        <v>137</v>
      </c>
      <c r="AL1795" s="26" t="s">
        <v>146</v>
      </c>
      <c r="AM1795" s="98"/>
      <c r="AN1795" s="108" t="s">
        <v>137</v>
      </c>
      <c r="AO1795" s="26" t="s">
        <v>146</v>
      </c>
      <c r="AP1795" s="98"/>
      <c r="AQ1795" s="108" t="s">
        <v>137</v>
      </c>
      <c r="AR1795" s="26" t="s">
        <v>146</v>
      </c>
      <c r="AS1795" s="98"/>
      <c r="AT1795" s="108" t="s">
        <v>137</v>
      </c>
      <c r="AU1795" s="26" t="s">
        <v>146</v>
      </c>
    </row>
    <row r="1796" spans="15:47" ht="13.8" x14ac:dyDescent="0.25">
      <c r="O1796" s="20" t="s">
        <v>136</v>
      </c>
      <c r="P1796" s="1"/>
      <c r="Q1796" s="1"/>
      <c r="R1796" s="96">
        <f>R1782*1.02</f>
        <v>3862.8541036342549</v>
      </c>
      <c r="S1796" s="109" t="s">
        <v>144</v>
      </c>
      <c r="T1796" s="23" t="s">
        <v>147</v>
      </c>
      <c r="U1796" s="96">
        <f ca="1">U1782*1.01</f>
        <v>41021.451263189556</v>
      </c>
      <c r="V1796" s="109" t="s">
        <v>144</v>
      </c>
      <c r="W1796" s="23" t="s">
        <v>147</v>
      </c>
      <c r="X1796" s="96">
        <f ca="1">X1782*1.01</f>
        <v>100446.46592454618</v>
      </c>
      <c r="Y1796" s="109" t="s">
        <v>144</v>
      </c>
      <c r="Z1796" s="23" t="s">
        <v>147</v>
      </c>
      <c r="AA1796" s="96">
        <f ca="1">AA1782*1.01</f>
        <v>195644.07712130205</v>
      </c>
      <c r="AB1796" s="109" t="s">
        <v>144</v>
      </c>
      <c r="AC1796" s="23" t="s">
        <v>147</v>
      </c>
      <c r="AD1796" s="96">
        <f ca="1">AD1782*1.01</f>
        <v>328229.90073625033</v>
      </c>
      <c r="AE1796" s="109" t="s">
        <v>144</v>
      </c>
      <c r="AF1796" s="23" t="s">
        <v>147</v>
      </c>
      <c r="AG1796" s="96">
        <f ca="1">AG1782*1.01</f>
        <v>479060.47984066745</v>
      </c>
      <c r="AH1796" s="109" t="s">
        <v>144</v>
      </c>
      <c r="AI1796" s="23" t="s">
        <v>147</v>
      </c>
      <c r="AJ1796" s="96">
        <f ca="1">AJ1782*1.01</f>
        <v>639308.06745752983</v>
      </c>
      <c r="AK1796" s="109" t="s">
        <v>144</v>
      </c>
      <c r="AL1796" s="23" t="s">
        <v>147</v>
      </c>
      <c r="AM1796" s="96">
        <f ca="1">AM1782*1.01</f>
        <v>780077.3363700608</v>
      </c>
      <c r="AN1796" s="109" t="s">
        <v>144</v>
      </c>
      <c r="AO1796" s="23" t="s">
        <v>147</v>
      </c>
      <c r="AP1796" s="96">
        <f ca="1">AP1782*1.01</f>
        <v>905645.57031336054</v>
      </c>
      <c r="AQ1796" s="109" t="s">
        <v>144</v>
      </c>
      <c r="AR1796" s="23" t="s">
        <v>147</v>
      </c>
      <c r="AS1796" s="96">
        <f ca="1">AS1782*1.01</f>
        <v>1061940.6556191905</v>
      </c>
      <c r="AT1796" s="109" t="s">
        <v>144</v>
      </c>
      <c r="AU1796" s="23" t="s">
        <v>147</v>
      </c>
    </row>
    <row r="1797" spans="15:47" x14ac:dyDescent="0.25">
      <c r="O1797" s="1"/>
      <c r="P1797" s="1"/>
      <c r="Q1797" s="1"/>
      <c r="R1797" s="98"/>
      <c r="S1797" s="107"/>
      <c r="T1797" s="1"/>
      <c r="U1797" s="47"/>
      <c r="V1797" s="107"/>
      <c r="W1797" s="1"/>
      <c r="X1797" s="47"/>
      <c r="Y1797" s="107"/>
      <c r="Z1797" s="1"/>
      <c r="AA1797" s="47"/>
      <c r="AB1797" s="107"/>
      <c r="AC1797" s="1"/>
      <c r="AD1797" s="47"/>
      <c r="AE1797" s="107"/>
      <c r="AF1797" s="1"/>
      <c r="AG1797" s="47"/>
      <c r="AH1797" s="107"/>
      <c r="AI1797" s="1"/>
      <c r="AJ1797" s="47"/>
      <c r="AK1797" s="107"/>
      <c r="AL1797" s="1"/>
      <c r="AM1797" s="47"/>
      <c r="AN1797" s="107"/>
      <c r="AO1797" s="1"/>
      <c r="AP1797" s="47"/>
      <c r="AQ1797" s="107"/>
      <c r="AR1797" s="1"/>
      <c r="AS1797" s="47"/>
      <c r="AT1797" s="107"/>
      <c r="AU1797" s="1"/>
    </row>
    <row r="1798" spans="15:47" x14ac:dyDescent="0.25">
      <c r="O1798" s="8" t="s">
        <v>132</v>
      </c>
      <c r="P1798" s="8"/>
      <c r="Q1798" s="8"/>
      <c r="R1798" s="96">
        <f>P_1_minQ-(R1796^2*R_up)+dpup_minQ</f>
        <v>90.182320898219729</v>
      </c>
      <c r="S1798" s="106"/>
      <c r="T1798" s="22"/>
      <c r="U1798" s="96">
        <f ca="1">P_1_minQ-(U1796^2*R_up)+dpup_minQ</f>
        <v>89.878339257062365</v>
      </c>
      <c r="V1798" s="107"/>
      <c r="W1798" s="1"/>
      <c r="X1798" s="96">
        <f ca="1">P_1_minQ-(X1796^2*R_up)+dpup_minQ</f>
        <v>88.346120430599569</v>
      </c>
      <c r="Y1798" s="107"/>
      <c r="Z1798" s="1"/>
      <c r="AA1798" s="96">
        <f ca="1">P_1_minQ-(AA1796^2*R_up)+dpup_minQ</f>
        <v>83.208711641192565</v>
      </c>
      <c r="AB1798" s="107"/>
      <c r="AC1798" s="1"/>
      <c r="AD1798" s="96">
        <f ca="1">P_1_minQ-(AD1796^2*R_up)+dpup_minQ</f>
        <v>70.549185368321076</v>
      </c>
      <c r="AE1798" s="107"/>
      <c r="AF1798" s="1"/>
      <c r="AG1798" s="96">
        <f ca="1">P_1_minQ-(AG1796^2*R_up)+dpup_minQ</f>
        <v>48.356353996477409</v>
      </c>
      <c r="AH1798" s="107"/>
      <c r="AI1798" s="1"/>
      <c r="AJ1798" s="96">
        <f ca="1">P_1_minQ-(AJ1796^2*R_up)+dpup_minQ</f>
        <v>15.69230772838611</v>
      </c>
      <c r="AK1798" s="107"/>
      <c r="AL1798" s="1"/>
      <c r="AM1798" s="96">
        <f ca="1">P_1_minQ-(AM1796^2*R_up)+dpup_minQ</f>
        <v>-20.724487754325523</v>
      </c>
      <c r="AN1798" s="107"/>
      <c r="AO1798" s="1"/>
      <c r="AP1798" s="96">
        <f ca="1">P_1_minQ-(AP1796^2*R_up)+dpup_minQ</f>
        <v>-59.30424686820129</v>
      </c>
      <c r="AQ1798" s="107"/>
      <c r="AR1798" s="1"/>
      <c r="AS1798" s="96">
        <f ca="1">P_1_minQ-(AS1796^2*R_up)+dpup_minQ</f>
        <v>-115.35386171850894</v>
      </c>
      <c r="AT1798" s="107"/>
      <c r="AU1798" s="1"/>
    </row>
    <row r="1799" spans="15:47" x14ac:dyDescent="0.25">
      <c r="O1799" s="8" t="s">
        <v>134</v>
      </c>
      <c r="P1799" s="1"/>
      <c r="Q1799" s="8"/>
      <c r="R1799" s="97">
        <f>P_2_minQ+(R1796^2*R_dn)-dpdn_minQ</f>
        <v>60</v>
      </c>
      <c r="S1799" s="106"/>
      <c r="T1799" s="22"/>
      <c r="U1799" s="97">
        <f ca="1">P_2_minQ+(U1796^2*R_dn)-dpdn_minQ</f>
        <v>60</v>
      </c>
      <c r="V1799" s="107"/>
      <c r="W1799" s="1"/>
      <c r="X1799" s="97">
        <f ca="1">P_2_minQ+(X1796^2*R_dn)-dpdn_minQ</f>
        <v>60</v>
      </c>
      <c r="Y1799" s="107"/>
      <c r="Z1799" s="1"/>
      <c r="AA1799" s="97">
        <f ca="1">P_2_minQ+(AA1796^2*R_dn)-dpdn_minQ</f>
        <v>60</v>
      </c>
      <c r="AB1799" s="107"/>
      <c r="AC1799" s="1"/>
      <c r="AD1799" s="97">
        <f ca="1">P_2_minQ+(AD1796^2*R_dn)-dpdn_minQ</f>
        <v>60</v>
      </c>
      <c r="AE1799" s="107"/>
      <c r="AF1799" s="1"/>
      <c r="AG1799" s="97">
        <f ca="1">P_2_minQ+(AG1796^2*R_dn)-dpdn_minQ</f>
        <v>60</v>
      </c>
      <c r="AH1799" s="107"/>
      <c r="AI1799" s="1"/>
      <c r="AJ1799" s="97">
        <f ca="1">P_2_minQ+(AJ1796^2*R_dn)-dpdn_minQ</f>
        <v>60</v>
      </c>
      <c r="AK1799" s="107"/>
      <c r="AL1799" s="1"/>
      <c r="AM1799" s="97">
        <f ca="1">P_2_minQ+(AM1796^2*R_dn)-dpdn_minQ</f>
        <v>60</v>
      </c>
      <c r="AN1799" s="107"/>
      <c r="AO1799" s="1"/>
      <c r="AP1799" s="97">
        <f ca="1">P_2_minQ+(AP1796^2*R_dn)-dpdn_minQ</f>
        <v>60</v>
      </c>
      <c r="AQ1799" s="107"/>
      <c r="AR1799" s="1"/>
      <c r="AS1799" s="97">
        <f ca="1">P_2_minQ+(AS1796^2*R_dn)-dpdn_minQ</f>
        <v>60</v>
      </c>
      <c r="AT1799" s="107"/>
      <c r="AU1799" s="1"/>
    </row>
    <row r="1800" spans="15:47" x14ac:dyDescent="0.25">
      <c r="O1800" s="8" t="s">
        <v>138</v>
      </c>
      <c r="P1800" s="1"/>
      <c r="Q1800" s="8"/>
      <c r="R1800" s="97">
        <f>R1798-R1799</f>
        <v>30.182320898219729</v>
      </c>
      <c r="S1800" s="106"/>
      <c r="T1800" s="22"/>
      <c r="U1800" s="97">
        <f ca="1">U1798-U1799</f>
        <v>29.878339257062365</v>
      </c>
      <c r="V1800" s="110"/>
      <c r="W1800" s="25"/>
      <c r="X1800" s="97">
        <f ca="1">X1798-X1799</f>
        <v>28.346120430599569</v>
      </c>
      <c r="Y1800" s="110"/>
      <c r="Z1800" s="25"/>
      <c r="AA1800" s="97">
        <f ca="1">AA1798-AA1799</f>
        <v>23.208711641192565</v>
      </c>
      <c r="AB1800" s="110"/>
      <c r="AC1800" s="25"/>
      <c r="AD1800" s="97">
        <f ca="1">AD1798-AD1799</f>
        <v>10.549185368321076</v>
      </c>
      <c r="AE1800" s="110"/>
      <c r="AF1800" s="25"/>
      <c r="AG1800" s="97">
        <f ca="1">AG1798-AG1799</f>
        <v>-11.643646003522591</v>
      </c>
      <c r="AH1800" s="110"/>
      <c r="AI1800" s="25"/>
      <c r="AJ1800" s="97">
        <f ca="1">AJ1798-AJ1799</f>
        <v>-44.307692271613888</v>
      </c>
      <c r="AK1800" s="110"/>
      <c r="AL1800" s="25"/>
      <c r="AM1800" s="97">
        <f ca="1">AM1798-AM1799</f>
        <v>-80.724487754325523</v>
      </c>
      <c r="AN1800" s="110"/>
      <c r="AO1800" s="25"/>
      <c r="AP1800" s="97">
        <f ca="1">AP1798-AP1799</f>
        <v>-119.30424686820129</v>
      </c>
      <c r="AQ1800" s="110"/>
      <c r="AR1800" s="25"/>
      <c r="AS1800" s="97">
        <f ca="1">AS1798-AS1799</f>
        <v>-175.35386171850894</v>
      </c>
      <c r="AT1800" s="110"/>
      <c r="AU1800" s="25"/>
    </row>
    <row r="1801" spans="15:47" ht="14.4" x14ac:dyDescent="0.3">
      <c r="O1801" s="2" t="s">
        <v>140</v>
      </c>
      <c r="P1801" s="11"/>
      <c r="Q1801" s="2"/>
      <c r="R1801" s="96">
        <f>R1800/R1798</f>
        <v>0.33468112815907303</v>
      </c>
      <c r="S1801" s="106"/>
      <c r="T1801" s="22"/>
      <c r="U1801" s="96">
        <f ca="1">U1800/U1798</f>
        <v>0.33243092277892322</v>
      </c>
      <c r="V1801" s="111"/>
      <c r="W1801" s="28"/>
      <c r="X1801" s="96">
        <f ca="1">X1800/X1798</f>
        <v>0.32085303001920618</v>
      </c>
      <c r="Y1801" s="111"/>
      <c r="Z1801" s="28"/>
      <c r="AA1801" s="96">
        <f ca="1">AA1800/AA1798</f>
        <v>0.27892165595919488</v>
      </c>
      <c r="AB1801" s="111"/>
      <c r="AC1801" s="28"/>
      <c r="AD1801" s="96">
        <f ca="1">AD1800/AD1798</f>
        <v>0.14952951353366031</v>
      </c>
      <c r="AE1801" s="111"/>
      <c r="AF1801" s="28"/>
      <c r="AG1801" s="96">
        <f ca="1">AG1800/AG1798</f>
        <v>-0.24078833578666392</v>
      </c>
      <c r="AH1801" s="111"/>
      <c r="AI1801" s="28"/>
      <c r="AJ1801" s="96">
        <f ca="1">AJ1800/AJ1798</f>
        <v>-2.8235294029739726</v>
      </c>
      <c r="AK1801" s="111"/>
      <c r="AL1801" s="28"/>
      <c r="AM1801" s="96">
        <f ca="1">AM1800/AM1798</f>
        <v>3.8951258391164369</v>
      </c>
      <c r="AN1801" s="111"/>
      <c r="AO1801" s="28"/>
      <c r="AP1801" s="96">
        <f ca="1">AP1800/AP1798</f>
        <v>2.0117319276197025</v>
      </c>
      <c r="AQ1801" s="111"/>
      <c r="AR1801" s="28"/>
      <c r="AS1801" s="96">
        <f ca="1">AS1800/AS1798</f>
        <v>1.5201386334721447</v>
      </c>
      <c r="AT1801" s="111"/>
      <c r="AU1801" s="28"/>
    </row>
    <row r="1802" spans="15:47" x14ac:dyDescent="0.25">
      <c r="O1802" s="2" t="s">
        <v>21</v>
      </c>
      <c r="P1802" s="8">
        <v>12</v>
      </c>
      <c r="Q1802" s="2"/>
      <c r="R1802" s="96">
        <f ca="1">1-R1801/(3*F_GAMMA*R$29)</f>
        <v>0.82569500058138923</v>
      </c>
      <c r="S1802" s="106"/>
      <c r="T1802" s="22"/>
      <c r="U1802" s="96">
        <f ca="1">1-U1801/(3*F_GAMMA*U$29)</f>
        <v>0.82690714958616252</v>
      </c>
      <c r="V1802" s="111"/>
      <c r="W1802" s="28"/>
      <c r="X1802" s="96">
        <f ca="1">1-X1801/(3*F_GAMMA*X$29)</f>
        <v>0.83134446182807531</v>
      </c>
      <c r="Y1802" s="111"/>
      <c r="Z1802" s="28"/>
      <c r="AA1802" s="96">
        <f ca="1">1-AA1801/(3*F_GAMMA*AA$29)</f>
        <v>0.85131888772997644</v>
      </c>
      <c r="AB1802" s="111"/>
      <c r="AC1802" s="28"/>
      <c r="AD1802" s="96">
        <f ca="1">1-AD1801/(3*F_GAMMA*AD$29)</f>
        <v>0.91782019136706094</v>
      </c>
      <c r="AE1802" s="111"/>
      <c r="AF1802" s="28"/>
      <c r="AG1802" s="96">
        <f ca="1">1-AG1801/(3*F_GAMMA*AG$29)</f>
        <v>1.1402755715160151</v>
      </c>
      <c r="AH1802" s="111"/>
      <c r="AI1802" s="28"/>
      <c r="AJ1802" s="96">
        <f ca="1">1-AJ1801/(3*F_GAMMA*AJ$29)</f>
        <v>2.7696848181058789</v>
      </c>
      <c r="AK1802" s="111"/>
      <c r="AL1802" s="28"/>
      <c r="AM1802" s="96">
        <f ca="1">1-AM1801/(3*F_GAMMA*AM$29)</f>
        <v>-1.7295994837145447</v>
      </c>
      <c r="AN1802" s="111"/>
      <c r="AO1802" s="28"/>
      <c r="AP1802" s="96">
        <f ca="1">1-AP1801/(3*F_GAMMA*AP$29)</f>
        <v>-0.13552936643357949</v>
      </c>
      <c r="AQ1802" s="111"/>
      <c r="AR1802" s="28"/>
      <c r="AS1802" s="96">
        <f ca="1">1-AS1801/(3*F_GAMMA*AS$29)</f>
        <v>-0.3451722578376919</v>
      </c>
      <c r="AT1802" s="111"/>
      <c r="AU1802" s="28"/>
    </row>
    <row r="1803" spans="15:47" x14ac:dyDescent="0.25">
      <c r="O1803" s="2" t="s">
        <v>57</v>
      </c>
      <c r="P1803" s="143">
        <v>7</v>
      </c>
      <c r="Q1803" s="2"/>
      <c r="R1803" s="96">
        <f ca="1">(R1796/(N_9*R$27*R1798*R1802))*SQRT(M*'Valve Sizing'!$W$6*'Valve Sizing'!$G$8/R1801)</f>
        <v>1.5600469353496795</v>
      </c>
      <c r="S1803" s="107"/>
      <c r="T1803" s="22"/>
      <c r="U1803" s="96">
        <f ca="1">(U1796/(N_9*U$27*U1798*U1802))*SQRT(M*'Valve Sizing'!$W$6*'Valve Sizing'!$G$8/U1801)</f>
        <v>16.665541345897172</v>
      </c>
      <c r="V1803" s="111"/>
      <c r="W1803" s="28"/>
      <c r="X1803" s="96">
        <f ca="1">(X1796/(N_9*X$27*X1798*X1802))*SQRT(M*'Valve Sizing'!$W$6*'Valve Sizing'!$G$8/X1801)</f>
        <v>42.129140222401134</v>
      </c>
      <c r="Y1803" s="111"/>
      <c r="Z1803" s="28"/>
      <c r="AA1803" s="96">
        <f ca="1">(AA1796/(N_9*AA$27*AA1798*AA1802))*SQRT(M*'Valve Sizing'!$W$6*'Valve Sizing'!$G$8/AA1801)</f>
        <v>91.791747478639167</v>
      </c>
      <c r="AB1803" s="111"/>
      <c r="AC1803" s="28"/>
      <c r="AD1803" s="96">
        <f ca="1">(AD1796/(N_9*AD$27*AD1798*AD1802))*SQRT(M*'Valve Sizing'!$W$6*'Valve Sizing'!$G$8/AD1801)</f>
        <v>232.94376810444578</v>
      </c>
      <c r="AE1803" s="111"/>
      <c r="AF1803" s="28"/>
      <c r="AG1803" s="96" t="e">
        <f ca="1">(AG1796/(N_9*AG$27*AG1798*AG1802))*SQRT(M*'Valve Sizing'!$W$6*'Valve Sizing'!$G$8/AG1801)</f>
        <v>#NUM!</v>
      </c>
      <c r="AH1803" s="111"/>
      <c r="AI1803" s="28"/>
      <c r="AJ1803" s="96" t="e">
        <f ca="1">(AJ1796/(N_9*AJ$27*AJ1798*AJ1802))*SQRT(M*'Valve Sizing'!$W$6*'Valve Sizing'!$G$8/AJ1801)</f>
        <v>#NUM!</v>
      </c>
      <c r="AK1803" s="111"/>
      <c r="AL1803" s="28"/>
      <c r="AM1803" s="96">
        <f ca="1">(AM1796/(N_9*AM$27*AM1798*AM1802))*SQRT(M*'Valve Sizing'!$W$6*'Valve Sizing'!$G$8/AM1801)</f>
        <v>220.26253508946792</v>
      </c>
      <c r="AN1803" s="111"/>
      <c r="AO1803" s="28"/>
      <c r="AP1803" s="96">
        <f ca="1">(AP1796/(N_9*AP$27*AP1798*AP1802))*SQRT(M*'Valve Sizing'!$W$6*'Valve Sizing'!$G$8/AP1801)</f>
        <v>1806.1904721795447</v>
      </c>
      <c r="AQ1803" s="111"/>
      <c r="AR1803" s="28"/>
      <c r="AS1803" s="96">
        <f ca="1">(AS1796/(N_9*AS$27*AS1798*AS1802))*SQRT(M*'Valve Sizing'!$W$6*'Valve Sizing'!$G$8/AS1801)</f>
        <v>658.72960923866606</v>
      </c>
      <c r="AT1803" s="111"/>
      <c r="AU1803" s="28"/>
    </row>
    <row r="1804" spans="15:47" x14ac:dyDescent="0.25">
      <c r="O1804" s="2" t="s">
        <v>59</v>
      </c>
      <c r="P1804" s="143">
        <v>7</v>
      </c>
      <c r="Q1804" s="2"/>
      <c r="R1804" s="96">
        <f ca="1">(R1796/(N_9*R$27*R1798*0.667))*SQRT(M*'Valve Sizing'!$W$6*'Valve Sizing'!$G$8/R1805)</f>
        <v>1.3965195989159507</v>
      </c>
      <c r="S1804" s="107"/>
      <c r="T1804" s="22"/>
      <c r="U1804" s="96">
        <f ca="1">(U1796/(N_9*U$27*U1798*0.667))*SQRT(M*'Valve Sizing'!$W$6*'Valve Sizing'!$G$8/U1805)</f>
        <v>14.888485785843027</v>
      </c>
      <c r="V1804" s="111"/>
      <c r="W1804" s="28"/>
      <c r="X1804" s="96">
        <f ca="1">(X1796/(N_9*X$27*X1798*0.667))*SQRT(M*'Valve Sizing'!$W$6*'Valve Sizing'!$G$8/X1805)</f>
        <v>37.350696166352151</v>
      </c>
      <c r="Y1804" s="111"/>
      <c r="Z1804" s="28"/>
      <c r="AA1804" s="96">
        <f ca="1">(AA1796/(N_9*AA$27*AA1798*0.667))*SQRT(M*'Valve Sizing'!$W$6*'Valve Sizing'!$G$8/AA1805)</f>
        <v>78.245361406988522</v>
      </c>
      <c r="AB1804" s="111"/>
      <c r="AC1804" s="28"/>
      <c r="AD1804" s="96">
        <f ca="1">(AD1796/(N_9*AD$27*AD1798*0.667))*SQRT(M*'Valve Sizing'!$W$6*'Valve Sizing'!$G$8/AD1805)</f>
        <v>159.15711574049857</v>
      </c>
      <c r="AE1804" s="111"/>
      <c r="AF1804" s="28"/>
      <c r="AG1804" s="96">
        <f ca="1">(AG1796/(N_9*AG$27*AG1798*0.667))*SQRT(M*'Valve Sizing'!$W$6*'Valve Sizing'!$G$8/AG1805)</f>
        <v>356.77649192754103</v>
      </c>
      <c r="AH1804" s="111"/>
      <c r="AI1804" s="28"/>
      <c r="AJ1804" s="96">
        <f ca="1">(AJ1796/(N_9*AJ$27*AJ1798*0.667))*SQRT(M*'Valve Sizing'!$W$6*'Valve Sizing'!$G$8/AJ1805)</f>
        <v>1576.8280836386766</v>
      </c>
      <c r="AK1804" s="111"/>
      <c r="AL1804" s="28"/>
      <c r="AM1804" s="96">
        <f ca="1">(AM1796/(N_9*AM$27*AM1798*0.667))*SQRT(M*'Valve Sizing'!$W$6*'Valve Sizing'!$G$8/AM1805)</f>
        <v>-1634.4454763225947</v>
      </c>
      <c r="AN1804" s="111"/>
      <c r="AO1804" s="28"/>
      <c r="AP1804" s="96">
        <f ca="1">(AP1796/(N_9*AP$27*AP1798*0.667))*SQRT(M*'Valve Sizing'!$W$6*'Valve Sizing'!$G$8/AP1805)</f>
        <v>-677.3777601251644</v>
      </c>
      <c r="AQ1804" s="111"/>
      <c r="AR1804" s="28"/>
      <c r="AS1804" s="96">
        <f ca="1">(AS1796/(N_9*AS$27*AS1798*0.667))*SQRT(M*'Valve Sizing'!$W$6*'Valve Sizing'!$G$8/AS1805)</f>
        <v>-684.80482686494065</v>
      </c>
      <c r="AT1804" s="111"/>
      <c r="AU1804" s="28"/>
    </row>
    <row r="1805" spans="15:47" ht="15.6" x14ac:dyDescent="0.35">
      <c r="O1805" s="2" t="s">
        <v>68</v>
      </c>
      <c r="P1805" s="143">
        <v>10</v>
      </c>
      <c r="Q1805" s="2"/>
      <c r="R1805" s="96">
        <f ca="1">F_GAMMA*R$29</f>
        <v>0.64002969751372984</v>
      </c>
      <c r="S1805" s="107"/>
      <c r="T1805" s="1"/>
      <c r="U1805" s="96">
        <f ca="1">F_GAMMA*U$29</f>
        <v>0.64017842058782071</v>
      </c>
      <c r="V1805" s="111"/>
      <c r="W1805" s="28"/>
      <c r="X1805" s="96">
        <f ca="1">F_GAMMA*X$29</f>
        <v>0.63413873724904268</v>
      </c>
      <c r="Y1805" s="111"/>
      <c r="Z1805" s="28"/>
      <c r="AA1805" s="96">
        <f ca="1">F_GAMMA*AA$29</f>
        <v>0.62532411750377137</v>
      </c>
      <c r="AB1805" s="111"/>
      <c r="AC1805" s="28"/>
      <c r="AD1805" s="96">
        <f ca="1">F_GAMMA*AD$29</f>
        <v>0.60651359509139569</v>
      </c>
      <c r="AE1805" s="111"/>
      <c r="AF1805" s="28"/>
      <c r="AG1805" s="96">
        <f ca="1">F_GAMMA*AG$29</f>
        <v>0.57217930198481592</v>
      </c>
      <c r="AH1805" s="111"/>
      <c r="AI1805" s="28"/>
      <c r="AJ1805" s="96">
        <f ca="1">F_GAMMA*AJ$29</f>
        <v>0.53183282018848232</v>
      </c>
      <c r="AK1805" s="111"/>
      <c r="AL1805" s="28"/>
      <c r="AM1805" s="96">
        <f ca="1">F_GAMMA*AM$29</f>
        <v>0.47566512503094399</v>
      </c>
      <c r="AN1805" s="111"/>
      <c r="AO1805" s="28"/>
      <c r="AP1805" s="96">
        <f ca="1">F_GAMMA*AP$29</f>
        <v>0.59054158265645496</v>
      </c>
      <c r="AQ1805" s="111"/>
      <c r="AR1805" s="28"/>
      <c r="AS1805" s="96">
        <f ca="1">F_GAMMA*AS$29</f>
        <v>0.3766899554102966</v>
      </c>
      <c r="AT1805" s="111"/>
      <c r="AU1805" s="28"/>
    </row>
    <row r="1806" spans="15:47" x14ac:dyDescent="0.25">
      <c r="O1806" s="2" t="s">
        <v>145</v>
      </c>
      <c r="P1806" s="12"/>
      <c r="Q1806" s="2"/>
      <c r="R1806" s="96">
        <f ca="1">IF(R1801&lt;R1805,R1803,R1804)</f>
        <v>1.5600469353496795</v>
      </c>
      <c r="S1806" s="116"/>
      <c r="T1806" s="1"/>
      <c r="U1806" s="96">
        <f ca="1">IF(U1801&lt;U1805,U1803,U1804)</f>
        <v>16.665541345897172</v>
      </c>
      <c r="V1806" s="111"/>
      <c r="W1806" s="28"/>
      <c r="X1806" s="96">
        <f ca="1">IF(X1801&lt;X1805,X1803,X1804)</f>
        <v>42.129140222401134</v>
      </c>
      <c r="Y1806" s="111"/>
      <c r="Z1806" s="28"/>
      <c r="AA1806" s="96">
        <f ca="1">IF(AA1801&lt;AA1805,AA1803,AA1804)</f>
        <v>91.791747478639167</v>
      </c>
      <c r="AB1806" s="111"/>
      <c r="AC1806" s="28"/>
      <c r="AD1806" s="96">
        <f ca="1">IF(AD1801&lt;AD1805,AD1803,AD1804)</f>
        <v>232.94376810444578</v>
      </c>
      <c r="AE1806" s="111"/>
      <c r="AF1806" s="28"/>
      <c r="AG1806" s="96" t="e">
        <f ca="1">IF(AG1801&lt;AG1805,AG1803,AG1804)</f>
        <v>#NUM!</v>
      </c>
      <c r="AH1806" s="111"/>
      <c r="AI1806" s="28"/>
      <c r="AJ1806" s="96" t="e">
        <f ca="1">IF(AJ1801&lt;AJ1805,AJ1803,AJ1804)</f>
        <v>#NUM!</v>
      </c>
      <c r="AK1806" s="111"/>
      <c r="AL1806" s="28"/>
      <c r="AM1806" s="96">
        <f ca="1">IF(AM1801&lt;AM1805,AM1803,AM1804)</f>
        <v>-1634.4454763225947</v>
      </c>
      <c r="AN1806" s="111"/>
      <c r="AO1806" s="28"/>
      <c r="AP1806" s="96">
        <f ca="1">IF(AP1801&lt;AP1805,AP1803,AP1804)</f>
        <v>-677.3777601251644</v>
      </c>
      <c r="AQ1806" s="111"/>
      <c r="AR1806" s="28"/>
      <c r="AS1806" s="96">
        <f ca="1">IF(AS1801&lt;AS1805,AS1803,AS1804)</f>
        <v>-684.80482686494065</v>
      </c>
      <c r="AT1806" s="111"/>
      <c r="AU1806" s="28"/>
    </row>
    <row r="1807" spans="15:47" x14ac:dyDescent="0.25">
      <c r="O1807" s="13" t="s">
        <v>143</v>
      </c>
      <c r="P1807" s="1"/>
      <c r="Q1807" s="1"/>
      <c r="R1807" s="113"/>
      <c r="S1807" s="106">
        <f ca="1">IF(R1800&lt;=0,Q_max,ABS(R$23-R1806))</f>
        <v>3.1699530646503211</v>
      </c>
      <c r="T1807" s="7">
        <f>R1796</f>
        <v>3862.8541036342549</v>
      </c>
      <c r="U1807" s="98"/>
      <c r="V1807" s="106">
        <f ca="1">IF(U1800&lt;=0,Q_max,ABS(U$23-U1806))</f>
        <v>5.0655413458971719</v>
      </c>
      <c r="W1807" s="9">
        <f ca="1">U1796</f>
        <v>41021.451263189556</v>
      </c>
      <c r="X1807" s="98"/>
      <c r="Y1807" s="106">
        <f ca="1">IF(X1800&lt;=0,Q_max,ABS(X$23-X1806))</f>
        <v>19.129140222401134</v>
      </c>
      <c r="Z1807" s="9">
        <f ca="1">X1796</f>
        <v>100446.46592454618</v>
      </c>
      <c r="AA1807" s="98"/>
      <c r="AB1807" s="106">
        <f ca="1">IF(AA1800&lt;=0,Q_max,ABS(AA$23-AA1806))</f>
        <v>52.391747478639168</v>
      </c>
      <c r="AC1807" s="9">
        <f ca="1">AA1796</f>
        <v>195644.07712130205</v>
      </c>
      <c r="AD1807" s="98"/>
      <c r="AE1807" s="106">
        <f ca="1">IF(AD1800&lt;=0,Q_max,ABS(AD$23-AD1806))</f>
        <v>171.94376810444578</v>
      </c>
      <c r="AF1807" s="9">
        <f ca="1">AD1796</f>
        <v>328229.90073625033</v>
      </c>
      <c r="AG1807" s="98"/>
      <c r="AH1807" s="106">
        <f ca="1">IF(AG1800&lt;=0,Q_max,ABS(AG$23-AG1806))</f>
        <v>236393</v>
      </c>
      <c r="AI1807" s="9">
        <f ca="1">AG1796</f>
        <v>479060.47984066745</v>
      </c>
      <c r="AJ1807" s="98"/>
      <c r="AK1807" s="106">
        <f ca="1">IF(AJ1800&lt;=0,Q_max,ABS(AJ$23-AJ1806))</f>
        <v>236393</v>
      </c>
      <c r="AL1807" s="9">
        <f ca="1">AJ1796</f>
        <v>639308.06745752983</v>
      </c>
      <c r="AM1807" s="98"/>
      <c r="AN1807" s="106">
        <f ca="1">IF(AM1800&lt;=0,Q_max,ABS(AM$23-AM1806))</f>
        <v>236393</v>
      </c>
      <c r="AO1807" s="9">
        <f ca="1">AM1796</f>
        <v>780077.3363700608</v>
      </c>
      <c r="AP1807" s="98"/>
      <c r="AQ1807" s="106">
        <f ca="1">IF(AP1800&lt;=0,Q_max,ABS(AP$23-AP1806))</f>
        <v>236393</v>
      </c>
      <c r="AR1807" s="9">
        <f ca="1">AP1796</f>
        <v>905645.57031336054</v>
      </c>
      <c r="AS1807" s="98"/>
      <c r="AT1807" s="106">
        <f ca="1">IF(AS1800&lt;=0,Q_max,ABS(AS$23-AS1806))</f>
        <v>236393</v>
      </c>
      <c r="AU1807" s="9">
        <f ca="1">AS1796</f>
        <v>1061940.6556191905</v>
      </c>
    </row>
    <row r="1808" spans="15:47" x14ac:dyDescent="0.25">
      <c r="O1808" s="21"/>
      <c r="P1808" s="14"/>
      <c r="Q1808" s="21"/>
      <c r="R1808" s="97"/>
      <c r="S1808" s="106"/>
      <c r="T1808" s="28"/>
      <c r="U1808" s="97"/>
      <c r="V1808" s="111"/>
      <c r="W1808" s="28"/>
      <c r="X1808" s="97"/>
      <c r="Y1808" s="111"/>
      <c r="Z1808" s="28"/>
      <c r="AA1808" s="97"/>
      <c r="AB1808" s="111"/>
      <c r="AC1808" s="28"/>
      <c r="AD1808" s="97"/>
      <c r="AE1808" s="111"/>
      <c r="AF1808" s="28"/>
      <c r="AG1808" s="97"/>
      <c r="AH1808" s="111"/>
      <c r="AI1808" s="28"/>
      <c r="AJ1808" s="97"/>
      <c r="AK1808" s="111"/>
      <c r="AL1808" s="28"/>
      <c r="AM1808" s="97"/>
      <c r="AN1808" s="111"/>
      <c r="AO1808" s="28"/>
      <c r="AP1808" s="97"/>
      <c r="AQ1808" s="111"/>
      <c r="AR1808" s="28"/>
      <c r="AS1808" s="97"/>
      <c r="AT1808" s="111"/>
      <c r="AU1808" s="28"/>
    </row>
    <row r="1809" spans="15:47" x14ac:dyDescent="0.25">
      <c r="O1809" s="1"/>
      <c r="P1809" s="1"/>
      <c r="Q1809" s="1"/>
      <c r="R1809" s="98"/>
      <c r="S1809" s="108" t="s">
        <v>137</v>
      </c>
      <c r="T1809" s="26" t="s">
        <v>146</v>
      </c>
      <c r="U1809" s="98"/>
      <c r="V1809" s="108" t="s">
        <v>137</v>
      </c>
      <c r="W1809" s="26" t="s">
        <v>146</v>
      </c>
      <c r="X1809" s="98"/>
      <c r="Y1809" s="108" t="s">
        <v>137</v>
      </c>
      <c r="Z1809" s="26" t="s">
        <v>146</v>
      </c>
      <c r="AA1809" s="98"/>
      <c r="AB1809" s="108" t="s">
        <v>137</v>
      </c>
      <c r="AC1809" s="26" t="s">
        <v>146</v>
      </c>
      <c r="AD1809" s="98"/>
      <c r="AE1809" s="108" t="s">
        <v>137</v>
      </c>
      <c r="AF1809" s="26" t="s">
        <v>146</v>
      </c>
      <c r="AG1809" s="98"/>
      <c r="AH1809" s="108" t="s">
        <v>137</v>
      </c>
      <c r="AI1809" s="26" t="s">
        <v>146</v>
      </c>
      <c r="AJ1809" s="98"/>
      <c r="AK1809" s="108" t="s">
        <v>137</v>
      </c>
      <c r="AL1809" s="26" t="s">
        <v>146</v>
      </c>
      <c r="AM1809" s="98"/>
      <c r="AN1809" s="108" t="s">
        <v>137</v>
      </c>
      <c r="AO1809" s="26" t="s">
        <v>146</v>
      </c>
      <c r="AP1809" s="98"/>
      <c r="AQ1809" s="108" t="s">
        <v>137</v>
      </c>
      <c r="AR1809" s="26" t="s">
        <v>146</v>
      </c>
      <c r="AS1809" s="98"/>
      <c r="AT1809" s="108" t="s">
        <v>137</v>
      </c>
      <c r="AU1809" s="26" t="s">
        <v>146</v>
      </c>
    </row>
    <row r="1810" spans="15:47" ht="13.8" x14ac:dyDescent="0.25">
      <c r="O1810" s="20" t="s">
        <v>136</v>
      </c>
      <c r="P1810" s="1"/>
      <c r="Q1810" s="1"/>
      <c r="R1810" s="96">
        <f>R1796*1.02</f>
        <v>3940.11118570694</v>
      </c>
      <c r="S1810" s="109" t="s">
        <v>144</v>
      </c>
      <c r="T1810" s="23" t="s">
        <v>147</v>
      </c>
      <c r="U1810" s="96">
        <f ca="1">U1796*1.01</f>
        <v>41431.66577582145</v>
      </c>
      <c r="V1810" s="109" t="s">
        <v>144</v>
      </c>
      <c r="W1810" s="23" t="s">
        <v>147</v>
      </c>
      <c r="X1810" s="96">
        <f ca="1">X1796*1.01</f>
        <v>101450.93058379165</v>
      </c>
      <c r="Y1810" s="109" t="s">
        <v>144</v>
      </c>
      <c r="Z1810" s="23" t="s">
        <v>147</v>
      </c>
      <c r="AA1810" s="96">
        <f ca="1">AA1796*1.01</f>
        <v>197600.51789251508</v>
      </c>
      <c r="AB1810" s="109" t="s">
        <v>144</v>
      </c>
      <c r="AC1810" s="23" t="s">
        <v>147</v>
      </c>
      <c r="AD1810" s="96">
        <f ca="1">AD1796*1.01</f>
        <v>331512.19974361284</v>
      </c>
      <c r="AE1810" s="109" t="s">
        <v>144</v>
      </c>
      <c r="AF1810" s="23" t="s">
        <v>147</v>
      </c>
      <c r="AG1810" s="96">
        <f ca="1">AG1796*1.01</f>
        <v>483851.08463907411</v>
      </c>
      <c r="AH1810" s="109" t="s">
        <v>144</v>
      </c>
      <c r="AI1810" s="23" t="s">
        <v>147</v>
      </c>
      <c r="AJ1810" s="96">
        <f ca="1">AJ1796*1.01</f>
        <v>645701.14813210513</v>
      </c>
      <c r="AK1810" s="109" t="s">
        <v>144</v>
      </c>
      <c r="AL1810" s="23" t="s">
        <v>147</v>
      </c>
      <c r="AM1810" s="96">
        <f ca="1">AM1796*1.01</f>
        <v>787878.1097337614</v>
      </c>
      <c r="AN1810" s="109" t="s">
        <v>144</v>
      </c>
      <c r="AO1810" s="23" t="s">
        <v>147</v>
      </c>
      <c r="AP1810" s="96">
        <f ca="1">AP1796*1.01</f>
        <v>914702.02601649414</v>
      </c>
      <c r="AQ1810" s="109" t="s">
        <v>144</v>
      </c>
      <c r="AR1810" s="23" t="s">
        <v>147</v>
      </c>
      <c r="AS1810" s="96">
        <f ca="1">AS1796*1.01</f>
        <v>1072560.0621753824</v>
      </c>
      <c r="AT1810" s="109" t="s">
        <v>144</v>
      </c>
      <c r="AU1810" s="23" t="s">
        <v>147</v>
      </c>
    </row>
    <row r="1811" spans="15:47" x14ac:dyDescent="0.25">
      <c r="O1811" s="1"/>
      <c r="P1811" s="1"/>
      <c r="Q1811" s="1"/>
      <c r="R1811" s="98"/>
      <c r="S1811" s="107"/>
      <c r="T1811" s="1"/>
      <c r="U1811" s="47"/>
      <c r="V1811" s="107"/>
      <c r="W1811" s="1"/>
      <c r="X1811" s="47"/>
      <c r="Y1811" s="107"/>
      <c r="Z1811" s="1"/>
      <c r="AA1811" s="47"/>
      <c r="AB1811" s="107"/>
      <c r="AC1811" s="1"/>
      <c r="AD1811" s="47"/>
      <c r="AE1811" s="107"/>
      <c r="AF1811" s="1"/>
      <c r="AG1811" s="47"/>
      <c r="AH1811" s="107"/>
      <c r="AI1811" s="1"/>
      <c r="AJ1811" s="47"/>
      <c r="AK1811" s="107"/>
      <c r="AL1811" s="1"/>
      <c r="AM1811" s="47"/>
      <c r="AN1811" s="107"/>
      <c r="AO1811" s="1"/>
      <c r="AP1811" s="47"/>
      <c r="AQ1811" s="107"/>
      <c r="AR1811" s="1"/>
      <c r="AS1811" s="47"/>
      <c r="AT1811" s="107"/>
      <c r="AU1811" s="1"/>
    </row>
    <row r="1812" spans="15:47" x14ac:dyDescent="0.25">
      <c r="O1812" s="8" t="s">
        <v>132</v>
      </c>
      <c r="P1812" s="8"/>
      <c r="Q1812" s="8"/>
      <c r="R1812" s="96">
        <f>P_1_minQ-(R1810^2*R_up)+dpup_minQ</f>
        <v>90.182211025085479</v>
      </c>
      <c r="S1812" s="106"/>
      <c r="T1812" s="22"/>
      <c r="U1812" s="96">
        <f ca="1">P_1_minQ-(U1810^2*R_up)+dpup_minQ</f>
        <v>89.872174561471184</v>
      </c>
      <c r="V1812" s="107"/>
      <c r="W1812" s="1"/>
      <c r="X1812" s="96">
        <f ca="1">P_1_minQ-(X1810^2*R_up)+dpup_minQ</f>
        <v>88.309158136596494</v>
      </c>
      <c r="Y1812" s="107"/>
      <c r="Z1812" s="1"/>
      <c r="AA1812" s="96">
        <f ca="1">P_1_minQ-(AA1810^2*R_up)+dpup_minQ</f>
        <v>83.068487430522396</v>
      </c>
      <c r="AB1812" s="107"/>
      <c r="AC1812" s="1"/>
      <c r="AD1812" s="96">
        <f ca="1">P_1_minQ-(AD1810^2*R_up)+dpup_minQ</f>
        <v>70.154504679566202</v>
      </c>
      <c r="AE1812" s="107"/>
      <c r="AF1812" s="1"/>
      <c r="AG1812" s="96">
        <f ca="1">P_1_minQ-(AG1810^2*R_up)+dpup_minQ</f>
        <v>47.515597397148468</v>
      </c>
      <c r="AH1812" s="107"/>
      <c r="AI1812" s="1"/>
      <c r="AJ1812" s="96">
        <f ca="1">P_1_minQ-(AJ1810^2*R_up)+dpup_minQ</f>
        <v>14.195003799068528</v>
      </c>
      <c r="AK1812" s="107"/>
      <c r="AL1812" s="1"/>
      <c r="AM1812" s="96">
        <f ca="1">P_1_minQ-(AM1810^2*R_up)+dpup_minQ</f>
        <v>-22.953769272845605</v>
      </c>
      <c r="AN1812" s="107"/>
      <c r="AO1812" s="1"/>
      <c r="AP1812" s="96">
        <f ca="1">P_1_minQ-(AP1810^2*R_up)+dpup_minQ</f>
        <v>-62.308981544910267</v>
      </c>
      <c r="AQ1812" s="107"/>
      <c r="AR1812" s="1"/>
      <c r="AS1812" s="96">
        <f ca="1">P_1_minQ-(AS1810^2*R_up)+dpup_minQ</f>
        <v>-119.48519365370908</v>
      </c>
      <c r="AT1812" s="107"/>
      <c r="AU1812" s="1"/>
    </row>
    <row r="1813" spans="15:47" x14ac:dyDescent="0.25">
      <c r="O1813" s="8" t="s">
        <v>134</v>
      </c>
      <c r="P1813" s="1"/>
      <c r="Q1813" s="8"/>
      <c r="R1813" s="97">
        <f>P_2_minQ+(R1810^2*R_dn)-dpdn_minQ</f>
        <v>60</v>
      </c>
      <c r="S1813" s="106"/>
      <c r="T1813" s="22"/>
      <c r="U1813" s="97">
        <f ca="1">P_2_minQ+(U1810^2*R_dn)-dpdn_minQ</f>
        <v>60</v>
      </c>
      <c r="V1813" s="107"/>
      <c r="W1813" s="1"/>
      <c r="X1813" s="97">
        <f ca="1">P_2_minQ+(X1810^2*R_dn)-dpdn_minQ</f>
        <v>60</v>
      </c>
      <c r="Y1813" s="107"/>
      <c r="Z1813" s="1"/>
      <c r="AA1813" s="97">
        <f ca="1">P_2_minQ+(AA1810^2*R_dn)-dpdn_minQ</f>
        <v>60</v>
      </c>
      <c r="AB1813" s="107"/>
      <c r="AC1813" s="1"/>
      <c r="AD1813" s="97">
        <f ca="1">P_2_minQ+(AD1810^2*R_dn)-dpdn_minQ</f>
        <v>60</v>
      </c>
      <c r="AE1813" s="107"/>
      <c r="AF1813" s="1"/>
      <c r="AG1813" s="97">
        <f ca="1">P_2_minQ+(AG1810^2*R_dn)-dpdn_minQ</f>
        <v>60</v>
      </c>
      <c r="AH1813" s="107"/>
      <c r="AI1813" s="1"/>
      <c r="AJ1813" s="97">
        <f ca="1">P_2_minQ+(AJ1810^2*R_dn)-dpdn_minQ</f>
        <v>60</v>
      </c>
      <c r="AK1813" s="107"/>
      <c r="AL1813" s="1"/>
      <c r="AM1813" s="97">
        <f ca="1">P_2_minQ+(AM1810^2*R_dn)-dpdn_minQ</f>
        <v>60</v>
      </c>
      <c r="AN1813" s="107"/>
      <c r="AO1813" s="1"/>
      <c r="AP1813" s="97">
        <f ca="1">P_2_minQ+(AP1810^2*R_dn)-dpdn_minQ</f>
        <v>60</v>
      </c>
      <c r="AQ1813" s="107"/>
      <c r="AR1813" s="1"/>
      <c r="AS1813" s="97">
        <f ca="1">P_2_minQ+(AS1810^2*R_dn)-dpdn_minQ</f>
        <v>60</v>
      </c>
      <c r="AT1813" s="107"/>
      <c r="AU1813" s="1"/>
    </row>
    <row r="1814" spans="15:47" x14ac:dyDescent="0.25">
      <c r="O1814" s="8" t="s">
        <v>138</v>
      </c>
      <c r="P1814" s="1"/>
      <c r="Q1814" s="8"/>
      <c r="R1814" s="97">
        <f>R1812-R1813</f>
        <v>30.182211025085479</v>
      </c>
      <c r="S1814" s="106"/>
      <c r="T1814" s="22"/>
      <c r="U1814" s="97">
        <f ca="1">U1812-U1813</f>
        <v>29.872174561471184</v>
      </c>
      <c r="V1814" s="110"/>
      <c r="W1814" s="25"/>
      <c r="X1814" s="97">
        <f ca="1">X1812-X1813</f>
        <v>28.309158136596494</v>
      </c>
      <c r="Y1814" s="110"/>
      <c r="Z1814" s="25"/>
      <c r="AA1814" s="97">
        <f ca="1">AA1812-AA1813</f>
        <v>23.068487430522396</v>
      </c>
      <c r="AB1814" s="110"/>
      <c r="AC1814" s="25"/>
      <c r="AD1814" s="97">
        <f ca="1">AD1812-AD1813</f>
        <v>10.154504679566202</v>
      </c>
      <c r="AE1814" s="110"/>
      <c r="AF1814" s="25"/>
      <c r="AG1814" s="97">
        <f ca="1">AG1812-AG1813</f>
        <v>-12.484402602851532</v>
      </c>
      <c r="AH1814" s="110"/>
      <c r="AI1814" s="25"/>
      <c r="AJ1814" s="97">
        <f ca="1">AJ1812-AJ1813</f>
        <v>-45.80499620093147</v>
      </c>
      <c r="AK1814" s="110"/>
      <c r="AL1814" s="25"/>
      <c r="AM1814" s="97">
        <f ca="1">AM1812-AM1813</f>
        <v>-82.953769272845605</v>
      </c>
      <c r="AN1814" s="110"/>
      <c r="AO1814" s="25"/>
      <c r="AP1814" s="97">
        <f ca="1">AP1812-AP1813</f>
        <v>-122.30898154491027</v>
      </c>
      <c r="AQ1814" s="110"/>
      <c r="AR1814" s="25"/>
      <c r="AS1814" s="97">
        <f ca="1">AS1812-AS1813</f>
        <v>-179.48519365370908</v>
      </c>
      <c r="AT1814" s="110"/>
      <c r="AU1814" s="25"/>
    </row>
    <row r="1815" spans="15:47" ht="14.4" x14ac:dyDescent="0.3">
      <c r="O1815" s="2" t="s">
        <v>140</v>
      </c>
      <c r="P1815" s="11"/>
      <c r="Q1815" s="2"/>
      <c r="R1815" s="96">
        <f>R1814/R1812</f>
        <v>0.33468031757050026</v>
      </c>
      <c r="S1815" s="106"/>
      <c r="T1815" s="22"/>
      <c r="U1815" s="96">
        <f ca="1">U1814/U1812</f>
        <v>0.33238513151853333</v>
      </c>
      <c r="V1815" s="111"/>
      <c r="W1815" s="28"/>
      <c r="X1815" s="96">
        <f ca="1">X1814/X1812</f>
        <v>0.32056876924144068</v>
      </c>
      <c r="Y1815" s="111"/>
      <c r="Z1815" s="28"/>
      <c r="AA1815" s="96">
        <f ca="1">AA1814/AA1812</f>
        <v>0.27770443575027937</v>
      </c>
      <c r="AB1815" s="111"/>
      <c r="AC1815" s="28"/>
      <c r="AD1815" s="96">
        <f ca="1">AD1814/AD1812</f>
        <v>0.14474487028234823</v>
      </c>
      <c r="AE1815" s="111"/>
      <c r="AF1815" s="28"/>
      <c r="AG1815" s="96">
        <f ca="1">AG1814/AG1812</f>
        <v>-0.26274325246304808</v>
      </c>
      <c r="AH1815" s="111"/>
      <c r="AI1815" s="28"/>
      <c r="AJ1815" s="96">
        <f ca="1">AJ1814/AJ1812</f>
        <v>-3.2268393055264402</v>
      </c>
      <c r="AK1815" s="111"/>
      <c r="AL1815" s="28"/>
      <c r="AM1815" s="96">
        <f ca="1">AM1814/AM1812</f>
        <v>3.6139497738604622</v>
      </c>
      <c r="AN1815" s="111"/>
      <c r="AO1815" s="28"/>
      <c r="AP1815" s="96">
        <f ca="1">AP1814/AP1812</f>
        <v>1.962943038264138</v>
      </c>
      <c r="AQ1815" s="111"/>
      <c r="AR1815" s="28"/>
      <c r="AS1815" s="96">
        <f ca="1">AS1814/AS1812</f>
        <v>1.5021542683681082</v>
      </c>
      <c r="AT1815" s="111"/>
      <c r="AU1815" s="28"/>
    </row>
    <row r="1816" spans="15:47" x14ac:dyDescent="0.25">
      <c r="O1816" s="2" t="s">
        <v>21</v>
      </c>
      <c r="P1816" s="8">
        <v>12</v>
      </c>
      <c r="Q1816" s="2"/>
      <c r="R1816" s="96">
        <f ca="1">1-R1815/(3*F_GAMMA*R$29)</f>
        <v>0.82569542274334817</v>
      </c>
      <c r="S1816" s="106"/>
      <c r="T1816" s="22"/>
      <c r="U1816" s="96">
        <f ca="1">1-U1815/(3*F_GAMMA*U$29)</f>
        <v>0.82693099255395464</v>
      </c>
      <c r="V1816" s="111"/>
      <c r="W1816" s="28"/>
      <c r="X1816" s="96">
        <f ca="1">1-X1815/(3*F_GAMMA*X$29)</f>
        <v>0.83149388274659475</v>
      </c>
      <c r="Y1816" s="111"/>
      <c r="Z1816" s="28"/>
      <c r="AA1816" s="96">
        <f ca="1">1-AA1815/(3*F_GAMMA*AA$29)</f>
        <v>0.85196773535680104</v>
      </c>
      <c r="AB1816" s="111"/>
      <c r="AC1816" s="28"/>
      <c r="AD1816" s="96">
        <f ca="1">1-AD1815/(3*F_GAMMA*AD$29)</f>
        <v>0.92044977971706388</v>
      </c>
      <c r="AE1816" s="111"/>
      <c r="AF1816" s="28"/>
      <c r="AG1816" s="96">
        <f ca="1">1-AG1815/(3*F_GAMMA*AG$29)</f>
        <v>1.1530658027134884</v>
      </c>
      <c r="AH1816" s="111"/>
      <c r="AI1816" s="28"/>
      <c r="AJ1816" s="96">
        <f ca="1">1-AJ1815/(3*F_GAMMA*AJ$29)</f>
        <v>3.0224646938128936</v>
      </c>
      <c r="AK1816" s="111"/>
      <c r="AL1816" s="28"/>
      <c r="AM1816" s="96">
        <f ca="1">1-AM1815/(3*F_GAMMA*AM$29)</f>
        <v>-1.5325588554380283</v>
      </c>
      <c r="AN1816" s="111"/>
      <c r="AO1816" s="28"/>
      <c r="AP1816" s="96">
        <f ca="1">1-AP1815/(3*F_GAMMA*AP$29)</f>
        <v>-0.10799030128364495</v>
      </c>
      <c r="AQ1816" s="111"/>
      <c r="AR1816" s="28"/>
      <c r="AS1816" s="96">
        <f ca="1">1-AS1815/(3*F_GAMMA*AS$29)</f>
        <v>-0.32925787445180488</v>
      </c>
      <c r="AT1816" s="111"/>
      <c r="AU1816" s="28"/>
    </row>
    <row r="1817" spans="15:47" x14ac:dyDescent="0.25">
      <c r="O1817" s="2" t="s">
        <v>57</v>
      </c>
      <c r="P1817" s="143">
        <v>7</v>
      </c>
      <c r="Q1817" s="2"/>
      <c r="R1817" s="96">
        <f ca="1">(R1810/(N_9*R$27*R1812*R1816))*SQRT(M*'Valve Sizing'!$W$6*'Valve Sizing'!$G$8/R1815)</f>
        <v>1.5912509261565</v>
      </c>
      <c r="S1817" s="107"/>
      <c r="T1817" s="22"/>
      <c r="U1817" s="96">
        <f ca="1">(U1810/(N_9*U$27*U1812*U1816))*SQRT(M*'Valve Sizing'!$W$6*'Valve Sizing'!$G$8/U1815)</f>
        <v>16.834025445971246</v>
      </c>
      <c r="V1817" s="111"/>
      <c r="W1817" s="28"/>
      <c r="X1817" s="96">
        <f ca="1">(X1810/(N_9*X$27*X1812*X1816))*SQRT(M*'Valve Sizing'!$W$6*'Valve Sizing'!$G$8/X1815)</f>
        <v>42.579457642071141</v>
      </c>
      <c r="Y1817" s="111"/>
      <c r="Z1817" s="28"/>
      <c r="AA1817" s="96">
        <f ca="1">(AA1810/(N_9*AA$27*AA1812*AA1816))*SQRT(M*'Valve Sizing'!$W$6*'Valve Sizing'!$G$8/AA1815)</f>
        <v>92.998584138081952</v>
      </c>
      <c r="AB1817" s="111"/>
      <c r="AC1817" s="28"/>
      <c r="AD1817" s="96">
        <f ca="1">(AD1810/(N_9*AD$27*AD1812*AD1816))*SQRT(M*'Valve Sizing'!$W$6*'Valve Sizing'!$G$8/AD1815)</f>
        <v>239.78846622382881</v>
      </c>
      <c r="AE1817" s="111"/>
      <c r="AF1817" s="28"/>
      <c r="AG1817" s="96" t="e">
        <f ca="1">(AG1810/(N_9*AG$27*AG1812*AG1816))*SQRT(M*'Valve Sizing'!$W$6*'Valve Sizing'!$G$8/AG1815)</f>
        <v>#NUM!</v>
      </c>
      <c r="AH1817" s="111"/>
      <c r="AI1817" s="28"/>
      <c r="AJ1817" s="96" t="e">
        <f ca="1">(AJ1810/(N_9*AJ$27*AJ1812*AJ1816))*SQRT(M*'Valve Sizing'!$W$6*'Valve Sizing'!$G$8/AJ1815)</f>
        <v>#NUM!</v>
      </c>
      <c r="AK1817" s="111"/>
      <c r="AL1817" s="28"/>
      <c r="AM1817" s="96">
        <f ca="1">(AM1810/(N_9*AM$27*AM1812*AM1816))*SQRT(M*'Valve Sizing'!$W$6*'Valve Sizing'!$G$8/AM1815)</f>
        <v>235.3368171683334</v>
      </c>
      <c r="AN1817" s="111"/>
      <c r="AO1817" s="28"/>
      <c r="AP1817" s="96">
        <f ca="1">(AP1810/(N_9*AP$27*AP1812*AP1816))*SQRT(M*'Valve Sizing'!$W$6*'Valve Sizing'!$G$8/AP1815)</f>
        <v>2205.9716360059051</v>
      </c>
      <c r="AQ1817" s="111"/>
      <c r="AR1817" s="28"/>
      <c r="AS1817" s="96">
        <f ca="1">(AS1810/(N_9*AS$27*AS1812*AS1816))*SQRT(M*'Valve Sizing'!$W$6*'Valve Sizing'!$G$8/AS1815)</f>
        <v>677.37731506230364</v>
      </c>
      <c r="AT1817" s="111"/>
      <c r="AU1817" s="28"/>
    </row>
    <row r="1818" spans="15:47" x14ac:dyDescent="0.25">
      <c r="O1818" s="2" t="s">
        <v>59</v>
      </c>
      <c r="P1818" s="143">
        <v>7</v>
      </c>
      <c r="Q1818" s="2"/>
      <c r="R1818" s="96">
        <f ca="1">(R1810/(N_9*R$27*R1812*0.667))*SQRT(M*'Valve Sizing'!$W$6*'Valve Sizing'!$G$8/R1819)</f>
        <v>1.4244517263671892</v>
      </c>
      <c r="S1818" s="107"/>
      <c r="T1818" s="22"/>
      <c r="U1818" s="96">
        <f ca="1">(U1810/(N_9*U$27*U1812*0.667))*SQRT(M*'Valve Sizing'!$W$6*'Valve Sizing'!$G$8/U1819)</f>
        <v>15.038402117713993</v>
      </c>
      <c r="V1818" s="111"/>
      <c r="W1818" s="28"/>
      <c r="X1818" s="96">
        <f ca="1">(X1810/(N_9*X$27*X1812*0.667))*SQRT(M*'Valve Sizing'!$W$6*'Valve Sizing'!$G$8/X1819)</f>
        <v>37.739992805060183</v>
      </c>
      <c r="Y1818" s="111"/>
      <c r="Z1818" s="28"/>
      <c r="AA1818" s="96">
        <f ca="1">(AA1810/(N_9*AA$27*AA1812*0.667))*SQRT(M*'Valve Sizing'!$W$6*'Valve Sizing'!$G$8/AA1819)</f>
        <v>79.16121835275608</v>
      </c>
      <c r="AB1818" s="111"/>
      <c r="AC1818" s="28"/>
      <c r="AD1818" s="96">
        <f ca="1">(AD1810/(N_9*AD$27*AD1812*0.667))*SQRT(M*'Valve Sizing'!$W$6*'Valve Sizing'!$G$8/AD1819)</f>
        <v>161.65303940885195</v>
      </c>
      <c r="AE1818" s="111"/>
      <c r="AF1818" s="28"/>
      <c r="AG1818" s="96">
        <f ca="1">(AG1810/(N_9*AG$27*AG1812*0.667))*SQRT(M*'Valve Sizing'!$W$6*'Valve Sizing'!$G$8/AG1819)</f>
        <v>366.72030657722405</v>
      </c>
      <c r="AH1818" s="111"/>
      <c r="AI1818" s="28"/>
      <c r="AJ1818" s="96">
        <f ca="1">(AJ1810/(N_9*AJ$27*AJ1812*0.667))*SQRT(M*'Valve Sizing'!$W$6*'Valve Sizing'!$G$8/AJ1819)</f>
        <v>1760.5851039005424</v>
      </c>
      <c r="AK1818" s="111"/>
      <c r="AL1818" s="28"/>
      <c r="AM1818" s="96">
        <f ca="1">(AM1810/(N_9*AM$27*AM1812*0.667))*SQRT(M*'Valve Sizing'!$W$6*'Valve Sizing'!$G$8/AM1819)</f>
        <v>-1490.4643897516482</v>
      </c>
      <c r="AN1818" s="111"/>
      <c r="AO1818" s="28"/>
      <c r="AP1818" s="96">
        <f ca="1">(AP1810/(N_9*AP$27*AP1812*0.667))*SQRT(M*'Valve Sizing'!$W$6*'Valve Sizing'!$G$8/AP1819)</f>
        <v>-651.15960303962197</v>
      </c>
      <c r="AQ1818" s="111"/>
      <c r="AR1818" s="28"/>
      <c r="AS1818" s="96">
        <f ca="1">(AS1810/(N_9*AS$27*AS1812*0.667))*SQRT(M*'Valve Sizing'!$W$6*'Valve Sizing'!$G$8/AS1819)</f>
        <v>-667.73821655761765</v>
      </c>
      <c r="AT1818" s="111"/>
      <c r="AU1818" s="28"/>
    </row>
    <row r="1819" spans="15:47" ht="15.6" x14ac:dyDescent="0.35">
      <c r="O1819" s="2" t="s">
        <v>68</v>
      </c>
      <c r="P1819" s="143">
        <v>10</v>
      </c>
      <c r="Q1819" s="2"/>
      <c r="R1819" s="96">
        <f ca="1">F_GAMMA*R$29</f>
        <v>0.64002969751372984</v>
      </c>
      <c r="S1819" s="107"/>
      <c r="T1819" s="1"/>
      <c r="U1819" s="96">
        <f ca="1">F_GAMMA*U$29</f>
        <v>0.64017842058782071</v>
      </c>
      <c r="V1819" s="111"/>
      <c r="W1819" s="28"/>
      <c r="X1819" s="96">
        <f ca="1">F_GAMMA*X$29</f>
        <v>0.63413873724904268</v>
      </c>
      <c r="Y1819" s="111"/>
      <c r="Z1819" s="28"/>
      <c r="AA1819" s="96">
        <f ca="1">F_GAMMA*AA$29</f>
        <v>0.62532411750377137</v>
      </c>
      <c r="AB1819" s="111"/>
      <c r="AC1819" s="28"/>
      <c r="AD1819" s="96">
        <f ca="1">F_GAMMA*AD$29</f>
        <v>0.60651359509139569</v>
      </c>
      <c r="AE1819" s="111"/>
      <c r="AF1819" s="28"/>
      <c r="AG1819" s="96">
        <f ca="1">F_GAMMA*AG$29</f>
        <v>0.57217930198481592</v>
      </c>
      <c r="AH1819" s="111"/>
      <c r="AI1819" s="28"/>
      <c r="AJ1819" s="96">
        <f ca="1">F_GAMMA*AJ$29</f>
        <v>0.53183282018848232</v>
      </c>
      <c r="AK1819" s="111"/>
      <c r="AL1819" s="28"/>
      <c r="AM1819" s="96">
        <f ca="1">F_GAMMA*AM$29</f>
        <v>0.47566512503094399</v>
      </c>
      <c r="AN1819" s="111"/>
      <c r="AO1819" s="28"/>
      <c r="AP1819" s="96">
        <f ca="1">F_GAMMA*AP$29</f>
        <v>0.59054158265645496</v>
      </c>
      <c r="AQ1819" s="111"/>
      <c r="AR1819" s="28"/>
      <c r="AS1819" s="96">
        <f ca="1">F_GAMMA*AS$29</f>
        <v>0.3766899554102966</v>
      </c>
      <c r="AT1819" s="111"/>
      <c r="AU1819" s="28"/>
    </row>
    <row r="1820" spans="15:47" x14ac:dyDescent="0.25">
      <c r="O1820" s="2" t="s">
        <v>145</v>
      </c>
      <c r="P1820" s="12"/>
      <c r="Q1820" s="2"/>
      <c r="R1820" s="96">
        <f ca="1">IF(R1815&lt;R1819,R1817,R1818)</f>
        <v>1.5912509261565</v>
      </c>
      <c r="S1820" s="116"/>
      <c r="T1820" s="1"/>
      <c r="U1820" s="96">
        <f ca="1">IF(U1815&lt;U1819,U1817,U1818)</f>
        <v>16.834025445971246</v>
      </c>
      <c r="V1820" s="111"/>
      <c r="W1820" s="28"/>
      <c r="X1820" s="96">
        <f ca="1">IF(X1815&lt;X1819,X1817,X1818)</f>
        <v>42.579457642071141</v>
      </c>
      <c r="Y1820" s="111"/>
      <c r="Z1820" s="28"/>
      <c r="AA1820" s="96">
        <f ca="1">IF(AA1815&lt;AA1819,AA1817,AA1818)</f>
        <v>92.998584138081952</v>
      </c>
      <c r="AB1820" s="111"/>
      <c r="AC1820" s="28"/>
      <c r="AD1820" s="96">
        <f ca="1">IF(AD1815&lt;AD1819,AD1817,AD1818)</f>
        <v>239.78846622382881</v>
      </c>
      <c r="AE1820" s="111"/>
      <c r="AF1820" s="28"/>
      <c r="AG1820" s="96" t="e">
        <f ca="1">IF(AG1815&lt;AG1819,AG1817,AG1818)</f>
        <v>#NUM!</v>
      </c>
      <c r="AH1820" s="111"/>
      <c r="AI1820" s="28"/>
      <c r="AJ1820" s="96" t="e">
        <f ca="1">IF(AJ1815&lt;AJ1819,AJ1817,AJ1818)</f>
        <v>#NUM!</v>
      </c>
      <c r="AK1820" s="111"/>
      <c r="AL1820" s="28"/>
      <c r="AM1820" s="96">
        <f ca="1">IF(AM1815&lt;AM1819,AM1817,AM1818)</f>
        <v>-1490.4643897516482</v>
      </c>
      <c r="AN1820" s="111"/>
      <c r="AO1820" s="28"/>
      <c r="AP1820" s="96">
        <f ca="1">IF(AP1815&lt;AP1819,AP1817,AP1818)</f>
        <v>-651.15960303962197</v>
      </c>
      <c r="AQ1820" s="111"/>
      <c r="AR1820" s="28"/>
      <c r="AS1820" s="96">
        <f ca="1">IF(AS1815&lt;AS1819,AS1817,AS1818)</f>
        <v>-667.73821655761765</v>
      </c>
      <c r="AT1820" s="111"/>
      <c r="AU1820" s="28"/>
    </row>
    <row r="1821" spans="15:47" x14ac:dyDescent="0.25">
      <c r="O1821" s="13" t="s">
        <v>143</v>
      </c>
      <c r="P1821" s="1"/>
      <c r="Q1821" s="1"/>
      <c r="R1821" s="113"/>
      <c r="S1821" s="106">
        <f ca="1">IF(R1814&lt;=0,Q_max,ABS(R$23-R1820))</f>
        <v>3.1387490738435004</v>
      </c>
      <c r="T1821" s="7">
        <f>R1810</f>
        <v>3940.11118570694</v>
      </c>
      <c r="U1821" s="98"/>
      <c r="V1821" s="106">
        <f ca="1">IF(U1814&lt;=0,Q_max,ABS(U$23-U1820))</f>
        <v>5.2340254459712465</v>
      </c>
      <c r="W1821" s="9">
        <f ca="1">U1810</f>
        <v>41431.66577582145</v>
      </c>
      <c r="X1821" s="98"/>
      <c r="Y1821" s="106">
        <f ca="1">IF(X1814&lt;=0,Q_max,ABS(X$23-X1820))</f>
        <v>19.579457642071141</v>
      </c>
      <c r="Z1821" s="9">
        <f ca="1">X1810</f>
        <v>101450.93058379165</v>
      </c>
      <c r="AA1821" s="98"/>
      <c r="AB1821" s="106">
        <f ca="1">IF(AA1814&lt;=0,Q_max,ABS(AA$23-AA1820))</f>
        <v>53.598584138081954</v>
      </c>
      <c r="AC1821" s="9">
        <f ca="1">AA1810</f>
        <v>197600.51789251508</v>
      </c>
      <c r="AD1821" s="98"/>
      <c r="AE1821" s="106">
        <f ca="1">IF(AD1814&lt;=0,Q_max,ABS(AD$23-AD1820))</f>
        <v>178.78846622382881</v>
      </c>
      <c r="AF1821" s="9">
        <f ca="1">AD1810</f>
        <v>331512.19974361284</v>
      </c>
      <c r="AG1821" s="98"/>
      <c r="AH1821" s="106">
        <f ca="1">IF(AG1814&lt;=0,Q_max,ABS(AG$23-AG1820))</f>
        <v>236393</v>
      </c>
      <c r="AI1821" s="9">
        <f ca="1">AG1810</f>
        <v>483851.08463907411</v>
      </c>
      <c r="AJ1821" s="98"/>
      <c r="AK1821" s="106">
        <f ca="1">IF(AJ1814&lt;=0,Q_max,ABS(AJ$23-AJ1820))</f>
        <v>236393</v>
      </c>
      <c r="AL1821" s="9">
        <f ca="1">AJ1810</f>
        <v>645701.14813210513</v>
      </c>
      <c r="AM1821" s="98"/>
      <c r="AN1821" s="106">
        <f ca="1">IF(AM1814&lt;=0,Q_max,ABS(AM$23-AM1820))</f>
        <v>236393</v>
      </c>
      <c r="AO1821" s="9">
        <f ca="1">AM1810</f>
        <v>787878.1097337614</v>
      </c>
      <c r="AP1821" s="98"/>
      <c r="AQ1821" s="106">
        <f ca="1">IF(AP1814&lt;=0,Q_max,ABS(AP$23-AP1820))</f>
        <v>236393</v>
      </c>
      <c r="AR1821" s="9">
        <f ca="1">AP1810</f>
        <v>914702.02601649414</v>
      </c>
      <c r="AS1821" s="98"/>
      <c r="AT1821" s="106">
        <f ca="1">IF(AS1814&lt;=0,Q_max,ABS(AS$23-AS1820))</f>
        <v>236393</v>
      </c>
      <c r="AU1821" s="9">
        <f ca="1">AS1810</f>
        <v>1072560.0621753824</v>
      </c>
    </row>
    <row r="1822" spans="15:47" x14ac:dyDescent="0.25">
      <c r="O1822" s="21"/>
      <c r="P1822" s="14"/>
      <c r="Q1822" s="21"/>
      <c r="R1822" s="97"/>
      <c r="S1822" s="106"/>
      <c r="T1822" s="28"/>
      <c r="U1822" s="97"/>
      <c r="V1822" s="111"/>
      <c r="W1822" s="28"/>
      <c r="X1822" s="97"/>
      <c r="Y1822" s="111"/>
      <c r="Z1822" s="28"/>
      <c r="AA1822" s="97"/>
      <c r="AB1822" s="111"/>
      <c r="AC1822" s="28"/>
      <c r="AD1822" s="97"/>
      <c r="AE1822" s="111"/>
      <c r="AF1822" s="28"/>
      <c r="AG1822" s="97"/>
      <c r="AH1822" s="111"/>
      <c r="AI1822" s="28"/>
      <c r="AJ1822" s="97"/>
      <c r="AK1822" s="111"/>
      <c r="AL1822" s="28"/>
      <c r="AM1822" s="97"/>
      <c r="AN1822" s="111"/>
      <c r="AO1822" s="28"/>
      <c r="AP1822" s="97"/>
      <c r="AQ1822" s="111"/>
      <c r="AR1822" s="28"/>
      <c r="AS1822" s="97"/>
      <c r="AT1822" s="111"/>
      <c r="AU1822" s="28"/>
    </row>
    <row r="1823" spans="15:47" x14ac:dyDescent="0.25">
      <c r="O1823" s="1"/>
      <c r="P1823" s="1"/>
      <c r="Q1823" s="1"/>
      <c r="R1823" s="98"/>
      <c r="S1823" s="108" t="s">
        <v>137</v>
      </c>
      <c r="T1823" s="26" t="s">
        <v>146</v>
      </c>
      <c r="U1823" s="98"/>
      <c r="V1823" s="108" t="s">
        <v>137</v>
      </c>
      <c r="W1823" s="26" t="s">
        <v>146</v>
      </c>
      <c r="X1823" s="98"/>
      <c r="Y1823" s="108" t="s">
        <v>137</v>
      </c>
      <c r="Z1823" s="26" t="s">
        <v>146</v>
      </c>
      <c r="AA1823" s="98"/>
      <c r="AB1823" s="108" t="s">
        <v>137</v>
      </c>
      <c r="AC1823" s="26" t="s">
        <v>146</v>
      </c>
      <c r="AD1823" s="98"/>
      <c r="AE1823" s="108" t="s">
        <v>137</v>
      </c>
      <c r="AF1823" s="26" t="s">
        <v>146</v>
      </c>
      <c r="AG1823" s="98"/>
      <c r="AH1823" s="108" t="s">
        <v>137</v>
      </c>
      <c r="AI1823" s="26" t="s">
        <v>146</v>
      </c>
      <c r="AJ1823" s="98"/>
      <c r="AK1823" s="108" t="s">
        <v>137</v>
      </c>
      <c r="AL1823" s="26" t="s">
        <v>146</v>
      </c>
      <c r="AM1823" s="98"/>
      <c r="AN1823" s="108" t="s">
        <v>137</v>
      </c>
      <c r="AO1823" s="26" t="s">
        <v>146</v>
      </c>
      <c r="AP1823" s="98"/>
      <c r="AQ1823" s="108" t="s">
        <v>137</v>
      </c>
      <c r="AR1823" s="26" t="s">
        <v>146</v>
      </c>
      <c r="AS1823" s="98"/>
      <c r="AT1823" s="108" t="s">
        <v>137</v>
      </c>
      <c r="AU1823" s="26" t="s">
        <v>146</v>
      </c>
    </row>
    <row r="1824" spans="15:47" ht="13.8" x14ac:dyDescent="0.25">
      <c r="O1824" s="20" t="s">
        <v>136</v>
      </c>
      <c r="P1824" s="1"/>
      <c r="Q1824" s="1"/>
      <c r="R1824" s="96">
        <f>R1810*1.02</f>
        <v>4018.913409421079</v>
      </c>
      <c r="S1824" s="109" t="s">
        <v>144</v>
      </c>
      <c r="T1824" s="23" t="s">
        <v>147</v>
      </c>
      <c r="U1824" s="96">
        <f ca="1">U1810*1.01</f>
        <v>41845.982433579666</v>
      </c>
      <c r="V1824" s="109" t="s">
        <v>144</v>
      </c>
      <c r="W1824" s="23" t="s">
        <v>147</v>
      </c>
      <c r="X1824" s="96">
        <f ca="1">X1810*1.01</f>
        <v>102465.43988962956</v>
      </c>
      <c r="Y1824" s="109" t="s">
        <v>144</v>
      </c>
      <c r="Z1824" s="23" t="s">
        <v>147</v>
      </c>
      <c r="AA1824" s="96">
        <f ca="1">AA1810*1.01</f>
        <v>199576.52307144023</v>
      </c>
      <c r="AB1824" s="109" t="s">
        <v>144</v>
      </c>
      <c r="AC1824" s="23" t="s">
        <v>147</v>
      </c>
      <c r="AD1824" s="96">
        <f ca="1">AD1810*1.01</f>
        <v>334827.321741049</v>
      </c>
      <c r="AE1824" s="109" t="s">
        <v>144</v>
      </c>
      <c r="AF1824" s="23" t="s">
        <v>147</v>
      </c>
      <c r="AG1824" s="96">
        <f ca="1">AG1810*1.01</f>
        <v>488689.59548546484</v>
      </c>
      <c r="AH1824" s="109" t="s">
        <v>144</v>
      </c>
      <c r="AI1824" s="23" t="s">
        <v>147</v>
      </c>
      <c r="AJ1824" s="96">
        <f ca="1">AJ1810*1.01</f>
        <v>652158.15961342619</v>
      </c>
      <c r="AK1824" s="109" t="s">
        <v>144</v>
      </c>
      <c r="AL1824" s="23" t="s">
        <v>147</v>
      </c>
      <c r="AM1824" s="96">
        <f ca="1">AM1810*1.01</f>
        <v>795756.89083109901</v>
      </c>
      <c r="AN1824" s="109" t="s">
        <v>144</v>
      </c>
      <c r="AO1824" s="23" t="s">
        <v>147</v>
      </c>
      <c r="AP1824" s="96">
        <f ca="1">AP1810*1.01</f>
        <v>923849.04627665912</v>
      </c>
      <c r="AQ1824" s="109" t="s">
        <v>144</v>
      </c>
      <c r="AR1824" s="23" t="s">
        <v>147</v>
      </c>
      <c r="AS1824" s="96">
        <f ca="1">AS1810*1.01</f>
        <v>1083285.6627971362</v>
      </c>
      <c r="AT1824" s="109" t="s">
        <v>144</v>
      </c>
      <c r="AU1824" s="23" t="s">
        <v>147</v>
      </c>
    </row>
    <row r="1825" spans="15:47" x14ac:dyDescent="0.25">
      <c r="O1825" s="1"/>
      <c r="P1825" s="1"/>
      <c r="Q1825" s="1"/>
      <c r="R1825" s="98"/>
      <c r="S1825" s="107"/>
      <c r="T1825" s="1"/>
      <c r="U1825" s="47"/>
      <c r="V1825" s="107"/>
      <c r="W1825" s="1"/>
      <c r="X1825" s="47"/>
      <c r="Y1825" s="107"/>
      <c r="Z1825" s="1"/>
      <c r="AA1825" s="47"/>
      <c r="AB1825" s="107"/>
      <c r="AC1825" s="1"/>
      <c r="AD1825" s="47"/>
      <c r="AE1825" s="107"/>
      <c r="AF1825" s="1"/>
      <c r="AG1825" s="47"/>
      <c r="AH1825" s="107"/>
      <c r="AI1825" s="1"/>
      <c r="AJ1825" s="47"/>
      <c r="AK1825" s="107"/>
      <c r="AL1825" s="1"/>
      <c r="AM1825" s="47"/>
      <c r="AN1825" s="107"/>
      <c r="AO1825" s="1"/>
      <c r="AP1825" s="47"/>
      <c r="AQ1825" s="107"/>
      <c r="AR1825" s="1"/>
      <c r="AS1825" s="47"/>
      <c r="AT1825" s="107"/>
      <c r="AU1825" s="1"/>
    </row>
    <row r="1826" spans="15:47" x14ac:dyDescent="0.25">
      <c r="O1826" s="8" t="s">
        <v>132</v>
      </c>
      <c r="P1826" s="8"/>
      <c r="Q1826" s="8"/>
      <c r="R1826" s="96">
        <f>P_1_minQ-(R1824^2*R_up)+dpup_minQ</f>
        <v>90.182096713076618</v>
      </c>
      <c r="S1826" s="106"/>
      <c r="T1826" s="22"/>
      <c r="U1826" s="96">
        <f ca="1">P_1_minQ-(U1824^2*R_up)+dpup_minQ</f>
        <v>89.865885955498612</v>
      </c>
      <c r="V1826" s="107"/>
      <c r="W1826" s="1"/>
      <c r="X1826" s="96">
        <f ca="1">P_1_minQ-(X1824^2*R_up)+dpup_minQ</f>
        <v>88.271452900483936</v>
      </c>
      <c r="Y1826" s="107"/>
      <c r="Z1826" s="1"/>
      <c r="AA1826" s="96">
        <f ca="1">P_1_minQ-(AA1824^2*R_up)+dpup_minQ</f>
        <v>82.925444713217772</v>
      </c>
      <c r="AB1826" s="107"/>
      <c r="AC1826" s="1"/>
      <c r="AD1826" s="96">
        <f ca="1">P_1_minQ-(AD1824^2*R_up)+dpup_minQ</f>
        <v>69.75189090896734</v>
      </c>
      <c r="AE1826" s="107"/>
      <c r="AF1826" s="1"/>
      <c r="AG1826" s="96">
        <f ca="1">P_1_minQ-(AG1824^2*R_up)+dpup_minQ</f>
        <v>46.657941590173017</v>
      </c>
      <c r="AH1826" s="107"/>
      <c r="AI1826" s="1"/>
      <c r="AJ1826" s="96">
        <f ca="1">P_1_minQ-(AJ1824^2*R_up)+dpup_minQ</f>
        <v>12.667604060771664</v>
      </c>
      <c r="AK1826" s="107"/>
      <c r="AL1826" s="1"/>
      <c r="AM1826" s="96">
        <f ca="1">P_1_minQ-(AM1824^2*R_up)+dpup_minQ</f>
        <v>-25.227859349887922</v>
      </c>
      <c r="AN1826" s="107"/>
      <c r="AO1826" s="1"/>
      <c r="AP1826" s="96">
        <f ca="1">P_1_minQ-(AP1824^2*R_up)+dpup_minQ</f>
        <v>-65.374111388621117</v>
      </c>
      <c r="AQ1826" s="107"/>
      <c r="AR1826" s="1"/>
      <c r="AS1826" s="96">
        <f ca="1">P_1_minQ-(AS1824^2*R_up)+dpup_minQ</f>
        <v>-123.69956536080679</v>
      </c>
      <c r="AT1826" s="107"/>
      <c r="AU1826" s="1"/>
    </row>
    <row r="1827" spans="15:47" x14ac:dyDescent="0.25">
      <c r="O1827" s="8" t="s">
        <v>134</v>
      </c>
      <c r="P1827" s="1"/>
      <c r="Q1827" s="8"/>
      <c r="R1827" s="97">
        <f>P_2_minQ+(R1824^2*R_dn)-dpdn_minQ</f>
        <v>60</v>
      </c>
      <c r="S1827" s="106"/>
      <c r="T1827" s="22"/>
      <c r="U1827" s="97">
        <f ca="1">P_2_minQ+(U1824^2*R_dn)-dpdn_minQ</f>
        <v>60</v>
      </c>
      <c r="V1827" s="107"/>
      <c r="W1827" s="1"/>
      <c r="X1827" s="97">
        <f ca="1">P_2_minQ+(X1824^2*R_dn)-dpdn_minQ</f>
        <v>60</v>
      </c>
      <c r="Y1827" s="107"/>
      <c r="Z1827" s="1"/>
      <c r="AA1827" s="97">
        <f ca="1">P_2_minQ+(AA1824^2*R_dn)-dpdn_minQ</f>
        <v>60</v>
      </c>
      <c r="AB1827" s="107"/>
      <c r="AC1827" s="1"/>
      <c r="AD1827" s="97">
        <f ca="1">P_2_minQ+(AD1824^2*R_dn)-dpdn_minQ</f>
        <v>60</v>
      </c>
      <c r="AE1827" s="107"/>
      <c r="AF1827" s="1"/>
      <c r="AG1827" s="97">
        <f ca="1">P_2_minQ+(AG1824^2*R_dn)-dpdn_minQ</f>
        <v>60</v>
      </c>
      <c r="AH1827" s="107"/>
      <c r="AI1827" s="1"/>
      <c r="AJ1827" s="97">
        <f ca="1">P_2_minQ+(AJ1824^2*R_dn)-dpdn_minQ</f>
        <v>60</v>
      </c>
      <c r="AK1827" s="107"/>
      <c r="AL1827" s="1"/>
      <c r="AM1827" s="97">
        <f ca="1">P_2_minQ+(AM1824^2*R_dn)-dpdn_minQ</f>
        <v>60</v>
      </c>
      <c r="AN1827" s="107"/>
      <c r="AO1827" s="1"/>
      <c r="AP1827" s="97">
        <f ca="1">P_2_minQ+(AP1824^2*R_dn)-dpdn_minQ</f>
        <v>60</v>
      </c>
      <c r="AQ1827" s="107"/>
      <c r="AR1827" s="1"/>
      <c r="AS1827" s="97">
        <f ca="1">P_2_minQ+(AS1824^2*R_dn)-dpdn_minQ</f>
        <v>60</v>
      </c>
      <c r="AT1827" s="107"/>
      <c r="AU1827" s="1"/>
    </row>
    <row r="1828" spans="15:47" x14ac:dyDescent="0.25">
      <c r="O1828" s="8" t="s">
        <v>138</v>
      </c>
      <c r="P1828" s="1"/>
      <c r="Q1828" s="8"/>
      <c r="R1828" s="97">
        <f>R1826-R1827</f>
        <v>30.182096713076618</v>
      </c>
      <c r="S1828" s="106"/>
      <c r="T1828" s="22"/>
      <c r="U1828" s="97">
        <f ca="1">U1826-U1827</f>
        <v>29.865885955498612</v>
      </c>
      <c r="V1828" s="110"/>
      <c r="W1828" s="25"/>
      <c r="X1828" s="97">
        <f ca="1">X1826-X1827</f>
        <v>28.271452900483936</v>
      </c>
      <c r="Y1828" s="110"/>
      <c r="Z1828" s="25"/>
      <c r="AA1828" s="97">
        <f ca="1">AA1826-AA1827</f>
        <v>22.925444713217772</v>
      </c>
      <c r="AB1828" s="110"/>
      <c r="AC1828" s="25"/>
      <c r="AD1828" s="97">
        <f ca="1">AD1826-AD1827</f>
        <v>9.75189090896734</v>
      </c>
      <c r="AE1828" s="110"/>
      <c r="AF1828" s="25"/>
      <c r="AG1828" s="97">
        <f ca="1">AG1826-AG1827</f>
        <v>-13.342058409826983</v>
      </c>
      <c r="AH1828" s="110"/>
      <c r="AI1828" s="25"/>
      <c r="AJ1828" s="97">
        <f ca="1">AJ1826-AJ1827</f>
        <v>-47.332395939228334</v>
      </c>
      <c r="AK1828" s="110"/>
      <c r="AL1828" s="25"/>
      <c r="AM1828" s="97">
        <f ca="1">AM1826-AM1827</f>
        <v>-85.227859349887922</v>
      </c>
      <c r="AN1828" s="110"/>
      <c r="AO1828" s="25"/>
      <c r="AP1828" s="97">
        <f ca="1">AP1826-AP1827</f>
        <v>-125.37411138862112</v>
      </c>
      <c r="AQ1828" s="110"/>
      <c r="AR1828" s="25"/>
      <c r="AS1828" s="97">
        <f ca="1">AS1826-AS1827</f>
        <v>-183.69956536080679</v>
      </c>
      <c r="AT1828" s="110"/>
      <c r="AU1828" s="25"/>
    </row>
    <row r="1829" spans="15:47" ht="14.4" x14ac:dyDescent="0.3">
      <c r="O1829" s="2" t="s">
        <v>140</v>
      </c>
      <c r="P1829" s="11"/>
      <c r="Q1829" s="2"/>
      <c r="R1829" s="96">
        <f>R1828/R1826</f>
        <v>0.3346794742320528</v>
      </c>
      <c r="S1829" s="106"/>
      <c r="T1829" s="22"/>
      <c r="U1829" s="96">
        <f ca="1">U1828/U1826</f>
        <v>0.33233841338066966</v>
      </c>
      <c r="V1829" s="111"/>
      <c r="W1829" s="28"/>
      <c r="X1829" s="96">
        <f ca="1">X1828/X1826</f>
        <v>0.32027854953692442</v>
      </c>
      <c r="Y1829" s="111"/>
      <c r="Z1829" s="28"/>
      <c r="AA1829" s="96">
        <f ca="1">AA1828/AA1826</f>
        <v>0.27645850791034232</v>
      </c>
      <c r="AB1829" s="111"/>
      <c r="AC1829" s="28"/>
      <c r="AD1829" s="96">
        <f ca="1">AD1828/AD1826</f>
        <v>0.13980826586757997</v>
      </c>
      <c r="AE1829" s="111"/>
      <c r="AF1829" s="28"/>
      <c r="AG1829" s="96">
        <f ca="1">AG1828/AG1826</f>
        <v>-0.28595471542698864</v>
      </c>
      <c r="AH1829" s="111"/>
      <c r="AI1829" s="28"/>
      <c r="AJ1829" s="96">
        <f ca="1">AJ1828/AJ1826</f>
        <v>-3.7364915821615141</v>
      </c>
      <c r="AK1829" s="111"/>
      <c r="AL1829" s="28"/>
      <c r="AM1829" s="96">
        <f ca="1">AM1828/AM1826</f>
        <v>3.3783230740212034</v>
      </c>
      <c r="AN1829" s="111"/>
      <c r="AO1829" s="28"/>
      <c r="AP1829" s="96">
        <f ca="1">AP1828/AP1826</f>
        <v>1.9177945019141549</v>
      </c>
      <c r="AQ1829" s="111"/>
      <c r="AR1829" s="28"/>
      <c r="AS1829" s="96">
        <f ca="1">AS1828/AS1826</f>
        <v>1.4850461666942163</v>
      </c>
      <c r="AT1829" s="111"/>
      <c r="AU1829" s="28"/>
    </row>
    <row r="1830" spans="15:47" x14ac:dyDescent="0.25">
      <c r="O1830" s="2" t="s">
        <v>21</v>
      </c>
      <c r="P1830" s="8">
        <v>12</v>
      </c>
      <c r="Q1830" s="2"/>
      <c r="R1830" s="96">
        <f ca="1">1-R1829/(3*F_GAMMA*R$29)</f>
        <v>0.82569586196174216</v>
      </c>
      <c r="S1830" s="106"/>
      <c r="T1830" s="22"/>
      <c r="U1830" s="96">
        <f ca="1">1-U1829/(3*F_GAMMA*U$29)</f>
        <v>0.82695531813588685</v>
      </c>
      <c r="V1830" s="111"/>
      <c r="W1830" s="28"/>
      <c r="X1830" s="96">
        <f ca="1">1-X1829/(3*F_GAMMA*X$29)</f>
        <v>0.8316464359590432</v>
      </c>
      <c r="Y1830" s="111"/>
      <c r="Z1830" s="28"/>
      <c r="AA1830" s="96">
        <f ca="1">1-AA1829/(3*F_GAMMA*AA$29)</f>
        <v>0.85263188578432159</v>
      </c>
      <c r="AB1830" s="111"/>
      <c r="AC1830" s="28"/>
      <c r="AD1830" s="96">
        <f ca="1">1-AD1829/(3*F_GAMMA*AD$29)</f>
        <v>0.92316288428428261</v>
      </c>
      <c r="AE1830" s="111"/>
      <c r="AF1830" s="28"/>
      <c r="AG1830" s="96">
        <f ca="1">1-AG1829/(3*F_GAMMA*AG$29)</f>
        <v>1.166588057528499</v>
      </c>
      <c r="AH1830" s="111"/>
      <c r="AI1830" s="28"/>
      <c r="AJ1830" s="96">
        <f ca="1">1-AJ1829/(3*F_GAMMA*AJ$29)</f>
        <v>3.3418960748086817</v>
      </c>
      <c r="AK1830" s="111"/>
      <c r="AL1830" s="28"/>
      <c r="AM1830" s="96">
        <f ca="1">1-AM1829/(3*F_GAMMA*AM$29)</f>
        <v>-1.3674379980393625</v>
      </c>
      <c r="AN1830" s="111"/>
      <c r="AO1830" s="28"/>
      <c r="AP1830" s="96">
        <f ca="1">1-AP1829/(3*F_GAMMA*AP$29)</f>
        <v>-8.2506046561118485E-2</v>
      </c>
      <c r="AQ1830" s="111"/>
      <c r="AR1830" s="28"/>
      <c r="AS1830" s="96">
        <f ca="1">1-AS1829/(3*F_GAMMA*AS$29)</f>
        <v>-0.31411889748664401</v>
      </c>
      <c r="AT1830" s="111"/>
      <c r="AU1830" s="28"/>
    </row>
    <row r="1831" spans="15:47" x14ac:dyDescent="0.25">
      <c r="O1831" s="2" t="s">
        <v>57</v>
      </c>
      <c r="P1831" s="143">
        <v>7</v>
      </c>
      <c r="Q1831" s="2"/>
      <c r="R1831" s="96">
        <f ca="1">(R1824/(N_9*R$27*R1826*R1830))*SQRT(M*'Valve Sizing'!$W$6*'Valve Sizing'!$G$8/R1829)</f>
        <v>1.6230791836097194</v>
      </c>
      <c r="S1831" s="107"/>
      <c r="T1831" s="22"/>
      <c r="U1831" s="96">
        <f ca="1">(U1824/(N_9*U$27*U1826*U1830))*SQRT(M*'Valve Sizing'!$W$6*'Valve Sizing'!$G$8/U1829)</f>
        <v>17.004250364388515</v>
      </c>
      <c r="V1831" s="111"/>
      <c r="W1831" s="28"/>
      <c r="X1831" s="96">
        <f ca="1">(X1824/(N_9*X$27*X1826*X1830))*SQRT(M*'Valve Sizing'!$W$6*'Valve Sizing'!$G$8/X1829)</f>
        <v>43.035214799178256</v>
      </c>
      <c r="Y1831" s="111"/>
      <c r="Z1831" s="28"/>
      <c r="AA1831" s="96">
        <f ca="1">(AA1824/(N_9*AA$27*AA1826*AA1830))*SQRT(M*'Valve Sizing'!$W$6*'Valve Sizing'!$G$8/AA1829)</f>
        <v>94.228919341510547</v>
      </c>
      <c r="AB1831" s="111"/>
      <c r="AC1831" s="28"/>
      <c r="AD1831" s="96">
        <f ca="1">(AD1824/(N_9*AD$27*AD1826*AD1830))*SQRT(M*'Valve Sizing'!$W$6*'Valve Sizing'!$G$8/AD1829)</f>
        <v>247.11901817679365</v>
      </c>
      <c r="AE1831" s="111"/>
      <c r="AF1831" s="28"/>
      <c r="AG1831" s="96" t="e">
        <f ca="1">(AG1824/(N_9*AG$27*AG1826*AG1830))*SQRT(M*'Valve Sizing'!$W$6*'Valve Sizing'!$G$8/AG1829)</f>
        <v>#NUM!</v>
      </c>
      <c r="AH1831" s="111"/>
      <c r="AI1831" s="28"/>
      <c r="AJ1831" s="96" t="e">
        <f ca="1">(AJ1824/(N_9*AJ$27*AJ1826*AJ1830))*SQRT(M*'Valve Sizing'!$W$6*'Valve Sizing'!$G$8/AJ1829)</f>
        <v>#NUM!</v>
      </c>
      <c r="AK1831" s="111"/>
      <c r="AL1831" s="28"/>
      <c r="AM1831" s="96">
        <f ca="1">(AM1824/(N_9*AM$27*AM1826*AM1830))*SQRT(M*'Valve Sizing'!$W$6*'Valve Sizing'!$G$8/AM1829)</f>
        <v>250.68874993664946</v>
      </c>
      <c r="AN1831" s="111"/>
      <c r="AO1831" s="28"/>
      <c r="AP1831" s="96">
        <f ca="1">(AP1824/(N_9*AP$27*AP1826*AP1830))*SQRT(M*'Valve Sizing'!$W$6*'Valve Sizing'!$G$8/AP1829)</f>
        <v>2812.016994925501</v>
      </c>
      <c r="AQ1831" s="111"/>
      <c r="AR1831" s="28"/>
      <c r="AS1831" s="96">
        <f ca="1">(AS1824/(N_9*AS$27*AS1826*AS1830))*SQRT(M*'Valve Sizing'!$W$6*'Valve Sizing'!$G$8/AS1829)</f>
        <v>696.67036441394418</v>
      </c>
      <c r="AT1831" s="111"/>
      <c r="AU1831" s="28"/>
    </row>
    <row r="1832" spans="15:47" x14ac:dyDescent="0.25">
      <c r="O1832" s="2" t="s">
        <v>59</v>
      </c>
      <c r="P1832" s="143">
        <v>7</v>
      </c>
      <c r="Q1832" s="2"/>
      <c r="R1832" s="96">
        <f ca="1">(R1824/(N_9*R$27*R1826*0.667))*SQRT(M*'Valve Sizing'!$W$6*'Valve Sizing'!$G$8/R1833)</f>
        <v>1.4529426025968575</v>
      </c>
      <c r="S1832" s="107"/>
      <c r="T1832" s="22"/>
      <c r="U1832" s="96">
        <f ca="1">(U1824/(N_9*U$27*U1826*0.667))*SQRT(M*'Valve Sizing'!$W$6*'Valve Sizing'!$G$8/U1833)</f>
        <v>15.189849014866967</v>
      </c>
      <c r="V1832" s="111"/>
      <c r="W1832" s="28"/>
      <c r="X1832" s="96">
        <f ca="1">(X1824/(N_9*X$27*X1826*0.667))*SQRT(M*'Valve Sizing'!$W$6*'Valve Sizing'!$G$8/X1833)</f>
        <v>38.133674614124097</v>
      </c>
      <c r="Y1832" s="111"/>
      <c r="Z1832" s="28"/>
      <c r="AA1832" s="96">
        <f ca="1">(AA1824/(N_9*AA$27*AA1826*0.667))*SQRT(M*'Valve Sizing'!$W$6*'Valve Sizing'!$G$8/AA1833)</f>
        <v>80.090745625863875</v>
      </c>
      <c r="AB1832" s="111"/>
      <c r="AC1832" s="28"/>
      <c r="AD1832" s="96">
        <f ca="1">(AD1824/(N_9*AD$27*AD1826*0.667))*SQRT(M*'Valve Sizing'!$W$6*'Valve Sizing'!$G$8/AD1833)</f>
        <v>164.21197546773035</v>
      </c>
      <c r="AE1832" s="111"/>
      <c r="AF1832" s="28"/>
      <c r="AG1832" s="96">
        <f ca="1">(AG1824/(N_9*AG$27*AG1826*0.667))*SQRT(M*'Valve Sizing'!$W$6*'Valve Sizing'!$G$8/AG1833)</f>
        <v>377.19588968827884</v>
      </c>
      <c r="AH1832" s="111"/>
      <c r="AI1832" s="28"/>
      <c r="AJ1832" s="96">
        <f ca="1">(AJ1824/(N_9*AJ$27*AJ1826*0.667))*SQRT(M*'Valve Sizing'!$W$6*'Valve Sizing'!$G$8/AJ1833)</f>
        <v>1992.5968036056979</v>
      </c>
      <c r="AK1832" s="111"/>
      <c r="AL1832" s="28"/>
      <c r="AM1832" s="96">
        <f ca="1">(AM1824/(N_9*AM$27*AM1826*0.667))*SQRT(M*'Valve Sizing'!$W$6*'Valve Sizing'!$G$8/AM1833)</f>
        <v>-1369.6720355713808</v>
      </c>
      <c r="AN1832" s="111"/>
      <c r="AO1832" s="28"/>
      <c r="AP1832" s="96">
        <f ca="1">(AP1824/(N_9*AP$27*AP1826*0.667))*SQRT(M*'Valve Sizing'!$W$6*'Valve Sizing'!$G$8/AP1833)</f>
        <v>-626.83563470363993</v>
      </c>
      <c r="AQ1832" s="111"/>
      <c r="AR1832" s="28"/>
      <c r="AS1832" s="96">
        <f ca="1">(AS1824/(N_9*AS$27*AS1826*0.667))*SQRT(M*'Valve Sizing'!$W$6*'Valve Sizing'!$G$8/AS1833)</f>
        <v>-651.43865446478708</v>
      </c>
      <c r="AT1832" s="111"/>
      <c r="AU1832" s="28"/>
    </row>
    <row r="1833" spans="15:47" ht="15.6" x14ac:dyDescent="0.35">
      <c r="O1833" s="2" t="s">
        <v>68</v>
      </c>
      <c r="P1833" s="143">
        <v>10</v>
      </c>
      <c r="Q1833" s="2"/>
      <c r="R1833" s="96">
        <f ca="1">F_GAMMA*R$29</f>
        <v>0.64002969751372984</v>
      </c>
      <c r="S1833" s="107"/>
      <c r="T1833" s="1"/>
      <c r="U1833" s="96">
        <f ca="1">F_GAMMA*U$29</f>
        <v>0.64017842058782071</v>
      </c>
      <c r="V1833" s="111"/>
      <c r="W1833" s="28"/>
      <c r="X1833" s="96">
        <f ca="1">F_GAMMA*X$29</f>
        <v>0.63413873724904268</v>
      </c>
      <c r="Y1833" s="111"/>
      <c r="Z1833" s="28"/>
      <c r="AA1833" s="96">
        <f ca="1">F_GAMMA*AA$29</f>
        <v>0.62532411750377137</v>
      </c>
      <c r="AB1833" s="111"/>
      <c r="AC1833" s="28"/>
      <c r="AD1833" s="96">
        <f ca="1">F_GAMMA*AD$29</f>
        <v>0.60651359509139569</v>
      </c>
      <c r="AE1833" s="111"/>
      <c r="AF1833" s="28"/>
      <c r="AG1833" s="96">
        <f ca="1">F_GAMMA*AG$29</f>
        <v>0.57217930198481592</v>
      </c>
      <c r="AH1833" s="111"/>
      <c r="AI1833" s="28"/>
      <c r="AJ1833" s="96">
        <f ca="1">F_GAMMA*AJ$29</f>
        <v>0.53183282018848232</v>
      </c>
      <c r="AK1833" s="111"/>
      <c r="AL1833" s="28"/>
      <c r="AM1833" s="96">
        <f ca="1">F_GAMMA*AM$29</f>
        <v>0.47566512503094399</v>
      </c>
      <c r="AN1833" s="111"/>
      <c r="AO1833" s="28"/>
      <c r="AP1833" s="96">
        <f ca="1">F_GAMMA*AP$29</f>
        <v>0.59054158265645496</v>
      </c>
      <c r="AQ1833" s="111"/>
      <c r="AR1833" s="28"/>
      <c r="AS1833" s="96">
        <f ca="1">F_GAMMA*AS$29</f>
        <v>0.3766899554102966</v>
      </c>
      <c r="AT1833" s="111"/>
      <c r="AU1833" s="28"/>
    </row>
    <row r="1834" spans="15:47" x14ac:dyDescent="0.25">
      <c r="O1834" s="2" t="s">
        <v>145</v>
      </c>
      <c r="P1834" s="12"/>
      <c r="Q1834" s="2"/>
      <c r="R1834" s="96">
        <f ca="1">IF(R1829&lt;R1833,R1831,R1832)</f>
        <v>1.6230791836097194</v>
      </c>
      <c r="S1834" s="116"/>
      <c r="T1834" s="1"/>
      <c r="U1834" s="96">
        <f ca="1">IF(U1829&lt;U1833,U1831,U1832)</f>
        <v>17.004250364388515</v>
      </c>
      <c r="V1834" s="111"/>
      <c r="W1834" s="28"/>
      <c r="X1834" s="96">
        <f ca="1">IF(X1829&lt;X1833,X1831,X1832)</f>
        <v>43.035214799178256</v>
      </c>
      <c r="Y1834" s="111"/>
      <c r="Z1834" s="28"/>
      <c r="AA1834" s="96">
        <f ca="1">IF(AA1829&lt;AA1833,AA1831,AA1832)</f>
        <v>94.228919341510547</v>
      </c>
      <c r="AB1834" s="111"/>
      <c r="AC1834" s="28"/>
      <c r="AD1834" s="96">
        <f ca="1">IF(AD1829&lt;AD1833,AD1831,AD1832)</f>
        <v>247.11901817679365</v>
      </c>
      <c r="AE1834" s="111"/>
      <c r="AF1834" s="28"/>
      <c r="AG1834" s="96" t="e">
        <f ca="1">IF(AG1829&lt;AG1833,AG1831,AG1832)</f>
        <v>#NUM!</v>
      </c>
      <c r="AH1834" s="111"/>
      <c r="AI1834" s="28"/>
      <c r="AJ1834" s="96" t="e">
        <f ca="1">IF(AJ1829&lt;AJ1833,AJ1831,AJ1832)</f>
        <v>#NUM!</v>
      </c>
      <c r="AK1834" s="111"/>
      <c r="AL1834" s="28"/>
      <c r="AM1834" s="96">
        <f ca="1">IF(AM1829&lt;AM1833,AM1831,AM1832)</f>
        <v>-1369.6720355713808</v>
      </c>
      <c r="AN1834" s="111"/>
      <c r="AO1834" s="28"/>
      <c r="AP1834" s="96">
        <f ca="1">IF(AP1829&lt;AP1833,AP1831,AP1832)</f>
        <v>-626.83563470363993</v>
      </c>
      <c r="AQ1834" s="111"/>
      <c r="AR1834" s="28"/>
      <c r="AS1834" s="96">
        <f ca="1">IF(AS1829&lt;AS1833,AS1831,AS1832)</f>
        <v>-651.43865446478708</v>
      </c>
      <c r="AT1834" s="111"/>
      <c r="AU1834" s="28"/>
    </row>
    <row r="1835" spans="15:47" x14ac:dyDescent="0.25">
      <c r="O1835" s="13" t="s">
        <v>143</v>
      </c>
      <c r="P1835" s="1"/>
      <c r="Q1835" s="1"/>
      <c r="R1835" s="113"/>
      <c r="S1835" s="106">
        <f ca="1">IF(R1828&lt;=0,Q_max,ABS(R$23-R1834))</f>
        <v>3.1069208163902813</v>
      </c>
      <c r="T1835" s="7">
        <f>R1824</f>
        <v>4018.913409421079</v>
      </c>
      <c r="U1835" s="98"/>
      <c r="V1835" s="106">
        <f ca="1">IF(U1828&lt;=0,Q_max,ABS(U$23-U1834))</f>
        <v>5.4042503643885151</v>
      </c>
      <c r="W1835" s="9">
        <f ca="1">U1824</f>
        <v>41845.982433579666</v>
      </c>
      <c r="X1835" s="98"/>
      <c r="Y1835" s="106">
        <f ca="1">IF(X1828&lt;=0,Q_max,ABS(X$23-X1834))</f>
        <v>20.035214799178256</v>
      </c>
      <c r="Z1835" s="9">
        <f ca="1">X1824</f>
        <v>102465.43988962956</v>
      </c>
      <c r="AA1835" s="98"/>
      <c r="AB1835" s="106">
        <f ca="1">IF(AA1828&lt;=0,Q_max,ABS(AA$23-AA1834))</f>
        <v>54.828919341510549</v>
      </c>
      <c r="AC1835" s="9">
        <f ca="1">AA1824</f>
        <v>199576.52307144023</v>
      </c>
      <c r="AD1835" s="98"/>
      <c r="AE1835" s="106">
        <f ca="1">IF(AD1828&lt;=0,Q_max,ABS(AD$23-AD1834))</f>
        <v>186.11901817679365</v>
      </c>
      <c r="AF1835" s="9">
        <f ca="1">AD1824</f>
        <v>334827.321741049</v>
      </c>
      <c r="AG1835" s="98"/>
      <c r="AH1835" s="106">
        <f ca="1">IF(AG1828&lt;=0,Q_max,ABS(AG$23-AG1834))</f>
        <v>236393</v>
      </c>
      <c r="AI1835" s="9">
        <f ca="1">AG1824</f>
        <v>488689.59548546484</v>
      </c>
      <c r="AJ1835" s="98"/>
      <c r="AK1835" s="106">
        <f ca="1">IF(AJ1828&lt;=0,Q_max,ABS(AJ$23-AJ1834))</f>
        <v>236393</v>
      </c>
      <c r="AL1835" s="9">
        <f ca="1">AJ1824</f>
        <v>652158.15961342619</v>
      </c>
      <c r="AM1835" s="98"/>
      <c r="AN1835" s="106">
        <f ca="1">IF(AM1828&lt;=0,Q_max,ABS(AM$23-AM1834))</f>
        <v>236393</v>
      </c>
      <c r="AO1835" s="9">
        <f ca="1">AM1824</f>
        <v>795756.89083109901</v>
      </c>
      <c r="AP1835" s="98"/>
      <c r="AQ1835" s="106">
        <f ca="1">IF(AP1828&lt;=0,Q_max,ABS(AP$23-AP1834))</f>
        <v>236393</v>
      </c>
      <c r="AR1835" s="9">
        <f ca="1">AP1824</f>
        <v>923849.04627665912</v>
      </c>
      <c r="AS1835" s="98"/>
      <c r="AT1835" s="106">
        <f ca="1">IF(AS1828&lt;=0,Q_max,ABS(AS$23-AS1834))</f>
        <v>236393</v>
      </c>
      <c r="AU1835" s="9">
        <f ca="1">AS1824</f>
        <v>1083285.6627971362</v>
      </c>
    </row>
    <row r="1836" spans="15:47" x14ac:dyDescent="0.25">
      <c r="O1836" s="21"/>
      <c r="P1836" s="14"/>
      <c r="Q1836" s="21"/>
      <c r="R1836" s="97"/>
      <c r="S1836" s="106"/>
      <c r="T1836" s="28"/>
      <c r="U1836" s="97"/>
      <c r="V1836" s="111"/>
      <c r="W1836" s="28"/>
      <c r="X1836" s="97"/>
      <c r="Y1836" s="111"/>
      <c r="Z1836" s="28"/>
      <c r="AA1836" s="97"/>
      <c r="AB1836" s="111"/>
      <c r="AC1836" s="28"/>
      <c r="AD1836" s="97"/>
      <c r="AE1836" s="111"/>
      <c r="AF1836" s="28"/>
      <c r="AG1836" s="97"/>
      <c r="AH1836" s="111"/>
      <c r="AI1836" s="28"/>
      <c r="AJ1836" s="97"/>
      <c r="AK1836" s="111"/>
      <c r="AL1836" s="28"/>
      <c r="AM1836" s="97"/>
      <c r="AN1836" s="111"/>
      <c r="AO1836" s="28"/>
      <c r="AP1836" s="97"/>
      <c r="AQ1836" s="111"/>
      <c r="AR1836" s="28"/>
      <c r="AS1836" s="97"/>
      <c r="AT1836" s="111"/>
      <c r="AU1836" s="28"/>
    </row>
    <row r="1837" spans="15:47" x14ac:dyDescent="0.25">
      <c r="O1837" s="1"/>
      <c r="P1837" s="1"/>
      <c r="Q1837" s="1"/>
      <c r="R1837" s="98"/>
      <c r="S1837" s="108" t="s">
        <v>137</v>
      </c>
      <c r="T1837" s="26" t="s">
        <v>146</v>
      </c>
      <c r="U1837" s="98"/>
      <c r="V1837" s="108" t="s">
        <v>137</v>
      </c>
      <c r="W1837" s="26" t="s">
        <v>146</v>
      </c>
      <c r="X1837" s="98"/>
      <c r="Y1837" s="108" t="s">
        <v>137</v>
      </c>
      <c r="Z1837" s="26" t="s">
        <v>146</v>
      </c>
      <c r="AA1837" s="98"/>
      <c r="AB1837" s="108" t="s">
        <v>137</v>
      </c>
      <c r="AC1837" s="26" t="s">
        <v>146</v>
      </c>
      <c r="AD1837" s="98"/>
      <c r="AE1837" s="108" t="s">
        <v>137</v>
      </c>
      <c r="AF1837" s="26" t="s">
        <v>146</v>
      </c>
      <c r="AG1837" s="98"/>
      <c r="AH1837" s="108" t="s">
        <v>137</v>
      </c>
      <c r="AI1837" s="26" t="s">
        <v>146</v>
      </c>
      <c r="AJ1837" s="98"/>
      <c r="AK1837" s="108" t="s">
        <v>137</v>
      </c>
      <c r="AL1837" s="26" t="s">
        <v>146</v>
      </c>
      <c r="AM1837" s="98"/>
      <c r="AN1837" s="108" t="s">
        <v>137</v>
      </c>
      <c r="AO1837" s="26" t="s">
        <v>146</v>
      </c>
      <c r="AP1837" s="98"/>
      <c r="AQ1837" s="108" t="s">
        <v>137</v>
      </c>
      <c r="AR1837" s="26" t="s">
        <v>146</v>
      </c>
      <c r="AS1837" s="98"/>
      <c r="AT1837" s="108" t="s">
        <v>137</v>
      </c>
      <c r="AU1837" s="26" t="s">
        <v>146</v>
      </c>
    </row>
    <row r="1838" spans="15:47" ht="13.8" x14ac:dyDescent="0.25">
      <c r="O1838" s="20" t="s">
        <v>136</v>
      </c>
      <c r="P1838" s="1"/>
      <c r="Q1838" s="1"/>
      <c r="R1838" s="96">
        <f>R1824*1.02</f>
        <v>4099.2916776095008</v>
      </c>
      <c r="S1838" s="109" t="s">
        <v>144</v>
      </c>
      <c r="T1838" s="23" t="s">
        <v>147</v>
      </c>
      <c r="U1838" s="96">
        <f ca="1">U1824*1.01</f>
        <v>42264.442257915463</v>
      </c>
      <c r="V1838" s="109" t="s">
        <v>144</v>
      </c>
      <c r="W1838" s="23" t="s">
        <v>147</v>
      </c>
      <c r="X1838" s="96">
        <f ca="1">X1824*1.01</f>
        <v>103490.09428852586</v>
      </c>
      <c r="Y1838" s="109" t="s">
        <v>144</v>
      </c>
      <c r="Z1838" s="23" t="s">
        <v>147</v>
      </c>
      <c r="AA1838" s="96">
        <f ca="1">AA1824*1.01</f>
        <v>201572.28830215463</v>
      </c>
      <c r="AB1838" s="109" t="s">
        <v>144</v>
      </c>
      <c r="AC1838" s="23" t="s">
        <v>147</v>
      </c>
      <c r="AD1838" s="96">
        <f ca="1">AD1824*1.01</f>
        <v>338175.59495845949</v>
      </c>
      <c r="AE1838" s="109" t="s">
        <v>144</v>
      </c>
      <c r="AF1838" s="23" t="s">
        <v>147</v>
      </c>
      <c r="AG1838" s="96">
        <f ca="1">AG1824*1.01</f>
        <v>493576.49144031951</v>
      </c>
      <c r="AH1838" s="109" t="s">
        <v>144</v>
      </c>
      <c r="AI1838" s="23" t="s">
        <v>147</v>
      </c>
      <c r="AJ1838" s="96">
        <f ca="1">AJ1824*1.01</f>
        <v>658679.74120956042</v>
      </c>
      <c r="AK1838" s="109" t="s">
        <v>144</v>
      </c>
      <c r="AL1838" s="23" t="s">
        <v>147</v>
      </c>
      <c r="AM1838" s="96">
        <f ca="1">AM1824*1.01</f>
        <v>803714.45973940997</v>
      </c>
      <c r="AN1838" s="109" t="s">
        <v>144</v>
      </c>
      <c r="AO1838" s="23" t="s">
        <v>147</v>
      </c>
      <c r="AP1838" s="96">
        <f ca="1">AP1824*1.01</f>
        <v>933087.53673942573</v>
      </c>
      <c r="AQ1838" s="109" t="s">
        <v>144</v>
      </c>
      <c r="AR1838" s="23" t="s">
        <v>147</v>
      </c>
      <c r="AS1838" s="96">
        <f ca="1">AS1824*1.01</f>
        <v>1094118.5194251076</v>
      </c>
      <c r="AT1838" s="109" t="s">
        <v>144</v>
      </c>
      <c r="AU1838" s="23" t="s">
        <v>147</v>
      </c>
    </row>
    <row r="1839" spans="15:47" x14ac:dyDescent="0.25">
      <c r="O1839" s="1"/>
      <c r="P1839" s="1"/>
      <c r="Q1839" s="1"/>
      <c r="R1839" s="98"/>
      <c r="S1839" s="107"/>
      <c r="T1839" s="1"/>
      <c r="U1839" s="47"/>
      <c r="V1839" s="107"/>
      <c r="W1839" s="1"/>
      <c r="X1839" s="47"/>
      <c r="Y1839" s="107"/>
      <c r="Z1839" s="1"/>
      <c r="AA1839" s="47"/>
      <c r="AB1839" s="107"/>
      <c r="AC1839" s="1"/>
      <c r="AD1839" s="47"/>
      <c r="AE1839" s="107"/>
      <c r="AF1839" s="1"/>
      <c r="AG1839" s="47"/>
      <c r="AH1839" s="107"/>
      <c r="AI1839" s="1"/>
      <c r="AJ1839" s="47"/>
      <c r="AK1839" s="107"/>
      <c r="AL1839" s="1"/>
      <c r="AM1839" s="47"/>
      <c r="AN1839" s="107"/>
      <c r="AO1839" s="1"/>
      <c r="AP1839" s="47"/>
      <c r="AQ1839" s="107"/>
      <c r="AR1839" s="1"/>
      <c r="AS1839" s="47"/>
      <c r="AT1839" s="107"/>
      <c r="AU1839" s="1"/>
    </row>
    <row r="1840" spans="15:47" x14ac:dyDescent="0.25">
      <c r="O1840" s="8" t="s">
        <v>132</v>
      </c>
      <c r="P1840" s="8"/>
      <c r="Q1840" s="8"/>
      <c r="R1840" s="96">
        <f>P_1_minQ-(R1838^2*R_up)+dpup_minQ</f>
        <v>90.181977782862589</v>
      </c>
      <c r="S1840" s="106"/>
      <c r="T1840" s="22"/>
      <c r="U1840" s="96">
        <f ca="1">P_1_minQ-(U1838^2*R_up)+dpup_minQ</f>
        <v>89.85947094854599</v>
      </c>
      <c r="V1840" s="107"/>
      <c r="W1840" s="1"/>
      <c r="X1840" s="96">
        <f ca="1">P_1_minQ-(X1838^2*R_up)+dpup_minQ</f>
        <v>88.232989789125526</v>
      </c>
      <c r="Y1840" s="107"/>
      <c r="Z1840" s="1"/>
      <c r="AA1840" s="96">
        <f ca="1">P_1_minQ-(AA1838^2*R_up)+dpup_minQ</f>
        <v>82.779526837295307</v>
      </c>
      <c r="AB1840" s="107"/>
      <c r="AC1840" s="1"/>
      <c r="AD1840" s="96">
        <f ca="1">P_1_minQ-(AD1838^2*R_up)+dpup_minQ</f>
        <v>69.341184601579442</v>
      </c>
      <c r="AE1840" s="107"/>
      <c r="AF1840" s="1"/>
      <c r="AG1840" s="96">
        <f ca="1">P_1_minQ-(AG1838^2*R_up)+dpup_minQ</f>
        <v>45.783046901477356</v>
      </c>
      <c r="AH1840" s="107"/>
      <c r="AI1840" s="1"/>
      <c r="AJ1840" s="96">
        <f ca="1">P_1_minQ-(AJ1838^2*R_up)+dpup_minQ</f>
        <v>11.109503587735047</v>
      </c>
      <c r="AK1840" s="107"/>
      <c r="AL1840" s="1"/>
      <c r="AM1840" s="96">
        <f ca="1">P_1_minQ-(AM1838^2*R_up)+dpup_minQ</f>
        <v>-27.547658637478804</v>
      </c>
      <c r="AN1840" s="107"/>
      <c r="AO1840" s="1"/>
      <c r="AP1840" s="96">
        <f ca="1">P_1_minQ-(AP1838^2*R_up)+dpup_minQ</f>
        <v>-68.500850342190546</v>
      </c>
      <c r="AQ1840" s="107"/>
      <c r="AR1840" s="1"/>
      <c r="AS1840" s="96">
        <f ca="1">P_1_minQ-(AS1838^2*R_up)+dpup_minQ</f>
        <v>-127.99864593921714</v>
      </c>
      <c r="AT1840" s="107"/>
      <c r="AU1840" s="1"/>
    </row>
    <row r="1841" spans="15:47" x14ac:dyDescent="0.25">
      <c r="O1841" s="8" t="s">
        <v>134</v>
      </c>
      <c r="P1841" s="1"/>
      <c r="Q1841" s="8"/>
      <c r="R1841" s="97">
        <f>P_2_minQ+(R1838^2*R_dn)-dpdn_minQ</f>
        <v>60</v>
      </c>
      <c r="S1841" s="106"/>
      <c r="T1841" s="22"/>
      <c r="U1841" s="97">
        <f ca="1">P_2_minQ+(U1838^2*R_dn)-dpdn_minQ</f>
        <v>60</v>
      </c>
      <c r="V1841" s="107"/>
      <c r="W1841" s="1"/>
      <c r="X1841" s="97">
        <f ca="1">P_2_minQ+(X1838^2*R_dn)-dpdn_minQ</f>
        <v>60</v>
      </c>
      <c r="Y1841" s="107"/>
      <c r="Z1841" s="1"/>
      <c r="AA1841" s="97">
        <f ca="1">P_2_minQ+(AA1838^2*R_dn)-dpdn_minQ</f>
        <v>60</v>
      </c>
      <c r="AB1841" s="107"/>
      <c r="AC1841" s="1"/>
      <c r="AD1841" s="97">
        <f ca="1">P_2_minQ+(AD1838^2*R_dn)-dpdn_minQ</f>
        <v>60</v>
      </c>
      <c r="AE1841" s="107"/>
      <c r="AF1841" s="1"/>
      <c r="AG1841" s="97">
        <f ca="1">P_2_minQ+(AG1838^2*R_dn)-dpdn_minQ</f>
        <v>60</v>
      </c>
      <c r="AH1841" s="107"/>
      <c r="AI1841" s="1"/>
      <c r="AJ1841" s="97">
        <f ca="1">P_2_minQ+(AJ1838^2*R_dn)-dpdn_minQ</f>
        <v>60</v>
      </c>
      <c r="AK1841" s="107"/>
      <c r="AL1841" s="1"/>
      <c r="AM1841" s="97">
        <f ca="1">P_2_minQ+(AM1838^2*R_dn)-dpdn_minQ</f>
        <v>60</v>
      </c>
      <c r="AN1841" s="107"/>
      <c r="AO1841" s="1"/>
      <c r="AP1841" s="97">
        <f ca="1">P_2_minQ+(AP1838^2*R_dn)-dpdn_minQ</f>
        <v>60</v>
      </c>
      <c r="AQ1841" s="107"/>
      <c r="AR1841" s="1"/>
      <c r="AS1841" s="97">
        <f ca="1">P_2_minQ+(AS1838^2*R_dn)-dpdn_minQ</f>
        <v>60</v>
      </c>
      <c r="AT1841" s="107"/>
      <c r="AU1841" s="1"/>
    </row>
    <row r="1842" spans="15:47" x14ac:dyDescent="0.25">
      <c r="O1842" s="8" t="s">
        <v>138</v>
      </c>
      <c r="P1842" s="1"/>
      <c r="Q1842" s="8"/>
      <c r="R1842" s="97">
        <f>R1840-R1841</f>
        <v>30.181977782862589</v>
      </c>
      <c r="S1842" s="106"/>
      <c r="T1842" s="22"/>
      <c r="U1842" s="97">
        <f ca="1">U1840-U1841</f>
        <v>29.85947094854599</v>
      </c>
      <c r="V1842" s="110"/>
      <c r="W1842" s="25"/>
      <c r="X1842" s="97">
        <f ca="1">X1840-X1841</f>
        <v>28.232989789125526</v>
      </c>
      <c r="Y1842" s="110"/>
      <c r="Z1842" s="25"/>
      <c r="AA1842" s="97">
        <f ca="1">AA1840-AA1841</f>
        <v>22.779526837295307</v>
      </c>
      <c r="AB1842" s="110"/>
      <c r="AC1842" s="25"/>
      <c r="AD1842" s="97">
        <f ca="1">AD1840-AD1841</f>
        <v>9.3411846015794424</v>
      </c>
      <c r="AE1842" s="110"/>
      <c r="AF1842" s="25"/>
      <c r="AG1842" s="97">
        <f ca="1">AG1840-AG1841</f>
        <v>-14.216953098522644</v>
      </c>
      <c r="AH1842" s="110"/>
      <c r="AI1842" s="25"/>
      <c r="AJ1842" s="97">
        <f ca="1">AJ1840-AJ1841</f>
        <v>-48.890496412264952</v>
      </c>
      <c r="AK1842" s="110"/>
      <c r="AL1842" s="25"/>
      <c r="AM1842" s="97">
        <f ca="1">AM1840-AM1841</f>
        <v>-87.547658637478804</v>
      </c>
      <c r="AN1842" s="110"/>
      <c r="AO1842" s="25"/>
      <c r="AP1842" s="97">
        <f ca="1">AP1840-AP1841</f>
        <v>-128.50085034219055</v>
      </c>
      <c r="AQ1842" s="110"/>
      <c r="AR1842" s="25"/>
      <c r="AS1842" s="97">
        <f ca="1">AS1840-AS1841</f>
        <v>-187.99864593921714</v>
      </c>
      <c r="AT1842" s="110"/>
      <c r="AU1842" s="25"/>
    </row>
    <row r="1843" spans="15:47" ht="14.4" x14ac:dyDescent="0.3">
      <c r="O1843" s="2" t="s">
        <v>140</v>
      </c>
      <c r="P1843" s="11"/>
      <c r="Q1843" s="2"/>
      <c r="R1843" s="96">
        <f>R1842/R1840</f>
        <v>0.33467859682046264</v>
      </c>
      <c r="S1843" s="106"/>
      <c r="T1843" s="22"/>
      <c r="U1843" s="96">
        <f ca="1">U1842/U1840</f>
        <v>0.33229074947084525</v>
      </c>
      <c r="V1843" s="111"/>
      <c r="W1843" s="28"/>
      <c r="X1843" s="96">
        <f ca="1">X1842/X1840</f>
        <v>0.31998224084440086</v>
      </c>
      <c r="Y1843" s="111"/>
      <c r="Z1843" s="28"/>
      <c r="AA1843" s="96">
        <f ca="1">AA1842/AA1840</f>
        <v>0.27518310031016352</v>
      </c>
      <c r="AB1843" s="111"/>
      <c r="AC1843" s="28"/>
      <c r="AD1843" s="96">
        <f ca="1">AD1842/AD1840</f>
        <v>0.13471336919396487</v>
      </c>
      <c r="AE1843" s="111"/>
      <c r="AF1843" s="28"/>
      <c r="AG1843" s="96">
        <f ca="1">AG1842/AG1840</f>
        <v>-0.31052876688431769</v>
      </c>
      <c r="AH1843" s="111"/>
      <c r="AI1843" s="28"/>
      <c r="AJ1843" s="96">
        <f ca="1">AJ1842/AJ1840</f>
        <v>-4.4007813694070297</v>
      </c>
      <c r="AK1843" s="111"/>
      <c r="AL1843" s="28"/>
      <c r="AM1843" s="96">
        <f ca="1">AM1842/AM1840</f>
        <v>3.178043542269307</v>
      </c>
      <c r="AN1843" s="111"/>
      <c r="AO1843" s="28"/>
      <c r="AP1843" s="96">
        <f ca="1">AP1842/AP1840</f>
        <v>1.8759015355324025</v>
      </c>
      <c r="AQ1843" s="111"/>
      <c r="AR1843" s="28"/>
      <c r="AS1843" s="96">
        <f ca="1">AS1842/AS1840</f>
        <v>1.4687549587711441</v>
      </c>
      <c r="AT1843" s="111"/>
      <c r="AU1843" s="28"/>
    </row>
    <row r="1844" spans="15:47" x14ac:dyDescent="0.25">
      <c r="O1844" s="2" t="s">
        <v>21</v>
      </c>
      <c r="P1844" s="8">
        <v>12</v>
      </c>
      <c r="Q1844" s="2"/>
      <c r="R1844" s="96">
        <f ca="1">1-R1843/(3*F_GAMMA*R$29)</f>
        <v>0.82569631892574114</v>
      </c>
      <c r="S1844" s="106"/>
      <c r="T1844" s="22"/>
      <c r="U1844" s="96">
        <f ca="1">1-U1843/(3*F_GAMMA*U$29)</f>
        <v>0.82698013617009503</v>
      </c>
      <c r="V1844" s="111"/>
      <c r="W1844" s="28"/>
      <c r="X1844" s="96">
        <f ca="1">1-X1843/(3*F_GAMMA*X$29)</f>
        <v>0.83180218983177312</v>
      </c>
      <c r="Y1844" s="111"/>
      <c r="Z1844" s="28"/>
      <c r="AA1844" s="96">
        <f ca="1">1-AA1843/(3*F_GAMMA*AA$29)</f>
        <v>0.85331175060134379</v>
      </c>
      <c r="AB1844" s="111"/>
      <c r="AC1844" s="28"/>
      <c r="AD1844" s="96">
        <f ca="1">1-AD1843/(3*F_GAMMA*AD$29)</f>
        <v>0.92596298457049153</v>
      </c>
      <c r="AE1844" s="111"/>
      <c r="AF1844" s="28"/>
      <c r="AG1844" s="96">
        <f ca="1">1-AG1843/(3*F_GAMMA*AG$29)</f>
        <v>1.1809041127534285</v>
      </c>
      <c r="AH1844" s="111"/>
      <c r="AI1844" s="28"/>
      <c r="AJ1844" s="96">
        <f ca="1">1-AJ1843/(3*F_GAMMA*AJ$29)</f>
        <v>3.7582485838609876</v>
      </c>
      <c r="AK1844" s="111"/>
      <c r="AL1844" s="28"/>
      <c r="AM1844" s="96">
        <f ca="1">1-AM1843/(3*F_GAMMA*AM$29)</f>
        <v>-1.2270874858739904</v>
      </c>
      <c r="AN1844" s="111"/>
      <c r="AO1844" s="28"/>
      <c r="AP1844" s="96">
        <f ca="1">1-AP1843/(3*F_GAMMA*AP$29)</f>
        <v>-5.8859410088146324E-2</v>
      </c>
      <c r="AQ1844" s="111"/>
      <c r="AR1844" s="28"/>
      <c r="AS1844" s="96">
        <f ca="1">1-AS1843/(3*F_GAMMA*AS$29)</f>
        <v>-0.29970279065122507</v>
      </c>
      <c r="AT1844" s="111"/>
      <c r="AU1844" s="28"/>
    </row>
    <row r="1845" spans="15:47" x14ac:dyDescent="0.25">
      <c r="O1845" s="2" t="s">
        <v>57</v>
      </c>
      <c r="P1845" s="143">
        <v>7</v>
      </c>
      <c r="Q1845" s="2"/>
      <c r="R1845" s="96">
        <f ca="1">(R1838/(N_9*R$27*R1840*R1844))*SQRT(M*'Valve Sizing'!$W$6*'Valve Sizing'!$G$8/R1843)</f>
        <v>1.6555442044795758</v>
      </c>
      <c r="S1845" s="107"/>
      <c r="T1845" s="22"/>
      <c r="U1845" s="96">
        <f ca="1">(U1838/(N_9*U$27*U1840*U1844))*SQRT(M*'Valve Sizing'!$W$6*'Valve Sizing'!$G$8/U1843)</f>
        <v>17.176235234700574</v>
      </c>
      <c r="V1845" s="111"/>
      <c r="W1845" s="28"/>
      <c r="X1845" s="96">
        <f ca="1">(X1838/(N_9*X$27*X1840*X1844))*SQRT(M*'Valve Sizing'!$W$6*'Valve Sizing'!$G$8/X1843)</f>
        <v>43.496497578876415</v>
      </c>
      <c r="Y1845" s="111"/>
      <c r="Z1845" s="28"/>
      <c r="AA1845" s="96">
        <f ca="1">(AA1838/(N_9*AA$27*AA1840*AA1844))*SQRT(M*'Valve Sizing'!$W$6*'Valve Sizing'!$G$8/AA1843)</f>
        <v>95.483514915342781</v>
      </c>
      <c r="AB1845" s="111"/>
      <c r="AC1845" s="28"/>
      <c r="AD1845" s="96">
        <f ca="1">(AD1838/(N_9*AD$27*AD1840*AD1844))*SQRT(M*'Valve Sizing'!$W$6*'Valve Sizing'!$G$8/AD1843)</f>
        <v>254.99875323048684</v>
      </c>
      <c r="AE1845" s="111"/>
      <c r="AF1845" s="28"/>
      <c r="AG1845" s="96" t="e">
        <f ca="1">(AG1838/(N_9*AG$27*AG1840*AG1844))*SQRT(M*'Valve Sizing'!$W$6*'Valve Sizing'!$G$8/AG1843)</f>
        <v>#NUM!</v>
      </c>
      <c r="AH1845" s="111"/>
      <c r="AI1845" s="28"/>
      <c r="AJ1845" s="96" t="e">
        <f ca="1">(AJ1838/(N_9*AJ$27*AJ1840*AJ1844))*SQRT(M*'Valve Sizing'!$W$6*'Valve Sizing'!$G$8/AJ1843)</f>
        <v>#NUM!</v>
      </c>
      <c r="AK1845" s="111"/>
      <c r="AL1845" s="28"/>
      <c r="AM1845" s="96">
        <f ca="1">(AM1838/(N_9*AM$27*AM1840*AM1844))*SQRT(M*'Valve Sizing'!$W$6*'Valve Sizing'!$G$8/AM1843)</f>
        <v>266.41256978655804</v>
      </c>
      <c r="AN1845" s="111"/>
      <c r="AO1845" s="28"/>
      <c r="AP1845" s="96">
        <f ca="1">(AP1838/(N_9*AP$27*AP1840*AP1844))*SQRT(M*'Valve Sizing'!$W$6*'Valve Sizing'!$G$8/AP1843)</f>
        <v>3841.6256146999513</v>
      </c>
      <c r="AQ1845" s="111"/>
      <c r="AR1845" s="28"/>
      <c r="AS1845" s="96">
        <f ca="1">(AS1838/(N_9*AS$27*AS1840*AS1844))*SQRT(M*'Valve Sizing'!$W$6*'Valve Sizing'!$G$8/AS1843)</f>
        <v>716.65492668370803</v>
      </c>
      <c r="AT1845" s="111"/>
      <c r="AU1845" s="28"/>
    </row>
    <row r="1846" spans="15:47" x14ac:dyDescent="0.25">
      <c r="O1846" s="2" t="s">
        <v>59</v>
      </c>
      <c r="P1846" s="143">
        <v>7</v>
      </c>
      <c r="Q1846" s="2"/>
      <c r="R1846" s="96">
        <f ca="1">(R1838/(N_9*R$27*R1840*0.667))*SQRT(M*'Valve Sizing'!$W$6*'Valve Sizing'!$G$8/R1847)</f>
        <v>1.4820034090830898</v>
      </c>
      <c r="S1846" s="107"/>
      <c r="T1846" s="22"/>
      <c r="U1846" s="96">
        <f ca="1">(U1838/(N_9*U$27*U1840*0.667))*SQRT(M*'Valve Sizing'!$W$6*'Valve Sizing'!$G$8/U1847)</f>
        <v>15.342842742010369</v>
      </c>
      <c r="V1846" s="111"/>
      <c r="W1846" s="28"/>
      <c r="X1846" s="96">
        <f ca="1">(X1838/(N_9*X$27*X1840*0.667))*SQRT(M*'Valve Sizing'!$W$6*'Valve Sizing'!$G$8/X1847)</f>
        <v>38.531801080011441</v>
      </c>
      <c r="Y1846" s="111"/>
      <c r="Z1846" s="28"/>
      <c r="AA1846" s="96">
        <f ca="1">(AA1838/(N_9*AA$27*AA1840*0.667))*SQRT(M*'Valve Sizing'!$W$6*'Valve Sizing'!$G$8/AA1847)</f>
        <v>81.034243148151788</v>
      </c>
      <c r="AB1846" s="111"/>
      <c r="AC1846" s="28"/>
      <c r="AD1846" s="96">
        <f ca="1">(AD1838/(N_9*AD$27*AD1840*0.667))*SQRT(M*'Valve Sizing'!$W$6*'Valve Sizing'!$G$8/AD1847)</f>
        <v>166.83644537124556</v>
      </c>
      <c r="AE1846" s="111"/>
      <c r="AF1846" s="28"/>
      <c r="AG1846" s="96">
        <f ca="1">(AG1838/(N_9*AG$27*AG1840*0.667))*SQRT(M*'Valve Sizing'!$W$6*'Valve Sizing'!$G$8/AG1847)</f>
        <v>388.24798326051928</v>
      </c>
      <c r="AH1846" s="111"/>
      <c r="AI1846" s="28"/>
      <c r="AJ1846" s="96">
        <f ca="1">(AJ1838/(N_9*AJ$27*AJ1840*0.667))*SQRT(M*'Valve Sizing'!$W$6*'Valve Sizing'!$G$8/AJ1847)</f>
        <v>2294.777748898689</v>
      </c>
      <c r="AK1846" s="111"/>
      <c r="AL1846" s="28"/>
      <c r="AM1846" s="96">
        <f ca="1">(AM1838/(N_9*AM$27*AM1840*0.667))*SQRT(M*'Valve Sizing'!$W$6*'Valve Sizing'!$G$8/AM1847)</f>
        <v>-1266.8747229239011</v>
      </c>
      <c r="AN1846" s="111"/>
      <c r="AO1846" s="28"/>
      <c r="AP1846" s="96">
        <f ca="1">(AP1838/(N_9*AP$27*AP1840*0.667))*SQRT(M*'Valve Sizing'!$W$6*'Valve Sizing'!$G$8/AP1847)</f>
        <v>-604.20579634813282</v>
      </c>
      <c r="AQ1846" s="111"/>
      <c r="AR1846" s="28"/>
      <c r="AS1846" s="96">
        <f ca="1">(AS1838/(N_9*AS$27*AS1840*0.667))*SQRT(M*'Valve Sizing'!$W$6*'Valve Sizing'!$G$8/AS1847)</f>
        <v>-635.85442332989396</v>
      </c>
      <c r="AT1846" s="111"/>
      <c r="AU1846" s="28"/>
    </row>
    <row r="1847" spans="15:47" ht="15.6" x14ac:dyDescent="0.35">
      <c r="O1847" s="2" t="s">
        <v>68</v>
      </c>
      <c r="P1847" s="143">
        <v>10</v>
      </c>
      <c r="Q1847" s="2"/>
      <c r="R1847" s="96">
        <f ca="1">F_GAMMA*R$29</f>
        <v>0.64002969751372984</v>
      </c>
      <c r="S1847" s="107"/>
      <c r="T1847" s="1"/>
      <c r="U1847" s="96">
        <f ca="1">F_GAMMA*U$29</f>
        <v>0.64017842058782071</v>
      </c>
      <c r="V1847" s="111"/>
      <c r="W1847" s="28"/>
      <c r="X1847" s="96">
        <f ca="1">F_GAMMA*X$29</f>
        <v>0.63413873724904268</v>
      </c>
      <c r="Y1847" s="111"/>
      <c r="Z1847" s="28"/>
      <c r="AA1847" s="96">
        <f ca="1">F_GAMMA*AA$29</f>
        <v>0.62532411750377137</v>
      </c>
      <c r="AB1847" s="111"/>
      <c r="AC1847" s="28"/>
      <c r="AD1847" s="96">
        <f ca="1">F_GAMMA*AD$29</f>
        <v>0.60651359509139569</v>
      </c>
      <c r="AE1847" s="111"/>
      <c r="AF1847" s="28"/>
      <c r="AG1847" s="96">
        <f ca="1">F_GAMMA*AG$29</f>
        <v>0.57217930198481592</v>
      </c>
      <c r="AH1847" s="111"/>
      <c r="AI1847" s="28"/>
      <c r="AJ1847" s="96">
        <f ca="1">F_GAMMA*AJ$29</f>
        <v>0.53183282018848232</v>
      </c>
      <c r="AK1847" s="111"/>
      <c r="AL1847" s="28"/>
      <c r="AM1847" s="96">
        <f ca="1">F_GAMMA*AM$29</f>
        <v>0.47566512503094399</v>
      </c>
      <c r="AN1847" s="111"/>
      <c r="AO1847" s="28"/>
      <c r="AP1847" s="96">
        <f ca="1">F_GAMMA*AP$29</f>
        <v>0.59054158265645496</v>
      </c>
      <c r="AQ1847" s="111"/>
      <c r="AR1847" s="28"/>
      <c r="AS1847" s="96">
        <f ca="1">F_GAMMA*AS$29</f>
        <v>0.3766899554102966</v>
      </c>
      <c r="AT1847" s="111"/>
      <c r="AU1847" s="28"/>
    </row>
    <row r="1848" spans="15:47" x14ac:dyDescent="0.25">
      <c r="O1848" s="2" t="s">
        <v>145</v>
      </c>
      <c r="P1848" s="12"/>
      <c r="Q1848" s="2"/>
      <c r="R1848" s="96">
        <f ca="1">IF(R1843&lt;R1847,R1845,R1846)</f>
        <v>1.6555442044795758</v>
      </c>
      <c r="S1848" s="116"/>
      <c r="T1848" s="1"/>
      <c r="U1848" s="96">
        <f ca="1">IF(U1843&lt;U1847,U1845,U1846)</f>
        <v>17.176235234700574</v>
      </c>
      <c r="V1848" s="111"/>
      <c r="W1848" s="28"/>
      <c r="X1848" s="96">
        <f ca="1">IF(X1843&lt;X1847,X1845,X1846)</f>
        <v>43.496497578876415</v>
      </c>
      <c r="Y1848" s="111"/>
      <c r="Z1848" s="28"/>
      <c r="AA1848" s="96">
        <f ca="1">IF(AA1843&lt;AA1847,AA1845,AA1846)</f>
        <v>95.483514915342781</v>
      </c>
      <c r="AB1848" s="111"/>
      <c r="AC1848" s="28"/>
      <c r="AD1848" s="96">
        <f ca="1">IF(AD1843&lt;AD1847,AD1845,AD1846)</f>
        <v>254.99875323048684</v>
      </c>
      <c r="AE1848" s="111"/>
      <c r="AF1848" s="28"/>
      <c r="AG1848" s="96" t="e">
        <f ca="1">IF(AG1843&lt;AG1847,AG1845,AG1846)</f>
        <v>#NUM!</v>
      </c>
      <c r="AH1848" s="111"/>
      <c r="AI1848" s="28"/>
      <c r="AJ1848" s="96" t="e">
        <f ca="1">IF(AJ1843&lt;AJ1847,AJ1845,AJ1846)</f>
        <v>#NUM!</v>
      </c>
      <c r="AK1848" s="111"/>
      <c r="AL1848" s="28"/>
      <c r="AM1848" s="96">
        <f ca="1">IF(AM1843&lt;AM1847,AM1845,AM1846)</f>
        <v>-1266.8747229239011</v>
      </c>
      <c r="AN1848" s="111"/>
      <c r="AO1848" s="28"/>
      <c r="AP1848" s="96">
        <f ca="1">IF(AP1843&lt;AP1847,AP1845,AP1846)</f>
        <v>-604.20579634813282</v>
      </c>
      <c r="AQ1848" s="111"/>
      <c r="AR1848" s="28"/>
      <c r="AS1848" s="96">
        <f ca="1">IF(AS1843&lt;AS1847,AS1845,AS1846)</f>
        <v>-635.85442332989396</v>
      </c>
      <c r="AT1848" s="111"/>
      <c r="AU1848" s="28"/>
    </row>
    <row r="1849" spans="15:47" x14ac:dyDescent="0.25">
      <c r="O1849" s="13" t="s">
        <v>143</v>
      </c>
      <c r="P1849" s="1"/>
      <c r="Q1849" s="1"/>
      <c r="R1849" s="113"/>
      <c r="S1849" s="106">
        <f ca="1">IF(R1842&lt;=0,Q_max,ABS(R$23-R1848))</f>
        <v>3.0744557955204246</v>
      </c>
      <c r="T1849" s="7">
        <f>R1838</f>
        <v>4099.2916776095008</v>
      </c>
      <c r="U1849" s="98"/>
      <c r="V1849" s="106">
        <f ca="1">IF(U1842&lt;=0,Q_max,ABS(U$23-U1848))</f>
        <v>5.5762352347005741</v>
      </c>
      <c r="W1849" s="9">
        <f ca="1">U1838</f>
        <v>42264.442257915463</v>
      </c>
      <c r="X1849" s="98"/>
      <c r="Y1849" s="106">
        <f ca="1">IF(X1842&lt;=0,Q_max,ABS(X$23-X1848))</f>
        <v>20.496497578876415</v>
      </c>
      <c r="Z1849" s="9">
        <f ca="1">X1838</f>
        <v>103490.09428852586</v>
      </c>
      <c r="AA1849" s="98"/>
      <c r="AB1849" s="106">
        <f ca="1">IF(AA1842&lt;=0,Q_max,ABS(AA$23-AA1848))</f>
        <v>56.083514915342782</v>
      </c>
      <c r="AC1849" s="9">
        <f ca="1">AA1838</f>
        <v>201572.28830215463</v>
      </c>
      <c r="AD1849" s="98"/>
      <c r="AE1849" s="106">
        <f ca="1">IF(AD1842&lt;=0,Q_max,ABS(AD$23-AD1848))</f>
        <v>193.99875323048684</v>
      </c>
      <c r="AF1849" s="9">
        <f ca="1">AD1838</f>
        <v>338175.59495845949</v>
      </c>
      <c r="AG1849" s="98"/>
      <c r="AH1849" s="106">
        <f ca="1">IF(AG1842&lt;=0,Q_max,ABS(AG$23-AG1848))</f>
        <v>236393</v>
      </c>
      <c r="AI1849" s="9">
        <f ca="1">AG1838</f>
        <v>493576.49144031951</v>
      </c>
      <c r="AJ1849" s="98"/>
      <c r="AK1849" s="106">
        <f ca="1">IF(AJ1842&lt;=0,Q_max,ABS(AJ$23-AJ1848))</f>
        <v>236393</v>
      </c>
      <c r="AL1849" s="9">
        <f ca="1">AJ1838</f>
        <v>658679.74120956042</v>
      </c>
      <c r="AM1849" s="98"/>
      <c r="AN1849" s="106">
        <f ca="1">IF(AM1842&lt;=0,Q_max,ABS(AM$23-AM1848))</f>
        <v>236393</v>
      </c>
      <c r="AO1849" s="9">
        <f ca="1">AM1838</f>
        <v>803714.45973940997</v>
      </c>
      <c r="AP1849" s="98"/>
      <c r="AQ1849" s="106">
        <f ca="1">IF(AP1842&lt;=0,Q_max,ABS(AP$23-AP1848))</f>
        <v>236393</v>
      </c>
      <c r="AR1849" s="9">
        <f ca="1">AP1838</f>
        <v>933087.53673942573</v>
      </c>
      <c r="AS1849" s="98"/>
      <c r="AT1849" s="106">
        <f ca="1">IF(AS1842&lt;=0,Q_max,ABS(AS$23-AS1848))</f>
        <v>236393</v>
      </c>
      <c r="AU1849" s="9">
        <f ca="1">AS1838</f>
        <v>1094118.5194251076</v>
      </c>
    </row>
    <row r="1850" spans="15:47" x14ac:dyDescent="0.25">
      <c r="O1850" s="21"/>
      <c r="P1850" s="14"/>
      <c r="Q1850" s="21"/>
      <c r="R1850" s="97"/>
      <c r="S1850" s="106"/>
      <c r="T1850" s="28"/>
      <c r="U1850" s="97"/>
      <c r="V1850" s="111"/>
      <c r="W1850" s="28"/>
      <c r="X1850" s="97"/>
      <c r="Y1850" s="111"/>
      <c r="Z1850" s="28"/>
      <c r="AA1850" s="97"/>
      <c r="AB1850" s="111"/>
      <c r="AC1850" s="28"/>
      <c r="AD1850" s="97"/>
      <c r="AE1850" s="111"/>
      <c r="AF1850" s="28"/>
      <c r="AG1850" s="97"/>
      <c r="AH1850" s="111"/>
      <c r="AI1850" s="28"/>
      <c r="AJ1850" s="97"/>
      <c r="AK1850" s="111"/>
      <c r="AL1850" s="28"/>
      <c r="AM1850" s="97"/>
      <c r="AN1850" s="111"/>
      <c r="AO1850" s="28"/>
      <c r="AP1850" s="97"/>
      <c r="AQ1850" s="111"/>
      <c r="AR1850" s="28"/>
      <c r="AS1850" s="97"/>
      <c r="AT1850" s="111"/>
      <c r="AU1850" s="28"/>
    </row>
    <row r="1851" spans="15:47" x14ac:dyDescent="0.25">
      <c r="O1851" s="1"/>
      <c r="P1851" s="1"/>
      <c r="Q1851" s="1"/>
      <c r="R1851" s="98"/>
      <c r="S1851" s="108" t="s">
        <v>137</v>
      </c>
      <c r="T1851" s="26" t="s">
        <v>146</v>
      </c>
      <c r="U1851" s="98"/>
      <c r="V1851" s="108" t="s">
        <v>137</v>
      </c>
      <c r="W1851" s="26" t="s">
        <v>146</v>
      </c>
      <c r="X1851" s="98"/>
      <c r="Y1851" s="108" t="s">
        <v>137</v>
      </c>
      <c r="Z1851" s="26" t="s">
        <v>146</v>
      </c>
      <c r="AA1851" s="98"/>
      <c r="AB1851" s="108" t="s">
        <v>137</v>
      </c>
      <c r="AC1851" s="26" t="s">
        <v>146</v>
      </c>
      <c r="AD1851" s="98"/>
      <c r="AE1851" s="108" t="s">
        <v>137</v>
      </c>
      <c r="AF1851" s="26" t="s">
        <v>146</v>
      </c>
      <c r="AG1851" s="98"/>
      <c r="AH1851" s="108" t="s">
        <v>137</v>
      </c>
      <c r="AI1851" s="26" t="s">
        <v>146</v>
      </c>
      <c r="AJ1851" s="98"/>
      <c r="AK1851" s="108" t="s">
        <v>137</v>
      </c>
      <c r="AL1851" s="26" t="s">
        <v>146</v>
      </c>
      <c r="AM1851" s="98"/>
      <c r="AN1851" s="108" t="s">
        <v>137</v>
      </c>
      <c r="AO1851" s="26" t="s">
        <v>146</v>
      </c>
      <c r="AP1851" s="98"/>
      <c r="AQ1851" s="108" t="s">
        <v>137</v>
      </c>
      <c r="AR1851" s="26" t="s">
        <v>146</v>
      </c>
      <c r="AS1851" s="98"/>
      <c r="AT1851" s="108" t="s">
        <v>137</v>
      </c>
      <c r="AU1851" s="26" t="s">
        <v>146</v>
      </c>
    </row>
    <row r="1852" spans="15:47" ht="13.8" x14ac:dyDescent="0.25">
      <c r="O1852" s="20" t="s">
        <v>136</v>
      </c>
      <c r="P1852" s="1"/>
      <c r="Q1852" s="1"/>
      <c r="R1852" s="96">
        <f>R1838*1.02</f>
        <v>4181.2775111616911</v>
      </c>
      <c r="S1852" s="109" t="s">
        <v>144</v>
      </c>
      <c r="T1852" s="23" t="s">
        <v>147</v>
      </c>
      <c r="U1852" s="96">
        <f ca="1">U1838*1.01</f>
        <v>42687.08668049462</v>
      </c>
      <c r="V1852" s="109" t="s">
        <v>144</v>
      </c>
      <c r="W1852" s="23" t="s">
        <v>147</v>
      </c>
      <c r="X1852" s="96">
        <f ca="1">X1838*1.01</f>
        <v>104524.99523141111</v>
      </c>
      <c r="Y1852" s="109" t="s">
        <v>144</v>
      </c>
      <c r="Z1852" s="23" t="s">
        <v>147</v>
      </c>
      <c r="AA1852" s="96">
        <f ca="1">AA1838*1.01</f>
        <v>203588.01118517618</v>
      </c>
      <c r="AB1852" s="109" t="s">
        <v>144</v>
      </c>
      <c r="AC1852" s="23" t="s">
        <v>147</v>
      </c>
      <c r="AD1852" s="96">
        <f ca="1">AD1838*1.01</f>
        <v>341557.35090804409</v>
      </c>
      <c r="AE1852" s="109" t="s">
        <v>144</v>
      </c>
      <c r="AF1852" s="23" t="s">
        <v>147</v>
      </c>
      <c r="AG1852" s="96">
        <f ca="1">AG1838*1.01</f>
        <v>498512.25635472272</v>
      </c>
      <c r="AH1852" s="109" t="s">
        <v>144</v>
      </c>
      <c r="AI1852" s="23" t="s">
        <v>147</v>
      </c>
      <c r="AJ1852" s="96">
        <f ca="1">AJ1838*1.01</f>
        <v>665266.53862165601</v>
      </c>
      <c r="AK1852" s="109" t="s">
        <v>144</v>
      </c>
      <c r="AL1852" s="23" t="s">
        <v>147</v>
      </c>
      <c r="AM1852" s="96">
        <f ca="1">AM1838*1.01</f>
        <v>811751.60433680413</v>
      </c>
      <c r="AN1852" s="109" t="s">
        <v>144</v>
      </c>
      <c r="AO1852" s="23" t="s">
        <v>147</v>
      </c>
      <c r="AP1852" s="96">
        <f ca="1">AP1838*1.01</f>
        <v>942418.41210682003</v>
      </c>
      <c r="AQ1852" s="109" t="s">
        <v>144</v>
      </c>
      <c r="AR1852" s="23" t="s">
        <v>147</v>
      </c>
      <c r="AS1852" s="96">
        <f ca="1">AS1838*1.01</f>
        <v>1105059.7046193588</v>
      </c>
      <c r="AT1852" s="109" t="s">
        <v>144</v>
      </c>
      <c r="AU1852" s="23" t="s">
        <v>147</v>
      </c>
    </row>
    <row r="1853" spans="15:47" x14ac:dyDescent="0.25">
      <c r="O1853" s="1"/>
      <c r="P1853" s="1"/>
      <c r="Q1853" s="1"/>
      <c r="R1853" s="98"/>
      <c r="S1853" s="107"/>
      <c r="T1853" s="1"/>
      <c r="U1853" s="47"/>
      <c r="V1853" s="107"/>
      <c r="W1853" s="1"/>
      <c r="X1853" s="47"/>
      <c r="Y1853" s="107"/>
      <c r="Z1853" s="1"/>
      <c r="AA1853" s="47"/>
      <c r="AB1853" s="107"/>
      <c r="AC1853" s="1"/>
      <c r="AD1853" s="47"/>
      <c r="AE1853" s="107"/>
      <c r="AF1853" s="1"/>
      <c r="AG1853" s="47"/>
      <c r="AH1853" s="107"/>
      <c r="AI1853" s="1"/>
      <c r="AJ1853" s="47"/>
      <c r="AK1853" s="107"/>
      <c r="AL1853" s="1"/>
      <c r="AM1853" s="47"/>
      <c r="AN1853" s="107"/>
      <c r="AO1853" s="1"/>
      <c r="AP1853" s="47"/>
      <c r="AQ1853" s="107"/>
      <c r="AR1853" s="1"/>
      <c r="AS1853" s="47"/>
      <c r="AT1853" s="107"/>
      <c r="AU1853" s="1"/>
    </row>
    <row r="1854" spans="15:47" x14ac:dyDescent="0.25">
      <c r="O1854" s="8" t="s">
        <v>132</v>
      </c>
      <c r="P1854" s="8"/>
      <c r="Q1854" s="8"/>
      <c r="R1854" s="96">
        <f>P_1_minQ-(R1852^2*R_up)+dpup_minQ</f>
        <v>90.181854047867915</v>
      </c>
      <c r="S1854" s="106"/>
      <c r="T1854" s="22"/>
      <c r="U1854" s="96">
        <f ca="1">P_1_minQ-(U1852^2*R_up)+dpup_minQ</f>
        <v>89.852926999953638</v>
      </c>
      <c r="V1854" s="107"/>
      <c r="W1854" s="1"/>
      <c r="X1854" s="96">
        <f ca="1">P_1_minQ-(X1852^2*R_up)+dpup_minQ</f>
        <v>88.193753569228818</v>
      </c>
      <c r="Y1854" s="107"/>
      <c r="Z1854" s="1"/>
      <c r="AA1854" s="96">
        <f ca="1">P_1_minQ-(AA1852^2*R_up)+dpup_minQ</f>
        <v>82.6306760120668</v>
      </c>
      <c r="AB1854" s="107"/>
      <c r="AC1854" s="1"/>
      <c r="AD1854" s="96">
        <f ca="1">P_1_minQ-(AD1852^2*R_up)+dpup_minQ</f>
        <v>68.922223097413053</v>
      </c>
      <c r="AE1854" s="107"/>
      <c r="AF1854" s="1"/>
      <c r="AG1854" s="96">
        <f ca="1">P_1_minQ-(AG1852^2*R_up)+dpup_minQ</f>
        <v>44.890566829538912</v>
      </c>
      <c r="AH1854" s="107"/>
      <c r="AI1854" s="1"/>
      <c r="AJ1854" s="96">
        <f ca="1">P_1_minQ-(AJ1852^2*R_up)+dpup_minQ</f>
        <v>9.5200852951903823</v>
      </c>
      <c r="AK1854" s="107"/>
      <c r="AL1854" s="1"/>
      <c r="AM1854" s="96">
        <f ca="1">P_1_minQ-(AM1852^2*R_up)+dpup_minQ</f>
        <v>-29.914085890750272</v>
      </c>
      <c r="AN1854" s="107"/>
      <c r="AO1854" s="1"/>
      <c r="AP1854" s="96">
        <f ca="1">P_1_minQ-(AP1852^2*R_up)+dpup_minQ</f>
        <v>-71.690436748726739</v>
      </c>
      <c r="AQ1854" s="107"/>
      <c r="AR1854" s="1"/>
      <c r="AS1854" s="96">
        <f ca="1">P_1_minQ-(AS1852^2*R_up)+dpup_minQ</f>
        <v>-132.38413803725354</v>
      </c>
      <c r="AT1854" s="107"/>
      <c r="AU1854" s="1"/>
    </row>
    <row r="1855" spans="15:47" x14ac:dyDescent="0.25">
      <c r="O1855" s="8" t="s">
        <v>134</v>
      </c>
      <c r="P1855" s="1"/>
      <c r="Q1855" s="8"/>
      <c r="R1855" s="97">
        <f>P_2_minQ+(R1852^2*R_dn)-dpdn_minQ</f>
        <v>60</v>
      </c>
      <c r="S1855" s="106"/>
      <c r="T1855" s="22"/>
      <c r="U1855" s="97">
        <f ca="1">P_2_minQ+(U1852^2*R_dn)-dpdn_minQ</f>
        <v>60</v>
      </c>
      <c r="V1855" s="107"/>
      <c r="W1855" s="1"/>
      <c r="X1855" s="97">
        <f ca="1">P_2_minQ+(X1852^2*R_dn)-dpdn_minQ</f>
        <v>60</v>
      </c>
      <c r="Y1855" s="107"/>
      <c r="Z1855" s="1"/>
      <c r="AA1855" s="97">
        <f ca="1">P_2_minQ+(AA1852^2*R_dn)-dpdn_minQ</f>
        <v>60</v>
      </c>
      <c r="AB1855" s="107"/>
      <c r="AC1855" s="1"/>
      <c r="AD1855" s="97">
        <f ca="1">P_2_minQ+(AD1852^2*R_dn)-dpdn_minQ</f>
        <v>60</v>
      </c>
      <c r="AE1855" s="107"/>
      <c r="AF1855" s="1"/>
      <c r="AG1855" s="97">
        <f ca="1">P_2_minQ+(AG1852^2*R_dn)-dpdn_minQ</f>
        <v>60</v>
      </c>
      <c r="AH1855" s="107"/>
      <c r="AI1855" s="1"/>
      <c r="AJ1855" s="97">
        <f ca="1">P_2_minQ+(AJ1852^2*R_dn)-dpdn_minQ</f>
        <v>60</v>
      </c>
      <c r="AK1855" s="107"/>
      <c r="AL1855" s="1"/>
      <c r="AM1855" s="97">
        <f ca="1">P_2_minQ+(AM1852^2*R_dn)-dpdn_minQ</f>
        <v>60</v>
      </c>
      <c r="AN1855" s="107"/>
      <c r="AO1855" s="1"/>
      <c r="AP1855" s="97">
        <f ca="1">P_2_minQ+(AP1852^2*R_dn)-dpdn_minQ</f>
        <v>60</v>
      </c>
      <c r="AQ1855" s="107"/>
      <c r="AR1855" s="1"/>
      <c r="AS1855" s="97">
        <f ca="1">P_2_minQ+(AS1852^2*R_dn)-dpdn_minQ</f>
        <v>60</v>
      </c>
      <c r="AT1855" s="107"/>
      <c r="AU1855" s="1"/>
    </row>
    <row r="1856" spans="15:47" x14ac:dyDescent="0.25">
      <c r="O1856" s="8" t="s">
        <v>138</v>
      </c>
      <c r="P1856" s="1"/>
      <c r="Q1856" s="8"/>
      <c r="R1856" s="97">
        <f>R1854-R1855</f>
        <v>30.181854047867915</v>
      </c>
      <c r="S1856" s="106"/>
      <c r="T1856" s="22"/>
      <c r="U1856" s="97">
        <f ca="1">U1854-U1855</f>
        <v>29.852926999953638</v>
      </c>
      <c r="V1856" s="110"/>
      <c r="W1856" s="25"/>
      <c r="X1856" s="97">
        <f ca="1">X1854-X1855</f>
        <v>28.193753569228818</v>
      </c>
      <c r="Y1856" s="110"/>
      <c r="Z1856" s="25"/>
      <c r="AA1856" s="97">
        <f ca="1">AA1854-AA1855</f>
        <v>22.6306760120668</v>
      </c>
      <c r="AB1856" s="110"/>
      <c r="AC1856" s="25"/>
      <c r="AD1856" s="97">
        <f ca="1">AD1854-AD1855</f>
        <v>8.9222230974130525</v>
      </c>
      <c r="AE1856" s="110"/>
      <c r="AF1856" s="25"/>
      <c r="AG1856" s="97">
        <f ca="1">AG1854-AG1855</f>
        <v>-15.109433170461088</v>
      </c>
      <c r="AH1856" s="110"/>
      <c r="AI1856" s="25"/>
      <c r="AJ1856" s="97">
        <f ca="1">AJ1854-AJ1855</f>
        <v>-50.479914704809616</v>
      </c>
      <c r="AK1856" s="110"/>
      <c r="AL1856" s="25"/>
      <c r="AM1856" s="97">
        <f ca="1">AM1854-AM1855</f>
        <v>-89.914085890750272</v>
      </c>
      <c r="AN1856" s="110"/>
      <c r="AO1856" s="25"/>
      <c r="AP1856" s="97">
        <f ca="1">AP1854-AP1855</f>
        <v>-131.69043674872674</v>
      </c>
      <c r="AQ1856" s="110"/>
      <c r="AR1856" s="25"/>
      <c r="AS1856" s="97">
        <f ca="1">AS1854-AS1855</f>
        <v>-192.38413803725354</v>
      </c>
      <c r="AT1856" s="110"/>
      <c r="AU1856" s="25"/>
    </row>
    <row r="1857" spans="15:47" ht="14.4" x14ac:dyDescent="0.3">
      <c r="O1857" s="2" t="s">
        <v>140</v>
      </c>
      <c r="P1857" s="11"/>
      <c r="Q1857" s="2"/>
      <c r="R1857" s="96">
        <f>R1856/R1854</f>
        <v>0.33467768395898795</v>
      </c>
      <c r="S1857" s="106"/>
      <c r="T1857" s="22"/>
      <c r="U1857" s="96">
        <f ca="1">U1856/U1854</f>
        <v>0.33224212050397695</v>
      </c>
      <c r="V1857" s="111"/>
      <c r="W1857" s="28"/>
      <c r="X1857" s="96">
        <f ca="1">X1856/X1854</f>
        <v>0.31967971004996143</v>
      </c>
      <c r="Y1857" s="111"/>
      <c r="Z1857" s="28"/>
      <c r="AA1857" s="96">
        <f ca="1">AA1856/AA1854</f>
        <v>0.27387741580090641</v>
      </c>
      <c r="AB1857" s="111"/>
      <c r="AC1857" s="28"/>
      <c r="AD1857" s="96">
        <f ca="1">AD1856/AD1854</f>
        <v>0.12945350130106209</v>
      </c>
      <c r="AE1857" s="111"/>
      <c r="AF1857" s="28"/>
      <c r="AG1857" s="96">
        <f ca="1">AG1856/AG1854</f>
        <v>-0.33658370204670196</v>
      </c>
      <c r="AH1857" s="111"/>
      <c r="AI1857" s="28"/>
      <c r="AJ1857" s="96">
        <f ca="1">AJ1856/AJ1854</f>
        <v>-5.3024645409755351</v>
      </c>
      <c r="AK1857" s="111"/>
      <c r="AL1857" s="28"/>
      <c r="AM1857" s="96">
        <f ca="1">AM1856/AM1854</f>
        <v>3.0057440571350567</v>
      </c>
      <c r="AN1857" s="111"/>
      <c r="AO1857" s="28"/>
      <c r="AP1857" s="96">
        <f ca="1">AP1856/AP1854</f>
        <v>1.8369317125281097</v>
      </c>
      <c r="AQ1857" s="111"/>
      <c r="AR1857" s="28"/>
      <c r="AS1857" s="96">
        <f ca="1">AS1856/AS1854</f>
        <v>1.4532265034887768</v>
      </c>
      <c r="AT1857" s="111"/>
      <c r="AU1857" s="28"/>
    </row>
    <row r="1858" spans="15:47" x14ac:dyDescent="0.25">
      <c r="O1858" s="2" t="s">
        <v>21</v>
      </c>
      <c r="P1858" s="8">
        <v>12</v>
      </c>
      <c r="Q1858" s="2"/>
      <c r="R1858" s="96">
        <f ca="1">1-R1857/(3*F_GAMMA*R$29)</f>
        <v>0.82569679435236498</v>
      </c>
      <c r="S1858" s="106"/>
      <c r="T1858" s="22"/>
      <c r="U1858" s="96">
        <f ca="1">1-U1857/(3*F_GAMMA*U$29)</f>
        <v>0.82700545669809378</v>
      </c>
      <c r="V1858" s="111"/>
      <c r="W1858" s="28"/>
      <c r="X1858" s="96">
        <f ca="1">1-X1857/(3*F_GAMMA*X$29)</f>
        <v>0.83196121433575454</v>
      </c>
      <c r="Y1858" s="111"/>
      <c r="Z1858" s="28"/>
      <c r="AA1858" s="96">
        <f ca="1">1-AA1857/(3*F_GAMMA*AA$29)</f>
        <v>0.85400775473355239</v>
      </c>
      <c r="AB1858" s="111"/>
      <c r="AC1858" s="28"/>
      <c r="AD1858" s="96">
        <f ca="1">1-AD1857/(3*F_GAMMA*AD$29)</f>
        <v>0.92885375126034631</v>
      </c>
      <c r="AE1858" s="111"/>
      <c r="AF1858" s="28"/>
      <c r="AG1858" s="96">
        <f ca="1">1-AG1857/(3*F_GAMMA*AG$29)</f>
        <v>1.1960828833893715</v>
      </c>
      <c r="AH1858" s="111"/>
      <c r="AI1858" s="28"/>
      <c r="AJ1858" s="96">
        <f ca="1">1-AJ1857/(3*F_GAMMA*AJ$29)</f>
        <v>4.3233905716814878</v>
      </c>
      <c r="AK1858" s="111"/>
      <c r="AL1858" s="28"/>
      <c r="AM1858" s="96">
        <f ca="1">1-AM1857/(3*F_GAMMA*AM$29)</f>
        <v>-1.1063446382505062</v>
      </c>
      <c r="AN1858" s="111"/>
      <c r="AO1858" s="28"/>
      <c r="AP1858" s="96">
        <f ca="1">1-AP1857/(3*F_GAMMA*AP$29)</f>
        <v>-3.6862752472610172E-2</v>
      </c>
      <c r="AQ1858" s="111"/>
      <c r="AR1858" s="28"/>
      <c r="AS1858" s="96">
        <f ca="1">1-AS1857/(3*F_GAMMA*AS$29)</f>
        <v>-0.28596164442089567</v>
      </c>
      <c r="AT1858" s="111"/>
      <c r="AU1858" s="28"/>
    </row>
    <row r="1859" spans="15:47" x14ac:dyDescent="0.25">
      <c r="O1859" s="2" t="s">
        <v>57</v>
      </c>
      <c r="P1859" s="143">
        <v>7</v>
      </c>
      <c r="Q1859" s="2"/>
      <c r="R1859" s="96">
        <f ca="1">(R1852/(N_9*R$27*R1854*R1858))*SQRT(M*'Valve Sizing'!$W$6*'Valve Sizing'!$G$8/R1857)</f>
        <v>1.6886587361719561</v>
      </c>
      <c r="S1859" s="107"/>
      <c r="T1859" s="22"/>
      <c r="U1859" s="96">
        <f ca="1">(U1852/(N_9*U$27*U1854*U1858))*SQRT(M*'Valve Sizing'!$W$6*'Valve Sizing'!$G$8/U1857)</f>
        <v>17.349999435587065</v>
      </c>
      <c r="V1859" s="111"/>
      <c r="W1859" s="28"/>
      <c r="X1859" s="96">
        <f ca="1">(X1852/(N_9*X$27*X1854*X1858))*SQRT(M*'Valve Sizing'!$W$6*'Valve Sizing'!$G$8/X1857)</f>
        <v>43.963393853241548</v>
      </c>
      <c r="Y1859" s="111"/>
      <c r="Z1859" s="28"/>
      <c r="AA1859" s="96">
        <f ca="1">(AA1852/(N_9*AA$27*AA1854*AA1858))*SQRT(M*'Valve Sizing'!$W$6*'Valve Sizing'!$G$8/AA1857)</f>
        <v>96.763169705052448</v>
      </c>
      <c r="AB1859" s="111"/>
      <c r="AC1859" s="28"/>
      <c r="AD1859" s="96">
        <f ca="1">(AD1852/(N_9*AD$27*AD1854*AD1858))*SQRT(M*'Valve Sizing'!$W$6*'Valve Sizing'!$G$8/AD1857)</f>
        <v>263.50335273779751</v>
      </c>
      <c r="AE1859" s="111"/>
      <c r="AF1859" s="28"/>
      <c r="AG1859" s="96" t="e">
        <f ca="1">(AG1852/(N_9*AG$27*AG1854*AG1858))*SQRT(M*'Valve Sizing'!$W$6*'Valve Sizing'!$G$8/AG1857)</f>
        <v>#NUM!</v>
      </c>
      <c r="AH1859" s="111"/>
      <c r="AI1859" s="28"/>
      <c r="AJ1859" s="96" t="e">
        <f ca="1">(AJ1852/(N_9*AJ$27*AJ1854*AJ1858))*SQRT(M*'Valve Sizing'!$W$6*'Valve Sizing'!$G$8/AJ1857)</f>
        <v>#NUM!</v>
      </c>
      <c r="AK1859" s="111"/>
      <c r="AL1859" s="28"/>
      <c r="AM1859" s="96">
        <f ca="1">(AM1852/(N_9*AM$27*AM1854*AM1858))*SQRT(M*'Valve Sizing'!$W$6*'Valve Sizing'!$G$8/AM1857)</f>
        <v>282.60123574837615</v>
      </c>
      <c r="AN1859" s="111"/>
      <c r="AO1859" s="28"/>
      <c r="AP1859" s="96">
        <f ca="1">(AP1852/(N_9*AP$27*AP1854*AP1858))*SQRT(M*'Valve Sizing'!$W$6*'Valve Sizing'!$G$8/AP1857)</f>
        <v>5982.1570078584837</v>
      </c>
      <c r="AQ1859" s="111"/>
      <c r="AR1859" s="28"/>
      <c r="AS1859" s="96">
        <f ca="1">(AS1852/(N_9*AS$27*AS1854*AS1858))*SQRT(M*'Valve Sizing'!$W$6*'Valve Sizing'!$G$8/AS1857)</f>
        <v>737.38093887707487</v>
      </c>
      <c r="AT1859" s="111"/>
      <c r="AU1859" s="28"/>
    </row>
    <row r="1860" spans="15:47" x14ac:dyDescent="0.25">
      <c r="O1860" s="2" t="s">
        <v>59</v>
      </c>
      <c r="P1860" s="143">
        <v>7</v>
      </c>
      <c r="Q1860" s="2"/>
      <c r="R1860" s="96">
        <f ca="1">(R1852/(N_9*R$27*R1854*0.667))*SQRT(M*'Valve Sizing'!$W$6*'Valve Sizing'!$G$8/R1861)</f>
        <v>1.511645551331642</v>
      </c>
      <c r="S1860" s="107"/>
      <c r="T1860" s="22"/>
      <c r="U1860" s="96">
        <f ca="1">(U1852/(N_9*U$27*U1854*0.667))*SQRT(M*'Valve Sizing'!$W$6*'Valve Sizing'!$G$8/U1861)</f>
        <v>15.497399755947262</v>
      </c>
      <c r="V1860" s="111"/>
      <c r="W1860" s="28"/>
      <c r="X1860" s="96">
        <f ca="1">(X1852/(N_9*X$27*X1854*0.667))*SQRT(M*'Valve Sizing'!$W$6*'Valve Sizing'!$G$8/X1861)</f>
        <v>38.934432795927812</v>
      </c>
      <c r="Y1860" s="111"/>
      <c r="Z1860" s="28"/>
      <c r="AA1860" s="96">
        <f ca="1">(AA1852/(N_9*AA$27*AA1854*0.667))*SQRT(M*'Valve Sizing'!$W$6*'Valve Sizing'!$G$8/AA1861)</f>
        <v>81.992020342265931</v>
      </c>
      <c r="AB1860" s="111"/>
      <c r="AC1860" s="28"/>
      <c r="AD1860" s="96">
        <f ca="1">(AD1852/(N_9*AD$27*AD1854*0.667))*SQRT(M*'Valve Sizing'!$W$6*'Valve Sizing'!$G$8/AD1861)</f>
        <v>169.52910975915711</v>
      </c>
      <c r="AE1860" s="111"/>
      <c r="AF1860" s="28"/>
      <c r="AG1860" s="96">
        <f ca="1">(AG1852/(N_9*AG$27*AG1854*0.667))*SQRT(M*'Valve Sizing'!$W$6*'Valve Sizing'!$G$8/AG1861)</f>
        <v>399.92650240890157</v>
      </c>
      <c r="AH1860" s="111"/>
      <c r="AI1860" s="28"/>
      <c r="AJ1860" s="96">
        <f ca="1">(AJ1852/(N_9*AJ$27*AJ1854*0.667))*SQRT(M*'Valve Sizing'!$W$6*'Valve Sizing'!$G$8/AJ1861)</f>
        <v>2704.6795540579301</v>
      </c>
      <c r="AK1860" s="111"/>
      <c r="AL1860" s="28"/>
      <c r="AM1860" s="96">
        <f ca="1">(AM1852/(N_9*AM$27*AM1854*0.667))*SQRT(M*'Valve Sizing'!$W$6*'Valve Sizing'!$G$8/AM1861)</f>
        <v>-1178.3220405371944</v>
      </c>
      <c r="AN1860" s="111"/>
      <c r="AO1860" s="28"/>
      <c r="AP1860" s="96">
        <f ca="1">(AP1852/(N_9*AP$27*AP1854*0.667))*SQRT(M*'Valve Sizing'!$W$6*'Valve Sizing'!$G$8/AP1861)</f>
        <v>-583.09725586356149</v>
      </c>
      <c r="AQ1860" s="111"/>
      <c r="AR1860" s="28"/>
      <c r="AS1860" s="96">
        <f ca="1">(AS1852/(N_9*AS$27*AS1854*0.667))*SQRT(M*'Valve Sizing'!$W$6*'Valve Sizing'!$G$8/AS1861)</f>
        <v>-620.93836521081505</v>
      </c>
      <c r="AT1860" s="111"/>
      <c r="AU1860" s="28"/>
    </row>
    <row r="1861" spans="15:47" ht="15.6" x14ac:dyDescent="0.35">
      <c r="O1861" s="2" t="s">
        <v>68</v>
      </c>
      <c r="P1861" s="143">
        <v>10</v>
      </c>
      <c r="Q1861" s="2"/>
      <c r="R1861" s="96">
        <f ca="1">F_GAMMA*R$29</f>
        <v>0.64002969751372984</v>
      </c>
      <c r="S1861" s="107"/>
      <c r="T1861" s="1"/>
      <c r="U1861" s="96">
        <f ca="1">F_GAMMA*U$29</f>
        <v>0.64017842058782071</v>
      </c>
      <c r="V1861" s="111"/>
      <c r="W1861" s="28"/>
      <c r="X1861" s="96">
        <f ca="1">F_GAMMA*X$29</f>
        <v>0.63413873724904268</v>
      </c>
      <c r="Y1861" s="111"/>
      <c r="Z1861" s="28"/>
      <c r="AA1861" s="96">
        <f ca="1">F_GAMMA*AA$29</f>
        <v>0.62532411750377137</v>
      </c>
      <c r="AB1861" s="111"/>
      <c r="AC1861" s="28"/>
      <c r="AD1861" s="96">
        <f ca="1">F_GAMMA*AD$29</f>
        <v>0.60651359509139569</v>
      </c>
      <c r="AE1861" s="111"/>
      <c r="AF1861" s="28"/>
      <c r="AG1861" s="96">
        <f ca="1">F_GAMMA*AG$29</f>
        <v>0.57217930198481592</v>
      </c>
      <c r="AH1861" s="111"/>
      <c r="AI1861" s="28"/>
      <c r="AJ1861" s="96">
        <f ca="1">F_GAMMA*AJ$29</f>
        <v>0.53183282018848232</v>
      </c>
      <c r="AK1861" s="111"/>
      <c r="AL1861" s="28"/>
      <c r="AM1861" s="96">
        <f ca="1">F_GAMMA*AM$29</f>
        <v>0.47566512503094399</v>
      </c>
      <c r="AN1861" s="111"/>
      <c r="AO1861" s="28"/>
      <c r="AP1861" s="96">
        <f ca="1">F_GAMMA*AP$29</f>
        <v>0.59054158265645496</v>
      </c>
      <c r="AQ1861" s="111"/>
      <c r="AR1861" s="28"/>
      <c r="AS1861" s="96">
        <f ca="1">F_GAMMA*AS$29</f>
        <v>0.3766899554102966</v>
      </c>
      <c r="AT1861" s="111"/>
      <c r="AU1861" s="28"/>
    </row>
    <row r="1862" spans="15:47" x14ac:dyDescent="0.25">
      <c r="O1862" s="2" t="s">
        <v>145</v>
      </c>
      <c r="P1862" s="12"/>
      <c r="Q1862" s="2"/>
      <c r="R1862" s="96">
        <f ca="1">IF(R1857&lt;R1861,R1859,R1860)</f>
        <v>1.6886587361719561</v>
      </c>
      <c r="S1862" s="116"/>
      <c r="T1862" s="1"/>
      <c r="U1862" s="96">
        <f ca="1">IF(U1857&lt;U1861,U1859,U1860)</f>
        <v>17.349999435587065</v>
      </c>
      <c r="V1862" s="111"/>
      <c r="W1862" s="28"/>
      <c r="X1862" s="96">
        <f ca="1">IF(X1857&lt;X1861,X1859,X1860)</f>
        <v>43.963393853241548</v>
      </c>
      <c r="Y1862" s="111"/>
      <c r="Z1862" s="28"/>
      <c r="AA1862" s="96">
        <f ca="1">IF(AA1857&lt;AA1861,AA1859,AA1860)</f>
        <v>96.763169705052448</v>
      </c>
      <c r="AB1862" s="111"/>
      <c r="AC1862" s="28"/>
      <c r="AD1862" s="96">
        <f ca="1">IF(AD1857&lt;AD1861,AD1859,AD1860)</f>
        <v>263.50335273779751</v>
      </c>
      <c r="AE1862" s="111"/>
      <c r="AF1862" s="28"/>
      <c r="AG1862" s="96" t="e">
        <f ca="1">IF(AG1857&lt;AG1861,AG1859,AG1860)</f>
        <v>#NUM!</v>
      </c>
      <c r="AH1862" s="111"/>
      <c r="AI1862" s="28"/>
      <c r="AJ1862" s="96" t="e">
        <f ca="1">IF(AJ1857&lt;AJ1861,AJ1859,AJ1860)</f>
        <v>#NUM!</v>
      </c>
      <c r="AK1862" s="111"/>
      <c r="AL1862" s="28"/>
      <c r="AM1862" s="96">
        <f ca="1">IF(AM1857&lt;AM1861,AM1859,AM1860)</f>
        <v>-1178.3220405371944</v>
      </c>
      <c r="AN1862" s="111"/>
      <c r="AO1862" s="28"/>
      <c r="AP1862" s="96">
        <f ca="1">IF(AP1857&lt;AP1861,AP1859,AP1860)</f>
        <v>-583.09725586356149</v>
      </c>
      <c r="AQ1862" s="111"/>
      <c r="AR1862" s="28"/>
      <c r="AS1862" s="96">
        <f ca="1">IF(AS1857&lt;AS1861,AS1859,AS1860)</f>
        <v>-620.93836521081505</v>
      </c>
      <c r="AT1862" s="111"/>
      <c r="AU1862" s="28"/>
    </row>
    <row r="1863" spans="15:47" x14ac:dyDescent="0.25">
      <c r="O1863" s="13" t="s">
        <v>143</v>
      </c>
      <c r="P1863" s="1"/>
      <c r="Q1863" s="1"/>
      <c r="R1863" s="113"/>
      <c r="S1863" s="106">
        <f ca="1">IF(R1856&lt;=0,Q_max,ABS(R$23-R1862))</f>
        <v>3.0413412638280444</v>
      </c>
      <c r="T1863" s="7">
        <f>R1852</f>
        <v>4181.2775111616911</v>
      </c>
      <c r="U1863" s="98"/>
      <c r="V1863" s="106">
        <f ca="1">IF(U1856&lt;=0,Q_max,ABS(U$23-U1862))</f>
        <v>5.7499994355870658</v>
      </c>
      <c r="W1863" s="9">
        <f ca="1">U1852</f>
        <v>42687.08668049462</v>
      </c>
      <c r="X1863" s="98"/>
      <c r="Y1863" s="106">
        <f ca="1">IF(X1856&lt;=0,Q_max,ABS(X$23-X1862))</f>
        <v>20.963393853241548</v>
      </c>
      <c r="Z1863" s="9">
        <f ca="1">X1852</f>
        <v>104524.99523141111</v>
      </c>
      <c r="AA1863" s="98"/>
      <c r="AB1863" s="106">
        <f ca="1">IF(AA1856&lt;=0,Q_max,ABS(AA$23-AA1862))</f>
        <v>57.363169705052449</v>
      </c>
      <c r="AC1863" s="9">
        <f ca="1">AA1852</f>
        <v>203588.01118517618</v>
      </c>
      <c r="AD1863" s="98"/>
      <c r="AE1863" s="106">
        <f ca="1">IF(AD1856&lt;=0,Q_max,ABS(AD$23-AD1862))</f>
        <v>202.50335273779751</v>
      </c>
      <c r="AF1863" s="9">
        <f ca="1">AD1852</f>
        <v>341557.35090804409</v>
      </c>
      <c r="AG1863" s="98"/>
      <c r="AH1863" s="106">
        <f ca="1">IF(AG1856&lt;=0,Q_max,ABS(AG$23-AG1862))</f>
        <v>236393</v>
      </c>
      <c r="AI1863" s="9">
        <f ca="1">AG1852</f>
        <v>498512.25635472272</v>
      </c>
      <c r="AJ1863" s="98"/>
      <c r="AK1863" s="106">
        <f ca="1">IF(AJ1856&lt;=0,Q_max,ABS(AJ$23-AJ1862))</f>
        <v>236393</v>
      </c>
      <c r="AL1863" s="9">
        <f ca="1">AJ1852</f>
        <v>665266.53862165601</v>
      </c>
      <c r="AM1863" s="98"/>
      <c r="AN1863" s="106">
        <f ca="1">IF(AM1856&lt;=0,Q_max,ABS(AM$23-AM1862))</f>
        <v>236393</v>
      </c>
      <c r="AO1863" s="9">
        <f ca="1">AM1852</f>
        <v>811751.60433680413</v>
      </c>
      <c r="AP1863" s="98"/>
      <c r="AQ1863" s="106">
        <f ca="1">IF(AP1856&lt;=0,Q_max,ABS(AP$23-AP1862))</f>
        <v>236393</v>
      </c>
      <c r="AR1863" s="9">
        <f ca="1">AP1852</f>
        <v>942418.41210682003</v>
      </c>
      <c r="AS1863" s="98"/>
      <c r="AT1863" s="106">
        <f ca="1">IF(AS1856&lt;=0,Q_max,ABS(AS$23-AS1862))</f>
        <v>236393</v>
      </c>
      <c r="AU1863" s="9">
        <f ca="1">AS1852</f>
        <v>1105059.7046193588</v>
      </c>
    </row>
    <row r="1864" spans="15:47" x14ac:dyDescent="0.25">
      <c r="O1864" s="21"/>
      <c r="P1864" s="14"/>
      <c r="Q1864" s="21"/>
      <c r="R1864" s="97"/>
      <c r="S1864" s="106"/>
      <c r="T1864" s="28"/>
      <c r="U1864" s="97"/>
      <c r="V1864" s="111"/>
      <c r="W1864" s="28"/>
      <c r="X1864" s="97"/>
      <c r="Y1864" s="111"/>
      <c r="Z1864" s="28"/>
      <c r="AA1864" s="97"/>
      <c r="AB1864" s="111"/>
      <c r="AC1864" s="28"/>
      <c r="AD1864" s="97"/>
      <c r="AE1864" s="111"/>
      <c r="AF1864" s="28"/>
      <c r="AG1864" s="97"/>
      <c r="AH1864" s="111"/>
      <c r="AI1864" s="28"/>
      <c r="AJ1864" s="97"/>
      <c r="AK1864" s="111"/>
      <c r="AL1864" s="28"/>
      <c r="AM1864" s="97"/>
      <c r="AN1864" s="111"/>
      <c r="AO1864" s="28"/>
      <c r="AP1864" s="97"/>
      <c r="AQ1864" s="111"/>
      <c r="AR1864" s="28"/>
      <c r="AS1864" s="97"/>
      <c r="AT1864" s="111"/>
      <c r="AU1864" s="28"/>
    </row>
    <row r="1865" spans="15:47" x14ac:dyDescent="0.25">
      <c r="O1865" s="1"/>
      <c r="P1865" s="1"/>
      <c r="Q1865" s="1"/>
      <c r="R1865" s="98"/>
      <c r="S1865" s="108" t="s">
        <v>137</v>
      </c>
      <c r="T1865" s="26" t="s">
        <v>146</v>
      </c>
      <c r="U1865" s="98"/>
      <c r="V1865" s="108" t="s">
        <v>137</v>
      </c>
      <c r="W1865" s="26" t="s">
        <v>146</v>
      </c>
      <c r="X1865" s="98"/>
      <c r="Y1865" s="108" t="s">
        <v>137</v>
      </c>
      <c r="Z1865" s="26" t="s">
        <v>146</v>
      </c>
      <c r="AA1865" s="98"/>
      <c r="AB1865" s="108" t="s">
        <v>137</v>
      </c>
      <c r="AC1865" s="26" t="s">
        <v>146</v>
      </c>
      <c r="AD1865" s="98"/>
      <c r="AE1865" s="108" t="s">
        <v>137</v>
      </c>
      <c r="AF1865" s="26" t="s">
        <v>146</v>
      </c>
      <c r="AG1865" s="98"/>
      <c r="AH1865" s="108" t="s">
        <v>137</v>
      </c>
      <c r="AI1865" s="26" t="s">
        <v>146</v>
      </c>
      <c r="AJ1865" s="98"/>
      <c r="AK1865" s="108" t="s">
        <v>137</v>
      </c>
      <c r="AL1865" s="26" t="s">
        <v>146</v>
      </c>
      <c r="AM1865" s="98"/>
      <c r="AN1865" s="108" t="s">
        <v>137</v>
      </c>
      <c r="AO1865" s="26" t="s">
        <v>146</v>
      </c>
      <c r="AP1865" s="98"/>
      <c r="AQ1865" s="108" t="s">
        <v>137</v>
      </c>
      <c r="AR1865" s="26" t="s">
        <v>146</v>
      </c>
      <c r="AS1865" s="98"/>
      <c r="AT1865" s="108" t="s">
        <v>137</v>
      </c>
      <c r="AU1865" s="26" t="s">
        <v>146</v>
      </c>
    </row>
    <row r="1866" spans="15:47" ht="13.8" x14ac:dyDescent="0.25">
      <c r="O1866" s="20" t="s">
        <v>136</v>
      </c>
      <c r="P1866" s="1"/>
      <c r="Q1866" s="1"/>
      <c r="R1866" s="96">
        <f>R1852*1.02</f>
        <v>4264.9030613849254</v>
      </c>
      <c r="S1866" s="109" t="s">
        <v>144</v>
      </c>
      <c r="T1866" s="23" t="s">
        <v>147</v>
      </c>
      <c r="U1866" s="96">
        <f ca="1">U1852*1.01</f>
        <v>43113.957547299564</v>
      </c>
      <c r="V1866" s="109" t="s">
        <v>144</v>
      </c>
      <c r="W1866" s="23" t="s">
        <v>147</v>
      </c>
      <c r="X1866" s="96">
        <f ca="1">X1852*1.01</f>
        <v>105570.24518372523</v>
      </c>
      <c r="Y1866" s="109" t="s">
        <v>144</v>
      </c>
      <c r="Z1866" s="23" t="s">
        <v>147</v>
      </c>
      <c r="AA1866" s="96">
        <f ca="1">AA1852*1.01</f>
        <v>205623.89129702793</v>
      </c>
      <c r="AB1866" s="109" t="s">
        <v>144</v>
      </c>
      <c r="AC1866" s="23" t="s">
        <v>147</v>
      </c>
      <c r="AD1866" s="96">
        <f ca="1">AD1852*1.01</f>
        <v>344972.92441712454</v>
      </c>
      <c r="AE1866" s="109" t="s">
        <v>144</v>
      </c>
      <c r="AF1866" s="23" t="s">
        <v>147</v>
      </c>
      <c r="AG1866" s="96">
        <f ca="1">AG1852*1.01</f>
        <v>503497.37891826994</v>
      </c>
      <c r="AH1866" s="109" t="s">
        <v>144</v>
      </c>
      <c r="AI1866" s="23" t="s">
        <v>147</v>
      </c>
      <c r="AJ1866" s="96">
        <f ca="1">AJ1852*1.01</f>
        <v>671919.20400787261</v>
      </c>
      <c r="AK1866" s="109" t="s">
        <v>144</v>
      </c>
      <c r="AL1866" s="23" t="s">
        <v>147</v>
      </c>
      <c r="AM1866" s="96">
        <f ca="1">AM1852*1.01</f>
        <v>819869.12038017216</v>
      </c>
      <c r="AN1866" s="109" t="s">
        <v>144</v>
      </c>
      <c r="AO1866" s="23" t="s">
        <v>147</v>
      </c>
      <c r="AP1866" s="96">
        <f ca="1">AP1852*1.01</f>
        <v>951842.59622788825</v>
      </c>
      <c r="AQ1866" s="109" t="s">
        <v>144</v>
      </c>
      <c r="AR1866" s="23" t="s">
        <v>147</v>
      </c>
      <c r="AS1866" s="96">
        <f ca="1">AS1852*1.01</f>
        <v>1116110.3016655524</v>
      </c>
      <c r="AT1866" s="109" t="s">
        <v>144</v>
      </c>
      <c r="AU1866" s="23" t="s">
        <v>147</v>
      </c>
    </row>
    <row r="1867" spans="15:47" x14ac:dyDescent="0.25">
      <c r="O1867" s="1"/>
      <c r="P1867" s="1"/>
      <c r="Q1867" s="1"/>
      <c r="R1867" s="98"/>
      <c r="S1867" s="107"/>
      <c r="T1867" s="1"/>
      <c r="U1867" s="47"/>
      <c r="V1867" s="107"/>
      <c r="W1867" s="1"/>
      <c r="X1867" s="47"/>
      <c r="Y1867" s="107"/>
      <c r="Z1867" s="1"/>
      <c r="AA1867" s="47"/>
      <c r="AB1867" s="107"/>
      <c r="AC1867" s="1"/>
      <c r="AD1867" s="47"/>
      <c r="AE1867" s="107"/>
      <c r="AF1867" s="1"/>
      <c r="AG1867" s="47"/>
      <c r="AH1867" s="107"/>
      <c r="AI1867" s="1"/>
      <c r="AJ1867" s="47"/>
      <c r="AK1867" s="107"/>
      <c r="AL1867" s="1"/>
      <c r="AM1867" s="47"/>
      <c r="AN1867" s="107"/>
      <c r="AO1867" s="1"/>
      <c r="AP1867" s="47"/>
      <c r="AQ1867" s="107"/>
      <c r="AR1867" s="1"/>
      <c r="AS1867" s="47"/>
      <c r="AT1867" s="107"/>
      <c r="AU1867" s="1"/>
    </row>
    <row r="1868" spans="15:47" x14ac:dyDescent="0.25">
      <c r="O1868" s="8" t="s">
        <v>132</v>
      </c>
      <c r="P1868" s="8"/>
      <c r="Q1868" s="8"/>
      <c r="R1868" s="96">
        <f>P_1_minQ-(R1866^2*R_up)+dpup_minQ</f>
        <v>90.181725313979456</v>
      </c>
      <c r="S1868" s="106"/>
      <c r="T1868" s="22"/>
      <c r="U1868" s="96">
        <f ca="1">P_1_minQ-(U1866^2*R_up)+dpup_minQ</f>
        <v>89.84625151799456</v>
      </c>
      <c r="V1868" s="107"/>
      <c r="W1868" s="1"/>
      <c r="X1868" s="96">
        <f ca="1">P_1_minQ-(X1866^2*R_up)+dpup_minQ</f>
        <v>88.153728701312176</v>
      </c>
      <c r="Y1868" s="107"/>
      <c r="Z1868" s="1"/>
      <c r="AA1868" s="96">
        <f ca="1">P_1_minQ-(AA1866^2*R_up)+dpup_minQ</f>
        <v>82.478833285251213</v>
      </c>
      <c r="AB1868" s="107"/>
      <c r="AC1868" s="1"/>
      <c r="AD1868" s="96">
        <f ca="1">P_1_minQ-(AD1866^2*R_up)+dpup_minQ</f>
        <v>68.494840467012921</v>
      </c>
      <c r="AE1868" s="107"/>
      <c r="AF1868" s="1"/>
      <c r="AG1868" s="96">
        <f ca="1">P_1_minQ-(AG1866^2*R_up)+dpup_minQ</f>
        <v>43.980147908154507</v>
      </c>
      <c r="AH1868" s="107"/>
      <c r="AI1868" s="1"/>
      <c r="AJ1868" s="96">
        <f ca="1">P_1_minQ-(AJ1866^2*R_up)+dpup_minQ</f>
        <v>7.8987196949655774</v>
      </c>
      <c r="AK1868" s="107"/>
      <c r="AL1868" s="1"/>
      <c r="AM1868" s="96">
        <f ca="1">P_1_minQ-(AM1866^2*R_up)+dpup_minQ</f>
        <v>-32.328078331812506</v>
      </c>
      <c r="AN1868" s="107"/>
      <c r="AO1868" s="1"/>
      <c r="AP1868" s="96">
        <f ca="1">P_1_minQ-(AP1866^2*R_up)+dpup_minQ</f>
        <v>-74.94413384203429</v>
      </c>
      <c r="AQ1868" s="107"/>
      <c r="AR1868" s="1"/>
      <c r="AS1868" s="96">
        <f ca="1">P_1_minQ-(AS1866^2*R_up)+dpup_minQ</f>
        <v>-136.85777852646052</v>
      </c>
      <c r="AT1868" s="107"/>
      <c r="AU1868" s="1"/>
    </row>
    <row r="1869" spans="15:47" x14ac:dyDescent="0.25">
      <c r="O1869" s="8" t="s">
        <v>134</v>
      </c>
      <c r="P1869" s="1"/>
      <c r="Q1869" s="8"/>
      <c r="R1869" s="97">
        <f>P_2_minQ+(R1866^2*R_dn)-dpdn_minQ</f>
        <v>60</v>
      </c>
      <c r="S1869" s="106"/>
      <c r="T1869" s="22"/>
      <c r="U1869" s="97">
        <f ca="1">P_2_minQ+(U1866^2*R_dn)-dpdn_minQ</f>
        <v>60</v>
      </c>
      <c r="V1869" s="107"/>
      <c r="W1869" s="1"/>
      <c r="X1869" s="97">
        <f ca="1">P_2_minQ+(X1866^2*R_dn)-dpdn_minQ</f>
        <v>60</v>
      </c>
      <c r="Y1869" s="107"/>
      <c r="Z1869" s="1"/>
      <c r="AA1869" s="97">
        <f ca="1">P_2_minQ+(AA1866^2*R_dn)-dpdn_minQ</f>
        <v>60</v>
      </c>
      <c r="AB1869" s="107"/>
      <c r="AC1869" s="1"/>
      <c r="AD1869" s="97">
        <f ca="1">P_2_minQ+(AD1866^2*R_dn)-dpdn_minQ</f>
        <v>60</v>
      </c>
      <c r="AE1869" s="107"/>
      <c r="AF1869" s="1"/>
      <c r="AG1869" s="97">
        <f ca="1">P_2_minQ+(AG1866^2*R_dn)-dpdn_minQ</f>
        <v>60</v>
      </c>
      <c r="AH1869" s="107"/>
      <c r="AI1869" s="1"/>
      <c r="AJ1869" s="97">
        <f ca="1">P_2_minQ+(AJ1866^2*R_dn)-dpdn_minQ</f>
        <v>60</v>
      </c>
      <c r="AK1869" s="107"/>
      <c r="AL1869" s="1"/>
      <c r="AM1869" s="97">
        <f ca="1">P_2_minQ+(AM1866^2*R_dn)-dpdn_minQ</f>
        <v>60</v>
      </c>
      <c r="AN1869" s="107"/>
      <c r="AO1869" s="1"/>
      <c r="AP1869" s="97">
        <f ca="1">P_2_minQ+(AP1866^2*R_dn)-dpdn_minQ</f>
        <v>60</v>
      </c>
      <c r="AQ1869" s="107"/>
      <c r="AR1869" s="1"/>
      <c r="AS1869" s="97">
        <f ca="1">P_2_minQ+(AS1866^2*R_dn)-dpdn_minQ</f>
        <v>60</v>
      </c>
      <c r="AT1869" s="107"/>
      <c r="AU1869" s="1"/>
    </row>
    <row r="1870" spans="15:47" x14ac:dyDescent="0.25">
      <c r="O1870" s="8" t="s">
        <v>138</v>
      </c>
      <c r="P1870" s="1"/>
      <c r="Q1870" s="8"/>
      <c r="R1870" s="97">
        <f>R1868-R1869</f>
        <v>30.181725313979456</v>
      </c>
      <c r="S1870" s="106"/>
      <c r="T1870" s="22"/>
      <c r="U1870" s="97">
        <f ca="1">U1868-U1869</f>
        <v>29.84625151799456</v>
      </c>
      <c r="V1870" s="110"/>
      <c r="W1870" s="25"/>
      <c r="X1870" s="97">
        <f ca="1">X1868-X1869</f>
        <v>28.153728701312176</v>
      </c>
      <c r="Y1870" s="110"/>
      <c r="Z1870" s="25"/>
      <c r="AA1870" s="97">
        <f ca="1">AA1868-AA1869</f>
        <v>22.478833285251213</v>
      </c>
      <c r="AB1870" s="110"/>
      <c r="AC1870" s="25"/>
      <c r="AD1870" s="97">
        <f ca="1">AD1868-AD1869</f>
        <v>8.4948404670129207</v>
      </c>
      <c r="AE1870" s="110"/>
      <c r="AF1870" s="25"/>
      <c r="AG1870" s="97">
        <f ca="1">AG1868-AG1869</f>
        <v>-16.019852091845493</v>
      </c>
      <c r="AH1870" s="110"/>
      <c r="AI1870" s="25"/>
      <c r="AJ1870" s="97">
        <f ca="1">AJ1868-AJ1869</f>
        <v>-52.101280305034422</v>
      </c>
      <c r="AK1870" s="110"/>
      <c r="AL1870" s="25"/>
      <c r="AM1870" s="97">
        <f ca="1">AM1868-AM1869</f>
        <v>-92.328078331812506</v>
      </c>
      <c r="AN1870" s="110"/>
      <c r="AO1870" s="25"/>
      <c r="AP1870" s="97">
        <f ca="1">AP1868-AP1869</f>
        <v>-134.94413384203429</v>
      </c>
      <c r="AQ1870" s="110"/>
      <c r="AR1870" s="25"/>
      <c r="AS1870" s="97">
        <f ca="1">AS1868-AS1869</f>
        <v>-196.85777852646052</v>
      </c>
      <c r="AT1870" s="110"/>
      <c r="AU1870" s="25"/>
    </row>
    <row r="1871" spans="15:47" ht="14.4" x14ac:dyDescent="0.3">
      <c r="O1871" s="2" t="s">
        <v>140</v>
      </c>
      <c r="P1871" s="11"/>
      <c r="Q1871" s="2"/>
      <c r="R1871" s="96">
        <f>R1870/R1868</f>
        <v>0.33467673421525079</v>
      </c>
      <c r="S1871" s="106"/>
      <c r="T1871" s="22"/>
      <c r="U1871" s="96">
        <f ca="1">U1870/U1868</f>
        <v>0.33219250679608936</v>
      </c>
      <c r="V1871" s="111"/>
      <c r="W1871" s="28"/>
      <c r="X1871" s="96">
        <f ca="1">X1870/X1868</f>
        <v>0.31937082090655916</v>
      </c>
      <c r="Y1871" s="111"/>
      <c r="Z1871" s="28"/>
      <c r="AA1871" s="96">
        <f ca="1">AA1870/AA1868</f>
        <v>0.27254063121272176</v>
      </c>
      <c r="AB1871" s="111"/>
      <c r="AC1871" s="28"/>
      <c r="AD1871" s="96">
        <f ca="1">AD1870/AD1868</f>
        <v>0.12402161110374484</v>
      </c>
      <c r="AE1871" s="111"/>
      <c r="AF1871" s="28"/>
      <c r="AG1871" s="96">
        <f ca="1">AG1870/AG1868</f>
        <v>-0.36425189213325038</v>
      </c>
      <c r="AH1871" s="111"/>
      <c r="AI1871" s="28"/>
      <c r="AJ1871" s="96">
        <f ca="1">AJ1870/AJ1868</f>
        <v>-6.5961677736510032</v>
      </c>
      <c r="AK1871" s="111"/>
      <c r="AL1871" s="28"/>
      <c r="AM1871" s="96">
        <f ca="1">AM1870/AM1868</f>
        <v>2.8559717464231977</v>
      </c>
      <c r="AN1871" s="111"/>
      <c r="AO1871" s="28"/>
      <c r="AP1871" s="96">
        <f ca="1">AP1870/AP1868</f>
        <v>1.8005963498953337</v>
      </c>
      <c r="AQ1871" s="111"/>
      <c r="AR1871" s="28"/>
      <c r="AS1871" s="96">
        <f ca="1">AS1870/AS1868</f>
        <v>1.4384113248513632</v>
      </c>
      <c r="AT1871" s="111"/>
      <c r="AU1871" s="28"/>
    </row>
    <row r="1872" spans="15:47" x14ac:dyDescent="0.25">
      <c r="O1872" s="2" t="s">
        <v>21</v>
      </c>
      <c r="P1872" s="8">
        <v>12</v>
      </c>
      <c r="Q1872" s="2"/>
      <c r="R1872" s="96">
        <f ca="1">1-R1871/(3*F_GAMMA*R$29)</f>
        <v>0.82569728898760908</v>
      </c>
      <c r="S1872" s="106"/>
      <c r="T1872" s="22"/>
      <c r="U1872" s="96">
        <f ca="1">1-U1871/(3*F_GAMMA*U$29)</f>
        <v>0.82703128996909658</v>
      </c>
      <c r="V1872" s="111"/>
      <c r="W1872" s="28"/>
      <c r="X1872" s="96">
        <f ca="1">1-X1871/(3*F_GAMMA*X$29)</f>
        <v>0.83212358108888407</v>
      </c>
      <c r="Y1872" s="111"/>
      <c r="Z1872" s="28"/>
      <c r="AA1872" s="96">
        <f ca="1">1-AA1871/(3*F_GAMMA*AA$29)</f>
        <v>0.85472033697731264</v>
      </c>
      <c r="AB1872" s="111"/>
      <c r="AC1872" s="28"/>
      <c r="AD1872" s="96">
        <f ca="1">1-AD1871/(3*F_GAMMA*AD$29)</f>
        <v>0.9318390595542182</v>
      </c>
      <c r="AE1872" s="111"/>
      <c r="AF1872" s="28"/>
      <c r="AG1872" s="96">
        <f ca="1">1-AG1871/(3*F_GAMMA*AG$29)</f>
        <v>1.2122014846684759</v>
      </c>
      <c r="AH1872" s="111"/>
      <c r="AI1872" s="28"/>
      <c r="AJ1872" s="96">
        <f ca="1">1-AJ1871/(3*F_GAMMA*AJ$29)</f>
        <v>5.1342363760810601</v>
      </c>
      <c r="AK1872" s="111"/>
      <c r="AL1872" s="28"/>
      <c r="AM1872" s="96">
        <f ca="1">1-AM1871/(3*F_GAMMA*AM$29)</f>
        <v>-1.0013882289123783</v>
      </c>
      <c r="AN1872" s="111"/>
      <c r="AO1872" s="28"/>
      <c r="AP1872" s="96">
        <f ca="1">1-AP1871/(3*F_GAMMA*AP$29)</f>
        <v>-1.6353125547143188E-2</v>
      </c>
      <c r="AQ1872" s="111"/>
      <c r="AR1872" s="28"/>
      <c r="AS1872" s="96">
        <f ca="1">1-AS1871/(3*F_GAMMA*AS$29)</f>
        <v>-0.27285167743555649</v>
      </c>
      <c r="AT1872" s="111"/>
      <c r="AU1872" s="28"/>
    </row>
    <row r="1873" spans="15:47" x14ac:dyDescent="0.25">
      <c r="O1873" s="2" t="s">
        <v>57</v>
      </c>
      <c r="P1873" s="143">
        <v>7</v>
      </c>
      <c r="Q1873" s="2"/>
      <c r="R1873" s="96">
        <f ca="1">(R1866/(N_9*R$27*R1868*R1872))*SQRT(M*'Valve Sizing'!$W$6*'Valve Sizing'!$G$8/R1871)</f>
        <v>1.7224357817839879</v>
      </c>
      <c r="S1873" s="107"/>
      <c r="T1873" s="22"/>
      <c r="U1873" s="96">
        <f ca="1">(U1866/(N_9*U$27*U1868*U1872))*SQRT(M*'Valve Sizing'!$W$6*'Valve Sizing'!$G$8/U1871)</f>
        <v>17.525562595015678</v>
      </c>
      <c r="V1873" s="111"/>
      <c r="W1873" s="28"/>
      <c r="X1873" s="96">
        <f ca="1">(X1866/(N_9*X$27*X1868*X1872))*SQRT(M*'Valve Sizing'!$W$6*'Valve Sizing'!$G$8/X1871)</f>
        <v>44.435993545406362</v>
      </c>
      <c r="Y1873" s="111"/>
      <c r="Z1873" s="28"/>
      <c r="AA1873" s="96">
        <f ca="1">(AA1866/(N_9*AA$27*AA1868*AA1872))*SQRT(M*'Valve Sizing'!$W$6*'Valve Sizing'!$G$8/AA1871)</f>
        <v>98.068721959357092</v>
      </c>
      <c r="AB1873" s="111"/>
      <c r="AC1873" s="28"/>
      <c r="AD1873" s="96">
        <f ca="1">(AD1866/(N_9*AD$27*AD1868*AD1872))*SQRT(M*'Valve Sizing'!$W$6*'Valve Sizing'!$G$8/AD1871)</f>
        <v>272.72414123202378</v>
      </c>
      <c r="AE1873" s="111"/>
      <c r="AF1873" s="28"/>
      <c r="AG1873" s="96" t="e">
        <f ca="1">(AG1866/(N_9*AG$27*AG1868*AG1872))*SQRT(M*'Valve Sizing'!$W$6*'Valve Sizing'!$G$8/AG1871)</f>
        <v>#NUM!</v>
      </c>
      <c r="AH1873" s="111"/>
      <c r="AI1873" s="28"/>
      <c r="AJ1873" s="96" t="e">
        <f ca="1">(AJ1866/(N_9*AJ$27*AJ1868*AJ1872))*SQRT(M*'Valve Sizing'!$W$6*'Valve Sizing'!$G$8/AJ1871)</f>
        <v>#NUM!</v>
      </c>
      <c r="AK1873" s="111"/>
      <c r="AL1873" s="28"/>
      <c r="AM1873" s="96">
        <f ca="1">(AM1866/(N_9*AM$27*AM1868*AM1872))*SQRT(M*'Valve Sizing'!$W$6*'Valve Sizing'!$G$8/AM1871)</f>
        <v>299.34931968284104</v>
      </c>
      <c r="AN1873" s="111"/>
      <c r="AO1873" s="28"/>
      <c r="AP1873" s="96">
        <f ca="1">(AP1866/(N_9*AP$27*AP1868*AP1872))*SQRT(M*'Valve Sizing'!$W$6*'Valve Sizing'!$G$8/AP1871)</f>
        <v>13159.157196641409</v>
      </c>
      <c r="AQ1873" s="111"/>
      <c r="AR1873" s="28"/>
      <c r="AS1873" s="96">
        <f ca="1">(AS1866/(N_9*AS$27*AS1868*AS1872))*SQRT(M*'Valve Sizing'!$W$6*'Valve Sizing'!$G$8/AS1871)</f>
        <v>758.90255046536674</v>
      </c>
      <c r="AT1873" s="111"/>
      <c r="AU1873" s="28"/>
    </row>
    <row r="1874" spans="15:47" x14ac:dyDescent="0.25">
      <c r="O1874" s="2" t="s">
        <v>59</v>
      </c>
      <c r="P1874" s="143">
        <v>7</v>
      </c>
      <c r="Q1874" s="2"/>
      <c r="R1874" s="96">
        <f ca="1">(R1866/(N_9*R$27*R1868*0.667))*SQRT(M*'Valve Sizing'!$W$6*'Valve Sizing'!$G$8/R1875)</f>
        <v>1.5418806633808142</v>
      </c>
      <c r="S1874" s="107"/>
      <c r="T1874" s="22"/>
      <c r="U1874" s="96">
        <f ca="1">(U1866/(N_9*U$27*U1868*0.667))*SQRT(M*'Valve Sizing'!$W$6*'Valve Sizing'!$G$8/U1875)</f>
        <v>15.653536708408499</v>
      </c>
      <c r="V1874" s="111"/>
      <c r="W1874" s="28"/>
      <c r="X1874" s="96">
        <f ca="1">(X1866/(N_9*X$27*X1868*0.667))*SQRT(M*'Valve Sizing'!$W$6*'Valve Sizing'!$G$8/X1875)</f>
        <v>39.341631490441458</v>
      </c>
      <c r="Y1874" s="111"/>
      <c r="Z1874" s="28"/>
      <c r="AA1874" s="96">
        <f ca="1">(AA1866/(N_9*AA$27*AA1868*0.667))*SQRT(M*'Valve Sizing'!$W$6*'Valve Sizing'!$G$8/AA1875)</f>
        <v>82.964396519718434</v>
      </c>
      <c r="AB1874" s="111"/>
      <c r="AC1874" s="28"/>
      <c r="AD1874" s="96">
        <f ca="1">(AD1866/(N_9*AD$27*AD1868*0.667))*SQRT(M*'Valve Sizing'!$W$6*'Valve Sizing'!$G$8/AD1875)</f>
        <v>172.29277818747747</v>
      </c>
      <c r="AE1874" s="111"/>
      <c r="AF1874" s="28"/>
      <c r="AG1874" s="96">
        <f ca="1">(AG1866/(N_9*AG$27*AG1868*0.667))*SQRT(M*'Valve Sizing'!$W$6*'Valve Sizing'!$G$8/AG1875)</f>
        <v>412.28730505841384</v>
      </c>
      <c r="AH1874" s="111"/>
      <c r="AI1874" s="28"/>
      <c r="AJ1874" s="96">
        <f ca="1">(AJ1866/(N_9*AJ$27*AJ1868*0.667))*SQRT(M*'Valve Sizing'!$W$6*'Valve Sizing'!$G$8/AJ1875)</f>
        <v>3292.4662294159566</v>
      </c>
      <c r="AK1874" s="111"/>
      <c r="AL1874" s="28"/>
      <c r="AM1874" s="96">
        <f ca="1">(AM1866/(N_9*AM$27*AM1868*0.667))*SQRT(M*'Valve Sizing'!$W$6*'Valve Sizing'!$G$8/AM1875)</f>
        <v>-1101.238082556752</v>
      </c>
      <c r="AN1874" s="111"/>
      <c r="AO1874" s="28"/>
      <c r="AP1874" s="96">
        <f ca="1">(AP1866/(N_9*AP$27*AP1868*0.667))*SQRT(M*'Valve Sizing'!$W$6*'Valve Sizing'!$G$8/AP1875)</f>
        <v>-563.35992885357462</v>
      </c>
      <c r="AQ1874" s="111"/>
      <c r="AR1874" s="28"/>
      <c r="AS1874" s="96">
        <f ca="1">(AS1866/(N_9*AS$27*AS1868*0.667))*SQRT(M*'Valve Sizing'!$W$6*'Valve Sizing'!$G$8/AS1875)</f>
        <v>-606.64739007998605</v>
      </c>
      <c r="AT1874" s="111"/>
      <c r="AU1874" s="28"/>
    </row>
    <row r="1875" spans="15:47" ht="15.6" x14ac:dyDescent="0.35">
      <c r="O1875" s="2" t="s">
        <v>68</v>
      </c>
      <c r="P1875" s="143">
        <v>10</v>
      </c>
      <c r="Q1875" s="2"/>
      <c r="R1875" s="96">
        <f ca="1">F_GAMMA*R$29</f>
        <v>0.64002969751372984</v>
      </c>
      <c r="S1875" s="107"/>
      <c r="T1875" s="1"/>
      <c r="U1875" s="96">
        <f ca="1">F_GAMMA*U$29</f>
        <v>0.64017842058782071</v>
      </c>
      <c r="V1875" s="111"/>
      <c r="W1875" s="28"/>
      <c r="X1875" s="96">
        <f ca="1">F_GAMMA*X$29</f>
        <v>0.63413873724904268</v>
      </c>
      <c r="Y1875" s="111"/>
      <c r="Z1875" s="28"/>
      <c r="AA1875" s="96">
        <f ca="1">F_GAMMA*AA$29</f>
        <v>0.62532411750377137</v>
      </c>
      <c r="AB1875" s="111"/>
      <c r="AC1875" s="28"/>
      <c r="AD1875" s="96">
        <f ca="1">F_GAMMA*AD$29</f>
        <v>0.60651359509139569</v>
      </c>
      <c r="AE1875" s="111"/>
      <c r="AF1875" s="28"/>
      <c r="AG1875" s="96">
        <f ca="1">F_GAMMA*AG$29</f>
        <v>0.57217930198481592</v>
      </c>
      <c r="AH1875" s="111"/>
      <c r="AI1875" s="28"/>
      <c r="AJ1875" s="96">
        <f ca="1">F_GAMMA*AJ$29</f>
        <v>0.53183282018848232</v>
      </c>
      <c r="AK1875" s="111"/>
      <c r="AL1875" s="28"/>
      <c r="AM1875" s="96">
        <f ca="1">F_GAMMA*AM$29</f>
        <v>0.47566512503094399</v>
      </c>
      <c r="AN1875" s="111"/>
      <c r="AO1875" s="28"/>
      <c r="AP1875" s="96">
        <f ca="1">F_GAMMA*AP$29</f>
        <v>0.59054158265645496</v>
      </c>
      <c r="AQ1875" s="111"/>
      <c r="AR1875" s="28"/>
      <c r="AS1875" s="96">
        <f ca="1">F_GAMMA*AS$29</f>
        <v>0.3766899554102966</v>
      </c>
      <c r="AT1875" s="111"/>
      <c r="AU1875" s="28"/>
    </row>
    <row r="1876" spans="15:47" x14ac:dyDescent="0.25">
      <c r="O1876" s="2" t="s">
        <v>145</v>
      </c>
      <c r="P1876" s="12"/>
      <c r="Q1876" s="2"/>
      <c r="R1876" s="96">
        <f ca="1">IF(R1871&lt;R1875,R1873,R1874)</f>
        <v>1.7224357817839879</v>
      </c>
      <c r="S1876" s="116"/>
      <c r="T1876" s="1"/>
      <c r="U1876" s="96">
        <f ca="1">IF(U1871&lt;U1875,U1873,U1874)</f>
        <v>17.525562595015678</v>
      </c>
      <c r="V1876" s="111"/>
      <c r="W1876" s="28"/>
      <c r="X1876" s="96">
        <f ca="1">IF(X1871&lt;X1875,X1873,X1874)</f>
        <v>44.435993545406362</v>
      </c>
      <c r="Y1876" s="111"/>
      <c r="Z1876" s="28"/>
      <c r="AA1876" s="96">
        <f ca="1">IF(AA1871&lt;AA1875,AA1873,AA1874)</f>
        <v>98.068721959357092</v>
      </c>
      <c r="AB1876" s="111"/>
      <c r="AC1876" s="28"/>
      <c r="AD1876" s="96">
        <f ca="1">IF(AD1871&lt;AD1875,AD1873,AD1874)</f>
        <v>272.72414123202378</v>
      </c>
      <c r="AE1876" s="111"/>
      <c r="AF1876" s="28"/>
      <c r="AG1876" s="96" t="e">
        <f ca="1">IF(AG1871&lt;AG1875,AG1873,AG1874)</f>
        <v>#NUM!</v>
      </c>
      <c r="AH1876" s="111"/>
      <c r="AI1876" s="28"/>
      <c r="AJ1876" s="96" t="e">
        <f ca="1">IF(AJ1871&lt;AJ1875,AJ1873,AJ1874)</f>
        <v>#NUM!</v>
      </c>
      <c r="AK1876" s="111"/>
      <c r="AL1876" s="28"/>
      <c r="AM1876" s="96">
        <f ca="1">IF(AM1871&lt;AM1875,AM1873,AM1874)</f>
        <v>-1101.238082556752</v>
      </c>
      <c r="AN1876" s="111"/>
      <c r="AO1876" s="28"/>
      <c r="AP1876" s="96">
        <f ca="1">IF(AP1871&lt;AP1875,AP1873,AP1874)</f>
        <v>-563.35992885357462</v>
      </c>
      <c r="AQ1876" s="111"/>
      <c r="AR1876" s="28"/>
      <c r="AS1876" s="96">
        <f ca="1">IF(AS1871&lt;AS1875,AS1873,AS1874)</f>
        <v>-606.64739007998605</v>
      </c>
      <c r="AT1876" s="111"/>
      <c r="AU1876" s="28"/>
    </row>
    <row r="1877" spans="15:47" x14ac:dyDescent="0.25">
      <c r="O1877" s="13" t="s">
        <v>143</v>
      </c>
      <c r="P1877" s="1"/>
      <c r="Q1877" s="1"/>
      <c r="R1877" s="113"/>
      <c r="S1877" s="106">
        <f ca="1">IF(R1870&lt;=0,Q_max,ABS(R$23-R1876))</f>
        <v>3.0075642182160127</v>
      </c>
      <c r="T1877" s="7">
        <f>R1866</f>
        <v>4264.9030613849254</v>
      </c>
      <c r="U1877" s="98"/>
      <c r="V1877" s="106">
        <f ca="1">IF(U1870&lt;=0,Q_max,ABS(U$23-U1876))</f>
        <v>5.9255625950156787</v>
      </c>
      <c r="W1877" s="9">
        <f ca="1">U1866</f>
        <v>43113.957547299564</v>
      </c>
      <c r="X1877" s="98"/>
      <c r="Y1877" s="106">
        <f ca="1">IF(X1870&lt;=0,Q_max,ABS(X$23-X1876))</f>
        <v>21.435993545406362</v>
      </c>
      <c r="Z1877" s="9">
        <f ca="1">X1866</f>
        <v>105570.24518372523</v>
      </c>
      <c r="AA1877" s="98"/>
      <c r="AB1877" s="106">
        <f ca="1">IF(AA1870&lt;=0,Q_max,ABS(AA$23-AA1876))</f>
        <v>58.668721959357093</v>
      </c>
      <c r="AC1877" s="9">
        <f ca="1">AA1866</f>
        <v>205623.89129702793</v>
      </c>
      <c r="AD1877" s="98"/>
      <c r="AE1877" s="106">
        <f ca="1">IF(AD1870&lt;=0,Q_max,ABS(AD$23-AD1876))</f>
        <v>211.72414123202378</v>
      </c>
      <c r="AF1877" s="9">
        <f ca="1">AD1866</f>
        <v>344972.92441712454</v>
      </c>
      <c r="AG1877" s="98"/>
      <c r="AH1877" s="106">
        <f ca="1">IF(AG1870&lt;=0,Q_max,ABS(AG$23-AG1876))</f>
        <v>236393</v>
      </c>
      <c r="AI1877" s="9">
        <f ca="1">AG1866</f>
        <v>503497.37891826994</v>
      </c>
      <c r="AJ1877" s="98"/>
      <c r="AK1877" s="106">
        <f ca="1">IF(AJ1870&lt;=0,Q_max,ABS(AJ$23-AJ1876))</f>
        <v>236393</v>
      </c>
      <c r="AL1877" s="9">
        <f ca="1">AJ1866</f>
        <v>671919.20400787261</v>
      </c>
      <c r="AM1877" s="98"/>
      <c r="AN1877" s="106">
        <f ca="1">IF(AM1870&lt;=0,Q_max,ABS(AM$23-AM1876))</f>
        <v>236393</v>
      </c>
      <c r="AO1877" s="9">
        <f ca="1">AM1866</f>
        <v>819869.12038017216</v>
      </c>
      <c r="AP1877" s="98"/>
      <c r="AQ1877" s="106">
        <f ca="1">IF(AP1870&lt;=0,Q_max,ABS(AP$23-AP1876))</f>
        <v>236393</v>
      </c>
      <c r="AR1877" s="9">
        <f ca="1">AP1866</f>
        <v>951842.59622788825</v>
      </c>
      <c r="AS1877" s="98"/>
      <c r="AT1877" s="106">
        <f ca="1">IF(AS1870&lt;=0,Q_max,ABS(AS$23-AS1876))</f>
        <v>236393</v>
      </c>
      <c r="AU1877" s="9">
        <f ca="1">AS1866</f>
        <v>1116110.3016655524</v>
      </c>
    </row>
    <row r="1878" spans="15:47" x14ac:dyDescent="0.25">
      <c r="O1878" s="21"/>
      <c r="P1878" s="14"/>
      <c r="Q1878" s="21"/>
      <c r="R1878" s="97"/>
      <c r="S1878" s="106"/>
      <c r="T1878" s="28"/>
      <c r="U1878" s="97"/>
      <c r="V1878" s="111"/>
      <c r="W1878" s="28"/>
      <c r="X1878" s="97"/>
      <c r="Y1878" s="111"/>
      <c r="Z1878" s="28"/>
      <c r="AA1878" s="97"/>
      <c r="AB1878" s="111"/>
      <c r="AC1878" s="28"/>
      <c r="AD1878" s="97"/>
      <c r="AE1878" s="111"/>
      <c r="AF1878" s="28"/>
      <c r="AG1878" s="97"/>
      <c r="AH1878" s="111"/>
      <c r="AI1878" s="28"/>
      <c r="AJ1878" s="97"/>
      <c r="AK1878" s="111"/>
      <c r="AL1878" s="28"/>
      <c r="AM1878" s="97"/>
      <c r="AN1878" s="111"/>
      <c r="AO1878" s="28"/>
      <c r="AP1878" s="97"/>
      <c r="AQ1878" s="111"/>
      <c r="AR1878" s="28"/>
      <c r="AS1878" s="97"/>
      <c r="AT1878" s="111"/>
      <c r="AU1878" s="28"/>
    </row>
    <row r="1879" spans="15:47" x14ac:dyDescent="0.25">
      <c r="O1879" s="1"/>
      <c r="P1879" s="1"/>
      <c r="Q1879" s="1"/>
      <c r="R1879" s="98"/>
      <c r="S1879" s="108" t="s">
        <v>137</v>
      </c>
      <c r="T1879" s="26" t="s">
        <v>146</v>
      </c>
      <c r="U1879" s="98"/>
      <c r="V1879" s="108" t="s">
        <v>137</v>
      </c>
      <c r="W1879" s="26" t="s">
        <v>146</v>
      </c>
      <c r="X1879" s="98"/>
      <c r="Y1879" s="108" t="s">
        <v>137</v>
      </c>
      <c r="Z1879" s="26" t="s">
        <v>146</v>
      </c>
      <c r="AA1879" s="98"/>
      <c r="AB1879" s="108" t="s">
        <v>137</v>
      </c>
      <c r="AC1879" s="26" t="s">
        <v>146</v>
      </c>
      <c r="AD1879" s="98"/>
      <c r="AE1879" s="108" t="s">
        <v>137</v>
      </c>
      <c r="AF1879" s="26" t="s">
        <v>146</v>
      </c>
      <c r="AG1879" s="98"/>
      <c r="AH1879" s="108" t="s">
        <v>137</v>
      </c>
      <c r="AI1879" s="26" t="s">
        <v>146</v>
      </c>
      <c r="AJ1879" s="98"/>
      <c r="AK1879" s="108" t="s">
        <v>137</v>
      </c>
      <c r="AL1879" s="26" t="s">
        <v>146</v>
      </c>
      <c r="AM1879" s="98"/>
      <c r="AN1879" s="108" t="s">
        <v>137</v>
      </c>
      <c r="AO1879" s="26" t="s">
        <v>146</v>
      </c>
      <c r="AP1879" s="98"/>
      <c r="AQ1879" s="108" t="s">
        <v>137</v>
      </c>
      <c r="AR1879" s="26" t="s">
        <v>146</v>
      </c>
      <c r="AS1879" s="98"/>
      <c r="AT1879" s="108" t="s">
        <v>137</v>
      </c>
      <c r="AU1879" s="26" t="s">
        <v>146</v>
      </c>
    </row>
    <row r="1880" spans="15:47" ht="13.8" x14ac:dyDescent="0.25">
      <c r="O1880" s="20" t="s">
        <v>136</v>
      </c>
      <c r="P1880" s="1"/>
      <c r="Q1880" s="1"/>
      <c r="R1880" s="96">
        <f>R1866*1.02</f>
        <v>4350.2011226126242</v>
      </c>
      <c r="S1880" s="109" t="s">
        <v>144</v>
      </c>
      <c r="T1880" s="23" t="s">
        <v>147</v>
      </c>
      <c r="U1880" s="96">
        <f ca="1">U1866*1.01</f>
        <v>43545.09712277256</v>
      </c>
      <c r="V1880" s="109" t="s">
        <v>144</v>
      </c>
      <c r="W1880" s="23" t="s">
        <v>147</v>
      </c>
      <c r="X1880" s="96">
        <f ca="1">X1866*1.01</f>
        <v>106625.94763556248</v>
      </c>
      <c r="Y1880" s="109" t="s">
        <v>144</v>
      </c>
      <c r="Z1880" s="23" t="s">
        <v>147</v>
      </c>
      <c r="AA1880" s="96">
        <f ca="1">AA1866*1.01</f>
        <v>207680.13020999823</v>
      </c>
      <c r="AB1880" s="109" t="s">
        <v>144</v>
      </c>
      <c r="AC1880" s="23" t="s">
        <v>147</v>
      </c>
      <c r="AD1880" s="96">
        <f ca="1">AD1866*1.01</f>
        <v>348422.65366129577</v>
      </c>
      <c r="AE1880" s="109" t="s">
        <v>144</v>
      </c>
      <c r="AF1880" s="23" t="s">
        <v>147</v>
      </c>
      <c r="AG1880" s="96">
        <f ca="1">AG1866*1.01</f>
        <v>508532.35270745266</v>
      </c>
      <c r="AH1880" s="109" t="s">
        <v>144</v>
      </c>
      <c r="AI1880" s="23" t="s">
        <v>147</v>
      </c>
      <c r="AJ1880" s="96">
        <f ca="1">AJ1866*1.01</f>
        <v>678638.3960479513</v>
      </c>
      <c r="AK1880" s="109" t="s">
        <v>144</v>
      </c>
      <c r="AL1880" s="23" t="s">
        <v>147</v>
      </c>
      <c r="AM1880" s="96">
        <f ca="1">AM1866*1.01</f>
        <v>828067.81158397393</v>
      </c>
      <c r="AN1880" s="109" t="s">
        <v>144</v>
      </c>
      <c r="AO1880" s="23" t="s">
        <v>147</v>
      </c>
      <c r="AP1880" s="96">
        <f ca="1">AP1866*1.01</f>
        <v>961361.0221901671</v>
      </c>
      <c r="AQ1880" s="109" t="s">
        <v>144</v>
      </c>
      <c r="AR1880" s="23" t="s">
        <v>147</v>
      </c>
      <c r="AS1880" s="96">
        <f ca="1">AS1866*1.01</f>
        <v>1127271.4046822079</v>
      </c>
      <c r="AT1880" s="109" t="s">
        <v>144</v>
      </c>
      <c r="AU1880" s="23" t="s">
        <v>147</v>
      </c>
    </row>
    <row r="1881" spans="15:47" x14ac:dyDescent="0.25">
      <c r="O1881" s="1"/>
      <c r="P1881" s="1"/>
      <c r="Q1881" s="1"/>
      <c r="R1881" s="98"/>
      <c r="S1881" s="107"/>
      <c r="T1881" s="1"/>
      <c r="U1881" s="47"/>
      <c r="V1881" s="107"/>
      <c r="W1881" s="1"/>
      <c r="X1881" s="47"/>
      <c r="Y1881" s="107"/>
      <c r="Z1881" s="1"/>
      <c r="AA1881" s="47"/>
      <c r="AB1881" s="107"/>
      <c r="AC1881" s="1"/>
      <c r="AD1881" s="47"/>
      <c r="AE1881" s="107"/>
      <c r="AF1881" s="1"/>
      <c r="AG1881" s="47"/>
      <c r="AH1881" s="107"/>
      <c r="AI1881" s="1"/>
      <c r="AJ1881" s="47"/>
      <c r="AK1881" s="107"/>
      <c r="AL1881" s="1"/>
      <c r="AM1881" s="47"/>
      <c r="AN1881" s="107"/>
      <c r="AO1881" s="1"/>
      <c r="AP1881" s="47"/>
      <c r="AQ1881" s="107"/>
      <c r="AR1881" s="1"/>
      <c r="AS1881" s="47"/>
      <c r="AT1881" s="107"/>
      <c r="AU1881" s="1"/>
    </row>
    <row r="1882" spans="15:47" x14ac:dyDescent="0.25">
      <c r="O1882" s="8" t="s">
        <v>132</v>
      </c>
      <c r="P1882" s="8"/>
      <c r="Q1882" s="8"/>
      <c r="R1882" s="96">
        <f>P_1_minQ-(R1880^2*R_up)+dpup_minQ</f>
        <v>90.181591379241894</v>
      </c>
      <c r="S1882" s="106"/>
      <c r="T1882" s="22"/>
      <c r="U1882" s="96">
        <f ca="1">P_1_minQ-(U1880^2*R_up)+dpup_minQ</f>
        <v>89.839441858848119</v>
      </c>
      <c r="V1882" s="107"/>
      <c r="W1882" s="1"/>
      <c r="X1882" s="96">
        <f ca="1">P_1_minQ-(X1880^2*R_up)+dpup_minQ</f>
        <v>88.112899333550416</v>
      </c>
      <c r="Y1882" s="107"/>
      <c r="Z1882" s="1"/>
      <c r="AA1882" s="96">
        <f ca="1">P_1_minQ-(AA1880^2*R_up)+dpup_minQ</f>
        <v>82.323938519626623</v>
      </c>
      <c r="AB1882" s="107"/>
      <c r="AC1882" s="1"/>
      <c r="AD1882" s="96">
        <f ca="1">P_1_minQ-(AD1880^2*R_up)+dpup_minQ</f>
        <v>68.058867445741754</v>
      </c>
      <c r="AE1882" s="107"/>
      <c r="AF1882" s="1"/>
      <c r="AG1882" s="96">
        <f ca="1">P_1_minQ-(AG1880^2*R_up)+dpup_minQ</f>
        <v>43.051429566450274</v>
      </c>
      <c r="AH1882" s="107"/>
      <c r="AI1882" s="1"/>
      <c r="AJ1882" s="96">
        <f ca="1">P_1_minQ-(AJ1880^2*R_up)+dpup_minQ</f>
        <v>6.2447646461762494</v>
      </c>
      <c r="AK1882" s="107"/>
      <c r="AL1882" s="1"/>
      <c r="AM1882" s="96">
        <f ca="1">P_1_minQ-(AM1880^2*R_up)+dpup_minQ</f>
        <v>-34.790592020940096</v>
      </c>
      <c r="AN1882" s="107"/>
      <c r="AO1882" s="1"/>
      <c r="AP1882" s="96">
        <f ca="1">P_1_minQ-(AP1880^2*R_up)+dpup_minQ</f>
        <v>-78.263230246917288</v>
      </c>
      <c r="AQ1882" s="107"/>
      <c r="AR1882" s="1"/>
      <c r="AS1882" s="96">
        <f ca="1">P_1_minQ-(AS1880^2*R_up)+dpup_minQ</f>
        <v>-141.42133918950046</v>
      </c>
      <c r="AT1882" s="107"/>
      <c r="AU1882" s="1"/>
    </row>
    <row r="1883" spans="15:47" x14ac:dyDescent="0.25">
      <c r="O1883" s="8" t="s">
        <v>134</v>
      </c>
      <c r="P1883" s="1"/>
      <c r="Q1883" s="8"/>
      <c r="R1883" s="97">
        <f>P_2_minQ+(R1880^2*R_dn)-dpdn_minQ</f>
        <v>60</v>
      </c>
      <c r="S1883" s="106"/>
      <c r="T1883" s="22"/>
      <c r="U1883" s="97">
        <f ca="1">P_2_minQ+(U1880^2*R_dn)-dpdn_minQ</f>
        <v>60</v>
      </c>
      <c r="V1883" s="107"/>
      <c r="W1883" s="1"/>
      <c r="X1883" s="97">
        <f ca="1">P_2_minQ+(X1880^2*R_dn)-dpdn_minQ</f>
        <v>60</v>
      </c>
      <c r="Y1883" s="107"/>
      <c r="Z1883" s="1"/>
      <c r="AA1883" s="97">
        <f ca="1">P_2_minQ+(AA1880^2*R_dn)-dpdn_minQ</f>
        <v>60</v>
      </c>
      <c r="AB1883" s="107"/>
      <c r="AC1883" s="1"/>
      <c r="AD1883" s="97">
        <f ca="1">P_2_minQ+(AD1880^2*R_dn)-dpdn_minQ</f>
        <v>60</v>
      </c>
      <c r="AE1883" s="107"/>
      <c r="AF1883" s="1"/>
      <c r="AG1883" s="97">
        <f ca="1">P_2_minQ+(AG1880^2*R_dn)-dpdn_minQ</f>
        <v>60</v>
      </c>
      <c r="AH1883" s="107"/>
      <c r="AI1883" s="1"/>
      <c r="AJ1883" s="97">
        <f ca="1">P_2_minQ+(AJ1880^2*R_dn)-dpdn_minQ</f>
        <v>60</v>
      </c>
      <c r="AK1883" s="107"/>
      <c r="AL1883" s="1"/>
      <c r="AM1883" s="97">
        <f ca="1">P_2_minQ+(AM1880^2*R_dn)-dpdn_minQ</f>
        <v>60</v>
      </c>
      <c r="AN1883" s="107"/>
      <c r="AO1883" s="1"/>
      <c r="AP1883" s="97">
        <f ca="1">P_2_minQ+(AP1880^2*R_dn)-dpdn_minQ</f>
        <v>60</v>
      </c>
      <c r="AQ1883" s="107"/>
      <c r="AR1883" s="1"/>
      <c r="AS1883" s="97">
        <f ca="1">P_2_minQ+(AS1880^2*R_dn)-dpdn_minQ</f>
        <v>60</v>
      </c>
      <c r="AT1883" s="107"/>
      <c r="AU1883" s="1"/>
    </row>
    <row r="1884" spans="15:47" x14ac:dyDescent="0.25">
      <c r="O1884" s="8" t="s">
        <v>138</v>
      </c>
      <c r="P1884" s="1"/>
      <c r="Q1884" s="8"/>
      <c r="R1884" s="97">
        <f>R1882-R1883</f>
        <v>30.181591379241894</v>
      </c>
      <c r="S1884" s="106"/>
      <c r="T1884" s="22"/>
      <c r="U1884" s="97">
        <f ca="1">U1882-U1883</f>
        <v>29.839441858848119</v>
      </c>
      <c r="V1884" s="110"/>
      <c r="W1884" s="25"/>
      <c r="X1884" s="97">
        <f ca="1">X1882-X1883</f>
        <v>28.112899333550416</v>
      </c>
      <c r="Y1884" s="110"/>
      <c r="Z1884" s="25"/>
      <c r="AA1884" s="97">
        <f ca="1">AA1882-AA1883</f>
        <v>22.323938519626623</v>
      </c>
      <c r="AB1884" s="110"/>
      <c r="AC1884" s="25"/>
      <c r="AD1884" s="97">
        <f ca="1">AD1882-AD1883</f>
        <v>8.058867445741754</v>
      </c>
      <c r="AE1884" s="110"/>
      <c r="AF1884" s="25"/>
      <c r="AG1884" s="97">
        <f ca="1">AG1882-AG1883</f>
        <v>-16.948570433549726</v>
      </c>
      <c r="AH1884" s="110"/>
      <c r="AI1884" s="25"/>
      <c r="AJ1884" s="97">
        <f ca="1">AJ1882-AJ1883</f>
        <v>-53.75523535382375</v>
      </c>
      <c r="AK1884" s="110"/>
      <c r="AL1884" s="25"/>
      <c r="AM1884" s="97">
        <f ca="1">AM1882-AM1883</f>
        <v>-94.790592020940096</v>
      </c>
      <c r="AN1884" s="110"/>
      <c r="AO1884" s="25"/>
      <c r="AP1884" s="97">
        <f ca="1">AP1882-AP1883</f>
        <v>-138.26323024691729</v>
      </c>
      <c r="AQ1884" s="110"/>
      <c r="AR1884" s="25"/>
      <c r="AS1884" s="97">
        <f ca="1">AS1882-AS1883</f>
        <v>-201.42133918950046</v>
      </c>
      <c r="AT1884" s="110"/>
      <c r="AU1884" s="25"/>
    </row>
    <row r="1885" spans="15:47" ht="14.4" x14ac:dyDescent="0.3">
      <c r="O1885" s="2" t="s">
        <v>140</v>
      </c>
      <c r="P1885" s="11"/>
      <c r="Q1885" s="2"/>
      <c r="R1885" s="96">
        <f>R1884/R1882</f>
        <v>0.33467574609898854</v>
      </c>
      <c r="S1885" s="106"/>
      <c r="T1885" s="22"/>
      <c r="U1885" s="96">
        <f ca="1">U1884/U1882</f>
        <v>0.33214188825583502</v>
      </c>
      <c r="V1885" s="111"/>
      <c r="W1885" s="28"/>
      <c r="X1885" s="96">
        <f ca="1">X1884/X1882</f>
        <v>0.31905543395104208</v>
      </c>
      <c r="Y1885" s="111"/>
      <c r="Z1885" s="28"/>
      <c r="AA1885" s="96">
        <f ca="1">AA1884/AA1882</f>
        <v>0.27117189630455346</v>
      </c>
      <c r="AB1885" s="111"/>
      <c r="AC1885" s="28"/>
      <c r="AD1885" s="96">
        <f ca="1">AD1884/AD1882</f>
        <v>0.11841024907101909</v>
      </c>
      <c r="AE1885" s="111"/>
      <c r="AF1885" s="28"/>
      <c r="AG1885" s="96">
        <f ca="1">AG1884/AG1882</f>
        <v>-0.39368194283512592</v>
      </c>
      <c r="AH1885" s="111"/>
      <c r="AI1885" s="28"/>
      <c r="AJ1885" s="96">
        <f ca="1">AJ1884/AJ1882</f>
        <v>-8.6080482451390345</v>
      </c>
      <c r="AK1885" s="111"/>
      <c r="AL1885" s="28"/>
      <c r="AM1885" s="96">
        <f ca="1">AM1884/AM1882</f>
        <v>2.7246041678131441</v>
      </c>
      <c r="AN1885" s="111"/>
      <c r="AO1885" s="28"/>
      <c r="AP1885" s="96">
        <f ca="1">AP1884/AP1882</f>
        <v>1.7666435414268291</v>
      </c>
      <c r="AQ1885" s="111"/>
      <c r="AR1885" s="28"/>
      <c r="AS1885" s="96">
        <f ca="1">AS1884/AS1882</f>
        <v>1.4242641198553618</v>
      </c>
      <c r="AT1885" s="111"/>
      <c r="AU1885" s="28"/>
    </row>
    <row r="1886" spans="15:47" x14ac:dyDescent="0.25">
      <c r="O1886" s="2" t="s">
        <v>21</v>
      </c>
      <c r="P1886" s="8">
        <v>12</v>
      </c>
      <c r="Q1886" s="2"/>
      <c r="R1886" s="96">
        <f ca="1">1-R1885/(3*F_GAMMA*R$29)</f>
        <v>0.82569780360761613</v>
      </c>
      <c r="S1886" s="106"/>
      <c r="T1886" s="22"/>
      <c r="U1886" s="96">
        <f ca="1">1-U1885/(3*F_GAMMA*U$29)</f>
        <v>0.82705764644443047</v>
      </c>
      <c r="V1886" s="111"/>
      <c r="W1886" s="28"/>
      <c r="X1886" s="96">
        <f ca="1">1-X1885/(3*F_GAMMA*X$29)</f>
        <v>0.83228936339959481</v>
      </c>
      <c r="Y1886" s="111"/>
      <c r="Z1886" s="28"/>
      <c r="AA1886" s="96">
        <f ca="1">1-AA1885/(3*F_GAMMA*AA$29)</f>
        <v>0.85544995055948303</v>
      </c>
      <c r="AB1886" s="111"/>
      <c r="AC1886" s="28"/>
      <c r="AD1886" s="96">
        <f ca="1">1-AD1885/(3*F_GAMMA*AD$29)</f>
        <v>0.93492300363403191</v>
      </c>
      <c r="AE1886" s="111"/>
      <c r="AF1886" s="28"/>
      <c r="AG1886" s="96">
        <f ca="1">1-AG1885/(3*F_GAMMA*AG$29)</f>
        <v>1.2293464895062871</v>
      </c>
      <c r="AH1886" s="111"/>
      <c r="AI1886" s="28"/>
      <c r="AJ1886" s="96">
        <f ca="1">1-AJ1885/(3*F_GAMMA*AJ$29)</f>
        <v>6.3952093705488942</v>
      </c>
      <c r="AK1886" s="111"/>
      <c r="AL1886" s="28"/>
      <c r="AM1886" s="96">
        <f ca="1">1-AM1885/(3*F_GAMMA*AM$29)</f>
        <v>-0.90932936109614038</v>
      </c>
      <c r="AN1886" s="111"/>
      <c r="AO1886" s="28"/>
      <c r="AP1886" s="96">
        <f ca="1">1-AP1885/(3*F_GAMMA*AP$29)</f>
        <v>2.8116600585113005E-3</v>
      </c>
      <c r="AQ1886" s="111"/>
      <c r="AR1886" s="28"/>
      <c r="AS1886" s="96">
        <f ca="1">1-AS1885/(3*F_GAMMA*AS$29)</f>
        <v>-0.26033280102025458</v>
      </c>
      <c r="AT1886" s="111"/>
      <c r="AU1886" s="28"/>
    </row>
    <row r="1887" spans="15:47" x14ac:dyDescent="0.25">
      <c r="O1887" s="2" t="s">
        <v>57</v>
      </c>
      <c r="P1887" s="143">
        <v>7</v>
      </c>
      <c r="Q1887" s="2"/>
      <c r="R1887" s="96">
        <f ca="1">(R1880/(N_9*R$27*R1882*R1886))*SQRT(M*'Valve Sizing'!$W$6*'Valve Sizing'!$G$8/R1885)</f>
        <v>1.7568886052633703</v>
      </c>
      <c r="S1887" s="107"/>
      <c r="T1887" s="22"/>
      <c r="U1887" s="96">
        <f ca="1">(U1880/(N_9*U$27*U1882*U1886))*SQRT(M*'Valve Sizing'!$W$6*'Valve Sizing'!$G$8/U1885)</f>
        <v>17.702944594499751</v>
      </c>
      <c r="V1887" s="111"/>
      <c r="W1887" s="28"/>
      <c r="X1887" s="96">
        <f ca="1">(X1880/(N_9*X$27*X1882*X1886))*SQRT(M*'Valve Sizing'!$W$6*'Valve Sizing'!$G$8/X1885)</f>
        <v>44.914388696289748</v>
      </c>
      <c r="Y1887" s="111"/>
      <c r="Z1887" s="28"/>
      <c r="AA1887" s="96">
        <f ca="1">(AA1880/(N_9*AA$27*AA1882*AA1886))*SQRT(M*'Valve Sizing'!$W$6*'Valve Sizing'!$G$8/AA1885)</f>
        <v>99.401051905824701</v>
      </c>
      <c r="AB1887" s="111"/>
      <c r="AC1887" s="28"/>
      <c r="AD1887" s="96">
        <f ca="1">(AD1880/(N_9*AD$27*AD1882*AD1886))*SQRT(M*'Valve Sizing'!$W$6*'Valve Sizing'!$G$8/AD1885)</f>
        <v>282.77251819410435</v>
      </c>
      <c r="AE1887" s="111"/>
      <c r="AF1887" s="28"/>
      <c r="AG1887" s="96" t="e">
        <f ca="1">(AG1880/(N_9*AG$27*AG1882*AG1886))*SQRT(M*'Valve Sizing'!$W$6*'Valve Sizing'!$G$8/AG1885)</f>
        <v>#NUM!</v>
      </c>
      <c r="AH1887" s="111"/>
      <c r="AI1887" s="28"/>
      <c r="AJ1887" s="96" t="e">
        <f ca="1">(AJ1880/(N_9*AJ$27*AJ1882*AJ1886))*SQRT(M*'Valve Sizing'!$W$6*'Valve Sizing'!$G$8/AJ1885)</f>
        <v>#NUM!</v>
      </c>
      <c r="AK1887" s="111"/>
      <c r="AL1887" s="28"/>
      <c r="AM1887" s="96">
        <f ca="1">(AM1880/(N_9*AM$27*AM1882*AM1886))*SQRT(M*'Valve Sizing'!$W$6*'Valve Sizing'!$G$8/AM1885)</f>
        <v>316.75554989403821</v>
      </c>
      <c r="AN1887" s="111"/>
      <c r="AO1887" s="28"/>
      <c r="AP1887" s="96">
        <f ca="1">(AP1880/(N_9*AP$27*AP1882*AP1886))*SQRT(M*'Valve Sizing'!$W$6*'Valve Sizing'!$G$8/AP1885)</f>
        <v>-74731.035747364818</v>
      </c>
      <c r="AQ1887" s="111"/>
      <c r="AR1887" s="28"/>
      <c r="AS1887" s="96">
        <f ca="1">(AS1880/(N_9*AS$27*AS1882*AS1886))*SQRT(M*'Valve Sizing'!$W$6*'Valve Sizing'!$G$8/AS1885)</f>
        <v>781.27862729254832</v>
      </c>
      <c r="AT1887" s="111"/>
      <c r="AU1887" s="28"/>
    </row>
    <row r="1888" spans="15:47" x14ac:dyDescent="0.25">
      <c r="O1888" s="2" t="s">
        <v>59</v>
      </c>
      <c r="P1888" s="143">
        <v>7</v>
      </c>
      <c r="Q1888" s="2"/>
      <c r="R1888" s="96">
        <f ca="1">(R1880/(N_9*R$27*R1882*0.667))*SQRT(M*'Valve Sizing'!$W$6*'Valve Sizing'!$G$8/R1889)</f>
        <v>1.57272061239796</v>
      </c>
      <c r="S1888" s="107"/>
      <c r="T1888" s="22"/>
      <c r="U1888" s="96">
        <f ca="1">(U1880/(N_9*U$27*U1882*0.667))*SQRT(M*'Valve Sizing'!$W$6*'Valve Sizing'!$G$8/U1889)</f>
        <v>15.811270448942901</v>
      </c>
      <c r="V1888" s="111"/>
      <c r="W1888" s="28"/>
      <c r="X1888" s="96">
        <f ca="1">(X1880/(N_9*X$27*X1882*0.667))*SQRT(M*'Valve Sizing'!$W$6*'Valve Sizing'!$G$8/X1889)</f>
        <v>39.753460057038254</v>
      </c>
      <c r="Y1888" s="111"/>
      <c r="Z1888" s="28"/>
      <c r="AA1888" s="96">
        <f ca="1">(AA1880/(N_9*AA$27*AA1882*0.667))*SQRT(M*'Valve Sizing'!$W$6*'Valve Sizing'!$G$8/AA1889)</f>
        <v>83.951701288019123</v>
      </c>
      <c r="AB1888" s="111"/>
      <c r="AC1888" s="28"/>
      <c r="AD1888" s="96">
        <f ca="1">(AD1880/(N_9*AD$27*AD1882*0.667))*SQRT(M*'Valve Sizing'!$W$6*'Valve Sizing'!$G$8/AD1889)</f>
        <v>175.13041968598262</v>
      </c>
      <c r="AE1888" s="111"/>
      <c r="AF1888" s="28"/>
      <c r="AG1888" s="96">
        <f ca="1">(AG1880/(N_9*AG$27*AG1882*0.667))*SQRT(M*'Valve Sizing'!$W$6*'Valve Sizing'!$G$8/AG1889)</f>
        <v>425.39310327493786</v>
      </c>
      <c r="AH1888" s="111"/>
      <c r="AI1888" s="28"/>
      <c r="AJ1888" s="96">
        <f ca="1">(AJ1880/(N_9*AJ$27*AJ1882*0.667))*SQRT(M*'Valve Sizing'!$W$6*'Valve Sizing'!$G$8/AJ1889)</f>
        <v>4206.1361825530212</v>
      </c>
      <c r="AK1888" s="111"/>
      <c r="AL1888" s="28"/>
      <c r="AM1888" s="96">
        <f ca="1">(AM1880/(N_9*AM$27*AM1882*0.667))*SQRT(M*'Valve Sizing'!$W$6*'Valve Sizing'!$G$8/AM1889)</f>
        <v>-1033.5242379082338</v>
      </c>
      <c r="AN1888" s="111"/>
      <c r="AO1888" s="28"/>
      <c r="AP1888" s="96">
        <f ca="1">(AP1880/(N_9*AP$27*AP1882*0.667))*SQRT(M*'Valve Sizing'!$W$6*'Valve Sizing'!$G$8/AP1889)</f>
        <v>-544.86285569606014</v>
      </c>
      <c r="AQ1888" s="111"/>
      <c r="AR1888" s="28"/>
      <c r="AS1888" s="96">
        <f ca="1">(AS1880/(N_9*AS$27*AS1882*0.667))*SQRT(M*'Valve Sizing'!$W$6*'Valve Sizing'!$G$8/AS1889)</f>
        <v>-592.94204663421738</v>
      </c>
      <c r="AT1888" s="111"/>
      <c r="AU1888" s="28"/>
    </row>
    <row r="1889" spans="15:47" ht="15.6" x14ac:dyDescent="0.35">
      <c r="O1889" s="2" t="s">
        <v>68</v>
      </c>
      <c r="P1889" s="143">
        <v>10</v>
      </c>
      <c r="Q1889" s="2"/>
      <c r="R1889" s="96">
        <f ca="1">F_GAMMA*R$29</f>
        <v>0.64002969751372984</v>
      </c>
      <c r="S1889" s="107"/>
      <c r="T1889" s="1"/>
      <c r="U1889" s="96">
        <f ca="1">F_GAMMA*U$29</f>
        <v>0.64017842058782071</v>
      </c>
      <c r="V1889" s="111"/>
      <c r="W1889" s="28"/>
      <c r="X1889" s="96">
        <f ca="1">F_GAMMA*X$29</f>
        <v>0.63413873724904268</v>
      </c>
      <c r="Y1889" s="111"/>
      <c r="Z1889" s="28"/>
      <c r="AA1889" s="96">
        <f ca="1">F_GAMMA*AA$29</f>
        <v>0.62532411750377137</v>
      </c>
      <c r="AB1889" s="111"/>
      <c r="AC1889" s="28"/>
      <c r="AD1889" s="96">
        <f ca="1">F_GAMMA*AD$29</f>
        <v>0.60651359509139569</v>
      </c>
      <c r="AE1889" s="111"/>
      <c r="AF1889" s="28"/>
      <c r="AG1889" s="96">
        <f ca="1">F_GAMMA*AG$29</f>
        <v>0.57217930198481592</v>
      </c>
      <c r="AH1889" s="111"/>
      <c r="AI1889" s="28"/>
      <c r="AJ1889" s="96">
        <f ca="1">F_GAMMA*AJ$29</f>
        <v>0.53183282018848232</v>
      </c>
      <c r="AK1889" s="111"/>
      <c r="AL1889" s="28"/>
      <c r="AM1889" s="96">
        <f ca="1">F_GAMMA*AM$29</f>
        <v>0.47566512503094399</v>
      </c>
      <c r="AN1889" s="111"/>
      <c r="AO1889" s="28"/>
      <c r="AP1889" s="96">
        <f ca="1">F_GAMMA*AP$29</f>
        <v>0.59054158265645496</v>
      </c>
      <c r="AQ1889" s="111"/>
      <c r="AR1889" s="28"/>
      <c r="AS1889" s="96">
        <f ca="1">F_GAMMA*AS$29</f>
        <v>0.3766899554102966</v>
      </c>
      <c r="AT1889" s="111"/>
      <c r="AU1889" s="28"/>
    </row>
    <row r="1890" spans="15:47" x14ac:dyDescent="0.25">
      <c r="O1890" s="2" t="s">
        <v>145</v>
      </c>
      <c r="P1890" s="12"/>
      <c r="Q1890" s="2"/>
      <c r="R1890" s="96">
        <f ca="1">IF(R1885&lt;R1889,R1887,R1888)</f>
        <v>1.7568886052633703</v>
      </c>
      <c r="S1890" s="116"/>
      <c r="T1890" s="1"/>
      <c r="U1890" s="96">
        <f ca="1">IF(U1885&lt;U1889,U1887,U1888)</f>
        <v>17.702944594499751</v>
      </c>
      <c r="V1890" s="111"/>
      <c r="W1890" s="28"/>
      <c r="X1890" s="96">
        <f ca="1">IF(X1885&lt;X1889,X1887,X1888)</f>
        <v>44.914388696289748</v>
      </c>
      <c r="Y1890" s="111"/>
      <c r="Z1890" s="28"/>
      <c r="AA1890" s="96">
        <f ca="1">IF(AA1885&lt;AA1889,AA1887,AA1888)</f>
        <v>99.401051905824701</v>
      </c>
      <c r="AB1890" s="111"/>
      <c r="AC1890" s="28"/>
      <c r="AD1890" s="96">
        <f ca="1">IF(AD1885&lt;AD1889,AD1887,AD1888)</f>
        <v>282.77251819410435</v>
      </c>
      <c r="AE1890" s="111"/>
      <c r="AF1890" s="28"/>
      <c r="AG1890" s="96" t="e">
        <f ca="1">IF(AG1885&lt;AG1889,AG1887,AG1888)</f>
        <v>#NUM!</v>
      </c>
      <c r="AH1890" s="111"/>
      <c r="AI1890" s="28"/>
      <c r="AJ1890" s="96" t="e">
        <f ca="1">IF(AJ1885&lt;AJ1889,AJ1887,AJ1888)</f>
        <v>#NUM!</v>
      </c>
      <c r="AK1890" s="111"/>
      <c r="AL1890" s="28"/>
      <c r="AM1890" s="96">
        <f ca="1">IF(AM1885&lt;AM1889,AM1887,AM1888)</f>
        <v>-1033.5242379082338</v>
      </c>
      <c r="AN1890" s="111"/>
      <c r="AO1890" s="28"/>
      <c r="AP1890" s="96">
        <f ca="1">IF(AP1885&lt;AP1889,AP1887,AP1888)</f>
        <v>-544.86285569606014</v>
      </c>
      <c r="AQ1890" s="111"/>
      <c r="AR1890" s="28"/>
      <c r="AS1890" s="96">
        <f ca="1">IF(AS1885&lt;AS1889,AS1887,AS1888)</f>
        <v>-592.94204663421738</v>
      </c>
      <c r="AT1890" s="111"/>
      <c r="AU1890" s="28"/>
    </row>
    <row r="1891" spans="15:47" x14ac:dyDescent="0.25">
      <c r="O1891" s="13" t="s">
        <v>143</v>
      </c>
      <c r="P1891" s="1"/>
      <c r="Q1891" s="1"/>
      <c r="R1891" s="113"/>
      <c r="S1891" s="106">
        <f ca="1">IF(R1884&lt;=0,Q_max,ABS(R$23-R1890))</f>
        <v>2.9731113947366303</v>
      </c>
      <c r="T1891" s="7">
        <f>R1880</f>
        <v>4350.2011226126242</v>
      </c>
      <c r="U1891" s="98"/>
      <c r="V1891" s="106">
        <f ca="1">IF(U1884&lt;=0,Q_max,ABS(U$23-U1890))</f>
        <v>6.1029445944997516</v>
      </c>
      <c r="W1891" s="9">
        <f ca="1">U1880</f>
        <v>43545.09712277256</v>
      </c>
      <c r="X1891" s="98"/>
      <c r="Y1891" s="106">
        <f ca="1">IF(X1884&lt;=0,Q_max,ABS(X$23-X1890))</f>
        <v>21.914388696289748</v>
      </c>
      <c r="Z1891" s="9">
        <f ca="1">X1880</f>
        <v>106625.94763556248</v>
      </c>
      <c r="AA1891" s="98"/>
      <c r="AB1891" s="106">
        <f ca="1">IF(AA1884&lt;=0,Q_max,ABS(AA$23-AA1890))</f>
        <v>60.001051905824703</v>
      </c>
      <c r="AC1891" s="9">
        <f ca="1">AA1880</f>
        <v>207680.13020999823</v>
      </c>
      <c r="AD1891" s="98"/>
      <c r="AE1891" s="106">
        <f ca="1">IF(AD1884&lt;=0,Q_max,ABS(AD$23-AD1890))</f>
        <v>221.77251819410435</v>
      </c>
      <c r="AF1891" s="9">
        <f ca="1">AD1880</f>
        <v>348422.65366129577</v>
      </c>
      <c r="AG1891" s="98"/>
      <c r="AH1891" s="106">
        <f ca="1">IF(AG1884&lt;=0,Q_max,ABS(AG$23-AG1890))</f>
        <v>236393</v>
      </c>
      <c r="AI1891" s="9">
        <f ca="1">AG1880</f>
        <v>508532.35270745266</v>
      </c>
      <c r="AJ1891" s="98"/>
      <c r="AK1891" s="106">
        <f ca="1">IF(AJ1884&lt;=0,Q_max,ABS(AJ$23-AJ1890))</f>
        <v>236393</v>
      </c>
      <c r="AL1891" s="9">
        <f ca="1">AJ1880</f>
        <v>678638.3960479513</v>
      </c>
      <c r="AM1891" s="98"/>
      <c r="AN1891" s="106">
        <f ca="1">IF(AM1884&lt;=0,Q_max,ABS(AM$23-AM1890))</f>
        <v>236393</v>
      </c>
      <c r="AO1891" s="9">
        <f ca="1">AM1880</f>
        <v>828067.81158397393</v>
      </c>
      <c r="AP1891" s="98"/>
      <c r="AQ1891" s="106">
        <f ca="1">IF(AP1884&lt;=0,Q_max,ABS(AP$23-AP1890))</f>
        <v>236393</v>
      </c>
      <c r="AR1891" s="9">
        <f ca="1">AP1880</f>
        <v>961361.0221901671</v>
      </c>
      <c r="AS1891" s="98"/>
      <c r="AT1891" s="106">
        <f ca="1">IF(AS1884&lt;=0,Q_max,ABS(AS$23-AS1890))</f>
        <v>236393</v>
      </c>
      <c r="AU1891" s="9">
        <f ca="1">AS1880</f>
        <v>1127271.4046822079</v>
      </c>
    </row>
    <row r="1892" spans="15:47" x14ac:dyDescent="0.25">
      <c r="O1892" s="21"/>
      <c r="P1892" s="14"/>
      <c r="Q1892" s="21"/>
      <c r="R1892" s="97"/>
      <c r="S1892" s="106"/>
      <c r="T1892" s="28"/>
      <c r="U1892" s="97"/>
      <c r="V1892" s="111"/>
      <c r="W1892" s="28"/>
      <c r="X1892" s="97"/>
      <c r="Y1892" s="111"/>
      <c r="Z1892" s="28"/>
      <c r="AA1892" s="97"/>
      <c r="AB1892" s="111"/>
      <c r="AC1892" s="28"/>
      <c r="AD1892" s="97"/>
      <c r="AE1892" s="111"/>
      <c r="AF1892" s="28"/>
      <c r="AG1892" s="97"/>
      <c r="AH1892" s="111"/>
      <c r="AI1892" s="28"/>
      <c r="AJ1892" s="97"/>
      <c r="AK1892" s="111"/>
      <c r="AL1892" s="28"/>
      <c r="AM1892" s="97"/>
      <c r="AN1892" s="111"/>
      <c r="AO1892" s="28"/>
      <c r="AP1892" s="97"/>
      <c r="AQ1892" s="111"/>
      <c r="AR1892" s="28"/>
      <c r="AS1892" s="97"/>
      <c r="AT1892" s="111"/>
      <c r="AU1892" s="28"/>
    </row>
    <row r="1893" spans="15:47" x14ac:dyDescent="0.25">
      <c r="O1893" s="1"/>
      <c r="P1893" s="1"/>
      <c r="Q1893" s="1"/>
      <c r="R1893" s="98"/>
      <c r="S1893" s="108" t="s">
        <v>137</v>
      </c>
      <c r="T1893" s="26" t="s">
        <v>146</v>
      </c>
      <c r="U1893" s="98"/>
      <c r="V1893" s="108" t="s">
        <v>137</v>
      </c>
      <c r="W1893" s="26" t="s">
        <v>146</v>
      </c>
      <c r="X1893" s="98"/>
      <c r="Y1893" s="108" t="s">
        <v>137</v>
      </c>
      <c r="Z1893" s="26" t="s">
        <v>146</v>
      </c>
      <c r="AA1893" s="98"/>
      <c r="AB1893" s="108" t="s">
        <v>137</v>
      </c>
      <c r="AC1893" s="26" t="s">
        <v>146</v>
      </c>
      <c r="AD1893" s="98"/>
      <c r="AE1893" s="108" t="s">
        <v>137</v>
      </c>
      <c r="AF1893" s="26" t="s">
        <v>146</v>
      </c>
      <c r="AG1893" s="98"/>
      <c r="AH1893" s="108" t="s">
        <v>137</v>
      </c>
      <c r="AI1893" s="26" t="s">
        <v>146</v>
      </c>
      <c r="AJ1893" s="98"/>
      <c r="AK1893" s="108" t="s">
        <v>137</v>
      </c>
      <c r="AL1893" s="26" t="s">
        <v>146</v>
      </c>
      <c r="AM1893" s="98"/>
      <c r="AN1893" s="108" t="s">
        <v>137</v>
      </c>
      <c r="AO1893" s="26" t="s">
        <v>146</v>
      </c>
      <c r="AP1893" s="98"/>
      <c r="AQ1893" s="108" t="s">
        <v>137</v>
      </c>
      <c r="AR1893" s="26" t="s">
        <v>146</v>
      </c>
      <c r="AS1893" s="98"/>
      <c r="AT1893" s="108" t="s">
        <v>137</v>
      </c>
      <c r="AU1893" s="26" t="s">
        <v>146</v>
      </c>
    </row>
    <row r="1894" spans="15:47" ht="13.8" x14ac:dyDescent="0.25">
      <c r="O1894" s="20" t="s">
        <v>136</v>
      </c>
      <c r="P1894" s="1"/>
      <c r="Q1894" s="1"/>
      <c r="R1894" s="96">
        <f>R1880*1.02</f>
        <v>4437.2051450648769</v>
      </c>
      <c r="S1894" s="109" t="s">
        <v>144</v>
      </c>
      <c r="T1894" s="23" t="s">
        <v>147</v>
      </c>
      <c r="U1894" s="96">
        <f ca="1">U1880*1.01</f>
        <v>43980.548094000289</v>
      </c>
      <c r="V1894" s="109" t="s">
        <v>144</v>
      </c>
      <c r="W1894" s="23" t="s">
        <v>147</v>
      </c>
      <c r="X1894" s="96">
        <f ca="1">X1880*1.01</f>
        <v>107692.20711191811</v>
      </c>
      <c r="Y1894" s="109" t="s">
        <v>144</v>
      </c>
      <c r="Z1894" s="23" t="s">
        <v>147</v>
      </c>
      <c r="AA1894" s="96">
        <f ca="1">AA1880*1.01</f>
        <v>209756.93151209821</v>
      </c>
      <c r="AB1894" s="109" t="s">
        <v>144</v>
      </c>
      <c r="AC1894" s="23" t="s">
        <v>147</v>
      </c>
      <c r="AD1894" s="96">
        <f ca="1">AD1880*1.01</f>
        <v>351906.88019790873</v>
      </c>
      <c r="AE1894" s="109" t="s">
        <v>144</v>
      </c>
      <c r="AF1894" s="23" t="s">
        <v>147</v>
      </c>
      <c r="AG1894" s="96">
        <f ca="1">AG1880*1.01</f>
        <v>513617.6762345272</v>
      </c>
      <c r="AH1894" s="109" t="s">
        <v>144</v>
      </c>
      <c r="AI1894" s="23" t="s">
        <v>147</v>
      </c>
      <c r="AJ1894" s="96">
        <f ca="1">AJ1880*1.01</f>
        <v>685424.78000843083</v>
      </c>
      <c r="AK1894" s="109" t="s">
        <v>144</v>
      </c>
      <c r="AL1894" s="23" t="s">
        <v>147</v>
      </c>
      <c r="AM1894" s="96">
        <f ca="1">AM1880*1.01</f>
        <v>836348.48969981365</v>
      </c>
      <c r="AN1894" s="109" t="s">
        <v>144</v>
      </c>
      <c r="AO1894" s="23" t="s">
        <v>147</v>
      </c>
      <c r="AP1894" s="96">
        <f ca="1">AP1880*1.01</f>
        <v>970974.63241206878</v>
      </c>
      <c r="AQ1894" s="109" t="s">
        <v>144</v>
      </c>
      <c r="AR1894" s="23" t="s">
        <v>147</v>
      </c>
      <c r="AS1894" s="96">
        <f ca="1">AS1880*1.01</f>
        <v>1138544.11872903</v>
      </c>
      <c r="AT1894" s="109" t="s">
        <v>144</v>
      </c>
      <c r="AU1894" s="23" t="s">
        <v>147</v>
      </c>
    </row>
    <row r="1895" spans="15:47" x14ac:dyDescent="0.25">
      <c r="O1895" s="1"/>
      <c r="P1895" s="1"/>
      <c r="Q1895" s="1"/>
      <c r="R1895" s="98"/>
      <c r="S1895" s="107"/>
      <c r="T1895" s="1"/>
      <c r="U1895" s="47"/>
      <c r="V1895" s="107"/>
      <c r="W1895" s="1"/>
      <c r="X1895" s="47"/>
      <c r="Y1895" s="107"/>
      <c r="Z1895" s="1"/>
      <c r="AA1895" s="47"/>
      <c r="AB1895" s="107"/>
      <c r="AC1895" s="1"/>
      <c r="AD1895" s="47"/>
      <c r="AE1895" s="107"/>
      <c r="AF1895" s="1"/>
      <c r="AG1895" s="47"/>
      <c r="AH1895" s="107"/>
      <c r="AI1895" s="1"/>
      <c r="AJ1895" s="47"/>
      <c r="AK1895" s="107"/>
      <c r="AL1895" s="1"/>
      <c r="AM1895" s="47"/>
      <c r="AN1895" s="107"/>
      <c r="AO1895" s="1"/>
      <c r="AP1895" s="47"/>
      <c r="AQ1895" s="107"/>
      <c r="AR1895" s="1"/>
      <c r="AS1895" s="47"/>
      <c r="AT1895" s="107"/>
      <c r="AU1895" s="1"/>
    </row>
    <row r="1896" spans="15:47" x14ac:dyDescent="0.25">
      <c r="O1896" s="8" t="s">
        <v>132</v>
      </c>
      <c r="P1896" s="8"/>
      <c r="Q1896" s="8"/>
      <c r="R1896" s="96">
        <f>P_1_minQ-(R1894^2*R_up)+dpup_minQ</f>
        <v>90.18145203354095</v>
      </c>
      <c r="S1896" s="106"/>
      <c r="T1896" s="22"/>
      <c r="U1896" s="96">
        <f ca="1">P_1_minQ-(U1894^2*R_up)+dpup_minQ</f>
        <v>89.832495325552827</v>
      </c>
      <c r="V1896" s="107"/>
      <c r="W1896" s="1"/>
      <c r="X1896" s="96">
        <f ca="1">P_1_minQ-(X1894^2*R_up)+dpup_minQ</f>
        <v>88.071249295496642</v>
      </c>
      <c r="Y1896" s="107"/>
      <c r="Z1896" s="1"/>
      <c r="AA1896" s="96">
        <f ca="1">P_1_minQ-(AA1894^2*R_up)+dpup_minQ</f>
        <v>82.165930369212987</v>
      </c>
      <c r="AB1896" s="107"/>
      <c r="AC1896" s="1"/>
      <c r="AD1896" s="96">
        <f ca="1">P_1_minQ-(AD1894^2*R_up)+dpup_minQ</f>
        <v>67.614131366743024</v>
      </c>
      <c r="AE1896" s="107"/>
      <c r="AF1896" s="1"/>
      <c r="AG1896" s="96">
        <f ca="1">P_1_minQ-(AG1894^2*R_up)+dpup_minQ</f>
        <v>42.104043986077784</v>
      </c>
      <c r="AH1896" s="107"/>
      <c r="AI1896" s="1"/>
      <c r="AJ1896" s="96">
        <f ca="1">P_1_minQ-(AJ1894^2*R_up)+dpup_minQ</f>
        <v>4.5575651009062588</v>
      </c>
      <c r="AK1896" s="107"/>
      <c r="AL1896" s="1"/>
      <c r="AM1896" s="96">
        <f ca="1">P_1_minQ-(AM1894^2*R_up)+dpup_minQ</f>
        <v>-37.302602235219112</v>
      </c>
      <c r="AN1896" s="107"/>
      <c r="AO1896" s="1"/>
      <c r="AP1896" s="96">
        <f ca="1">P_1_minQ-(AP1894^2*R_up)+dpup_minQ</f>
        <v>-81.649040489538464</v>
      </c>
      <c r="AQ1896" s="107"/>
      <c r="AR1896" s="1"/>
      <c r="AS1896" s="96">
        <f ca="1">P_1_minQ-(AS1894^2*R_up)+dpup_minQ</f>
        <v>-146.07662742186761</v>
      </c>
      <c r="AT1896" s="107"/>
      <c r="AU1896" s="1"/>
    </row>
    <row r="1897" spans="15:47" x14ac:dyDescent="0.25">
      <c r="O1897" s="8" t="s">
        <v>134</v>
      </c>
      <c r="P1897" s="1"/>
      <c r="Q1897" s="8"/>
      <c r="R1897" s="97">
        <f>P_2_minQ+(R1894^2*R_dn)-dpdn_minQ</f>
        <v>60</v>
      </c>
      <c r="S1897" s="106"/>
      <c r="T1897" s="22"/>
      <c r="U1897" s="97">
        <f ca="1">P_2_minQ+(U1894^2*R_dn)-dpdn_minQ</f>
        <v>60</v>
      </c>
      <c r="V1897" s="107"/>
      <c r="W1897" s="1"/>
      <c r="X1897" s="97">
        <f ca="1">P_2_minQ+(X1894^2*R_dn)-dpdn_minQ</f>
        <v>60</v>
      </c>
      <c r="Y1897" s="107"/>
      <c r="Z1897" s="1"/>
      <c r="AA1897" s="97">
        <f ca="1">P_2_minQ+(AA1894^2*R_dn)-dpdn_minQ</f>
        <v>60</v>
      </c>
      <c r="AB1897" s="107"/>
      <c r="AC1897" s="1"/>
      <c r="AD1897" s="97">
        <f ca="1">P_2_minQ+(AD1894^2*R_dn)-dpdn_minQ</f>
        <v>60</v>
      </c>
      <c r="AE1897" s="107"/>
      <c r="AF1897" s="1"/>
      <c r="AG1897" s="97">
        <f ca="1">P_2_minQ+(AG1894^2*R_dn)-dpdn_minQ</f>
        <v>60</v>
      </c>
      <c r="AH1897" s="107"/>
      <c r="AI1897" s="1"/>
      <c r="AJ1897" s="97">
        <f ca="1">P_2_minQ+(AJ1894^2*R_dn)-dpdn_minQ</f>
        <v>60</v>
      </c>
      <c r="AK1897" s="107"/>
      <c r="AL1897" s="1"/>
      <c r="AM1897" s="97">
        <f ca="1">P_2_minQ+(AM1894^2*R_dn)-dpdn_minQ</f>
        <v>60</v>
      </c>
      <c r="AN1897" s="107"/>
      <c r="AO1897" s="1"/>
      <c r="AP1897" s="97">
        <f ca="1">P_2_minQ+(AP1894^2*R_dn)-dpdn_minQ</f>
        <v>60</v>
      </c>
      <c r="AQ1897" s="107"/>
      <c r="AR1897" s="1"/>
      <c r="AS1897" s="97">
        <f ca="1">P_2_minQ+(AS1894^2*R_dn)-dpdn_minQ</f>
        <v>60</v>
      </c>
      <c r="AT1897" s="107"/>
      <c r="AU1897" s="1"/>
    </row>
    <row r="1898" spans="15:47" x14ac:dyDescent="0.25">
      <c r="O1898" s="8" t="s">
        <v>138</v>
      </c>
      <c r="P1898" s="1"/>
      <c r="Q1898" s="8"/>
      <c r="R1898" s="97">
        <f>R1896-R1897</f>
        <v>30.18145203354095</v>
      </c>
      <c r="S1898" s="106"/>
      <c r="T1898" s="22"/>
      <c r="U1898" s="97">
        <f ca="1">U1896-U1897</f>
        <v>29.832495325552827</v>
      </c>
      <c r="V1898" s="110"/>
      <c r="W1898" s="25"/>
      <c r="X1898" s="97">
        <f ca="1">X1896-X1897</f>
        <v>28.071249295496642</v>
      </c>
      <c r="Y1898" s="110"/>
      <c r="Z1898" s="25"/>
      <c r="AA1898" s="97">
        <f ca="1">AA1896-AA1897</f>
        <v>22.165930369212987</v>
      </c>
      <c r="AB1898" s="110"/>
      <c r="AC1898" s="25"/>
      <c r="AD1898" s="97">
        <f ca="1">AD1896-AD1897</f>
        <v>7.6141313667430239</v>
      </c>
      <c r="AE1898" s="110"/>
      <c r="AF1898" s="25"/>
      <c r="AG1898" s="97">
        <f ca="1">AG1896-AG1897</f>
        <v>-17.895956013922216</v>
      </c>
      <c r="AH1898" s="110"/>
      <c r="AI1898" s="25"/>
      <c r="AJ1898" s="97">
        <f ca="1">AJ1896-AJ1897</f>
        <v>-55.44243489909374</v>
      </c>
      <c r="AK1898" s="110"/>
      <c r="AL1898" s="25"/>
      <c r="AM1898" s="97">
        <f ca="1">AM1896-AM1897</f>
        <v>-97.302602235219112</v>
      </c>
      <c r="AN1898" s="110"/>
      <c r="AO1898" s="25"/>
      <c r="AP1898" s="97">
        <f ca="1">AP1896-AP1897</f>
        <v>-141.64904048953846</v>
      </c>
      <c r="AQ1898" s="110"/>
      <c r="AR1898" s="25"/>
      <c r="AS1898" s="97">
        <f ca="1">AS1896-AS1897</f>
        <v>-206.07662742186761</v>
      </c>
      <c r="AT1898" s="110"/>
      <c r="AU1898" s="25"/>
    </row>
    <row r="1899" spans="15:47" ht="14.4" x14ac:dyDescent="0.3">
      <c r="O1899" s="2" t="s">
        <v>140</v>
      </c>
      <c r="P1899" s="11"/>
      <c r="Q1899" s="2"/>
      <c r="R1899" s="96">
        <f>R1898/R1896</f>
        <v>0.3346747180597141</v>
      </c>
      <c r="S1899" s="106"/>
      <c r="T1899" s="22"/>
      <c r="U1899" s="96">
        <f ca="1">U1898/U1896</f>
        <v>0.33209024437582313</v>
      </c>
      <c r="V1899" s="111"/>
      <c r="W1899" s="28"/>
      <c r="X1899" s="96">
        <f ca="1">X1898/X1896</f>
        <v>0.31873340641861442</v>
      </c>
      <c r="Y1899" s="111"/>
      <c r="Z1899" s="28"/>
      <c r="AA1899" s="96">
        <f ca="1">AA1898/AA1896</f>
        <v>0.26977033266233674</v>
      </c>
      <c r="AB1899" s="111"/>
      <c r="AC1899" s="28"/>
      <c r="AD1899" s="96">
        <f ca="1">AD1898/AD1896</f>
        <v>0.11261153863596247</v>
      </c>
      <c r="AE1899" s="111"/>
      <c r="AF1899" s="28"/>
      <c r="AG1899" s="96">
        <f ca="1">AG1898/AG1896</f>
        <v>-0.42504126254095054</v>
      </c>
      <c r="AH1899" s="111"/>
      <c r="AI1899" s="28"/>
      <c r="AJ1899" s="96">
        <f ca="1">AJ1898/AJ1896</f>
        <v>-12.164924399668843</v>
      </c>
      <c r="AK1899" s="111"/>
      <c r="AL1899" s="28"/>
      <c r="AM1899" s="96">
        <f ca="1">AM1898/AM1896</f>
        <v>2.6084668737493928</v>
      </c>
      <c r="AN1899" s="111"/>
      <c r="AO1899" s="28"/>
      <c r="AP1899" s="96">
        <f ca="1">AP1898/AP1896</f>
        <v>1.7348524813061053</v>
      </c>
      <c r="AQ1899" s="111"/>
      <c r="AR1899" s="28"/>
      <c r="AS1899" s="96">
        <f ca="1">AS1898/AS1896</f>
        <v>1.4107433273820096</v>
      </c>
      <c r="AT1899" s="111"/>
      <c r="AU1899" s="28"/>
    </row>
    <row r="1900" spans="15:47" x14ac:dyDescent="0.25">
      <c r="O1900" s="2" t="s">
        <v>21</v>
      </c>
      <c r="P1900" s="8">
        <v>12</v>
      </c>
      <c r="Q1900" s="2"/>
      <c r="R1900" s="96">
        <f ca="1">1-R1899/(3*F_GAMMA*R$29)</f>
        <v>0.82569833901989387</v>
      </c>
      <c r="S1900" s="106"/>
      <c r="T1900" s="22"/>
      <c r="U1900" s="96">
        <f ca="1">1-U1899/(3*F_GAMMA*U$29)</f>
        <v>0.82708453680205107</v>
      </c>
      <c r="V1900" s="111"/>
      <c r="W1900" s="28"/>
      <c r="X1900" s="96">
        <f ca="1">1-X1899/(3*F_GAMMA*X$29)</f>
        <v>0.83245863631182049</v>
      </c>
      <c r="Y1900" s="111"/>
      <c r="Z1900" s="28"/>
      <c r="AA1900" s="96">
        <f ca="1">1-AA1899/(3*F_GAMMA*AA$29)</f>
        <v>0.85619706372473858</v>
      </c>
      <c r="AB1900" s="111"/>
      <c r="AC1900" s="28"/>
      <c r="AD1900" s="96">
        <f ca="1">1-AD1899/(3*F_GAMMA*AD$29)</f>
        <v>0.93810991237605423</v>
      </c>
      <c r="AE1900" s="111"/>
      <c r="AF1900" s="28"/>
      <c r="AG1900" s="96">
        <f ca="1">1-AG1899/(3*F_GAMMA*AG$29)</f>
        <v>1.2476154246676041</v>
      </c>
      <c r="AH1900" s="111"/>
      <c r="AI1900" s="28"/>
      <c r="AJ1900" s="96">
        <f ca="1">1-AJ1899/(3*F_GAMMA*AJ$29)</f>
        <v>8.6245290737275777</v>
      </c>
      <c r="AK1900" s="111"/>
      <c r="AL1900" s="28"/>
      <c r="AM1900" s="96">
        <f ca="1">1-AM1899/(3*F_GAMMA*AM$29)</f>
        <v>-0.82794346728678181</v>
      </c>
      <c r="AN1900" s="111"/>
      <c r="AO1900" s="28"/>
      <c r="AP1900" s="96">
        <f ca="1">1-AP1899/(3*F_GAMMA*AP$29)</f>
        <v>2.075623898650536E-2</v>
      </c>
      <c r="AQ1900" s="111"/>
      <c r="AR1900" s="28"/>
      <c r="AS1900" s="96">
        <f ca="1">1-AS1899/(3*F_GAMMA*AS$29)</f>
        <v>-0.24836823769776895</v>
      </c>
      <c r="AT1900" s="111"/>
      <c r="AU1900" s="28"/>
    </row>
    <row r="1901" spans="15:47" x14ac:dyDescent="0.25">
      <c r="O1901" s="2" t="s">
        <v>57</v>
      </c>
      <c r="P1901" s="143">
        <v>7</v>
      </c>
      <c r="Q1901" s="2"/>
      <c r="R1901" s="96">
        <f ca="1">(R1894/(N_9*R$27*R1896*R1900))*SQRT(M*'Valve Sizing'!$W$6*'Valve Sizing'!$G$8/R1899)</f>
        <v>1.7920307366736796</v>
      </c>
      <c r="S1901" s="107"/>
      <c r="T1901" s="22"/>
      <c r="U1901" s="96">
        <f ca="1">(U1894/(N_9*U$27*U1896*U1900))*SQRT(M*'Valve Sizing'!$W$6*'Valve Sizing'!$G$8/U1899)</f>
        <v>17.882165573456206</v>
      </c>
      <c r="V1901" s="111"/>
      <c r="W1901" s="28"/>
      <c r="X1901" s="96">
        <f ca="1">(X1894/(N_9*X$27*X1896*X1900))*SQRT(M*'Valve Sizing'!$W$6*'Valve Sizing'!$G$8/X1899)</f>
        <v>45.398673534045365</v>
      </c>
      <c r="Y1901" s="111"/>
      <c r="Z1901" s="28"/>
      <c r="AA1901" s="96">
        <f ca="1">(AA1894/(N_9*AA$27*AA1896*AA1900))*SQRT(M*'Valve Sizing'!$W$6*'Valve Sizing'!$G$8/AA1899)</f>
        <v>100.76108453640224</v>
      </c>
      <c r="AB1901" s="111"/>
      <c r="AC1901" s="28"/>
      <c r="AD1901" s="96">
        <f ca="1">(AD1894/(N_9*AD$27*AD1896*AD1900))*SQRT(M*'Valve Sizing'!$W$6*'Valve Sizing'!$G$8/AD1899)</f>
        <v>293.78602953137528</v>
      </c>
      <c r="AE1901" s="111"/>
      <c r="AF1901" s="28"/>
      <c r="AG1901" s="96" t="e">
        <f ca="1">(AG1894/(N_9*AG$27*AG1896*AG1900))*SQRT(M*'Valve Sizing'!$W$6*'Valve Sizing'!$G$8/AG1899)</f>
        <v>#NUM!</v>
      </c>
      <c r="AH1901" s="111"/>
      <c r="AI1901" s="28"/>
      <c r="AJ1901" s="96" t="e">
        <f ca="1">(AJ1894/(N_9*AJ$27*AJ1896*AJ1900))*SQRT(M*'Valve Sizing'!$W$6*'Valve Sizing'!$G$8/AJ1899)</f>
        <v>#NUM!</v>
      </c>
      <c r="AK1901" s="111"/>
      <c r="AL1901" s="28"/>
      <c r="AM1901" s="96">
        <f ca="1">(AM1894/(N_9*AM$27*AM1896*AM1900))*SQRT(M*'Valve Sizing'!$W$6*'Valve Sizing'!$G$8/AM1899)</f>
        <v>334.9252361335827</v>
      </c>
      <c r="AN1901" s="111"/>
      <c r="AO1901" s="28"/>
      <c r="AP1901" s="96">
        <f ca="1">(AP1894/(N_9*AP$27*AP1896*AP1900))*SQRT(M*'Valve Sizing'!$W$6*'Valve Sizing'!$G$8/AP1899)</f>
        <v>-9889.7746797386717</v>
      </c>
      <c r="AQ1901" s="111"/>
      <c r="AR1901" s="28"/>
      <c r="AS1901" s="96">
        <f ca="1">(AS1894/(N_9*AS$27*AS1896*AS1900))*SQRT(M*'Valve Sizing'!$W$6*'Valve Sizing'!$G$8/AS1899)</f>
        <v>804.573324494639</v>
      </c>
      <c r="AT1901" s="111"/>
      <c r="AU1901" s="28"/>
    </row>
    <row r="1902" spans="15:47" x14ac:dyDescent="0.25">
      <c r="O1902" s="2" t="s">
        <v>59</v>
      </c>
      <c r="P1902" s="143">
        <v>7</v>
      </c>
      <c r="Q1902" s="2"/>
      <c r="R1902" s="96">
        <f ca="1">(R1894/(N_9*R$27*R1896*0.667))*SQRT(M*'Valve Sizing'!$W$6*'Valve Sizing'!$G$8/R1903)</f>
        <v>1.6041775033695174</v>
      </c>
      <c r="S1902" s="107"/>
      <c r="T1902" s="22"/>
      <c r="U1902" s="96">
        <f ca="1">(U1894/(N_9*U$27*U1896*0.667))*SQRT(M*'Valve Sizing'!$W$6*'Valve Sizing'!$G$8/U1903)</f>
        <v>15.970618027865891</v>
      </c>
      <c r="V1902" s="111"/>
      <c r="W1902" s="28"/>
      <c r="X1902" s="96">
        <f ca="1">(X1894/(N_9*X$27*X1896*0.667))*SQRT(M*'Valve Sizing'!$W$6*'Valve Sizing'!$G$8/X1903)</f>
        <v>40.169982584642305</v>
      </c>
      <c r="Y1902" s="111"/>
      <c r="Z1902" s="28"/>
      <c r="AA1902" s="96">
        <f ca="1">(AA1894/(N_9*AA$27*AA1896*0.667))*SQRT(M*'Valve Sizing'!$W$6*'Valve Sizing'!$G$8/AA1903)</f>
        <v>84.954274977977533</v>
      </c>
      <c r="AB1902" s="111"/>
      <c r="AC1902" s="28"/>
      <c r="AD1902" s="96">
        <f ca="1">(AD1894/(N_9*AD$27*AD1896*0.667))*SQRT(M*'Valve Sizing'!$W$6*'Valve Sizing'!$G$8/AD1903)</f>
        <v>178.04517422578186</v>
      </c>
      <c r="AE1902" s="111"/>
      <c r="AF1902" s="28"/>
      <c r="AG1902" s="96">
        <f ca="1">(AG1894/(N_9*AG$27*AG1896*0.667))*SQRT(M*'Valve Sizing'!$W$6*'Valve Sizing'!$G$8/AG1903)</f>
        <v>439.31454760136279</v>
      </c>
      <c r="AH1902" s="111"/>
      <c r="AI1902" s="28"/>
      <c r="AJ1902" s="96">
        <f ca="1">(AJ1894/(N_9*AJ$27*AJ1896*0.667))*SQRT(M*'Valve Sizing'!$W$6*'Valve Sizing'!$G$8/AJ1903)</f>
        <v>5820.8699706412808</v>
      </c>
      <c r="AK1902" s="111"/>
      <c r="AL1902" s="28"/>
      <c r="AM1902" s="96">
        <f ca="1">(AM1894/(N_9*AM$27*AM1896*0.667))*SQRT(M*'Valve Sizing'!$W$6*'Valve Sizing'!$G$8/AM1903)</f>
        <v>-973.56450032267446</v>
      </c>
      <c r="AN1902" s="111"/>
      <c r="AO1902" s="28"/>
      <c r="AP1902" s="96">
        <f ca="1">(AP1894/(N_9*AP$27*AP1896*0.667))*SQRT(M*'Valve Sizing'!$W$6*'Valve Sizing'!$G$8/AP1903)</f>
        <v>-527.49124963857139</v>
      </c>
      <c r="AQ1902" s="111"/>
      <c r="AR1902" s="28"/>
      <c r="AS1902" s="96">
        <f ca="1">(AS1894/(N_9*AS$27*AS1896*0.667))*SQRT(M*'Valve Sizing'!$W$6*'Valve Sizing'!$G$8/AS1903)</f>
        <v>-579.78614631585788</v>
      </c>
      <c r="AT1902" s="111"/>
      <c r="AU1902" s="28"/>
    </row>
    <row r="1903" spans="15:47" ht="15.6" x14ac:dyDescent="0.35">
      <c r="O1903" s="2" t="s">
        <v>68</v>
      </c>
      <c r="P1903" s="143">
        <v>10</v>
      </c>
      <c r="Q1903" s="2"/>
      <c r="R1903" s="96">
        <f ca="1">F_GAMMA*R$29</f>
        <v>0.64002969751372984</v>
      </c>
      <c r="S1903" s="107"/>
      <c r="T1903" s="1"/>
      <c r="U1903" s="96">
        <f ca="1">F_GAMMA*U$29</f>
        <v>0.64017842058782071</v>
      </c>
      <c r="V1903" s="111"/>
      <c r="W1903" s="28"/>
      <c r="X1903" s="96">
        <f ca="1">F_GAMMA*X$29</f>
        <v>0.63413873724904268</v>
      </c>
      <c r="Y1903" s="111"/>
      <c r="Z1903" s="28"/>
      <c r="AA1903" s="96">
        <f ca="1">F_GAMMA*AA$29</f>
        <v>0.62532411750377137</v>
      </c>
      <c r="AB1903" s="111"/>
      <c r="AC1903" s="28"/>
      <c r="AD1903" s="96">
        <f ca="1">F_GAMMA*AD$29</f>
        <v>0.60651359509139569</v>
      </c>
      <c r="AE1903" s="111"/>
      <c r="AF1903" s="28"/>
      <c r="AG1903" s="96">
        <f ca="1">F_GAMMA*AG$29</f>
        <v>0.57217930198481592</v>
      </c>
      <c r="AH1903" s="111"/>
      <c r="AI1903" s="28"/>
      <c r="AJ1903" s="96">
        <f ca="1">F_GAMMA*AJ$29</f>
        <v>0.53183282018848232</v>
      </c>
      <c r="AK1903" s="111"/>
      <c r="AL1903" s="28"/>
      <c r="AM1903" s="96">
        <f ca="1">F_GAMMA*AM$29</f>
        <v>0.47566512503094399</v>
      </c>
      <c r="AN1903" s="111"/>
      <c r="AO1903" s="28"/>
      <c r="AP1903" s="96">
        <f ca="1">F_GAMMA*AP$29</f>
        <v>0.59054158265645496</v>
      </c>
      <c r="AQ1903" s="111"/>
      <c r="AR1903" s="28"/>
      <c r="AS1903" s="96">
        <f ca="1">F_GAMMA*AS$29</f>
        <v>0.3766899554102966</v>
      </c>
      <c r="AT1903" s="111"/>
      <c r="AU1903" s="28"/>
    </row>
    <row r="1904" spans="15:47" x14ac:dyDescent="0.25">
      <c r="O1904" s="2" t="s">
        <v>145</v>
      </c>
      <c r="P1904" s="12"/>
      <c r="Q1904" s="2"/>
      <c r="R1904" s="96">
        <f ca="1">IF(R1899&lt;R1903,R1901,R1902)</f>
        <v>1.7920307366736796</v>
      </c>
      <c r="S1904" s="116"/>
      <c r="T1904" s="1"/>
      <c r="U1904" s="96">
        <f ca="1">IF(U1899&lt;U1903,U1901,U1902)</f>
        <v>17.882165573456206</v>
      </c>
      <c r="V1904" s="111"/>
      <c r="W1904" s="28"/>
      <c r="X1904" s="96">
        <f ca="1">IF(X1899&lt;X1903,X1901,X1902)</f>
        <v>45.398673534045365</v>
      </c>
      <c r="Y1904" s="111"/>
      <c r="Z1904" s="28"/>
      <c r="AA1904" s="96">
        <f ca="1">IF(AA1899&lt;AA1903,AA1901,AA1902)</f>
        <v>100.76108453640224</v>
      </c>
      <c r="AB1904" s="111"/>
      <c r="AC1904" s="28"/>
      <c r="AD1904" s="96">
        <f ca="1">IF(AD1899&lt;AD1903,AD1901,AD1902)</f>
        <v>293.78602953137528</v>
      </c>
      <c r="AE1904" s="111"/>
      <c r="AF1904" s="28"/>
      <c r="AG1904" s="96" t="e">
        <f ca="1">IF(AG1899&lt;AG1903,AG1901,AG1902)</f>
        <v>#NUM!</v>
      </c>
      <c r="AH1904" s="111"/>
      <c r="AI1904" s="28"/>
      <c r="AJ1904" s="96" t="e">
        <f ca="1">IF(AJ1899&lt;AJ1903,AJ1901,AJ1902)</f>
        <v>#NUM!</v>
      </c>
      <c r="AK1904" s="111"/>
      <c r="AL1904" s="28"/>
      <c r="AM1904" s="96">
        <f ca="1">IF(AM1899&lt;AM1903,AM1901,AM1902)</f>
        <v>-973.56450032267446</v>
      </c>
      <c r="AN1904" s="111"/>
      <c r="AO1904" s="28"/>
      <c r="AP1904" s="96">
        <f ca="1">IF(AP1899&lt;AP1903,AP1901,AP1902)</f>
        <v>-527.49124963857139</v>
      </c>
      <c r="AQ1904" s="111"/>
      <c r="AR1904" s="28"/>
      <c r="AS1904" s="96">
        <f ca="1">IF(AS1899&lt;AS1903,AS1901,AS1902)</f>
        <v>-579.78614631585788</v>
      </c>
      <c r="AT1904" s="111"/>
      <c r="AU1904" s="28"/>
    </row>
    <row r="1905" spans="15:47" x14ac:dyDescent="0.25">
      <c r="O1905" s="13" t="s">
        <v>143</v>
      </c>
      <c r="P1905" s="1"/>
      <c r="Q1905" s="1"/>
      <c r="R1905" s="113"/>
      <c r="S1905" s="106">
        <f ca="1">IF(R1898&lt;=0,Q_max,ABS(R$23-R1904))</f>
        <v>2.9379692633263206</v>
      </c>
      <c r="T1905" s="7">
        <f>R1894</f>
        <v>4437.2051450648769</v>
      </c>
      <c r="U1905" s="98"/>
      <c r="V1905" s="106">
        <f ca="1">IF(U1898&lt;=0,Q_max,ABS(U$23-U1904))</f>
        <v>6.2821655734562061</v>
      </c>
      <c r="W1905" s="9">
        <f ca="1">U1894</f>
        <v>43980.548094000289</v>
      </c>
      <c r="X1905" s="98"/>
      <c r="Y1905" s="106">
        <f ca="1">IF(X1898&lt;=0,Q_max,ABS(X$23-X1904))</f>
        <v>22.398673534045365</v>
      </c>
      <c r="Z1905" s="9">
        <f ca="1">X1894</f>
        <v>107692.20711191811</v>
      </c>
      <c r="AA1905" s="98"/>
      <c r="AB1905" s="106">
        <f ca="1">IF(AA1898&lt;=0,Q_max,ABS(AA$23-AA1904))</f>
        <v>61.361084536402238</v>
      </c>
      <c r="AC1905" s="9">
        <f ca="1">AA1894</f>
        <v>209756.93151209821</v>
      </c>
      <c r="AD1905" s="98"/>
      <c r="AE1905" s="106">
        <f ca="1">IF(AD1898&lt;=0,Q_max,ABS(AD$23-AD1904))</f>
        <v>232.78602953137528</v>
      </c>
      <c r="AF1905" s="9">
        <f ca="1">AD1894</f>
        <v>351906.88019790873</v>
      </c>
      <c r="AG1905" s="98"/>
      <c r="AH1905" s="106">
        <f ca="1">IF(AG1898&lt;=0,Q_max,ABS(AG$23-AG1904))</f>
        <v>236393</v>
      </c>
      <c r="AI1905" s="9">
        <f ca="1">AG1894</f>
        <v>513617.6762345272</v>
      </c>
      <c r="AJ1905" s="98"/>
      <c r="AK1905" s="106">
        <f ca="1">IF(AJ1898&lt;=0,Q_max,ABS(AJ$23-AJ1904))</f>
        <v>236393</v>
      </c>
      <c r="AL1905" s="9">
        <f ca="1">AJ1894</f>
        <v>685424.78000843083</v>
      </c>
      <c r="AM1905" s="98"/>
      <c r="AN1905" s="106">
        <f ca="1">IF(AM1898&lt;=0,Q_max,ABS(AM$23-AM1904))</f>
        <v>236393</v>
      </c>
      <c r="AO1905" s="9">
        <f ca="1">AM1894</f>
        <v>836348.48969981365</v>
      </c>
      <c r="AP1905" s="98"/>
      <c r="AQ1905" s="106">
        <f ca="1">IF(AP1898&lt;=0,Q_max,ABS(AP$23-AP1904))</f>
        <v>236393</v>
      </c>
      <c r="AR1905" s="9">
        <f ca="1">AP1894</f>
        <v>970974.63241206878</v>
      </c>
      <c r="AS1905" s="98"/>
      <c r="AT1905" s="106">
        <f ca="1">IF(AS1898&lt;=0,Q_max,ABS(AS$23-AS1904))</f>
        <v>236393</v>
      </c>
      <c r="AU1905" s="9">
        <f ca="1">AS1894</f>
        <v>1138544.11872903</v>
      </c>
    </row>
    <row r="1906" spans="15:47" x14ac:dyDescent="0.25">
      <c r="O1906" s="21"/>
      <c r="P1906" s="14"/>
      <c r="Q1906" s="21"/>
      <c r="R1906" s="97"/>
      <c r="S1906" s="106"/>
      <c r="T1906" s="28"/>
      <c r="U1906" s="99"/>
      <c r="V1906" s="110"/>
      <c r="W1906" s="25"/>
      <c r="X1906" s="99"/>
      <c r="Y1906" s="110"/>
      <c r="Z1906" s="25"/>
      <c r="AA1906" s="99"/>
      <c r="AB1906" s="110"/>
      <c r="AC1906" s="25"/>
      <c r="AD1906" s="99"/>
      <c r="AE1906" s="110"/>
      <c r="AF1906" s="25"/>
      <c r="AG1906" s="99"/>
      <c r="AH1906" s="110"/>
      <c r="AI1906" s="25"/>
      <c r="AJ1906" s="99"/>
      <c r="AK1906" s="110"/>
      <c r="AL1906" s="25"/>
      <c r="AM1906" s="99"/>
      <c r="AN1906" s="110"/>
      <c r="AO1906" s="25"/>
      <c r="AP1906" s="99"/>
      <c r="AQ1906" s="110"/>
      <c r="AR1906" s="25"/>
      <c r="AS1906" s="99"/>
      <c r="AT1906" s="110"/>
      <c r="AU1906" s="25"/>
    </row>
    <row r="1907" spans="15:47" x14ac:dyDescent="0.25">
      <c r="O1907" s="1"/>
      <c r="P1907" s="1"/>
      <c r="Q1907" s="1"/>
      <c r="R1907" s="98"/>
      <c r="S1907" s="108" t="s">
        <v>137</v>
      </c>
      <c r="T1907" s="26" t="s">
        <v>146</v>
      </c>
      <c r="U1907" s="98"/>
      <c r="V1907" s="108" t="s">
        <v>137</v>
      </c>
      <c r="W1907" s="26" t="s">
        <v>146</v>
      </c>
      <c r="X1907" s="98"/>
      <c r="Y1907" s="108" t="s">
        <v>137</v>
      </c>
      <c r="Z1907" s="26" t="s">
        <v>146</v>
      </c>
      <c r="AA1907" s="98"/>
      <c r="AB1907" s="108" t="s">
        <v>137</v>
      </c>
      <c r="AC1907" s="26" t="s">
        <v>146</v>
      </c>
      <c r="AD1907" s="98"/>
      <c r="AE1907" s="108" t="s">
        <v>137</v>
      </c>
      <c r="AF1907" s="26" t="s">
        <v>146</v>
      </c>
      <c r="AG1907" s="98"/>
      <c r="AH1907" s="108" t="s">
        <v>137</v>
      </c>
      <c r="AI1907" s="26" t="s">
        <v>146</v>
      </c>
      <c r="AJ1907" s="98"/>
      <c r="AK1907" s="108" t="s">
        <v>137</v>
      </c>
      <c r="AL1907" s="26" t="s">
        <v>146</v>
      </c>
      <c r="AM1907" s="98"/>
      <c r="AN1907" s="108" t="s">
        <v>137</v>
      </c>
      <c r="AO1907" s="26" t="s">
        <v>146</v>
      </c>
      <c r="AP1907" s="98"/>
      <c r="AQ1907" s="108" t="s">
        <v>137</v>
      </c>
      <c r="AR1907" s="26" t="s">
        <v>146</v>
      </c>
      <c r="AS1907" s="98"/>
      <c r="AT1907" s="108" t="s">
        <v>137</v>
      </c>
      <c r="AU1907" s="26" t="s">
        <v>146</v>
      </c>
    </row>
    <row r="1908" spans="15:47" ht="13.8" x14ac:dyDescent="0.25">
      <c r="O1908" s="20" t="s">
        <v>136</v>
      </c>
      <c r="P1908" s="1"/>
      <c r="Q1908" s="1"/>
      <c r="R1908" s="96">
        <f>R1894*1.02</f>
        <v>4525.9492479661749</v>
      </c>
      <c r="S1908" s="109" t="s">
        <v>144</v>
      </c>
      <c r="T1908" s="23" t="s">
        <v>147</v>
      </c>
      <c r="U1908" s="96">
        <f ca="1">U1894*1.01</f>
        <v>44420.353574940294</v>
      </c>
      <c r="V1908" s="109" t="s">
        <v>144</v>
      </c>
      <c r="W1908" s="23" t="s">
        <v>147</v>
      </c>
      <c r="X1908" s="96">
        <f ca="1">X1894*1.01</f>
        <v>108769.12918303729</v>
      </c>
      <c r="Y1908" s="109" t="s">
        <v>144</v>
      </c>
      <c r="Z1908" s="23" t="s">
        <v>147</v>
      </c>
      <c r="AA1908" s="96">
        <f ca="1">AA1894*1.01</f>
        <v>211854.50082721919</v>
      </c>
      <c r="AB1908" s="109" t="s">
        <v>144</v>
      </c>
      <c r="AC1908" s="23" t="s">
        <v>147</v>
      </c>
      <c r="AD1908" s="96">
        <f ca="1">AD1894*1.01</f>
        <v>355425.9489998878</v>
      </c>
      <c r="AE1908" s="109" t="s">
        <v>144</v>
      </c>
      <c r="AF1908" s="23" t="s">
        <v>147</v>
      </c>
      <c r="AG1908" s="96">
        <f ca="1">AG1894*1.01</f>
        <v>518753.85299687251</v>
      </c>
      <c r="AH1908" s="109" t="s">
        <v>144</v>
      </c>
      <c r="AI1908" s="23" t="s">
        <v>147</v>
      </c>
      <c r="AJ1908" s="96">
        <f ca="1">AJ1894*1.01</f>
        <v>692279.02780851512</v>
      </c>
      <c r="AK1908" s="109" t="s">
        <v>144</v>
      </c>
      <c r="AL1908" s="23" t="s">
        <v>147</v>
      </c>
      <c r="AM1908" s="96">
        <f ca="1">AM1894*1.01</f>
        <v>844711.97459681181</v>
      </c>
      <c r="AN1908" s="109" t="s">
        <v>144</v>
      </c>
      <c r="AO1908" s="23" t="s">
        <v>147</v>
      </c>
      <c r="AP1908" s="96">
        <f ca="1">AP1894*1.01</f>
        <v>980684.37873618945</v>
      </c>
      <c r="AQ1908" s="109" t="s">
        <v>144</v>
      </c>
      <c r="AR1908" s="23" t="s">
        <v>147</v>
      </c>
      <c r="AS1908" s="96">
        <f ca="1">AS1894*1.01</f>
        <v>1149929.5599163203</v>
      </c>
      <c r="AT1908" s="109" t="s">
        <v>144</v>
      </c>
      <c r="AU1908" s="23" t="s">
        <v>147</v>
      </c>
    </row>
    <row r="1909" spans="15:47" x14ac:dyDescent="0.25">
      <c r="O1909" s="1"/>
      <c r="P1909" s="1"/>
      <c r="Q1909" s="1"/>
      <c r="R1909" s="98"/>
      <c r="S1909" s="107"/>
      <c r="T1909" s="1"/>
      <c r="U1909" s="47"/>
      <c r="V1909" s="107"/>
      <c r="W1909" s="1"/>
      <c r="X1909" s="47"/>
      <c r="Y1909" s="107"/>
      <c r="Z1909" s="1"/>
      <c r="AA1909" s="47"/>
      <c r="AB1909" s="107"/>
      <c r="AC1909" s="1"/>
      <c r="AD1909" s="47"/>
      <c r="AE1909" s="107"/>
      <c r="AF1909" s="1"/>
      <c r="AG1909" s="47"/>
      <c r="AH1909" s="107"/>
      <c r="AI1909" s="1"/>
      <c r="AJ1909" s="47"/>
      <c r="AK1909" s="107"/>
      <c r="AL1909" s="1"/>
      <c r="AM1909" s="47"/>
      <c r="AN1909" s="107"/>
      <c r="AO1909" s="1"/>
      <c r="AP1909" s="47"/>
      <c r="AQ1909" s="107"/>
      <c r="AR1909" s="1"/>
      <c r="AS1909" s="47"/>
      <c r="AT1909" s="107"/>
      <c r="AU1909" s="1"/>
    </row>
    <row r="1910" spans="15:47" x14ac:dyDescent="0.25">
      <c r="O1910" s="8" t="s">
        <v>132</v>
      </c>
      <c r="P1910" s="8"/>
      <c r="Q1910" s="8"/>
      <c r="R1910" s="96">
        <f>P_1_minQ-(R1908^2*R_up)+dpup_minQ</f>
        <v>90.181307058273674</v>
      </c>
      <c r="S1910" s="106"/>
      <c r="T1910" s="22"/>
      <c r="U1910" s="96">
        <f ca="1">P_1_minQ-(U1908^2*R_up)+dpup_minQ</f>
        <v>89.8254091669383</v>
      </c>
      <c r="V1910" s="107"/>
      <c r="W1910" s="1"/>
      <c r="X1910" s="96">
        <f ca="1">P_1_minQ-(X1908^2*R_up)+dpup_minQ</f>
        <v>88.02876209167799</v>
      </c>
      <c r="Y1910" s="107"/>
      <c r="Z1910" s="1"/>
      <c r="AA1910" s="96">
        <f ca="1">P_1_minQ-(AA1908^2*R_up)+dpup_minQ</f>
        <v>82.004746254976027</v>
      </c>
      <c r="AB1910" s="107"/>
      <c r="AC1910" s="1"/>
      <c r="AD1910" s="96">
        <f ca="1">P_1_minQ-(AD1908^2*R_up)+dpup_minQ</f>
        <v>67.160456092556416</v>
      </c>
      <c r="AE1910" s="107"/>
      <c r="AF1910" s="1"/>
      <c r="AG1910" s="96">
        <f ca="1">P_1_minQ-(AG1908^2*R_up)+dpup_minQ</f>
        <v>41.137615955539808</v>
      </c>
      <c r="AH1910" s="107"/>
      <c r="AI1910" s="1"/>
      <c r="AJ1910" s="96">
        <f ca="1">P_1_minQ-(AJ1908^2*R_up)+dpup_minQ</f>
        <v>2.8364528447763306</v>
      </c>
      <c r="AK1910" s="107"/>
      <c r="AL1910" s="1"/>
      <c r="AM1910" s="96">
        <f ca="1">P_1_minQ-(AM1908^2*R_up)+dpup_minQ</f>
        <v>-39.86510385480517</v>
      </c>
      <c r="AN1910" s="107"/>
      <c r="AO1910" s="1"/>
      <c r="AP1910" s="96">
        <f ca="1">P_1_minQ-(AP1908^2*R_up)+dpup_minQ</f>
        <v>-85.102905518036323</v>
      </c>
      <c r="AQ1910" s="107"/>
      <c r="AR1910" s="1"/>
      <c r="AS1910" s="96">
        <f ca="1">P_1_minQ-(AS1908^2*R_up)+dpup_minQ</f>
        <v>-150.82548694770526</v>
      </c>
      <c r="AT1910" s="107"/>
      <c r="AU1910" s="1"/>
    </row>
    <row r="1911" spans="15:47" x14ac:dyDescent="0.25">
      <c r="O1911" s="8" t="s">
        <v>134</v>
      </c>
      <c r="P1911" s="1"/>
      <c r="Q1911" s="8"/>
      <c r="R1911" s="97">
        <f>P_2_minQ+(R1908^2*R_dn)-dpdn_minQ</f>
        <v>60</v>
      </c>
      <c r="S1911" s="106"/>
      <c r="T1911" s="22"/>
      <c r="U1911" s="97">
        <f ca="1">P_2_minQ+(U1908^2*R_dn)-dpdn_minQ</f>
        <v>60</v>
      </c>
      <c r="V1911" s="107"/>
      <c r="W1911" s="1"/>
      <c r="X1911" s="97">
        <f ca="1">P_2_minQ+(X1908^2*R_dn)-dpdn_minQ</f>
        <v>60</v>
      </c>
      <c r="Y1911" s="107"/>
      <c r="Z1911" s="1"/>
      <c r="AA1911" s="97">
        <f ca="1">P_2_minQ+(AA1908^2*R_dn)-dpdn_minQ</f>
        <v>60</v>
      </c>
      <c r="AB1911" s="107"/>
      <c r="AC1911" s="1"/>
      <c r="AD1911" s="97">
        <f ca="1">P_2_minQ+(AD1908^2*R_dn)-dpdn_minQ</f>
        <v>60</v>
      </c>
      <c r="AE1911" s="107"/>
      <c r="AF1911" s="1"/>
      <c r="AG1911" s="97">
        <f ca="1">P_2_minQ+(AG1908^2*R_dn)-dpdn_minQ</f>
        <v>60</v>
      </c>
      <c r="AH1911" s="107"/>
      <c r="AI1911" s="1"/>
      <c r="AJ1911" s="97">
        <f ca="1">P_2_minQ+(AJ1908^2*R_dn)-dpdn_minQ</f>
        <v>60</v>
      </c>
      <c r="AK1911" s="107"/>
      <c r="AL1911" s="1"/>
      <c r="AM1911" s="97">
        <f ca="1">P_2_minQ+(AM1908^2*R_dn)-dpdn_minQ</f>
        <v>60</v>
      </c>
      <c r="AN1911" s="107"/>
      <c r="AO1911" s="1"/>
      <c r="AP1911" s="97">
        <f ca="1">P_2_minQ+(AP1908^2*R_dn)-dpdn_minQ</f>
        <v>60</v>
      </c>
      <c r="AQ1911" s="107"/>
      <c r="AR1911" s="1"/>
      <c r="AS1911" s="97">
        <f ca="1">P_2_minQ+(AS1908^2*R_dn)-dpdn_minQ</f>
        <v>60</v>
      </c>
      <c r="AT1911" s="107"/>
      <c r="AU1911" s="1"/>
    </row>
    <row r="1912" spans="15:47" x14ac:dyDescent="0.25">
      <c r="O1912" s="8" t="s">
        <v>138</v>
      </c>
      <c r="P1912" s="1"/>
      <c r="Q1912" s="8"/>
      <c r="R1912" s="97">
        <f>R1910-R1911</f>
        <v>30.181307058273674</v>
      </c>
      <c r="S1912" s="106"/>
      <c r="T1912" s="22"/>
      <c r="U1912" s="97">
        <f ca="1">U1910-U1911</f>
        <v>29.8254091669383</v>
      </c>
      <c r="V1912" s="110"/>
      <c r="W1912" s="25"/>
      <c r="X1912" s="97">
        <f ca="1">X1910-X1911</f>
        <v>28.02876209167799</v>
      </c>
      <c r="Y1912" s="110"/>
      <c r="Z1912" s="25"/>
      <c r="AA1912" s="97">
        <f ca="1">AA1910-AA1911</f>
        <v>22.004746254976027</v>
      </c>
      <c r="AB1912" s="110"/>
      <c r="AC1912" s="25"/>
      <c r="AD1912" s="97">
        <f ca="1">AD1910-AD1911</f>
        <v>7.1604560925564158</v>
      </c>
      <c r="AE1912" s="110"/>
      <c r="AF1912" s="25"/>
      <c r="AG1912" s="97">
        <f ca="1">AG1910-AG1911</f>
        <v>-18.862384044460192</v>
      </c>
      <c r="AH1912" s="110"/>
      <c r="AI1912" s="25"/>
      <c r="AJ1912" s="97">
        <f ca="1">AJ1910-AJ1911</f>
        <v>-57.163547155223668</v>
      </c>
      <c r="AK1912" s="110"/>
      <c r="AL1912" s="25"/>
      <c r="AM1912" s="97">
        <f ca="1">AM1910-AM1911</f>
        <v>-99.86510385480517</v>
      </c>
      <c r="AN1912" s="110"/>
      <c r="AO1912" s="25"/>
      <c r="AP1912" s="97">
        <f ca="1">AP1910-AP1911</f>
        <v>-145.10290551803632</v>
      </c>
      <c r="AQ1912" s="110"/>
      <c r="AR1912" s="25"/>
      <c r="AS1912" s="97">
        <f ca="1">AS1910-AS1911</f>
        <v>-210.82548694770526</v>
      </c>
      <c r="AT1912" s="110"/>
      <c r="AU1912" s="25"/>
    </row>
    <row r="1913" spans="15:47" ht="14.4" x14ac:dyDescent="0.3">
      <c r="O1913" s="2" t="s">
        <v>140</v>
      </c>
      <c r="P1913" s="11"/>
      <c r="Q1913" s="2"/>
      <c r="R1913" s="96">
        <f>R1912/R1910</f>
        <v>0.33467364848428077</v>
      </c>
      <c r="S1913" s="106"/>
      <c r="T1913" s="22"/>
      <c r="U1913" s="96">
        <f ca="1">U1912/U1910</f>
        <v>0.33203755422375553</v>
      </c>
      <c r="V1913" s="111"/>
      <c r="W1913" s="28"/>
      <c r="X1913" s="96">
        <f ca="1">X1912/X1910</f>
        <v>0.31840459215463346</v>
      </c>
      <c r="Y1913" s="111"/>
      <c r="Z1913" s="28"/>
      <c r="AA1913" s="96">
        <f ca="1">AA1912/AA1910</f>
        <v>0.26833503254259244</v>
      </c>
      <c r="AB1913" s="111"/>
      <c r="AC1913" s="28"/>
      <c r="AD1913" s="96">
        <f ca="1">AD1912/AD1910</f>
        <v>0.10661714510527319</v>
      </c>
      <c r="AE1913" s="111"/>
      <c r="AF1913" s="28"/>
      <c r="AG1913" s="96">
        <f ca="1">AG1912/AG1910</f>
        <v>-0.45851913404136113</v>
      </c>
      <c r="AH1913" s="111"/>
      <c r="AI1913" s="28"/>
      <c r="AJ1913" s="96">
        <f ca="1">AJ1912/AJ1910</f>
        <v>-20.153180850687232</v>
      </c>
      <c r="AK1913" s="111"/>
      <c r="AL1913" s="28"/>
      <c r="AM1913" s="96">
        <f ca="1">AM1912/AM1910</f>
        <v>2.5050757228309051</v>
      </c>
      <c r="AN1913" s="111"/>
      <c r="AO1913" s="28"/>
      <c r="AP1913" s="96">
        <f ca="1">AP1912/AP1910</f>
        <v>1.7050288075920494</v>
      </c>
      <c r="AQ1913" s="111"/>
      <c r="AR1913" s="28"/>
      <c r="AS1913" s="96">
        <f ca="1">AS1912/AS1910</f>
        <v>1.3978107494577718</v>
      </c>
      <c r="AT1913" s="111"/>
      <c r="AU1913" s="28"/>
    </row>
    <row r="1914" spans="15:47" x14ac:dyDescent="0.25">
      <c r="O1914" s="2" t="s">
        <v>21</v>
      </c>
      <c r="P1914" s="8">
        <v>12</v>
      </c>
      <c r="Q1914" s="2"/>
      <c r="R1914" s="96">
        <f ca="1">1-R1913/(3*F_GAMMA*R$29)</f>
        <v>0.82569889606458391</v>
      </c>
      <c r="S1914" s="106"/>
      <c r="T1914" s="22"/>
      <c r="U1914" s="96">
        <f ca="1">1-U1913/(3*F_GAMMA*U$29)</f>
        <v>0.82711197194115871</v>
      </c>
      <c r="V1914" s="111"/>
      <c r="W1914" s="28"/>
      <c r="X1914" s="96">
        <f ca="1">1-X1913/(3*F_GAMMA*X$29)</f>
        <v>0.83263147665135839</v>
      </c>
      <c r="Y1914" s="111"/>
      <c r="Z1914" s="28"/>
      <c r="AA1914" s="96">
        <f ca="1">1-AA1913/(3*F_GAMMA*AA$29)</f>
        <v>0.85696216035200123</v>
      </c>
      <c r="AB1914" s="111"/>
      <c r="AC1914" s="28"/>
      <c r="AD1914" s="96">
        <f ca="1">1-AD1913/(3*F_GAMMA*AD$29)</f>
        <v>0.94140436643787184</v>
      </c>
      <c r="AE1914" s="111"/>
      <c r="AF1914" s="28"/>
      <c r="AG1914" s="96">
        <f ca="1">1-AG1913/(3*F_GAMMA*AG$29)</f>
        <v>1.2671185602431603</v>
      </c>
      <c r="AH1914" s="111"/>
      <c r="AI1914" s="28"/>
      <c r="AJ1914" s="96">
        <f ca="1">1-AJ1913/(3*F_GAMMA*AJ$29)</f>
        <v>13.631275647577194</v>
      </c>
      <c r="AK1914" s="111"/>
      <c r="AL1914" s="28"/>
      <c r="AM1914" s="96">
        <f ca="1">1-AM1913/(3*F_GAMMA*AM$29)</f>
        <v>-0.75548972796631486</v>
      </c>
      <c r="AN1914" s="111"/>
      <c r="AO1914" s="28"/>
      <c r="AP1914" s="96">
        <f ca="1">1-AP1913/(3*F_GAMMA*AP$29)</f>
        <v>3.7590319537840866E-2</v>
      </c>
      <c r="AQ1914" s="111"/>
      <c r="AR1914" s="28"/>
      <c r="AS1914" s="96">
        <f ca="1">1-AS1913/(3*F_GAMMA*AS$29)</f>
        <v>-0.23692418604158982</v>
      </c>
      <c r="AT1914" s="111"/>
      <c r="AU1914" s="28"/>
    </row>
    <row r="1915" spans="15:47" x14ac:dyDescent="0.25">
      <c r="O1915" s="2" t="s">
        <v>57</v>
      </c>
      <c r="P1915" s="143">
        <v>7</v>
      </c>
      <c r="Q1915" s="2"/>
      <c r="R1915" s="96">
        <f ca="1">(R1908/(N_9*R$27*R1910*R1914))*SQRT(M*'Valve Sizing'!$W$6*'Valve Sizing'!$G$8/R1913)</f>
        <v>1.8278759775679414</v>
      </c>
      <c r="S1915" s="107"/>
      <c r="T1915" s="22"/>
      <c r="U1915" s="96">
        <f ca="1">(U1908/(N_9*U$27*U1910*U1914))*SQRT(M*'Valve Sizing'!$W$6*'Valve Sizing'!$G$8/U1913)</f>
        <v>18.063245933666952</v>
      </c>
      <c r="V1915" s="111"/>
      <c r="W1915" s="28"/>
      <c r="X1915" s="96">
        <f ca="1">(X1908/(N_9*X$27*X1910*X1914))*SQRT(M*'Valve Sizing'!$W$6*'Valve Sizing'!$G$8/X1913)</f>
        <v>45.888944546360847</v>
      </c>
      <c r="Y1915" s="111"/>
      <c r="Z1915" s="28"/>
      <c r="AA1915" s="96">
        <f ca="1">(AA1908/(N_9*AA$27*AA1910*AA1914))*SQRT(M*'Valve Sizing'!$W$6*'Valve Sizing'!$G$8/AA1913)</f>
        <v>102.14979262346948</v>
      </c>
      <c r="AB1915" s="111"/>
      <c r="AC1915" s="28"/>
      <c r="AD1915" s="96">
        <f ca="1">(AD1908/(N_9*AD$27*AD1910*AD1914))*SQRT(M*'Valve Sizing'!$W$6*'Valve Sizing'!$G$8/AD1913)</f>
        <v>305.93684806194761</v>
      </c>
      <c r="AE1915" s="111"/>
      <c r="AF1915" s="28"/>
      <c r="AG1915" s="96" t="e">
        <f ca="1">(AG1908/(N_9*AG$27*AG1910*AG1914))*SQRT(M*'Valve Sizing'!$W$6*'Valve Sizing'!$G$8/AG1913)</f>
        <v>#NUM!</v>
      </c>
      <c r="AH1915" s="111"/>
      <c r="AI1915" s="28"/>
      <c r="AJ1915" s="96" t="e">
        <f ca="1">(AJ1908/(N_9*AJ$27*AJ1910*AJ1914))*SQRT(M*'Valve Sizing'!$W$6*'Valve Sizing'!$G$8/AJ1913)</f>
        <v>#NUM!</v>
      </c>
      <c r="AK1915" s="111"/>
      <c r="AL1915" s="28"/>
      <c r="AM1915" s="96">
        <f ca="1">(AM1908/(N_9*AM$27*AM1910*AM1914))*SQRT(M*'Valve Sizing'!$W$6*'Valve Sizing'!$G$8/AM1913)</f>
        <v>353.97274950416033</v>
      </c>
      <c r="AN1915" s="111"/>
      <c r="AO1915" s="28"/>
      <c r="AP1915" s="96">
        <f ca="1">(AP1908/(N_9*AP$27*AP1910*AP1914))*SQRT(M*'Valve Sizing'!$W$6*'Valve Sizing'!$G$8/AP1913)</f>
        <v>-5337.6799402964261</v>
      </c>
      <c r="AQ1915" s="111"/>
      <c r="AR1915" s="28"/>
      <c r="AS1915" s="96">
        <f ca="1">(AS1908/(N_9*AS$27*AS1910*AS1914))*SQRT(M*'Valve Sizing'!$W$6*'Valve Sizing'!$G$8/AS1913)</f>
        <v>828.85674026925403</v>
      </c>
      <c r="AT1915" s="111"/>
      <c r="AU1915" s="28"/>
    </row>
    <row r="1916" spans="15:47" x14ac:dyDescent="0.25">
      <c r="O1916" s="2" t="s">
        <v>59</v>
      </c>
      <c r="P1916" s="143">
        <v>7</v>
      </c>
      <c r="Q1916" s="2"/>
      <c r="R1916" s="96">
        <f ca="1">(R1908/(N_9*R$27*R1910*0.667))*SQRT(M*'Valve Sizing'!$W$6*'Valve Sizing'!$G$8/R1917)</f>
        <v>1.6362636838865128</v>
      </c>
      <c r="S1916" s="107"/>
      <c r="T1916" s="22"/>
      <c r="U1916" s="96">
        <f ca="1">(U1908/(N_9*U$27*U1910*0.667))*SQRT(M*'Valve Sizing'!$W$6*'Valve Sizing'!$G$8/U1917)</f>
        <v>16.131596699268197</v>
      </c>
      <c r="V1916" s="111"/>
      <c r="W1916" s="28"/>
      <c r="X1916" s="96">
        <f ca="1">(X1908/(N_9*X$27*X1910*0.667))*SQRT(M*'Valve Sizing'!$W$6*'Valve Sizing'!$G$8/X1917)</f>
        <v>40.591264389138445</v>
      </c>
      <c r="Y1916" s="111"/>
      <c r="Z1916" s="28"/>
      <c r="AA1916" s="96">
        <f ca="1">(AA1908/(N_9*AA$27*AA1910*0.667))*SQRT(M*'Valve Sizing'!$W$6*'Valve Sizing'!$G$8/AA1917)</f>
        <v>85.972469092345349</v>
      </c>
      <c r="AB1916" s="111"/>
      <c r="AC1916" s="28"/>
      <c r="AD1916" s="96">
        <f ca="1">(AD1908/(N_9*AD$27*AD1910*0.667))*SQRT(M*'Valve Sizing'!$W$6*'Valve Sizing'!$G$8/AD1917)</f>
        <v>181.04036518979834</v>
      </c>
      <c r="AE1916" s="111"/>
      <c r="AF1916" s="28"/>
      <c r="AG1916" s="96">
        <f ca="1">(AG1908/(N_9*AG$27*AG1910*0.667))*SQRT(M*'Valve Sizing'!$W$6*'Valve Sizing'!$G$8/AG1917)</f>
        <v>454.13152396778986</v>
      </c>
      <c r="AH1916" s="111"/>
      <c r="AI1916" s="28"/>
      <c r="AJ1916" s="96">
        <f ca="1">(AJ1908/(N_9*AJ$27*AJ1910*0.667))*SQRT(M*'Valve Sizing'!$W$6*'Valve Sizing'!$G$8/AJ1917)</f>
        <v>9446.4055070768827</v>
      </c>
      <c r="AK1916" s="111"/>
      <c r="AL1916" s="28"/>
      <c r="AM1916" s="96">
        <f ca="1">(AM1908/(N_9*AM$27*AM1910*0.667))*SQRT(M*'Valve Sizing'!$W$6*'Valve Sizing'!$G$8/AM1917)</f>
        <v>-920.09428427725106</v>
      </c>
      <c r="AN1916" s="111"/>
      <c r="AO1916" s="28"/>
      <c r="AP1916" s="96">
        <f ca="1">(AP1908/(N_9*AP$27*AP1910*0.667))*SQRT(M*'Valve Sizing'!$W$6*'Valve Sizing'!$G$8/AP1917)</f>
        <v>-511.14407526772362</v>
      </c>
      <c r="AQ1916" s="111"/>
      <c r="AR1916" s="28"/>
      <c r="AS1916" s="96">
        <f ca="1">(AS1908/(N_9*AS$27*AS1910*0.667))*SQRT(M*'Valve Sizing'!$W$6*'Valve Sizing'!$G$8/AS1917)</f>
        <v>-567.14643300437797</v>
      </c>
      <c r="AT1916" s="111"/>
      <c r="AU1916" s="28"/>
    </row>
    <row r="1917" spans="15:47" ht="15.6" x14ac:dyDescent="0.35">
      <c r="O1917" s="2" t="s">
        <v>68</v>
      </c>
      <c r="P1917" s="143">
        <v>10</v>
      </c>
      <c r="Q1917" s="2"/>
      <c r="R1917" s="96">
        <f ca="1">F_GAMMA*R$29</f>
        <v>0.64002969751372984</v>
      </c>
      <c r="S1917" s="107"/>
      <c r="T1917" s="1"/>
      <c r="U1917" s="96">
        <f ca="1">F_GAMMA*U$29</f>
        <v>0.64017842058782071</v>
      </c>
      <c r="V1917" s="111"/>
      <c r="W1917" s="28"/>
      <c r="X1917" s="96">
        <f ca="1">F_GAMMA*X$29</f>
        <v>0.63413873724904268</v>
      </c>
      <c r="Y1917" s="111"/>
      <c r="Z1917" s="28"/>
      <c r="AA1917" s="96">
        <f ca="1">F_GAMMA*AA$29</f>
        <v>0.62532411750377137</v>
      </c>
      <c r="AB1917" s="111"/>
      <c r="AC1917" s="28"/>
      <c r="AD1917" s="96">
        <f ca="1">F_GAMMA*AD$29</f>
        <v>0.60651359509139569</v>
      </c>
      <c r="AE1917" s="111"/>
      <c r="AF1917" s="28"/>
      <c r="AG1917" s="96">
        <f ca="1">F_GAMMA*AG$29</f>
        <v>0.57217930198481592</v>
      </c>
      <c r="AH1917" s="111"/>
      <c r="AI1917" s="28"/>
      <c r="AJ1917" s="96">
        <f ca="1">F_GAMMA*AJ$29</f>
        <v>0.53183282018848232</v>
      </c>
      <c r="AK1917" s="111"/>
      <c r="AL1917" s="28"/>
      <c r="AM1917" s="96">
        <f ca="1">F_GAMMA*AM$29</f>
        <v>0.47566512503094399</v>
      </c>
      <c r="AN1917" s="111"/>
      <c r="AO1917" s="28"/>
      <c r="AP1917" s="96">
        <f ca="1">F_GAMMA*AP$29</f>
        <v>0.59054158265645496</v>
      </c>
      <c r="AQ1917" s="111"/>
      <c r="AR1917" s="28"/>
      <c r="AS1917" s="96">
        <f ca="1">F_GAMMA*AS$29</f>
        <v>0.3766899554102966</v>
      </c>
      <c r="AT1917" s="111"/>
      <c r="AU1917" s="28"/>
    </row>
    <row r="1918" spans="15:47" x14ac:dyDescent="0.25">
      <c r="O1918" s="2" t="s">
        <v>145</v>
      </c>
      <c r="P1918" s="12"/>
      <c r="Q1918" s="2"/>
      <c r="R1918" s="96">
        <f ca="1">IF(R1913&lt;R1917,R1915,R1916)</f>
        <v>1.8278759775679414</v>
      </c>
      <c r="S1918" s="116"/>
      <c r="T1918" s="1"/>
      <c r="U1918" s="96">
        <f ca="1">IF(U1913&lt;U1917,U1915,U1916)</f>
        <v>18.063245933666952</v>
      </c>
      <c r="V1918" s="111"/>
      <c r="W1918" s="28"/>
      <c r="X1918" s="96">
        <f ca="1">IF(X1913&lt;X1917,X1915,X1916)</f>
        <v>45.888944546360847</v>
      </c>
      <c r="Y1918" s="111"/>
      <c r="Z1918" s="28"/>
      <c r="AA1918" s="96">
        <f ca="1">IF(AA1913&lt;AA1917,AA1915,AA1916)</f>
        <v>102.14979262346948</v>
      </c>
      <c r="AB1918" s="111"/>
      <c r="AC1918" s="28"/>
      <c r="AD1918" s="96">
        <f ca="1">IF(AD1913&lt;AD1917,AD1915,AD1916)</f>
        <v>305.93684806194761</v>
      </c>
      <c r="AE1918" s="111"/>
      <c r="AF1918" s="28"/>
      <c r="AG1918" s="96" t="e">
        <f ca="1">IF(AG1913&lt;AG1917,AG1915,AG1916)</f>
        <v>#NUM!</v>
      </c>
      <c r="AH1918" s="111"/>
      <c r="AI1918" s="28"/>
      <c r="AJ1918" s="96" t="e">
        <f ca="1">IF(AJ1913&lt;AJ1917,AJ1915,AJ1916)</f>
        <v>#NUM!</v>
      </c>
      <c r="AK1918" s="111"/>
      <c r="AL1918" s="28"/>
      <c r="AM1918" s="96">
        <f ca="1">IF(AM1913&lt;AM1917,AM1915,AM1916)</f>
        <v>-920.09428427725106</v>
      </c>
      <c r="AN1918" s="111"/>
      <c r="AO1918" s="28"/>
      <c r="AP1918" s="96">
        <f ca="1">IF(AP1913&lt;AP1917,AP1915,AP1916)</f>
        <v>-511.14407526772362</v>
      </c>
      <c r="AQ1918" s="111"/>
      <c r="AR1918" s="28"/>
      <c r="AS1918" s="96">
        <f ca="1">IF(AS1913&lt;AS1917,AS1915,AS1916)</f>
        <v>-567.14643300437797</v>
      </c>
      <c r="AT1918" s="111"/>
      <c r="AU1918" s="28"/>
    </row>
    <row r="1919" spans="15:47" x14ac:dyDescent="0.25">
      <c r="O1919" s="13" t="s">
        <v>143</v>
      </c>
      <c r="P1919" s="1"/>
      <c r="Q1919" s="1"/>
      <c r="R1919" s="113"/>
      <c r="S1919" s="106">
        <f ca="1">IF(R1912&lt;=0,Q_max,ABS(R$23-R1918))</f>
        <v>2.902124022432059</v>
      </c>
      <c r="T1919" s="7">
        <f>R1908</f>
        <v>4525.9492479661749</v>
      </c>
      <c r="U1919" s="98"/>
      <c r="V1919" s="106">
        <f ca="1">IF(U1912&lt;=0,Q_max,ABS(U$23-U1918))</f>
        <v>6.4632459336669523</v>
      </c>
      <c r="W1919" s="9">
        <f ca="1">U1908</f>
        <v>44420.353574940294</v>
      </c>
      <c r="X1919" s="98"/>
      <c r="Y1919" s="106">
        <f ca="1">IF(X1912&lt;=0,Q_max,ABS(X$23-X1918))</f>
        <v>22.888944546360847</v>
      </c>
      <c r="Z1919" s="9">
        <f ca="1">X1908</f>
        <v>108769.12918303729</v>
      </c>
      <c r="AA1919" s="98"/>
      <c r="AB1919" s="106">
        <f ca="1">IF(AA1912&lt;=0,Q_max,ABS(AA$23-AA1918))</f>
        <v>62.749792623469482</v>
      </c>
      <c r="AC1919" s="9">
        <f ca="1">AA1908</f>
        <v>211854.50082721919</v>
      </c>
      <c r="AD1919" s="98"/>
      <c r="AE1919" s="106">
        <f ca="1">IF(AD1912&lt;=0,Q_max,ABS(AD$23-AD1918))</f>
        <v>244.93684806194761</v>
      </c>
      <c r="AF1919" s="9">
        <f ca="1">AD1908</f>
        <v>355425.9489998878</v>
      </c>
      <c r="AG1919" s="98"/>
      <c r="AH1919" s="106">
        <f ca="1">IF(AG1912&lt;=0,Q_max,ABS(AG$23-AG1918))</f>
        <v>236393</v>
      </c>
      <c r="AI1919" s="9">
        <f ca="1">AG1908</f>
        <v>518753.85299687251</v>
      </c>
      <c r="AJ1919" s="98"/>
      <c r="AK1919" s="106">
        <f ca="1">IF(AJ1912&lt;=0,Q_max,ABS(AJ$23-AJ1918))</f>
        <v>236393</v>
      </c>
      <c r="AL1919" s="9">
        <f ca="1">AJ1908</f>
        <v>692279.02780851512</v>
      </c>
      <c r="AM1919" s="98"/>
      <c r="AN1919" s="106">
        <f ca="1">IF(AM1912&lt;=0,Q_max,ABS(AM$23-AM1918))</f>
        <v>236393</v>
      </c>
      <c r="AO1919" s="9">
        <f ca="1">AM1908</f>
        <v>844711.97459681181</v>
      </c>
      <c r="AP1919" s="98"/>
      <c r="AQ1919" s="106">
        <f ca="1">IF(AP1912&lt;=0,Q_max,ABS(AP$23-AP1918))</f>
        <v>236393</v>
      </c>
      <c r="AR1919" s="9">
        <f ca="1">AP1908</f>
        <v>980684.37873618945</v>
      </c>
      <c r="AS1919" s="98"/>
      <c r="AT1919" s="106">
        <f ca="1">IF(AS1912&lt;=0,Q_max,ABS(AS$23-AS1918))</f>
        <v>236393</v>
      </c>
      <c r="AU1919" s="9">
        <f ca="1">AS1908</f>
        <v>1149929.5599163203</v>
      </c>
    </row>
    <row r="1920" spans="15:47" x14ac:dyDescent="0.25">
      <c r="O1920" s="21"/>
      <c r="P1920" s="14"/>
      <c r="Q1920" s="21"/>
      <c r="R1920" s="97"/>
      <c r="S1920" s="106"/>
      <c r="T1920" s="28"/>
      <c r="U1920" s="97"/>
      <c r="V1920" s="111"/>
      <c r="W1920" s="28"/>
      <c r="X1920" s="97"/>
      <c r="Y1920" s="111"/>
      <c r="Z1920" s="28"/>
      <c r="AA1920" s="97"/>
      <c r="AB1920" s="111"/>
      <c r="AC1920" s="28"/>
      <c r="AD1920" s="97"/>
      <c r="AE1920" s="111"/>
      <c r="AF1920" s="28"/>
      <c r="AG1920" s="97"/>
      <c r="AH1920" s="111"/>
      <c r="AI1920" s="28"/>
      <c r="AJ1920" s="97"/>
      <c r="AK1920" s="111"/>
      <c r="AL1920" s="28"/>
      <c r="AM1920" s="97"/>
      <c r="AN1920" s="111"/>
      <c r="AO1920" s="28"/>
      <c r="AP1920" s="97"/>
      <c r="AQ1920" s="111"/>
      <c r="AR1920" s="28"/>
      <c r="AS1920" s="97"/>
      <c r="AT1920" s="111"/>
      <c r="AU1920" s="28"/>
    </row>
    <row r="1921" spans="15:47" x14ac:dyDescent="0.25">
      <c r="O1921" s="1"/>
      <c r="P1921" s="1"/>
      <c r="Q1921" s="1"/>
      <c r="R1921" s="98"/>
      <c r="S1921" s="108" t="s">
        <v>137</v>
      </c>
      <c r="T1921" s="26" t="s">
        <v>146</v>
      </c>
      <c r="U1921" s="98"/>
      <c r="V1921" s="108" t="s">
        <v>137</v>
      </c>
      <c r="W1921" s="26" t="s">
        <v>146</v>
      </c>
      <c r="X1921" s="98"/>
      <c r="Y1921" s="108" t="s">
        <v>137</v>
      </c>
      <c r="Z1921" s="26" t="s">
        <v>146</v>
      </c>
      <c r="AA1921" s="98"/>
      <c r="AB1921" s="108" t="s">
        <v>137</v>
      </c>
      <c r="AC1921" s="26" t="s">
        <v>146</v>
      </c>
      <c r="AD1921" s="98"/>
      <c r="AE1921" s="108" t="s">
        <v>137</v>
      </c>
      <c r="AF1921" s="26" t="s">
        <v>146</v>
      </c>
      <c r="AG1921" s="98"/>
      <c r="AH1921" s="108" t="s">
        <v>137</v>
      </c>
      <c r="AI1921" s="26" t="s">
        <v>146</v>
      </c>
      <c r="AJ1921" s="98"/>
      <c r="AK1921" s="108" t="s">
        <v>137</v>
      </c>
      <c r="AL1921" s="26" t="s">
        <v>146</v>
      </c>
      <c r="AM1921" s="98"/>
      <c r="AN1921" s="108" t="s">
        <v>137</v>
      </c>
      <c r="AO1921" s="26" t="s">
        <v>146</v>
      </c>
      <c r="AP1921" s="98"/>
      <c r="AQ1921" s="108" t="s">
        <v>137</v>
      </c>
      <c r="AR1921" s="26" t="s">
        <v>146</v>
      </c>
      <c r="AS1921" s="98"/>
      <c r="AT1921" s="108" t="s">
        <v>137</v>
      </c>
      <c r="AU1921" s="26" t="s">
        <v>146</v>
      </c>
    </row>
    <row r="1922" spans="15:47" ht="13.8" x14ac:dyDescent="0.25">
      <c r="O1922" s="20" t="s">
        <v>136</v>
      </c>
      <c r="P1922" s="1"/>
      <c r="Q1922" s="1"/>
      <c r="R1922" s="96">
        <f>R1908*1.02</f>
        <v>4616.4682329254983</v>
      </c>
      <c r="S1922" s="109" t="s">
        <v>144</v>
      </c>
      <c r="T1922" s="23" t="s">
        <v>147</v>
      </c>
      <c r="U1922" s="96">
        <f ca="1">U1908*1.01</f>
        <v>44864.557110689697</v>
      </c>
      <c r="V1922" s="109" t="s">
        <v>144</v>
      </c>
      <c r="W1922" s="23" t="s">
        <v>147</v>
      </c>
      <c r="X1922" s="96">
        <f ca="1">X1908*1.01</f>
        <v>109856.82047486767</v>
      </c>
      <c r="Y1922" s="109" t="s">
        <v>144</v>
      </c>
      <c r="Z1922" s="23" t="s">
        <v>147</v>
      </c>
      <c r="AA1922" s="96">
        <f ca="1">AA1908*1.01</f>
        <v>213973.04583549139</v>
      </c>
      <c r="AB1922" s="109" t="s">
        <v>144</v>
      </c>
      <c r="AC1922" s="23" t="s">
        <v>147</v>
      </c>
      <c r="AD1922" s="96">
        <f ca="1">AD1908*1.01</f>
        <v>358980.20848988666</v>
      </c>
      <c r="AE1922" s="109" t="s">
        <v>144</v>
      </c>
      <c r="AF1922" s="23" t="s">
        <v>147</v>
      </c>
      <c r="AG1922" s="96">
        <f ca="1">AG1908*1.01</f>
        <v>523941.39152684121</v>
      </c>
      <c r="AH1922" s="109" t="s">
        <v>144</v>
      </c>
      <c r="AI1922" s="23" t="s">
        <v>147</v>
      </c>
      <c r="AJ1922" s="96">
        <f ca="1">AJ1908*1.01</f>
        <v>699201.81808660028</v>
      </c>
      <c r="AK1922" s="109" t="s">
        <v>144</v>
      </c>
      <c r="AL1922" s="23" t="s">
        <v>147</v>
      </c>
      <c r="AM1922" s="96">
        <f ca="1">AM1908*1.01</f>
        <v>853159.09434277995</v>
      </c>
      <c r="AN1922" s="109" t="s">
        <v>144</v>
      </c>
      <c r="AO1922" s="23" t="s">
        <v>147</v>
      </c>
      <c r="AP1922" s="96">
        <f ca="1">AP1908*1.01</f>
        <v>990491.22252355132</v>
      </c>
      <c r="AQ1922" s="109" t="s">
        <v>144</v>
      </c>
      <c r="AR1922" s="23" t="s">
        <v>147</v>
      </c>
      <c r="AS1922" s="96">
        <f ca="1">AS1908*1.01</f>
        <v>1161428.8555154835</v>
      </c>
      <c r="AT1922" s="109" t="s">
        <v>144</v>
      </c>
      <c r="AU1922" s="23" t="s">
        <v>147</v>
      </c>
    </row>
    <row r="1923" spans="15:47" x14ac:dyDescent="0.25">
      <c r="O1923" s="1"/>
      <c r="P1923" s="1"/>
      <c r="Q1923" s="1"/>
      <c r="R1923" s="98"/>
      <c r="S1923" s="107"/>
      <c r="T1923" s="1"/>
      <c r="U1923" s="47"/>
      <c r="V1923" s="107"/>
      <c r="W1923" s="1"/>
      <c r="X1923" s="47"/>
      <c r="Y1923" s="107"/>
      <c r="Z1923" s="1"/>
      <c r="AA1923" s="47"/>
      <c r="AB1923" s="107"/>
      <c r="AC1923" s="1"/>
      <c r="AD1923" s="47"/>
      <c r="AE1923" s="107"/>
      <c r="AF1923" s="1"/>
      <c r="AG1923" s="47"/>
      <c r="AH1923" s="107"/>
      <c r="AI1923" s="1"/>
      <c r="AJ1923" s="47"/>
      <c r="AK1923" s="107"/>
      <c r="AL1923" s="1"/>
      <c r="AM1923" s="47"/>
      <c r="AN1923" s="107"/>
      <c r="AO1923" s="1"/>
      <c r="AP1923" s="47"/>
      <c r="AQ1923" s="107"/>
      <c r="AR1923" s="1"/>
      <c r="AS1923" s="47"/>
      <c r="AT1923" s="107"/>
      <c r="AU1923" s="1"/>
    </row>
    <row r="1924" spans="15:47" x14ac:dyDescent="0.25">
      <c r="O1924" s="8" t="s">
        <v>132</v>
      </c>
      <c r="P1924" s="8"/>
      <c r="Q1924" s="8"/>
      <c r="R1924" s="96">
        <f>P_1_minQ-(R1922^2*R_up)+dpup_minQ</f>
        <v>90.181156226005612</v>
      </c>
      <c r="S1924" s="106"/>
      <c r="T1924" s="22"/>
      <c r="U1924" s="96">
        <f ca="1">P_1_minQ-(U1922^2*R_up)+dpup_minQ</f>
        <v>89.818180576535624</v>
      </c>
      <c r="V1924" s="107"/>
      <c r="W1924" s="1"/>
      <c r="X1924" s="96">
        <f ca="1">P_1_minQ-(X1922^2*R_up)+dpup_minQ</f>
        <v>87.985420895062589</v>
      </c>
      <c r="Y1924" s="107"/>
      <c r="Z1924" s="1"/>
      <c r="AA1924" s="96">
        <f ca="1">P_1_minQ-(AA1922^2*R_up)+dpup_minQ</f>
        <v>81.840322340042917</v>
      </c>
      <c r="AB1924" s="107"/>
      <c r="AC1924" s="1"/>
      <c r="AD1924" s="96">
        <f ca="1">P_1_minQ-(AD1922^2*R_up)+dpup_minQ</f>
        <v>66.697661945358675</v>
      </c>
      <c r="AE1924" s="107"/>
      <c r="AF1924" s="1"/>
      <c r="AG1924" s="96">
        <f ca="1">P_1_minQ-(AG1922^2*R_up)+dpup_minQ</f>
        <v>40.151762721588021</v>
      </c>
      <c r="AH1924" s="107"/>
      <c r="AI1924" s="1"/>
      <c r="AJ1924" s="96">
        <f ca="1">P_1_minQ-(AJ1922^2*R_up)+dpup_minQ</f>
        <v>1.0807462322981951</v>
      </c>
      <c r="AK1924" s="107"/>
      <c r="AL1924" s="1"/>
      <c r="AM1924" s="96">
        <f ca="1">P_1_minQ-(AM1922^2*R_up)+dpup_minQ</f>
        <v>-42.479111756944889</v>
      </c>
      <c r="AN1924" s="107"/>
      <c r="AO1924" s="1"/>
      <c r="AP1924" s="96">
        <f ca="1">P_1_minQ-(AP1922^2*R_up)+dpup_minQ</f>
        <v>-88.626193233606983</v>
      </c>
      <c r="AQ1924" s="107"/>
      <c r="AR1924" s="1"/>
      <c r="AS1924" s="96">
        <f ca="1">P_1_minQ-(AS1922^2*R_up)+dpup_minQ</f>
        <v>-155.66979855001227</v>
      </c>
      <c r="AT1924" s="107"/>
      <c r="AU1924" s="1"/>
    </row>
    <row r="1925" spans="15:47" x14ac:dyDescent="0.25">
      <c r="O1925" s="8" t="s">
        <v>134</v>
      </c>
      <c r="P1925" s="1"/>
      <c r="Q1925" s="8"/>
      <c r="R1925" s="97">
        <f>P_2_minQ+(R1922^2*R_dn)-dpdn_minQ</f>
        <v>60</v>
      </c>
      <c r="S1925" s="106"/>
      <c r="T1925" s="22"/>
      <c r="U1925" s="97">
        <f ca="1">P_2_minQ+(U1922^2*R_dn)-dpdn_minQ</f>
        <v>60</v>
      </c>
      <c r="V1925" s="107"/>
      <c r="W1925" s="1"/>
      <c r="X1925" s="97">
        <f ca="1">P_2_minQ+(X1922^2*R_dn)-dpdn_minQ</f>
        <v>60</v>
      </c>
      <c r="Y1925" s="107"/>
      <c r="Z1925" s="1"/>
      <c r="AA1925" s="97">
        <f ca="1">P_2_minQ+(AA1922^2*R_dn)-dpdn_minQ</f>
        <v>60</v>
      </c>
      <c r="AB1925" s="107"/>
      <c r="AC1925" s="1"/>
      <c r="AD1925" s="97">
        <f ca="1">P_2_minQ+(AD1922^2*R_dn)-dpdn_minQ</f>
        <v>60</v>
      </c>
      <c r="AE1925" s="107"/>
      <c r="AF1925" s="1"/>
      <c r="AG1925" s="97">
        <f ca="1">P_2_minQ+(AG1922^2*R_dn)-dpdn_minQ</f>
        <v>60</v>
      </c>
      <c r="AH1925" s="107"/>
      <c r="AI1925" s="1"/>
      <c r="AJ1925" s="97">
        <f ca="1">P_2_minQ+(AJ1922^2*R_dn)-dpdn_minQ</f>
        <v>60</v>
      </c>
      <c r="AK1925" s="107"/>
      <c r="AL1925" s="1"/>
      <c r="AM1925" s="97">
        <f ca="1">P_2_minQ+(AM1922^2*R_dn)-dpdn_minQ</f>
        <v>60</v>
      </c>
      <c r="AN1925" s="107"/>
      <c r="AO1925" s="1"/>
      <c r="AP1925" s="97">
        <f ca="1">P_2_minQ+(AP1922^2*R_dn)-dpdn_minQ</f>
        <v>60</v>
      </c>
      <c r="AQ1925" s="107"/>
      <c r="AR1925" s="1"/>
      <c r="AS1925" s="97">
        <f ca="1">P_2_minQ+(AS1922^2*R_dn)-dpdn_minQ</f>
        <v>60</v>
      </c>
      <c r="AT1925" s="107"/>
      <c r="AU1925" s="1"/>
    </row>
    <row r="1926" spans="15:47" x14ac:dyDescent="0.25">
      <c r="O1926" s="8" t="s">
        <v>138</v>
      </c>
      <c r="P1926" s="1"/>
      <c r="Q1926" s="8"/>
      <c r="R1926" s="97">
        <f>R1924-R1925</f>
        <v>30.181156226005612</v>
      </c>
      <c r="S1926" s="106"/>
      <c r="T1926" s="22"/>
      <c r="U1926" s="97">
        <f ca="1">U1924-U1925</f>
        <v>29.818180576535624</v>
      </c>
      <c r="V1926" s="110"/>
      <c r="W1926" s="25"/>
      <c r="X1926" s="97">
        <f ca="1">X1924-X1925</f>
        <v>27.985420895062589</v>
      </c>
      <c r="Y1926" s="110"/>
      <c r="Z1926" s="25"/>
      <c r="AA1926" s="97">
        <f ca="1">AA1924-AA1925</f>
        <v>21.840322340042917</v>
      </c>
      <c r="AB1926" s="110"/>
      <c r="AC1926" s="25"/>
      <c r="AD1926" s="97">
        <f ca="1">AD1924-AD1925</f>
        <v>6.697661945358675</v>
      </c>
      <c r="AE1926" s="110"/>
      <c r="AF1926" s="25"/>
      <c r="AG1926" s="97">
        <f ca="1">AG1924-AG1925</f>
        <v>-19.848237278411979</v>
      </c>
      <c r="AH1926" s="110"/>
      <c r="AI1926" s="25"/>
      <c r="AJ1926" s="97">
        <f ca="1">AJ1924-AJ1925</f>
        <v>-58.919253767701804</v>
      </c>
      <c r="AK1926" s="110"/>
      <c r="AL1926" s="25"/>
      <c r="AM1926" s="97">
        <f ca="1">AM1924-AM1925</f>
        <v>-102.47911175694489</v>
      </c>
      <c r="AN1926" s="110"/>
      <c r="AO1926" s="25"/>
      <c r="AP1926" s="97">
        <f ca="1">AP1924-AP1925</f>
        <v>-148.62619323360698</v>
      </c>
      <c r="AQ1926" s="110"/>
      <c r="AR1926" s="25"/>
      <c r="AS1926" s="97">
        <f ca="1">AS1924-AS1925</f>
        <v>-215.66979855001227</v>
      </c>
      <c r="AT1926" s="110"/>
      <c r="AU1926" s="25"/>
    </row>
    <row r="1927" spans="15:47" ht="14.4" x14ac:dyDescent="0.3">
      <c r="O1927" s="2" t="s">
        <v>140</v>
      </c>
      <c r="P1927" s="11"/>
      <c r="Q1927" s="2"/>
      <c r="R1927" s="96">
        <f>R1926/R1924</f>
        <v>0.33467253569434996</v>
      </c>
      <c r="S1927" s="106"/>
      <c r="T1927" s="22"/>
      <c r="U1927" s="96">
        <f ca="1">U1926/U1924</f>
        <v>0.33198379643336279</v>
      </c>
      <c r="V1927" s="111"/>
      <c r="W1927" s="28"/>
      <c r="X1927" s="96">
        <f ca="1">X1926/X1924</f>
        <v>0.31806884152364184</v>
      </c>
      <c r="Y1927" s="111"/>
      <c r="Z1927" s="28"/>
      <c r="AA1927" s="96">
        <f ca="1">AA1926/AA1924</f>
        <v>0.26686505765822066</v>
      </c>
      <c r="AB1927" s="111"/>
      <c r="AC1927" s="28"/>
      <c r="AD1927" s="96">
        <f ca="1">AD1926/AD1924</f>
        <v>0.10041824180952041</v>
      </c>
      <c r="AE1927" s="111"/>
      <c r="AF1927" s="28"/>
      <c r="AG1927" s="96">
        <f ca="1">AG1926/AG1924</f>
        <v>-0.49433040875538858</v>
      </c>
      <c r="AH1927" s="111"/>
      <c r="AI1927" s="28"/>
      <c r="AJ1927" s="96">
        <f ca="1">AJ1926/AJ1924</f>
        <v>-54.517195625480603</v>
      </c>
      <c r="AK1927" s="111"/>
      <c r="AL1927" s="28"/>
      <c r="AM1927" s="96">
        <f ca="1">AM1926/AM1924</f>
        <v>2.4124589125899183</v>
      </c>
      <c r="AN1927" s="111"/>
      <c r="AO1927" s="28"/>
      <c r="AP1927" s="96">
        <f ca="1">AP1926/AP1924</f>
        <v>1.6770007580247512</v>
      </c>
      <c r="AQ1927" s="111"/>
      <c r="AR1927" s="28"/>
      <c r="AS1927" s="96">
        <f ca="1">AS1926/AS1924</f>
        <v>1.3854312176084926</v>
      </c>
      <c r="AT1927" s="111"/>
      <c r="AU1927" s="28"/>
    </row>
    <row r="1928" spans="15:47" x14ac:dyDescent="0.25">
      <c r="O1928" s="2" t="s">
        <v>21</v>
      </c>
      <c r="P1928" s="8">
        <v>12</v>
      </c>
      <c r="Q1928" s="2"/>
      <c r="R1928" s="96">
        <f ca="1">1-R1927/(3*F_GAMMA*R$29)</f>
        <v>0.82569947561578028</v>
      </c>
      <c r="S1928" s="106"/>
      <c r="T1928" s="22"/>
      <c r="U1928" s="96">
        <f ca="1">1-U1927/(3*F_GAMMA*U$29)</f>
        <v>0.82713996298691717</v>
      </c>
      <c r="V1928" s="111"/>
      <c r="W1928" s="28"/>
      <c r="X1928" s="96">
        <f ca="1">1-X1927/(3*F_GAMMA*X$29)</f>
        <v>0.83280796307368721</v>
      </c>
      <c r="Y1928" s="111"/>
      <c r="Z1928" s="28"/>
      <c r="AA1928" s="96">
        <f ca="1">1-AA1927/(3*F_GAMMA*AA$29)</f>
        <v>0.85774574060168018</v>
      </c>
      <c r="AB1928" s="111"/>
      <c r="AC1928" s="28"/>
      <c r="AD1928" s="96">
        <f ca="1">1-AD1927/(3*F_GAMMA*AD$29)</f>
        <v>0.94481121686184766</v>
      </c>
      <c r="AE1928" s="111"/>
      <c r="AF1928" s="28"/>
      <c r="AG1928" s="96">
        <f ca="1">1-AG1927/(3*F_GAMMA*AG$29)</f>
        <v>1.2879810617875787</v>
      </c>
      <c r="AH1928" s="111"/>
      <c r="AI1928" s="28"/>
      <c r="AJ1928" s="96">
        <f ca="1">1-AJ1927/(3*F_GAMMA*AJ$29)</f>
        <v>35.169381527425372</v>
      </c>
      <c r="AK1928" s="111"/>
      <c r="AL1928" s="28"/>
      <c r="AM1928" s="96">
        <f ca="1">1-AM1927/(3*F_GAMMA*AM$29)</f>
        <v>-0.69058635696908133</v>
      </c>
      <c r="AN1928" s="111"/>
      <c r="AO1928" s="28"/>
      <c r="AP1928" s="96">
        <f ca="1">1-AP1927/(3*F_GAMMA*AP$29)</f>
        <v>5.3410853541683401E-2</v>
      </c>
      <c r="AQ1928" s="111"/>
      <c r="AR1928" s="28"/>
      <c r="AS1928" s="96">
        <f ca="1">1-AS1927/(3*F_GAMMA*AS$29)</f>
        <v>-0.22596952543235815</v>
      </c>
      <c r="AT1928" s="111"/>
      <c r="AU1928" s="28"/>
    </row>
    <row r="1929" spans="15:47" x14ac:dyDescent="0.25">
      <c r="O1929" s="2" t="s">
        <v>57</v>
      </c>
      <c r="P1929" s="143">
        <v>7</v>
      </c>
      <c r="Q1929" s="2"/>
      <c r="R1929" s="96">
        <f ca="1">(R1922/(N_9*R$27*R1924*R1928))*SQRT(M*'Valve Sizing'!$W$6*'Valve Sizing'!$G$8/R1927)</f>
        <v>1.8644384064728095</v>
      </c>
      <c r="S1929" s="107"/>
      <c r="T1929" s="22"/>
      <c r="U1929" s="96">
        <f ca="1">(U1922/(N_9*U$27*U1924*U1928))*SQRT(M*'Valve Sizing'!$W$6*'Valve Sizing'!$G$8/U1927)</f>
        <v>18.246206343846701</v>
      </c>
      <c r="V1929" s="111"/>
      <c r="W1929" s="28"/>
      <c r="X1929" s="96">
        <f ca="1">(X1922/(N_9*X$27*X1924*X1928))*SQRT(M*'Valve Sizing'!$W$6*'Valve Sizing'!$G$8/X1927)</f>
        <v>46.385300555746234</v>
      </c>
      <c r="Y1929" s="111"/>
      <c r="Z1929" s="28"/>
      <c r="AA1929" s="96">
        <f ca="1">(AA1922/(N_9*AA$27*AA1924*AA1928))*SQRT(M*'Valve Sizing'!$W$6*'Valve Sizing'!$G$8/AA1927)</f>
        <v>103.56819998939538</v>
      </c>
      <c r="AB1929" s="111"/>
      <c r="AC1929" s="28"/>
      <c r="AD1929" s="96">
        <f ca="1">(AD1922/(N_9*AD$27*AD1924*AD1928))*SQRT(M*'Valve Sizing'!$W$6*'Valve Sizing'!$G$8/AD1927)</f>
        <v>319.44388142704111</v>
      </c>
      <c r="AE1929" s="111"/>
      <c r="AF1929" s="28"/>
      <c r="AG1929" s="96" t="e">
        <f ca="1">(AG1922/(N_9*AG$27*AG1924*AG1928))*SQRT(M*'Valve Sizing'!$W$6*'Valve Sizing'!$G$8/AG1927)</f>
        <v>#NUM!</v>
      </c>
      <c r="AH1929" s="111"/>
      <c r="AI1929" s="28"/>
      <c r="AJ1929" s="96" t="e">
        <f ca="1">(AJ1922/(N_9*AJ$27*AJ1924*AJ1928))*SQRT(M*'Valve Sizing'!$W$6*'Valve Sizing'!$G$8/AJ1927)</f>
        <v>#NUM!</v>
      </c>
      <c r="AK1929" s="111"/>
      <c r="AL1929" s="28"/>
      <c r="AM1929" s="96">
        <f ca="1">(AM1922/(N_9*AM$27*AM1924*AM1928))*SQRT(M*'Valve Sizing'!$W$6*'Valve Sizing'!$G$8/AM1927)</f>
        <v>374.0242077814458</v>
      </c>
      <c r="AN1929" s="111"/>
      <c r="AO1929" s="28"/>
      <c r="AP1929" s="96">
        <f ca="1">(AP1922/(N_9*AP$27*AP1924*AP1928))*SQRT(M*'Valve Sizing'!$W$6*'Valve Sizing'!$G$8/AP1927)</f>
        <v>-3673.6850860483532</v>
      </c>
      <c r="AQ1929" s="111"/>
      <c r="AR1929" s="28"/>
      <c r="AS1929" s="96">
        <f ca="1">(AS1922/(N_9*AS$27*AS1924*AS1928))*SQRT(M*'Valve Sizing'!$W$6*'Valve Sizing'!$G$8/AS1927)</f>
        <v>854.20566463623823</v>
      </c>
      <c r="AT1929" s="111"/>
      <c r="AU1929" s="28"/>
    </row>
    <row r="1930" spans="15:47" x14ac:dyDescent="0.25">
      <c r="O1930" s="2" t="s">
        <v>59</v>
      </c>
      <c r="P1930" s="143">
        <v>7</v>
      </c>
      <c r="Q1930" s="2"/>
      <c r="R1930" s="96">
        <f ca="1">(R1922/(N_9*R$27*R1924*0.667))*SQRT(M*'Valve Sizing'!$W$6*'Valve Sizing'!$G$8/R1931)</f>
        <v>1.6689917490275641</v>
      </c>
      <c r="S1930" s="107"/>
      <c r="T1930" s="22"/>
      <c r="U1930" s="96">
        <f ca="1">(U1922/(N_9*U$27*U1924*0.667))*SQRT(M*'Valve Sizing'!$W$6*'Valve Sizing'!$G$8/U1931)</f>
        <v>16.294223924086129</v>
      </c>
      <c r="V1930" s="111"/>
      <c r="W1930" s="28"/>
      <c r="X1930" s="96">
        <f ca="1">(X1922/(N_9*X$27*X1924*0.667))*SQRT(M*'Valve Sizing'!$W$6*'Valve Sizing'!$G$8/X1931)</f>
        <v>41.017372045935247</v>
      </c>
      <c r="Y1930" s="111"/>
      <c r="Z1930" s="28"/>
      <c r="AA1930" s="96">
        <f ca="1">(AA1922/(N_9*AA$27*AA1924*0.667))*SQRT(M*'Valve Sizing'!$W$6*'Valve Sizing'!$G$8/AA1931)</f>
        <v>87.006646777048019</v>
      </c>
      <c r="AB1930" s="111"/>
      <c r="AC1930" s="28"/>
      <c r="AD1930" s="96">
        <f ca="1">(AD1922/(N_9*AD$27*AD1924*0.667))*SQRT(M*'Valve Sizing'!$W$6*'Valve Sizing'!$G$8/AD1931)</f>
        <v>184.11951294999611</v>
      </c>
      <c r="AE1930" s="111"/>
      <c r="AF1930" s="28"/>
      <c r="AG1930" s="96">
        <f ca="1">(AG1922/(N_9*AG$27*AG1924*0.667))*SQRT(M*'Valve Sizing'!$W$6*'Valve Sizing'!$G$8/AG1931)</f>
        <v>469.93471343685013</v>
      </c>
      <c r="AH1930" s="111"/>
      <c r="AI1930" s="28"/>
      <c r="AJ1930" s="96">
        <f ca="1">(AJ1922/(N_9*AJ$27*AJ1924*0.667))*SQRT(M*'Valve Sizing'!$W$6*'Valve Sizing'!$G$8/AJ1931)</f>
        <v>25040.315480578705</v>
      </c>
      <c r="AK1930" s="111"/>
      <c r="AL1930" s="28"/>
      <c r="AM1930" s="96">
        <f ca="1">(AM1922/(N_9*AM$27*AM1924*0.667))*SQRT(M*'Valve Sizing'!$W$6*'Valve Sizing'!$G$8/AM1931)</f>
        <v>-872.10982548046798</v>
      </c>
      <c r="AN1930" s="111"/>
      <c r="AO1930" s="28"/>
      <c r="AP1930" s="96">
        <f ca="1">(AP1922/(N_9*AP$27*AP1924*0.667))*SQRT(M*'Valve Sizing'!$W$6*'Valve Sizing'!$G$8/AP1931)</f>
        <v>-495.7320494093974</v>
      </c>
      <c r="AQ1930" s="111"/>
      <c r="AR1930" s="28"/>
      <c r="AS1930" s="96">
        <f ca="1">(AS1922/(N_9*AS$27*AS1924*0.667))*SQRT(M*'Valve Sizing'!$W$6*'Valve Sizing'!$G$8/AS1931)</f>
        <v>-554.99229203452967</v>
      </c>
      <c r="AT1930" s="111"/>
      <c r="AU1930" s="28"/>
    </row>
    <row r="1931" spans="15:47" ht="15.6" x14ac:dyDescent="0.35">
      <c r="O1931" s="2" t="s">
        <v>68</v>
      </c>
      <c r="P1931" s="143">
        <v>10</v>
      </c>
      <c r="Q1931" s="2"/>
      <c r="R1931" s="96">
        <f ca="1">F_GAMMA*R$29</f>
        <v>0.64002969751372984</v>
      </c>
      <c r="S1931" s="107"/>
      <c r="T1931" s="1"/>
      <c r="U1931" s="96">
        <f ca="1">F_GAMMA*U$29</f>
        <v>0.64017842058782071</v>
      </c>
      <c r="V1931" s="111"/>
      <c r="W1931" s="28"/>
      <c r="X1931" s="96">
        <f ca="1">F_GAMMA*X$29</f>
        <v>0.63413873724904268</v>
      </c>
      <c r="Y1931" s="111"/>
      <c r="Z1931" s="28"/>
      <c r="AA1931" s="96">
        <f ca="1">F_GAMMA*AA$29</f>
        <v>0.62532411750377137</v>
      </c>
      <c r="AB1931" s="111"/>
      <c r="AC1931" s="28"/>
      <c r="AD1931" s="96">
        <f ca="1">F_GAMMA*AD$29</f>
        <v>0.60651359509139569</v>
      </c>
      <c r="AE1931" s="111"/>
      <c r="AF1931" s="28"/>
      <c r="AG1931" s="96">
        <f ca="1">F_GAMMA*AG$29</f>
        <v>0.57217930198481592</v>
      </c>
      <c r="AH1931" s="111"/>
      <c r="AI1931" s="28"/>
      <c r="AJ1931" s="96">
        <f ca="1">F_GAMMA*AJ$29</f>
        <v>0.53183282018848232</v>
      </c>
      <c r="AK1931" s="111"/>
      <c r="AL1931" s="28"/>
      <c r="AM1931" s="96">
        <f ca="1">F_GAMMA*AM$29</f>
        <v>0.47566512503094399</v>
      </c>
      <c r="AN1931" s="111"/>
      <c r="AO1931" s="28"/>
      <c r="AP1931" s="96">
        <f ca="1">F_GAMMA*AP$29</f>
        <v>0.59054158265645496</v>
      </c>
      <c r="AQ1931" s="111"/>
      <c r="AR1931" s="28"/>
      <c r="AS1931" s="96">
        <f ca="1">F_GAMMA*AS$29</f>
        <v>0.3766899554102966</v>
      </c>
      <c r="AT1931" s="111"/>
      <c r="AU1931" s="28"/>
    </row>
    <row r="1932" spans="15:47" x14ac:dyDescent="0.25">
      <c r="O1932" s="2" t="s">
        <v>145</v>
      </c>
      <c r="P1932" s="12"/>
      <c r="Q1932" s="2"/>
      <c r="R1932" s="96">
        <f ca="1">IF(R1927&lt;R1931,R1929,R1930)</f>
        <v>1.8644384064728095</v>
      </c>
      <c r="S1932" s="116"/>
      <c r="T1932" s="1"/>
      <c r="U1932" s="96">
        <f ca="1">IF(U1927&lt;U1931,U1929,U1930)</f>
        <v>18.246206343846701</v>
      </c>
      <c r="V1932" s="111"/>
      <c r="W1932" s="28"/>
      <c r="X1932" s="96">
        <f ca="1">IF(X1927&lt;X1931,X1929,X1930)</f>
        <v>46.385300555746234</v>
      </c>
      <c r="Y1932" s="111"/>
      <c r="Z1932" s="28"/>
      <c r="AA1932" s="96">
        <f ca="1">IF(AA1927&lt;AA1931,AA1929,AA1930)</f>
        <v>103.56819998939538</v>
      </c>
      <c r="AB1932" s="111"/>
      <c r="AC1932" s="28"/>
      <c r="AD1932" s="96">
        <f ca="1">IF(AD1927&lt;AD1931,AD1929,AD1930)</f>
        <v>319.44388142704111</v>
      </c>
      <c r="AE1932" s="111"/>
      <c r="AF1932" s="28"/>
      <c r="AG1932" s="96" t="e">
        <f ca="1">IF(AG1927&lt;AG1931,AG1929,AG1930)</f>
        <v>#NUM!</v>
      </c>
      <c r="AH1932" s="111"/>
      <c r="AI1932" s="28"/>
      <c r="AJ1932" s="96" t="e">
        <f ca="1">IF(AJ1927&lt;AJ1931,AJ1929,AJ1930)</f>
        <v>#NUM!</v>
      </c>
      <c r="AK1932" s="111"/>
      <c r="AL1932" s="28"/>
      <c r="AM1932" s="96">
        <f ca="1">IF(AM1927&lt;AM1931,AM1929,AM1930)</f>
        <v>-872.10982548046798</v>
      </c>
      <c r="AN1932" s="111"/>
      <c r="AO1932" s="28"/>
      <c r="AP1932" s="96">
        <f ca="1">IF(AP1927&lt;AP1931,AP1929,AP1930)</f>
        <v>-495.7320494093974</v>
      </c>
      <c r="AQ1932" s="111"/>
      <c r="AR1932" s="28"/>
      <c r="AS1932" s="96">
        <f ca="1">IF(AS1927&lt;AS1931,AS1929,AS1930)</f>
        <v>-554.99229203452967</v>
      </c>
      <c r="AT1932" s="111"/>
      <c r="AU1932" s="28"/>
    </row>
    <row r="1933" spans="15:47" x14ac:dyDescent="0.25">
      <c r="O1933" s="13" t="s">
        <v>143</v>
      </c>
      <c r="P1933" s="1"/>
      <c r="Q1933" s="1"/>
      <c r="R1933" s="113"/>
      <c r="S1933" s="106">
        <f ca="1">IF(R1926&lt;=0,Q_max,ABS(R$23-R1932))</f>
        <v>2.865561593527191</v>
      </c>
      <c r="T1933" s="7">
        <f>R1922</f>
        <v>4616.4682329254983</v>
      </c>
      <c r="U1933" s="98"/>
      <c r="V1933" s="106">
        <f ca="1">IF(U1926&lt;=0,Q_max,ABS(U$23-U1932))</f>
        <v>6.6462063438467016</v>
      </c>
      <c r="W1933" s="9">
        <f ca="1">U1922</f>
        <v>44864.557110689697</v>
      </c>
      <c r="X1933" s="98"/>
      <c r="Y1933" s="106">
        <f ca="1">IF(X1926&lt;=0,Q_max,ABS(X$23-X1932))</f>
        <v>23.385300555746234</v>
      </c>
      <c r="Z1933" s="9">
        <f ca="1">X1922</f>
        <v>109856.82047486767</v>
      </c>
      <c r="AA1933" s="98"/>
      <c r="AB1933" s="106">
        <f ca="1">IF(AA1926&lt;=0,Q_max,ABS(AA$23-AA1932))</f>
        <v>64.16819998939539</v>
      </c>
      <c r="AC1933" s="9">
        <f ca="1">AA1922</f>
        <v>213973.04583549139</v>
      </c>
      <c r="AD1933" s="98"/>
      <c r="AE1933" s="106">
        <f ca="1">IF(AD1926&lt;=0,Q_max,ABS(AD$23-AD1932))</f>
        <v>258.44388142704111</v>
      </c>
      <c r="AF1933" s="9">
        <f ca="1">AD1922</f>
        <v>358980.20848988666</v>
      </c>
      <c r="AG1933" s="98"/>
      <c r="AH1933" s="106">
        <f ca="1">IF(AG1926&lt;=0,Q_max,ABS(AG$23-AG1932))</f>
        <v>236393</v>
      </c>
      <c r="AI1933" s="9">
        <f ca="1">AG1922</f>
        <v>523941.39152684121</v>
      </c>
      <c r="AJ1933" s="98"/>
      <c r="AK1933" s="106">
        <f ca="1">IF(AJ1926&lt;=0,Q_max,ABS(AJ$23-AJ1932))</f>
        <v>236393</v>
      </c>
      <c r="AL1933" s="9">
        <f ca="1">AJ1922</f>
        <v>699201.81808660028</v>
      </c>
      <c r="AM1933" s="98"/>
      <c r="AN1933" s="106">
        <f ca="1">IF(AM1926&lt;=0,Q_max,ABS(AM$23-AM1932))</f>
        <v>236393</v>
      </c>
      <c r="AO1933" s="9">
        <f ca="1">AM1922</f>
        <v>853159.09434277995</v>
      </c>
      <c r="AP1933" s="98"/>
      <c r="AQ1933" s="106">
        <f ca="1">IF(AP1926&lt;=0,Q_max,ABS(AP$23-AP1932))</f>
        <v>236393</v>
      </c>
      <c r="AR1933" s="9">
        <f ca="1">AP1922</f>
        <v>990491.22252355132</v>
      </c>
      <c r="AS1933" s="98"/>
      <c r="AT1933" s="106">
        <f ca="1">IF(AS1926&lt;=0,Q_max,ABS(AS$23-AS1932))</f>
        <v>236393</v>
      </c>
      <c r="AU1933" s="9">
        <f ca="1">AS1922</f>
        <v>1161428.8555154835</v>
      </c>
    </row>
    <row r="1934" spans="15:47" x14ac:dyDescent="0.25">
      <c r="O1934" s="21"/>
      <c r="P1934" s="14"/>
      <c r="Q1934" s="21"/>
      <c r="R1934" s="97"/>
      <c r="S1934" s="106"/>
      <c r="T1934" s="28"/>
      <c r="U1934" s="97"/>
      <c r="V1934" s="111"/>
      <c r="W1934" s="28"/>
      <c r="X1934" s="97"/>
      <c r="Y1934" s="111"/>
      <c r="Z1934" s="28"/>
      <c r="AA1934" s="97"/>
      <c r="AB1934" s="111"/>
      <c r="AC1934" s="28"/>
      <c r="AD1934" s="97"/>
      <c r="AE1934" s="111"/>
      <c r="AF1934" s="28"/>
      <c r="AG1934" s="97"/>
      <c r="AH1934" s="111"/>
      <c r="AI1934" s="28"/>
      <c r="AJ1934" s="97"/>
      <c r="AK1934" s="111"/>
      <c r="AL1934" s="28"/>
      <c r="AM1934" s="97"/>
      <c r="AN1934" s="111"/>
      <c r="AO1934" s="28"/>
      <c r="AP1934" s="97"/>
      <c r="AQ1934" s="111"/>
      <c r="AR1934" s="28"/>
      <c r="AS1934" s="97"/>
      <c r="AT1934" s="111"/>
      <c r="AU1934" s="28"/>
    </row>
    <row r="1935" spans="15:47" x14ac:dyDescent="0.25">
      <c r="O1935" s="1"/>
      <c r="P1935" s="1"/>
      <c r="Q1935" s="1"/>
      <c r="R1935" s="98"/>
      <c r="S1935" s="108" t="s">
        <v>137</v>
      </c>
      <c r="T1935" s="26" t="s">
        <v>146</v>
      </c>
      <c r="U1935" s="98"/>
      <c r="V1935" s="108" t="s">
        <v>137</v>
      </c>
      <c r="W1935" s="26" t="s">
        <v>146</v>
      </c>
      <c r="X1935" s="98"/>
      <c r="Y1935" s="108" t="s">
        <v>137</v>
      </c>
      <c r="Z1935" s="26" t="s">
        <v>146</v>
      </c>
      <c r="AA1935" s="98"/>
      <c r="AB1935" s="108" t="s">
        <v>137</v>
      </c>
      <c r="AC1935" s="26" t="s">
        <v>146</v>
      </c>
      <c r="AD1935" s="98"/>
      <c r="AE1935" s="108" t="s">
        <v>137</v>
      </c>
      <c r="AF1935" s="26" t="s">
        <v>146</v>
      </c>
      <c r="AG1935" s="98"/>
      <c r="AH1935" s="108" t="s">
        <v>137</v>
      </c>
      <c r="AI1935" s="26" t="s">
        <v>146</v>
      </c>
      <c r="AJ1935" s="98"/>
      <c r="AK1935" s="108" t="s">
        <v>137</v>
      </c>
      <c r="AL1935" s="26" t="s">
        <v>146</v>
      </c>
      <c r="AM1935" s="98"/>
      <c r="AN1935" s="108" t="s">
        <v>137</v>
      </c>
      <c r="AO1935" s="26" t="s">
        <v>146</v>
      </c>
      <c r="AP1935" s="98"/>
      <c r="AQ1935" s="108" t="s">
        <v>137</v>
      </c>
      <c r="AR1935" s="26" t="s">
        <v>146</v>
      </c>
      <c r="AS1935" s="98"/>
      <c r="AT1935" s="108" t="s">
        <v>137</v>
      </c>
      <c r="AU1935" s="26" t="s">
        <v>146</v>
      </c>
    </row>
    <row r="1936" spans="15:47" ht="13.8" x14ac:dyDescent="0.25">
      <c r="O1936" s="20" t="s">
        <v>136</v>
      </c>
      <c r="P1936" s="1"/>
      <c r="Q1936" s="1"/>
      <c r="R1936" s="96">
        <f>R1922*1.02</f>
        <v>4708.7975975840081</v>
      </c>
      <c r="S1936" s="109" t="s">
        <v>144</v>
      </c>
      <c r="T1936" s="23" t="s">
        <v>147</v>
      </c>
      <c r="U1936" s="96">
        <f ca="1">U1922*1.01</f>
        <v>45313.202681796596</v>
      </c>
      <c r="V1936" s="109" t="s">
        <v>144</v>
      </c>
      <c r="W1936" s="23" t="s">
        <v>147</v>
      </c>
      <c r="X1936" s="96">
        <f ca="1">X1922*1.01</f>
        <v>110955.38867961634</v>
      </c>
      <c r="Y1936" s="109" t="s">
        <v>144</v>
      </c>
      <c r="Z1936" s="23" t="s">
        <v>147</v>
      </c>
      <c r="AA1936" s="96">
        <f ca="1">AA1922*1.01</f>
        <v>216112.77629384631</v>
      </c>
      <c r="AB1936" s="109" t="s">
        <v>144</v>
      </c>
      <c r="AC1936" s="23" t="s">
        <v>147</v>
      </c>
      <c r="AD1936" s="96">
        <f ca="1">AD1922*1.01</f>
        <v>362570.01057478553</v>
      </c>
      <c r="AE1936" s="109" t="s">
        <v>144</v>
      </c>
      <c r="AF1936" s="23" t="s">
        <v>147</v>
      </c>
      <c r="AG1936" s="96">
        <f ca="1">AG1922*1.01</f>
        <v>529180.80544210959</v>
      </c>
      <c r="AH1936" s="109" t="s">
        <v>144</v>
      </c>
      <c r="AI1936" s="23" t="s">
        <v>147</v>
      </c>
      <c r="AJ1936" s="96">
        <f ca="1">AJ1922*1.01</f>
        <v>706193.83626746631</v>
      </c>
      <c r="AK1936" s="109" t="s">
        <v>144</v>
      </c>
      <c r="AL1936" s="23" t="s">
        <v>147</v>
      </c>
      <c r="AM1936" s="96">
        <f ca="1">AM1922*1.01</f>
        <v>861690.68528620771</v>
      </c>
      <c r="AN1936" s="109" t="s">
        <v>144</v>
      </c>
      <c r="AO1936" s="23" t="s">
        <v>147</v>
      </c>
      <c r="AP1936" s="96">
        <f ca="1">AP1922*1.01</f>
        <v>1000396.1347487868</v>
      </c>
      <c r="AQ1936" s="109" t="s">
        <v>144</v>
      </c>
      <c r="AR1936" s="23" t="s">
        <v>147</v>
      </c>
      <c r="AS1936" s="96">
        <f ca="1">AS1922*1.01</f>
        <v>1173043.1440706383</v>
      </c>
      <c r="AT1936" s="109" t="s">
        <v>144</v>
      </c>
      <c r="AU1936" s="23" t="s">
        <v>147</v>
      </c>
    </row>
    <row r="1937" spans="15:47" x14ac:dyDescent="0.25">
      <c r="O1937" s="1"/>
      <c r="P1937" s="1"/>
      <c r="Q1937" s="1"/>
      <c r="R1937" s="98"/>
      <c r="S1937" s="107"/>
      <c r="T1937" s="1"/>
      <c r="U1937" s="47"/>
      <c r="V1937" s="107"/>
      <c r="W1937" s="1"/>
      <c r="X1937" s="47"/>
      <c r="Y1937" s="107"/>
      <c r="Z1937" s="1"/>
      <c r="AA1937" s="47"/>
      <c r="AB1937" s="107"/>
      <c r="AC1937" s="1"/>
      <c r="AD1937" s="47"/>
      <c r="AE1937" s="107"/>
      <c r="AF1937" s="1"/>
      <c r="AG1937" s="47"/>
      <c r="AH1937" s="107"/>
      <c r="AI1937" s="1"/>
      <c r="AJ1937" s="47"/>
      <c r="AK1937" s="107"/>
      <c r="AL1937" s="1"/>
      <c r="AM1937" s="47"/>
      <c r="AN1937" s="107"/>
      <c r="AO1937" s="1"/>
      <c r="AP1937" s="47"/>
      <c r="AQ1937" s="107"/>
      <c r="AR1937" s="1"/>
      <c r="AS1937" s="47"/>
      <c r="AT1937" s="107"/>
      <c r="AU1937" s="1"/>
    </row>
    <row r="1938" spans="15:47" x14ac:dyDescent="0.25">
      <c r="O1938" s="8" t="s">
        <v>132</v>
      </c>
      <c r="P1938" s="8"/>
      <c r="Q1938" s="8"/>
      <c r="R1938" s="96">
        <f>P_1_minQ-(R1936^2*R_up)+dpup_minQ</f>
        <v>90.180999300113911</v>
      </c>
      <c r="S1938" s="106"/>
      <c r="T1938" s="22"/>
      <c r="U1938" s="96">
        <f ca="1">P_1_minQ-(U1936^2*R_up)+dpup_minQ</f>
        <v>89.810806691465856</v>
      </c>
      <c r="V1938" s="107"/>
      <c r="W1938" s="1"/>
      <c r="X1938" s="96">
        <f ca="1">P_1_minQ-(X1936^2*R_up)+dpup_minQ</f>
        <v>87.941208540395209</v>
      </c>
      <c r="Y1938" s="107"/>
      <c r="Z1938" s="1"/>
      <c r="AA1938" s="96">
        <f ca="1">P_1_minQ-(AA1936^2*R_up)+dpup_minQ</f>
        <v>81.672593504419638</v>
      </c>
      <c r="AB1938" s="107"/>
      <c r="AC1938" s="1"/>
      <c r="AD1938" s="96">
        <f ca="1">P_1_minQ-(AD1936^2*R_up)+dpup_minQ</f>
        <v>66.225565635802241</v>
      </c>
      <c r="AE1938" s="107"/>
      <c r="AF1938" s="1"/>
      <c r="AG1938" s="96">
        <f ca="1">P_1_minQ-(AG1936^2*R_up)+dpup_minQ</f>
        <v>39.146093837633806</v>
      </c>
      <c r="AH1938" s="107"/>
      <c r="AI1938" s="1"/>
      <c r="AJ1938" s="96">
        <f ca="1">P_1_minQ-(AJ1936^2*R_up)+dpup_minQ</f>
        <v>-0.71025008309074289</v>
      </c>
      <c r="AK1938" s="107"/>
      <c r="AL1938" s="1"/>
      <c r="AM1938" s="96">
        <f ca="1">P_1_minQ-(AM1936^2*R_up)+dpup_minQ</f>
        <v>-45.145661217917592</v>
      </c>
      <c r="AN1938" s="107"/>
      <c r="AO1938" s="1"/>
      <c r="AP1938" s="96">
        <f ca="1">P_1_minQ-(AP1936^2*R_up)+dpup_minQ</f>
        <v>-92.220299032260613</v>
      </c>
      <c r="AQ1938" s="107"/>
      <c r="AR1938" s="1"/>
      <c r="AS1938" s="96">
        <f ca="1">P_1_minQ-(AS1936^2*R_up)+dpup_minQ</f>
        <v>-160.61148081552568</v>
      </c>
      <c r="AT1938" s="107"/>
      <c r="AU1938" s="1"/>
    </row>
    <row r="1939" spans="15:47" x14ac:dyDescent="0.25">
      <c r="O1939" s="8" t="s">
        <v>134</v>
      </c>
      <c r="P1939" s="1"/>
      <c r="Q1939" s="8"/>
      <c r="R1939" s="97">
        <f>P_2_minQ+(R1936^2*R_dn)-dpdn_minQ</f>
        <v>60</v>
      </c>
      <c r="S1939" s="106"/>
      <c r="T1939" s="22"/>
      <c r="U1939" s="97">
        <f ca="1">P_2_minQ+(U1936^2*R_dn)-dpdn_minQ</f>
        <v>60</v>
      </c>
      <c r="V1939" s="107"/>
      <c r="W1939" s="1"/>
      <c r="X1939" s="97">
        <f ca="1">P_2_minQ+(X1936^2*R_dn)-dpdn_minQ</f>
        <v>60</v>
      </c>
      <c r="Y1939" s="107"/>
      <c r="Z1939" s="1"/>
      <c r="AA1939" s="97">
        <f ca="1">P_2_minQ+(AA1936^2*R_dn)-dpdn_minQ</f>
        <v>60</v>
      </c>
      <c r="AB1939" s="107"/>
      <c r="AC1939" s="1"/>
      <c r="AD1939" s="97">
        <f ca="1">P_2_minQ+(AD1936^2*R_dn)-dpdn_minQ</f>
        <v>60</v>
      </c>
      <c r="AE1939" s="107"/>
      <c r="AF1939" s="1"/>
      <c r="AG1939" s="97">
        <f ca="1">P_2_minQ+(AG1936^2*R_dn)-dpdn_minQ</f>
        <v>60</v>
      </c>
      <c r="AH1939" s="107"/>
      <c r="AI1939" s="1"/>
      <c r="AJ1939" s="97">
        <f ca="1">P_2_minQ+(AJ1936^2*R_dn)-dpdn_minQ</f>
        <v>60</v>
      </c>
      <c r="AK1939" s="107"/>
      <c r="AL1939" s="1"/>
      <c r="AM1939" s="97">
        <f ca="1">P_2_minQ+(AM1936^2*R_dn)-dpdn_minQ</f>
        <v>60</v>
      </c>
      <c r="AN1939" s="107"/>
      <c r="AO1939" s="1"/>
      <c r="AP1939" s="97">
        <f ca="1">P_2_minQ+(AP1936^2*R_dn)-dpdn_minQ</f>
        <v>60</v>
      </c>
      <c r="AQ1939" s="107"/>
      <c r="AR1939" s="1"/>
      <c r="AS1939" s="97">
        <f ca="1">P_2_minQ+(AS1936^2*R_dn)-dpdn_minQ</f>
        <v>60</v>
      </c>
      <c r="AT1939" s="107"/>
      <c r="AU1939" s="1"/>
    </row>
    <row r="1940" spans="15:47" x14ac:dyDescent="0.25">
      <c r="O1940" s="8" t="s">
        <v>138</v>
      </c>
      <c r="P1940" s="1"/>
      <c r="Q1940" s="8"/>
      <c r="R1940" s="97">
        <f>R1938-R1939</f>
        <v>30.180999300113911</v>
      </c>
      <c r="S1940" s="106"/>
      <c r="T1940" s="22"/>
      <c r="U1940" s="97">
        <f ca="1">U1938-U1939</f>
        <v>29.810806691465856</v>
      </c>
      <c r="V1940" s="110"/>
      <c r="W1940" s="25"/>
      <c r="X1940" s="97">
        <f ca="1">X1938-X1939</f>
        <v>27.941208540395209</v>
      </c>
      <c r="Y1940" s="110"/>
      <c r="Z1940" s="25"/>
      <c r="AA1940" s="97">
        <f ca="1">AA1938-AA1939</f>
        <v>21.672593504419638</v>
      </c>
      <c r="AB1940" s="110"/>
      <c r="AC1940" s="25"/>
      <c r="AD1940" s="97">
        <f ca="1">AD1938-AD1939</f>
        <v>6.2255656358022406</v>
      </c>
      <c r="AE1940" s="110"/>
      <c r="AF1940" s="25"/>
      <c r="AG1940" s="97">
        <f ca="1">AG1938-AG1939</f>
        <v>-20.853906162366194</v>
      </c>
      <c r="AH1940" s="110"/>
      <c r="AI1940" s="25"/>
      <c r="AJ1940" s="97">
        <f ca="1">AJ1938-AJ1939</f>
        <v>-60.710250083090742</v>
      </c>
      <c r="AK1940" s="110"/>
      <c r="AL1940" s="25"/>
      <c r="AM1940" s="97">
        <f ca="1">AM1938-AM1939</f>
        <v>-105.14566121791759</v>
      </c>
      <c r="AN1940" s="110"/>
      <c r="AO1940" s="25"/>
      <c r="AP1940" s="97">
        <f ca="1">AP1938-AP1939</f>
        <v>-152.22029903226061</v>
      </c>
      <c r="AQ1940" s="110"/>
      <c r="AR1940" s="25"/>
      <c r="AS1940" s="97">
        <f ca="1">AS1938-AS1939</f>
        <v>-220.61148081552568</v>
      </c>
      <c r="AT1940" s="110"/>
      <c r="AU1940" s="25"/>
    </row>
    <row r="1941" spans="15:47" ht="14.4" x14ac:dyDescent="0.3">
      <c r="O1941" s="2" t="s">
        <v>140</v>
      </c>
      <c r="P1941" s="11"/>
      <c r="Q1941" s="2"/>
      <c r="R1941" s="96">
        <f>R1940/R1938</f>
        <v>0.33467137794375479</v>
      </c>
      <c r="S1941" s="106"/>
      <c r="T1941" s="22"/>
      <c r="U1941" s="96">
        <f ca="1">U1940/U1938</f>
        <v>0.33192894919513716</v>
      </c>
      <c r="V1941" s="111"/>
      <c r="W1941" s="28"/>
      <c r="X1941" s="96">
        <f ca="1">X1940/X1938</f>
        <v>0.31772600131553347</v>
      </c>
      <c r="Y1941" s="111"/>
      <c r="Z1941" s="28"/>
      <c r="AA1941" s="96">
        <f ca="1">AA1940/AA1938</f>
        <v>0.2653594379030812</v>
      </c>
      <c r="AB1941" s="111"/>
      <c r="AC1941" s="28"/>
      <c r="AD1941" s="96">
        <f ca="1">AD1940/AD1938</f>
        <v>9.4005473204091958E-2</v>
      </c>
      <c r="AE1941" s="111"/>
      <c r="AF1941" s="28"/>
      <c r="AG1941" s="96">
        <f ca="1">AG1940/AG1938</f>
        <v>-0.53271997581321673</v>
      </c>
      <c r="AH1941" s="111"/>
      <c r="AI1941" s="28"/>
      <c r="AJ1941" s="96">
        <f ca="1">AJ1940/AJ1938</f>
        <v>85.477286843674023</v>
      </c>
      <c r="AK1941" s="111"/>
      <c r="AL1941" s="28"/>
      <c r="AM1941" s="96">
        <f ca="1">AM1940/AM1938</f>
        <v>2.3290313704872032</v>
      </c>
      <c r="AN1941" s="111"/>
      <c r="AO1941" s="28"/>
      <c r="AP1941" s="96">
        <f ca="1">AP1940/AP1938</f>
        <v>1.6506159774976519</v>
      </c>
      <c r="AQ1941" s="111"/>
      <c r="AR1941" s="28"/>
      <c r="AS1941" s="96">
        <f ca="1">AS1940/AS1938</f>
        <v>1.3735722981653753</v>
      </c>
      <c r="AT1941" s="111"/>
      <c r="AU1941" s="28"/>
    </row>
    <row r="1942" spans="15:47" x14ac:dyDescent="0.25">
      <c r="O1942" s="2" t="s">
        <v>21</v>
      </c>
      <c r="P1942" s="8">
        <v>12</v>
      </c>
      <c r="Q1942" s="2"/>
      <c r="R1942" s="96">
        <f ca="1">1-R1941/(3*F_GAMMA*R$29)</f>
        <v>0.82570007858290284</v>
      </c>
      <c r="S1942" s="106"/>
      <c r="T1942" s="22"/>
      <c r="U1942" s="96">
        <f ca="1">1-U1941/(3*F_GAMMA*U$29)</f>
        <v>0.82716852129527918</v>
      </c>
      <c r="V1942" s="111"/>
      <c r="W1942" s="28"/>
      <c r="X1942" s="96">
        <f ca="1">1-X1941/(3*F_GAMMA*X$29)</f>
        <v>0.8329881761132899</v>
      </c>
      <c r="Y1942" s="111"/>
      <c r="Z1942" s="28"/>
      <c r="AA1942" s="96">
        <f ca="1">1-AA1941/(3*F_GAMMA*AA$29)</f>
        <v>0.85854832159554395</v>
      </c>
      <c r="AB1942" s="111"/>
      <c r="AC1942" s="28"/>
      <c r="AD1942" s="96">
        <f ca="1">1-AD1941/(3*F_GAMMA*AD$29)</f>
        <v>0.94833560535444317</v>
      </c>
      <c r="AE1942" s="111"/>
      <c r="AF1942" s="28"/>
      <c r="AG1942" s="96">
        <f ca="1">1-AG1941/(3*F_GAMMA*AG$29)</f>
        <v>1.3103455938638349</v>
      </c>
      <c r="AH1942" s="111"/>
      <c r="AI1942" s="28"/>
      <c r="AJ1942" s="96">
        <f ca="1">1-AJ1941/(3*F_GAMMA*AJ$29)</f>
        <v>-52.574032790593073</v>
      </c>
      <c r="AK1942" s="111"/>
      <c r="AL1942" s="28"/>
      <c r="AM1942" s="96">
        <f ca="1">1-AM1941/(3*F_GAMMA*AM$29)</f>
        <v>-0.632122578067704</v>
      </c>
      <c r="AN1942" s="111"/>
      <c r="AO1942" s="28"/>
      <c r="AP1942" s="96">
        <f ca="1">1-AP1941/(3*F_GAMMA*AP$29)</f>
        <v>6.8303838389259908E-2</v>
      </c>
      <c r="AQ1942" s="111"/>
      <c r="AR1942" s="28"/>
      <c r="AS1942" s="96">
        <f ca="1">1-AS1941/(3*F_GAMMA*AS$29)</f>
        <v>-0.21547555528282203</v>
      </c>
      <c r="AT1942" s="111"/>
      <c r="AU1942" s="28"/>
    </row>
    <row r="1943" spans="15:47" x14ac:dyDescent="0.25">
      <c r="O1943" s="2" t="s">
        <v>57</v>
      </c>
      <c r="P1943" s="143">
        <v>7</v>
      </c>
      <c r="Q1943" s="2"/>
      <c r="R1943" s="96">
        <f ca="1">(R1936/(N_9*R$27*R1938*R1942))*SQRT(M*'Valve Sizing'!$W$6*'Valve Sizing'!$G$8/R1941)</f>
        <v>1.9017323844857656</v>
      </c>
      <c r="S1943" s="107"/>
      <c r="T1943" s="22"/>
      <c r="U1943" s="96">
        <f ca="1">(U1936/(N_9*U$27*U1938*U1942))*SQRT(M*'Valve Sizing'!$W$6*'Valve Sizing'!$G$8/U1941)</f>
        <v>18.43106774432054</v>
      </c>
      <c r="V1943" s="111"/>
      <c r="W1943" s="28"/>
      <c r="X1943" s="96">
        <f ca="1">(X1936/(N_9*X$27*X1938*X1942))*SQRT(M*'Valve Sizing'!$W$6*'Valve Sizing'!$G$8/X1941)</f>
        <v>46.887842797958569</v>
      </c>
      <c r="Y1943" s="111"/>
      <c r="Z1943" s="28"/>
      <c r="AA1943" s="96">
        <f ca="1">(AA1936/(N_9*AA$27*AA1938*AA1942))*SQRT(M*'Valve Sizing'!$W$6*'Valve Sizing'!$G$8/AA1941)</f>
        <v>105.01738505526448</v>
      </c>
      <c r="AB1943" s="111"/>
      <c r="AC1943" s="28"/>
      <c r="AD1943" s="96">
        <f ca="1">(AD1936/(N_9*AD$27*AD1938*AD1942))*SQRT(M*'Valve Sizing'!$W$6*'Valve Sizing'!$G$8/AD1941)</f>
        <v>334.59049741753978</v>
      </c>
      <c r="AE1943" s="111"/>
      <c r="AF1943" s="28"/>
      <c r="AG1943" s="96" t="e">
        <f ca="1">(AG1936/(N_9*AG$27*AG1938*AG1942))*SQRT(M*'Valve Sizing'!$W$6*'Valve Sizing'!$G$8/AG1941)</f>
        <v>#NUM!</v>
      </c>
      <c r="AH1943" s="111"/>
      <c r="AI1943" s="28"/>
      <c r="AJ1943" s="96">
        <f ca="1">(AJ1936/(N_9*AJ$27*AJ1938*AJ1942))*SQRT(M*'Valve Sizing'!$W$6*'Valve Sizing'!$G$8/AJ1941)</f>
        <v>38.51149271026447</v>
      </c>
      <c r="AK1943" s="111"/>
      <c r="AL1943" s="28"/>
      <c r="AM1943" s="96">
        <f ca="1">(AM1936/(N_9*AM$27*AM1938*AM1942))*SQRT(M*'Valve Sizing'!$W$6*'Valve Sizing'!$G$8/AM1941)</f>
        <v>395.22051482920921</v>
      </c>
      <c r="AN1943" s="111"/>
      <c r="AO1943" s="28"/>
      <c r="AP1943" s="96">
        <f ca="1">(AP1936/(N_9*AP$27*AP1938*AP1942))*SQRT(M*'Valve Sizing'!$W$6*'Valve Sizing'!$G$8/AP1941)</f>
        <v>-2810.521318314075</v>
      </c>
      <c r="AQ1943" s="111"/>
      <c r="AR1943" s="28"/>
      <c r="AS1943" s="96">
        <f ca="1">(AS1936/(N_9*AS$27*AS1938*AS1942))*SQRT(M*'Valve Sizing'!$W$6*'Valve Sizing'!$G$8/AS1941)</f>
        <v>880.70444016172814</v>
      </c>
      <c r="AT1943" s="111"/>
      <c r="AU1943" s="28"/>
    </row>
    <row r="1944" spans="15:47" x14ac:dyDescent="0.25">
      <c r="O1944" s="2" t="s">
        <v>59</v>
      </c>
      <c r="P1944" s="143">
        <v>7</v>
      </c>
      <c r="Q1944" s="2"/>
      <c r="R1944" s="96">
        <f ca="1">(R1936/(N_9*R$27*R1938*0.667))*SQRT(M*'Valve Sizing'!$W$6*'Valve Sizing'!$G$8/R1945)</f>
        <v>1.7023745463414328</v>
      </c>
      <c r="S1944" s="107"/>
      <c r="T1944" s="22"/>
      <c r="U1944" s="96">
        <f ca="1">(U1936/(N_9*U$27*U1938*0.667))*SQRT(M*'Valve Sizing'!$W$6*'Valve Sizing'!$G$8/U1945)</f>
        <v>16.458517373235164</v>
      </c>
      <c r="V1944" s="111"/>
      <c r="W1944" s="28"/>
      <c r="X1944" s="96">
        <f ca="1">(X1936/(N_9*X$27*X1938*0.667))*SQRT(M*'Valve Sizing'!$W$6*'Valve Sizing'!$G$8/X1945)</f>
        <v>41.448373423608132</v>
      </c>
      <c r="Y1944" s="111"/>
      <c r="Z1944" s="28"/>
      <c r="AA1944" s="96">
        <f ca="1">(AA1936/(N_9*AA$27*AA1938*0.667))*SQRT(M*'Valve Sizing'!$W$6*'Valve Sizing'!$G$8/AA1945)</f>
        <v>88.057183316338339</v>
      </c>
      <c r="AB1944" s="111"/>
      <c r="AC1944" s="28"/>
      <c r="AD1944" s="96">
        <f ca="1">(AD1936/(N_9*AD$27*AD1938*0.667))*SQRT(M*'Valve Sizing'!$W$6*'Valve Sizing'!$G$8/AD1945)</f>
        <v>187.28634966766501</v>
      </c>
      <c r="AE1944" s="111"/>
      <c r="AF1944" s="28"/>
      <c r="AG1944" s="96">
        <f ca="1">(AG1936/(N_9*AG$27*AG1938*0.667))*SQRT(M*'Valve Sizing'!$W$6*'Valve Sizing'!$G$8/AG1945)</f>
        <v>486.82747910133077</v>
      </c>
      <c r="AH1944" s="111"/>
      <c r="AI1944" s="28"/>
      <c r="AJ1944" s="96">
        <f ca="1">(AJ1936/(N_9*AJ$27*AJ1938*0.667))*SQRT(M*'Valve Sizing'!$W$6*'Valve Sizing'!$G$8/AJ1945)</f>
        <v>-38483.415247715566</v>
      </c>
      <c r="AK1944" s="111"/>
      <c r="AL1944" s="28"/>
      <c r="AM1944" s="96">
        <f ca="1">(AM1936/(N_9*AM$27*AM1938*0.667))*SQRT(M*'Valve Sizing'!$W$6*'Valve Sizing'!$G$8/AM1945)</f>
        <v>-828.80423586471841</v>
      </c>
      <c r="AN1944" s="111"/>
      <c r="AO1944" s="28"/>
      <c r="AP1944" s="96">
        <f ca="1">(AP1936/(N_9*AP$27*AP1938*0.667))*SQRT(M*'Valve Sizing'!$W$6*'Valve Sizing'!$G$8/AP1945)</f>
        <v>-481.17598091453505</v>
      </c>
      <c r="AQ1944" s="111"/>
      <c r="AR1944" s="28"/>
      <c r="AS1944" s="96">
        <f ca="1">(AS1936/(N_9*AS$27*AS1938*0.667))*SQRT(M*'Valve Sizing'!$W$6*'Valve Sizing'!$G$8/AS1945)</f>
        <v>-543.2954931847438</v>
      </c>
      <c r="AT1944" s="111"/>
      <c r="AU1944" s="28"/>
    </row>
    <row r="1945" spans="15:47" ht="15.6" x14ac:dyDescent="0.35">
      <c r="O1945" s="2" t="s">
        <v>68</v>
      </c>
      <c r="P1945" s="143">
        <v>10</v>
      </c>
      <c r="Q1945" s="2"/>
      <c r="R1945" s="96">
        <f ca="1">F_GAMMA*R$29</f>
        <v>0.64002969751372984</v>
      </c>
      <c r="S1945" s="107"/>
      <c r="T1945" s="1"/>
      <c r="U1945" s="96">
        <f ca="1">F_GAMMA*U$29</f>
        <v>0.64017842058782071</v>
      </c>
      <c r="V1945" s="111"/>
      <c r="W1945" s="28"/>
      <c r="X1945" s="96">
        <f ca="1">F_GAMMA*X$29</f>
        <v>0.63413873724904268</v>
      </c>
      <c r="Y1945" s="111"/>
      <c r="Z1945" s="28"/>
      <c r="AA1945" s="96">
        <f ca="1">F_GAMMA*AA$29</f>
        <v>0.62532411750377137</v>
      </c>
      <c r="AB1945" s="111"/>
      <c r="AC1945" s="28"/>
      <c r="AD1945" s="96">
        <f ca="1">F_GAMMA*AD$29</f>
        <v>0.60651359509139569</v>
      </c>
      <c r="AE1945" s="111"/>
      <c r="AF1945" s="28"/>
      <c r="AG1945" s="96">
        <f ca="1">F_GAMMA*AG$29</f>
        <v>0.57217930198481592</v>
      </c>
      <c r="AH1945" s="111"/>
      <c r="AI1945" s="28"/>
      <c r="AJ1945" s="96">
        <f ca="1">F_GAMMA*AJ$29</f>
        <v>0.53183282018848232</v>
      </c>
      <c r="AK1945" s="111"/>
      <c r="AL1945" s="28"/>
      <c r="AM1945" s="96">
        <f ca="1">F_GAMMA*AM$29</f>
        <v>0.47566512503094399</v>
      </c>
      <c r="AN1945" s="111"/>
      <c r="AO1945" s="28"/>
      <c r="AP1945" s="96">
        <f ca="1">F_GAMMA*AP$29</f>
        <v>0.59054158265645496</v>
      </c>
      <c r="AQ1945" s="111"/>
      <c r="AR1945" s="28"/>
      <c r="AS1945" s="96">
        <f ca="1">F_GAMMA*AS$29</f>
        <v>0.3766899554102966</v>
      </c>
      <c r="AT1945" s="111"/>
      <c r="AU1945" s="28"/>
    </row>
    <row r="1946" spans="15:47" x14ac:dyDescent="0.25">
      <c r="O1946" s="2" t="s">
        <v>145</v>
      </c>
      <c r="P1946" s="12"/>
      <c r="Q1946" s="2"/>
      <c r="R1946" s="96">
        <f ca="1">IF(R1941&lt;R1945,R1943,R1944)</f>
        <v>1.9017323844857656</v>
      </c>
      <c r="S1946" s="116"/>
      <c r="T1946" s="1"/>
      <c r="U1946" s="96">
        <f ca="1">IF(U1941&lt;U1945,U1943,U1944)</f>
        <v>18.43106774432054</v>
      </c>
      <c r="V1946" s="111"/>
      <c r="W1946" s="28"/>
      <c r="X1946" s="96">
        <f ca="1">IF(X1941&lt;X1945,X1943,X1944)</f>
        <v>46.887842797958569</v>
      </c>
      <c r="Y1946" s="111"/>
      <c r="Z1946" s="28"/>
      <c r="AA1946" s="96">
        <f ca="1">IF(AA1941&lt;AA1945,AA1943,AA1944)</f>
        <v>105.01738505526448</v>
      </c>
      <c r="AB1946" s="111"/>
      <c r="AC1946" s="28"/>
      <c r="AD1946" s="96">
        <f ca="1">IF(AD1941&lt;AD1945,AD1943,AD1944)</f>
        <v>334.59049741753978</v>
      </c>
      <c r="AE1946" s="111"/>
      <c r="AF1946" s="28"/>
      <c r="AG1946" s="96" t="e">
        <f ca="1">IF(AG1941&lt;AG1945,AG1943,AG1944)</f>
        <v>#NUM!</v>
      </c>
      <c r="AH1946" s="111"/>
      <c r="AI1946" s="28"/>
      <c r="AJ1946" s="96">
        <f ca="1">IF(AJ1941&lt;AJ1945,AJ1943,AJ1944)</f>
        <v>-38483.415247715566</v>
      </c>
      <c r="AK1946" s="111"/>
      <c r="AL1946" s="28"/>
      <c r="AM1946" s="96">
        <f ca="1">IF(AM1941&lt;AM1945,AM1943,AM1944)</f>
        <v>-828.80423586471841</v>
      </c>
      <c r="AN1946" s="111"/>
      <c r="AO1946" s="28"/>
      <c r="AP1946" s="96">
        <f ca="1">IF(AP1941&lt;AP1945,AP1943,AP1944)</f>
        <v>-481.17598091453505</v>
      </c>
      <c r="AQ1946" s="111"/>
      <c r="AR1946" s="28"/>
      <c r="AS1946" s="96">
        <f ca="1">IF(AS1941&lt;AS1945,AS1943,AS1944)</f>
        <v>-543.2954931847438</v>
      </c>
      <c r="AT1946" s="111"/>
      <c r="AU1946" s="28"/>
    </row>
    <row r="1947" spans="15:47" x14ac:dyDescent="0.25">
      <c r="O1947" s="13" t="s">
        <v>143</v>
      </c>
      <c r="P1947" s="1"/>
      <c r="Q1947" s="1"/>
      <c r="R1947" s="113"/>
      <c r="S1947" s="106">
        <f ca="1">IF(R1940&lt;=0,Q_max,ABS(R$23-R1946))</f>
        <v>2.8282676155142346</v>
      </c>
      <c r="T1947" s="7">
        <f>R1936</f>
        <v>4708.7975975840081</v>
      </c>
      <c r="U1947" s="98"/>
      <c r="V1947" s="106">
        <f ca="1">IF(U1940&lt;=0,Q_max,ABS(U$23-U1946))</f>
        <v>6.8310677443205403</v>
      </c>
      <c r="W1947" s="9">
        <f ca="1">U1936</f>
        <v>45313.202681796596</v>
      </c>
      <c r="X1947" s="98"/>
      <c r="Y1947" s="106">
        <f ca="1">IF(X1940&lt;=0,Q_max,ABS(X$23-X1946))</f>
        <v>23.887842797958569</v>
      </c>
      <c r="Z1947" s="9">
        <f ca="1">X1936</f>
        <v>110955.38867961634</v>
      </c>
      <c r="AA1947" s="98"/>
      <c r="AB1947" s="106">
        <f ca="1">IF(AA1940&lt;=0,Q_max,ABS(AA$23-AA1946))</f>
        <v>65.617385055264492</v>
      </c>
      <c r="AC1947" s="9">
        <f ca="1">AA1936</f>
        <v>216112.77629384631</v>
      </c>
      <c r="AD1947" s="98"/>
      <c r="AE1947" s="106">
        <f ca="1">IF(AD1940&lt;=0,Q_max,ABS(AD$23-AD1946))</f>
        <v>273.59049741753978</v>
      </c>
      <c r="AF1947" s="9">
        <f ca="1">AD1936</f>
        <v>362570.01057478553</v>
      </c>
      <c r="AG1947" s="98"/>
      <c r="AH1947" s="106">
        <f ca="1">IF(AG1940&lt;=0,Q_max,ABS(AG$23-AG1946))</f>
        <v>236393</v>
      </c>
      <c r="AI1947" s="9">
        <f ca="1">AG1936</f>
        <v>529180.80544210959</v>
      </c>
      <c r="AJ1947" s="98"/>
      <c r="AK1947" s="106">
        <f ca="1">IF(AJ1940&lt;=0,Q_max,ABS(AJ$23-AJ1946))</f>
        <v>236393</v>
      </c>
      <c r="AL1947" s="9">
        <f ca="1">AJ1936</f>
        <v>706193.83626746631</v>
      </c>
      <c r="AM1947" s="98"/>
      <c r="AN1947" s="106">
        <f ca="1">IF(AM1940&lt;=0,Q_max,ABS(AM$23-AM1946))</f>
        <v>236393</v>
      </c>
      <c r="AO1947" s="9">
        <f ca="1">AM1936</f>
        <v>861690.68528620771</v>
      </c>
      <c r="AP1947" s="98"/>
      <c r="AQ1947" s="106">
        <f ca="1">IF(AP1940&lt;=0,Q_max,ABS(AP$23-AP1946))</f>
        <v>236393</v>
      </c>
      <c r="AR1947" s="9">
        <f ca="1">AP1936</f>
        <v>1000396.1347487868</v>
      </c>
      <c r="AS1947" s="98"/>
      <c r="AT1947" s="106">
        <f ca="1">IF(AS1940&lt;=0,Q_max,ABS(AS$23-AS1946))</f>
        <v>236393</v>
      </c>
      <c r="AU1947" s="9">
        <f ca="1">AS1936</f>
        <v>1173043.1440706383</v>
      </c>
    </row>
    <row r="1948" spans="15:47" x14ac:dyDescent="0.25">
      <c r="O1948" s="1"/>
      <c r="P1948" s="1"/>
      <c r="Q1948" s="1"/>
      <c r="R1948" s="98"/>
      <c r="S1948" s="108"/>
      <c r="T1948" s="26"/>
      <c r="U1948" s="97"/>
      <c r="V1948" s="111"/>
      <c r="W1948" s="28"/>
      <c r="X1948" s="97"/>
      <c r="Y1948" s="111"/>
      <c r="Z1948" s="28"/>
      <c r="AA1948" s="97"/>
      <c r="AB1948" s="111"/>
      <c r="AC1948" s="28"/>
      <c r="AD1948" s="97"/>
      <c r="AE1948" s="111"/>
      <c r="AF1948" s="28"/>
      <c r="AG1948" s="97"/>
      <c r="AH1948" s="111"/>
      <c r="AI1948" s="28"/>
      <c r="AJ1948" s="97"/>
      <c r="AK1948" s="111"/>
      <c r="AL1948" s="28"/>
      <c r="AM1948" s="97"/>
      <c r="AN1948" s="111"/>
      <c r="AO1948" s="28"/>
      <c r="AP1948" s="97"/>
      <c r="AQ1948" s="111"/>
      <c r="AR1948" s="28"/>
      <c r="AS1948" s="97"/>
      <c r="AT1948" s="111"/>
      <c r="AU1948" s="28"/>
    </row>
    <row r="1949" spans="15:47" x14ac:dyDescent="0.25">
      <c r="O1949" s="1"/>
      <c r="P1949" s="1"/>
      <c r="Q1949" s="1"/>
      <c r="R1949" s="98"/>
      <c r="S1949" s="108" t="s">
        <v>137</v>
      </c>
      <c r="T1949" s="26" t="s">
        <v>146</v>
      </c>
      <c r="U1949" s="98"/>
      <c r="V1949" s="108" t="s">
        <v>137</v>
      </c>
      <c r="W1949" s="26" t="s">
        <v>146</v>
      </c>
      <c r="X1949" s="98"/>
      <c r="Y1949" s="108" t="s">
        <v>137</v>
      </c>
      <c r="Z1949" s="26" t="s">
        <v>146</v>
      </c>
      <c r="AA1949" s="98"/>
      <c r="AB1949" s="108" t="s">
        <v>137</v>
      </c>
      <c r="AC1949" s="26" t="s">
        <v>146</v>
      </c>
      <c r="AD1949" s="98"/>
      <c r="AE1949" s="108" t="s">
        <v>137</v>
      </c>
      <c r="AF1949" s="26" t="s">
        <v>146</v>
      </c>
      <c r="AG1949" s="98"/>
      <c r="AH1949" s="108" t="s">
        <v>137</v>
      </c>
      <c r="AI1949" s="26" t="s">
        <v>146</v>
      </c>
      <c r="AJ1949" s="98"/>
      <c r="AK1949" s="108" t="s">
        <v>137</v>
      </c>
      <c r="AL1949" s="26" t="s">
        <v>146</v>
      </c>
      <c r="AM1949" s="98"/>
      <c r="AN1949" s="108" t="s">
        <v>137</v>
      </c>
      <c r="AO1949" s="26" t="s">
        <v>146</v>
      </c>
      <c r="AP1949" s="98"/>
      <c r="AQ1949" s="108" t="s">
        <v>137</v>
      </c>
      <c r="AR1949" s="26" t="s">
        <v>146</v>
      </c>
      <c r="AS1949" s="98"/>
      <c r="AT1949" s="108" t="s">
        <v>137</v>
      </c>
      <c r="AU1949" s="26" t="s">
        <v>146</v>
      </c>
    </row>
    <row r="1950" spans="15:47" ht="13.8" x14ac:dyDescent="0.25">
      <c r="O1950" s="20" t="s">
        <v>136</v>
      </c>
      <c r="P1950" s="1"/>
      <c r="Q1950" s="1"/>
      <c r="R1950" s="96">
        <f>R1936*1.02</f>
        <v>4802.9735495356881</v>
      </c>
      <c r="S1950" s="109" t="s">
        <v>144</v>
      </c>
      <c r="T1950" s="23" t="s">
        <v>147</v>
      </c>
      <c r="U1950" s="96">
        <f ca="1">U1936*1.01</f>
        <v>45766.334708614566</v>
      </c>
      <c r="V1950" s="109" t="s">
        <v>144</v>
      </c>
      <c r="W1950" s="23" t="s">
        <v>147</v>
      </c>
      <c r="X1950" s="96">
        <f ca="1">X1936*1.01</f>
        <v>112064.9425664125</v>
      </c>
      <c r="Y1950" s="109" t="s">
        <v>144</v>
      </c>
      <c r="Z1950" s="23" t="s">
        <v>147</v>
      </c>
      <c r="AA1950" s="96">
        <f ca="1">AA1936*1.01</f>
        <v>218273.90405678478</v>
      </c>
      <c r="AB1950" s="109" t="s">
        <v>144</v>
      </c>
      <c r="AC1950" s="23" t="s">
        <v>147</v>
      </c>
      <c r="AD1950" s="96">
        <f ca="1">AD1936*1.01</f>
        <v>366195.71068053338</v>
      </c>
      <c r="AE1950" s="109" t="s">
        <v>144</v>
      </c>
      <c r="AF1950" s="23" t="s">
        <v>147</v>
      </c>
      <c r="AG1950" s="96">
        <f ca="1">AG1936*1.01</f>
        <v>534472.61349653068</v>
      </c>
      <c r="AH1950" s="109" t="s">
        <v>144</v>
      </c>
      <c r="AI1950" s="23" t="s">
        <v>147</v>
      </c>
      <c r="AJ1950" s="96">
        <f ca="1">AJ1936*1.01</f>
        <v>713255.77463014098</v>
      </c>
      <c r="AK1950" s="109" t="s">
        <v>144</v>
      </c>
      <c r="AL1950" s="23" t="s">
        <v>147</v>
      </c>
      <c r="AM1950" s="96">
        <f ca="1">AM1936*1.01</f>
        <v>870307.59213906981</v>
      </c>
      <c r="AN1950" s="109" t="s">
        <v>144</v>
      </c>
      <c r="AO1950" s="23" t="s">
        <v>147</v>
      </c>
      <c r="AP1950" s="96">
        <f ca="1">AP1936*1.01</f>
        <v>1010400.0960962747</v>
      </c>
      <c r="AQ1950" s="109" t="s">
        <v>144</v>
      </c>
      <c r="AR1950" s="23" t="s">
        <v>147</v>
      </c>
      <c r="AS1950" s="96">
        <f ca="1">AS1936*1.01</f>
        <v>1184773.5755113447</v>
      </c>
      <c r="AT1950" s="109" t="s">
        <v>144</v>
      </c>
      <c r="AU1950" s="23" t="s">
        <v>147</v>
      </c>
    </row>
    <row r="1951" spans="15:47" x14ac:dyDescent="0.25">
      <c r="O1951" s="1"/>
      <c r="P1951" s="1"/>
      <c r="Q1951" s="1"/>
      <c r="R1951" s="98"/>
      <c r="S1951" s="107"/>
      <c r="T1951" s="1"/>
      <c r="U1951" s="47"/>
      <c r="V1951" s="107"/>
      <c r="W1951" s="1"/>
      <c r="X1951" s="47"/>
      <c r="Y1951" s="107"/>
      <c r="Z1951" s="1"/>
      <c r="AA1951" s="47"/>
      <c r="AB1951" s="107"/>
      <c r="AC1951" s="1"/>
      <c r="AD1951" s="47"/>
      <c r="AE1951" s="107"/>
      <c r="AF1951" s="1"/>
      <c r="AG1951" s="47"/>
      <c r="AH1951" s="107"/>
      <c r="AI1951" s="1"/>
      <c r="AJ1951" s="47"/>
      <c r="AK1951" s="107"/>
      <c r="AL1951" s="1"/>
      <c r="AM1951" s="47"/>
      <c r="AN1951" s="107"/>
      <c r="AO1951" s="1"/>
      <c r="AP1951" s="47"/>
      <c r="AQ1951" s="107"/>
      <c r="AR1951" s="1"/>
      <c r="AS1951" s="47"/>
      <c r="AT1951" s="107"/>
      <c r="AU1951" s="1"/>
    </row>
    <row r="1952" spans="15:47" x14ac:dyDescent="0.25">
      <c r="O1952" s="8" t="s">
        <v>132</v>
      </c>
      <c r="P1952" s="8"/>
      <c r="Q1952" s="8"/>
      <c r="R1952" s="96">
        <f>P_1_minQ-(R1950^2*R_up)+dpup_minQ</f>
        <v>90.180836034416188</v>
      </c>
      <c r="S1952" s="106"/>
      <c r="T1952" s="22"/>
      <c r="U1952" s="96">
        <f ca="1">P_1_minQ-(U1950^2*R_up)+dpup_minQ</f>
        <v>89.803284591306181</v>
      </c>
      <c r="V1952" s="107"/>
      <c r="W1952" s="1"/>
      <c r="X1952" s="96">
        <f ca="1">P_1_minQ-(X1950^2*R_up)+dpup_minQ</f>
        <v>87.896107517399017</v>
      </c>
      <c r="Y1952" s="107"/>
      <c r="Z1952" s="1"/>
      <c r="AA1952" s="96">
        <f ca="1">P_1_minQ-(AA1950^2*R_up)+dpup_minQ</f>
        <v>81.501493319200335</v>
      </c>
      <c r="AB1952" s="107"/>
      <c r="AC1952" s="1"/>
      <c r="AD1952" s="96">
        <f ca="1">P_1_minQ-(AD1950^2*R_up)+dpup_minQ</f>
        <v>65.743980190423727</v>
      </c>
      <c r="AE1952" s="107"/>
      <c r="AF1952" s="1"/>
      <c r="AG1952" s="96">
        <f ca="1">P_1_minQ-(AG1950^2*R_up)+dpup_minQ</f>
        <v>38.120211009112111</v>
      </c>
      <c r="AH1952" s="107"/>
      <c r="AI1952" s="1"/>
      <c r="AJ1952" s="96">
        <f ca="1">P_1_minQ-(AJ1950^2*R_up)+dpup_minQ</f>
        <v>-2.5372454244189995</v>
      </c>
      <c r="AK1952" s="107"/>
      <c r="AL1952" s="1"/>
      <c r="AM1952" s="96">
        <f ca="1">P_1_minQ-(AM1950^2*R_up)+dpup_minQ</f>
        <v>-47.865808323055887</v>
      </c>
      <c r="AN1952" s="107"/>
      <c r="AO1952" s="1"/>
      <c r="AP1952" s="96">
        <f ca="1">P_1_minQ-(AP1950^2*R_up)+dpup_minQ</f>
        <v>-95.886646357467185</v>
      </c>
      <c r="AQ1952" s="107"/>
      <c r="AR1952" s="1"/>
      <c r="AS1952" s="96">
        <f ca="1">P_1_minQ-(AS1950^2*R_up)+dpup_minQ</f>
        <v>-165.65249089457586</v>
      </c>
      <c r="AT1952" s="107"/>
      <c r="AU1952" s="1"/>
    </row>
    <row r="1953" spans="15:47" x14ac:dyDescent="0.25">
      <c r="O1953" s="8" t="s">
        <v>134</v>
      </c>
      <c r="P1953" s="1"/>
      <c r="Q1953" s="8"/>
      <c r="R1953" s="97">
        <f>P_2_minQ+(R1950^2*R_dn)-dpdn_minQ</f>
        <v>60</v>
      </c>
      <c r="S1953" s="106"/>
      <c r="T1953" s="22"/>
      <c r="U1953" s="97">
        <f ca="1">P_2_minQ+(U1950^2*R_dn)-dpdn_minQ</f>
        <v>60</v>
      </c>
      <c r="V1953" s="107"/>
      <c r="W1953" s="1"/>
      <c r="X1953" s="97">
        <f ca="1">P_2_minQ+(X1950^2*R_dn)-dpdn_minQ</f>
        <v>60</v>
      </c>
      <c r="Y1953" s="107"/>
      <c r="Z1953" s="1"/>
      <c r="AA1953" s="97">
        <f ca="1">P_2_minQ+(AA1950^2*R_dn)-dpdn_minQ</f>
        <v>60</v>
      </c>
      <c r="AB1953" s="107"/>
      <c r="AC1953" s="1"/>
      <c r="AD1953" s="97">
        <f ca="1">P_2_minQ+(AD1950^2*R_dn)-dpdn_minQ</f>
        <v>60</v>
      </c>
      <c r="AE1953" s="107"/>
      <c r="AF1953" s="1"/>
      <c r="AG1953" s="97">
        <f ca="1">P_2_minQ+(AG1950^2*R_dn)-dpdn_minQ</f>
        <v>60</v>
      </c>
      <c r="AH1953" s="107"/>
      <c r="AI1953" s="1"/>
      <c r="AJ1953" s="97">
        <f ca="1">P_2_minQ+(AJ1950^2*R_dn)-dpdn_minQ</f>
        <v>60</v>
      </c>
      <c r="AK1953" s="107"/>
      <c r="AL1953" s="1"/>
      <c r="AM1953" s="97">
        <f ca="1">P_2_minQ+(AM1950^2*R_dn)-dpdn_minQ</f>
        <v>60</v>
      </c>
      <c r="AN1953" s="107"/>
      <c r="AO1953" s="1"/>
      <c r="AP1953" s="97">
        <f ca="1">P_2_minQ+(AP1950^2*R_dn)-dpdn_minQ</f>
        <v>60</v>
      </c>
      <c r="AQ1953" s="107"/>
      <c r="AR1953" s="1"/>
      <c r="AS1953" s="97">
        <f ca="1">P_2_minQ+(AS1950^2*R_dn)-dpdn_minQ</f>
        <v>60</v>
      </c>
      <c r="AT1953" s="107"/>
      <c r="AU1953" s="1"/>
    </row>
    <row r="1954" spans="15:47" x14ac:dyDescent="0.25">
      <c r="O1954" s="8" t="s">
        <v>138</v>
      </c>
      <c r="P1954" s="1"/>
      <c r="Q1954" s="8"/>
      <c r="R1954" s="97">
        <f>R1952-R1953</f>
        <v>30.180836034416188</v>
      </c>
      <c r="S1954" s="106"/>
      <c r="T1954" s="22"/>
      <c r="U1954" s="97">
        <f ca="1">U1952-U1953</f>
        <v>29.803284591306181</v>
      </c>
      <c r="V1954" s="110"/>
      <c r="W1954" s="25"/>
      <c r="X1954" s="97">
        <f ca="1">X1952-X1953</f>
        <v>27.896107517399017</v>
      </c>
      <c r="Y1954" s="110"/>
      <c r="Z1954" s="25"/>
      <c r="AA1954" s="97">
        <f ca="1">AA1952-AA1953</f>
        <v>21.501493319200335</v>
      </c>
      <c r="AB1954" s="110"/>
      <c r="AC1954" s="25"/>
      <c r="AD1954" s="97">
        <f ca="1">AD1952-AD1953</f>
        <v>5.7439801904237271</v>
      </c>
      <c r="AE1954" s="110"/>
      <c r="AF1954" s="25"/>
      <c r="AG1954" s="97">
        <f ca="1">AG1952-AG1953</f>
        <v>-21.879788990887889</v>
      </c>
      <c r="AH1954" s="110"/>
      <c r="AI1954" s="25"/>
      <c r="AJ1954" s="97">
        <f ca="1">AJ1952-AJ1953</f>
        <v>-62.537245424418998</v>
      </c>
      <c r="AK1954" s="110"/>
      <c r="AL1954" s="25"/>
      <c r="AM1954" s="97">
        <f ca="1">AM1952-AM1953</f>
        <v>-107.86580832305589</v>
      </c>
      <c r="AN1954" s="110"/>
      <c r="AO1954" s="25"/>
      <c r="AP1954" s="97">
        <f ca="1">AP1952-AP1953</f>
        <v>-155.88664635746719</v>
      </c>
      <c r="AQ1954" s="110"/>
      <c r="AR1954" s="25"/>
      <c r="AS1954" s="97">
        <f ca="1">AS1952-AS1953</f>
        <v>-225.65249089457586</v>
      </c>
      <c r="AT1954" s="110"/>
      <c r="AU1954" s="25"/>
    </row>
    <row r="1955" spans="15:47" ht="14.4" x14ac:dyDescent="0.3">
      <c r="O1955" s="2" t="s">
        <v>140</v>
      </c>
      <c r="P1955" s="11"/>
      <c r="Q1955" s="2"/>
      <c r="R1955" s="96">
        <f>R1954/R1952</f>
        <v>0.33467017341575894</v>
      </c>
      <c r="S1955" s="106"/>
      <c r="T1955" s="22"/>
      <c r="U1955" s="96">
        <f ca="1">U1954/U1952</f>
        <v>0.3318729902468559</v>
      </c>
      <c r="V1955" s="111"/>
      <c r="W1955" s="28"/>
      <c r="X1955" s="96">
        <f ca="1">X1954/X1952</f>
        <v>0.31737591464874582</v>
      </c>
      <c r="Y1955" s="111"/>
      <c r="Z1955" s="28"/>
      <c r="AA1955" s="96">
        <f ca="1">AA1954/AA1952</f>
        <v>0.26381717001171751</v>
      </c>
      <c r="AB1955" s="111"/>
      <c r="AC1955" s="28"/>
      <c r="AD1955" s="96">
        <f ca="1">AD1954/AD1952</f>
        <v>8.7368914595474939E-2</v>
      </c>
      <c r="AE1955" s="111"/>
      <c r="AF1955" s="28"/>
      <c r="AG1955" s="96">
        <f ca="1">AG1954/AG1952</f>
        <v>-0.57396820247552738</v>
      </c>
      <c r="AH1955" s="111"/>
      <c r="AI1955" s="28"/>
      <c r="AJ1955" s="96">
        <f ca="1">AJ1954/AJ1952</f>
        <v>24.647692660137253</v>
      </c>
      <c r="AK1955" s="111"/>
      <c r="AL1955" s="28"/>
      <c r="AM1955" s="96">
        <f ca="1">AM1954/AM1952</f>
        <v>2.2535043719526899</v>
      </c>
      <c r="AN1955" s="111"/>
      <c r="AO1955" s="28"/>
      <c r="AP1955" s="96">
        <f ca="1">AP1954/AP1952</f>
        <v>1.6257388518555429</v>
      </c>
      <c r="AQ1955" s="111"/>
      <c r="AR1955" s="28"/>
      <c r="AS1955" s="96">
        <f ca="1">AS1954/AS1952</f>
        <v>1.3622040313187023</v>
      </c>
      <c r="AT1955" s="111"/>
      <c r="AU1955" s="28"/>
    </row>
    <row r="1956" spans="15:47" x14ac:dyDescent="0.25">
      <c r="O1956" s="2" t="s">
        <v>21</v>
      </c>
      <c r="P1956" s="8">
        <v>12</v>
      </c>
      <c r="Q1956" s="2"/>
      <c r="R1956" s="96">
        <f ca="1">1-R1955/(3*F_GAMMA*R$29)</f>
        <v>0.82570070591212441</v>
      </c>
      <c r="S1956" s="106"/>
      <c r="T1956" s="22"/>
      <c r="U1956" s="96">
        <f ca="1">1-U1955/(3*F_GAMMA*U$29)</f>
        <v>0.82719765845792104</v>
      </c>
      <c r="V1956" s="111"/>
      <c r="W1956" s="28"/>
      <c r="X1956" s="96">
        <f ca="1">1-X1955/(3*F_GAMMA*X$29)</f>
        <v>0.83317219823454081</v>
      </c>
      <c r="Y1956" s="111"/>
      <c r="Z1956" s="28"/>
      <c r="AA1956" s="96">
        <f ca="1">1-AA1955/(3*F_GAMMA*AA$29)</f>
        <v>0.85937043813116298</v>
      </c>
      <c r="AB1956" s="111"/>
      <c r="AC1956" s="28"/>
      <c r="AD1956" s="96">
        <f ca="1">1-AD1955/(3*F_GAMMA*AD$29)</f>
        <v>0.95198298642021961</v>
      </c>
      <c r="AE1956" s="111"/>
      <c r="AF1956" s="28"/>
      <c r="AG1956" s="96">
        <f ca="1">1-AG1955/(3*F_GAMMA*AG$29)</f>
        <v>1.3343754894573001</v>
      </c>
      <c r="AH1956" s="111"/>
      <c r="AI1956" s="28"/>
      <c r="AJ1956" s="96">
        <f ca="1">1-AJ1955/(3*F_GAMMA*AJ$29)</f>
        <v>-14.448271038382622</v>
      </c>
      <c r="AK1956" s="111"/>
      <c r="AL1956" s="28"/>
      <c r="AM1956" s="96">
        <f ca="1">1-AM1955/(3*F_GAMMA*AM$29)</f>
        <v>-0.5791952877255051</v>
      </c>
      <c r="AN1956" s="111"/>
      <c r="AO1956" s="28"/>
      <c r="AP1956" s="96">
        <f ca="1">1-AP1955/(3*F_GAMMA*AP$29)</f>
        <v>8.2345821981227196E-2</v>
      </c>
      <c r="AQ1956" s="111"/>
      <c r="AR1956" s="28"/>
      <c r="AS1956" s="96">
        <f ca="1">1-AS1955/(3*F_GAMMA*AS$29)</f>
        <v>-0.20541576412620133</v>
      </c>
      <c r="AT1956" s="111"/>
      <c r="AU1956" s="28"/>
    </row>
    <row r="1957" spans="15:47" x14ac:dyDescent="0.25">
      <c r="O1957" s="2" t="s">
        <v>57</v>
      </c>
      <c r="P1957" s="143">
        <v>7</v>
      </c>
      <c r="Q1957" s="2"/>
      <c r="R1957" s="96">
        <f ca="1">(R1950/(N_9*R$27*R1952*R1956))*SQRT(M*'Valve Sizing'!$W$6*'Valve Sizing'!$G$8/R1955)</f>
        <v>1.9397725609877958</v>
      </c>
      <c r="S1957" s="107"/>
      <c r="T1957" s="22"/>
      <c r="U1957" s="96">
        <f ca="1">(U1950/(N_9*U$27*U1952*U1956))*SQRT(M*'Valve Sizing'!$W$6*'Valve Sizing'!$G$8/U1955)</f>
        <v>18.617851351814469</v>
      </c>
      <c r="V1957" s="111"/>
      <c r="W1957" s="28"/>
      <c r="X1957" s="96">
        <f ca="1">(X1950/(N_9*X$27*X1952*X1956))*SQRT(M*'Valve Sizing'!$W$6*'Valve Sizing'!$G$8/X1955)</f>
        <v>47.396675003717291</v>
      </c>
      <c r="Y1957" s="111"/>
      <c r="Z1957" s="28"/>
      <c r="AA1957" s="96">
        <f ca="1">(AA1950/(N_9*AA$27*AA1952*AA1956))*SQRT(M*'Valve Sizing'!$W$6*'Valve Sizing'!$G$8/AA1955)</f>
        <v>106.49848469749406</v>
      </c>
      <c r="AB1957" s="111"/>
      <c r="AC1957" s="28"/>
      <c r="AD1957" s="96">
        <f ca="1">(AD1950/(N_9*AD$27*AD1952*AD1956))*SQRT(M*'Valve Sizing'!$W$6*'Valve Sizing'!$G$8/AD1955)</f>
        <v>351.75123343636585</v>
      </c>
      <c r="AE1957" s="111"/>
      <c r="AF1957" s="28"/>
      <c r="AG1957" s="96" t="e">
        <f ca="1">(AG1950/(N_9*AG$27*AG1952*AG1956))*SQRT(M*'Valve Sizing'!$W$6*'Valve Sizing'!$G$8/AG1955)</f>
        <v>#NUM!</v>
      </c>
      <c r="AH1957" s="111"/>
      <c r="AI1957" s="28"/>
      <c r="AJ1957" s="96">
        <f ca="1">(AJ1950/(N_9*AJ$27*AJ1952*AJ1956))*SQRT(M*'Valve Sizing'!$W$6*'Valve Sizing'!$G$8/AJ1955)</f>
        <v>73.78246868721638</v>
      </c>
      <c r="AK1957" s="111"/>
      <c r="AL1957" s="28"/>
      <c r="AM1957" s="96">
        <f ca="1">(AM1950/(N_9*AM$27*AM1952*AM1956))*SQRT(M*'Valve Sizing'!$W$6*'Valve Sizing'!$G$8/AM1955)</f>
        <v>417.72091792386288</v>
      </c>
      <c r="AN1957" s="111"/>
      <c r="AO1957" s="28"/>
      <c r="AP1957" s="96">
        <f ca="1">(AP1950/(N_9*AP$27*AP1952*AP1956))*SQRT(M*'Valve Sizing'!$W$6*'Valve Sizing'!$G$8/AP1955)</f>
        <v>-2281.8013103170829</v>
      </c>
      <c r="AQ1957" s="111"/>
      <c r="AR1957" s="28"/>
      <c r="AS1957" s="96">
        <f ca="1">(AS1950/(N_9*AS$27*AS1952*AS1956))*SQRT(M*'Valve Sizing'!$W$6*'Valve Sizing'!$G$8/AS1955)</f>
        <v>908.44595511348757</v>
      </c>
      <c r="AT1957" s="111"/>
      <c r="AU1957" s="28"/>
    </row>
    <row r="1958" spans="15:47" x14ac:dyDescent="0.25">
      <c r="O1958" s="2" t="s">
        <v>59</v>
      </c>
      <c r="P1958" s="143">
        <v>7</v>
      </c>
      <c r="Q1958" s="2"/>
      <c r="R1958" s="96">
        <f ca="1">(R1950/(N_9*R$27*R1952*0.667))*SQRT(M*'Valve Sizing'!$W$6*'Valve Sizing'!$G$8/R1959)</f>
        <v>1.7364251809312383</v>
      </c>
      <c r="S1958" s="107"/>
      <c r="T1958" s="22"/>
      <c r="U1958" s="96">
        <f ca="1">(U1950/(N_9*U$27*U1952*0.667))*SQRT(M*'Valve Sizing'!$W$6*'Valve Sizing'!$G$8/U1959)</f>
        <v>16.6244949308084</v>
      </c>
      <c r="V1958" s="111"/>
      <c r="W1958" s="28"/>
      <c r="X1958" s="96">
        <f ca="1">(X1950/(N_9*X$27*X1952*0.667))*SQRT(M*'Valve Sizing'!$W$6*'Valve Sizing'!$G$8/X1959)</f>
        <v>41.884337718664142</v>
      </c>
      <c r="Y1958" s="111"/>
      <c r="Z1958" s="28"/>
      <c r="AA1958" s="96">
        <f ca="1">(AA1950/(N_9*AA$27*AA1952*0.667))*SQRT(M*'Valve Sizing'!$W$6*'Valve Sizing'!$G$8/AA1959)</f>
        <v>89.124466653295542</v>
      </c>
      <c r="AB1958" s="111"/>
      <c r="AC1958" s="28"/>
      <c r="AD1958" s="96">
        <f ca="1">(AD1950/(N_9*AD$27*AD1952*0.667))*SQRT(M*'Valve Sizing'!$W$6*'Valve Sizing'!$G$8/AD1959)</f>
        <v>190.544835447254</v>
      </c>
      <c r="AE1958" s="111"/>
      <c r="AF1958" s="28"/>
      <c r="AG1958" s="96">
        <f ca="1">(AG1950/(N_9*AG$27*AG1952*0.667))*SQRT(M*'Valve Sizing'!$W$6*'Valve Sizing'!$G$8/AG1959)</f>
        <v>504.92816309004269</v>
      </c>
      <c r="AH1958" s="111"/>
      <c r="AI1958" s="28"/>
      <c r="AJ1958" s="96">
        <f ca="1">(AJ1950/(N_9*AJ$27*AJ1952*0.667))*SQRT(M*'Valve Sizing'!$W$6*'Valve Sizing'!$G$8/AJ1959)</f>
        <v>-10880.3732979044</v>
      </c>
      <c r="AK1958" s="111"/>
      <c r="AL1958" s="28"/>
      <c r="AM1958" s="96">
        <f ca="1">(AM1950/(N_9*AM$27*AM1952*0.667))*SQRT(M*'Valve Sizing'!$W$6*'Valve Sizing'!$G$8/AM1959)</f>
        <v>-789.52149195407526</v>
      </c>
      <c r="AN1958" s="111"/>
      <c r="AO1958" s="28"/>
      <c r="AP1958" s="96">
        <f ca="1">(AP1950/(N_9*AP$27*AP1952*0.667))*SQRT(M*'Valve Sizing'!$W$6*'Valve Sizing'!$G$8/AP1959)</f>
        <v>-467.40538414982683</v>
      </c>
      <c r="AQ1958" s="111"/>
      <c r="AR1958" s="28"/>
      <c r="AS1958" s="96">
        <f ca="1">(AS1950/(N_9*AS$27*AS1952*0.667))*SQRT(M*'Valve Sizing'!$W$6*'Valve Sizing'!$G$8/AS1959)</f>
        <v>-532.02996309726416</v>
      </c>
      <c r="AT1958" s="111"/>
      <c r="AU1958" s="28"/>
    </row>
    <row r="1959" spans="15:47" ht="15.6" x14ac:dyDescent="0.35">
      <c r="O1959" s="2" t="s">
        <v>68</v>
      </c>
      <c r="P1959" s="143">
        <v>10</v>
      </c>
      <c r="Q1959" s="2"/>
      <c r="R1959" s="96">
        <f ca="1">F_GAMMA*R$29</f>
        <v>0.64002969751372984</v>
      </c>
      <c r="S1959" s="107"/>
      <c r="T1959" s="1"/>
      <c r="U1959" s="96">
        <f ca="1">F_GAMMA*U$29</f>
        <v>0.64017842058782071</v>
      </c>
      <c r="V1959" s="111"/>
      <c r="W1959" s="28"/>
      <c r="X1959" s="96">
        <f ca="1">F_GAMMA*X$29</f>
        <v>0.63413873724904268</v>
      </c>
      <c r="Y1959" s="111"/>
      <c r="Z1959" s="28"/>
      <c r="AA1959" s="96">
        <f ca="1">F_GAMMA*AA$29</f>
        <v>0.62532411750377137</v>
      </c>
      <c r="AB1959" s="111"/>
      <c r="AC1959" s="28"/>
      <c r="AD1959" s="96">
        <f ca="1">F_GAMMA*AD$29</f>
        <v>0.60651359509139569</v>
      </c>
      <c r="AE1959" s="111"/>
      <c r="AF1959" s="28"/>
      <c r="AG1959" s="96">
        <f ca="1">F_GAMMA*AG$29</f>
        <v>0.57217930198481592</v>
      </c>
      <c r="AH1959" s="111"/>
      <c r="AI1959" s="28"/>
      <c r="AJ1959" s="96">
        <f ca="1">F_GAMMA*AJ$29</f>
        <v>0.53183282018848232</v>
      </c>
      <c r="AK1959" s="111"/>
      <c r="AL1959" s="28"/>
      <c r="AM1959" s="96">
        <f ca="1">F_GAMMA*AM$29</f>
        <v>0.47566512503094399</v>
      </c>
      <c r="AN1959" s="111"/>
      <c r="AO1959" s="28"/>
      <c r="AP1959" s="96">
        <f ca="1">F_GAMMA*AP$29</f>
        <v>0.59054158265645496</v>
      </c>
      <c r="AQ1959" s="111"/>
      <c r="AR1959" s="28"/>
      <c r="AS1959" s="96">
        <f ca="1">F_GAMMA*AS$29</f>
        <v>0.3766899554102966</v>
      </c>
      <c r="AT1959" s="111"/>
      <c r="AU1959" s="28"/>
    </row>
    <row r="1960" spans="15:47" x14ac:dyDescent="0.25">
      <c r="O1960" s="2" t="s">
        <v>145</v>
      </c>
      <c r="P1960" s="12"/>
      <c r="Q1960" s="2"/>
      <c r="R1960" s="96">
        <f ca="1">IF(R1955&lt;R1959,R1957,R1958)</f>
        <v>1.9397725609877958</v>
      </c>
      <c r="S1960" s="116"/>
      <c r="T1960" s="1"/>
      <c r="U1960" s="96">
        <f ca="1">IF(U1955&lt;U1959,U1957,U1958)</f>
        <v>18.617851351814469</v>
      </c>
      <c r="V1960" s="111"/>
      <c r="W1960" s="28"/>
      <c r="X1960" s="96">
        <f ca="1">IF(X1955&lt;X1959,X1957,X1958)</f>
        <v>47.396675003717291</v>
      </c>
      <c r="Y1960" s="111"/>
      <c r="Z1960" s="28"/>
      <c r="AA1960" s="96">
        <f ca="1">IF(AA1955&lt;AA1959,AA1957,AA1958)</f>
        <v>106.49848469749406</v>
      </c>
      <c r="AB1960" s="111"/>
      <c r="AC1960" s="28"/>
      <c r="AD1960" s="96">
        <f ca="1">IF(AD1955&lt;AD1959,AD1957,AD1958)</f>
        <v>351.75123343636585</v>
      </c>
      <c r="AE1960" s="111"/>
      <c r="AF1960" s="28"/>
      <c r="AG1960" s="96" t="e">
        <f ca="1">IF(AG1955&lt;AG1959,AG1957,AG1958)</f>
        <v>#NUM!</v>
      </c>
      <c r="AH1960" s="111"/>
      <c r="AI1960" s="28"/>
      <c r="AJ1960" s="96">
        <f ca="1">IF(AJ1955&lt;AJ1959,AJ1957,AJ1958)</f>
        <v>-10880.3732979044</v>
      </c>
      <c r="AK1960" s="111"/>
      <c r="AL1960" s="28"/>
      <c r="AM1960" s="96">
        <f ca="1">IF(AM1955&lt;AM1959,AM1957,AM1958)</f>
        <v>-789.52149195407526</v>
      </c>
      <c r="AN1960" s="111"/>
      <c r="AO1960" s="28"/>
      <c r="AP1960" s="96">
        <f ca="1">IF(AP1955&lt;AP1959,AP1957,AP1958)</f>
        <v>-467.40538414982683</v>
      </c>
      <c r="AQ1960" s="111"/>
      <c r="AR1960" s="28"/>
      <c r="AS1960" s="96">
        <f ca="1">IF(AS1955&lt;AS1959,AS1957,AS1958)</f>
        <v>-532.02996309726416</v>
      </c>
      <c r="AT1960" s="111"/>
      <c r="AU1960" s="28"/>
    </row>
    <row r="1961" spans="15:47" x14ac:dyDescent="0.25">
      <c r="O1961" s="13" t="s">
        <v>143</v>
      </c>
      <c r="P1961" s="1"/>
      <c r="Q1961" s="1"/>
      <c r="R1961" s="113"/>
      <c r="S1961" s="106">
        <f ca="1">IF(R1954&lt;=0,Q_max,ABS(R$23-R1960))</f>
        <v>2.7902274390122046</v>
      </c>
      <c r="T1961" s="7">
        <f>R1950</f>
        <v>4802.9735495356881</v>
      </c>
      <c r="U1961" s="98"/>
      <c r="V1961" s="106">
        <f ca="1">IF(U1954&lt;=0,Q_max,ABS(U$23-U1960))</f>
        <v>7.0178513518144694</v>
      </c>
      <c r="W1961" s="9">
        <f ca="1">U1950</f>
        <v>45766.334708614566</v>
      </c>
      <c r="X1961" s="98"/>
      <c r="Y1961" s="106">
        <f ca="1">IF(X1954&lt;=0,Q_max,ABS(X$23-X1960))</f>
        <v>24.396675003717291</v>
      </c>
      <c r="Z1961" s="9">
        <f ca="1">X1950</f>
        <v>112064.9425664125</v>
      </c>
      <c r="AA1961" s="98"/>
      <c r="AB1961" s="106">
        <f ca="1">IF(AA1954&lt;=0,Q_max,ABS(AA$23-AA1960))</f>
        <v>67.098484697494058</v>
      </c>
      <c r="AC1961" s="9">
        <f ca="1">AA1950</f>
        <v>218273.90405678478</v>
      </c>
      <c r="AD1961" s="98"/>
      <c r="AE1961" s="106">
        <f ca="1">IF(AD1954&lt;=0,Q_max,ABS(AD$23-AD1960))</f>
        <v>290.75123343636585</v>
      </c>
      <c r="AF1961" s="9">
        <f ca="1">AD1950</f>
        <v>366195.71068053338</v>
      </c>
      <c r="AG1961" s="98"/>
      <c r="AH1961" s="106">
        <f ca="1">IF(AG1954&lt;=0,Q_max,ABS(AG$23-AG1960))</f>
        <v>236393</v>
      </c>
      <c r="AI1961" s="9">
        <f ca="1">AG1950</f>
        <v>534472.61349653068</v>
      </c>
      <c r="AJ1961" s="98"/>
      <c r="AK1961" s="106">
        <f ca="1">IF(AJ1954&lt;=0,Q_max,ABS(AJ$23-AJ1960))</f>
        <v>236393</v>
      </c>
      <c r="AL1961" s="9">
        <f ca="1">AJ1950</f>
        <v>713255.77463014098</v>
      </c>
      <c r="AM1961" s="98"/>
      <c r="AN1961" s="106">
        <f ca="1">IF(AM1954&lt;=0,Q_max,ABS(AM$23-AM1960))</f>
        <v>236393</v>
      </c>
      <c r="AO1961" s="9">
        <f ca="1">AM1950</f>
        <v>870307.59213906981</v>
      </c>
      <c r="AP1961" s="98"/>
      <c r="AQ1961" s="106">
        <f ca="1">IF(AP1954&lt;=0,Q_max,ABS(AP$23-AP1960))</f>
        <v>236393</v>
      </c>
      <c r="AR1961" s="9">
        <f ca="1">AP1950</f>
        <v>1010400.0960962747</v>
      </c>
      <c r="AS1961" s="98"/>
      <c r="AT1961" s="106">
        <f ca="1">IF(AS1954&lt;=0,Q_max,ABS(AS$23-AS1960))</f>
        <v>236393</v>
      </c>
      <c r="AU1961" s="9">
        <f ca="1">AS1950</f>
        <v>1184773.5755113447</v>
      </c>
    </row>
    <row r="1962" spans="15:47" x14ac:dyDescent="0.25">
      <c r="O1962" s="21"/>
      <c r="P1962" s="14"/>
      <c r="Q1962" s="21"/>
      <c r="R1962" s="97"/>
      <c r="S1962" s="106"/>
      <c r="T1962" s="28"/>
      <c r="U1962" s="99"/>
      <c r="V1962" s="110"/>
      <c r="W1962" s="25"/>
      <c r="X1962" s="99"/>
      <c r="Y1962" s="110"/>
      <c r="Z1962" s="25"/>
      <c r="AA1962" s="99"/>
      <c r="AB1962" s="110"/>
      <c r="AC1962" s="25"/>
      <c r="AD1962" s="99"/>
      <c r="AE1962" s="110"/>
      <c r="AF1962" s="25"/>
      <c r="AG1962" s="99"/>
      <c r="AH1962" s="110"/>
      <c r="AI1962" s="25"/>
      <c r="AJ1962" s="99"/>
      <c r="AK1962" s="110"/>
      <c r="AL1962" s="25"/>
      <c r="AM1962" s="99"/>
      <c r="AN1962" s="110"/>
      <c r="AO1962" s="25"/>
      <c r="AP1962" s="99"/>
      <c r="AQ1962" s="110"/>
      <c r="AR1962" s="25"/>
      <c r="AS1962" s="99"/>
      <c r="AT1962" s="110"/>
      <c r="AU1962" s="25"/>
    </row>
    <row r="1963" spans="15:47" x14ac:dyDescent="0.25">
      <c r="O1963" s="1"/>
      <c r="P1963" s="1"/>
      <c r="Q1963" s="1"/>
      <c r="R1963" s="98"/>
      <c r="S1963" s="108" t="s">
        <v>137</v>
      </c>
      <c r="T1963" s="26" t="s">
        <v>146</v>
      </c>
      <c r="U1963" s="98"/>
      <c r="V1963" s="108" t="s">
        <v>137</v>
      </c>
      <c r="W1963" s="26" t="s">
        <v>146</v>
      </c>
      <c r="X1963" s="98"/>
      <c r="Y1963" s="108" t="s">
        <v>137</v>
      </c>
      <c r="Z1963" s="26" t="s">
        <v>146</v>
      </c>
      <c r="AA1963" s="98"/>
      <c r="AB1963" s="108" t="s">
        <v>137</v>
      </c>
      <c r="AC1963" s="26" t="s">
        <v>146</v>
      </c>
      <c r="AD1963" s="98"/>
      <c r="AE1963" s="108" t="s">
        <v>137</v>
      </c>
      <c r="AF1963" s="26" t="s">
        <v>146</v>
      </c>
      <c r="AG1963" s="98"/>
      <c r="AH1963" s="108" t="s">
        <v>137</v>
      </c>
      <c r="AI1963" s="26" t="s">
        <v>146</v>
      </c>
      <c r="AJ1963" s="98"/>
      <c r="AK1963" s="108" t="s">
        <v>137</v>
      </c>
      <c r="AL1963" s="26" t="s">
        <v>146</v>
      </c>
      <c r="AM1963" s="98"/>
      <c r="AN1963" s="108" t="s">
        <v>137</v>
      </c>
      <c r="AO1963" s="26" t="s">
        <v>146</v>
      </c>
      <c r="AP1963" s="98"/>
      <c r="AQ1963" s="108" t="s">
        <v>137</v>
      </c>
      <c r="AR1963" s="26" t="s">
        <v>146</v>
      </c>
      <c r="AS1963" s="98"/>
      <c r="AT1963" s="108" t="s">
        <v>137</v>
      </c>
      <c r="AU1963" s="26" t="s">
        <v>146</v>
      </c>
    </row>
    <row r="1964" spans="15:47" ht="13.8" x14ac:dyDescent="0.25">
      <c r="O1964" s="20" t="s">
        <v>136</v>
      </c>
      <c r="P1964" s="1"/>
      <c r="Q1964" s="1"/>
      <c r="R1964" s="96">
        <f>R1950*1.02</f>
        <v>4899.0330205264017</v>
      </c>
      <c r="S1964" s="109" t="s">
        <v>144</v>
      </c>
      <c r="T1964" s="23" t="s">
        <v>147</v>
      </c>
      <c r="U1964" s="96">
        <f ca="1">U1950*1.01</f>
        <v>46223.998055700715</v>
      </c>
      <c r="V1964" s="109" t="s">
        <v>144</v>
      </c>
      <c r="W1964" s="23" t="s">
        <v>147</v>
      </c>
      <c r="X1964" s="96">
        <f ca="1">X1950*1.01</f>
        <v>113185.59199207663</v>
      </c>
      <c r="Y1964" s="109" t="s">
        <v>144</v>
      </c>
      <c r="Z1964" s="23" t="s">
        <v>147</v>
      </c>
      <c r="AA1964" s="96">
        <f ca="1">AA1950*1.01</f>
        <v>220456.64309735264</v>
      </c>
      <c r="AB1964" s="109" t="s">
        <v>144</v>
      </c>
      <c r="AC1964" s="23" t="s">
        <v>147</v>
      </c>
      <c r="AD1964" s="96">
        <f ca="1">AD1950*1.01</f>
        <v>369857.66778733872</v>
      </c>
      <c r="AE1964" s="109" t="s">
        <v>144</v>
      </c>
      <c r="AF1964" s="23" t="s">
        <v>147</v>
      </c>
      <c r="AG1964" s="96">
        <f ca="1">AG1950*1.01</f>
        <v>539817.339631496</v>
      </c>
      <c r="AH1964" s="109" t="s">
        <v>144</v>
      </c>
      <c r="AI1964" s="23" t="s">
        <v>147</v>
      </c>
      <c r="AJ1964" s="96">
        <f ca="1">AJ1950*1.01</f>
        <v>720388.33237644238</v>
      </c>
      <c r="AK1964" s="109" t="s">
        <v>144</v>
      </c>
      <c r="AL1964" s="23" t="s">
        <v>147</v>
      </c>
      <c r="AM1964" s="96">
        <f ca="1">AM1950*1.01</f>
        <v>879010.66806046048</v>
      </c>
      <c r="AN1964" s="109" t="s">
        <v>144</v>
      </c>
      <c r="AO1964" s="23" t="s">
        <v>147</v>
      </c>
      <c r="AP1964" s="96">
        <f ca="1">AP1950*1.01</f>
        <v>1020504.0970572374</v>
      </c>
      <c r="AQ1964" s="109" t="s">
        <v>144</v>
      </c>
      <c r="AR1964" s="23" t="s">
        <v>147</v>
      </c>
      <c r="AS1964" s="96">
        <f ca="1">AS1950*1.01</f>
        <v>1196621.3112664581</v>
      </c>
      <c r="AT1964" s="109" t="s">
        <v>144</v>
      </c>
      <c r="AU1964" s="23" t="s">
        <v>147</v>
      </c>
    </row>
    <row r="1965" spans="15:47" x14ac:dyDescent="0.25">
      <c r="O1965" s="1"/>
      <c r="P1965" s="1"/>
      <c r="Q1965" s="1"/>
      <c r="R1965" s="98"/>
      <c r="S1965" s="107"/>
      <c r="T1965" s="1"/>
      <c r="U1965" s="47"/>
      <c r="V1965" s="107"/>
      <c r="W1965" s="1"/>
      <c r="X1965" s="47"/>
      <c r="Y1965" s="107"/>
      <c r="Z1965" s="1"/>
      <c r="AA1965" s="47"/>
      <c r="AB1965" s="107"/>
      <c r="AC1965" s="1"/>
      <c r="AD1965" s="47"/>
      <c r="AE1965" s="107"/>
      <c r="AF1965" s="1"/>
      <c r="AG1965" s="47"/>
      <c r="AH1965" s="107"/>
      <c r="AI1965" s="1"/>
      <c r="AJ1965" s="47"/>
      <c r="AK1965" s="107"/>
      <c r="AL1965" s="1"/>
      <c r="AM1965" s="47"/>
      <c r="AN1965" s="107"/>
      <c r="AO1965" s="1"/>
      <c r="AP1965" s="47"/>
      <c r="AQ1965" s="107"/>
      <c r="AR1965" s="1"/>
      <c r="AS1965" s="47"/>
      <c r="AT1965" s="107"/>
      <c r="AU1965" s="1"/>
    </row>
    <row r="1966" spans="15:47" x14ac:dyDescent="0.25">
      <c r="O1966" s="8" t="s">
        <v>132</v>
      </c>
      <c r="P1966" s="8"/>
      <c r="Q1966" s="8"/>
      <c r="R1966" s="96">
        <f>P_1_minQ-(R1964^2*R_up)+dpup_minQ</f>
        <v>90.180666172784271</v>
      </c>
      <c r="S1966" s="106"/>
      <c r="T1966" s="22"/>
      <c r="U1966" s="96">
        <f ca="1">P_1_minQ-(U1964^2*R_up)+dpup_minQ</f>
        <v>89.795611296933302</v>
      </c>
      <c r="V1966" s="107"/>
      <c r="W1966" s="1"/>
      <c r="X1966" s="96">
        <f ca="1">P_1_minQ-(X1964^2*R_up)+dpup_minQ</f>
        <v>87.850099963840591</v>
      </c>
      <c r="Y1966" s="107"/>
      <c r="Z1966" s="1"/>
      <c r="AA1966" s="96">
        <f ca="1">P_1_minQ-(AA1964^2*R_up)+dpup_minQ</f>
        <v>81.326954020258114</v>
      </c>
      <c r="AB1966" s="107"/>
      <c r="AC1966" s="1"/>
      <c r="AD1966" s="96">
        <f ca="1">P_1_minQ-(AD1964^2*R_up)+dpup_minQ</f>
        <v>65.252714877593107</v>
      </c>
      <c r="AE1966" s="107"/>
      <c r="AF1966" s="1"/>
      <c r="AG1966" s="96">
        <f ca="1">P_1_minQ-(AG1964^2*R_up)+dpup_minQ</f>
        <v>37.073707935737126</v>
      </c>
      <c r="AH1966" s="107"/>
      <c r="AI1966" s="1"/>
      <c r="AJ1966" s="96">
        <f ca="1">P_1_minQ-(AJ1964^2*R_up)+dpup_minQ</f>
        <v>-4.4009633721079675</v>
      </c>
      <c r="AK1966" s="107"/>
      <c r="AL1966" s="1"/>
      <c r="AM1966" s="96">
        <f ca="1">P_1_minQ-(AM1964^2*R_up)+dpup_minQ</f>
        <v>-50.640630385007427</v>
      </c>
      <c r="AN1966" s="107"/>
      <c r="AO1966" s="1"/>
      <c r="AP1966" s="96">
        <f ca="1">P_1_minQ-(AP1964^2*R_up)+dpup_minQ</f>
        <v>-99.626687263910412</v>
      </c>
      <c r="AQ1966" s="107"/>
      <c r="AR1966" s="1"/>
      <c r="AS1966" s="96">
        <f ca="1">P_1_minQ-(AS1964^2*R_up)+dpup_minQ</f>
        <v>-170.79482527621497</v>
      </c>
      <c r="AT1966" s="107"/>
      <c r="AU1966" s="1"/>
    </row>
    <row r="1967" spans="15:47" x14ac:dyDescent="0.25">
      <c r="O1967" s="8" t="s">
        <v>134</v>
      </c>
      <c r="P1967" s="1"/>
      <c r="Q1967" s="8"/>
      <c r="R1967" s="97">
        <f>P_2_minQ+(R1964^2*R_dn)-dpdn_minQ</f>
        <v>60</v>
      </c>
      <c r="S1967" s="106"/>
      <c r="T1967" s="22"/>
      <c r="U1967" s="97">
        <f ca="1">P_2_minQ+(U1964^2*R_dn)-dpdn_minQ</f>
        <v>60</v>
      </c>
      <c r="V1967" s="107"/>
      <c r="W1967" s="1"/>
      <c r="X1967" s="97">
        <f ca="1">P_2_minQ+(X1964^2*R_dn)-dpdn_minQ</f>
        <v>60</v>
      </c>
      <c r="Y1967" s="107"/>
      <c r="Z1967" s="1"/>
      <c r="AA1967" s="97">
        <f ca="1">P_2_minQ+(AA1964^2*R_dn)-dpdn_minQ</f>
        <v>60</v>
      </c>
      <c r="AB1967" s="107"/>
      <c r="AC1967" s="1"/>
      <c r="AD1967" s="97">
        <f ca="1">P_2_minQ+(AD1964^2*R_dn)-dpdn_minQ</f>
        <v>60</v>
      </c>
      <c r="AE1967" s="107"/>
      <c r="AF1967" s="1"/>
      <c r="AG1967" s="97">
        <f ca="1">P_2_minQ+(AG1964^2*R_dn)-dpdn_minQ</f>
        <v>60</v>
      </c>
      <c r="AH1967" s="107"/>
      <c r="AI1967" s="1"/>
      <c r="AJ1967" s="97">
        <f ca="1">P_2_minQ+(AJ1964^2*R_dn)-dpdn_minQ</f>
        <v>60</v>
      </c>
      <c r="AK1967" s="107"/>
      <c r="AL1967" s="1"/>
      <c r="AM1967" s="97">
        <f ca="1">P_2_minQ+(AM1964^2*R_dn)-dpdn_minQ</f>
        <v>60</v>
      </c>
      <c r="AN1967" s="107"/>
      <c r="AO1967" s="1"/>
      <c r="AP1967" s="97">
        <f ca="1">P_2_minQ+(AP1964^2*R_dn)-dpdn_minQ</f>
        <v>60</v>
      </c>
      <c r="AQ1967" s="107"/>
      <c r="AR1967" s="1"/>
      <c r="AS1967" s="97">
        <f ca="1">P_2_minQ+(AS1964^2*R_dn)-dpdn_minQ</f>
        <v>60</v>
      </c>
      <c r="AT1967" s="107"/>
      <c r="AU1967" s="1"/>
    </row>
    <row r="1968" spans="15:47" x14ac:dyDescent="0.25">
      <c r="O1968" s="8" t="s">
        <v>138</v>
      </c>
      <c r="P1968" s="1"/>
      <c r="Q1968" s="8"/>
      <c r="R1968" s="97">
        <f>R1966-R1967</f>
        <v>30.180666172784271</v>
      </c>
      <c r="S1968" s="106"/>
      <c r="T1968" s="22"/>
      <c r="U1968" s="97">
        <f ca="1">U1966-U1967</f>
        <v>29.795611296933302</v>
      </c>
      <c r="V1968" s="110"/>
      <c r="W1968" s="25"/>
      <c r="X1968" s="97">
        <f ca="1">X1966-X1967</f>
        <v>27.850099963840591</v>
      </c>
      <c r="Y1968" s="110"/>
      <c r="Z1968" s="25"/>
      <c r="AA1968" s="97">
        <f ca="1">AA1966-AA1967</f>
        <v>21.326954020258114</v>
      </c>
      <c r="AB1968" s="110"/>
      <c r="AC1968" s="25"/>
      <c r="AD1968" s="97">
        <f ca="1">AD1966-AD1967</f>
        <v>5.2527148775931067</v>
      </c>
      <c r="AE1968" s="110"/>
      <c r="AF1968" s="25"/>
      <c r="AG1968" s="97">
        <f ca="1">AG1966-AG1967</f>
        <v>-22.926292064262874</v>
      </c>
      <c r="AH1968" s="110"/>
      <c r="AI1968" s="25"/>
      <c r="AJ1968" s="97">
        <f ca="1">AJ1966-AJ1967</f>
        <v>-64.400963372107967</v>
      </c>
      <c r="AK1968" s="110"/>
      <c r="AL1968" s="25"/>
      <c r="AM1968" s="97">
        <f ca="1">AM1966-AM1967</f>
        <v>-110.64063038500743</v>
      </c>
      <c r="AN1968" s="110"/>
      <c r="AO1968" s="25"/>
      <c r="AP1968" s="97">
        <f ca="1">AP1966-AP1967</f>
        <v>-159.62668726391041</v>
      </c>
      <c r="AQ1968" s="110"/>
      <c r="AR1968" s="25"/>
      <c r="AS1968" s="97">
        <f ca="1">AS1966-AS1967</f>
        <v>-230.79482527621497</v>
      </c>
      <c r="AT1968" s="110"/>
      <c r="AU1968" s="25"/>
    </row>
    <row r="1969" spans="15:47" ht="14.4" x14ac:dyDescent="0.3">
      <c r="O1969" s="2" t="s">
        <v>140</v>
      </c>
      <c r="P1969" s="11"/>
      <c r="Q1969" s="2"/>
      <c r="R1969" s="96">
        <f>R1968/R1966</f>
        <v>0.33466892022020267</v>
      </c>
      <c r="S1969" s="106"/>
      <c r="T1969" s="22"/>
      <c r="U1969" s="96">
        <f ca="1">U1968/U1966</f>
        <v>0.3318158968638914</v>
      </c>
      <c r="V1969" s="111"/>
      <c r="W1969" s="28"/>
      <c r="X1969" s="96">
        <f ca="1">X1968/X1966</f>
        <v>0.31701842087036658</v>
      </c>
      <c r="Y1969" s="111"/>
      <c r="Z1969" s="28"/>
      <c r="AA1969" s="96">
        <f ca="1">AA1968/AA1966</f>
        <v>0.26223721615032675</v>
      </c>
      <c r="AB1969" s="111"/>
      <c r="AC1969" s="28"/>
      <c r="AD1969" s="96">
        <f ca="1">AD1968/AD1966</f>
        <v>8.0498028127206966E-2</v>
      </c>
      <c r="AE1969" s="111"/>
      <c r="AF1969" s="28"/>
      <c r="AG1969" s="96">
        <f ca="1">AG1968/AG1966</f>
        <v>-0.61839760144852196</v>
      </c>
      <c r="AH1969" s="111"/>
      <c r="AI1969" s="28"/>
      <c r="AJ1969" s="96">
        <f ca="1">AJ1968/AJ1966</f>
        <v>14.63337863256546</v>
      </c>
      <c r="AK1969" s="111"/>
      <c r="AL1969" s="28"/>
      <c r="AM1969" s="96">
        <f ca="1">AM1968/AM1966</f>
        <v>2.1848193741633102</v>
      </c>
      <c r="AN1969" s="111"/>
      <c r="AO1969" s="28"/>
      <c r="AP1969" s="96">
        <f ca="1">AP1968/AP1966</f>
        <v>1.6022482694928961</v>
      </c>
      <c r="AQ1969" s="111"/>
      <c r="AR1969" s="28"/>
      <c r="AS1969" s="96">
        <f ca="1">AS1968/AS1966</f>
        <v>1.351298699494941</v>
      </c>
      <c r="AT1969" s="111"/>
      <c r="AU1969" s="28"/>
    </row>
    <row r="1970" spans="15:47" x14ac:dyDescent="0.25">
      <c r="O1970" s="2" t="s">
        <v>21</v>
      </c>
      <c r="P1970" s="8">
        <v>12</v>
      </c>
      <c r="Q1970" s="2"/>
      <c r="R1970" s="96">
        <f ca="1">1-R1969/(3*F_GAMMA*R$29)</f>
        <v>0.82570135858785765</v>
      </c>
      <c r="S1970" s="106"/>
      <c r="T1970" s="22"/>
      <c r="U1970" s="96">
        <f ca="1">1-U1969/(3*F_GAMMA*U$29)</f>
        <v>0.82722738630728732</v>
      </c>
      <c r="V1970" s="111"/>
      <c r="W1970" s="28"/>
      <c r="X1970" s="96">
        <f ca="1">1-X1969/(3*F_GAMMA*X$29)</f>
        <v>0.83336011388421394</v>
      </c>
      <c r="Y1970" s="111"/>
      <c r="Z1970" s="28"/>
      <c r="AA1970" s="96">
        <f ca="1">1-AA1969/(3*F_GAMMA*AA$29)</f>
        <v>0.8602126434330033</v>
      </c>
      <c r="AB1970" s="111"/>
      <c r="AC1970" s="28"/>
      <c r="AD1970" s="96">
        <f ca="1">1-AD1969/(3*F_GAMMA*AD$29)</f>
        <v>0.95575915155148516</v>
      </c>
      <c r="AE1970" s="111"/>
      <c r="AF1970" s="28"/>
      <c r="AG1970" s="96">
        <f ca="1">1-AG1969/(3*F_GAMMA*AG$29)</f>
        <v>1.360258634139905</v>
      </c>
      <c r="AH1970" s="111"/>
      <c r="AI1970" s="28"/>
      <c r="AJ1970" s="96">
        <f ca="1">1-AJ1969/(3*F_GAMMA*AJ$29)</f>
        <v>-8.1716657798462364</v>
      </c>
      <c r="AK1970" s="111"/>
      <c r="AL1970" s="28"/>
      <c r="AM1970" s="96">
        <f ca="1">1-AM1969/(3*F_GAMMA*AM$29)</f>
        <v>-0.53106268758662134</v>
      </c>
      <c r="AN1970" s="111"/>
      <c r="AO1970" s="28"/>
      <c r="AP1970" s="96">
        <f ca="1">1-AP1969/(3*F_GAMMA*AP$29)</f>
        <v>9.5605166201594205E-2</v>
      </c>
      <c r="AQ1970" s="111"/>
      <c r="AR1970" s="28"/>
      <c r="AS1970" s="96">
        <f ca="1">1-AS1969/(3*F_GAMMA*AS$29)</f>
        <v>-0.19576562465284852</v>
      </c>
      <c r="AT1970" s="111"/>
      <c r="AU1970" s="28"/>
    </row>
    <row r="1971" spans="15:47" x14ac:dyDescent="0.25">
      <c r="O1971" s="2" t="s">
        <v>57</v>
      </c>
      <c r="P1971" s="143">
        <v>7</v>
      </c>
      <c r="Q1971" s="2"/>
      <c r="R1971" s="96">
        <f ca="1">(R1964/(N_9*R$27*R1966*R1970))*SQRT(M*'Valve Sizing'!$W$6*'Valve Sizing'!$G$8/R1969)</f>
        <v>1.9785738794740764</v>
      </c>
      <c r="S1971" s="107"/>
      <c r="T1971" s="22"/>
      <c r="U1971" s="96">
        <f ca="1">(U1964/(N_9*U$27*U1966*U1970))*SQRT(M*'Valve Sizing'!$W$6*'Valve Sizing'!$G$8/U1969)</f>
        <v>18.80657866436232</v>
      </c>
      <c r="V1971" s="111"/>
      <c r="W1971" s="28"/>
      <c r="X1971" s="96">
        <f ca="1">(X1964/(N_9*X$27*X1966*X1970))*SQRT(M*'Valve Sizing'!$W$6*'Valve Sizing'!$G$8/X1969)</f>
        <v>47.911903483874802</v>
      </c>
      <c r="Y1971" s="111"/>
      <c r="Z1971" s="28"/>
      <c r="AA1971" s="96">
        <f ca="1">(AA1964/(N_9*AA$27*AA1966*AA1970))*SQRT(M*'Valve Sizing'!$W$6*'Valve Sizing'!$G$8/AA1969)</f>
        <v>108.01269844453392</v>
      </c>
      <c r="AB1971" s="111"/>
      <c r="AC1971" s="28"/>
      <c r="AD1971" s="96">
        <f ca="1">(AD1964/(N_9*AD$27*AD1966*AD1970))*SQRT(M*'Valve Sizing'!$W$6*'Valve Sizing'!$G$8/AD1969)</f>
        <v>371.43342351972012</v>
      </c>
      <c r="AE1971" s="111"/>
      <c r="AF1971" s="28"/>
      <c r="AG1971" s="96" t="e">
        <f ca="1">(AG1964/(N_9*AG$27*AG1966*AG1970))*SQRT(M*'Valve Sizing'!$W$6*'Valve Sizing'!$G$8/AG1969)</f>
        <v>#NUM!</v>
      </c>
      <c r="AH1971" s="111"/>
      <c r="AI1971" s="28"/>
      <c r="AJ1971" s="96">
        <f ca="1">(AJ1964/(N_9*AJ$27*AJ1966*AJ1970))*SQRT(M*'Valve Sizing'!$W$6*'Valve Sizing'!$G$8/AJ1969)</f>
        <v>98.584898640416668</v>
      </c>
      <c r="AK1971" s="111"/>
      <c r="AL1971" s="28"/>
      <c r="AM1971" s="96">
        <f ca="1">(AM1964/(N_9*AM$27*AM1966*AM1970))*SQRT(M*'Valve Sizing'!$W$6*'Valve Sizing'!$G$8/AM1969)</f>
        <v>441.70727857727161</v>
      </c>
      <c r="AN1971" s="111"/>
      <c r="AO1971" s="28"/>
      <c r="AP1971" s="96">
        <f ca="1">(AP1964/(N_9*AP$27*AP1966*AP1970))*SQRT(M*'Valve Sizing'!$W$6*'Valve Sizing'!$G$8/AP1969)</f>
        <v>-1924.4309536065823</v>
      </c>
      <c r="AQ1971" s="111"/>
      <c r="AR1971" s="28"/>
      <c r="AS1971" s="96">
        <f ca="1">(AS1964/(N_9*AS$27*AS1966*AS1970))*SQRT(M*'Valve Sizing'!$W$6*'Valve Sizing'!$G$8/AS1969)</f>
        <v>937.532793850801</v>
      </c>
      <c r="AT1971" s="111"/>
      <c r="AU1971" s="28"/>
    </row>
    <row r="1972" spans="15:47" x14ac:dyDescent="0.25">
      <c r="O1972" s="2" t="s">
        <v>59</v>
      </c>
      <c r="P1972" s="143">
        <v>7</v>
      </c>
      <c r="Q1972" s="2"/>
      <c r="R1972" s="96">
        <f ca="1">(R1964/(N_9*R$27*R1966*0.667))*SQRT(M*'Valve Sizing'!$W$6*'Valve Sizing'!$G$8/R1973)</f>
        <v>1.7711570206424865</v>
      </c>
      <c r="S1972" s="107"/>
      <c r="T1972" s="22"/>
      <c r="U1972" s="96">
        <f ca="1">(U1964/(N_9*U$27*U1966*0.667))*SQRT(M*'Valve Sizing'!$W$6*'Valve Sizing'!$G$8/U1973)</f>
        <v>16.792174697341711</v>
      </c>
      <c r="V1972" s="111"/>
      <c r="W1972" s="28"/>
      <c r="X1972" s="96">
        <f ca="1">(X1964/(N_9*X$27*X1966*0.667))*SQRT(M*'Valve Sizing'!$W$6*'Valve Sizing'!$G$8/X1973)</f>
        <v>42.325335491471961</v>
      </c>
      <c r="Y1972" s="111"/>
      <c r="Z1972" s="28"/>
      <c r="AA1972" s="96">
        <f ca="1">(AA1964/(N_9*AA$27*AA1966*0.667))*SQRT(M*'Valve Sizing'!$W$6*'Valve Sizing'!$G$8/AA1973)</f>
        <v>90.208897937190727</v>
      </c>
      <c r="AB1972" s="111"/>
      <c r="AC1972" s="28"/>
      <c r="AD1972" s="96">
        <f ca="1">(AD1964/(N_9*AD$27*AD1966*0.667))*SQRT(M*'Valve Sizing'!$W$6*'Valve Sizing'!$G$8/AD1973)</f>
        <v>193.89917599040484</v>
      </c>
      <c r="AE1972" s="111"/>
      <c r="AF1972" s="28"/>
      <c r="AG1972" s="96">
        <f ca="1">(AG1964/(N_9*AG$27*AG1966*0.667))*SQRT(M*'Valve Sizing'!$W$6*'Valve Sizing'!$G$8/AG1973)</f>
        <v>524.37290158156998</v>
      </c>
      <c r="AH1972" s="111"/>
      <c r="AI1972" s="28"/>
      <c r="AJ1972" s="96">
        <f ca="1">(AJ1964/(N_9*AJ$27*AJ1966*0.667))*SQRT(M*'Valve Sizing'!$W$6*'Valve Sizing'!$G$8/AJ1973)</f>
        <v>-6335.4853885967214</v>
      </c>
      <c r="AK1972" s="111"/>
      <c r="AL1972" s="28"/>
      <c r="AM1972" s="96">
        <f ca="1">(AM1964/(N_9*AM$27*AM1966*0.667))*SQRT(M*'Valve Sizing'!$W$6*'Valve Sizing'!$G$8/AM1973)</f>
        <v>-753.72275097339991</v>
      </c>
      <c r="AN1972" s="111"/>
      <c r="AO1972" s="28"/>
      <c r="AP1972" s="96">
        <f ca="1">(AP1964/(N_9*AP$27*AP1966*0.667))*SQRT(M*'Valve Sizing'!$W$6*'Valve Sizing'!$G$8/AP1973)</f>
        <v>-454.35731495715027</v>
      </c>
      <c r="AQ1972" s="111"/>
      <c r="AR1972" s="28"/>
      <c r="AS1972" s="96">
        <f ca="1">(AS1964/(N_9*AS$27*AS1966*0.667))*SQRT(M*'Valve Sizing'!$W$6*'Valve Sizing'!$G$8/AS1973)</f>
        <v>-521.17158327151776</v>
      </c>
      <c r="AT1972" s="111"/>
      <c r="AU1972" s="28"/>
    </row>
    <row r="1973" spans="15:47" ht="15.6" x14ac:dyDescent="0.35">
      <c r="O1973" s="2" t="s">
        <v>68</v>
      </c>
      <c r="P1973" s="143">
        <v>10</v>
      </c>
      <c r="Q1973" s="2"/>
      <c r="R1973" s="96">
        <f ca="1">F_GAMMA*R$29</f>
        <v>0.64002969751372984</v>
      </c>
      <c r="S1973" s="107"/>
      <c r="T1973" s="1"/>
      <c r="U1973" s="96">
        <f ca="1">F_GAMMA*U$29</f>
        <v>0.64017842058782071</v>
      </c>
      <c r="V1973" s="111"/>
      <c r="W1973" s="28"/>
      <c r="X1973" s="96">
        <f ca="1">F_GAMMA*X$29</f>
        <v>0.63413873724904268</v>
      </c>
      <c r="Y1973" s="111"/>
      <c r="Z1973" s="28"/>
      <c r="AA1973" s="96">
        <f ca="1">F_GAMMA*AA$29</f>
        <v>0.62532411750377137</v>
      </c>
      <c r="AB1973" s="111"/>
      <c r="AC1973" s="28"/>
      <c r="AD1973" s="96">
        <f ca="1">F_GAMMA*AD$29</f>
        <v>0.60651359509139569</v>
      </c>
      <c r="AE1973" s="111"/>
      <c r="AF1973" s="28"/>
      <c r="AG1973" s="96">
        <f ca="1">F_GAMMA*AG$29</f>
        <v>0.57217930198481592</v>
      </c>
      <c r="AH1973" s="111"/>
      <c r="AI1973" s="28"/>
      <c r="AJ1973" s="96">
        <f ca="1">F_GAMMA*AJ$29</f>
        <v>0.53183282018848232</v>
      </c>
      <c r="AK1973" s="111"/>
      <c r="AL1973" s="28"/>
      <c r="AM1973" s="96">
        <f ca="1">F_GAMMA*AM$29</f>
        <v>0.47566512503094399</v>
      </c>
      <c r="AN1973" s="111"/>
      <c r="AO1973" s="28"/>
      <c r="AP1973" s="96">
        <f ca="1">F_GAMMA*AP$29</f>
        <v>0.59054158265645496</v>
      </c>
      <c r="AQ1973" s="111"/>
      <c r="AR1973" s="28"/>
      <c r="AS1973" s="96">
        <f ca="1">F_GAMMA*AS$29</f>
        <v>0.3766899554102966</v>
      </c>
      <c r="AT1973" s="111"/>
      <c r="AU1973" s="28"/>
    </row>
    <row r="1974" spans="15:47" x14ac:dyDescent="0.25">
      <c r="O1974" s="2" t="s">
        <v>145</v>
      </c>
      <c r="P1974" s="12"/>
      <c r="Q1974" s="2"/>
      <c r="R1974" s="96">
        <f ca="1">IF(R1969&lt;R1973,R1971,R1972)</f>
        <v>1.9785738794740764</v>
      </c>
      <c r="S1974" s="116"/>
      <c r="T1974" s="1"/>
      <c r="U1974" s="96">
        <f ca="1">IF(U1969&lt;U1973,U1971,U1972)</f>
        <v>18.80657866436232</v>
      </c>
      <c r="V1974" s="111"/>
      <c r="W1974" s="28"/>
      <c r="X1974" s="96">
        <f ca="1">IF(X1969&lt;X1973,X1971,X1972)</f>
        <v>47.911903483874802</v>
      </c>
      <c r="Y1974" s="111"/>
      <c r="Z1974" s="28"/>
      <c r="AA1974" s="96">
        <f ca="1">IF(AA1969&lt;AA1973,AA1971,AA1972)</f>
        <v>108.01269844453392</v>
      </c>
      <c r="AB1974" s="111"/>
      <c r="AC1974" s="28"/>
      <c r="AD1974" s="96">
        <f ca="1">IF(AD1969&lt;AD1973,AD1971,AD1972)</f>
        <v>371.43342351972012</v>
      </c>
      <c r="AE1974" s="111"/>
      <c r="AF1974" s="28"/>
      <c r="AG1974" s="96" t="e">
        <f ca="1">IF(AG1969&lt;AG1973,AG1971,AG1972)</f>
        <v>#NUM!</v>
      </c>
      <c r="AH1974" s="111"/>
      <c r="AI1974" s="28"/>
      <c r="AJ1974" s="96">
        <f ca="1">IF(AJ1969&lt;AJ1973,AJ1971,AJ1972)</f>
        <v>-6335.4853885967214</v>
      </c>
      <c r="AK1974" s="111"/>
      <c r="AL1974" s="28"/>
      <c r="AM1974" s="96">
        <f ca="1">IF(AM1969&lt;AM1973,AM1971,AM1972)</f>
        <v>-753.72275097339991</v>
      </c>
      <c r="AN1974" s="111"/>
      <c r="AO1974" s="28"/>
      <c r="AP1974" s="96">
        <f ca="1">IF(AP1969&lt;AP1973,AP1971,AP1972)</f>
        <v>-454.35731495715027</v>
      </c>
      <c r="AQ1974" s="111"/>
      <c r="AR1974" s="28"/>
      <c r="AS1974" s="96">
        <f ca="1">IF(AS1969&lt;AS1973,AS1971,AS1972)</f>
        <v>-521.17158327151776</v>
      </c>
      <c r="AT1974" s="111"/>
      <c r="AU1974" s="28"/>
    </row>
    <row r="1975" spans="15:47" x14ac:dyDescent="0.25">
      <c r="O1975" s="13" t="s">
        <v>143</v>
      </c>
      <c r="P1975" s="1"/>
      <c r="Q1975" s="1"/>
      <c r="R1975" s="113"/>
      <c r="S1975" s="106">
        <f ca="1">IF(R1968&lt;=0,Q_max,ABS(R$23-R1974))</f>
        <v>2.7514261205259238</v>
      </c>
      <c r="T1975" s="7">
        <f>R1964</f>
        <v>4899.0330205264017</v>
      </c>
      <c r="U1975" s="98"/>
      <c r="V1975" s="106">
        <f ca="1">IF(U1968&lt;=0,Q_max,ABS(U$23-U1974))</f>
        <v>7.2065786643623202</v>
      </c>
      <c r="W1975" s="9">
        <f ca="1">U1964</f>
        <v>46223.998055700715</v>
      </c>
      <c r="X1975" s="98"/>
      <c r="Y1975" s="106">
        <f ca="1">IF(X1968&lt;=0,Q_max,ABS(X$23-X1974))</f>
        <v>24.911903483874802</v>
      </c>
      <c r="Z1975" s="9">
        <f ca="1">X1964</f>
        <v>113185.59199207663</v>
      </c>
      <c r="AA1975" s="98"/>
      <c r="AB1975" s="106">
        <f ca="1">IF(AA1968&lt;=0,Q_max,ABS(AA$23-AA1974))</f>
        <v>68.612698444533919</v>
      </c>
      <c r="AC1975" s="9">
        <f ca="1">AA1964</f>
        <v>220456.64309735264</v>
      </c>
      <c r="AD1975" s="98"/>
      <c r="AE1975" s="106">
        <f ca="1">IF(AD1968&lt;=0,Q_max,ABS(AD$23-AD1974))</f>
        <v>310.43342351972012</v>
      </c>
      <c r="AF1975" s="9">
        <f ca="1">AD1964</f>
        <v>369857.66778733872</v>
      </c>
      <c r="AG1975" s="98"/>
      <c r="AH1975" s="106">
        <f ca="1">IF(AG1968&lt;=0,Q_max,ABS(AG$23-AG1974))</f>
        <v>236393</v>
      </c>
      <c r="AI1975" s="9">
        <f ca="1">AG1964</f>
        <v>539817.339631496</v>
      </c>
      <c r="AJ1975" s="98"/>
      <c r="AK1975" s="106">
        <f ca="1">IF(AJ1968&lt;=0,Q_max,ABS(AJ$23-AJ1974))</f>
        <v>236393</v>
      </c>
      <c r="AL1975" s="9">
        <f ca="1">AJ1964</f>
        <v>720388.33237644238</v>
      </c>
      <c r="AM1975" s="98"/>
      <c r="AN1975" s="106">
        <f ca="1">IF(AM1968&lt;=0,Q_max,ABS(AM$23-AM1974))</f>
        <v>236393</v>
      </c>
      <c r="AO1975" s="9">
        <f ca="1">AM1964</f>
        <v>879010.66806046048</v>
      </c>
      <c r="AP1975" s="98"/>
      <c r="AQ1975" s="106">
        <f ca="1">IF(AP1968&lt;=0,Q_max,ABS(AP$23-AP1974))</f>
        <v>236393</v>
      </c>
      <c r="AR1975" s="9">
        <f ca="1">AP1964</f>
        <v>1020504.0970572374</v>
      </c>
      <c r="AS1975" s="98"/>
      <c r="AT1975" s="106">
        <f ca="1">IF(AS1968&lt;=0,Q_max,ABS(AS$23-AS1974))</f>
        <v>236393</v>
      </c>
      <c r="AU1975" s="9">
        <f ca="1">AS1964</f>
        <v>1196621.3112664581</v>
      </c>
    </row>
    <row r="1976" spans="15:47" x14ac:dyDescent="0.25">
      <c r="O1976" s="21"/>
      <c r="P1976" s="14"/>
      <c r="Q1976" s="21"/>
      <c r="R1976" s="97"/>
      <c r="S1976" s="106"/>
      <c r="T1976" s="28"/>
      <c r="U1976" s="97"/>
      <c r="V1976" s="111"/>
      <c r="W1976" s="28"/>
      <c r="X1976" s="97"/>
      <c r="Y1976" s="111"/>
      <c r="Z1976" s="28"/>
      <c r="AA1976" s="97"/>
      <c r="AB1976" s="111"/>
      <c r="AC1976" s="28"/>
      <c r="AD1976" s="97"/>
      <c r="AE1976" s="111"/>
      <c r="AF1976" s="28"/>
      <c r="AG1976" s="97"/>
      <c r="AH1976" s="111"/>
      <c r="AI1976" s="28"/>
      <c r="AJ1976" s="97"/>
      <c r="AK1976" s="111"/>
      <c r="AL1976" s="28"/>
      <c r="AM1976" s="97"/>
      <c r="AN1976" s="111"/>
      <c r="AO1976" s="28"/>
      <c r="AP1976" s="97"/>
      <c r="AQ1976" s="111"/>
      <c r="AR1976" s="28"/>
      <c r="AS1976" s="97"/>
      <c r="AT1976" s="111"/>
      <c r="AU1976" s="28"/>
    </row>
    <row r="1977" spans="15:47" x14ac:dyDescent="0.25">
      <c r="O1977" s="1"/>
      <c r="P1977" s="1"/>
      <c r="Q1977" s="1"/>
      <c r="R1977" s="98"/>
      <c r="S1977" s="108" t="s">
        <v>137</v>
      </c>
      <c r="T1977" s="26" t="s">
        <v>146</v>
      </c>
      <c r="U1977" s="98"/>
      <c r="V1977" s="108" t="s">
        <v>137</v>
      </c>
      <c r="W1977" s="26" t="s">
        <v>146</v>
      </c>
      <c r="X1977" s="98"/>
      <c r="Y1977" s="108" t="s">
        <v>137</v>
      </c>
      <c r="Z1977" s="26" t="s">
        <v>146</v>
      </c>
      <c r="AA1977" s="98"/>
      <c r="AB1977" s="108" t="s">
        <v>137</v>
      </c>
      <c r="AC1977" s="26" t="s">
        <v>146</v>
      </c>
      <c r="AD1977" s="98"/>
      <c r="AE1977" s="108" t="s">
        <v>137</v>
      </c>
      <c r="AF1977" s="26" t="s">
        <v>146</v>
      </c>
      <c r="AG1977" s="98"/>
      <c r="AH1977" s="108" t="s">
        <v>137</v>
      </c>
      <c r="AI1977" s="26" t="s">
        <v>146</v>
      </c>
      <c r="AJ1977" s="98"/>
      <c r="AK1977" s="108" t="s">
        <v>137</v>
      </c>
      <c r="AL1977" s="26" t="s">
        <v>146</v>
      </c>
      <c r="AM1977" s="98"/>
      <c r="AN1977" s="108" t="s">
        <v>137</v>
      </c>
      <c r="AO1977" s="26" t="s">
        <v>146</v>
      </c>
      <c r="AP1977" s="98"/>
      <c r="AQ1977" s="108" t="s">
        <v>137</v>
      </c>
      <c r="AR1977" s="26" t="s">
        <v>146</v>
      </c>
      <c r="AS1977" s="98"/>
      <c r="AT1977" s="108" t="s">
        <v>137</v>
      </c>
      <c r="AU1977" s="26" t="s">
        <v>146</v>
      </c>
    </row>
    <row r="1978" spans="15:47" ht="13.8" x14ac:dyDescent="0.25">
      <c r="O1978" s="20" t="s">
        <v>136</v>
      </c>
      <c r="P1978" s="1"/>
      <c r="Q1978" s="1"/>
      <c r="R1978" s="96">
        <f>R1964*1.02</f>
        <v>4997.0136809369296</v>
      </c>
      <c r="S1978" s="109" t="s">
        <v>144</v>
      </c>
      <c r="T1978" s="23" t="s">
        <v>147</v>
      </c>
      <c r="U1978" s="96">
        <f ca="1">U1964*1.01</f>
        <v>46686.238036257724</v>
      </c>
      <c r="V1978" s="109" t="s">
        <v>144</v>
      </c>
      <c r="W1978" s="23" t="s">
        <v>147</v>
      </c>
      <c r="X1978" s="96">
        <f ca="1">X1964*1.01</f>
        <v>114317.4479119974</v>
      </c>
      <c r="Y1978" s="109" t="s">
        <v>144</v>
      </c>
      <c r="Z1978" s="23" t="s">
        <v>147</v>
      </c>
      <c r="AA1978" s="96">
        <f ca="1">AA1964*1.01</f>
        <v>222661.20952832617</v>
      </c>
      <c r="AB1978" s="109" t="s">
        <v>144</v>
      </c>
      <c r="AC1978" s="23" t="s">
        <v>147</v>
      </c>
      <c r="AD1978" s="96">
        <f ca="1">AD1964*1.01</f>
        <v>373556.2444652121</v>
      </c>
      <c r="AE1978" s="109" t="s">
        <v>144</v>
      </c>
      <c r="AF1978" s="23" t="s">
        <v>147</v>
      </c>
      <c r="AG1978" s="96">
        <f ca="1">AG1964*1.01</f>
        <v>545215.51302781096</v>
      </c>
      <c r="AH1978" s="109" t="s">
        <v>144</v>
      </c>
      <c r="AI1978" s="23" t="s">
        <v>147</v>
      </c>
      <c r="AJ1978" s="96">
        <f ca="1">AJ1964*1.01</f>
        <v>727592.21570020681</v>
      </c>
      <c r="AK1978" s="109" t="s">
        <v>144</v>
      </c>
      <c r="AL1978" s="23" t="s">
        <v>147</v>
      </c>
      <c r="AM1978" s="96">
        <f ca="1">AM1964*1.01</f>
        <v>887800.77474106511</v>
      </c>
      <c r="AN1978" s="109" t="s">
        <v>144</v>
      </c>
      <c r="AO1978" s="23" t="s">
        <v>147</v>
      </c>
      <c r="AP1978" s="96">
        <f ca="1">AP1964*1.01</f>
        <v>1030709.1380278098</v>
      </c>
      <c r="AQ1978" s="109" t="s">
        <v>144</v>
      </c>
      <c r="AR1978" s="23" t="s">
        <v>147</v>
      </c>
      <c r="AS1978" s="96">
        <f ca="1">AS1964*1.01</f>
        <v>1208587.5243791228</v>
      </c>
      <c r="AT1978" s="109" t="s">
        <v>144</v>
      </c>
      <c r="AU1978" s="23" t="s">
        <v>147</v>
      </c>
    </row>
    <row r="1979" spans="15:47" x14ac:dyDescent="0.25">
      <c r="O1979" s="1"/>
      <c r="P1979" s="1"/>
      <c r="Q1979" s="1"/>
      <c r="R1979" s="98"/>
      <c r="S1979" s="107"/>
      <c r="T1979" s="1"/>
      <c r="U1979" s="47"/>
      <c r="V1979" s="107"/>
      <c r="W1979" s="1"/>
      <c r="X1979" s="47"/>
      <c r="Y1979" s="107"/>
      <c r="Z1979" s="1"/>
      <c r="AA1979" s="47"/>
      <c r="AB1979" s="107"/>
      <c r="AC1979" s="1"/>
      <c r="AD1979" s="47"/>
      <c r="AE1979" s="107"/>
      <c r="AF1979" s="1"/>
      <c r="AG1979" s="47"/>
      <c r="AH1979" s="107"/>
      <c r="AI1979" s="1"/>
      <c r="AJ1979" s="47"/>
      <c r="AK1979" s="107"/>
      <c r="AL1979" s="1"/>
      <c r="AM1979" s="47"/>
      <c r="AN1979" s="107"/>
      <c r="AO1979" s="1"/>
      <c r="AP1979" s="47"/>
      <c r="AQ1979" s="107"/>
      <c r="AR1979" s="1"/>
      <c r="AS1979" s="47"/>
      <c r="AT1979" s="107"/>
      <c r="AU1979" s="1"/>
    </row>
    <row r="1980" spans="15:47" x14ac:dyDescent="0.25">
      <c r="O1980" s="8" t="s">
        <v>132</v>
      </c>
      <c r="P1980" s="8"/>
      <c r="Q1980" s="8"/>
      <c r="R1980" s="96">
        <f>P_1_minQ-(R1978^2*R_up)+dpup_minQ</f>
        <v>90.180489448742435</v>
      </c>
      <c r="S1980" s="106"/>
      <c r="T1980" s="22"/>
      <c r="U1980" s="96">
        <f ca="1">P_1_minQ-(U1978^2*R_up)+dpup_minQ</f>
        <v>89.787783769343534</v>
      </c>
      <c r="V1980" s="107"/>
      <c r="W1980" s="1"/>
      <c r="X1980" s="96">
        <f ca="1">P_1_minQ-(X1978^2*R_up)+dpup_minQ</f>
        <v>87.803167658455649</v>
      </c>
      <c r="Y1980" s="107"/>
      <c r="Z1980" s="1"/>
      <c r="AA1980" s="96">
        <f ca="1">P_1_minQ-(AA1978^2*R_up)+dpup_minQ</f>
        <v>81.148906481407167</v>
      </c>
      <c r="AB1980" s="107"/>
      <c r="AC1980" s="1"/>
      <c r="AD1980" s="96">
        <f ca="1">P_1_minQ-(AD1978^2*R_up)+dpup_minQ</f>
        <v>64.75157513197459</v>
      </c>
      <c r="AE1980" s="107"/>
      <c r="AF1980" s="1"/>
      <c r="AG1980" s="96">
        <f ca="1">P_1_minQ-(AG1978^2*R_up)+dpup_minQ</f>
        <v>36.006170150587316</v>
      </c>
      <c r="AH1980" s="107"/>
      <c r="AI1980" s="1"/>
      <c r="AJ1980" s="96">
        <f ca="1">P_1_minQ-(AJ1978^2*R_up)+dpup_minQ</f>
        <v>-6.3021420505454708</v>
      </c>
      <c r="AK1980" s="107"/>
      <c r="AL1980" s="1"/>
      <c r="AM1980" s="96">
        <f ca="1">P_1_minQ-(AM1978^2*R_up)+dpup_minQ</f>
        <v>-53.471226370404224</v>
      </c>
      <c r="AN1980" s="107"/>
      <c r="AO1980" s="1"/>
      <c r="AP1980" s="96">
        <f ca="1">P_1_minQ-(AP1978^2*R_up)+dpup_minQ</f>
        <v>-103.44190299257315</v>
      </c>
      <c r="AQ1980" s="107"/>
      <c r="AR1980" s="1"/>
      <c r="AS1980" s="96">
        <f ca="1">P_1_minQ-(AS1978^2*R_up)+dpup_minQ</f>
        <v>-176.04052057892505</v>
      </c>
      <c r="AT1980" s="107"/>
      <c r="AU1980" s="1"/>
    </row>
    <row r="1981" spans="15:47" x14ac:dyDescent="0.25">
      <c r="O1981" s="8" t="s">
        <v>134</v>
      </c>
      <c r="P1981" s="1"/>
      <c r="Q1981" s="8"/>
      <c r="R1981" s="97">
        <f>P_2_minQ+(R1978^2*R_dn)-dpdn_minQ</f>
        <v>60</v>
      </c>
      <c r="S1981" s="106"/>
      <c r="T1981" s="22"/>
      <c r="U1981" s="97">
        <f ca="1">P_2_minQ+(U1978^2*R_dn)-dpdn_minQ</f>
        <v>60</v>
      </c>
      <c r="V1981" s="107"/>
      <c r="W1981" s="1"/>
      <c r="X1981" s="97">
        <f ca="1">P_2_minQ+(X1978^2*R_dn)-dpdn_minQ</f>
        <v>60</v>
      </c>
      <c r="Y1981" s="107"/>
      <c r="Z1981" s="1"/>
      <c r="AA1981" s="97">
        <f ca="1">P_2_minQ+(AA1978^2*R_dn)-dpdn_minQ</f>
        <v>60</v>
      </c>
      <c r="AB1981" s="107"/>
      <c r="AC1981" s="1"/>
      <c r="AD1981" s="97">
        <f ca="1">P_2_minQ+(AD1978^2*R_dn)-dpdn_minQ</f>
        <v>60</v>
      </c>
      <c r="AE1981" s="107"/>
      <c r="AF1981" s="1"/>
      <c r="AG1981" s="97">
        <f ca="1">P_2_minQ+(AG1978^2*R_dn)-dpdn_minQ</f>
        <v>60</v>
      </c>
      <c r="AH1981" s="107"/>
      <c r="AI1981" s="1"/>
      <c r="AJ1981" s="97">
        <f ca="1">P_2_minQ+(AJ1978^2*R_dn)-dpdn_minQ</f>
        <v>60</v>
      </c>
      <c r="AK1981" s="107"/>
      <c r="AL1981" s="1"/>
      <c r="AM1981" s="97">
        <f ca="1">P_2_minQ+(AM1978^2*R_dn)-dpdn_minQ</f>
        <v>60</v>
      </c>
      <c r="AN1981" s="107"/>
      <c r="AO1981" s="1"/>
      <c r="AP1981" s="97">
        <f ca="1">P_2_minQ+(AP1978^2*R_dn)-dpdn_minQ</f>
        <v>60</v>
      </c>
      <c r="AQ1981" s="107"/>
      <c r="AR1981" s="1"/>
      <c r="AS1981" s="97">
        <f ca="1">P_2_minQ+(AS1978^2*R_dn)-dpdn_minQ</f>
        <v>60</v>
      </c>
      <c r="AT1981" s="107"/>
      <c r="AU1981" s="1"/>
    </row>
    <row r="1982" spans="15:47" x14ac:dyDescent="0.25">
      <c r="O1982" s="8" t="s">
        <v>138</v>
      </c>
      <c r="P1982" s="1"/>
      <c r="Q1982" s="8"/>
      <c r="R1982" s="97">
        <f>R1980-R1981</f>
        <v>30.180489448742435</v>
      </c>
      <c r="S1982" s="106"/>
      <c r="T1982" s="22"/>
      <c r="U1982" s="97">
        <f ca="1">U1980-U1981</f>
        <v>29.787783769343534</v>
      </c>
      <c r="V1982" s="110"/>
      <c r="W1982" s="25"/>
      <c r="X1982" s="97">
        <f ca="1">X1980-X1981</f>
        <v>27.803167658455649</v>
      </c>
      <c r="Y1982" s="110"/>
      <c r="Z1982" s="25"/>
      <c r="AA1982" s="97">
        <f ca="1">AA1980-AA1981</f>
        <v>21.148906481407167</v>
      </c>
      <c r="AB1982" s="110"/>
      <c r="AC1982" s="25"/>
      <c r="AD1982" s="97">
        <f ca="1">AD1980-AD1981</f>
        <v>4.7515751319745902</v>
      </c>
      <c r="AE1982" s="110"/>
      <c r="AF1982" s="25"/>
      <c r="AG1982" s="97">
        <f ca="1">AG1980-AG1981</f>
        <v>-23.993829849412684</v>
      </c>
      <c r="AH1982" s="110"/>
      <c r="AI1982" s="25"/>
      <c r="AJ1982" s="97">
        <f ca="1">AJ1980-AJ1981</f>
        <v>-66.30214205054547</v>
      </c>
      <c r="AK1982" s="110"/>
      <c r="AL1982" s="25"/>
      <c r="AM1982" s="97">
        <f ca="1">AM1980-AM1981</f>
        <v>-113.47122637040422</v>
      </c>
      <c r="AN1982" s="110"/>
      <c r="AO1982" s="25"/>
      <c r="AP1982" s="97">
        <f ca="1">AP1980-AP1981</f>
        <v>-163.44190299257315</v>
      </c>
      <c r="AQ1982" s="110"/>
      <c r="AR1982" s="25"/>
      <c r="AS1982" s="97">
        <f ca="1">AS1980-AS1981</f>
        <v>-236.04052057892505</v>
      </c>
      <c r="AT1982" s="110"/>
      <c r="AU1982" s="25"/>
    </row>
    <row r="1983" spans="15:47" ht="14.4" x14ac:dyDescent="0.3">
      <c r="O1983" s="2" t="s">
        <v>140</v>
      </c>
      <c r="P1983" s="11"/>
      <c r="Q1983" s="2"/>
      <c r="R1983" s="96">
        <f>R1982/R1980</f>
        <v>0.33466761639053516</v>
      </c>
      <c r="S1983" s="106"/>
      <c r="T1983" s="22"/>
      <c r="U1983" s="96">
        <f ca="1">U1982/U1980</f>
        <v>0.33175764584930151</v>
      </c>
      <c r="V1983" s="111"/>
      <c r="W1983" s="28"/>
      <c r="X1983" s="96">
        <f ca="1">X1982/X1980</f>
        <v>0.31665335545303802</v>
      </c>
      <c r="Y1983" s="111"/>
      <c r="Z1983" s="28"/>
      <c r="AA1983" s="96">
        <f ca="1">AA1982/AA1980</f>
        <v>0.26061850243481471</v>
      </c>
      <c r="AB1983" s="111"/>
      <c r="AC1983" s="28"/>
      <c r="AD1983" s="96">
        <f ca="1">AD1982/AD1980</f>
        <v>7.3381614613854285E-2</v>
      </c>
      <c r="AE1983" s="111"/>
      <c r="AF1983" s="28"/>
      <c r="AG1983" s="96">
        <f ca="1">AG1982/AG1980</f>
        <v>-0.6663810604978021</v>
      </c>
      <c r="AH1983" s="111"/>
      <c r="AI1983" s="28"/>
      <c r="AJ1983" s="96">
        <f ca="1">AJ1982/AJ1980</f>
        <v>10.520572452791159</v>
      </c>
      <c r="AK1983" s="111"/>
      <c r="AL1983" s="28"/>
      <c r="AM1983" s="96">
        <f ca="1">AM1982/AM1980</f>
        <v>2.1220988197347457</v>
      </c>
      <c r="AN1983" s="111"/>
      <c r="AO1983" s="28"/>
      <c r="AP1983" s="96">
        <f ca="1">AP1982/AP1980</f>
        <v>1.5800357327562684</v>
      </c>
      <c r="AQ1983" s="111"/>
      <c r="AR1983" s="28"/>
      <c r="AS1983" s="96">
        <f ca="1">AS1982/AS1980</f>
        <v>1.3408306212835808</v>
      </c>
      <c r="AT1983" s="111"/>
      <c r="AU1983" s="28"/>
    </row>
    <row r="1984" spans="15:47" x14ac:dyDescent="0.25">
      <c r="O1984" s="2" t="s">
        <v>21</v>
      </c>
      <c r="P1984" s="8">
        <v>12</v>
      </c>
      <c r="Q1984" s="2"/>
      <c r="R1984" s="96">
        <f ca="1">1-R1983/(3*F_GAMMA*R$29)</f>
        <v>0.82570203763430006</v>
      </c>
      <c r="S1984" s="106"/>
      <c r="T1984" s="22"/>
      <c r="U1984" s="96">
        <f ca="1">1-U1983/(3*F_GAMMA*U$29)</f>
        <v>0.82725771692175176</v>
      </c>
      <c r="V1984" s="111"/>
      <c r="W1984" s="28"/>
      <c r="X1984" s="96">
        <f ca="1">1-X1983/(3*F_GAMMA*X$29)</f>
        <v>0.83355200954567554</v>
      </c>
      <c r="Y1984" s="111"/>
      <c r="Z1984" s="28"/>
      <c r="AA1984" s="96">
        <f ca="1">1-AA1983/(3*F_GAMMA*AA$29)</f>
        <v>0.86107550994238713</v>
      </c>
      <c r="AB1984" s="111"/>
      <c r="AC1984" s="28"/>
      <c r="AD1984" s="96">
        <f ca="1">1-AD1983/(3*F_GAMMA*AD$29)</f>
        <v>0.95967025569982134</v>
      </c>
      <c r="AE1984" s="111"/>
      <c r="AF1984" s="28"/>
      <c r="AG1984" s="96">
        <f ca="1">1-AG1983/(3*F_GAMMA*AG$29)</f>
        <v>1.3882122603795772</v>
      </c>
      <c r="AH1984" s="111"/>
      <c r="AI1984" s="28"/>
      <c r="AJ1984" s="96">
        <f ca="1">1-AJ1983/(3*F_GAMMA*AJ$29)</f>
        <v>-5.5939094977645123</v>
      </c>
      <c r="AK1984" s="111"/>
      <c r="AL1984" s="28"/>
      <c r="AM1984" s="96">
        <f ca="1">1-AM1983/(3*F_GAMMA*AM$29)</f>
        <v>-0.48710980902562095</v>
      </c>
      <c r="AN1984" s="111"/>
      <c r="AO1984" s="28"/>
      <c r="AP1984" s="96">
        <f ca="1">1-AP1983/(3*F_GAMMA*AP$29)</f>
        <v>0.10814311294346934</v>
      </c>
      <c r="AQ1984" s="111"/>
      <c r="AR1984" s="28"/>
      <c r="AS1984" s="96">
        <f ca="1">1-AS1983/(3*F_GAMMA*AS$29)</f>
        <v>-0.18650241135589174</v>
      </c>
      <c r="AT1984" s="111"/>
      <c r="AU1984" s="28"/>
    </row>
    <row r="1985" spans="15:47" x14ac:dyDescent="0.25">
      <c r="O1985" s="2" t="s">
        <v>57</v>
      </c>
      <c r="P1985" s="143">
        <v>7</v>
      </c>
      <c r="Q1985" s="2"/>
      <c r="R1985" s="96">
        <f ca="1">(R1978/(N_9*R$27*R1980*R1984))*SQRT(M*'Valve Sizing'!$W$6*'Valve Sizing'!$G$8/R1983)</f>
        <v>2.0181515835052553</v>
      </c>
      <c r="S1985" s="107"/>
      <c r="T1985" s="22"/>
      <c r="U1985" s="96">
        <f ca="1">(U1978/(N_9*U$27*U1980*U1984))*SQRT(M*'Valve Sizing'!$W$6*'Valve Sizing'!$G$8/U1983)</f>
        <v>18.997271466332737</v>
      </c>
      <c r="V1985" s="111"/>
      <c r="W1985" s="28"/>
      <c r="X1985" s="96">
        <f ca="1">(X1978/(N_9*X$27*X1980*X1984))*SQRT(M*'Valve Sizing'!$W$6*'Valve Sizing'!$G$8/X1983)</f>
        <v>48.433637218215146</v>
      </c>
      <c r="Y1985" s="111"/>
      <c r="Z1985" s="28"/>
      <c r="AA1985" s="96">
        <f ca="1">(AA1978/(N_9*AA$27*AA1980*AA1984))*SQRT(M*'Valve Sizing'!$W$6*'Valve Sizing'!$G$8/AA1983)</f>
        <v>109.56129304979653</v>
      </c>
      <c r="AB1985" s="111"/>
      <c r="AC1985" s="28"/>
      <c r="AD1985" s="96">
        <f ca="1">(AD1978/(N_9*AD$27*AD1980*AD1984))*SQRT(M*'Valve Sizing'!$W$6*'Valve Sizing'!$G$8/AD1983)</f>
        <v>394.34471358404767</v>
      </c>
      <c r="AE1985" s="111"/>
      <c r="AF1985" s="28"/>
      <c r="AG1985" s="96" t="e">
        <f ca="1">(AG1978/(N_9*AG$27*AG1980*AG1984))*SQRT(M*'Valve Sizing'!$W$6*'Valve Sizing'!$G$8/AG1983)</f>
        <v>#NUM!</v>
      </c>
      <c r="AH1985" s="111"/>
      <c r="AI1985" s="28"/>
      <c r="AJ1985" s="96">
        <f ca="1">(AJ1978/(N_9*AJ$27*AJ1980*AJ1984))*SQRT(M*'Valve Sizing'!$W$6*'Valve Sizing'!$G$8/AJ1983)</f>
        <v>119.7951162436599</v>
      </c>
      <c r="AK1985" s="111"/>
      <c r="AL1985" s="28"/>
      <c r="AM1985" s="96">
        <f ca="1">(AM1978/(N_9*AM$27*AM1980*AM1984))*SQRT(M*'Valve Sizing'!$W$6*'Valve Sizing'!$G$8/AM1983)</f>
        <v>467.38930348342336</v>
      </c>
      <c r="AN1985" s="111"/>
      <c r="AO1985" s="28"/>
      <c r="AP1985" s="96">
        <f ca="1">(AP1978/(N_9*AP$27*AP1980*AP1984))*SQRT(M*'Valve Sizing'!$W$6*'Valve Sizing'!$G$8/AP1983)</f>
        <v>-1666.5442168396967</v>
      </c>
      <c r="AQ1985" s="111"/>
      <c r="AR1985" s="28"/>
      <c r="AS1985" s="96">
        <f ca="1">(AS1978/(N_9*AS$27*AS1980*AS1984))*SQRT(M*'Valve Sizing'!$W$6*'Valve Sizing'!$G$8/AS1983)</f>
        <v>968.07857465690927</v>
      </c>
      <c r="AT1985" s="111"/>
      <c r="AU1985" s="28"/>
    </row>
    <row r="1986" spans="15:47" x14ac:dyDescent="0.25">
      <c r="O1986" s="2" t="s">
        <v>59</v>
      </c>
      <c r="P1986" s="143">
        <v>7</v>
      </c>
      <c r="Q1986" s="2"/>
      <c r="R1986" s="96">
        <f ca="1">(R1978/(N_9*R$27*R1980*0.667))*SQRT(M*'Valve Sizing'!$W$6*'Valve Sizing'!$G$8/R1987)</f>
        <v>1.8065837013571238</v>
      </c>
      <c r="S1986" s="107"/>
      <c r="T1986" s="22"/>
      <c r="U1986" s="96">
        <f ca="1">(U1978/(N_9*U$27*U1980*0.667))*SQRT(M*'Valve Sizing'!$W$6*'Valve Sizing'!$G$8/U1987)</f>
        <v>16.961574993147384</v>
      </c>
      <c r="V1986" s="111"/>
      <c r="W1986" s="28"/>
      <c r="X1986" s="96">
        <f ca="1">(X1978/(N_9*X$27*X1980*0.667))*SQRT(M*'Valve Sizing'!$W$6*'Valve Sizing'!$G$8/X1987)</f>
        <v>42.771438703402296</v>
      </c>
      <c r="Y1986" s="111"/>
      <c r="Z1986" s="28"/>
      <c r="AA1986" s="96">
        <f ca="1">(AA1978/(N_9*AA$27*AA1980*0.667))*SQRT(M*'Valve Sizing'!$W$6*'Valve Sizing'!$G$8/AA1987)</f>
        <v>91.310892099345267</v>
      </c>
      <c r="AB1986" s="111"/>
      <c r="AC1986" s="28"/>
      <c r="AD1986" s="96">
        <f ca="1">(AD1978/(N_9*AD$27*AD1980*0.667))*SQRT(M*'Valve Sizing'!$W$6*'Valve Sizing'!$G$8/AD1987)</f>
        <v>197.35384191528104</v>
      </c>
      <c r="AE1986" s="111"/>
      <c r="AF1986" s="28"/>
      <c r="AG1986" s="96">
        <f ca="1">(AG1978/(N_9*AG$27*AG1980*0.667))*SQRT(M*'Valve Sizing'!$W$6*'Valve Sizing'!$G$8/AG1987)</f>
        <v>545.31909943652761</v>
      </c>
      <c r="AH1986" s="111"/>
      <c r="AI1986" s="28"/>
      <c r="AJ1986" s="96">
        <f ca="1">(AJ1978/(N_9*AJ$27*AJ1980*0.667))*SQRT(M*'Valve Sizing'!$W$6*'Valve Sizing'!$G$8/AJ1987)</f>
        <v>-4468.4904442449615</v>
      </c>
      <c r="AK1986" s="111"/>
      <c r="AL1986" s="28"/>
      <c r="AM1986" s="96">
        <f ca="1">(AM1978/(N_9*AM$27*AM1980*0.667))*SQRT(M*'Valve Sizing'!$W$6*'Valve Sizing'!$G$8/AM1987)</f>
        <v>-720.96130599691094</v>
      </c>
      <c r="AN1986" s="111"/>
      <c r="AO1986" s="28"/>
      <c r="AP1986" s="96">
        <f ca="1">(AP1978/(N_9*AP$27*AP1980*0.667))*SQRT(M*'Valve Sizing'!$W$6*'Valve Sizing'!$G$8/AP1987)</f>
        <v>-441.97538852143509</v>
      </c>
      <c r="AQ1986" s="111"/>
      <c r="AR1986" s="28"/>
      <c r="AS1986" s="96">
        <f ca="1">(AS1978/(N_9*AS$27*AS1980*0.667))*SQRT(M*'Valve Sizing'!$W$6*'Valve Sizing'!$G$8/AS1987)</f>
        <v>-510.69801033971731</v>
      </c>
      <c r="AT1986" s="111"/>
      <c r="AU1986" s="28"/>
    </row>
    <row r="1987" spans="15:47" ht="15.6" x14ac:dyDescent="0.35">
      <c r="O1987" s="2" t="s">
        <v>68</v>
      </c>
      <c r="P1987" s="143">
        <v>10</v>
      </c>
      <c r="Q1987" s="2"/>
      <c r="R1987" s="96">
        <f ca="1">F_GAMMA*R$29</f>
        <v>0.64002969751372984</v>
      </c>
      <c r="S1987" s="107"/>
      <c r="T1987" s="1"/>
      <c r="U1987" s="96">
        <f ca="1">F_GAMMA*U$29</f>
        <v>0.64017842058782071</v>
      </c>
      <c r="V1987" s="111"/>
      <c r="W1987" s="28"/>
      <c r="X1987" s="96">
        <f ca="1">F_GAMMA*X$29</f>
        <v>0.63413873724904268</v>
      </c>
      <c r="Y1987" s="111"/>
      <c r="Z1987" s="28"/>
      <c r="AA1987" s="96">
        <f ca="1">F_GAMMA*AA$29</f>
        <v>0.62532411750377137</v>
      </c>
      <c r="AB1987" s="111"/>
      <c r="AC1987" s="28"/>
      <c r="AD1987" s="96">
        <f ca="1">F_GAMMA*AD$29</f>
        <v>0.60651359509139569</v>
      </c>
      <c r="AE1987" s="111"/>
      <c r="AF1987" s="28"/>
      <c r="AG1987" s="96">
        <f ca="1">F_GAMMA*AG$29</f>
        <v>0.57217930198481592</v>
      </c>
      <c r="AH1987" s="111"/>
      <c r="AI1987" s="28"/>
      <c r="AJ1987" s="96">
        <f ca="1">F_GAMMA*AJ$29</f>
        <v>0.53183282018848232</v>
      </c>
      <c r="AK1987" s="111"/>
      <c r="AL1987" s="28"/>
      <c r="AM1987" s="96">
        <f ca="1">F_GAMMA*AM$29</f>
        <v>0.47566512503094399</v>
      </c>
      <c r="AN1987" s="111"/>
      <c r="AO1987" s="28"/>
      <c r="AP1987" s="96">
        <f ca="1">F_GAMMA*AP$29</f>
        <v>0.59054158265645496</v>
      </c>
      <c r="AQ1987" s="111"/>
      <c r="AR1987" s="28"/>
      <c r="AS1987" s="96">
        <f ca="1">F_GAMMA*AS$29</f>
        <v>0.3766899554102966</v>
      </c>
      <c r="AT1987" s="111"/>
      <c r="AU1987" s="28"/>
    </row>
    <row r="1988" spans="15:47" x14ac:dyDescent="0.25">
      <c r="O1988" s="2" t="s">
        <v>145</v>
      </c>
      <c r="P1988" s="12"/>
      <c r="Q1988" s="2"/>
      <c r="R1988" s="96">
        <f ca="1">IF(R1983&lt;R1987,R1985,R1986)</f>
        <v>2.0181515835052553</v>
      </c>
      <c r="S1988" s="116"/>
      <c r="T1988" s="1"/>
      <c r="U1988" s="96">
        <f ca="1">IF(U1983&lt;U1987,U1985,U1986)</f>
        <v>18.997271466332737</v>
      </c>
      <c r="V1988" s="111"/>
      <c r="W1988" s="28"/>
      <c r="X1988" s="96">
        <f ca="1">IF(X1983&lt;X1987,X1985,X1986)</f>
        <v>48.433637218215146</v>
      </c>
      <c r="Y1988" s="111"/>
      <c r="Z1988" s="28"/>
      <c r="AA1988" s="96">
        <f ca="1">IF(AA1983&lt;AA1987,AA1985,AA1986)</f>
        <v>109.56129304979653</v>
      </c>
      <c r="AB1988" s="111"/>
      <c r="AC1988" s="28"/>
      <c r="AD1988" s="96">
        <f ca="1">IF(AD1983&lt;AD1987,AD1985,AD1986)</f>
        <v>394.34471358404767</v>
      </c>
      <c r="AE1988" s="111"/>
      <c r="AF1988" s="28"/>
      <c r="AG1988" s="96" t="e">
        <f ca="1">IF(AG1983&lt;AG1987,AG1985,AG1986)</f>
        <v>#NUM!</v>
      </c>
      <c r="AH1988" s="111"/>
      <c r="AI1988" s="28"/>
      <c r="AJ1988" s="96">
        <f ca="1">IF(AJ1983&lt;AJ1987,AJ1985,AJ1986)</f>
        <v>-4468.4904442449615</v>
      </c>
      <c r="AK1988" s="111"/>
      <c r="AL1988" s="28"/>
      <c r="AM1988" s="96">
        <f ca="1">IF(AM1983&lt;AM1987,AM1985,AM1986)</f>
        <v>-720.96130599691094</v>
      </c>
      <c r="AN1988" s="111"/>
      <c r="AO1988" s="28"/>
      <c r="AP1988" s="96">
        <f ca="1">IF(AP1983&lt;AP1987,AP1985,AP1986)</f>
        <v>-441.97538852143509</v>
      </c>
      <c r="AQ1988" s="111"/>
      <c r="AR1988" s="28"/>
      <c r="AS1988" s="96">
        <f ca="1">IF(AS1983&lt;AS1987,AS1985,AS1986)</f>
        <v>-510.69801033971731</v>
      </c>
      <c r="AT1988" s="111"/>
      <c r="AU1988" s="28"/>
    </row>
    <row r="1989" spans="15:47" x14ac:dyDescent="0.25">
      <c r="O1989" s="13" t="s">
        <v>143</v>
      </c>
      <c r="P1989" s="1"/>
      <c r="Q1989" s="1"/>
      <c r="R1989" s="113"/>
      <c r="S1989" s="106">
        <f ca="1">IF(R1982&lt;=0,Q_max,ABS(R$23-R1988))</f>
        <v>2.7118484164947452</v>
      </c>
      <c r="T1989" s="7">
        <f>R1978</f>
        <v>4997.0136809369296</v>
      </c>
      <c r="U1989" s="98"/>
      <c r="V1989" s="106">
        <f ca="1">IF(U1982&lt;=0,Q_max,ABS(U$23-U1988))</f>
        <v>7.3972714663327377</v>
      </c>
      <c r="W1989" s="9">
        <f ca="1">U1978</f>
        <v>46686.238036257724</v>
      </c>
      <c r="X1989" s="98"/>
      <c r="Y1989" s="106">
        <f ca="1">IF(X1982&lt;=0,Q_max,ABS(X$23-X1988))</f>
        <v>25.433637218215146</v>
      </c>
      <c r="Z1989" s="9">
        <f ca="1">X1978</f>
        <v>114317.4479119974</v>
      </c>
      <c r="AA1989" s="98"/>
      <c r="AB1989" s="106">
        <f ca="1">IF(AA1982&lt;=0,Q_max,ABS(AA$23-AA1988))</f>
        <v>70.161293049796541</v>
      </c>
      <c r="AC1989" s="9">
        <f ca="1">AA1978</f>
        <v>222661.20952832617</v>
      </c>
      <c r="AD1989" s="98"/>
      <c r="AE1989" s="106">
        <f ca="1">IF(AD1982&lt;=0,Q_max,ABS(AD$23-AD1988))</f>
        <v>333.34471358404767</v>
      </c>
      <c r="AF1989" s="9">
        <f ca="1">AD1978</f>
        <v>373556.2444652121</v>
      </c>
      <c r="AG1989" s="98"/>
      <c r="AH1989" s="106">
        <f ca="1">IF(AG1982&lt;=0,Q_max,ABS(AG$23-AG1988))</f>
        <v>236393</v>
      </c>
      <c r="AI1989" s="9">
        <f ca="1">AG1978</f>
        <v>545215.51302781096</v>
      </c>
      <c r="AJ1989" s="98"/>
      <c r="AK1989" s="106">
        <f ca="1">IF(AJ1982&lt;=0,Q_max,ABS(AJ$23-AJ1988))</f>
        <v>236393</v>
      </c>
      <c r="AL1989" s="9">
        <f ca="1">AJ1978</f>
        <v>727592.21570020681</v>
      </c>
      <c r="AM1989" s="98"/>
      <c r="AN1989" s="106">
        <f ca="1">IF(AM1982&lt;=0,Q_max,ABS(AM$23-AM1988))</f>
        <v>236393</v>
      </c>
      <c r="AO1989" s="9">
        <f ca="1">AM1978</f>
        <v>887800.77474106511</v>
      </c>
      <c r="AP1989" s="98"/>
      <c r="AQ1989" s="106">
        <f ca="1">IF(AP1982&lt;=0,Q_max,ABS(AP$23-AP1988))</f>
        <v>236393</v>
      </c>
      <c r="AR1989" s="9">
        <f ca="1">AP1978</f>
        <v>1030709.1380278098</v>
      </c>
      <c r="AS1989" s="98"/>
      <c r="AT1989" s="106">
        <f ca="1">IF(AS1982&lt;=0,Q_max,ABS(AS$23-AS1988))</f>
        <v>236393</v>
      </c>
      <c r="AU1989" s="9">
        <f ca="1">AS1978</f>
        <v>1208587.5243791228</v>
      </c>
    </row>
    <row r="1990" spans="15:47" x14ac:dyDescent="0.25">
      <c r="O1990" s="21"/>
      <c r="P1990" s="14"/>
      <c r="Q1990" s="21"/>
      <c r="R1990" s="97"/>
      <c r="S1990" s="106"/>
      <c r="T1990" s="28"/>
      <c r="U1990" s="97"/>
      <c r="V1990" s="111"/>
      <c r="W1990" s="28"/>
      <c r="X1990" s="97"/>
      <c r="Y1990" s="111"/>
      <c r="Z1990" s="28"/>
      <c r="AA1990" s="97"/>
      <c r="AB1990" s="111"/>
      <c r="AC1990" s="28"/>
      <c r="AD1990" s="97"/>
      <c r="AE1990" s="111"/>
      <c r="AF1990" s="28"/>
      <c r="AG1990" s="97"/>
      <c r="AH1990" s="111"/>
      <c r="AI1990" s="28"/>
      <c r="AJ1990" s="97"/>
      <c r="AK1990" s="111"/>
      <c r="AL1990" s="28"/>
      <c r="AM1990" s="97"/>
      <c r="AN1990" s="111"/>
      <c r="AO1990" s="28"/>
      <c r="AP1990" s="97"/>
      <c r="AQ1990" s="111"/>
      <c r="AR1990" s="28"/>
      <c r="AS1990" s="97"/>
      <c r="AT1990" s="111"/>
      <c r="AU1990" s="28"/>
    </row>
    <row r="1991" spans="15:47" x14ac:dyDescent="0.25">
      <c r="O1991" s="1"/>
      <c r="P1991" s="1"/>
      <c r="Q1991" s="1"/>
      <c r="R1991" s="98"/>
      <c r="S1991" s="108" t="s">
        <v>137</v>
      </c>
      <c r="T1991" s="26" t="s">
        <v>146</v>
      </c>
      <c r="U1991" s="98"/>
      <c r="V1991" s="108" t="s">
        <v>137</v>
      </c>
      <c r="W1991" s="26" t="s">
        <v>146</v>
      </c>
      <c r="X1991" s="98"/>
      <c r="Y1991" s="108" t="s">
        <v>137</v>
      </c>
      <c r="Z1991" s="26" t="s">
        <v>146</v>
      </c>
      <c r="AA1991" s="98"/>
      <c r="AB1991" s="108" t="s">
        <v>137</v>
      </c>
      <c r="AC1991" s="26" t="s">
        <v>146</v>
      </c>
      <c r="AD1991" s="98"/>
      <c r="AE1991" s="108" t="s">
        <v>137</v>
      </c>
      <c r="AF1991" s="26" t="s">
        <v>146</v>
      </c>
      <c r="AG1991" s="98"/>
      <c r="AH1991" s="108" t="s">
        <v>137</v>
      </c>
      <c r="AI1991" s="26" t="s">
        <v>146</v>
      </c>
      <c r="AJ1991" s="98"/>
      <c r="AK1991" s="108" t="s">
        <v>137</v>
      </c>
      <c r="AL1991" s="26" t="s">
        <v>146</v>
      </c>
      <c r="AM1991" s="98"/>
      <c r="AN1991" s="108" t="s">
        <v>137</v>
      </c>
      <c r="AO1991" s="26" t="s">
        <v>146</v>
      </c>
      <c r="AP1991" s="98"/>
      <c r="AQ1991" s="108" t="s">
        <v>137</v>
      </c>
      <c r="AR1991" s="26" t="s">
        <v>146</v>
      </c>
      <c r="AS1991" s="98"/>
      <c r="AT1991" s="108" t="s">
        <v>137</v>
      </c>
      <c r="AU1991" s="26" t="s">
        <v>146</v>
      </c>
    </row>
    <row r="1992" spans="15:47" ht="13.8" x14ac:dyDescent="0.25">
      <c r="O1992" s="20" t="s">
        <v>136</v>
      </c>
      <c r="P1992" s="1"/>
      <c r="Q1992" s="1"/>
      <c r="R1992" s="96">
        <f>R1978*1.02</f>
        <v>5096.9539545556681</v>
      </c>
      <c r="S1992" s="109" t="s">
        <v>144</v>
      </c>
      <c r="T1992" s="23" t="s">
        <v>147</v>
      </c>
      <c r="U1992" s="96">
        <f ca="1">U1978*1.01</f>
        <v>47153.100416620298</v>
      </c>
      <c r="V1992" s="109" t="s">
        <v>144</v>
      </c>
      <c r="W1992" s="23" t="s">
        <v>147</v>
      </c>
      <c r="X1992" s="96">
        <f ca="1">X1978*1.01</f>
        <v>115460.62239111737</v>
      </c>
      <c r="Y1992" s="109" t="s">
        <v>144</v>
      </c>
      <c r="Z1992" s="23" t="s">
        <v>147</v>
      </c>
      <c r="AA1992" s="96">
        <f ca="1">AA1978*1.01</f>
        <v>224887.82162360943</v>
      </c>
      <c r="AB1992" s="109" t="s">
        <v>144</v>
      </c>
      <c r="AC1992" s="23" t="s">
        <v>147</v>
      </c>
      <c r="AD1992" s="96">
        <f ca="1">AD1978*1.01</f>
        <v>377291.80690986424</v>
      </c>
      <c r="AE1992" s="109" t="s">
        <v>144</v>
      </c>
      <c r="AF1992" s="23" t="s">
        <v>147</v>
      </c>
      <c r="AG1992" s="96">
        <f ca="1">AG1978*1.01</f>
        <v>550667.66815808904</v>
      </c>
      <c r="AH1992" s="109" t="s">
        <v>144</v>
      </c>
      <c r="AI1992" s="23" t="s">
        <v>147</v>
      </c>
      <c r="AJ1992" s="96">
        <f ca="1">AJ1978*1.01</f>
        <v>734868.13785720884</v>
      </c>
      <c r="AK1992" s="109" t="s">
        <v>144</v>
      </c>
      <c r="AL1992" s="23" t="s">
        <v>147</v>
      </c>
      <c r="AM1992" s="96">
        <f ca="1">AM1978*1.01</f>
        <v>896678.78248847579</v>
      </c>
      <c r="AN1992" s="109" t="s">
        <v>144</v>
      </c>
      <c r="AO1992" s="23" t="s">
        <v>147</v>
      </c>
      <c r="AP1992" s="96">
        <f ca="1">AP1978*1.01</f>
        <v>1041016.2294080879</v>
      </c>
      <c r="AQ1992" s="109" t="s">
        <v>144</v>
      </c>
      <c r="AR1992" s="23" t="s">
        <v>147</v>
      </c>
      <c r="AS1992" s="96">
        <f ca="1">AS1978*1.01</f>
        <v>1220673.3996229139</v>
      </c>
      <c r="AT1992" s="109" t="s">
        <v>144</v>
      </c>
      <c r="AU1992" s="23" t="s">
        <v>147</v>
      </c>
    </row>
    <row r="1993" spans="15:47" x14ac:dyDescent="0.25">
      <c r="O1993" s="1"/>
      <c r="P1993" s="1"/>
      <c r="Q1993" s="1"/>
      <c r="R1993" s="98"/>
      <c r="S1993" s="107"/>
      <c r="T1993" s="1"/>
      <c r="U1993" s="47"/>
      <c r="V1993" s="107"/>
      <c r="W1993" s="1"/>
      <c r="X1993" s="47"/>
      <c r="Y1993" s="107"/>
      <c r="Z1993" s="1"/>
      <c r="AA1993" s="47"/>
      <c r="AB1993" s="107"/>
      <c r="AC1993" s="1"/>
      <c r="AD1993" s="47"/>
      <c r="AE1993" s="107"/>
      <c r="AF1993" s="1"/>
      <c r="AG1993" s="47"/>
      <c r="AH1993" s="107"/>
      <c r="AI1993" s="1"/>
      <c r="AJ1993" s="47"/>
      <c r="AK1993" s="107"/>
      <c r="AL1993" s="1"/>
      <c r="AM1993" s="47"/>
      <c r="AN1993" s="107"/>
      <c r="AO1993" s="1"/>
      <c r="AP1993" s="47"/>
      <c r="AQ1993" s="107"/>
      <c r="AR1993" s="1"/>
      <c r="AS1993" s="47"/>
      <c r="AT1993" s="107"/>
      <c r="AU1993" s="1"/>
    </row>
    <row r="1994" spans="15:47" x14ac:dyDescent="0.25">
      <c r="O1994" s="8" t="s">
        <v>132</v>
      </c>
      <c r="P1994" s="8"/>
      <c r="Q1994" s="8"/>
      <c r="R1994" s="96">
        <f>P_1_minQ-(R1992^2*R_up)+dpup_minQ</f>
        <v>90.180305585049311</v>
      </c>
      <c r="S1994" s="106"/>
      <c r="T1994" s="22"/>
      <c r="U1994" s="96">
        <f ca="1">P_1_minQ-(U1992^2*R_up)+dpup_minQ</f>
        <v>89.779798908449195</v>
      </c>
      <c r="V1994" s="107"/>
      <c r="W1994" s="1"/>
      <c r="X1994" s="96">
        <f ca="1">P_1_minQ-(X1992^2*R_up)+dpup_minQ</f>
        <v>87.755292013732472</v>
      </c>
      <c r="Y1994" s="107"/>
      <c r="Z1994" s="1"/>
      <c r="AA1994" s="96">
        <f ca="1">P_1_minQ-(AA1992^2*R_up)+dpup_minQ</f>
        <v>80.967280187025324</v>
      </c>
      <c r="AB1994" s="107"/>
      <c r="AC1994" s="1"/>
      <c r="AD1994" s="96">
        <f ca="1">P_1_minQ-(AD1992^2*R_up)+dpup_minQ</f>
        <v>64.240362477469148</v>
      </c>
      <c r="AE1994" s="107"/>
      <c r="AF1994" s="1"/>
      <c r="AG1994" s="96">
        <f ca="1">P_1_minQ-(AG1992^2*R_up)+dpup_minQ</f>
        <v>34.917174855955977</v>
      </c>
      <c r="AH1994" s="107"/>
      <c r="AI1994" s="1"/>
      <c r="AJ1994" s="96">
        <f ca="1">P_1_minQ-(AJ1992^2*R_up)+dpup_minQ</f>
        <v>-8.2415344204195566</v>
      </c>
      <c r="AK1994" s="107"/>
      <c r="AL1994" s="1"/>
      <c r="AM1994" s="96">
        <f ca="1">P_1_minQ-(AM1992^2*R_up)+dpup_minQ</f>
        <v>-56.358717335107485</v>
      </c>
      <c r="AN1994" s="107"/>
      <c r="AO1994" s="1"/>
      <c r="AP1994" s="96">
        <f ca="1">P_1_minQ-(AP1992^2*R_up)+dpup_minQ</f>
        <v>-107.33380455738202</v>
      </c>
      <c r="AQ1994" s="107"/>
      <c r="AR1994" s="1"/>
      <c r="AS1994" s="96">
        <f ca="1">P_1_minQ-(AS1992^2*R_up)+dpup_minQ</f>
        <v>-181.39165435721952</v>
      </c>
      <c r="AT1994" s="107"/>
      <c r="AU1994" s="1"/>
    </row>
    <row r="1995" spans="15:47" x14ac:dyDescent="0.25">
      <c r="O1995" s="8" t="s">
        <v>134</v>
      </c>
      <c r="P1995" s="1"/>
      <c r="Q1995" s="8"/>
      <c r="R1995" s="97">
        <f>P_2_minQ+(R1992^2*R_dn)-dpdn_minQ</f>
        <v>60</v>
      </c>
      <c r="S1995" s="106"/>
      <c r="T1995" s="22"/>
      <c r="U1995" s="97">
        <f ca="1">P_2_minQ+(U1992^2*R_dn)-dpdn_minQ</f>
        <v>60</v>
      </c>
      <c r="V1995" s="107"/>
      <c r="W1995" s="1"/>
      <c r="X1995" s="97">
        <f ca="1">P_2_minQ+(X1992^2*R_dn)-dpdn_minQ</f>
        <v>60</v>
      </c>
      <c r="Y1995" s="107"/>
      <c r="Z1995" s="1"/>
      <c r="AA1995" s="97">
        <f ca="1">P_2_minQ+(AA1992^2*R_dn)-dpdn_minQ</f>
        <v>60</v>
      </c>
      <c r="AB1995" s="107"/>
      <c r="AC1995" s="1"/>
      <c r="AD1995" s="97">
        <f ca="1">P_2_minQ+(AD1992^2*R_dn)-dpdn_minQ</f>
        <v>60</v>
      </c>
      <c r="AE1995" s="107"/>
      <c r="AF1995" s="1"/>
      <c r="AG1995" s="97">
        <f ca="1">P_2_minQ+(AG1992^2*R_dn)-dpdn_minQ</f>
        <v>60</v>
      </c>
      <c r="AH1995" s="107"/>
      <c r="AI1995" s="1"/>
      <c r="AJ1995" s="97">
        <f ca="1">P_2_minQ+(AJ1992^2*R_dn)-dpdn_minQ</f>
        <v>60</v>
      </c>
      <c r="AK1995" s="107"/>
      <c r="AL1995" s="1"/>
      <c r="AM1995" s="97">
        <f ca="1">P_2_minQ+(AM1992^2*R_dn)-dpdn_minQ</f>
        <v>60</v>
      </c>
      <c r="AN1995" s="107"/>
      <c r="AO1995" s="1"/>
      <c r="AP1995" s="97">
        <f ca="1">P_2_minQ+(AP1992^2*R_dn)-dpdn_minQ</f>
        <v>60</v>
      </c>
      <c r="AQ1995" s="107"/>
      <c r="AR1995" s="1"/>
      <c r="AS1995" s="97">
        <f ca="1">P_2_minQ+(AS1992^2*R_dn)-dpdn_minQ</f>
        <v>60</v>
      </c>
      <c r="AT1995" s="107"/>
      <c r="AU1995" s="1"/>
    </row>
    <row r="1996" spans="15:47" x14ac:dyDescent="0.25">
      <c r="O1996" s="8" t="s">
        <v>138</v>
      </c>
      <c r="P1996" s="1"/>
      <c r="Q1996" s="8"/>
      <c r="R1996" s="97">
        <f>R1994-R1995</f>
        <v>30.180305585049311</v>
      </c>
      <c r="S1996" s="106"/>
      <c r="T1996" s="22"/>
      <c r="U1996" s="97">
        <f ca="1">U1994-U1995</f>
        <v>29.779798908449195</v>
      </c>
      <c r="V1996" s="110"/>
      <c r="W1996" s="25"/>
      <c r="X1996" s="97">
        <f ca="1">X1994-X1995</f>
        <v>27.755292013732472</v>
      </c>
      <c r="Y1996" s="110"/>
      <c r="Z1996" s="25"/>
      <c r="AA1996" s="97">
        <f ca="1">AA1994-AA1995</f>
        <v>20.967280187025324</v>
      </c>
      <c r="AB1996" s="110"/>
      <c r="AC1996" s="25"/>
      <c r="AD1996" s="97">
        <f ca="1">AD1994-AD1995</f>
        <v>4.240362477469148</v>
      </c>
      <c r="AE1996" s="110"/>
      <c r="AF1996" s="25"/>
      <c r="AG1996" s="97">
        <f ca="1">AG1994-AG1995</f>
        <v>-25.082825144044023</v>
      </c>
      <c r="AH1996" s="110"/>
      <c r="AI1996" s="25"/>
      <c r="AJ1996" s="97">
        <f ca="1">AJ1994-AJ1995</f>
        <v>-68.241534420419555</v>
      </c>
      <c r="AK1996" s="110"/>
      <c r="AL1996" s="25"/>
      <c r="AM1996" s="97">
        <f ca="1">AM1994-AM1995</f>
        <v>-116.35871733510749</v>
      </c>
      <c r="AN1996" s="110"/>
      <c r="AO1996" s="25"/>
      <c r="AP1996" s="97">
        <f ca="1">AP1994-AP1995</f>
        <v>-167.33380455738202</v>
      </c>
      <c r="AQ1996" s="110"/>
      <c r="AR1996" s="25"/>
      <c r="AS1996" s="97">
        <f ca="1">AS1994-AS1995</f>
        <v>-241.39165435721952</v>
      </c>
      <c r="AT1996" s="110"/>
      <c r="AU1996" s="25"/>
    </row>
    <row r="1997" spans="15:47" ht="14.4" x14ac:dyDescent="0.3">
      <c r="O1997" s="2" t="s">
        <v>140</v>
      </c>
      <c r="P1997" s="11"/>
      <c r="Q1997" s="2"/>
      <c r="R1997" s="96">
        <f>R1996/R1994</f>
        <v>0.33466625988072501</v>
      </c>
      <c r="S1997" s="106"/>
      <c r="T1997" s="22"/>
      <c r="U1997" s="96">
        <f ca="1">U1996/U1994</f>
        <v>0.33169821352369516</v>
      </c>
      <c r="V1997" s="111"/>
      <c r="W1997" s="28"/>
      <c r="X1997" s="96">
        <f ca="1">X1996/X1994</f>
        <v>0.31628054988853732</v>
      </c>
      <c r="Y1997" s="111"/>
      <c r="Z1997" s="28"/>
      <c r="AA1997" s="96">
        <f ca="1">AA1996/AA1994</f>
        <v>0.25895991737147722</v>
      </c>
      <c r="AB1997" s="111"/>
      <c r="AC1997" s="28"/>
      <c r="AD1997" s="96">
        <f ca="1">AD1996/AD1994</f>
        <v>6.6007760758765313E-2</v>
      </c>
      <c r="AE1997" s="111"/>
      <c r="AF1997" s="28"/>
      <c r="AG1997" s="96">
        <f ca="1">AG1996/AG1994</f>
        <v>-0.71835207881274321</v>
      </c>
      <c r="AH1997" s="111"/>
      <c r="AI1997" s="28"/>
      <c r="AJ1997" s="96">
        <f ca="1">AJ1996/AJ1994</f>
        <v>8.280197708249764</v>
      </c>
      <c r="AK1997" s="111"/>
      <c r="AL1997" s="28"/>
      <c r="AM1997" s="96">
        <f ca="1">AM1996/AM1994</f>
        <v>2.0646090407494824</v>
      </c>
      <c r="AN1997" s="111"/>
      <c r="AO1997" s="28"/>
      <c r="AP1997" s="96">
        <f ca="1">AP1996/AP1994</f>
        <v>1.5590037569936621</v>
      </c>
      <c r="AQ1997" s="111"/>
      <c r="AR1997" s="28"/>
      <c r="AS1997" s="96">
        <f ca="1">AS1996/AS1994</f>
        <v>1.3307759676850424</v>
      </c>
      <c r="AT1997" s="111"/>
      <c r="AU1997" s="28"/>
    </row>
    <row r="1998" spans="15:47" x14ac:dyDescent="0.25">
      <c r="O1998" s="2" t="s">
        <v>21</v>
      </c>
      <c r="P1998" s="8">
        <v>12</v>
      </c>
      <c r="Q1998" s="2"/>
      <c r="R1998" s="96">
        <f ca="1">1-R1997/(3*F_GAMMA*R$29)</f>
        <v>0.8257027441170437</v>
      </c>
      <c r="S1998" s="106"/>
      <c r="T1998" s="22"/>
      <c r="U1998" s="96">
        <f ca="1">1-U1997/(3*F_GAMMA*U$29)</f>
        <v>0.82728866263089318</v>
      </c>
      <c r="V1998" s="111"/>
      <c r="W1998" s="28"/>
      <c r="X1998" s="96">
        <f ca="1">1-X1997/(3*F_GAMMA*X$29)</f>
        <v>0.83374797379482291</v>
      </c>
      <c r="Y1998" s="111"/>
      <c r="Z1998" s="28"/>
      <c r="AA1998" s="96">
        <f ca="1">1-AA1997/(3*F_GAMMA*AA$29)</f>
        <v>0.86195963014869892</v>
      </c>
      <c r="AB1998" s="111"/>
      <c r="AC1998" s="28"/>
      <c r="AD1998" s="96">
        <f ca="1">1-AD1997/(3*F_GAMMA*AD$29)</f>
        <v>0.96372284628463623</v>
      </c>
      <c r="AE1998" s="111"/>
      <c r="AF1998" s="28"/>
      <c r="AG1998" s="96">
        <f ca="1">1-AG1997/(3*F_GAMMA*AG$29)</f>
        <v>1.4184889109182341</v>
      </c>
      <c r="AH1998" s="111"/>
      <c r="AI1998" s="28"/>
      <c r="AJ1998" s="96">
        <f ca="1">1-AJ1997/(3*F_GAMMA*AJ$29)</f>
        <v>-4.1897246615426065</v>
      </c>
      <c r="AK1998" s="111"/>
      <c r="AL1998" s="28"/>
      <c r="AM1998" s="96">
        <f ca="1">1-AM1997/(3*F_GAMMA*AM$29)</f>
        <v>-0.44682251728753575</v>
      </c>
      <c r="AN1998" s="111"/>
      <c r="AO1998" s="28"/>
      <c r="AP1998" s="96">
        <f ca="1">1-AP1997/(3*F_GAMMA*AP$29)</f>
        <v>0.12001468777144186</v>
      </c>
      <c r="AQ1998" s="111"/>
      <c r="AR1998" s="28"/>
      <c r="AS1998" s="96">
        <f ca="1">1-AS1997/(3*F_GAMMA*AS$29)</f>
        <v>-0.17760503792881877</v>
      </c>
      <c r="AT1998" s="111"/>
      <c r="AU1998" s="28"/>
    </row>
    <row r="1999" spans="15:47" x14ac:dyDescent="0.25">
      <c r="O1999" s="2" t="s">
        <v>57</v>
      </c>
      <c r="P1999" s="143">
        <v>7</v>
      </c>
      <c r="Q1999" s="2"/>
      <c r="R1999" s="96">
        <f ca="1">(R1992/(N_9*R$27*R1994*R1998))*SQRT(M*'Valve Sizing'!$W$6*'Valve Sizing'!$G$8/R1997)</f>
        <v>2.0585212227819873</v>
      </c>
      <c r="S1999" s="107"/>
      <c r="T1999" s="22"/>
      <c r="U1999" s="96">
        <f ca="1">(U1992/(N_9*U$27*U1994*U1998))*SQRT(M*'Valve Sizing'!$W$6*'Valve Sizing'!$G$8/U1997)</f>
        <v>19.189951833579659</v>
      </c>
      <c r="V1999" s="111"/>
      <c r="W1999" s="28"/>
      <c r="X1999" s="96">
        <f ca="1">(X1992/(N_9*X$27*X1994*X1998))*SQRT(M*'Valve Sizing'!$W$6*'Valve Sizing'!$G$8/X1997)</f>
        <v>48.961987948064788</v>
      </c>
      <c r="Y1999" s="111"/>
      <c r="Z1999" s="28"/>
      <c r="AA1999" s="96">
        <f ca="1">(AA1992/(N_9*AA$27*AA1994*AA1998))*SQRT(M*'Valve Sizing'!$W$6*'Valve Sizing'!$G$8/AA1997)</f>
        <v>111.14560748148141</v>
      </c>
      <c r="AB1999" s="111"/>
      <c r="AC1999" s="28"/>
      <c r="AD1999" s="96">
        <f ca="1">(AD1992/(N_9*AD$27*AD1994*AD1998))*SQRT(M*'Valve Sizing'!$W$6*'Valve Sizing'!$G$8/AD1997)</f>
        <v>421.50794304348818</v>
      </c>
      <c r="AE1999" s="111"/>
      <c r="AF1999" s="28"/>
      <c r="AG1999" s="96" t="e">
        <f ca="1">(AG1992/(N_9*AG$27*AG1994*AG1998))*SQRT(M*'Valve Sizing'!$W$6*'Valve Sizing'!$G$8/AG1997)</f>
        <v>#NUM!</v>
      </c>
      <c r="AH1999" s="111"/>
      <c r="AI1999" s="28"/>
      <c r="AJ1999" s="96">
        <f ca="1">(AJ1992/(N_9*AJ$27*AJ1994*AJ1998))*SQRT(M*'Valve Sizing'!$W$6*'Valve Sizing'!$G$8/AJ1997)</f>
        <v>139.24188160069482</v>
      </c>
      <c r="AK1999" s="111"/>
      <c r="AL1999" s="28"/>
      <c r="AM1999" s="96">
        <f ca="1">(AM1992/(N_9*AM$27*AM1994*AM1998))*SQRT(M*'Valve Sizing'!$W$6*'Valve Sizing'!$G$8/AM1997)</f>
        <v>495.01105824545783</v>
      </c>
      <c r="AN1999" s="111"/>
      <c r="AO1999" s="28"/>
      <c r="AP1999" s="96">
        <f ca="1">(AP1992/(N_9*AP$27*AP1994*AP1998))*SQRT(M*'Valve Sizing'!$W$6*'Valve Sizing'!$G$8/AP1997)</f>
        <v>-1471.5415633700875</v>
      </c>
      <c r="AQ1999" s="111"/>
      <c r="AR1999" s="28"/>
      <c r="AS1999" s="96">
        <f ca="1">(AS1992/(N_9*AS$27*AS1994*AS1998))*SQRT(M*'Valve Sizing'!$W$6*'Valve Sizing'!$G$8/AS1997)</f>
        <v>1000.2095119955169</v>
      </c>
      <c r="AT1999" s="111"/>
      <c r="AU1999" s="28"/>
    </row>
    <row r="2000" spans="15:47" x14ac:dyDescent="0.25">
      <c r="O2000" s="2" t="s">
        <v>59</v>
      </c>
      <c r="P2000" s="143">
        <v>7</v>
      </c>
      <c r="Q2000" s="2"/>
      <c r="R2000" s="96">
        <f ca="1">(R1992/(N_9*R$27*R1994*0.667))*SQRT(M*'Valve Sizing'!$W$6*'Valve Sizing'!$G$8/R2001)</f>
        <v>1.8427191323958674</v>
      </c>
      <c r="S2000" s="107"/>
      <c r="T2000" s="22"/>
      <c r="U2000" s="96">
        <f ca="1">(U1992/(N_9*U$27*U1994*0.667))*SQRT(M*'Valve Sizing'!$W$6*'Valve Sizing'!$G$8/U2001)</f>
        <v>17.132714361718026</v>
      </c>
      <c r="V2000" s="111"/>
      <c r="W2000" s="28"/>
      <c r="X2000" s="96">
        <f ca="1">(X1992/(N_9*X$27*X1994*0.667))*SQRT(M*'Valve Sizing'!$W$6*'Valve Sizing'!$G$8/X2001)</f>
        <v>43.222720755225993</v>
      </c>
      <c r="Y2000" s="111"/>
      <c r="Z2000" s="28"/>
      <c r="AA2000" s="96">
        <f ca="1">(AA1992/(N_9*AA$27*AA1994*0.667))*SQRT(M*'Valve Sizing'!$W$6*'Valve Sizing'!$G$8/AA2001)</f>
        <v>92.430878459221447</v>
      </c>
      <c r="AB2000" s="111"/>
      <c r="AC2000" s="28"/>
      <c r="AD2000" s="96">
        <f ca="1">(AD1992/(N_9*AD$27*AD1994*0.667))*SQRT(M*'Valve Sizing'!$W$6*'Valve Sizing'!$G$8/AD2001)</f>
        <v>200.91358992738441</v>
      </c>
      <c r="AE2000" s="111"/>
      <c r="AF2000" s="28"/>
      <c r="AG2000" s="96">
        <f ca="1">(AG1992/(N_9*AG$27*AG1994*0.667))*SQRT(M*'Valve Sizing'!$W$6*'Valve Sizing'!$G$8/AG2001)</f>
        <v>567.94975210031146</v>
      </c>
      <c r="AH2000" s="111"/>
      <c r="AI2000" s="28"/>
      <c r="AJ2000" s="96">
        <f ca="1">(AJ1992/(N_9*AJ$27*AJ1994*0.667))*SQRT(M*'Valve Sizing'!$W$6*'Valve Sizing'!$G$8/AJ2001)</f>
        <v>-3451.1379429511862</v>
      </c>
      <c r="AK2000" s="111"/>
      <c r="AL2000" s="28"/>
      <c r="AM2000" s="96">
        <f ca="1">(AM1992/(N_9*AM$27*AM1994*0.667))*SQRT(M*'Valve Sizing'!$W$6*'Valve Sizing'!$G$8/AM2001)</f>
        <v>-690.86370113290786</v>
      </c>
      <c r="AN2000" s="111"/>
      <c r="AO2000" s="28"/>
      <c r="AP2000" s="96">
        <f ca="1">(AP1992/(N_9*AP$27*AP1994*0.667))*SQRT(M*'Valve Sizing'!$W$6*'Valve Sizing'!$G$8/AP2001)</f>
        <v>-430.20894682344226</v>
      </c>
      <c r="AQ2000" s="111"/>
      <c r="AR2000" s="28"/>
      <c r="AS2000" s="96">
        <f ca="1">(AS1992/(N_9*AS$27*AS1994*0.667))*SQRT(M*'Valve Sizing'!$W$6*'Valve Sizing'!$G$8/AS2001)</f>
        <v>-500.58851580896504</v>
      </c>
      <c r="AT2000" s="111"/>
      <c r="AU2000" s="28"/>
    </row>
    <row r="2001" spans="15:47" ht="15.6" x14ac:dyDescent="0.35">
      <c r="O2001" s="2" t="s">
        <v>68</v>
      </c>
      <c r="P2001" s="143">
        <v>10</v>
      </c>
      <c r="Q2001" s="2"/>
      <c r="R2001" s="96">
        <f ca="1">F_GAMMA*R$29</f>
        <v>0.64002969751372984</v>
      </c>
      <c r="S2001" s="107"/>
      <c r="T2001" s="1"/>
      <c r="U2001" s="96">
        <f ca="1">F_GAMMA*U$29</f>
        <v>0.64017842058782071</v>
      </c>
      <c r="V2001" s="111"/>
      <c r="W2001" s="28"/>
      <c r="X2001" s="96">
        <f ca="1">F_GAMMA*X$29</f>
        <v>0.63413873724904268</v>
      </c>
      <c r="Y2001" s="111"/>
      <c r="Z2001" s="28"/>
      <c r="AA2001" s="96">
        <f ca="1">F_GAMMA*AA$29</f>
        <v>0.62532411750377137</v>
      </c>
      <c r="AB2001" s="111"/>
      <c r="AC2001" s="28"/>
      <c r="AD2001" s="96">
        <f ca="1">F_GAMMA*AD$29</f>
        <v>0.60651359509139569</v>
      </c>
      <c r="AE2001" s="111"/>
      <c r="AF2001" s="28"/>
      <c r="AG2001" s="96">
        <f ca="1">F_GAMMA*AG$29</f>
        <v>0.57217930198481592</v>
      </c>
      <c r="AH2001" s="111"/>
      <c r="AI2001" s="28"/>
      <c r="AJ2001" s="96">
        <f ca="1">F_GAMMA*AJ$29</f>
        <v>0.53183282018848232</v>
      </c>
      <c r="AK2001" s="111"/>
      <c r="AL2001" s="28"/>
      <c r="AM2001" s="96">
        <f ca="1">F_GAMMA*AM$29</f>
        <v>0.47566512503094399</v>
      </c>
      <c r="AN2001" s="111"/>
      <c r="AO2001" s="28"/>
      <c r="AP2001" s="96">
        <f ca="1">F_GAMMA*AP$29</f>
        <v>0.59054158265645496</v>
      </c>
      <c r="AQ2001" s="111"/>
      <c r="AR2001" s="28"/>
      <c r="AS2001" s="96">
        <f ca="1">F_GAMMA*AS$29</f>
        <v>0.3766899554102966</v>
      </c>
      <c r="AT2001" s="111"/>
      <c r="AU2001" s="28"/>
    </row>
    <row r="2002" spans="15:47" x14ac:dyDescent="0.25">
      <c r="O2002" s="2" t="s">
        <v>145</v>
      </c>
      <c r="P2002" s="12"/>
      <c r="Q2002" s="2"/>
      <c r="R2002" s="96">
        <f ca="1">IF(R1997&lt;R2001,R1999,R2000)</f>
        <v>2.0585212227819873</v>
      </c>
      <c r="S2002" s="116"/>
      <c r="T2002" s="1"/>
      <c r="U2002" s="96">
        <f ca="1">IF(U1997&lt;U2001,U1999,U2000)</f>
        <v>19.189951833579659</v>
      </c>
      <c r="V2002" s="111"/>
      <c r="W2002" s="28"/>
      <c r="X2002" s="96">
        <f ca="1">IF(X1997&lt;X2001,X1999,X2000)</f>
        <v>48.961987948064788</v>
      </c>
      <c r="Y2002" s="111"/>
      <c r="Z2002" s="28"/>
      <c r="AA2002" s="96">
        <f ca="1">IF(AA1997&lt;AA2001,AA1999,AA2000)</f>
        <v>111.14560748148141</v>
      </c>
      <c r="AB2002" s="111"/>
      <c r="AC2002" s="28"/>
      <c r="AD2002" s="96">
        <f ca="1">IF(AD1997&lt;AD2001,AD1999,AD2000)</f>
        <v>421.50794304348818</v>
      </c>
      <c r="AE2002" s="111"/>
      <c r="AF2002" s="28"/>
      <c r="AG2002" s="96" t="e">
        <f ca="1">IF(AG1997&lt;AG2001,AG1999,AG2000)</f>
        <v>#NUM!</v>
      </c>
      <c r="AH2002" s="111"/>
      <c r="AI2002" s="28"/>
      <c r="AJ2002" s="96">
        <f ca="1">IF(AJ1997&lt;AJ2001,AJ1999,AJ2000)</f>
        <v>-3451.1379429511862</v>
      </c>
      <c r="AK2002" s="111"/>
      <c r="AL2002" s="28"/>
      <c r="AM2002" s="96">
        <f ca="1">IF(AM1997&lt;AM2001,AM1999,AM2000)</f>
        <v>-690.86370113290786</v>
      </c>
      <c r="AN2002" s="111"/>
      <c r="AO2002" s="28"/>
      <c r="AP2002" s="96">
        <f ca="1">IF(AP1997&lt;AP2001,AP1999,AP2000)</f>
        <v>-430.20894682344226</v>
      </c>
      <c r="AQ2002" s="111"/>
      <c r="AR2002" s="28"/>
      <c r="AS2002" s="96">
        <f ca="1">IF(AS1997&lt;AS2001,AS1999,AS2000)</f>
        <v>-500.58851580896504</v>
      </c>
      <c r="AT2002" s="111"/>
      <c r="AU2002" s="28"/>
    </row>
    <row r="2003" spans="15:47" x14ac:dyDescent="0.25">
      <c r="O2003" s="13" t="s">
        <v>143</v>
      </c>
      <c r="P2003" s="1"/>
      <c r="Q2003" s="1"/>
      <c r="R2003" s="113"/>
      <c r="S2003" s="106">
        <f ca="1">IF(R1996&lt;=0,Q_max,ABS(R$23-R2002))</f>
        <v>2.6714787772180131</v>
      </c>
      <c r="T2003" s="7">
        <f>R1992</f>
        <v>5096.9539545556681</v>
      </c>
      <c r="U2003" s="98"/>
      <c r="V2003" s="106">
        <f ca="1">IF(U1996&lt;=0,Q_max,ABS(U$23-U2002))</f>
        <v>7.5899518335796596</v>
      </c>
      <c r="W2003" s="9">
        <f ca="1">U1992</f>
        <v>47153.100416620298</v>
      </c>
      <c r="X2003" s="98"/>
      <c r="Y2003" s="106">
        <f ca="1">IF(X1996&lt;=0,Q_max,ABS(X$23-X2002))</f>
        <v>25.961987948064788</v>
      </c>
      <c r="Z2003" s="9">
        <f ca="1">X1992</f>
        <v>115460.62239111737</v>
      </c>
      <c r="AA2003" s="98"/>
      <c r="AB2003" s="106">
        <f ca="1">IF(AA1996&lt;=0,Q_max,ABS(AA$23-AA2002))</f>
        <v>71.745607481481414</v>
      </c>
      <c r="AC2003" s="9">
        <f ca="1">AA1992</f>
        <v>224887.82162360943</v>
      </c>
      <c r="AD2003" s="98"/>
      <c r="AE2003" s="106">
        <f ca="1">IF(AD1996&lt;=0,Q_max,ABS(AD$23-AD2002))</f>
        <v>360.50794304348818</v>
      </c>
      <c r="AF2003" s="9">
        <f ca="1">AD1992</f>
        <v>377291.80690986424</v>
      </c>
      <c r="AG2003" s="98"/>
      <c r="AH2003" s="106">
        <f ca="1">IF(AG1996&lt;=0,Q_max,ABS(AG$23-AG2002))</f>
        <v>236393</v>
      </c>
      <c r="AI2003" s="9">
        <f ca="1">AG1992</f>
        <v>550667.66815808904</v>
      </c>
      <c r="AJ2003" s="98"/>
      <c r="AK2003" s="106">
        <f ca="1">IF(AJ1996&lt;=0,Q_max,ABS(AJ$23-AJ2002))</f>
        <v>236393</v>
      </c>
      <c r="AL2003" s="9">
        <f ca="1">AJ1992</f>
        <v>734868.13785720884</v>
      </c>
      <c r="AM2003" s="98"/>
      <c r="AN2003" s="106">
        <f ca="1">IF(AM1996&lt;=0,Q_max,ABS(AM$23-AM2002))</f>
        <v>236393</v>
      </c>
      <c r="AO2003" s="9">
        <f ca="1">AM1992</f>
        <v>896678.78248847579</v>
      </c>
      <c r="AP2003" s="98"/>
      <c r="AQ2003" s="106">
        <f ca="1">IF(AP1996&lt;=0,Q_max,ABS(AP$23-AP2002))</f>
        <v>236393</v>
      </c>
      <c r="AR2003" s="9">
        <f ca="1">AP1992</f>
        <v>1041016.2294080879</v>
      </c>
      <c r="AS2003" s="98"/>
      <c r="AT2003" s="106">
        <f ca="1">IF(AS1996&lt;=0,Q_max,ABS(AS$23-AS2002))</f>
        <v>236393</v>
      </c>
      <c r="AU2003" s="9">
        <f ca="1">AS1992</f>
        <v>1220673.3996229139</v>
      </c>
    </row>
    <row r="2004" spans="15:47" x14ac:dyDescent="0.25">
      <c r="O2004" s="21"/>
      <c r="P2004" s="14"/>
      <c r="Q2004" s="21"/>
      <c r="R2004" s="97"/>
      <c r="S2004" s="106"/>
      <c r="T2004" s="28"/>
      <c r="U2004" s="97"/>
      <c r="V2004" s="111"/>
      <c r="W2004" s="28"/>
      <c r="X2004" s="97"/>
      <c r="Y2004" s="111"/>
      <c r="Z2004" s="28"/>
      <c r="AA2004" s="97"/>
      <c r="AB2004" s="111"/>
      <c r="AC2004" s="28"/>
      <c r="AD2004" s="97"/>
      <c r="AE2004" s="111"/>
      <c r="AF2004" s="28"/>
      <c r="AG2004" s="97"/>
      <c r="AH2004" s="111"/>
      <c r="AI2004" s="28"/>
      <c r="AJ2004" s="97"/>
      <c r="AK2004" s="111"/>
      <c r="AL2004" s="28"/>
      <c r="AM2004" s="97"/>
      <c r="AN2004" s="111"/>
      <c r="AO2004" s="28"/>
      <c r="AP2004" s="97"/>
      <c r="AQ2004" s="111"/>
      <c r="AR2004" s="28"/>
      <c r="AS2004" s="97"/>
      <c r="AT2004" s="111"/>
      <c r="AU2004" s="28"/>
    </row>
    <row r="2005" spans="15:47" x14ac:dyDescent="0.25">
      <c r="O2005" s="1"/>
      <c r="P2005" s="1"/>
      <c r="Q2005" s="1"/>
      <c r="R2005" s="98"/>
      <c r="S2005" s="108" t="s">
        <v>137</v>
      </c>
      <c r="T2005" s="26" t="s">
        <v>146</v>
      </c>
      <c r="U2005" s="98"/>
      <c r="V2005" s="108" t="s">
        <v>137</v>
      </c>
      <c r="W2005" s="26" t="s">
        <v>146</v>
      </c>
      <c r="X2005" s="98"/>
      <c r="Y2005" s="108" t="s">
        <v>137</v>
      </c>
      <c r="Z2005" s="26" t="s">
        <v>146</v>
      </c>
      <c r="AA2005" s="98"/>
      <c r="AB2005" s="108" t="s">
        <v>137</v>
      </c>
      <c r="AC2005" s="26" t="s">
        <v>146</v>
      </c>
      <c r="AD2005" s="98"/>
      <c r="AE2005" s="108" t="s">
        <v>137</v>
      </c>
      <c r="AF2005" s="26" t="s">
        <v>146</v>
      </c>
      <c r="AG2005" s="98"/>
      <c r="AH2005" s="108" t="s">
        <v>137</v>
      </c>
      <c r="AI2005" s="26" t="s">
        <v>146</v>
      </c>
      <c r="AJ2005" s="98"/>
      <c r="AK2005" s="108" t="s">
        <v>137</v>
      </c>
      <c r="AL2005" s="26" t="s">
        <v>146</v>
      </c>
      <c r="AM2005" s="98"/>
      <c r="AN2005" s="108" t="s">
        <v>137</v>
      </c>
      <c r="AO2005" s="26" t="s">
        <v>146</v>
      </c>
      <c r="AP2005" s="98"/>
      <c r="AQ2005" s="108" t="s">
        <v>137</v>
      </c>
      <c r="AR2005" s="26" t="s">
        <v>146</v>
      </c>
      <c r="AS2005" s="98"/>
      <c r="AT2005" s="108" t="s">
        <v>137</v>
      </c>
      <c r="AU2005" s="26" t="s">
        <v>146</v>
      </c>
    </row>
    <row r="2006" spans="15:47" ht="13.8" x14ac:dyDescent="0.25">
      <c r="O2006" s="20" t="s">
        <v>136</v>
      </c>
      <c r="P2006" s="1"/>
      <c r="Q2006" s="1"/>
      <c r="R2006" s="96">
        <f>R1992*1.02</f>
        <v>5198.893033646782</v>
      </c>
      <c r="S2006" s="109" t="s">
        <v>144</v>
      </c>
      <c r="T2006" s="23" t="s">
        <v>147</v>
      </c>
      <c r="U2006" s="96">
        <f ca="1">U1992*1.01</f>
        <v>47624.6314207865</v>
      </c>
      <c r="V2006" s="109" t="s">
        <v>144</v>
      </c>
      <c r="W2006" s="23" t="s">
        <v>147</v>
      </c>
      <c r="X2006" s="96">
        <f ca="1">X1992*1.01</f>
        <v>116615.22861502855</v>
      </c>
      <c r="Y2006" s="109" t="s">
        <v>144</v>
      </c>
      <c r="Z2006" s="23" t="s">
        <v>147</v>
      </c>
      <c r="AA2006" s="96">
        <f ca="1">AA1992*1.01</f>
        <v>227136.69983984553</v>
      </c>
      <c r="AB2006" s="109" t="s">
        <v>144</v>
      </c>
      <c r="AC2006" s="23" t="s">
        <v>147</v>
      </c>
      <c r="AD2006" s="96">
        <f ca="1">AD1992*1.01</f>
        <v>381064.72497896291</v>
      </c>
      <c r="AE2006" s="109" t="s">
        <v>144</v>
      </c>
      <c r="AF2006" s="23" t="s">
        <v>147</v>
      </c>
      <c r="AG2006" s="96">
        <f ca="1">AG1992*1.01</f>
        <v>556174.34483967</v>
      </c>
      <c r="AH2006" s="109" t="s">
        <v>144</v>
      </c>
      <c r="AI2006" s="23" t="s">
        <v>147</v>
      </c>
      <c r="AJ2006" s="96">
        <f ca="1">AJ1992*1.01</f>
        <v>742216.81923578097</v>
      </c>
      <c r="AK2006" s="109" t="s">
        <v>144</v>
      </c>
      <c r="AL2006" s="23" t="s">
        <v>147</v>
      </c>
      <c r="AM2006" s="96">
        <f ca="1">AM1992*1.01</f>
        <v>905645.57031336054</v>
      </c>
      <c r="AN2006" s="109" t="s">
        <v>144</v>
      </c>
      <c r="AO2006" s="23" t="s">
        <v>147</v>
      </c>
      <c r="AP2006" s="96">
        <f ca="1">AP1992*1.01</f>
        <v>1051426.3917021689</v>
      </c>
      <c r="AQ2006" s="109" t="s">
        <v>144</v>
      </c>
      <c r="AR2006" s="23" t="s">
        <v>147</v>
      </c>
      <c r="AS2006" s="96">
        <f ca="1">AS1992*1.01</f>
        <v>1232880.1336191432</v>
      </c>
      <c r="AT2006" s="109" t="s">
        <v>144</v>
      </c>
      <c r="AU2006" s="23" t="s">
        <v>147</v>
      </c>
    </row>
    <row r="2007" spans="15:47" x14ac:dyDescent="0.25">
      <c r="O2007" s="1"/>
      <c r="P2007" s="1"/>
      <c r="Q2007" s="1"/>
      <c r="R2007" s="98"/>
      <c r="S2007" s="107"/>
      <c r="T2007" s="1"/>
      <c r="U2007" s="47"/>
      <c r="V2007" s="107"/>
      <c r="W2007" s="1"/>
      <c r="X2007" s="47"/>
      <c r="Y2007" s="107"/>
      <c r="Z2007" s="1"/>
      <c r="AA2007" s="47"/>
      <c r="AB2007" s="107"/>
      <c r="AC2007" s="1"/>
      <c r="AD2007" s="47"/>
      <c r="AE2007" s="107"/>
      <c r="AF2007" s="1"/>
      <c r="AG2007" s="47"/>
      <c r="AH2007" s="107"/>
      <c r="AI2007" s="1"/>
      <c r="AJ2007" s="47"/>
      <c r="AK2007" s="107"/>
      <c r="AL2007" s="1"/>
      <c r="AM2007" s="47"/>
      <c r="AN2007" s="107"/>
      <c r="AO2007" s="1"/>
      <c r="AP2007" s="47"/>
      <c r="AQ2007" s="107"/>
      <c r="AR2007" s="1"/>
      <c r="AS2007" s="47"/>
      <c r="AT2007" s="107"/>
      <c r="AU2007" s="1"/>
    </row>
    <row r="2008" spans="15:47" x14ac:dyDescent="0.25">
      <c r="O2008" s="8" t="s">
        <v>132</v>
      </c>
      <c r="P2008" s="8"/>
      <c r="Q2008" s="8"/>
      <c r="R2008" s="96">
        <f>P_1_minQ-(R2006^2*R_up)+dpup_minQ</f>
        <v>90.180114293262974</v>
      </c>
      <c r="S2008" s="106"/>
      <c r="T2008" s="22"/>
      <c r="U2008" s="96">
        <f ca="1">P_1_minQ-(U2006^2*R_up)+dpup_minQ</f>
        <v>89.771653551850889</v>
      </c>
      <c r="V2008" s="107"/>
      <c r="W2008" s="1"/>
      <c r="X2008" s="96">
        <f ca="1">P_1_minQ-(X2006^2*R_up)+dpup_minQ</f>
        <v>87.706454068550357</v>
      </c>
      <c r="Y2008" s="107"/>
      <c r="Z2008" s="1"/>
      <c r="AA2008" s="96">
        <f ca="1">P_1_minQ-(AA2006^2*R_up)+dpup_minQ</f>
        <v>80.782003204126397</v>
      </c>
      <c r="AB2008" s="107"/>
      <c r="AC2008" s="1"/>
      <c r="AD2008" s="96">
        <f ca="1">P_1_minQ-(AD2006^2*R_up)+dpup_minQ</f>
        <v>63.71887444860814</v>
      </c>
      <c r="AE2008" s="107"/>
      <c r="AF2008" s="1"/>
      <c r="AG2008" s="96">
        <f ca="1">P_1_minQ-(AG2006^2*R_up)+dpup_minQ</f>
        <v>33.806290755902545</v>
      </c>
      <c r="AH2008" s="107"/>
      <c r="AI2008" s="1"/>
      <c r="AJ2008" s="96">
        <f ca="1">P_1_minQ-(AJ2006^2*R_up)+dpup_minQ</f>
        <v>-10.21990857692815</v>
      </c>
      <c r="AK2008" s="107"/>
      <c r="AL2008" s="1"/>
      <c r="AM2008" s="96">
        <f ca="1">P_1_minQ-(AM2006^2*R_up)+dpup_minQ</f>
        <v>-59.30424686820129</v>
      </c>
      <c r="AN2008" s="107"/>
      <c r="AO2008" s="1"/>
      <c r="AP2008" s="96">
        <f ca="1">P_1_minQ-(AP2006^2*R_up)+dpup_minQ</f>
        <v>-111.30393334364354</v>
      </c>
      <c r="AQ2008" s="107"/>
      <c r="AR2008" s="1"/>
      <c r="AS2008" s="96">
        <f ca="1">P_1_minQ-(AS2006^2*R_up)+dpup_minQ</f>
        <v>-186.85034592445783</v>
      </c>
      <c r="AT2008" s="107"/>
      <c r="AU2008" s="1"/>
    </row>
    <row r="2009" spans="15:47" x14ac:dyDescent="0.25">
      <c r="O2009" s="8" t="s">
        <v>134</v>
      </c>
      <c r="P2009" s="1"/>
      <c r="Q2009" s="8"/>
      <c r="R2009" s="97">
        <f>P_2_minQ+(R2006^2*R_dn)-dpdn_minQ</f>
        <v>60</v>
      </c>
      <c r="S2009" s="106"/>
      <c r="T2009" s="22"/>
      <c r="U2009" s="97">
        <f ca="1">P_2_minQ+(U2006^2*R_dn)-dpdn_minQ</f>
        <v>60</v>
      </c>
      <c r="V2009" s="107"/>
      <c r="W2009" s="1"/>
      <c r="X2009" s="97">
        <f ca="1">P_2_minQ+(X2006^2*R_dn)-dpdn_minQ</f>
        <v>60</v>
      </c>
      <c r="Y2009" s="107"/>
      <c r="Z2009" s="1"/>
      <c r="AA2009" s="97">
        <f ca="1">P_2_minQ+(AA2006^2*R_dn)-dpdn_minQ</f>
        <v>60</v>
      </c>
      <c r="AB2009" s="107"/>
      <c r="AC2009" s="1"/>
      <c r="AD2009" s="97">
        <f ca="1">P_2_minQ+(AD2006^2*R_dn)-dpdn_minQ</f>
        <v>60</v>
      </c>
      <c r="AE2009" s="107"/>
      <c r="AF2009" s="1"/>
      <c r="AG2009" s="97">
        <f ca="1">P_2_minQ+(AG2006^2*R_dn)-dpdn_minQ</f>
        <v>60</v>
      </c>
      <c r="AH2009" s="107"/>
      <c r="AI2009" s="1"/>
      <c r="AJ2009" s="97">
        <f ca="1">P_2_minQ+(AJ2006^2*R_dn)-dpdn_minQ</f>
        <v>60</v>
      </c>
      <c r="AK2009" s="107"/>
      <c r="AL2009" s="1"/>
      <c r="AM2009" s="97">
        <f ca="1">P_2_minQ+(AM2006^2*R_dn)-dpdn_minQ</f>
        <v>60</v>
      </c>
      <c r="AN2009" s="107"/>
      <c r="AO2009" s="1"/>
      <c r="AP2009" s="97">
        <f ca="1">P_2_minQ+(AP2006^2*R_dn)-dpdn_minQ</f>
        <v>60</v>
      </c>
      <c r="AQ2009" s="107"/>
      <c r="AR2009" s="1"/>
      <c r="AS2009" s="97">
        <f ca="1">P_2_minQ+(AS2006^2*R_dn)-dpdn_minQ</f>
        <v>60</v>
      </c>
      <c r="AT2009" s="107"/>
      <c r="AU2009" s="1"/>
    </row>
    <row r="2010" spans="15:47" x14ac:dyDescent="0.25">
      <c r="O2010" s="8" t="s">
        <v>138</v>
      </c>
      <c r="P2010" s="1"/>
      <c r="Q2010" s="8"/>
      <c r="R2010" s="97">
        <f>R2008-R2009</f>
        <v>30.180114293262974</v>
      </c>
      <c r="S2010" s="106"/>
      <c r="T2010" s="22"/>
      <c r="U2010" s="97">
        <f ca="1">U2008-U2009</f>
        <v>29.771653551850889</v>
      </c>
      <c r="V2010" s="110"/>
      <c r="W2010" s="25"/>
      <c r="X2010" s="97">
        <f ca="1">X2008-X2009</f>
        <v>27.706454068550357</v>
      </c>
      <c r="Y2010" s="110"/>
      <c r="Z2010" s="25"/>
      <c r="AA2010" s="97">
        <f ca="1">AA2008-AA2009</f>
        <v>20.782003204126397</v>
      </c>
      <c r="AB2010" s="110"/>
      <c r="AC2010" s="25"/>
      <c r="AD2010" s="97">
        <f ca="1">AD2008-AD2009</f>
        <v>3.7188744486081404</v>
      </c>
      <c r="AE2010" s="110"/>
      <c r="AF2010" s="25"/>
      <c r="AG2010" s="97">
        <f ca="1">AG2008-AG2009</f>
        <v>-26.193709244097455</v>
      </c>
      <c r="AH2010" s="110"/>
      <c r="AI2010" s="25"/>
      <c r="AJ2010" s="97">
        <f ca="1">AJ2008-AJ2009</f>
        <v>-70.219908576928148</v>
      </c>
      <c r="AK2010" s="110"/>
      <c r="AL2010" s="25"/>
      <c r="AM2010" s="97">
        <f ca="1">AM2008-AM2009</f>
        <v>-119.30424686820129</v>
      </c>
      <c r="AN2010" s="110"/>
      <c r="AO2010" s="25"/>
      <c r="AP2010" s="97">
        <f ca="1">AP2008-AP2009</f>
        <v>-171.30393334364354</v>
      </c>
      <c r="AQ2010" s="110"/>
      <c r="AR2010" s="25"/>
      <c r="AS2010" s="97">
        <f ca="1">AS2008-AS2009</f>
        <v>-246.85034592445783</v>
      </c>
      <c r="AT2010" s="110"/>
      <c r="AU2010" s="25"/>
    </row>
    <row r="2011" spans="15:47" ht="14.4" x14ac:dyDescent="0.3">
      <c r="O2011" s="2" t="s">
        <v>140</v>
      </c>
      <c r="P2011" s="11"/>
      <c r="Q2011" s="2"/>
      <c r="R2011" s="96">
        <f>R2010/R2008</f>
        <v>0.33466484856204737</v>
      </c>
      <c r="S2011" s="106"/>
      <c r="T2011" s="22"/>
      <c r="U2011" s="96">
        <f ca="1">U2010/U2008</f>
        <v>0.33163757571486846</v>
      </c>
      <c r="V2011" s="111"/>
      <c r="W2011" s="28"/>
      <c r="X2011" s="96">
        <f ca="1">X2010/X2008</f>
        <v>0.31589983157790547</v>
      </c>
      <c r="Y2011" s="111"/>
      <c r="Z2011" s="28"/>
      <c r="AA2011" s="96">
        <f ca="1">AA2010/AA2008</f>
        <v>0.25726031021554119</v>
      </c>
      <c r="AB2011" s="111"/>
      <c r="AC2011" s="28"/>
      <c r="AD2011" s="96">
        <f ca="1">AD2010/AD2008</f>
        <v>5.8363781231063075E-2</v>
      </c>
      <c r="AE2011" s="111"/>
      <c r="AF2011" s="28"/>
      <c r="AG2011" s="96">
        <f ca="1">AG2010/AG2008</f>
        <v>-0.77481760519746046</v>
      </c>
      <c r="AH2011" s="111"/>
      <c r="AI2011" s="28"/>
      <c r="AJ2011" s="96">
        <f ca="1">AJ2010/AJ2008</f>
        <v>6.8708940053976981</v>
      </c>
      <c r="AK2011" s="111"/>
      <c r="AL2011" s="28"/>
      <c r="AM2011" s="96">
        <f ca="1">AM2010/AM2008</f>
        <v>2.0117319276197025</v>
      </c>
      <c r="AN2011" s="111"/>
      <c r="AO2011" s="28"/>
      <c r="AP2011" s="96">
        <f ca="1">AP2010/AP2008</f>
        <v>1.5390645074038307</v>
      </c>
      <c r="AQ2011" s="111"/>
      <c r="AR2011" s="28"/>
      <c r="AS2011" s="96">
        <f ca="1">AS2010/AS2008</f>
        <v>1.3211125979090108</v>
      </c>
      <c r="AT2011" s="111"/>
      <c r="AU2011" s="28"/>
    </row>
    <row r="2012" spans="15:47" x14ac:dyDescent="0.25">
      <c r="O2012" s="2" t="s">
        <v>21</v>
      </c>
      <c r="P2012" s="8">
        <v>12</v>
      </c>
      <c r="Q2012" s="2"/>
      <c r="R2012" s="96">
        <f ca="1">1-R2011/(3*F_GAMMA*R$29)</f>
        <v>0.82570347914474795</v>
      </c>
      <c r="S2012" s="106"/>
      <c r="T2012" s="22"/>
      <c r="U2012" s="96">
        <f ca="1">1-U2011/(3*F_GAMMA*U$29)</f>
        <v>0.82732023602089233</v>
      </c>
      <c r="V2012" s="111"/>
      <c r="W2012" s="28"/>
      <c r="X2012" s="96">
        <f ca="1">1-X2011/(3*F_GAMMA*X$29)</f>
        <v>0.83394809735783759</v>
      </c>
      <c r="Y2012" s="111"/>
      <c r="Z2012" s="28"/>
      <c r="AA2012" s="96">
        <f ca="1">1-AA2011/(3*F_GAMMA*AA$29)</f>
        <v>0.86286561746437584</v>
      </c>
      <c r="AB2012" s="111"/>
      <c r="AC2012" s="28"/>
      <c r="AD2012" s="96">
        <f ca="1">1-AD2011/(3*F_GAMMA*AD$29)</f>
        <v>0.96792389502702558</v>
      </c>
      <c r="AE2012" s="111"/>
      <c r="AF2012" s="28"/>
      <c r="AG2012" s="96">
        <f ca="1">1-AG2011/(3*F_GAMMA*AG$29)</f>
        <v>1.4513839178906092</v>
      </c>
      <c r="AH2012" s="111"/>
      <c r="AI2012" s="28"/>
      <c r="AJ2012" s="96">
        <f ca="1">1-AJ2011/(3*F_GAMMA*AJ$29)</f>
        <v>-3.3064247163000351</v>
      </c>
      <c r="AK2012" s="111"/>
      <c r="AL2012" s="28"/>
      <c r="AM2012" s="96">
        <f ca="1">1-AM2011/(3*F_GAMMA*AM$29)</f>
        <v>-0.40976765778854118</v>
      </c>
      <c r="AN2012" s="111"/>
      <c r="AO2012" s="28"/>
      <c r="AP2012" s="96">
        <f ca="1">1-AP2011/(3*F_GAMMA*AP$29)</f>
        <v>0.13126946935692474</v>
      </c>
      <c r="AQ2012" s="111"/>
      <c r="AR2012" s="28"/>
      <c r="AS2012" s="96">
        <f ca="1">1-AS2011/(3*F_GAMMA*AS$29)</f>
        <v>-0.16905391196325215</v>
      </c>
      <c r="AT2012" s="111"/>
      <c r="AU2012" s="28"/>
    </row>
    <row r="2013" spans="15:47" x14ac:dyDescent="0.25">
      <c r="O2013" s="2" t="s">
        <v>57</v>
      </c>
      <c r="P2013" s="143">
        <v>7</v>
      </c>
      <c r="Q2013" s="2"/>
      <c r="R2013" s="96">
        <f ca="1">(R2006/(N_9*R$27*R2008*R2012))*SQRT(M*'Valve Sizing'!$W$6*'Valve Sizing'!$G$8/R2011)</f>
        <v>2.0996986593454499</v>
      </c>
      <c r="S2013" s="107"/>
      <c r="T2013" s="22"/>
      <c r="U2013" s="96">
        <f ca="1">(U2006/(N_9*U$27*U2008*U2012))*SQRT(M*'Valve Sizing'!$W$6*'Valve Sizing'!$G$8/U2011)</f>
        <v>19.384642138720327</v>
      </c>
      <c r="V2013" s="111"/>
      <c r="W2013" s="28"/>
      <c r="X2013" s="96">
        <f ca="1">(X2006/(N_9*X$27*X2008*X2012))*SQRT(M*'Valve Sizing'!$W$6*'Valve Sizing'!$G$8/X2011)</f>
        <v>49.49707027290961</v>
      </c>
      <c r="Y2013" s="111"/>
      <c r="Z2013" s="28"/>
      <c r="AA2013" s="96">
        <f ca="1">(AA2006/(N_9*AA$27*AA2008*AA2012))*SQRT(M*'Valve Sizing'!$W$6*'Valve Sizing'!$G$8/AA2011)</f>
        <v>112.76705837512434</v>
      </c>
      <c r="AB2013" s="111"/>
      <c r="AC2013" s="28"/>
      <c r="AD2013" s="96">
        <f ca="1">(AD2006/(N_9*AD$27*AD2008*AD2012))*SQRT(M*'Valve Sizing'!$W$6*'Valve Sizing'!$G$8/AD2011)</f>
        <v>454.46846845230658</v>
      </c>
      <c r="AE2013" s="111"/>
      <c r="AF2013" s="28"/>
      <c r="AG2013" s="96" t="e">
        <f ca="1">(AG2006/(N_9*AG$27*AG2008*AG2012))*SQRT(M*'Valve Sizing'!$W$6*'Valve Sizing'!$G$8/AG2011)</f>
        <v>#NUM!</v>
      </c>
      <c r="AH2013" s="111"/>
      <c r="AI2013" s="28"/>
      <c r="AJ2013" s="96">
        <f ca="1">(AJ2006/(N_9*AJ$27*AJ2008*AJ2012))*SQRT(M*'Valve Sizing'!$W$6*'Valve Sizing'!$G$8/AJ2011)</f>
        <v>157.75854654529476</v>
      </c>
      <c r="AK2013" s="111"/>
      <c r="AL2013" s="28"/>
      <c r="AM2013" s="96">
        <f ca="1">(AM2006/(N_9*AM$27*AM2008*AM2012))*SQRT(M*'Valve Sizing'!$W$6*'Valve Sizing'!$G$8/AM2011)</f>
        <v>524.85919728105318</v>
      </c>
      <c r="AN2013" s="111"/>
      <c r="AO2013" s="28"/>
      <c r="AP2013" s="96">
        <f ca="1">(AP2006/(N_9*AP$27*AP2008*AP2012))*SQRT(M*'Valve Sizing'!$W$6*'Valve Sizing'!$G$8/AP2011)</f>
        <v>-1318.8207084387236</v>
      </c>
      <c r="AQ2013" s="111"/>
      <c r="AR2013" s="28"/>
      <c r="AS2013" s="96">
        <f ca="1">(AS2006/(N_9*AS$27*AS2008*AS2012))*SQRT(M*'Valve Sizing'!$W$6*'Valve Sizing'!$G$8/AS2011)</f>
        <v>1034.0662487109059</v>
      </c>
      <c r="AT2013" s="111"/>
      <c r="AU2013" s="28"/>
    </row>
    <row r="2014" spans="15:47" x14ac:dyDescent="0.25">
      <c r="O2014" s="2" t="s">
        <v>59</v>
      </c>
      <c r="P2014" s="143">
        <v>7</v>
      </c>
      <c r="Q2014" s="2"/>
      <c r="R2014" s="96">
        <f ca="1">(R2006/(N_9*R$27*R2008*0.667))*SQRT(M*'Valve Sizing'!$W$6*'Valve Sizing'!$G$8/R2015)</f>
        <v>1.8795775020311387</v>
      </c>
      <c r="S2014" s="107"/>
      <c r="T2014" s="22"/>
      <c r="U2014" s="96">
        <f ca="1">(U2006/(N_9*U$27*U2008*0.667))*SQRT(M*'Valve Sizing'!$W$6*'Valve Sizing'!$G$8/U2015)</f>
        <v>17.305611573202693</v>
      </c>
      <c r="V2014" s="111"/>
      <c r="W2014" s="28"/>
      <c r="X2014" s="96">
        <f ca="1">(X2006/(N_9*X$27*X2008*0.667))*SQRT(M*'Valve Sizing'!$W$6*'Valve Sizing'!$G$8/X2015)</f>
        <v>43.679256526819252</v>
      </c>
      <c r="Y2014" s="111"/>
      <c r="Z2014" s="28"/>
      <c r="AA2014" s="96">
        <f ca="1">(AA2006/(N_9*AA$27*AA2008*0.667))*SQRT(M*'Valve Sizing'!$W$6*'Valve Sizing'!$G$8/AA2015)</f>
        <v>93.569301362608059</v>
      </c>
      <c r="AB2014" s="111"/>
      <c r="AC2014" s="28"/>
      <c r="AD2014" s="96">
        <f ca="1">(AD2006/(N_9*AD$27*AD2008*0.667))*SQRT(M*'Valve Sizing'!$W$6*'Valve Sizing'!$G$8/AD2015)</f>
        <v>204.58348605222997</v>
      </c>
      <c r="AE2014" s="111"/>
      <c r="AF2014" s="28"/>
      <c r="AG2014" s="96">
        <f ca="1">(AG2006/(N_9*AG$27*AG2008*0.667))*SQRT(M*'Valve Sizing'!$W$6*'Valve Sizing'!$G$8/AG2015)</f>
        <v>592.47886602351161</v>
      </c>
      <c r="AH2014" s="111"/>
      <c r="AI2014" s="28"/>
      <c r="AJ2014" s="96">
        <f ca="1">(AJ2006/(N_9*AJ$27*AJ2008*0.667))*SQRT(M*'Valve Sizing'!$W$6*'Valve Sizing'!$G$8/AJ2015)</f>
        <v>-2810.8958756015882</v>
      </c>
      <c r="AK2014" s="111"/>
      <c r="AL2014" s="28"/>
      <c r="AM2014" s="96">
        <f ca="1">(AM2006/(N_9*AM$27*AM2008*0.667))*SQRT(M*'Valve Sizing'!$W$6*'Valve Sizing'!$G$8/AM2015)</f>
        <v>-663.11530870842739</v>
      </c>
      <c r="AN2014" s="111"/>
      <c r="AO2014" s="28"/>
      <c r="AP2014" s="96">
        <f ca="1">(AP2006/(N_9*AP$27*AP2008*0.667))*SQRT(M*'Valve Sizing'!$W$6*'Valve Sizing'!$G$8/AP2015)</f>
        <v>-419.01234975556042</v>
      </c>
      <c r="AQ2014" s="111"/>
      <c r="AR2014" s="28"/>
      <c r="AS2014" s="96">
        <f ca="1">(AS2006/(N_9*AS$27*AS2008*0.667))*SQRT(M*'Valve Sizing'!$W$6*'Valve Sizing'!$G$8/AS2015)</f>
        <v>-490.82384285357091</v>
      </c>
      <c r="AT2014" s="111"/>
      <c r="AU2014" s="28"/>
    </row>
    <row r="2015" spans="15:47" ht="15.6" x14ac:dyDescent="0.35">
      <c r="O2015" s="2" t="s">
        <v>68</v>
      </c>
      <c r="P2015" s="143">
        <v>10</v>
      </c>
      <c r="Q2015" s="2"/>
      <c r="R2015" s="96">
        <f ca="1">F_GAMMA*R$29</f>
        <v>0.64002969751372984</v>
      </c>
      <c r="S2015" s="107"/>
      <c r="T2015" s="1"/>
      <c r="U2015" s="96">
        <f ca="1">F_GAMMA*U$29</f>
        <v>0.64017842058782071</v>
      </c>
      <c r="V2015" s="111"/>
      <c r="W2015" s="28"/>
      <c r="X2015" s="96">
        <f ca="1">F_GAMMA*X$29</f>
        <v>0.63413873724904268</v>
      </c>
      <c r="Y2015" s="111"/>
      <c r="Z2015" s="28"/>
      <c r="AA2015" s="96">
        <f ca="1">F_GAMMA*AA$29</f>
        <v>0.62532411750377137</v>
      </c>
      <c r="AB2015" s="111"/>
      <c r="AC2015" s="28"/>
      <c r="AD2015" s="96">
        <f ca="1">F_GAMMA*AD$29</f>
        <v>0.60651359509139569</v>
      </c>
      <c r="AE2015" s="111"/>
      <c r="AF2015" s="28"/>
      <c r="AG2015" s="96">
        <f ca="1">F_GAMMA*AG$29</f>
        <v>0.57217930198481592</v>
      </c>
      <c r="AH2015" s="111"/>
      <c r="AI2015" s="28"/>
      <c r="AJ2015" s="96">
        <f ca="1">F_GAMMA*AJ$29</f>
        <v>0.53183282018848232</v>
      </c>
      <c r="AK2015" s="111"/>
      <c r="AL2015" s="28"/>
      <c r="AM2015" s="96">
        <f ca="1">F_GAMMA*AM$29</f>
        <v>0.47566512503094399</v>
      </c>
      <c r="AN2015" s="111"/>
      <c r="AO2015" s="28"/>
      <c r="AP2015" s="96">
        <f ca="1">F_GAMMA*AP$29</f>
        <v>0.59054158265645496</v>
      </c>
      <c r="AQ2015" s="111"/>
      <c r="AR2015" s="28"/>
      <c r="AS2015" s="96">
        <f ca="1">F_GAMMA*AS$29</f>
        <v>0.3766899554102966</v>
      </c>
      <c r="AT2015" s="111"/>
      <c r="AU2015" s="28"/>
    </row>
    <row r="2016" spans="15:47" x14ac:dyDescent="0.25">
      <c r="O2016" s="2" t="s">
        <v>145</v>
      </c>
      <c r="P2016" s="12"/>
      <c r="Q2016" s="2"/>
      <c r="R2016" s="96">
        <f ca="1">IF(R2011&lt;R2015,R2013,R2014)</f>
        <v>2.0996986593454499</v>
      </c>
      <c r="S2016" s="116"/>
      <c r="T2016" s="1"/>
      <c r="U2016" s="96">
        <f ca="1">IF(U2011&lt;U2015,U2013,U2014)</f>
        <v>19.384642138720327</v>
      </c>
      <c r="V2016" s="111"/>
      <c r="W2016" s="28"/>
      <c r="X2016" s="96">
        <f ca="1">IF(X2011&lt;X2015,X2013,X2014)</f>
        <v>49.49707027290961</v>
      </c>
      <c r="Y2016" s="111"/>
      <c r="Z2016" s="28"/>
      <c r="AA2016" s="96">
        <f ca="1">IF(AA2011&lt;AA2015,AA2013,AA2014)</f>
        <v>112.76705837512434</v>
      </c>
      <c r="AB2016" s="111"/>
      <c r="AC2016" s="28"/>
      <c r="AD2016" s="96">
        <f ca="1">IF(AD2011&lt;AD2015,AD2013,AD2014)</f>
        <v>454.46846845230658</v>
      </c>
      <c r="AE2016" s="111"/>
      <c r="AF2016" s="28"/>
      <c r="AG2016" s="96" t="e">
        <f ca="1">IF(AG2011&lt;AG2015,AG2013,AG2014)</f>
        <v>#NUM!</v>
      </c>
      <c r="AH2016" s="111"/>
      <c r="AI2016" s="28"/>
      <c r="AJ2016" s="96">
        <f ca="1">IF(AJ2011&lt;AJ2015,AJ2013,AJ2014)</f>
        <v>-2810.8958756015882</v>
      </c>
      <c r="AK2016" s="111"/>
      <c r="AL2016" s="28"/>
      <c r="AM2016" s="96">
        <f ca="1">IF(AM2011&lt;AM2015,AM2013,AM2014)</f>
        <v>-663.11530870842739</v>
      </c>
      <c r="AN2016" s="111"/>
      <c r="AO2016" s="28"/>
      <c r="AP2016" s="96">
        <f ca="1">IF(AP2011&lt;AP2015,AP2013,AP2014)</f>
        <v>-419.01234975556042</v>
      </c>
      <c r="AQ2016" s="111"/>
      <c r="AR2016" s="28"/>
      <c r="AS2016" s="96">
        <f ca="1">IF(AS2011&lt;AS2015,AS2013,AS2014)</f>
        <v>-490.82384285357091</v>
      </c>
      <c r="AT2016" s="111"/>
      <c r="AU2016" s="28"/>
    </row>
    <row r="2017" spans="15:47" x14ac:dyDescent="0.25">
      <c r="O2017" s="13" t="s">
        <v>143</v>
      </c>
      <c r="P2017" s="1"/>
      <c r="Q2017" s="1"/>
      <c r="R2017" s="113"/>
      <c r="S2017" s="106">
        <f ca="1">IF(R2010&lt;=0,Q_max,ABS(R$23-R2016))</f>
        <v>2.6303013406545506</v>
      </c>
      <c r="T2017" s="7">
        <f>R2006</f>
        <v>5198.893033646782</v>
      </c>
      <c r="U2017" s="98"/>
      <c r="V2017" s="106">
        <f ca="1">IF(U2010&lt;=0,Q_max,ABS(U$23-U2016))</f>
        <v>7.7846421387203275</v>
      </c>
      <c r="W2017" s="9">
        <f ca="1">U2006</f>
        <v>47624.6314207865</v>
      </c>
      <c r="X2017" s="98"/>
      <c r="Y2017" s="106">
        <f ca="1">IF(X2010&lt;=0,Q_max,ABS(X$23-X2016))</f>
        <v>26.49707027290961</v>
      </c>
      <c r="Z2017" s="9">
        <f ca="1">X2006</f>
        <v>116615.22861502855</v>
      </c>
      <c r="AA2017" s="98"/>
      <c r="AB2017" s="106">
        <f ca="1">IF(AA2010&lt;=0,Q_max,ABS(AA$23-AA2016))</f>
        <v>73.367058375124344</v>
      </c>
      <c r="AC2017" s="9">
        <f ca="1">AA2006</f>
        <v>227136.69983984553</v>
      </c>
      <c r="AD2017" s="98"/>
      <c r="AE2017" s="106">
        <f ca="1">IF(AD2010&lt;=0,Q_max,ABS(AD$23-AD2016))</f>
        <v>393.46846845230658</v>
      </c>
      <c r="AF2017" s="9">
        <f ca="1">AD2006</f>
        <v>381064.72497896291</v>
      </c>
      <c r="AG2017" s="98"/>
      <c r="AH2017" s="106">
        <f ca="1">IF(AG2010&lt;=0,Q_max,ABS(AG$23-AG2016))</f>
        <v>236393</v>
      </c>
      <c r="AI2017" s="9">
        <f ca="1">AG2006</f>
        <v>556174.34483967</v>
      </c>
      <c r="AJ2017" s="98"/>
      <c r="AK2017" s="106">
        <f ca="1">IF(AJ2010&lt;=0,Q_max,ABS(AJ$23-AJ2016))</f>
        <v>236393</v>
      </c>
      <c r="AL2017" s="9">
        <f ca="1">AJ2006</f>
        <v>742216.81923578097</v>
      </c>
      <c r="AM2017" s="98"/>
      <c r="AN2017" s="106">
        <f ca="1">IF(AM2010&lt;=0,Q_max,ABS(AM$23-AM2016))</f>
        <v>236393</v>
      </c>
      <c r="AO2017" s="9">
        <f ca="1">AM2006</f>
        <v>905645.57031336054</v>
      </c>
      <c r="AP2017" s="98"/>
      <c r="AQ2017" s="106">
        <f ca="1">IF(AP2010&lt;=0,Q_max,ABS(AP$23-AP2016))</f>
        <v>236393</v>
      </c>
      <c r="AR2017" s="9">
        <f ca="1">AP2006</f>
        <v>1051426.3917021689</v>
      </c>
      <c r="AS2017" s="98"/>
      <c r="AT2017" s="106">
        <f ca="1">IF(AS2010&lt;=0,Q_max,ABS(AS$23-AS2016))</f>
        <v>236393</v>
      </c>
      <c r="AU2017" s="9">
        <f ca="1">AS2006</f>
        <v>1232880.1336191432</v>
      </c>
    </row>
    <row r="2018" spans="15:47" x14ac:dyDescent="0.25">
      <c r="O2018" s="21"/>
      <c r="P2018" s="14"/>
      <c r="Q2018" s="21"/>
      <c r="R2018" s="97"/>
      <c r="S2018" s="106"/>
      <c r="T2018" s="28"/>
      <c r="U2018" s="97"/>
      <c r="V2018" s="111"/>
      <c r="W2018" s="28"/>
      <c r="X2018" s="97"/>
      <c r="Y2018" s="111"/>
      <c r="Z2018" s="28"/>
      <c r="AA2018" s="97"/>
      <c r="AB2018" s="111"/>
      <c r="AC2018" s="28"/>
      <c r="AD2018" s="97"/>
      <c r="AE2018" s="111"/>
      <c r="AF2018" s="28"/>
      <c r="AG2018" s="97"/>
      <c r="AH2018" s="111"/>
      <c r="AI2018" s="28"/>
      <c r="AJ2018" s="97"/>
      <c r="AK2018" s="111"/>
      <c r="AL2018" s="28"/>
      <c r="AM2018" s="97"/>
      <c r="AN2018" s="111"/>
      <c r="AO2018" s="28"/>
      <c r="AP2018" s="97"/>
      <c r="AQ2018" s="111"/>
      <c r="AR2018" s="28"/>
      <c r="AS2018" s="97"/>
      <c r="AT2018" s="111"/>
      <c r="AU2018" s="28"/>
    </row>
    <row r="2019" spans="15:47" x14ac:dyDescent="0.25">
      <c r="O2019" s="1"/>
      <c r="P2019" s="1"/>
      <c r="Q2019" s="1"/>
      <c r="R2019" s="98"/>
      <c r="S2019" s="108" t="s">
        <v>137</v>
      </c>
      <c r="T2019" s="26" t="s">
        <v>146</v>
      </c>
      <c r="U2019" s="98"/>
      <c r="V2019" s="108" t="s">
        <v>137</v>
      </c>
      <c r="W2019" s="26" t="s">
        <v>146</v>
      </c>
      <c r="X2019" s="98"/>
      <c r="Y2019" s="108" t="s">
        <v>137</v>
      </c>
      <c r="Z2019" s="26" t="s">
        <v>146</v>
      </c>
      <c r="AA2019" s="98"/>
      <c r="AB2019" s="108" t="s">
        <v>137</v>
      </c>
      <c r="AC2019" s="26" t="s">
        <v>146</v>
      </c>
      <c r="AD2019" s="98"/>
      <c r="AE2019" s="108" t="s">
        <v>137</v>
      </c>
      <c r="AF2019" s="26" t="s">
        <v>146</v>
      </c>
      <c r="AG2019" s="98"/>
      <c r="AH2019" s="108" t="s">
        <v>137</v>
      </c>
      <c r="AI2019" s="26" t="s">
        <v>146</v>
      </c>
      <c r="AJ2019" s="98"/>
      <c r="AK2019" s="108" t="s">
        <v>137</v>
      </c>
      <c r="AL2019" s="26" t="s">
        <v>146</v>
      </c>
      <c r="AM2019" s="98"/>
      <c r="AN2019" s="108" t="s">
        <v>137</v>
      </c>
      <c r="AO2019" s="26" t="s">
        <v>146</v>
      </c>
      <c r="AP2019" s="98"/>
      <c r="AQ2019" s="108" t="s">
        <v>137</v>
      </c>
      <c r="AR2019" s="26" t="s">
        <v>146</v>
      </c>
      <c r="AS2019" s="98"/>
      <c r="AT2019" s="108" t="s">
        <v>137</v>
      </c>
      <c r="AU2019" s="26" t="s">
        <v>146</v>
      </c>
    </row>
    <row r="2020" spans="15:47" ht="13.8" x14ac:dyDescent="0.25">
      <c r="O2020" s="20" t="s">
        <v>136</v>
      </c>
      <c r="P2020" s="1"/>
      <c r="Q2020" s="1"/>
      <c r="R2020" s="96">
        <f>R2006*1.02</f>
        <v>5302.870894319718</v>
      </c>
      <c r="S2020" s="109" t="s">
        <v>144</v>
      </c>
      <c r="T2020" s="23" t="s">
        <v>147</v>
      </c>
      <c r="U2020" s="96">
        <f ca="1">U2006*1.01</f>
        <v>48100.877734994363</v>
      </c>
      <c r="V2020" s="109" t="s">
        <v>144</v>
      </c>
      <c r="W2020" s="23" t="s">
        <v>147</v>
      </c>
      <c r="X2020" s="96">
        <f ca="1">X2006*1.01</f>
        <v>117781.38090117884</v>
      </c>
      <c r="Y2020" s="109" t="s">
        <v>144</v>
      </c>
      <c r="Z2020" s="23" t="s">
        <v>147</v>
      </c>
      <c r="AA2020" s="96">
        <f ca="1">AA2006*1.01</f>
        <v>229408.06683824398</v>
      </c>
      <c r="AB2020" s="109" t="s">
        <v>144</v>
      </c>
      <c r="AC2020" s="23" t="s">
        <v>147</v>
      </c>
      <c r="AD2020" s="96">
        <f ca="1">AD2006*1.01</f>
        <v>384875.37222875253</v>
      </c>
      <c r="AE2020" s="109" t="s">
        <v>144</v>
      </c>
      <c r="AF2020" s="23" t="s">
        <v>147</v>
      </c>
      <c r="AG2020" s="96">
        <f ca="1">AG2006*1.01</f>
        <v>561736.08828806668</v>
      </c>
      <c r="AH2020" s="109" t="s">
        <v>144</v>
      </c>
      <c r="AI2020" s="23" t="s">
        <v>147</v>
      </c>
      <c r="AJ2020" s="96">
        <f ca="1">AJ2006*1.01</f>
        <v>749638.98742813885</v>
      </c>
      <c r="AK2020" s="109" t="s">
        <v>144</v>
      </c>
      <c r="AL2020" s="23" t="s">
        <v>147</v>
      </c>
      <c r="AM2020" s="96">
        <f ca="1">AM2006*1.01</f>
        <v>914702.02601649414</v>
      </c>
      <c r="AN2020" s="109" t="s">
        <v>144</v>
      </c>
      <c r="AO2020" s="23" t="s">
        <v>147</v>
      </c>
      <c r="AP2020" s="96">
        <f ca="1">AP2006*1.01</f>
        <v>1061940.6556191905</v>
      </c>
      <c r="AQ2020" s="109" t="s">
        <v>144</v>
      </c>
      <c r="AR2020" s="23" t="s">
        <v>147</v>
      </c>
      <c r="AS2020" s="96">
        <f ca="1">AS2006*1.01</f>
        <v>1245208.9349553345</v>
      </c>
      <c r="AT2020" s="109" t="s">
        <v>144</v>
      </c>
      <c r="AU2020" s="23" t="s">
        <v>147</v>
      </c>
    </row>
    <row r="2021" spans="15:47" x14ac:dyDescent="0.25">
      <c r="O2021" s="1"/>
      <c r="P2021" s="1"/>
      <c r="Q2021" s="1"/>
      <c r="R2021" s="98"/>
      <c r="S2021" s="107"/>
      <c r="T2021" s="1"/>
      <c r="U2021" s="47"/>
      <c r="V2021" s="107"/>
      <c r="W2021" s="1"/>
      <c r="X2021" s="47"/>
      <c r="Y2021" s="107"/>
      <c r="Z2021" s="1"/>
      <c r="AA2021" s="47"/>
      <c r="AB2021" s="107"/>
      <c r="AC2021" s="1"/>
      <c r="AD2021" s="47"/>
      <c r="AE2021" s="107"/>
      <c r="AF2021" s="1"/>
      <c r="AG2021" s="47"/>
      <c r="AH2021" s="107"/>
      <c r="AI2021" s="1"/>
      <c r="AJ2021" s="47"/>
      <c r="AK2021" s="107"/>
      <c r="AL2021" s="1"/>
      <c r="AM2021" s="47"/>
      <c r="AN2021" s="107"/>
      <c r="AO2021" s="1"/>
      <c r="AP2021" s="47"/>
      <c r="AQ2021" s="107"/>
      <c r="AR2021" s="1"/>
      <c r="AS2021" s="47"/>
      <c r="AT2021" s="107"/>
      <c r="AU2021" s="1"/>
    </row>
    <row r="2022" spans="15:47" x14ac:dyDescent="0.25">
      <c r="O2022" s="8" t="s">
        <v>132</v>
      </c>
      <c r="P2022" s="8"/>
      <c r="Q2022" s="8"/>
      <c r="R2022" s="96">
        <f>P_1_minQ-(R2020^2*R_up)+dpup_minQ</f>
        <v>90.179915273288472</v>
      </c>
      <c r="S2022" s="106"/>
      <c r="T2022" s="22"/>
      <c r="U2022" s="96">
        <f ca="1">P_1_minQ-(U2020^2*R_up)+dpup_minQ</f>
        <v>89.763344473584951</v>
      </c>
      <c r="V2022" s="107"/>
      <c r="W2022" s="1"/>
      <c r="X2022" s="96">
        <f ca="1">P_1_minQ-(X2020^2*R_up)+dpup_minQ</f>
        <v>87.656634480670093</v>
      </c>
      <c r="Y2022" s="107"/>
      <c r="Z2022" s="1"/>
      <c r="AA2022" s="96">
        <f ca="1">P_1_minQ-(AA2020^2*R_up)+dpup_minQ</f>
        <v>80.593002153871197</v>
      </c>
      <c r="AB2022" s="107"/>
      <c r="AC2022" s="1"/>
      <c r="AD2022" s="96">
        <f ca="1">P_1_minQ-(AD2020^2*R_up)+dpup_minQ</f>
        <v>63.186904510367029</v>
      </c>
      <c r="AE2022" s="107"/>
      <c r="AF2022" s="1"/>
      <c r="AG2022" s="96">
        <f ca="1">P_1_minQ-(AG2020^2*R_up)+dpup_minQ</f>
        <v>32.673077885438055</v>
      </c>
      <c r="AH2022" s="107"/>
      <c r="AI2022" s="1"/>
      <c r="AJ2022" s="96">
        <f ca="1">P_1_minQ-(AJ2020^2*R_up)+dpup_minQ</f>
        <v>-12.238048053982554</v>
      </c>
      <c r="AK2022" s="107"/>
      <c r="AL2022" s="1"/>
      <c r="AM2022" s="96">
        <f ca="1">P_1_minQ-(AM2020^2*R_up)+dpup_minQ</f>
        <v>-62.308981544910267</v>
      </c>
      <c r="AN2022" s="107"/>
      <c r="AO2022" s="1"/>
      <c r="AP2022" s="96">
        <f ca="1">P_1_minQ-(AP2020^2*R_up)+dpup_minQ</f>
        <v>-115.35386171850894</v>
      </c>
      <c r="AQ2022" s="107"/>
      <c r="AR2022" s="1"/>
      <c r="AS2022" s="96">
        <f ca="1">P_1_minQ-(AS2020^2*R_up)+dpup_minQ</f>
        <v>-192.41875719219757</v>
      </c>
      <c r="AT2022" s="107"/>
      <c r="AU2022" s="1"/>
    </row>
    <row r="2023" spans="15:47" x14ac:dyDescent="0.25">
      <c r="O2023" s="8" t="s">
        <v>134</v>
      </c>
      <c r="P2023" s="1"/>
      <c r="Q2023" s="8"/>
      <c r="R2023" s="97">
        <f>P_2_minQ+(R2020^2*R_dn)-dpdn_minQ</f>
        <v>60</v>
      </c>
      <c r="S2023" s="106"/>
      <c r="T2023" s="22"/>
      <c r="U2023" s="97">
        <f ca="1">P_2_minQ+(U2020^2*R_dn)-dpdn_minQ</f>
        <v>60</v>
      </c>
      <c r="V2023" s="107"/>
      <c r="W2023" s="1"/>
      <c r="X2023" s="97">
        <f ca="1">P_2_minQ+(X2020^2*R_dn)-dpdn_minQ</f>
        <v>60</v>
      </c>
      <c r="Y2023" s="107"/>
      <c r="Z2023" s="1"/>
      <c r="AA2023" s="97">
        <f ca="1">P_2_minQ+(AA2020^2*R_dn)-dpdn_minQ</f>
        <v>60</v>
      </c>
      <c r="AB2023" s="107"/>
      <c r="AC2023" s="1"/>
      <c r="AD2023" s="97">
        <f ca="1">P_2_minQ+(AD2020^2*R_dn)-dpdn_minQ</f>
        <v>60</v>
      </c>
      <c r="AE2023" s="107"/>
      <c r="AF2023" s="1"/>
      <c r="AG2023" s="97">
        <f ca="1">P_2_minQ+(AG2020^2*R_dn)-dpdn_minQ</f>
        <v>60</v>
      </c>
      <c r="AH2023" s="107"/>
      <c r="AI2023" s="1"/>
      <c r="AJ2023" s="97">
        <f ca="1">P_2_minQ+(AJ2020^2*R_dn)-dpdn_minQ</f>
        <v>60</v>
      </c>
      <c r="AK2023" s="107"/>
      <c r="AL2023" s="1"/>
      <c r="AM2023" s="97">
        <f ca="1">P_2_minQ+(AM2020^2*R_dn)-dpdn_minQ</f>
        <v>60</v>
      </c>
      <c r="AN2023" s="107"/>
      <c r="AO2023" s="1"/>
      <c r="AP2023" s="97">
        <f ca="1">P_2_minQ+(AP2020^2*R_dn)-dpdn_minQ</f>
        <v>60</v>
      </c>
      <c r="AQ2023" s="107"/>
      <c r="AR2023" s="1"/>
      <c r="AS2023" s="97">
        <f ca="1">P_2_minQ+(AS2020^2*R_dn)-dpdn_minQ</f>
        <v>60</v>
      </c>
      <c r="AT2023" s="107"/>
      <c r="AU2023" s="1"/>
    </row>
    <row r="2024" spans="15:47" x14ac:dyDescent="0.25">
      <c r="O2024" s="8" t="s">
        <v>138</v>
      </c>
      <c r="P2024" s="1"/>
      <c r="Q2024" s="8"/>
      <c r="R2024" s="97">
        <f>R2022-R2023</f>
        <v>30.179915273288472</v>
      </c>
      <c r="S2024" s="106"/>
      <c r="T2024" s="22"/>
      <c r="U2024" s="97">
        <f ca="1">U2022-U2023</f>
        <v>29.763344473584951</v>
      </c>
      <c r="V2024" s="110"/>
      <c r="W2024" s="25"/>
      <c r="X2024" s="97">
        <f ca="1">X2022-X2023</f>
        <v>27.656634480670093</v>
      </c>
      <c r="Y2024" s="110"/>
      <c r="Z2024" s="25"/>
      <c r="AA2024" s="97">
        <f ca="1">AA2022-AA2023</f>
        <v>20.593002153871197</v>
      </c>
      <c r="AB2024" s="110"/>
      <c r="AC2024" s="25"/>
      <c r="AD2024" s="97">
        <f ca="1">AD2022-AD2023</f>
        <v>3.1869045103670288</v>
      </c>
      <c r="AE2024" s="110"/>
      <c r="AF2024" s="25"/>
      <c r="AG2024" s="97">
        <f ca="1">AG2022-AG2023</f>
        <v>-27.326922114561945</v>
      </c>
      <c r="AH2024" s="110"/>
      <c r="AI2024" s="25"/>
      <c r="AJ2024" s="97">
        <f ca="1">AJ2022-AJ2023</f>
        <v>-72.238048053982553</v>
      </c>
      <c r="AK2024" s="110"/>
      <c r="AL2024" s="25"/>
      <c r="AM2024" s="97">
        <f ca="1">AM2022-AM2023</f>
        <v>-122.30898154491027</v>
      </c>
      <c r="AN2024" s="110"/>
      <c r="AO2024" s="25"/>
      <c r="AP2024" s="97">
        <f ca="1">AP2022-AP2023</f>
        <v>-175.35386171850894</v>
      </c>
      <c r="AQ2024" s="110"/>
      <c r="AR2024" s="25"/>
      <c r="AS2024" s="97">
        <f ca="1">AS2022-AS2023</f>
        <v>-252.41875719219757</v>
      </c>
      <c r="AT2024" s="110"/>
      <c r="AU2024" s="25"/>
    </row>
    <row r="2025" spans="15:47" ht="14.4" x14ac:dyDescent="0.3">
      <c r="O2025" s="2" t="s">
        <v>140</v>
      </c>
      <c r="P2025" s="11"/>
      <c r="Q2025" s="2"/>
      <c r="R2025" s="96">
        <f>R2024/R2022</f>
        <v>0.3346633802197399</v>
      </c>
      <c r="S2025" s="106"/>
      <c r="T2025" s="22"/>
      <c r="U2025" s="96">
        <f ca="1">U2024/U2022</f>
        <v>0.33157570774720341</v>
      </c>
      <c r="V2025" s="111"/>
      <c r="W2025" s="28"/>
      <c r="X2025" s="96">
        <f ca="1">X2024/X2022</f>
        <v>0.31551102371799239</v>
      </c>
      <c r="Y2025" s="111"/>
      <c r="Z2025" s="28"/>
      <c r="AA2025" s="96">
        <f ca="1">AA2024/AA2022</f>
        <v>0.25551848924245635</v>
      </c>
      <c r="AB2025" s="111"/>
      <c r="AC2025" s="28"/>
      <c r="AD2025" s="96">
        <f ca="1">AD2024/AD2022</f>
        <v>5.0436155008102286E-2</v>
      </c>
      <c r="AE2025" s="111"/>
      <c r="AF2025" s="28"/>
      <c r="AG2025" s="96">
        <f ca="1">AG2024/AG2022</f>
        <v>-0.8363742837567556</v>
      </c>
      <c r="AH2025" s="111"/>
      <c r="AI2025" s="28"/>
      <c r="AJ2025" s="96">
        <f ca="1">AJ2024/AJ2022</f>
        <v>5.9027426379874814</v>
      </c>
      <c r="AK2025" s="111"/>
      <c r="AL2025" s="28"/>
      <c r="AM2025" s="96">
        <f ca="1">AM2024/AM2022</f>
        <v>1.962943038264138</v>
      </c>
      <c r="AN2025" s="111"/>
      <c r="AO2025" s="28"/>
      <c r="AP2025" s="96">
        <f ca="1">AP2024/AP2022</f>
        <v>1.5201386334721447</v>
      </c>
      <c r="AQ2025" s="111"/>
      <c r="AR2025" s="28"/>
      <c r="AS2025" s="96">
        <f ca="1">AS2024/AS2022</f>
        <v>1.3118199123387382</v>
      </c>
      <c r="AT2025" s="111"/>
      <c r="AU2025" s="28"/>
    </row>
    <row r="2026" spans="15:47" x14ac:dyDescent="0.25">
      <c r="O2026" s="2" t="s">
        <v>21</v>
      </c>
      <c r="P2026" s="8">
        <v>12</v>
      </c>
      <c r="Q2026" s="2"/>
      <c r="R2026" s="96">
        <f ca="1">1-R2025/(3*F_GAMMA*R$29)</f>
        <v>0.82570424387088137</v>
      </c>
      <c r="S2026" s="106"/>
      <c r="T2026" s="22"/>
      <c r="U2026" s="96">
        <f ca="1">1-U2025/(3*F_GAMMA*U$29)</f>
        <v>0.82735244994005164</v>
      </c>
      <c r="V2026" s="111"/>
      <c r="W2026" s="28"/>
      <c r="X2026" s="96">
        <f ca="1">1-X2025/(3*F_GAMMA*X$29)</f>
        <v>0.83415247317082342</v>
      </c>
      <c r="Y2026" s="111"/>
      <c r="Z2026" s="28"/>
      <c r="AA2026" s="96">
        <f ca="1">1-AA2025/(3*F_GAMMA*AA$29)</f>
        <v>0.86379410714640836</v>
      </c>
      <c r="AB2026" s="111"/>
      <c r="AC2026" s="28"/>
      <c r="AD2026" s="96">
        <f ca="1">1-AD2025/(3*F_GAMMA*AD$29)</f>
        <v>0.97228083293527157</v>
      </c>
      <c r="AE2026" s="111"/>
      <c r="AF2026" s="28"/>
      <c r="AG2026" s="96">
        <f ca="1">1-AG2025/(3*F_GAMMA*AG$29)</f>
        <v>1.4872448670405014</v>
      </c>
      <c r="AH2026" s="111"/>
      <c r="AI2026" s="28"/>
      <c r="AJ2026" s="96">
        <f ca="1">1-AJ2025/(3*F_GAMMA*AJ$29)</f>
        <v>-2.6996228977215941</v>
      </c>
      <c r="AK2026" s="111"/>
      <c r="AL2026" s="28"/>
      <c r="AM2026" s="96">
        <f ca="1">1-AM2025/(3*F_GAMMA*AM$29)</f>
        <v>-0.37557771561553976</v>
      </c>
      <c r="AN2026" s="111"/>
      <c r="AO2026" s="28"/>
      <c r="AP2026" s="96">
        <f ca="1">1-AP2025/(3*F_GAMMA*AP$29)</f>
        <v>0.14195224738504764</v>
      </c>
      <c r="AQ2026" s="111"/>
      <c r="AR2026" s="28"/>
      <c r="AS2026" s="96">
        <f ca="1">1-AS2025/(3*F_GAMMA*AS$29)</f>
        <v>-0.16083080483690559</v>
      </c>
      <c r="AT2026" s="111"/>
      <c r="AU2026" s="28"/>
    </row>
    <row r="2027" spans="15:47" x14ac:dyDescent="0.25">
      <c r="O2027" s="2" t="s">
        <v>57</v>
      </c>
      <c r="P2027" s="143">
        <v>7</v>
      </c>
      <c r="Q2027" s="2"/>
      <c r="R2027" s="96">
        <f ca="1">(R2020/(N_9*R$27*R2022*R2026))*SQRT(M*'Valve Sizing'!$W$6*'Valve Sizing'!$G$8/R2025)</f>
        <v>2.1417000739066236</v>
      </c>
      <c r="S2027" s="107"/>
      <c r="T2027" s="22"/>
      <c r="U2027" s="96">
        <f ca="1">(U2020/(N_9*U$27*U2022*U2026))*SQRT(M*'Valve Sizing'!$W$6*'Valve Sizing'!$G$8/U2025)</f>
        <v>19.581365056544573</v>
      </c>
      <c r="V2027" s="111"/>
      <c r="W2027" s="28"/>
      <c r="X2027" s="96">
        <f ca="1">(X2020/(N_9*X$27*X2022*X2026))*SQRT(M*'Valve Sizing'!$W$6*'Valve Sizing'!$G$8/X2025)</f>
        <v>50.039001751223907</v>
      </c>
      <c r="Y2027" s="111"/>
      <c r="Z2027" s="28"/>
      <c r="AA2027" s="96">
        <f ca="1">(AA2020/(N_9*AA$27*AA2022*AA2026))*SQRT(M*'Valve Sizing'!$W$6*'Valve Sizing'!$G$8/AA2025)</f>
        <v>114.4271460006273</v>
      </c>
      <c r="AB2027" s="111"/>
      <c r="AC2027" s="28"/>
      <c r="AD2027" s="96">
        <f ca="1">(AD2020/(N_9*AD$27*AD2022*AD2026))*SQRT(M*'Valve Sizing'!$W$6*'Valve Sizing'!$G$8/AD2025)</f>
        <v>495.69707724790015</v>
      </c>
      <c r="AE2027" s="111"/>
      <c r="AF2027" s="28"/>
      <c r="AG2027" s="96" t="e">
        <f ca="1">(AG2020/(N_9*AG$27*AG2022*AG2026))*SQRT(M*'Valve Sizing'!$W$6*'Valve Sizing'!$G$8/AG2025)</f>
        <v>#NUM!</v>
      </c>
      <c r="AH2027" s="111"/>
      <c r="AI2027" s="28"/>
      <c r="AJ2027" s="96">
        <f ca="1">(AJ2020/(N_9*AJ$27*AJ2022*AJ2026))*SQRT(M*'Valve Sizing'!$W$6*'Valve Sizing'!$G$8/AJ2025)</f>
        <v>175.82651281981111</v>
      </c>
      <c r="AK2027" s="111"/>
      <c r="AL2027" s="28"/>
      <c r="AM2027" s="96">
        <f ca="1">(AM2020/(N_9*AM$27*AM2022*AM2026))*SQRT(M*'Valve Sizing'!$W$6*'Valve Sizing'!$G$8/AM2025)</f>
        <v>557.27350428815714</v>
      </c>
      <c r="AN2027" s="111"/>
      <c r="AO2027" s="28"/>
      <c r="AP2027" s="96">
        <f ca="1">(AP2020/(N_9*AP$27*AP2022*AP2026))*SQRT(M*'Valve Sizing'!$W$6*'Valve Sizing'!$G$8/AP2025)</f>
        <v>-1195.8969986298532</v>
      </c>
      <c r="AQ2027" s="111"/>
      <c r="AR2027" s="28"/>
      <c r="AS2027" s="96">
        <f ca="1">(AS2020/(N_9*AS$27*AS2022*AS2026))*SQRT(M*'Valve Sizing'!$W$6*'Valve Sizing'!$G$8/AS2025)</f>
        <v>1069.8060145183938</v>
      </c>
      <c r="AT2027" s="111"/>
      <c r="AU2027" s="28"/>
    </row>
    <row r="2028" spans="15:47" x14ac:dyDescent="0.25">
      <c r="O2028" s="2" t="s">
        <v>59</v>
      </c>
      <c r="P2028" s="143">
        <v>7</v>
      </c>
      <c r="Q2028" s="2"/>
      <c r="R2028" s="96">
        <f ca="1">(R2020/(N_9*R$27*R2022*0.667))*SQRT(M*'Valve Sizing'!$W$6*'Valve Sizing'!$G$8/R2029)</f>
        <v>1.9171732831129495</v>
      </c>
      <c r="S2028" s="107"/>
      <c r="T2028" s="22"/>
      <c r="U2028" s="96">
        <f ca="1">(U2020/(N_9*U$27*U2022*0.667))*SQRT(M*'Valve Sizing'!$W$6*'Valve Sizing'!$G$8/U2029)</f>
        <v>17.480285627957194</v>
      </c>
      <c r="V2028" s="111"/>
      <c r="W2028" s="28"/>
      <c r="X2028" s="96">
        <f ca="1">(X2020/(N_9*X$27*X2022*0.667))*SQRT(M*'Valve Sizing'!$W$6*'Valve Sizing'!$G$8/X2029)</f>
        <v>44.141122418227503</v>
      </c>
      <c r="Y2028" s="111"/>
      <c r="Z2028" s="28"/>
      <c r="AA2028" s="96">
        <f ca="1">(AA2020/(N_9*AA$27*AA2022*0.667))*SQRT(M*'Valve Sizing'!$W$6*'Valve Sizing'!$G$8/AA2029)</f>
        <v>94.726620853894914</v>
      </c>
      <c r="AB2028" s="111"/>
      <c r="AC2028" s="28"/>
      <c r="AD2028" s="96">
        <f ca="1">(AD2020/(N_9*AD$27*AD2022*0.667))*SQRT(M*'Valve Sizing'!$W$6*'Valve Sizing'!$G$8/AD2029)</f>
        <v>208.36893116801843</v>
      </c>
      <c r="AE2028" s="111"/>
      <c r="AF2028" s="28"/>
      <c r="AG2028" s="96">
        <f ca="1">(AG2020/(N_9*AG$27*AG2022*0.667))*SQRT(M*'Valve Sizing'!$W$6*'Valve Sizing'!$G$8/AG2029)</f>
        <v>619.15831776135155</v>
      </c>
      <c r="AH2028" s="111"/>
      <c r="AI2028" s="28"/>
      <c r="AJ2028" s="96">
        <f ca="1">(AJ2020/(N_9*AJ$27*AJ2022*0.667))*SQRT(M*'Valve Sizing'!$W$6*'Valve Sizing'!$G$8/AJ2029)</f>
        <v>-2370.8331368375193</v>
      </c>
      <c r="AK2028" s="111"/>
      <c r="AL2028" s="28"/>
      <c r="AM2028" s="96">
        <f ca="1">(AM2020/(N_9*AM$27*AM2022*0.667))*SQRT(M*'Valve Sizing'!$W$6*'Valve Sizing'!$G$8/AM2029)</f>
        <v>-637.44918508734349</v>
      </c>
      <c r="AN2028" s="111"/>
      <c r="AO2028" s="28"/>
      <c r="AP2028" s="96">
        <f ca="1">(AP2020/(N_9*AP$27*AP2022*0.667))*SQRT(M*'Valve Sizing'!$W$6*'Valve Sizing'!$G$8/AP2029)</f>
        <v>-408.34436898848878</v>
      </c>
      <c r="AQ2028" s="111"/>
      <c r="AR2028" s="28"/>
      <c r="AS2028" s="96">
        <f ca="1">(AS2020/(N_9*AS$27*AS2022*0.667))*SQRT(M*'Valve Sizing'!$W$6*'Valve Sizing'!$G$8/AS2029)</f>
        <v>-481.38607807809416</v>
      </c>
      <c r="AT2028" s="111"/>
      <c r="AU2028" s="28"/>
    </row>
    <row r="2029" spans="15:47" ht="15.6" x14ac:dyDescent="0.35">
      <c r="O2029" s="2" t="s">
        <v>68</v>
      </c>
      <c r="P2029" s="143">
        <v>10</v>
      </c>
      <c r="Q2029" s="2"/>
      <c r="R2029" s="96">
        <f ca="1">F_GAMMA*R$29</f>
        <v>0.64002969751372984</v>
      </c>
      <c r="S2029" s="107"/>
      <c r="T2029" s="1"/>
      <c r="U2029" s="96">
        <f ca="1">F_GAMMA*U$29</f>
        <v>0.64017842058782071</v>
      </c>
      <c r="V2029" s="111"/>
      <c r="W2029" s="28"/>
      <c r="X2029" s="96">
        <f ca="1">F_GAMMA*X$29</f>
        <v>0.63413873724904268</v>
      </c>
      <c r="Y2029" s="111"/>
      <c r="Z2029" s="28"/>
      <c r="AA2029" s="96">
        <f ca="1">F_GAMMA*AA$29</f>
        <v>0.62532411750377137</v>
      </c>
      <c r="AB2029" s="111"/>
      <c r="AC2029" s="28"/>
      <c r="AD2029" s="96">
        <f ca="1">F_GAMMA*AD$29</f>
        <v>0.60651359509139569</v>
      </c>
      <c r="AE2029" s="111"/>
      <c r="AF2029" s="28"/>
      <c r="AG2029" s="96">
        <f ca="1">F_GAMMA*AG$29</f>
        <v>0.57217930198481592</v>
      </c>
      <c r="AH2029" s="111"/>
      <c r="AI2029" s="28"/>
      <c r="AJ2029" s="96">
        <f ca="1">F_GAMMA*AJ$29</f>
        <v>0.53183282018848232</v>
      </c>
      <c r="AK2029" s="111"/>
      <c r="AL2029" s="28"/>
      <c r="AM2029" s="96">
        <f ca="1">F_GAMMA*AM$29</f>
        <v>0.47566512503094399</v>
      </c>
      <c r="AN2029" s="111"/>
      <c r="AO2029" s="28"/>
      <c r="AP2029" s="96">
        <f ca="1">F_GAMMA*AP$29</f>
        <v>0.59054158265645496</v>
      </c>
      <c r="AQ2029" s="111"/>
      <c r="AR2029" s="28"/>
      <c r="AS2029" s="96">
        <f ca="1">F_GAMMA*AS$29</f>
        <v>0.3766899554102966</v>
      </c>
      <c r="AT2029" s="111"/>
      <c r="AU2029" s="28"/>
    </row>
    <row r="2030" spans="15:47" x14ac:dyDescent="0.25">
      <c r="O2030" s="2" t="s">
        <v>145</v>
      </c>
      <c r="P2030" s="12"/>
      <c r="Q2030" s="2"/>
      <c r="R2030" s="96">
        <f ca="1">IF(R2025&lt;R2029,R2027,R2028)</f>
        <v>2.1417000739066236</v>
      </c>
      <c r="S2030" s="116"/>
      <c r="T2030" s="1"/>
      <c r="U2030" s="96">
        <f ca="1">IF(U2025&lt;U2029,U2027,U2028)</f>
        <v>19.581365056544573</v>
      </c>
      <c r="V2030" s="111"/>
      <c r="W2030" s="28"/>
      <c r="X2030" s="96">
        <f ca="1">IF(X2025&lt;X2029,X2027,X2028)</f>
        <v>50.039001751223907</v>
      </c>
      <c r="Y2030" s="111"/>
      <c r="Z2030" s="28"/>
      <c r="AA2030" s="96">
        <f ca="1">IF(AA2025&lt;AA2029,AA2027,AA2028)</f>
        <v>114.4271460006273</v>
      </c>
      <c r="AB2030" s="111"/>
      <c r="AC2030" s="28"/>
      <c r="AD2030" s="96">
        <f ca="1">IF(AD2025&lt;AD2029,AD2027,AD2028)</f>
        <v>495.69707724790015</v>
      </c>
      <c r="AE2030" s="111"/>
      <c r="AF2030" s="28"/>
      <c r="AG2030" s="96" t="e">
        <f ca="1">IF(AG2025&lt;AG2029,AG2027,AG2028)</f>
        <v>#NUM!</v>
      </c>
      <c r="AH2030" s="111"/>
      <c r="AI2030" s="28"/>
      <c r="AJ2030" s="96">
        <f ca="1">IF(AJ2025&lt;AJ2029,AJ2027,AJ2028)</f>
        <v>-2370.8331368375193</v>
      </c>
      <c r="AK2030" s="111"/>
      <c r="AL2030" s="28"/>
      <c r="AM2030" s="96">
        <f ca="1">IF(AM2025&lt;AM2029,AM2027,AM2028)</f>
        <v>-637.44918508734349</v>
      </c>
      <c r="AN2030" s="111"/>
      <c r="AO2030" s="28"/>
      <c r="AP2030" s="96">
        <f ca="1">IF(AP2025&lt;AP2029,AP2027,AP2028)</f>
        <v>-408.34436898848878</v>
      </c>
      <c r="AQ2030" s="111"/>
      <c r="AR2030" s="28"/>
      <c r="AS2030" s="96">
        <f ca="1">IF(AS2025&lt;AS2029,AS2027,AS2028)</f>
        <v>-481.38607807809416</v>
      </c>
      <c r="AT2030" s="111"/>
      <c r="AU2030" s="28"/>
    </row>
    <row r="2031" spans="15:47" x14ac:dyDescent="0.25">
      <c r="O2031" s="13" t="s">
        <v>143</v>
      </c>
      <c r="P2031" s="1"/>
      <c r="Q2031" s="1"/>
      <c r="R2031" s="113"/>
      <c r="S2031" s="106">
        <f ca="1">IF(R2024&lt;=0,Q_max,ABS(R$23-R2030))</f>
        <v>2.5882999260933768</v>
      </c>
      <c r="T2031" s="7">
        <f>R2020</f>
        <v>5302.870894319718</v>
      </c>
      <c r="U2031" s="98"/>
      <c r="V2031" s="106">
        <f ca="1">IF(U2024&lt;=0,Q_max,ABS(U$23-U2030))</f>
        <v>7.9813650565445737</v>
      </c>
      <c r="W2031" s="9">
        <f ca="1">U2020</f>
        <v>48100.877734994363</v>
      </c>
      <c r="X2031" s="98"/>
      <c r="Y2031" s="106">
        <f ca="1">IF(X2024&lt;=0,Q_max,ABS(X$23-X2030))</f>
        <v>27.039001751223907</v>
      </c>
      <c r="Z2031" s="9">
        <f ca="1">X2020</f>
        <v>117781.38090117884</v>
      </c>
      <c r="AA2031" s="98"/>
      <c r="AB2031" s="106">
        <f ca="1">IF(AA2024&lt;=0,Q_max,ABS(AA$23-AA2030))</f>
        <v>75.027146000627312</v>
      </c>
      <c r="AC2031" s="9">
        <f ca="1">AA2020</f>
        <v>229408.06683824398</v>
      </c>
      <c r="AD2031" s="98"/>
      <c r="AE2031" s="106">
        <f ca="1">IF(AD2024&lt;=0,Q_max,ABS(AD$23-AD2030))</f>
        <v>434.69707724790015</v>
      </c>
      <c r="AF2031" s="9">
        <f ca="1">AD2020</f>
        <v>384875.37222875253</v>
      </c>
      <c r="AG2031" s="98"/>
      <c r="AH2031" s="106">
        <f ca="1">IF(AG2024&lt;=0,Q_max,ABS(AG$23-AG2030))</f>
        <v>236393</v>
      </c>
      <c r="AI2031" s="9">
        <f ca="1">AG2020</f>
        <v>561736.08828806668</v>
      </c>
      <c r="AJ2031" s="98"/>
      <c r="AK2031" s="106">
        <f ca="1">IF(AJ2024&lt;=0,Q_max,ABS(AJ$23-AJ2030))</f>
        <v>236393</v>
      </c>
      <c r="AL2031" s="9">
        <f ca="1">AJ2020</f>
        <v>749638.98742813885</v>
      </c>
      <c r="AM2031" s="98"/>
      <c r="AN2031" s="106">
        <f ca="1">IF(AM2024&lt;=0,Q_max,ABS(AM$23-AM2030))</f>
        <v>236393</v>
      </c>
      <c r="AO2031" s="9">
        <f ca="1">AM2020</f>
        <v>914702.02601649414</v>
      </c>
      <c r="AP2031" s="98"/>
      <c r="AQ2031" s="106">
        <f ca="1">IF(AP2024&lt;=0,Q_max,ABS(AP$23-AP2030))</f>
        <v>236393</v>
      </c>
      <c r="AR2031" s="9">
        <f ca="1">AP2020</f>
        <v>1061940.6556191905</v>
      </c>
      <c r="AS2031" s="98"/>
      <c r="AT2031" s="106">
        <f ca="1">IF(AS2024&lt;=0,Q_max,ABS(AS$23-AS2030))</f>
        <v>236393</v>
      </c>
      <c r="AU2031" s="9">
        <f ca="1">AS2020</f>
        <v>1245208.9349553345</v>
      </c>
    </row>
    <row r="2032" spans="15:47" x14ac:dyDescent="0.25">
      <c r="O2032" s="21"/>
      <c r="P2032" s="14"/>
      <c r="Q2032" s="21"/>
      <c r="R2032" s="97"/>
      <c r="S2032" s="106"/>
      <c r="T2032" s="28"/>
      <c r="U2032" s="99"/>
      <c r="V2032" s="110"/>
      <c r="W2032" s="25"/>
      <c r="X2032" s="99"/>
      <c r="Y2032" s="110"/>
      <c r="Z2032" s="25"/>
      <c r="AA2032" s="99"/>
      <c r="AB2032" s="110"/>
      <c r="AC2032" s="25"/>
      <c r="AD2032" s="99"/>
      <c r="AE2032" s="110"/>
      <c r="AF2032" s="25"/>
      <c r="AG2032" s="99"/>
      <c r="AH2032" s="110"/>
      <c r="AI2032" s="25"/>
      <c r="AJ2032" s="99"/>
      <c r="AK2032" s="110"/>
      <c r="AL2032" s="25"/>
      <c r="AM2032" s="99"/>
      <c r="AN2032" s="110"/>
      <c r="AO2032" s="25"/>
      <c r="AP2032" s="99"/>
      <c r="AQ2032" s="110"/>
      <c r="AR2032" s="25"/>
      <c r="AS2032" s="99"/>
      <c r="AT2032" s="110"/>
      <c r="AU2032" s="25"/>
    </row>
    <row r="2033" spans="15:47" x14ac:dyDescent="0.25">
      <c r="O2033" s="1"/>
      <c r="P2033" s="1"/>
      <c r="Q2033" s="1"/>
      <c r="R2033" s="98"/>
      <c r="S2033" s="108" t="s">
        <v>137</v>
      </c>
      <c r="T2033" s="26" t="s">
        <v>146</v>
      </c>
      <c r="U2033" s="98"/>
      <c r="V2033" s="108" t="s">
        <v>137</v>
      </c>
      <c r="W2033" s="26" t="s">
        <v>146</v>
      </c>
      <c r="X2033" s="98"/>
      <c r="Y2033" s="108" t="s">
        <v>137</v>
      </c>
      <c r="Z2033" s="26" t="s">
        <v>146</v>
      </c>
      <c r="AA2033" s="98"/>
      <c r="AB2033" s="108" t="s">
        <v>137</v>
      </c>
      <c r="AC2033" s="26" t="s">
        <v>146</v>
      </c>
      <c r="AD2033" s="98"/>
      <c r="AE2033" s="108" t="s">
        <v>137</v>
      </c>
      <c r="AF2033" s="26" t="s">
        <v>146</v>
      </c>
      <c r="AG2033" s="98"/>
      <c r="AH2033" s="108" t="s">
        <v>137</v>
      </c>
      <c r="AI2033" s="26" t="s">
        <v>146</v>
      </c>
      <c r="AJ2033" s="98"/>
      <c r="AK2033" s="108" t="s">
        <v>137</v>
      </c>
      <c r="AL2033" s="26" t="s">
        <v>146</v>
      </c>
      <c r="AM2033" s="98"/>
      <c r="AN2033" s="108" t="s">
        <v>137</v>
      </c>
      <c r="AO2033" s="26" t="s">
        <v>146</v>
      </c>
      <c r="AP2033" s="98"/>
      <c r="AQ2033" s="108" t="s">
        <v>137</v>
      </c>
      <c r="AR2033" s="26" t="s">
        <v>146</v>
      </c>
      <c r="AS2033" s="98"/>
      <c r="AT2033" s="108" t="s">
        <v>137</v>
      </c>
      <c r="AU2033" s="26" t="s">
        <v>146</v>
      </c>
    </row>
    <row r="2034" spans="15:47" ht="13.8" x14ac:dyDescent="0.25">
      <c r="O2034" s="20" t="s">
        <v>136</v>
      </c>
      <c r="P2034" s="1"/>
      <c r="Q2034" s="1"/>
      <c r="R2034" s="96">
        <f>R2020*1.02</f>
        <v>5408.9283122061124</v>
      </c>
      <c r="S2034" s="109" t="s">
        <v>144</v>
      </c>
      <c r="T2034" s="23" t="s">
        <v>147</v>
      </c>
      <c r="U2034" s="96">
        <f ca="1">U2020*1.01</f>
        <v>48581.88651234431</v>
      </c>
      <c r="V2034" s="109" t="s">
        <v>144</v>
      </c>
      <c r="W2034" s="23" t="s">
        <v>147</v>
      </c>
      <c r="X2034" s="96">
        <f ca="1">X2020*1.01</f>
        <v>118959.19471019063</v>
      </c>
      <c r="Y2034" s="109" t="s">
        <v>144</v>
      </c>
      <c r="Z2034" s="23" t="s">
        <v>147</v>
      </c>
      <c r="AA2034" s="96">
        <f ca="1">AA2020*1.01</f>
        <v>231702.14750662641</v>
      </c>
      <c r="AB2034" s="109" t="s">
        <v>144</v>
      </c>
      <c r="AC2034" s="23" t="s">
        <v>147</v>
      </c>
      <c r="AD2034" s="96">
        <f ca="1">AD2020*1.01</f>
        <v>388724.12595104007</v>
      </c>
      <c r="AE2034" s="109" t="s">
        <v>144</v>
      </c>
      <c r="AF2034" s="23" t="s">
        <v>147</v>
      </c>
      <c r="AG2034" s="96">
        <f ca="1">AG2020*1.01</f>
        <v>567353.44917094731</v>
      </c>
      <c r="AH2034" s="109" t="s">
        <v>144</v>
      </c>
      <c r="AI2034" s="23" t="s">
        <v>147</v>
      </c>
      <c r="AJ2034" s="96">
        <f ca="1">AJ2020*1.01</f>
        <v>757135.37730242021</v>
      </c>
      <c r="AK2034" s="109" t="s">
        <v>144</v>
      </c>
      <c r="AL2034" s="23" t="s">
        <v>147</v>
      </c>
      <c r="AM2034" s="96">
        <f ca="1">AM2020*1.01</f>
        <v>923849.04627665912</v>
      </c>
      <c r="AN2034" s="109" t="s">
        <v>144</v>
      </c>
      <c r="AO2034" s="23" t="s">
        <v>147</v>
      </c>
      <c r="AP2034" s="96">
        <f ca="1">AP2020*1.01</f>
        <v>1072560.0621753824</v>
      </c>
      <c r="AQ2034" s="109" t="s">
        <v>144</v>
      </c>
      <c r="AR2034" s="23" t="s">
        <v>147</v>
      </c>
      <c r="AS2034" s="96">
        <f ca="1">AS2020*1.01</f>
        <v>1257661.024304888</v>
      </c>
      <c r="AT2034" s="109" t="s">
        <v>144</v>
      </c>
      <c r="AU2034" s="23" t="s">
        <v>147</v>
      </c>
    </row>
    <row r="2035" spans="15:47" x14ac:dyDescent="0.25">
      <c r="O2035" s="1"/>
      <c r="P2035" s="1"/>
      <c r="Q2035" s="1"/>
      <c r="R2035" s="98"/>
      <c r="S2035" s="107"/>
      <c r="T2035" s="1"/>
      <c r="U2035" s="47"/>
      <c r="V2035" s="107"/>
      <c r="W2035" s="1"/>
      <c r="X2035" s="47"/>
      <c r="Y2035" s="107"/>
      <c r="Z2035" s="1"/>
      <c r="AA2035" s="47"/>
      <c r="AB2035" s="107"/>
      <c r="AC2035" s="1"/>
      <c r="AD2035" s="47"/>
      <c r="AE2035" s="107"/>
      <c r="AF2035" s="1"/>
      <c r="AG2035" s="47"/>
      <c r="AH2035" s="107"/>
      <c r="AI2035" s="1"/>
      <c r="AJ2035" s="47"/>
      <c r="AK2035" s="107"/>
      <c r="AL2035" s="1"/>
      <c r="AM2035" s="47"/>
      <c r="AN2035" s="107"/>
      <c r="AO2035" s="1"/>
      <c r="AP2035" s="47"/>
      <c r="AQ2035" s="107"/>
      <c r="AR2035" s="1"/>
      <c r="AS2035" s="47"/>
      <c r="AT2035" s="107"/>
      <c r="AU2035" s="1"/>
    </row>
    <row r="2036" spans="15:47" x14ac:dyDescent="0.25">
      <c r="O2036" s="8" t="s">
        <v>132</v>
      </c>
      <c r="P2036" s="8"/>
      <c r="Q2036" s="8"/>
      <c r="R2036" s="96">
        <f>P_1_minQ-(R2034^2*R_up)+dpup_minQ</f>
        <v>90.179708212907002</v>
      </c>
      <c r="S2036" s="106"/>
      <c r="T2036" s="22"/>
      <c r="U2036" s="96">
        <f ca="1">P_1_minQ-(U2034^2*R_up)+dpup_minQ</f>
        <v>89.754868382845871</v>
      </c>
      <c r="V2036" s="107"/>
      <c r="W2036" s="1"/>
      <c r="X2036" s="96">
        <f ca="1">P_1_minQ-(X2034^2*R_up)+dpup_minQ</f>
        <v>87.605813519073422</v>
      </c>
      <c r="Y2036" s="107"/>
      <c r="Z2036" s="1"/>
      <c r="AA2036" s="96">
        <f ca="1">P_1_minQ-(AA2034^2*R_up)+dpup_minQ</f>
        <v>80.400202182505865</v>
      </c>
      <c r="AB2036" s="107"/>
      <c r="AC2036" s="1"/>
      <c r="AD2036" s="96">
        <f ca="1">P_1_minQ-(AD2034^2*R_up)+dpup_minQ</f>
        <v>62.644241976367269</v>
      </c>
      <c r="AE2036" s="107"/>
      <c r="AF2036" s="1"/>
      <c r="AG2036" s="96">
        <f ca="1">P_1_minQ-(AG2034^2*R_up)+dpup_minQ</f>
        <v>31.51708743627723</v>
      </c>
      <c r="AH2036" s="107"/>
      <c r="AI2036" s="1"/>
      <c r="AJ2036" s="96">
        <f ca="1">P_1_minQ-(AJ2034^2*R_up)+dpup_minQ</f>
        <v>-14.296752134525734</v>
      </c>
      <c r="AK2036" s="107"/>
      <c r="AL2036" s="1"/>
      <c r="AM2036" s="96">
        <f ca="1">P_1_minQ-(AM2034^2*R_up)+dpup_minQ</f>
        <v>-65.374111388621117</v>
      </c>
      <c r="AN2036" s="107"/>
      <c r="AO2036" s="1"/>
      <c r="AP2036" s="96">
        <f ca="1">P_1_minQ-(AP2034^2*R_up)+dpup_minQ</f>
        <v>-119.48519365370908</v>
      </c>
      <c r="AQ2036" s="107"/>
      <c r="AR2036" s="1"/>
      <c r="AS2036" s="96">
        <f ca="1">P_1_minQ-(AS2034^2*R_up)+dpup_minQ</f>
        <v>-198.09909352641893</v>
      </c>
      <c r="AT2036" s="107"/>
      <c r="AU2036" s="1"/>
    </row>
    <row r="2037" spans="15:47" x14ac:dyDescent="0.25">
      <c r="O2037" s="8" t="s">
        <v>134</v>
      </c>
      <c r="P2037" s="1"/>
      <c r="Q2037" s="8"/>
      <c r="R2037" s="97">
        <f>P_2_minQ+(R2034^2*R_dn)-dpdn_minQ</f>
        <v>60</v>
      </c>
      <c r="S2037" s="106"/>
      <c r="T2037" s="22"/>
      <c r="U2037" s="97">
        <f ca="1">P_2_minQ+(U2034^2*R_dn)-dpdn_minQ</f>
        <v>60</v>
      </c>
      <c r="V2037" s="107"/>
      <c r="W2037" s="1"/>
      <c r="X2037" s="97">
        <f ca="1">P_2_minQ+(X2034^2*R_dn)-dpdn_minQ</f>
        <v>60</v>
      </c>
      <c r="Y2037" s="107"/>
      <c r="Z2037" s="1"/>
      <c r="AA2037" s="97">
        <f ca="1">P_2_minQ+(AA2034^2*R_dn)-dpdn_minQ</f>
        <v>60</v>
      </c>
      <c r="AB2037" s="107"/>
      <c r="AC2037" s="1"/>
      <c r="AD2037" s="97">
        <f ca="1">P_2_minQ+(AD2034^2*R_dn)-dpdn_minQ</f>
        <v>60</v>
      </c>
      <c r="AE2037" s="107"/>
      <c r="AF2037" s="1"/>
      <c r="AG2037" s="97">
        <f ca="1">P_2_minQ+(AG2034^2*R_dn)-dpdn_minQ</f>
        <v>60</v>
      </c>
      <c r="AH2037" s="107"/>
      <c r="AI2037" s="1"/>
      <c r="AJ2037" s="97">
        <f ca="1">P_2_minQ+(AJ2034^2*R_dn)-dpdn_minQ</f>
        <v>60</v>
      </c>
      <c r="AK2037" s="107"/>
      <c r="AL2037" s="1"/>
      <c r="AM2037" s="97">
        <f ca="1">P_2_minQ+(AM2034^2*R_dn)-dpdn_minQ</f>
        <v>60</v>
      </c>
      <c r="AN2037" s="107"/>
      <c r="AO2037" s="1"/>
      <c r="AP2037" s="97">
        <f ca="1">P_2_minQ+(AP2034^2*R_dn)-dpdn_minQ</f>
        <v>60</v>
      </c>
      <c r="AQ2037" s="107"/>
      <c r="AR2037" s="1"/>
      <c r="AS2037" s="97">
        <f ca="1">P_2_minQ+(AS2034^2*R_dn)-dpdn_minQ</f>
        <v>60</v>
      </c>
      <c r="AT2037" s="107"/>
      <c r="AU2037" s="1"/>
    </row>
    <row r="2038" spans="15:47" x14ac:dyDescent="0.25">
      <c r="O2038" s="8" t="s">
        <v>138</v>
      </c>
      <c r="P2038" s="1"/>
      <c r="Q2038" s="8"/>
      <c r="R2038" s="97">
        <f>R2036-R2037</f>
        <v>30.179708212907002</v>
      </c>
      <c r="S2038" s="106"/>
      <c r="T2038" s="22"/>
      <c r="U2038" s="97">
        <f ca="1">U2036-U2037</f>
        <v>29.754868382845871</v>
      </c>
      <c r="V2038" s="110"/>
      <c r="W2038" s="25"/>
      <c r="X2038" s="97">
        <f ca="1">X2036-X2037</f>
        <v>27.605813519073422</v>
      </c>
      <c r="Y2038" s="110"/>
      <c r="Z2038" s="25"/>
      <c r="AA2038" s="97">
        <f ca="1">AA2036-AA2037</f>
        <v>20.400202182505865</v>
      </c>
      <c r="AB2038" s="110"/>
      <c r="AC2038" s="25"/>
      <c r="AD2038" s="97">
        <f ca="1">AD2036-AD2037</f>
        <v>2.6442419763672689</v>
      </c>
      <c r="AE2038" s="110"/>
      <c r="AF2038" s="25"/>
      <c r="AG2038" s="97">
        <f ca="1">AG2036-AG2037</f>
        <v>-28.48291256372277</v>
      </c>
      <c r="AH2038" s="110"/>
      <c r="AI2038" s="25"/>
      <c r="AJ2038" s="97">
        <f ca="1">AJ2036-AJ2037</f>
        <v>-74.296752134525732</v>
      </c>
      <c r="AK2038" s="110"/>
      <c r="AL2038" s="25"/>
      <c r="AM2038" s="97">
        <f ca="1">AM2036-AM2037</f>
        <v>-125.37411138862112</v>
      </c>
      <c r="AN2038" s="110"/>
      <c r="AO2038" s="25"/>
      <c r="AP2038" s="97">
        <f ca="1">AP2036-AP2037</f>
        <v>-179.48519365370908</v>
      </c>
      <c r="AQ2038" s="110"/>
      <c r="AR2038" s="25"/>
      <c r="AS2038" s="97">
        <f ca="1">AS2036-AS2037</f>
        <v>-258.09909352641893</v>
      </c>
      <c r="AT2038" s="110"/>
      <c r="AU2038" s="25"/>
    </row>
    <row r="2039" spans="15:47" ht="14.4" x14ac:dyDescent="0.3">
      <c r="O2039" s="2" t="s">
        <v>140</v>
      </c>
      <c r="P2039" s="11"/>
      <c r="Q2039" s="2"/>
      <c r="R2039" s="96">
        <f>R2038/R2036</f>
        <v>0.33466185254952424</v>
      </c>
      <c r="S2039" s="106"/>
      <c r="T2039" s="22"/>
      <c r="U2039" s="96">
        <f ca="1">U2038/U2036</f>
        <v>0.33151258443082604</v>
      </c>
      <c r="V2039" s="111"/>
      <c r="W2039" s="28"/>
      <c r="X2039" s="96">
        <f ca="1">X2038/X2036</f>
        <v>0.31511394518427843</v>
      </c>
      <c r="Y2039" s="111"/>
      <c r="Z2039" s="28"/>
      <c r="AA2039" s="96">
        <f ca="1">AA2038/AA2036</f>
        <v>0.25373321992646319</v>
      </c>
      <c r="AB2039" s="111"/>
      <c r="AC2039" s="28"/>
      <c r="AD2039" s="96">
        <f ca="1">AD2038/AD2036</f>
        <v>4.2210455309920063E-2</v>
      </c>
      <c r="AE2039" s="111"/>
      <c r="AF2039" s="28"/>
      <c r="AG2039" s="96">
        <f ca="1">AG2038/AG2036</f>
        <v>-0.90372921106085391</v>
      </c>
      <c r="AH2039" s="111"/>
      <c r="AI2039" s="28"/>
      <c r="AJ2039" s="96">
        <f ca="1">AJ2038/AJ2036</f>
        <v>5.19675737785954</v>
      </c>
      <c r="AK2039" s="111"/>
      <c r="AL2039" s="28"/>
      <c r="AM2039" s="96">
        <f ca="1">AM2038/AM2036</f>
        <v>1.9177945019141549</v>
      </c>
      <c r="AN2039" s="111"/>
      <c r="AO2039" s="28"/>
      <c r="AP2039" s="96">
        <f ca="1">AP2038/AP2036</f>
        <v>1.5021542683681082</v>
      </c>
      <c r="AQ2039" s="111"/>
      <c r="AR2039" s="28"/>
      <c r="AS2039" s="96">
        <f ca="1">AS2038/AS2036</f>
        <v>1.3028787206035259</v>
      </c>
      <c r="AT2039" s="111"/>
      <c r="AU2039" s="28"/>
    </row>
    <row r="2040" spans="15:47" x14ac:dyDescent="0.25">
      <c r="O2040" s="2" t="s">
        <v>21</v>
      </c>
      <c r="P2040" s="8">
        <v>12</v>
      </c>
      <c r="Q2040" s="2"/>
      <c r="R2040" s="96">
        <f ca="1">1-R2039/(3*F_GAMMA*R$29)</f>
        <v>0.8257050394955332</v>
      </c>
      <c r="S2040" s="106"/>
      <c r="T2040" s="22"/>
      <c r="U2040" s="96">
        <f ca="1">1-U2039/(3*F_GAMMA*U$29)</f>
        <v>0.82738531750444055</v>
      </c>
      <c r="V2040" s="111"/>
      <c r="W2040" s="28"/>
      <c r="X2040" s="96">
        <f ca="1">1-X2039/(3*F_GAMMA*X$29)</f>
        <v>0.83436119644140005</v>
      </c>
      <c r="Y2040" s="111"/>
      <c r="Z2040" s="28"/>
      <c r="AA2040" s="96">
        <f ca="1">1-AA2039/(3*F_GAMMA*AA$29)</f>
        <v>0.8647457572672661</v>
      </c>
      <c r="AB2040" s="111"/>
      <c r="AC2040" s="28"/>
      <c r="AD2040" s="96">
        <f ca="1">1-AD2039/(3*F_GAMMA*AD$29)</f>
        <v>0.97680158881211376</v>
      </c>
      <c r="AE2040" s="111"/>
      <c r="AF2040" s="28"/>
      <c r="AG2040" s="96">
        <f ca="1">1-AG2039/(3*F_GAMMA*AG$29)</f>
        <v>1.526483690180062</v>
      </c>
      <c r="AH2040" s="111"/>
      <c r="AI2040" s="28"/>
      <c r="AJ2040" s="96">
        <f ca="1">1-AJ2039/(3*F_GAMMA*AJ$29)</f>
        <v>-2.2571371933620052</v>
      </c>
      <c r="AK2040" s="111"/>
      <c r="AL2040" s="28"/>
      <c r="AM2040" s="96">
        <f ca="1">1-AM2039/(3*F_GAMMA*AM$29)</f>
        <v>-0.3439388349730248</v>
      </c>
      <c r="AN2040" s="111"/>
      <c r="AO2040" s="28"/>
      <c r="AP2040" s="96">
        <f ca="1">1-AP2039/(3*F_GAMMA*AP$29)</f>
        <v>0.15210358734834983</v>
      </c>
      <c r="AQ2040" s="111"/>
      <c r="AR2040" s="28"/>
      <c r="AS2040" s="96">
        <f ca="1">1-AS2039/(3*F_GAMMA*AS$29)</f>
        <v>-0.15291873497078856</v>
      </c>
      <c r="AT2040" s="111"/>
      <c r="AU2040" s="28"/>
    </row>
    <row r="2041" spans="15:47" x14ac:dyDescent="0.25">
      <c r="O2041" s="2" t="s">
        <v>57</v>
      </c>
      <c r="P2041" s="143">
        <v>7</v>
      </c>
      <c r="Q2041" s="2"/>
      <c r="R2041" s="96">
        <f ca="1">(R2034/(N_9*R$27*R2036*R2040))*SQRT(M*'Valve Sizing'!$W$6*'Valve Sizing'!$G$8/R2039)</f>
        <v>2.1845419723072221</v>
      </c>
      <c r="S2041" s="107"/>
      <c r="T2041" s="22"/>
      <c r="U2041" s="96">
        <f ca="1">(U2034/(N_9*U$27*U2036*U2040))*SQRT(M*'Valve Sizing'!$W$6*'Valve Sizing'!$G$8/U2039)</f>
        <v>19.780143569559591</v>
      </c>
      <c r="V2041" s="111"/>
      <c r="W2041" s="28"/>
      <c r="X2041" s="96">
        <f ca="1">(X2034/(N_9*X$27*X2036*X2040))*SQRT(M*'Valve Sizing'!$W$6*'Valve Sizing'!$G$8/X2039)</f>
        <v>50.587903005730062</v>
      </c>
      <c r="Y2041" s="111"/>
      <c r="Z2041" s="28"/>
      <c r="AA2041" s="96">
        <f ca="1">(AA2034/(N_9*AA$27*AA2036*AA2040))*SQRT(M*'Valve Sizing'!$W$6*'Valve Sizing'!$G$8/AA2039)</f>
        <v>116.127460802334</v>
      </c>
      <c r="AB2041" s="111"/>
      <c r="AC2041" s="28"/>
      <c r="AD2041" s="96">
        <f ca="1">(AD2034/(N_9*AD$27*AD2036*AD2040))*SQRT(M*'Valve Sizing'!$W$6*'Valve Sizing'!$G$8/AD2039)</f>
        <v>549.45228983424659</v>
      </c>
      <c r="AE2041" s="111"/>
      <c r="AF2041" s="28"/>
      <c r="AG2041" s="96" t="e">
        <f ca="1">(AG2034/(N_9*AG$27*AG2036*AG2040))*SQRT(M*'Valve Sizing'!$W$6*'Valve Sizing'!$G$8/AG2039)</f>
        <v>#NUM!</v>
      </c>
      <c r="AH2041" s="111"/>
      <c r="AI2041" s="28"/>
      <c r="AJ2041" s="96">
        <f ca="1">(AJ2034/(N_9*AJ$27*AJ2036*AJ2040))*SQRT(M*'Valve Sizing'!$W$6*'Valve Sizing'!$G$8/AJ2039)</f>
        <v>193.7699165923845</v>
      </c>
      <c r="AK2041" s="111"/>
      <c r="AL2041" s="28"/>
      <c r="AM2041" s="96">
        <f ca="1">(AM2034/(N_9*AM$27*AM2036*AM2040))*SQRT(M*'Valve Sizing'!$W$6*'Valve Sizing'!$G$8/AM2039)</f>
        <v>592.66057347049286</v>
      </c>
      <c r="AN2041" s="111"/>
      <c r="AO2041" s="28"/>
      <c r="AP2041" s="96">
        <f ca="1">(AP2034/(N_9*AP$27*AP2036*AP2040))*SQRT(M*'Valve Sizing'!$W$6*'Valve Sizing'!$G$8/AP2039)</f>
        <v>-1094.7635818076417</v>
      </c>
      <c r="AQ2041" s="111"/>
      <c r="AR2041" s="28"/>
      <c r="AS2041" s="96">
        <f ca="1">(AS2034/(N_9*AS$27*AS2036*AS2040))*SQRT(M*'Valve Sizing'!$W$6*'Valve Sizing'!$G$8/AS2039)</f>
        <v>1107.6051809502974</v>
      </c>
      <c r="AT2041" s="111"/>
      <c r="AU2041" s="28"/>
    </row>
    <row r="2042" spans="15:47" x14ac:dyDescent="0.25">
      <c r="O2042" s="2" t="s">
        <v>59</v>
      </c>
      <c r="P2042" s="143">
        <v>7</v>
      </c>
      <c r="Q2042" s="2"/>
      <c r="R2042" s="96">
        <f ca="1">(R2034/(N_9*R$27*R2036*0.667))*SQRT(M*'Valve Sizing'!$W$6*'Valve Sizing'!$G$8/R2043)</f>
        <v>1.9555212388101844</v>
      </c>
      <c r="S2042" s="107"/>
      <c r="T2042" s="22"/>
      <c r="U2042" s="96">
        <f ca="1">(U2034/(N_9*U$27*U2036*0.667))*SQRT(M*'Valve Sizing'!$W$6*'Valve Sizing'!$G$8/U2043)</f>
        <v>17.656755760170597</v>
      </c>
      <c r="V2042" s="111"/>
      <c r="W2042" s="28"/>
      <c r="X2042" s="96">
        <f ca="1">(X2034/(N_9*X$27*X2036*0.667))*SQRT(M*'Valve Sizing'!$W$6*'Valve Sizing'!$G$8/X2043)</f>
        <v>44.608396392141906</v>
      </c>
      <c r="Y2042" s="111"/>
      <c r="Z2042" s="28"/>
      <c r="AA2042" s="96">
        <f ca="1">(AA2034/(N_9*AA$27*AA2036*0.667))*SQRT(M*'Valve Sizing'!$W$6*'Valve Sizing'!$G$8/AA2043)</f>
        <v>95.903313384573906</v>
      </c>
      <c r="AB2042" s="111"/>
      <c r="AC2042" s="28"/>
      <c r="AD2042" s="96">
        <f ca="1">(AD2034/(N_9*AD$27*AD2036*0.667))*SQRT(M*'Valve Sizing'!$W$6*'Valve Sizing'!$G$8/AD2043)</f>
        <v>212.27568910840819</v>
      </c>
      <c r="AE2042" s="111"/>
      <c r="AF2042" s="28"/>
      <c r="AG2042" s="96">
        <f ca="1">(AG2034/(N_9*AG$27*AG2036*0.667))*SQRT(M*'Valve Sizing'!$W$6*'Valve Sizing'!$G$8/AG2043)</f>
        <v>648.28661786532132</v>
      </c>
      <c r="AH2042" s="111"/>
      <c r="AI2042" s="28"/>
      <c r="AJ2042" s="96">
        <f ca="1">(AJ2034/(N_9*AJ$27*AJ2036*0.667))*SQRT(M*'Valve Sizing'!$W$6*'Valve Sizing'!$G$8/AJ2043)</f>
        <v>-2049.7322244532143</v>
      </c>
      <c r="AK2042" s="111"/>
      <c r="AL2042" s="28"/>
      <c r="AM2042" s="96">
        <f ca="1">(AM2034/(N_9*AM$27*AM2036*0.667))*SQRT(M*'Valve Sizing'!$W$6*'Valve Sizing'!$G$8/AM2043)</f>
        <v>-613.63736733715871</v>
      </c>
      <c r="AN2042" s="111"/>
      <c r="AO2042" s="28"/>
      <c r="AP2042" s="96">
        <f ca="1">(AP2034/(N_9*AP$27*AP2036*0.667))*SQRT(M*'Valve Sizing'!$W$6*'Valve Sizing'!$G$8/AP2043)</f>
        <v>-398.16766762290285</v>
      </c>
      <c r="AQ2042" s="111"/>
      <c r="AR2042" s="28"/>
      <c r="AS2042" s="96">
        <f ca="1">(AS2034/(N_9*AS$27*AS2036*0.667))*SQRT(M*'Valve Sizing'!$W$6*'Valve Sizing'!$G$8/AS2043)</f>
        <v>-472.25853645650653</v>
      </c>
      <c r="AT2042" s="111"/>
      <c r="AU2042" s="28"/>
    </row>
    <row r="2043" spans="15:47" ht="15.6" x14ac:dyDescent="0.35">
      <c r="O2043" s="2" t="s">
        <v>68</v>
      </c>
      <c r="P2043" s="143">
        <v>10</v>
      </c>
      <c r="Q2043" s="2"/>
      <c r="R2043" s="96">
        <f ca="1">F_GAMMA*R$29</f>
        <v>0.64002969751372984</v>
      </c>
      <c r="S2043" s="107"/>
      <c r="T2043" s="1"/>
      <c r="U2043" s="96">
        <f ca="1">F_GAMMA*U$29</f>
        <v>0.64017842058782071</v>
      </c>
      <c r="V2043" s="111"/>
      <c r="W2043" s="28"/>
      <c r="X2043" s="96">
        <f ca="1">F_GAMMA*X$29</f>
        <v>0.63413873724904268</v>
      </c>
      <c r="Y2043" s="111"/>
      <c r="Z2043" s="28"/>
      <c r="AA2043" s="96">
        <f ca="1">F_GAMMA*AA$29</f>
        <v>0.62532411750377137</v>
      </c>
      <c r="AB2043" s="111"/>
      <c r="AC2043" s="28"/>
      <c r="AD2043" s="96">
        <f ca="1">F_GAMMA*AD$29</f>
        <v>0.60651359509139569</v>
      </c>
      <c r="AE2043" s="111"/>
      <c r="AF2043" s="28"/>
      <c r="AG2043" s="96">
        <f ca="1">F_GAMMA*AG$29</f>
        <v>0.57217930198481592</v>
      </c>
      <c r="AH2043" s="111"/>
      <c r="AI2043" s="28"/>
      <c r="AJ2043" s="96">
        <f ca="1">F_GAMMA*AJ$29</f>
        <v>0.53183282018848232</v>
      </c>
      <c r="AK2043" s="111"/>
      <c r="AL2043" s="28"/>
      <c r="AM2043" s="96">
        <f ca="1">F_GAMMA*AM$29</f>
        <v>0.47566512503094399</v>
      </c>
      <c r="AN2043" s="111"/>
      <c r="AO2043" s="28"/>
      <c r="AP2043" s="96">
        <f ca="1">F_GAMMA*AP$29</f>
        <v>0.59054158265645496</v>
      </c>
      <c r="AQ2043" s="111"/>
      <c r="AR2043" s="28"/>
      <c r="AS2043" s="96">
        <f ca="1">F_GAMMA*AS$29</f>
        <v>0.3766899554102966</v>
      </c>
      <c r="AT2043" s="111"/>
      <c r="AU2043" s="28"/>
    </row>
    <row r="2044" spans="15:47" x14ac:dyDescent="0.25">
      <c r="O2044" s="2" t="s">
        <v>145</v>
      </c>
      <c r="P2044" s="12"/>
      <c r="Q2044" s="2"/>
      <c r="R2044" s="96">
        <f ca="1">IF(R2039&lt;R2043,R2041,R2042)</f>
        <v>2.1845419723072221</v>
      </c>
      <c r="S2044" s="116"/>
      <c r="T2044" s="1"/>
      <c r="U2044" s="96">
        <f ca="1">IF(U2039&lt;U2043,U2041,U2042)</f>
        <v>19.780143569559591</v>
      </c>
      <c r="V2044" s="111"/>
      <c r="W2044" s="28"/>
      <c r="X2044" s="96">
        <f ca="1">IF(X2039&lt;X2043,X2041,X2042)</f>
        <v>50.587903005730062</v>
      </c>
      <c r="Y2044" s="111"/>
      <c r="Z2044" s="28"/>
      <c r="AA2044" s="96">
        <f ca="1">IF(AA2039&lt;AA2043,AA2041,AA2042)</f>
        <v>116.127460802334</v>
      </c>
      <c r="AB2044" s="111"/>
      <c r="AC2044" s="28"/>
      <c r="AD2044" s="96">
        <f ca="1">IF(AD2039&lt;AD2043,AD2041,AD2042)</f>
        <v>549.45228983424659</v>
      </c>
      <c r="AE2044" s="111"/>
      <c r="AF2044" s="28"/>
      <c r="AG2044" s="96" t="e">
        <f ca="1">IF(AG2039&lt;AG2043,AG2041,AG2042)</f>
        <v>#NUM!</v>
      </c>
      <c r="AH2044" s="111"/>
      <c r="AI2044" s="28"/>
      <c r="AJ2044" s="96">
        <f ca="1">IF(AJ2039&lt;AJ2043,AJ2041,AJ2042)</f>
        <v>-2049.7322244532143</v>
      </c>
      <c r="AK2044" s="111"/>
      <c r="AL2044" s="28"/>
      <c r="AM2044" s="96">
        <f ca="1">IF(AM2039&lt;AM2043,AM2041,AM2042)</f>
        <v>-613.63736733715871</v>
      </c>
      <c r="AN2044" s="111"/>
      <c r="AO2044" s="28"/>
      <c r="AP2044" s="96">
        <f ca="1">IF(AP2039&lt;AP2043,AP2041,AP2042)</f>
        <v>-398.16766762290285</v>
      </c>
      <c r="AQ2044" s="111"/>
      <c r="AR2044" s="28"/>
      <c r="AS2044" s="96">
        <f ca="1">IF(AS2039&lt;AS2043,AS2041,AS2042)</f>
        <v>-472.25853645650653</v>
      </c>
      <c r="AT2044" s="111"/>
      <c r="AU2044" s="28"/>
    </row>
    <row r="2045" spans="15:47" x14ac:dyDescent="0.25">
      <c r="O2045" s="13" t="s">
        <v>143</v>
      </c>
      <c r="P2045" s="1"/>
      <c r="Q2045" s="1"/>
      <c r="R2045" s="113"/>
      <c r="S2045" s="106">
        <f ca="1">IF(R2038&lt;=0,Q_max,ABS(R$23-R2044))</f>
        <v>2.5454580276927783</v>
      </c>
      <c r="T2045" s="7">
        <f>R2034</f>
        <v>5408.9283122061124</v>
      </c>
      <c r="U2045" s="98"/>
      <c r="V2045" s="106">
        <f ca="1">IF(U2038&lt;=0,Q_max,ABS(U$23-U2044))</f>
        <v>8.1801435695595917</v>
      </c>
      <c r="W2045" s="9">
        <f ca="1">U2034</f>
        <v>48581.88651234431</v>
      </c>
      <c r="X2045" s="98"/>
      <c r="Y2045" s="106">
        <f ca="1">IF(X2038&lt;=0,Q_max,ABS(X$23-X2044))</f>
        <v>27.587903005730062</v>
      </c>
      <c r="Z2045" s="9">
        <f ca="1">X2034</f>
        <v>118959.19471019063</v>
      </c>
      <c r="AA2045" s="98"/>
      <c r="AB2045" s="106">
        <f ca="1">IF(AA2038&lt;=0,Q_max,ABS(AA$23-AA2044))</f>
        <v>76.727460802334008</v>
      </c>
      <c r="AC2045" s="9">
        <f ca="1">AA2034</f>
        <v>231702.14750662641</v>
      </c>
      <c r="AD2045" s="98"/>
      <c r="AE2045" s="106">
        <f ca="1">IF(AD2038&lt;=0,Q_max,ABS(AD$23-AD2044))</f>
        <v>488.45228983424659</v>
      </c>
      <c r="AF2045" s="9">
        <f ca="1">AD2034</f>
        <v>388724.12595104007</v>
      </c>
      <c r="AG2045" s="98"/>
      <c r="AH2045" s="106">
        <f ca="1">IF(AG2038&lt;=0,Q_max,ABS(AG$23-AG2044))</f>
        <v>236393</v>
      </c>
      <c r="AI2045" s="9">
        <f ca="1">AG2034</f>
        <v>567353.44917094731</v>
      </c>
      <c r="AJ2045" s="98"/>
      <c r="AK2045" s="106">
        <f ca="1">IF(AJ2038&lt;=0,Q_max,ABS(AJ$23-AJ2044))</f>
        <v>236393</v>
      </c>
      <c r="AL2045" s="9">
        <f ca="1">AJ2034</f>
        <v>757135.37730242021</v>
      </c>
      <c r="AM2045" s="98"/>
      <c r="AN2045" s="106">
        <f ca="1">IF(AM2038&lt;=0,Q_max,ABS(AM$23-AM2044))</f>
        <v>236393</v>
      </c>
      <c r="AO2045" s="9">
        <f ca="1">AM2034</f>
        <v>923849.04627665912</v>
      </c>
      <c r="AP2045" s="98"/>
      <c r="AQ2045" s="106">
        <f ca="1">IF(AP2038&lt;=0,Q_max,ABS(AP$23-AP2044))</f>
        <v>236393</v>
      </c>
      <c r="AR2045" s="9">
        <f ca="1">AP2034</f>
        <v>1072560.0621753824</v>
      </c>
      <c r="AS2045" s="98"/>
      <c r="AT2045" s="106">
        <f ca="1">IF(AS2038&lt;=0,Q_max,ABS(AS$23-AS2044))</f>
        <v>236393</v>
      </c>
      <c r="AU2045" s="9">
        <f ca="1">AS2034</f>
        <v>1257661.024304888</v>
      </c>
    </row>
    <row r="2046" spans="15:47" x14ac:dyDescent="0.25">
      <c r="O2046" s="21"/>
      <c r="P2046" s="14"/>
      <c r="Q2046" s="21"/>
      <c r="R2046" s="97"/>
      <c r="S2046" s="106"/>
      <c r="T2046" s="28"/>
      <c r="U2046" s="97"/>
      <c r="V2046" s="111"/>
      <c r="W2046" s="28"/>
      <c r="X2046" s="97"/>
      <c r="Y2046" s="111"/>
      <c r="Z2046" s="28"/>
      <c r="AA2046" s="97"/>
      <c r="AB2046" s="111"/>
      <c r="AC2046" s="28"/>
      <c r="AD2046" s="97"/>
      <c r="AE2046" s="111"/>
      <c r="AF2046" s="28"/>
      <c r="AG2046" s="97"/>
      <c r="AH2046" s="111"/>
      <c r="AI2046" s="28"/>
      <c r="AJ2046" s="97"/>
      <c r="AK2046" s="111"/>
      <c r="AL2046" s="28"/>
      <c r="AM2046" s="97"/>
      <c r="AN2046" s="111"/>
      <c r="AO2046" s="28"/>
      <c r="AP2046" s="97"/>
      <c r="AQ2046" s="111"/>
      <c r="AR2046" s="28"/>
      <c r="AS2046" s="97"/>
      <c r="AT2046" s="111"/>
      <c r="AU2046" s="28"/>
    </row>
    <row r="2047" spans="15:47" x14ac:dyDescent="0.25">
      <c r="O2047" s="1"/>
      <c r="P2047" s="1"/>
      <c r="Q2047" s="1"/>
      <c r="R2047" s="98"/>
      <c r="S2047" s="108" t="s">
        <v>137</v>
      </c>
      <c r="T2047" s="26" t="s">
        <v>146</v>
      </c>
      <c r="U2047" s="98"/>
      <c r="V2047" s="108" t="s">
        <v>137</v>
      </c>
      <c r="W2047" s="26" t="s">
        <v>146</v>
      </c>
      <c r="X2047" s="98"/>
      <c r="Y2047" s="108" t="s">
        <v>137</v>
      </c>
      <c r="Z2047" s="26" t="s">
        <v>146</v>
      </c>
      <c r="AA2047" s="98"/>
      <c r="AB2047" s="108" t="s">
        <v>137</v>
      </c>
      <c r="AC2047" s="26" t="s">
        <v>146</v>
      </c>
      <c r="AD2047" s="98"/>
      <c r="AE2047" s="108" t="s">
        <v>137</v>
      </c>
      <c r="AF2047" s="26" t="s">
        <v>146</v>
      </c>
      <c r="AG2047" s="98"/>
      <c r="AH2047" s="108" t="s">
        <v>137</v>
      </c>
      <c r="AI2047" s="26" t="s">
        <v>146</v>
      </c>
      <c r="AJ2047" s="98"/>
      <c r="AK2047" s="108" t="s">
        <v>137</v>
      </c>
      <c r="AL2047" s="26" t="s">
        <v>146</v>
      </c>
      <c r="AM2047" s="98"/>
      <c r="AN2047" s="108" t="s">
        <v>137</v>
      </c>
      <c r="AO2047" s="26" t="s">
        <v>146</v>
      </c>
      <c r="AP2047" s="98"/>
      <c r="AQ2047" s="108" t="s">
        <v>137</v>
      </c>
      <c r="AR2047" s="26" t="s">
        <v>146</v>
      </c>
      <c r="AS2047" s="98"/>
      <c r="AT2047" s="108" t="s">
        <v>137</v>
      </c>
      <c r="AU2047" s="26" t="s">
        <v>146</v>
      </c>
    </row>
    <row r="2048" spans="15:47" ht="13.8" x14ac:dyDescent="0.25">
      <c r="O2048" s="20" t="s">
        <v>136</v>
      </c>
      <c r="P2048" s="1"/>
      <c r="Q2048" s="1"/>
      <c r="R2048" s="96">
        <f>R2034*1.02</f>
        <v>5517.1068784502349</v>
      </c>
      <c r="S2048" s="109" t="s">
        <v>144</v>
      </c>
      <c r="T2048" s="23" t="s">
        <v>147</v>
      </c>
      <c r="U2048" s="96">
        <f ca="1">U2034*1.01</f>
        <v>49067.705377467755</v>
      </c>
      <c r="V2048" s="109" t="s">
        <v>144</v>
      </c>
      <c r="W2048" s="23" t="s">
        <v>147</v>
      </c>
      <c r="X2048" s="96">
        <f ca="1">X2034*1.01</f>
        <v>120148.78665729253</v>
      </c>
      <c r="Y2048" s="109" t="s">
        <v>144</v>
      </c>
      <c r="Z2048" s="23" t="s">
        <v>147</v>
      </c>
      <c r="AA2048" s="96">
        <f ca="1">AA2034*1.01</f>
        <v>234019.16898169267</v>
      </c>
      <c r="AB2048" s="109" t="s">
        <v>144</v>
      </c>
      <c r="AC2048" s="23" t="s">
        <v>147</v>
      </c>
      <c r="AD2048" s="96">
        <f ca="1">AD2034*1.01</f>
        <v>392611.36721055047</v>
      </c>
      <c r="AE2048" s="109" t="s">
        <v>144</v>
      </c>
      <c r="AF2048" s="23" t="s">
        <v>147</v>
      </c>
      <c r="AG2048" s="96">
        <f ca="1">AG2034*1.01</f>
        <v>573026.98366265674</v>
      </c>
      <c r="AH2048" s="109" t="s">
        <v>144</v>
      </c>
      <c r="AI2048" s="23" t="s">
        <v>147</v>
      </c>
      <c r="AJ2048" s="96">
        <f ca="1">AJ2034*1.01</f>
        <v>764706.73107544438</v>
      </c>
      <c r="AK2048" s="109" t="s">
        <v>144</v>
      </c>
      <c r="AL2048" s="23" t="s">
        <v>147</v>
      </c>
      <c r="AM2048" s="96">
        <f ca="1">AM2034*1.01</f>
        <v>933087.53673942573</v>
      </c>
      <c r="AN2048" s="109" t="s">
        <v>144</v>
      </c>
      <c r="AO2048" s="23" t="s">
        <v>147</v>
      </c>
      <c r="AP2048" s="96">
        <f ca="1">AP2034*1.01</f>
        <v>1083285.6627971362</v>
      </c>
      <c r="AQ2048" s="109" t="s">
        <v>144</v>
      </c>
      <c r="AR2048" s="23" t="s">
        <v>147</v>
      </c>
      <c r="AS2048" s="96">
        <f ca="1">AS2034*1.01</f>
        <v>1270237.634547937</v>
      </c>
      <c r="AT2048" s="109" t="s">
        <v>144</v>
      </c>
      <c r="AU2048" s="23" t="s">
        <v>147</v>
      </c>
    </row>
    <row r="2049" spans="15:47" x14ac:dyDescent="0.25">
      <c r="O2049" s="1"/>
      <c r="P2049" s="1"/>
      <c r="Q2049" s="1"/>
      <c r="R2049" s="98"/>
      <c r="S2049" s="107"/>
      <c r="T2049" s="1"/>
      <c r="U2049" s="47"/>
      <c r="V2049" s="107"/>
      <c r="W2049" s="1"/>
      <c r="X2049" s="47"/>
      <c r="Y2049" s="107"/>
      <c r="Z2049" s="1"/>
      <c r="AA2049" s="47"/>
      <c r="AB2049" s="107"/>
      <c r="AC2049" s="1"/>
      <c r="AD2049" s="47"/>
      <c r="AE2049" s="107"/>
      <c r="AF2049" s="1"/>
      <c r="AG2049" s="47"/>
      <c r="AH2049" s="107"/>
      <c r="AI2049" s="1"/>
      <c r="AJ2049" s="47"/>
      <c r="AK2049" s="107"/>
      <c r="AL2049" s="1"/>
      <c r="AM2049" s="47"/>
      <c r="AN2049" s="107"/>
      <c r="AO2049" s="1"/>
      <c r="AP2049" s="47"/>
      <c r="AQ2049" s="107"/>
      <c r="AR2049" s="1"/>
      <c r="AS2049" s="47"/>
      <c r="AT2049" s="107"/>
      <c r="AU2049" s="1"/>
    </row>
    <row r="2050" spans="15:47" x14ac:dyDescent="0.25">
      <c r="O2050" s="8" t="s">
        <v>132</v>
      </c>
      <c r="P2050" s="8"/>
      <c r="Q2050" s="8"/>
      <c r="R2050" s="96">
        <f>P_1_minQ-(R2048^2*R_up)+dpup_minQ</f>
        <v>90.179492787286122</v>
      </c>
      <c r="S2050" s="106"/>
      <c r="T2050" s="22"/>
      <c r="U2050" s="96">
        <f ca="1">P_1_minQ-(U2048^2*R_up)+dpup_minQ</f>
        <v>89.746221922682935</v>
      </c>
      <c r="V2050" s="107"/>
      <c r="W2050" s="1"/>
      <c r="X2050" s="96">
        <f ca="1">P_1_minQ-(X2048^2*R_up)+dpup_minQ</f>
        <v>87.553971056148654</v>
      </c>
      <c r="Y2050" s="107"/>
      <c r="Z2050" s="1"/>
      <c r="AA2050" s="96">
        <f ca="1">P_1_minQ-(AA2048^2*R_up)+dpup_minQ</f>
        <v>80.203526931716098</v>
      </c>
      <c r="AB2050" s="107"/>
      <c r="AC2050" s="1"/>
      <c r="AD2050" s="96">
        <f ca="1">P_1_minQ-(AD2048^2*R_up)+dpup_minQ</f>
        <v>62.090671925434108</v>
      </c>
      <c r="AE2050" s="107"/>
      <c r="AF2050" s="1"/>
      <c r="AG2050" s="96">
        <f ca="1">P_1_minQ-(AG2048^2*R_up)+dpup_minQ</f>
        <v>30.337861579088269</v>
      </c>
      <c r="AH2050" s="107"/>
      <c r="AI2050" s="1"/>
      <c r="AJ2050" s="96">
        <f ca="1">P_1_minQ-(AJ2048^2*R_up)+dpup_minQ</f>
        <v>-16.396836167087827</v>
      </c>
      <c r="AK2050" s="107"/>
      <c r="AL2050" s="1"/>
      <c r="AM2050" s="96">
        <f ca="1">P_1_minQ-(AM2048^2*R_up)+dpup_minQ</f>
        <v>-68.500850342190546</v>
      </c>
      <c r="AN2050" s="107"/>
      <c r="AO2050" s="1"/>
      <c r="AP2050" s="96">
        <f ca="1">P_1_minQ-(AP2048^2*R_up)+dpup_minQ</f>
        <v>-123.69956536080679</v>
      </c>
      <c r="AQ2050" s="107"/>
      <c r="AR2050" s="1"/>
      <c r="AS2050" s="96">
        <f ca="1">P_1_minQ-(AS2048^2*R_up)+dpup_minQ</f>
        <v>-203.89360462095811</v>
      </c>
      <c r="AT2050" s="107"/>
      <c r="AU2050" s="1"/>
    </row>
    <row r="2051" spans="15:47" x14ac:dyDescent="0.25">
      <c r="O2051" s="8" t="s">
        <v>134</v>
      </c>
      <c r="P2051" s="1"/>
      <c r="Q2051" s="8"/>
      <c r="R2051" s="97">
        <f>P_2_minQ+(R2048^2*R_dn)-dpdn_minQ</f>
        <v>60</v>
      </c>
      <c r="S2051" s="106"/>
      <c r="T2051" s="22"/>
      <c r="U2051" s="97">
        <f ca="1">P_2_minQ+(U2048^2*R_dn)-dpdn_minQ</f>
        <v>60</v>
      </c>
      <c r="V2051" s="107"/>
      <c r="W2051" s="1"/>
      <c r="X2051" s="97">
        <f ca="1">P_2_minQ+(X2048^2*R_dn)-dpdn_minQ</f>
        <v>60</v>
      </c>
      <c r="Y2051" s="107"/>
      <c r="Z2051" s="1"/>
      <c r="AA2051" s="97">
        <f ca="1">P_2_minQ+(AA2048^2*R_dn)-dpdn_minQ</f>
        <v>60</v>
      </c>
      <c r="AB2051" s="107"/>
      <c r="AC2051" s="1"/>
      <c r="AD2051" s="97">
        <f ca="1">P_2_minQ+(AD2048^2*R_dn)-dpdn_minQ</f>
        <v>60</v>
      </c>
      <c r="AE2051" s="107"/>
      <c r="AF2051" s="1"/>
      <c r="AG2051" s="97">
        <f ca="1">P_2_minQ+(AG2048^2*R_dn)-dpdn_minQ</f>
        <v>60</v>
      </c>
      <c r="AH2051" s="107"/>
      <c r="AI2051" s="1"/>
      <c r="AJ2051" s="97">
        <f ca="1">P_2_minQ+(AJ2048^2*R_dn)-dpdn_minQ</f>
        <v>60</v>
      </c>
      <c r="AK2051" s="107"/>
      <c r="AL2051" s="1"/>
      <c r="AM2051" s="97">
        <f ca="1">P_2_minQ+(AM2048^2*R_dn)-dpdn_minQ</f>
        <v>60</v>
      </c>
      <c r="AN2051" s="107"/>
      <c r="AO2051" s="1"/>
      <c r="AP2051" s="97">
        <f ca="1">P_2_minQ+(AP2048^2*R_dn)-dpdn_minQ</f>
        <v>60</v>
      </c>
      <c r="AQ2051" s="107"/>
      <c r="AR2051" s="1"/>
      <c r="AS2051" s="97">
        <f ca="1">P_2_minQ+(AS2048^2*R_dn)-dpdn_minQ</f>
        <v>60</v>
      </c>
      <c r="AT2051" s="107"/>
      <c r="AU2051" s="1"/>
    </row>
    <row r="2052" spans="15:47" x14ac:dyDescent="0.25">
      <c r="O2052" s="8" t="s">
        <v>138</v>
      </c>
      <c r="P2052" s="1"/>
      <c r="Q2052" s="8"/>
      <c r="R2052" s="97">
        <f>R2050-R2051</f>
        <v>30.179492787286122</v>
      </c>
      <c r="S2052" s="106"/>
      <c r="T2052" s="22"/>
      <c r="U2052" s="97">
        <f ca="1">U2050-U2051</f>
        <v>29.746221922682935</v>
      </c>
      <c r="V2052" s="110"/>
      <c r="W2052" s="25"/>
      <c r="X2052" s="97">
        <f ca="1">X2050-X2051</f>
        <v>27.553971056148654</v>
      </c>
      <c r="Y2052" s="110"/>
      <c r="Z2052" s="25"/>
      <c r="AA2052" s="97">
        <f ca="1">AA2050-AA2051</f>
        <v>20.203526931716098</v>
      </c>
      <c r="AB2052" s="110"/>
      <c r="AC2052" s="25"/>
      <c r="AD2052" s="97">
        <f ca="1">AD2050-AD2051</f>
        <v>2.0906719254341084</v>
      </c>
      <c r="AE2052" s="110"/>
      <c r="AF2052" s="25"/>
      <c r="AG2052" s="97">
        <f ca="1">AG2050-AG2051</f>
        <v>-29.662138420911731</v>
      </c>
      <c r="AH2052" s="110"/>
      <c r="AI2052" s="25"/>
      <c r="AJ2052" s="97">
        <f ca="1">AJ2050-AJ2051</f>
        <v>-76.396836167087827</v>
      </c>
      <c r="AK2052" s="110"/>
      <c r="AL2052" s="25"/>
      <c r="AM2052" s="97">
        <f ca="1">AM2050-AM2051</f>
        <v>-128.50085034219055</v>
      </c>
      <c r="AN2052" s="110"/>
      <c r="AO2052" s="25"/>
      <c r="AP2052" s="97">
        <f ca="1">AP2050-AP2051</f>
        <v>-183.69956536080679</v>
      </c>
      <c r="AQ2052" s="110"/>
      <c r="AR2052" s="25"/>
      <c r="AS2052" s="97">
        <f ca="1">AS2050-AS2051</f>
        <v>-263.89360462095811</v>
      </c>
      <c r="AT2052" s="110"/>
      <c r="AU2052" s="25"/>
    </row>
    <row r="2053" spans="15:47" ht="14.4" x14ac:dyDescent="0.3">
      <c r="O2053" s="2" t="s">
        <v>140</v>
      </c>
      <c r="P2053" s="11"/>
      <c r="Q2053" s="2"/>
      <c r="R2053" s="96">
        <f>R2052/R2050</f>
        <v>0.33466026315398562</v>
      </c>
      <c r="S2053" s="106"/>
      <c r="T2053" s="22"/>
      <c r="U2053" s="96">
        <f ca="1">U2052/U2050</f>
        <v>0.33144818005051552</v>
      </c>
      <c r="V2053" s="111"/>
      <c r="W2053" s="28"/>
      <c r="X2053" s="96">
        <f ca="1">X2052/X2050</f>
        <v>0.31470841040982828</v>
      </c>
      <c r="Y2053" s="111"/>
      <c r="Z2053" s="28"/>
      <c r="AA2053" s="96">
        <f ca="1">AA2052/AA2050</f>
        <v>0.25190322302056656</v>
      </c>
      <c r="AB2053" s="111"/>
      <c r="AC2053" s="28"/>
      <c r="AD2053" s="96">
        <f ca="1">AD2052/AD2050</f>
        <v>3.3671272360280412E-2</v>
      </c>
      <c r="AE2053" s="111"/>
      <c r="AF2053" s="28"/>
      <c r="AG2053" s="96">
        <f ca="1">AG2052/AG2050</f>
        <v>-0.97772673738341831</v>
      </c>
      <c r="AH2053" s="111"/>
      <c r="AI2053" s="28"/>
      <c r="AJ2053" s="96">
        <f ca="1">AJ2052/AJ2050</f>
        <v>4.6592425141402352</v>
      </c>
      <c r="AK2053" s="111"/>
      <c r="AL2053" s="28"/>
      <c r="AM2053" s="96">
        <f ca="1">AM2052/AM2050</f>
        <v>1.8759015355324025</v>
      </c>
      <c r="AN2053" s="111"/>
      <c r="AO2053" s="28"/>
      <c r="AP2053" s="96">
        <f ca="1">AP2052/AP2050</f>
        <v>1.4850461666942163</v>
      </c>
      <c r="AQ2053" s="111"/>
      <c r="AR2053" s="28"/>
      <c r="AS2053" s="96">
        <f ca="1">AS2052/AS2050</f>
        <v>1.2942711229787764</v>
      </c>
      <c r="AT2053" s="111"/>
      <c r="AU2053" s="28"/>
    </row>
    <row r="2054" spans="15:47" x14ac:dyDescent="0.25">
      <c r="O2054" s="2" t="s">
        <v>21</v>
      </c>
      <c r="P2054" s="8">
        <v>12</v>
      </c>
      <c r="Q2054" s="2"/>
      <c r="R2054" s="96">
        <f ca="1">1-R2053/(3*F_GAMMA*R$29)</f>
        <v>0.825705867267299</v>
      </c>
      <c r="S2054" s="106"/>
      <c r="T2054" s="22"/>
      <c r="U2054" s="96">
        <f ca="1">1-U2053/(3*F_GAMMA*U$29)</f>
        <v>0.82741885210367072</v>
      </c>
      <c r="V2054" s="111"/>
      <c r="W2054" s="28"/>
      <c r="X2054" s="96">
        <f ca="1">1-X2053/(3*F_GAMMA*X$29)</f>
        <v>0.83457436471233148</v>
      </c>
      <c r="Y2054" s="111"/>
      <c r="Z2054" s="28"/>
      <c r="AA2054" s="96">
        <f ca="1">1-AA2053/(3*F_GAMMA*AA$29)</f>
        <v>0.86572124973838216</v>
      </c>
      <c r="AB2054" s="111"/>
      <c r="AC2054" s="28"/>
      <c r="AD2054" s="96">
        <f ca="1">1-AD2053/(3*F_GAMMA*AD$29)</f>
        <v>0.98149463170444595</v>
      </c>
      <c r="AE2054" s="111"/>
      <c r="AF2054" s="28"/>
      <c r="AG2054" s="96">
        <f ca="1">1-AG2053/(3*F_GAMMA*AG$29)</f>
        <v>1.5695922787325645</v>
      </c>
      <c r="AH2054" s="111"/>
      <c r="AI2054" s="28"/>
      <c r="AJ2054" s="96">
        <f ca="1">1-AJ2053/(3*F_GAMMA*AJ$29)</f>
        <v>-1.9202425632482232</v>
      </c>
      <c r="AK2054" s="111"/>
      <c r="AL2054" s="28"/>
      <c r="AM2054" s="96">
        <f ca="1">1-AM2053/(3*F_GAMMA*AM$29)</f>
        <v>-0.31458137025172017</v>
      </c>
      <c r="AN2054" s="111"/>
      <c r="AO2054" s="28"/>
      <c r="AP2054" s="96">
        <f ca="1">1-AP2053/(3*F_GAMMA*AP$29)</f>
        <v>0.16176031724755746</v>
      </c>
      <c r="AQ2054" s="111"/>
      <c r="AR2054" s="28"/>
      <c r="AS2054" s="96">
        <f ca="1">1-AS2053/(3*F_GAMMA*AS$29)</f>
        <v>-0.14530186287998736</v>
      </c>
      <c r="AT2054" s="111"/>
      <c r="AU2054" s="28"/>
    </row>
    <row r="2055" spans="15:47" x14ac:dyDescent="0.25">
      <c r="O2055" s="2" t="s">
        <v>57</v>
      </c>
      <c r="P2055" s="143">
        <v>7</v>
      </c>
      <c r="Q2055" s="2"/>
      <c r="R2055" s="96">
        <f ca="1">(R2048/(N_9*R$27*R2050*R2054))*SQRT(M*'Valve Sizing'!$W$6*'Valve Sizing'!$G$8/R2053)</f>
        <v>2.2282411921151994</v>
      </c>
      <c r="S2055" s="107"/>
      <c r="T2055" s="22"/>
      <c r="U2055" s="96">
        <f ca="1">(U2048/(N_9*U$27*U2050*U2054))*SQRT(M*'Valve Sizing'!$W$6*'Valve Sizing'!$G$8/U2053)</f>
        <v>19.98100097367427</v>
      </c>
      <c r="V2055" s="111"/>
      <c r="W2055" s="28"/>
      <c r="X2055" s="96">
        <f ca="1">(X2048/(N_9*X$27*X2050*X2054))*SQRT(M*'Valve Sizing'!$W$6*'Valve Sizing'!$G$8/X2053)</f>
        <v>51.143897833319663</v>
      </c>
      <c r="Y2055" s="111"/>
      <c r="Z2055" s="28"/>
      <c r="AA2055" s="96">
        <f ca="1">(AA2048/(N_9*AA$27*AA2050*AA2054))*SQRT(M*'Valve Sizing'!$W$6*'Valve Sizing'!$G$8/AA2053)</f>
        <v>117.86969057855812</v>
      </c>
      <c r="AB2055" s="111"/>
      <c r="AC2055" s="28"/>
      <c r="AD2055" s="96">
        <f ca="1">(AD2048/(N_9*AD$27*AD2050*AD2054))*SQRT(M*'Valve Sizing'!$W$6*'Valve Sizing'!$G$8/AD2053)</f>
        <v>623.88543017557618</v>
      </c>
      <c r="AE2055" s="111"/>
      <c r="AF2055" s="28"/>
      <c r="AG2055" s="96" t="e">
        <f ca="1">(AG2048/(N_9*AG$27*AG2050*AG2054))*SQRT(M*'Valve Sizing'!$W$6*'Valve Sizing'!$G$8/AG2053)</f>
        <v>#NUM!</v>
      </c>
      <c r="AH2055" s="111"/>
      <c r="AI2055" s="28"/>
      <c r="AJ2055" s="96">
        <f ca="1">(AJ2048/(N_9*AJ$27*AJ2050*AJ2054))*SQRT(M*'Valve Sizing'!$W$6*'Valve Sizing'!$G$8/AJ2053)</f>
        <v>211.83391100408141</v>
      </c>
      <c r="AK2055" s="111"/>
      <c r="AL2055" s="28"/>
      <c r="AM2055" s="96">
        <f ca="1">(AM2048/(N_9*AM$27*AM2050*AM2054))*SQRT(M*'Valve Sizing'!$W$6*'Valve Sizing'!$G$8/AM2053)</f>
        <v>631.51181163143121</v>
      </c>
      <c r="AN2055" s="111"/>
      <c r="AO2055" s="28"/>
      <c r="AP2055" s="96">
        <f ca="1">(AP2048/(N_9*AP$27*AP2050*AP2054))*SQRT(M*'Valve Sizing'!$W$6*'Valve Sizing'!$G$8/AP2053)</f>
        <v>-1010.048879614683</v>
      </c>
      <c r="AQ2055" s="111"/>
      <c r="AR2055" s="28"/>
      <c r="AS2055" s="96">
        <f ca="1">(AS2048/(N_9*AS$27*AS2050*AS2054))*SQRT(M*'Valve Sizing'!$W$6*'Valve Sizing'!$G$8/AS2053)</f>
        <v>1147.6623006788734</v>
      </c>
      <c r="AT2055" s="111"/>
      <c r="AU2055" s="28"/>
    </row>
    <row r="2056" spans="15:47" x14ac:dyDescent="0.25">
      <c r="O2056" s="2" t="s">
        <v>59</v>
      </c>
      <c r="P2056" s="143">
        <v>7</v>
      </c>
      <c r="Q2056" s="2"/>
      <c r="R2056" s="96">
        <f ca="1">(R2048/(N_9*R$27*R2050*0.667))*SQRT(M*'Valve Sizing'!$W$6*'Valve Sizing'!$G$8/R2057)</f>
        <v>1.9946364284697475</v>
      </c>
      <c r="S2056" s="107"/>
      <c r="T2056" s="22"/>
      <c r="U2056" s="96">
        <f ca="1">(U2048/(N_9*U$27*U2050*0.667))*SQRT(M*'Valve Sizing'!$W$6*'Valve Sizing'!$G$8/U2057)</f>
        <v>17.835041441570013</v>
      </c>
      <c r="V2056" s="111"/>
      <c r="W2056" s="28"/>
      <c r="X2056" s="96">
        <f ca="1">(X2048/(N_9*X$27*X2050*0.667))*SQRT(M*'Valve Sizing'!$W$6*'Valve Sizing'!$G$8/X2057)</f>
        <v>45.081158017844722</v>
      </c>
      <c r="Y2056" s="111"/>
      <c r="Z2056" s="28"/>
      <c r="AA2056" s="96">
        <f ca="1">(AA2048/(N_9*AA$27*AA2050*0.667))*SQRT(M*'Valve Sizing'!$W$6*'Valve Sizing'!$G$8/AA2057)</f>
        <v>97.099872560258333</v>
      </c>
      <c r="AB2056" s="111"/>
      <c r="AC2056" s="28"/>
      <c r="AD2056" s="96">
        <f ca="1">(AD2048/(N_9*AD$27*AD2050*0.667))*SQRT(M*'Valve Sizing'!$W$6*'Valve Sizing'!$G$8/AD2057)</f>
        <v>216.3099176423577</v>
      </c>
      <c r="AE2056" s="111"/>
      <c r="AF2056" s="28"/>
      <c r="AG2056" s="96">
        <f ca="1">(AG2048/(N_9*AG$27*AG2050*0.667))*SQRT(M*'Valve Sizing'!$W$6*'Valve Sizing'!$G$8/AG2057)</f>
        <v>680.22022664394569</v>
      </c>
      <c r="AH2056" s="111"/>
      <c r="AI2056" s="28"/>
      <c r="AJ2056" s="96">
        <f ca="1">(AJ2048/(N_9*AJ$27*AJ2050*0.667))*SQRT(M*'Valve Sizing'!$W$6*'Valve Sizing'!$G$8/AJ2057)</f>
        <v>-1805.0774179300679</v>
      </c>
      <c r="AK2056" s="111"/>
      <c r="AL2056" s="28"/>
      <c r="AM2056" s="96">
        <f ca="1">(AM2048/(N_9*AM$27*AM2050*0.667))*SQRT(M*'Valve Sizing'!$W$6*'Valve Sizing'!$G$8/AM2057)</f>
        <v>-591.48400900375077</v>
      </c>
      <c r="AN2056" s="111"/>
      <c r="AO2056" s="28"/>
      <c r="AP2056" s="96">
        <f ca="1">(AP2048/(N_9*AP$27*AP2050*0.667))*SQRT(M*'Valve Sizing'!$W$6*'Valve Sizing'!$G$8/AP2057)</f>
        <v>-388.44835178797194</v>
      </c>
      <c r="AQ2056" s="111"/>
      <c r="AR2056" s="28"/>
      <c r="AS2056" s="96">
        <f ca="1">(AS2048/(N_9*AS$27*AS2050*0.667))*SQRT(M*'Valve Sizing'!$W$6*'Valve Sizing'!$G$8/AS2057)</f>
        <v>-463.4256578945986</v>
      </c>
      <c r="AT2056" s="111"/>
      <c r="AU2056" s="28"/>
    </row>
    <row r="2057" spans="15:47" ht="15.6" x14ac:dyDescent="0.35">
      <c r="O2057" s="2" t="s">
        <v>68</v>
      </c>
      <c r="P2057" s="143">
        <v>10</v>
      </c>
      <c r="Q2057" s="2"/>
      <c r="R2057" s="96">
        <f ca="1">F_GAMMA*R$29</f>
        <v>0.64002969751372984</v>
      </c>
      <c r="S2057" s="107"/>
      <c r="T2057" s="1"/>
      <c r="U2057" s="96">
        <f ca="1">F_GAMMA*U$29</f>
        <v>0.64017842058782071</v>
      </c>
      <c r="V2057" s="111"/>
      <c r="W2057" s="28"/>
      <c r="X2057" s="96">
        <f ca="1">F_GAMMA*X$29</f>
        <v>0.63413873724904268</v>
      </c>
      <c r="Y2057" s="111"/>
      <c r="Z2057" s="28"/>
      <c r="AA2057" s="96">
        <f ca="1">F_GAMMA*AA$29</f>
        <v>0.62532411750377137</v>
      </c>
      <c r="AB2057" s="111"/>
      <c r="AC2057" s="28"/>
      <c r="AD2057" s="96">
        <f ca="1">F_GAMMA*AD$29</f>
        <v>0.60651359509139569</v>
      </c>
      <c r="AE2057" s="111"/>
      <c r="AF2057" s="28"/>
      <c r="AG2057" s="96">
        <f ca="1">F_GAMMA*AG$29</f>
        <v>0.57217930198481592</v>
      </c>
      <c r="AH2057" s="111"/>
      <c r="AI2057" s="28"/>
      <c r="AJ2057" s="96">
        <f ca="1">F_GAMMA*AJ$29</f>
        <v>0.53183282018848232</v>
      </c>
      <c r="AK2057" s="111"/>
      <c r="AL2057" s="28"/>
      <c r="AM2057" s="96">
        <f ca="1">F_GAMMA*AM$29</f>
        <v>0.47566512503094399</v>
      </c>
      <c r="AN2057" s="111"/>
      <c r="AO2057" s="28"/>
      <c r="AP2057" s="96">
        <f ca="1">F_GAMMA*AP$29</f>
        <v>0.59054158265645496</v>
      </c>
      <c r="AQ2057" s="111"/>
      <c r="AR2057" s="28"/>
      <c r="AS2057" s="96">
        <f ca="1">F_GAMMA*AS$29</f>
        <v>0.3766899554102966</v>
      </c>
      <c r="AT2057" s="111"/>
      <c r="AU2057" s="28"/>
    </row>
    <row r="2058" spans="15:47" x14ac:dyDescent="0.25">
      <c r="O2058" s="2" t="s">
        <v>145</v>
      </c>
      <c r="P2058" s="12"/>
      <c r="Q2058" s="2"/>
      <c r="R2058" s="96">
        <f ca="1">IF(R2053&lt;R2057,R2055,R2056)</f>
        <v>2.2282411921151994</v>
      </c>
      <c r="S2058" s="116"/>
      <c r="T2058" s="1"/>
      <c r="U2058" s="96">
        <f ca="1">IF(U2053&lt;U2057,U2055,U2056)</f>
        <v>19.98100097367427</v>
      </c>
      <c r="V2058" s="111"/>
      <c r="W2058" s="28"/>
      <c r="X2058" s="96">
        <f ca="1">IF(X2053&lt;X2057,X2055,X2056)</f>
        <v>51.143897833319663</v>
      </c>
      <c r="Y2058" s="111"/>
      <c r="Z2058" s="28"/>
      <c r="AA2058" s="96">
        <f ca="1">IF(AA2053&lt;AA2057,AA2055,AA2056)</f>
        <v>117.86969057855812</v>
      </c>
      <c r="AB2058" s="111"/>
      <c r="AC2058" s="28"/>
      <c r="AD2058" s="96">
        <f ca="1">IF(AD2053&lt;AD2057,AD2055,AD2056)</f>
        <v>623.88543017557618</v>
      </c>
      <c r="AE2058" s="111"/>
      <c r="AF2058" s="28"/>
      <c r="AG2058" s="96" t="e">
        <f ca="1">IF(AG2053&lt;AG2057,AG2055,AG2056)</f>
        <v>#NUM!</v>
      </c>
      <c r="AH2058" s="111"/>
      <c r="AI2058" s="28"/>
      <c r="AJ2058" s="96">
        <f ca="1">IF(AJ2053&lt;AJ2057,AJ2055,AJ2056)</f>
        <v>-1805.0774179300679</v>
      </c>
      <c r="AK2058" s="111"/>
      <c r="AL2058" s="28"/>
      <c r="AM2058" s="96">
        <f ca="1">IF(AM2053&lt;AM2057,AM2055,AM2056)</f>
        <v>-591.48400900375077</v>
      </c>
      <c r="AN2058" s="111"/>
      <c r="AO2058" s="28"/>
      <c r="AP2058" s="96">
        <f ca="1">IF(AP2053&lt;AP2057,AP2055,AP2056)</f>
        <v>-388.44835178797194</v>
      </c>
      <c r="AQ2058" s="111"/>
      <c r="AR2058" s="28"/>
      <c r="AS2058" s="96">
        <f ca="1">IF(AS2053&lt;AS2057,AS2055,AS2056)</f>
        <v>-463.4256578945986</v>
      </c>
      <c r="AT2058" s="111"/>
      <c r="AU2058" s="28"/>
    </row>
    <row r="2059" spans="15:47" x14ac:dyDescent="0.25">
      <c r="O2059" s="13" t="s">
        <v>143</v>
      </c>
      <c r="P2059" s="1"/>
      <c r="Q2059" s="1"/>
      <c r="R2059" s="113"/>
      <c r="S2059" s="106">
        <f ca="1">IF(R2052&lt;=0,Q_max,ABS(R$23-R2058))</f>
        <v>2.501758807884801</v>
      </c>
      <c r="T2059" s="7">
        <f>R2048</f>
        <v>5517.1068784502349</v>
      </c>
      <c r="U2059" s="98"/>
      <c r="V2059" s="106">
        <f ca="1">IF(U2052&lt;=0,Q_max,ABS(U$23-U2058))</f>
        <v>8.3810009736742703</v>
      </c>
      <c r="W2059" s="9">
        <f ca="1">U2048</f>
        <v>49067.705377467755</v>
      </c>
      <c r="X2059" s="98"/>
      <c r="Y2059" s="106">
        <f ca="1">IF(X2052&lt;=0,Q_max,ABS(X$23-X2058))</f>
        <v>28.143897833319663</v>
      </c>
      <c r="Z2059" s="9">
        <f ca="1">X2048</f>
        <v>120148.78665729253</v>
      </c>
      <c r="AA2059" s="98"/>
      <c r="AB2059" s="106">
        <f ca="1">IF(AA2052&lt;=0,Q_max,ABS(AA$23-AA2058))</f>
        <v>78.469690578558129</v>
      </c>
      <c r="AC2059" s="9">
        <f ca="1">AA2048</f>
        <v>234019.16898169267</v>
      </c>
      <c r="AD2059" s="98"/>
      <c r="AE2059" s="106">
        <f ca="1">IF(AD2052&lt;=0,Q_max,ABS(AD$23-AD2058))</f>
        <v>562.88543017557618</v>
      </c>
      <c r="AF2059" s="9">
        <f ca="1">AD2048</f>
        <v>392611.36721055047</v>
      </c>
      <c r="AG2059" s="98"/>
      <c r="AH2059" s="106">
        <f ca="1">IF(AG2052&lt;=0,Q_max,ABS(AG$23-AG2058))</f>
        <v>236393</v>
      </c>
      <c r="AI2059" s="9">
        <f ca="1">AG2048</f>
        <v>573026.98366265674</v>
      </c>
      <c r="AJ2059" s="98"/>
      <c r="AK2059" s="106">
        <f ca="1">IF(AJ2052&lt;=0,Q_max,ABS(AJ$23-AJ2058))</f>
        <v>236393</v>
      </c>
      <c r="AL2059" s="9">
        <f ca="1">AJ2048</f>
        <v>764706.73107544438</v>
      </c>
      <c r="AM2059" s="98"/>
      <c r="AN2059" s="106">
        <f ca="1">IF(AM2052&lt;=0,Q_max,ABS(AM$23-AM2058))</f>
        <v>236393</v>
      </c>
      <c r="AO2059" s="9">
        <f ca="1">AM2048</f>
        <v>933087.53673942573</v>
      </c>
      <c r="AP2059" s="98"/>
      <c r="AQ2059" s="106">
        <f ca="1">IF(AP2052&lt;=0,Q_max,ABS(AP$23-AP2058))</f>
        <v>236393</v>
      </c>
      <c r="AR2059" s="9">
        <f ca="1">AP2048</f>
        <v>1083285.6627971362</v>
      </c>
      <c r="AS2059" s="98"/>
      <c r="AT2059" s="106">
        <f ca="1">IF(AS2052&lt;=0,Q_max,ABS(AS$23-AS2058))</f>
        <v>236393</v>
      </c>
      <c r="AU2059" s="9">
        <f ca="1">AS2048</f>
        <v>1270237.634547937</v>
      </c>
    </row>
    <row r="2060" spans="15:47" x14ac:dyDescent="0.25">
      <c r="O2060" s="21"/>
      <c r="P2060" s="14"/>
      <c r="Q2060" s="21"/>
      <c r="R2060" s="97"/>
      <c r="S2060" s="106"/>
      <c r="T2060" s="28"/>
      <c r="U2060" s="97"/>
      <c r="V2060" s="111"/>
      <c r="W2060" s="28"/>
      <c r="X2060" s="97"/>
      <c r="Y2060" s="111"/>
      <c r="Z2060" s="28"/>
      <c r="AA2060" s="97"/>
      <c r="AB2060" s="111"/>
      <c r="AC2060" s="28"/>
      <c r="AD2060" s="97"/>
      <c r="AE2060" s="111"/>
      <c r="AF2060" s="28"/>
      <c r="AG2060" s="97"/>
      <c r="AH2060" s="111"/>
      <c r="AI2060" s="28"/>
      <c r="AJ2060" s="97"/>
      <c r="AK2060" s="111"/>
      <c r="AL2060" s="28"/>
      <c r="AM2060" s="97"/>
      <c r="AN2060" s="111"/>
      <c r="AO2060" s="28"/>
      <c r="AP2060" s="97"/>
      <c r="AQ2060" s="111"/>
      <c r="AR2060" s="28"/>
      <c r="AS2060" s="97"/>
      <c r="AT2060" s="111"/>
      <c r="AU2060" s="28"/>
    </row>
    <row r="2061" spans="15:47" x14ac:dyDescent="0.25">
      <c r="O2061" s="1"/>
      <c r="P2061" s="1"/>
      <c r="Q2061" s="1"/>
      <c r="R2061" s="98"/>
      <c r="S2061" s="108" t="s">
        <v>137</v>
      </c>
      <c r="T2061" s="26" t="s">
        <v>146</v>
      </c>
      <c r="U2061" s="98"/>
      <c r="V2061" s="108" t="s">
        <v>137</v>
      </c>
      <c r="W2061" s="26" t="s">
        <v>146</v>
      </c>
      <c r="X2061" s="98"/>
      <c r="Y2061" s="108" t="s">
        <v>137</v>
      </c>
      <c r="Z2061" s="26" t="s">
        <v>146</v>
      </c>
      <c r="AA2061" s="98"/>
      <c r="AB2061" s="108" t="s">
        <v>137</v>
      </c>
      <c r="AC2061" s="26" t="s">
        <v>146</v>
      </c>
      <c r="AD2061" s="98"/>
      <c r="AE2061" s="108" t="s">
        <v>137</v>
      </c>
      <c r="AF2061" s="26" t="s">
        <v>146</v>
      </c>
      <c r="AG2061" s="98"/>
      <c r="AH2061" s="108" t="s">
        <v>137</v>
      </c>
      <c r="AI2061" s="26" t="s">
        <v>146</v>
      </c>
      <c r="AJ2061" s="98"/>
      <c r="AK2061" s="108" t="s">
        <v>137</v>
      </c>
      <c r="AL2061" s="26" t="s">
        <v>146</v>
      </c>
      <c r="AM2061" s="98"/>
      <c r="AN2061" s="108" t="s">
        <v>137</v>
      </c>
      <c r="AO2061" s="26" t="s">
        <v>146</v>
      </c>
      <c r="AP2061" s="98"/>
      <c r="AQ2061" s="108" t="s">
        <v>137</v>
      </c>
      <c r="AR2061" s="26" t="s">
        <v>146</v>
      </c>
      <c r="AS2061" s="98"/>
      <c r="AT2061" s="108" t="s">
        <v>137</v>
      </c>
      <c r="AU2061" s="26" t="s">
        <v>146</v>
      </c>
    </row>
    <row r="2062" spans="15:47" ht="13.8" x14ac:dyDescent="0.25">
      <c r="O2062" s="20" t="s">
        <v>136</v>
      </c>
      <c r="P2062" s="1"/>
      <c r="Q2062" s="1"/>
      <c r="R2062" s="96">
        <f>R2048*1.02</f>
        <v>5627.4490160192399</v>
      </c>
      <c r="S2062" s="109" t="s">
        <v>144</v>
      </c>
      <c r="T2062" s="23" t="s">
        <v>147</v>
      </c>
      <c r="U2062" s="96">
        <f ca="1">U2048*1.01</f>
        <v>49558.382431242433</v>
      </c>
      <c r="V2062" s="109" t="s">
        <v>144</v>
      </c>
      <c r="W2062" s="23" t="s">
        <v>147</v>
      </c>
      <c r="X2062" s="96">
        <f ca="1">X2048*1.01</f>
        <v>121350.27452386545</v>
      </c>
      <c r="Y2062" s="109" t="s">
        <v>144</v>
      </c>
      <c r="Z2062" s="23" t="s">
        <v>147</v>
      </c>
      <c r="AA2062" s="96">
        <f ca="1">AA2048*1.01</f>
        <v>236359.36067150958</v>
      </c>
      <c r="AB2062" s="109" t="s">
        <v>144</v>
      </c>
      <c r="AC2062" s="23" t="s">
        <v>147</v>
      </c>
      <c r="AD2062" s="96">
        <f ca="1">AD2048*1.01</f>
        <v>396537.48088265595</v>
      </c>
      <c r="AE2062" s="109" t="s">
        <v>144</v>
      </c>
      <c r="AF2062" s="23" t="s">
        <v>147</v>
      </c>
      <c r="AG2062" s="96">
        <f ca="1">AG2048*1.01</f>
        <v>578757.25349928334</v>
      </c>
      <c r="AH2062" s="109" t="s">
        <v>144</v>
      </c>
      <c r="AI2062" s="23" t="s">
        <v>147</v>
      </c>
      <c r="AJ2062" s="96">
        <f ca="1">AJ2048*1.01</f>
        <v>772353.79838619882</v>
      </c>
      <c r="AK2062" s="109" t="s">
        <v>144</v>
      </c>
      <c r="AL2062" s="23" t="s">
        <v>147</v>
      </c>
      <c r="AM2062" s="96">
        <f ca="1">AM2048*1.01</f>
        <v>942418.41210682003</v>
      </c>
      <c r="AN2062" s="109" t="s">
        <v>144</v>
      </c>
      <c r="AO2062" s="23" t="s">
        <v>147</v>
      </c>
      <c r="AP2062" s="96">
        <f ca="1">AP2048*1.01</f>
        <v>1094118.5194251076</v>
      </c>
      <c r="AQ2062" s="109" t="s">
        <v>144</v>
      </c>
      <c r="AR2062" s="23" t="s">
        <v>147</v>
      </c>
      <c r="AS2062" s="96">
        <f ca="1">AS2048*1.01</f>
        <v>1282940.0108934164</v>
      </c>
      <c r="AT2062" s="109" t="s">
        <v>144</v>
      </c>
      <c r="AU2062" s="23" t="s">
        <v>147</v>
      </c>
    </row>
    <row r="2063" spans="15:47" x14ac:dyDescent="0.25">
      <c r="O2063" s="1"/>
      <c r="P2063" s="1"/>
      <c r="Q2063" s="1"/>
      <c r="R2063" s="98"/>
      <c r="S2063" s="107"/>
      <c r="T2063" s="1"/>
      <c r="U2063" s="47"/>
      <c r="V2063" s="107"/>
      <c r="W2063" s="1"/>
      <c r="X2063" s="47"/>
      <c r="Y2063" s="107"/>
      <c r="Z2063" s="1"/>
      <c r="AA2063" s="47"/>
      <c r="AB2063" s="107"/>
      <c r="AC2063" s="1"/>
      <c r="AD2063" s="47"/>
      <c r="AE2063" s="107"/>
      <c r="AF2063" s="1"/>
      <c r="AG2063" s="47"/>
      <c r="AH2063" s="107"/>
      <c r="AI2063" s="1"/>
      <c r="AJ2063" s="47"/>
      <c r="AK2063" s="107"/>
      <c r="AL2063" s="1"/>
      <c r="AM2063" s="47"/>
      <c r="AN2063" s="107"/>
      <c r="AO2063" s="1"/>
      <c r="AP2063" s="47"/>
      <c r="AQ2063" s="107"/>
      <c r="AR2063" s="1"/>
      <c r="AS2063" s="47"/>
      <c r="AT2063" s="107"/>
      <c r="AU2063" s="1"/>
    </row>
    <row r="2064" spans="15:47" x14ac:dyDescent="0.25">
      <c r="O2064" s="8" t="s">
        <v>132</v>
      </c>
      <c r="P2064" s="8"/>
      <c r="Q2064" s="8"/>
      <c r="R2064" s="96">
        <f>P_1_minQ-(R2062^2*R_up)+dpup_minQ</f>
        <v>90.179268658470164</v>
      </c>
      <c r="S2064" s="106"/>
      <c r="T2064" s="22"/>
      <c r="U2064" s="96">
        <f ca="1">P_1_minQ-(U2062^2*R_up)+dpup_minQ</f>
        <v>89.737401668670728</v>
      </c>
      <c r="V2064" s="107"/>
      <c r="W2064" s="1"/>
      <c r="X2064" s="96">
        <f ca="1">P_1_minQ-(X2062^2*R_up)+dpup_minQ</f>
        <v>87.501086559719113</v>
      </c>
      <c r="Y2064" s="107"/>
      <c r="Z2064" s="1"/>
      <c r="AA2064" s="96">
        <f ca="1">P_1_minQ-(AA2062^2*R_up)+dpup_minQ</f>
        <v>80.002898508385456</v>
      </c>
      <c r="AB2064" s="107"/>
      <c r="AC2064" s="1"/>
      <c r="AD2064" s="96">
        <f ca="1">P_1_minQ-(AD2062^2*R_up)+dpup_minQ</f>
        <v>61.525975116477206</v>
      </c>
      <c r="AE2064" s="107"/>
      <c r="AF2064" s="1"/>
      <c r="AG2064" s="96">
        <f ca="1">P_1_minQ-(AG2062^2*R_up)+dpup_minQ</f>
        <v>29.134933282169811</v>
      </c>
      <c r="AH2064" s="107"/>
      <c r="AI2064" s="1"/>
      <c r="AJ2064" s="96">
        <f ca="1">P_1_minQ-(AJ2062^2*R_up)+dpup_minQ</f>
        <v>-18.539131888704432</v>
      </c>
      <c r="AK2064" s="107"/>
      <c r="AL2064" s="1"/>
      <c r="AM2064" s="96">
        <f ca="1">P_1_minQ-(AM2062^2*R_up)+dpup_minQ</f>
        <v>-71.690436748726739</v>
      </c>
      <c r="AN2064" s="107"/>
      <c r="AO2064" s="1"/>
      <c r="AP2064" s="96">
        <f ca="1">P_1_minQ-(AP2062^2*R_up)+dpup_minQ</f>
        <v>-127.99864593921714</v>
      </c>
      <c r="AQ2064" s="107"/>
      <c r="AR2064" s="1"/>
      <c r="AS2064" s="96">
        <f ca="1">P_1_minQ-(AS2062^2*R_up)+dpup_minQ</f>
        <v>-209.80458538849751</v>
      </c>
      <c r="AT2064" s="107"/>
      <c r="AU2064" s="1"/>
    </row>
    <row r="2065" spans="15:47" x14ac:dyDescent="0.25">
      <c r="O2065" s="8" t="s">
        <v>134</v>
      </c>
      <c r="P2065" s="1"/>
      <c r="Q2065" s="8"/>
      <c r="R2065" s="97">
        <f>P_2_minQ+(R2062^2*R_dn)-dpdn_minQ</f>
        <v>60</v>
      </c>
      <c r="S2065" s="106"/>
      <c r="T2065" s="22"/>
      <c r="U2065" s="97">
        <f ca="1">P_2_minQ+(U2062^2*R_dn)-dpdn_minQ</f>
        <v>60</v>
      </c>
      <c r="V2065" s="107"/>
      <c r="W2065" s="1"/>
      <c r="X2065" s="97">
        <f ca="1">P_2_minQ+(X2062^2*R_dn)-dpdn_minQ</f>
        <v>60</v>
      </c>
      <c r="Y2065" s="107"/>
      <c r="Z2065" s="1"/>
      <c r="AA2065" s="97">
        <f ca="1">P_2_minQ+(AA2062^2*R_dn)-dpdn_minQ</f>
        <v>60</v>
      </c>
      <c r="AB2065" s="107"/>
      <c r="AC2065" s="1"/>
      <c r="AD2065" s="97">
        <f ca="1">P_2_minQ+(AD2062^2*R_dn)-dpdn_minQ</f>
        <v>60</v>
      </c>
      <c r="AE2065" s="107"/>
      <c r="AF2065" s="1"/>
      <c r="AG2065" s="97">
        <f ca="1">P_2_minQ+(AG2062^2*R_dn)-dpdn_minQ</f>
        <v>60</v>
      </c>
      <c r="AH2065" s="107"/>
      <c r="AI2065" s="1"/>
      <c r="AJ2065" s="97">
        <f ca="1">P_2_minQ+(AJ2062^2*R_dn)-dpdn_minQ</f>
        <v>60</v>
      </c>
      <c r="AK2065" s="107"/>
      <c r="AL2065" s="1"/>
      <c r="AM2065" s="97">
        <f ca="1">P_2_minQ+(AM2062^2*R_dn)-dpdn_minQ</f>
        <v>60</v>
      </c>
      <c r="AN2065" s="107"/>
      <c r="AO2065" s="1"/>
      <c r="AP2065" s="97">
        <f ca="1">P_2_minQ+(AP2062^2*R_dn)-dpdn_minQ</f>
        <v>60</v>
      </c>
      <c r="AQ2065" s="107"/>
      <c r="AR2065" s="1"/>
      <c r="AS2065" s="97">
        <f ca="1">P_2_minQ+(AS2062^2*R_dn)-dpdn_minQ</f>
        <v>60</v>
      </c>
      <c r="AT2065" s="107"/>
      <c r="AU2065" s="1"/>
    </row>
    <row r="2066" spans="15:47" x14ac:dyDescent="0.25">
      <c r="O2066" s="8" t="s">
        <v>138</v>
      </c>
      <c r="P2066" s="1"/>
      <c r="Q2066" s="8"/>
      <c r="R2066" s="97">
        <f>R2064-R2065</f>
        <v>30.179268658470164</v>
      </c>
      <c r="S2066" s="106"/>
      <c r="T2066" s="22"/>
      <c r="U2066" s="97">
        <f ca="1">U2064-U2065</f>
        <v>29.737401668670728</v>
      </c>
      <c r="V2066" s="110"/>
      <c r="W2066" s="25"/>
      <c r="X2066" s="97">
        <f ca="1">X2064-X2065</f>
        <v>27.501086559719113</v>
      </c>
      <c r="Y2066" s="110"/>
      <c r="Z2066" s="25"/>
      <c r="AA2066" s="97">
        <f ca="1">AA2064-AA2065</f>
        <v>20.002898508385456</v>
      </c>
      <c r="AB2066" s="110"/>
      <c r="AC2066" s="25"/>
      <c r="AD2066" s="97">
        <f ca="1">AD2064-AD2065</f>
        <v>1.5259751164772055</v>
      </c>
      <c r="AE2066" s="110"/>
      <c r="AF2066" s="25"/>
      <c r="AG2066" s="97">
        <f ca="1">AG2064-AG2065</f>
        <v>-30.865066717830189</v>
      </c>
      <c r="AH2066" s="110"/>
      <c r="AI2066" s="25"/>
      <c r="AJ2066" s="97">
        <f ca="1">AJ2064-AJ2065</f>
        <v>-78.539131888704432</v>
      </c>
      <c r="AK2066" s="110"/>
      <c r="AL2066" s="25"/>
      <c r="AM2066" s="97">
        <f ca="1">AM2064-AM2065</f>
        <v>-131.69043674872674</v>
      </c>
      <c r="AN2066" s="110"/>
      <c r="AO2066" s="25"/>
      <c r="AP2066" s="97">
        <f ca="1">AP2064-AP2065</f>
        <v>-187.99864593921714</v>
      </c>
      <c r="AQ2066" s="110"/>
      <c r="AR2066" s="25"/>
      <c r="AS2066" s="97">
        <f ca="1">AS2064-AS2065</f>
        <v>-269.80458538849751</v>
      </c>
      <c r="AT2066" s="110"/>
      <c r="AU2066" s="25"/>
    </row>
    <row r="2067" spans="15:47" ht="14.4" x14ac:dyDescent="0.3">
      <c r="O2067" s="2" t="s">
        <v>140</v>
      </c>
      <c r="P2067" s="11"/>
      <c r="Q2067" s="2"/>
      <c r="R2067" s="96">
        <f>R2066/R2064</f>
        <v>0.33465860953880722</v>
      </c>
      <c r="S2067" s="106"/>
      <c r="T2067" s="22"/>
      <c r="U2067" s="96">
        <f ca="1">U2066/U2064</f>
        <v>0.33138246835435953</v>
      </c>
      <c r="V2067" s="111"/>
      <c r="W2067" s="28"/>
      <c r="X2067" s="96">
        <f ca="1">X2066/X2064</f>
        <v>0.31429422926022454</v>
      </c>
      <c r="Y2067" s="111"/>
      <c r="Z2067" s="28"/>
      <c r="AA2067" s="96">
        <f ca="1">AA2066/AA2064</f>
        <v>0.25002717253161599</v>
      </c>
      <c r="AB2067" s="111"/>
      <c r="AC2067" s="28"/>
      <c r="AD2067" s="96">
        <f ca="1">AD2066/AD2064</f>
        <v>2.4802128102615568E-2</v>
      </c>
      <c r="AE2067" s="111"/>
      <c r="AF2067" s="28"/>
      <c r="AG2067" s="96">
        <f ca="1">AG2066/AG2064</f>
        <v>-1.0593834699707103</v>
      </c>
      <c r="AH2067" s="111"/>
      <c r="AI2067" s="28"/>
      <c r="AJ2067" s="96">
        <f ca="1">AJ2066/AJ2064</f>
        <v>4.2363974947800518</v>
      </c>
      <c r="AK2067" s="111"/>
      <c r="AL2067" s="28"/>
      <c r="AM2067" s="96">
        <f ca="1">AM2066/AM2064</f>
        <v>1.8369317125281097</v>
      </c>
      <c r="AN2067" s="111"/>
      <c r="AO2067" s="28"/>
      <c r="AP2067" s="96">
        <f ca="1">AP2066/AP2064</f>
        <v>1.4687549587711441</v>
      </c>
      <c r="AQ2067" s="111"/>
      <c r="AR2067" s="28"/>
      <c r="AS2067" s="96">
        <f ca="1">AS2066/AS2064</f>
        <v>1.2859804035688607</v>
      </c>
      <c r="AT2067" s="111"/>
      <c r="AU2067" s="28"/>
    </row>
    <row r="2068" spans="15:47" x14ac:dyDescent="0.25">
      <c r="O2068" s="2" t="s">
        <v>21</v>
      </c>
      <c r="P2068" s="8">
        <v>12</v>
      </c>
      <c r="Q2068" s="2"/>
      <c r="R2068" s="96">
        <f ca="1">1-R2067/(3*F_GAMMA*R$29)</f>
        <v>0.82570672848524185</v>
      </c>
      <c r="S2068" s="106"/>
      <c r="T2068" s="22"/>
      <c r="U2068" s="96">
        <f ca="1">1-U2067/(3*F_GAMMA*U$29)</f>
        <v>0.82745306740680225</v>
      </c>
      <c r="V2068" s="111"/>
      <c r="W2068" s="28"/>
      <c r="X2068" s="96">
        <f ca="1">1-X2067/(3*F_GAMMA*X$29)</f>
        <v>0.8347920779272664</v>
      </c>
      <c r="Y2068" s="111"/>
      <c r="Z2068" s="28"/>
      <c r="AA2068" s="96">
        <f ca="1">1-AA2067/(3*F_GAMMA*AA$29)</f>
        <v>0.8667212913895499</v>
      </c>
      <c r="AB2068" s="111"/>
      <c r="AC2068" s="28"/>
      <c r="AD2068" s="96">
        <f ca="1">1-AD2067/(3*F_GAMMA*AD$29)</f>
        <v>0.98636901777451602</v>
      </c>
      <c r="AE2068" s="111"/>
      <c r="AF2068" s="28"/>
      <c r="AG2068" s="96">
        <f ca="1">1-AG2067/(3*F_GAMMA*AG$29)</f>
        <v>1.6171628755157963</v>
      </c>
      <c r="AH2068" s="111"/>
      <c r="AI2068" s="28"/>
      <c r="AJ2068" s="96">
        <f ca="1">1-AJ2067/(3*F_GAMMA*AJ$29)</f>
        <v>-1.655218791799189</v>
      </c>
      <c r="AK2068" s="111"/>
      <c r="AL2068" s="28"/>
      <c r="AM2068" s="96">
        <f ca="1">1-AM2067/(3*F_GAMMA*AM$29)</f>
        <v>-0.28727236583272719</v>
      </c>
      <c r="AN2068" s="111"/>
      <c r="AO2068" s="28"/>
      <c r="AP2068" s="96">
        <f ca="1">1-AP2067/(3*F_GAMMA*AP$29)</f>
        <v>0.17095594851300755</v>
      </c>
      <c r="AQ2068" s="111"/>
      <c r="AR2068" s="28"/>
      <c r="AS2068" s="96">
        <f ca="1">1-AS2067/(3*F_GAMMA*AS$29)</f>
        <v>-0.13796539665107388</v>
      </c>
      <c r="AT2068" s="111"/>
      <c r="AU2068" s="28"/>
    </row>
    <row r="2069" spans="15:47" x14ac:dyDescent="0.25">
      <c r="O2069" s="2" t="s">
        <v>57</v>
      </c>
      <c r="P2069" s="143">
        <v>7</v>
      </c>
      <c r="Q2069" s="2"/>
      <c r="R2069" s="96">
        <f ca="1">(R2062/(N_9*R$27*R2064*R2068))*SQRT(M*'Valve Sizing'!$W$6*'Valve Sizing'!$G$8/R2067)</f>
        <v>2.2728149093578587</v>
      </c>
      <c r="S2069" s="107"/>
      <c r="T2069" s="22"/>
      <c r="U2069" s="96">
        <f ca="1">(U2062/(N_9*U$27*U2064*U2068))*SQRT(M*'Valve Sizing'!$W$6*'Valve Sizing'!$G$8/U2067)</f>
        <v>20.183960884027584</v>
      </c>
      <c r="V2069" s="111"/>
      <c r="W2069" s="28"/>
      <c r="X2069" s="96">
        <f ca="1">(X2062/(N_9*X$27*X2064*X2068))*SQRT(M*'Valve Sizing'!$W$6*'Valve Sizing'!$G$8/X2067)</f>
        <v>51.707113319882019</v>
      </c>
      <c r="Y2069" s="111"/>
      <c r="Z2069" s="28"/>
      <c r="AA2069" s="96">
        <f ca="1">(AA2062/(N_9*AA$27*AA2064*AA2068))*SQRT(M*'Valve Sizing'!$W$6*'Valve Sizing'!$G$8/AA2067)</f>
        <v>119.65562837602981</v>
      </c>
      <c r="AB2069" s="111"/>
      <c r="AC2069" s="28"/>
      <c r="AD2069" s="96">
        <f ca="1">(AD2062/(N_9*AD$27*AD2064*AD2068))*SQRT(M*'Valve Sizing'!$W$6*'Valve Sizing'!$G$8/AD2067)</f>
        <v>737.27221666522405</v>
      </c>
      <c r="AE2069" s="111"/>
      <c r="AF2069" s="28"/>
      <c r="AG2069" s="96" t="e">
        <f ca="1">(AG2062/(N_9*AG$27*AG2064*AG2068))*SQRT(M*'Valve Sizing'!$W$6*'Valve Sizing'!$G$8/AG2067)</f>
        <v>#NUM!</v>
      </c>
      <c r="AH2069" s="111"/>
      <c r="AI2069" s="28"/>
      <c r="AJ2069" s="96">
        <f ca="1">(AJ2062/(N_9*AJ$27*AJ2064*AJ2068))*SQRT(M*'Valve Sizing'!$W$6*'Valve Sizing'!$G$8/AJ2067)</f>
        <v>230.22236550241308</v>
      </c>
      <c r="AK2069" s="111"/>
      <c r="AL2069" s="28"/>
      <c r="AM2069" s="96">
        <f ca="1">(AM2062/(N_9*AM$27*AM2064*AM2068))*SQRT(M*'Valve Sizing'!$W$6*'Valve Sizing'!$G$8/AM2067)</f>
        <v>674.42746894908305</v>
      </c>
      <c r="AN2069" s="111"/>
      <c r="AO2069" s="28"/>
      <c r="AP2069" s="96">
        <f ca="1">(AP2062/(N_9*AP$27*AP2064*AP2068))*SQRT(M*'Valve Sizing'!$W$6*'Valve Sizing'!$G$8/AP2067)</f>
        <v>-938.01469251429353</v>
      </c>
      <c r="AQ2069" s="111"/>
      <c r="AR2069" s="28"/>
      <c r="AS2069" s="96">
        <f ca="1">(AS2062/(N_9*AS$27*AS2064*AS2068))*SQRT(M*'Valve Sizing'!$W$6*'Valve Sizing'!$G$8/AS2067)</f>
        <v>1190.2017421186033</v>
      </c>
      <c r="AT2069" s="111"/>
      <c r="AU2069" s="28"/>
    </row>
    <row r="2070" spans="15:47" x14ac:dyDescent="0.25">
      <c r="O2070" s="2" t="s">
        <v>59</v>
      </c>
      <c r="P2070" s="143">
        <v>7</v>
      </c>
      <c r="Q2070" s="2"/>
      <c r="R2070" s="96">
        <f ca="1">(R2062/(N_9*R$27*R2064*0.667))*SQRT(M*'Valve Sizing'!$W$6*'Valve Sizing'!$G$8/R2071)</f>
        <v>2.0345342135961295</v>
      </c>
      <c r="S2070" s="107"/>
      <c r="T2070" s="22"/>
      <c r="U2070" s="96">
        <f ca="1">(U2062/(N_9*U$27*U2064*0.667))*SQRT(M*'Valve Sizing'!$W$6*'Valve Sizing'!$G$8/U2071)</f>
        <v>18.015162385205826</v>
      </c>
      <c r="V2070" s="111"/>
      <c r="W2070" s="28"/>
      <c r="X2070" s="96">
        <f ca="1">(X2062/(N_9*X$27*X2064*0.667))*SQRT(M*'Valve Sizing'!$W$6*'Valve Sizing'!$G$8/X2071)</f>
        <v>45.559488516682457</v>
      </c>
      <c r="Y2070" s="111"/>
      <c r="Z2070" s="28"/>
      <c r="AA2070" s="96">
        <f ca="1">(AA2062/(N_9*AA$27*AA2064*0.667))*SQRT(M*'Valve Sizing'!$W$6*'Valve Sizing'!$G$8/AA2071)</f>
        <v>98.316809928680001</v>
      </c>
      <c r="AB2070" s="111"/>
      <c r="AC2070" s="28"/>
      <c r="AD2070" s="96">
        <f ca="1">(AD2062/(N_9*AD$27*AD2064*0.667))*SQRT(M*'Valve Sizing'!$W$6*'Valve Sizing'!$G$8/AD2071)</f>
        <v>220.47820268064197</v>
      </c>
      <c r="AE2070" s="111"/>
      <c r="AF2070" s="28"/>
      <c r="AG2070" s="96">
        <f ca="1">(AG2062/(N_9*AG$27*AG2064*0.667))*SQRT(M*'Valve Sizing'!$W$6*'Valve Sizing'!$G$8/AG2071)</f>
        <v>715.38833290439629</v>
      </c>
      <c r="AH2070" s="111"/>
      <c r="AI2070" s="28"/>
      <c r="AJ2070" s="96">
        <f ca="1">(AJ2062/(N_9*AJ$27*AJ2064*0.667))*SQRT(M*'Valve Sizing'!$W$6*'Valve Sizing'!$G$8/AJ2071)</f>
        <v>-1612.4559907699856</v>
      </c>
      <c r="AK2070" s="111"/>
      <c r="AL2070" s="28"/>
      <c r="AM2070" s="96">
        <f ca="1">(AM2062/(N_9*AM$27*AM2064*0.667))*SQRT(M*'Valve Sizing'!$W$6*'Valve Sizing'!$G$8/AM2071)</f>
        <v>-570.81991702466883</v>
      </c>
      <c r="AN2070" s="111"/>
      <c r="AO2070" s="28"/>
      <c r="AP2070" s="96">
        <f ca="1">(AP2062/(N_9*AP$27*AP2064*0.667))*SQRT(M*'Valve Sizing'!$W$6*'Valve Sizing'!$G$8/AP2071)</f>
        <v>-379.15558284228257</v>
      </c>
      <c r="AQ2070" s="111"/>
      <c r="AR2070" s="28"/>
      <c r="AS2070" s="96">
        <f ca="1">(AS2062/(N_9*AS$27*AS2064*0.667))*SQRT(M*'Valve Sizing'!$W$6*'Valve Sizing'!$G$8/AS2071)</f>
        <v>-454.87291406844787</v>
      </c>
      <c r="AT2070" s="111"/>
      <c r="AU2070" s="28"/>
    </row>
    <row r="2071" spans="15:47" ht="15.6" x14ac:dyDescent="0.35">
      <c r="O2071" s="2" t="s">
        <v>68</v>
      </c>
      <c r="P2071" s="143">
        <v>10</v>
      </c>
      <c r="Q2071" s="2"/>
      <c r="R2071" s="96">
        <f ca="1">F_GAMMA*R$29</f>
        <v>0.64002969751372984</v>
      </c>
      <c r="S2071" s="107"/>
      <c r="T2071" s="1"/>
      <c r="U2071" s="96">
        <f ca="1">F_GAMMA*U$29</f>
        <v>0.64017842058782071</v>
      </c>
      <c r="V2071" s="111"/>
      <c r="W2071" s="28"/>
      <c r="X2071" s="96">
        <f ca="1">F_GAMMA*X$29</f>
        <v>0.63413873724904268</v>
      </c>
      <c r="Y2071" s="111"/>
      <c r="Z2071" s="28"/>
      <c r="AA2071" s="96">
        <f ca="1">F_GAMMA*AA$29</f>
        <v>0.62532411750377137</v>
      </c>
      <c r="AB2071" s="111"/>
      <c r="AC2071" s="28"/>
      <c r="AD2071" s="96">
        <f ca="1">F_GAMMA*AD$29</f>
        <v>0.60651359509139569</v>
      </c>
      <c r="AE2071" s="111"/>
      <c r="AF2071" s="28"/>
      <c r="AG2071" s="96">
        <f ca="1">F_GAMMA*AG$29</f>
        <v>0.57217930198481592</v>
      </c>
      <c r="AH2071" s="111"/>
      <c r="AI2071" s="28"/>
      <c r="AJ2071" s="96">
        <f ca="1">F_GAMMA*AJ$29</f>
        <v>0.53183282018848232</v>
      </c>
      <c r="AK2071" s="111"/>
      <c r="AL2071" s="28"/>
      <c r="AM2071" s="96">
        <f ca="1">F_GAMMA*AM$29</f>
        <v>0.47566512503094399</v>
      </c>
      <c r="AN2071" s="111"/>
      <c r="AO2071" s="28"/>
      <c r="AP2071" s="96">
        <f ca="1">F_GAMMA*AP$29</f>
        <v>0.59054158265645496</v>
      </c>
      <c r="AQ2071" s="111"/>
      <c r="AR2071" s="28"/>
      <c r="AS2071" s="96">
        <f ca="1">F_GAMMA*AS$29</f>
        <v>0.3766899554102966</v>
      </c>
      <c r="AT2071" s="111"/>
      <c r="AU2071" s="28"/>
    </row>
    <row r="2072" spans="15:47" x14ac:dyDescent="0.25">
      <c r="O2072" s="2" t="s">
        <v>145</v>
      </c>
      <c r="P2072" s="12"/>
      <c r="Q2072" s="2"/>
      <c r="R2072" s="96">
        <f ca="1">IF(R2067&lt;R2071,R2069,R2070)</f>
        <v>2.2728149093578587</v>
      </c>
      <c r="S2072" s="116"/>
      <c r="T2072" s="1"/>
      <c r="U2072" s="96">
        <f ca="1">IF(U2067&lt;U2071,U2069,U2070)</f>
        <v>20.183960884027584</v>
      </c>
      <c r="V2072" s="111"/>
      <c r="W2072" s="28"/>
      <c r="X2072" s="96">
        <f ca="1">IF(X2067&lt;X2071,X2069,X2070)</f>
        <v>51.707113319882019</v>
      </c>
      <c r="Y2072" s="111"/>
      <c r="Z2072" s="28"/>
      <c r="AA2072" s="96">
        <f ca="1">IF(AA2067&lt;AA2071,AA2069,AA2070)</f>
        <v>119.65562837602981</v>
      </c>
      <c r="AB2072" s="111"/>
      <c r="AC2072" s="28"/>
      <c r="AD2072" s="96">
        <f ca="1">IF(AD2067&lt;AD2071,AD2069,AD2070)</f>
        <v>737.27221666522405</v>
      </c>
      <c r="AE2072" s="111"/>
      <c r="AF2072" s="28"/>
      <c r="AG2072" s="96" t="e">
        <f ca="1">IF(AG2067&lt;AG2071,AG2069,AG2070)</f>
        <v>#NUM!</v>
      </c>
      <c r="AH2072" s="111"/>
      <c r="AI2072" s="28"/>
      <c r="AJ2072" s="96">
        <f ca="1">IF(AJ2067&lt;AJ2071,AJ2069,AJ2070)</f>
        <v>-1612.4559907699856</v>
      </c>
      <c r="AK2072" s="111"/>
      <c r="AL2072" s="28"/>
      <c r="AM2072" s="96">
        <f ca="1">IF(AM2067&lt;AM2071,AM2069,AM2070)</f>
        <v>-570.81991702466883</v>
      </c>
      <c r="AN2072" s="111"/>
      <c r="AO2072" s="28"/>
      <c r="AP2072" s="96">
        <f ca="1">IF(AP2067&lt;AP2071,AP2069,AP2070)</f>
        <v>-379.15558284228257</v>
      </c>
      <c r="AQ2072" s="111"/>
      <c r="AR2072" s="28"/>
      <c r="AS2072" s="96">
        <f ca="1">IF(AS2067&lt;AS2071,AS2069,AS2070)</f>
        <v>-454.87291406844787</v>
      </c>
      <c r="AT2072" s="111"/>
      <c r="AU2072" s="28"/>
    </row>
    <row r="2073" spans="15:47" x14ac:dyDescent="0.25">
      <c r="O2073" s="13" t="s">
        <v>143</v>
      </c>
      <c r="P2073" s="1"/>
      <c r="Q2073" s="1"/>
      <c r="R2073" s="113"/>
      <c r="S2073" s="106">
        <f ca="1">IF(R2066&lt;=0,Q_max,ABS(R$23-R2072))</f>
        <v>2.4571850906421417</v>
      </c>
      <c r="T2073" s="7">
        <f>R2062</f>
        <v>5627.4490160192399</v>
      </c>
      <c r="U2073" s="98"/>
      <c r="V2073" s="106">
        <f ca="1">IF(U2066&lt;=0,Q_max,ABS(U$23-U2072))</f>
        <v>8.5839608840275847</v>
      </c>
      <c r="W2073" s="9">
        <f ca="1">U2062</f>
        <v>49558.382431242433</v>
      </c>
      <c r="X2073" s="98"/>
      <c r="Y2073" s="106">
        <f ca="1">IF(X2066&lt;=0,Q_max,ABS(X$23-X2072))</f>
        <v>28.707113319882019</v>
      </c>
      <c r="Z2073" s="9">
        <f ca="1">X2062</f>
        <v>121350.27452386545</v>
      </c>
      <c r="AA2073" s="98"/>
      <c r="AB2073" s="106">
        <f ca="1">IF(AA2066&lt;=0,Q_max,ABS(AA$23-AA2072))</f>
        <v>80.255628376029819</v>
      </c>
      <c r="AC2073" s="9">
        <f ca="1">AA2062</f>
        <v>236359.36067150958</v>
      </c>
      <c r="AD2073" s="98"/>
      <c r="AE2073" s="106">
        <f ca="1">IF(AD2066&lt;=0,Q_max,ABS(AD$23-AD2072))</f>
        <v>676.27221666522405</v>
      </c>
      <c r="AF2073" s="9">
        <f ca="1">AD2062</f>
        <v>396537.48088265595</v>
      </c>
      <c r="AG2073" s="98"/>
      <c r="AH2073" s="106">
        <f ca="1">IF(AG2066&lt;=0,Q_max,ABS(AG$23-AG2072))</f>
        <v>236393</v>
      </c>
      <c r="AI2073" s="9">
        <f ca="1">AG2062</f>
        <v>578757.25349928334</v>
      </c>
      <c r="AJ2073" s="98"/>
      <c r="AK2073" s="106">
        <f ca="1">IF(AJ2066&lt;=0,Q_max,ABS(AJ$23-AJ2072))</f>
        <v>236393</v>
      </c>
      <c r="AL2073" s="9">
        <f ca="1">AJ2062</f>
        <v>772353.79838619882</v>
      </c>
      <c r="AM2073" s="98"/>
      <c r="AN2073" s="106">
        <f ca="1">IF(AM2066&lt;=0,Q_max,ABS(AM$23-AM2072))</f>
        <v>236393</v>
      </c>
      <c r="AO2073" s="9">
        <f ca="1">AM2062</f>
        <v>942418.41210682003</v>
      </c>
      <c r="AP2073" s="98"/>
      <c r="AQ2073" s="106">
        <f ca="1">IF(AP2066&lt;=0,Q_max,ABS(AP$23-AP2072))</f>
        <v>236393</v>
      </c>
      <c r="AR2073" s="9">
        <f ca="1">AP2062</f>
        <v>1094118.5194251076</v>
      </c>
      <c r="AS2073" s="98"/>
      <c r="AT2073" s="106">
        <f ca="1">IF(AS2066&lt;=0,Q_max,ABS(AS$23-AS2072))</f>
        <v>236393</v>
      </c>
      <c r="AU2073" s="9">
        <f ca="1">AS2062</f>
        <v>1282940.0108934164</v>
      </c>
    </row>
    <row r="2074" spans="15:47" x14ac:dyDescent="0.25">
      <c r="O2074" s="21"/>
      <c r="P2074" s="14"/>
      <c r="Q2074" s="21"/>
      <c r="R2074" s="97"/>
      <c r="S2074" s="106"/>
      <c r="T2074" s="28"/>
      <c r="U2074" s="97"/>
      <c r="V2074" s="111"/>
      <c r="W2074" s="28"/>
      <c r="X2074" s="97"/>
      <c r="Y2074" s="111"/>
      <c r="Z2074" s="28"/>
      <c r="AA2074" s="97"/>
      <c r="AB2074" s="111"/>
      <c r="AC2074" s="28"/>
      <c r="AD2074" s="97"/>
      <c r="AE2074" s="111"/>
      <c r="AF2074" s="28"/>
      <c r="AG2074" s="97"/>
      <c r="AH2074" s="111"/>
      <c r="AI2074" s="28"/>
      <c r="AJ2074" s="97"/>
      <c r="AK2074" s="111"/>
      <c r="AL2074" s="28"/>
      <c r="AM2074" s="97"/>
      <c r="AN2074" s="111"/>
      <c r="AO2074" s="28"/>
      <c r="AP2074" s="97"/>
      <c r="AQ2074" s="111"/>
      <c r="AR2074" s="28"/>
      <c r="AS2074" s="97"/>
      <c r="AT2074" s="111"/>
      <c r="AU2074" s="28"/>
    </row>
    <row r="2075" spans="15:47" x14ac:dyDescent="0.25">
      <c r="O2075" s="1"/>
      <c r="P2075" s="1"/>
      <c r="Q2075" s="1"/>
      <c r="R2075" s="98"/>
      <c r="S2075" s="108" t="s">
        <v>137</v>
      </c>
      <c r="T2075" s="26" t="s">
        <v>146</v>
      </c>
      <c r="U2075" s="98"/>
      <c r="V2075" s="108" t="s">
        <v>137</v>
      </c>
      <c r="W2075" s="26" t="s">
        <v>146</v>
      </c>
      <c r="X2075" s="98"/>
      <c r="Y2075" s="108" t="s">
        <v>137</v>
      </c>
      <c r="Z2075" s="26" t="s">
        <v>146</v>
      </c>
      <c r="AA2075" s="98"/>
      <c r="AB2075" s="108" t="s">
        <v>137</v>
      </c>
      <c r="AC2075" s="26" t="s">
        <v>146</v>
      </c>
      <c r="AD2075" s="98"/>
      <c r="AE2075" s="108" t="s">
        <v>137</v>
      </c>
      <c r="AF2075" s="26" t="s">
        <v>146</v>
      </c>
      <c r="AG2075" s="98"/>
      <c r="AH2075" s="108" t="s">
        <v>137</v>
      </c>
      <c r="AI2075" s="26" t="s">
        <v>146</v>
      </c>
      <c r="AJ2075" s="98"/>
      <c r="AK2075" s="108" t="s">
        <v>137</v>
      </c>
      <c r="AL2075" s="26" t="s">
        <v>146</v>
      </c>
      <c r="AM2075" s="98"/>
      <c r="AN2075" s="108" t="s">
        <v>137</v>
      </c>
      <c r="AO2075" s="26" t="s">
        <v>146</v>
      </c>
      <c r="AP2075" s="98"/>
      <c r="AQ2075" s="108" t="s">
        <v>137</v>
      </c>
      <c r="AR2075" s="26" t="s">
        <v>146</v>
      </c>
      <c r="AS2075" s="98"/>
      <c r="AT2075" s="108" t="s">
        <v>137</v>
      </c>
      <c r="AU2075" s="26" t="s">
        <v>146</v>
      </c>
    </row>
    <row r="2076" spans="15:47" ht="13.8" x14ac:dyDescent="0.25">
      <c r="O2076" s="20" t="s">
        <v>136</v>
      </c>
      <c r="P2076" s="1"/>
      <c r="Q2076" s="1"/>
      <c r="R2076" s="96">
        <f>R2062*1.02</f>
        <v>5739.9979963396245</v>
      </c>
      <c r="S2076" s="109" t="s">
        <v>144</v>
      </c>
      <c r="T2076" s="23" t="s">
        <v>147</v>
      </c>
      <c r="U2076" s="96">
        <f ca="1">U2062*1.01</f>
        <v>50053.966255554857</v>
      </c>
      <c r="V2076" s="109" t="s">
        <v>144</v>
      </c>
      <c r="W2076" s="23" t="s">
        <v>147</v>
      </c>
      <c r="X2076" s="96">
        <f ca="1">X2062*1.01</f>
        <v>122563.7772691041</v>
      </c>
      <c r="Y2076" s="109" t="s">
        <v>144</v>
      </c>
      <c r="Z2076" s="23" t="s">
        <v>147</v>
      </c>
      <c r="AA2076" s="96">
        <f ca="1">AA2062*1.01</f>
        <v>238722.95427822467</v>
      </c>
      <c r="AB2076" s="109" t="s">
        <v>144</v>
      </c>
      <c r="AC2076" s="23" t="s">
        <v>147</v>
      </c>
      <c r="AD2076" s="96">
        <f ca="1">AD2062*1.01</f>
        <v>400502.85569148249</v>
      </c>
      <c r="AE2076" s="109" t="s">
        <v>144</v>
      </c>
      <c r="AF2076" s="23" t="s">
        <v>147</v>
      </c>
      <c r="AG2076" s="96">
        <f ca="1">AG2062*1.01</f>
        <v>584544.82603427616</v>
      </c>
      <c r="AH2076" s="109" t="s">
        <v>144</v>
      </c>
      <c r="AI2076" s="23" t="s">
        <v>147</v>
      </c>
      <c r="AJ2076" s="96">
        <f ca="1">AJ2062*1.01</f>
        <v>780077.3363700608</v>
      </c>
      <c r="AK2076" s="109" t="s">
        <v>144</v>
      </c>
      <c r="AL2076" s="23" t="s">
        <v>147</v>
      </c>
      <c r="AM2076" s="96">
        <f ca="1">AM2062*1.01</f>
        <v>951842.59622788825</v>
      </c>
      <c r="AN2076" s="109" t="s">
        <v>144</v>
      </c>
      <c r="AO2076" s="23" t="s">
        <v>147</v>
      </c>
      <c r="AP2076" s="96">
        <f ca="1">AP2062*1.01</f>
        <v>1105059.7046193588</v>
      </c>
      <c r="AQ2076" s="109" t="s">
        <v>144</v>
      </c>
      <c r="AR2076" s="23" t="s">
        <v>147</v>
      </c>
      <c r="AS2076" s="96">
        <f ca="1">AS2062*1.01</f>
        <v>1295769.4110023505</v>
      </c>
      <c r="AT2076" s="109" t="s">
        <v>144</v>
      </c>
      <c r="AU2076" s="23" t="s">
        <v>147</v>
      </c>
    </row>
    <row r="2077" spans="15:47" x14ac:dyDescent="0.25">
      <c r="O2077" s="1"/>
      <c r="P2077" s="1"/>
      <c r="Q2077" s="1"/>
      <c r="R2077" s="98"/>
      <c r="S2077" s="107"/>
      <c r="T2077" s="1"/>
      <c r="U2077" s="47"/>
      <c r="V2077" s="107"/>
      <c r="W2077" s="1"/>
      <c r="X2077" s="47"/>
      <c r="Y2077" s="107"/>
      <c r="Z2077" s="1"/>
      <c r="AA2077" s="47"/>
      <c r="AB2077" s="107"/>
      <c r="AC2077" s="1"/>
      <c r="AD2077" s="47"/>
      <c r="AE2077" s="107"/>
      <c r="AF2077" s="1"/>
      <c r="AG2077" s="47"/>
      <c r="AH2077" s="107"/>
      <c r="AI2077" s="1"/>
      <c r="AJ2077" s="47"/>
      <c r="AK2077" s="107"/>
      <c r="AL2077" s="1"/>
      <c r="AM2077" s="47"/>
      <c r="AN2077" s="107"/>
      <c r="AO2077" s="1"/>
      <c r="AP2077" s="47"/>
      <c r="AQ2077" s="107"/>
      <c r="AR2077" s="1"/>
      <c r="AS2077" s="47"/>
      <c r="AT2077" s="107"/>
      <c r="AU2077" s="1"/>
    </row>
    <row r="2078" spans="15:47" x14ac:dyDescent="0.25">
      <c r="O2078" s="8" t="s">
        <v>132</v>
      </c>
      <c r="P2078" s="8"/>
      <c r="Q2078" s="8"/>
      <c r="R2078" s="96">
        <f>P_1_minQ-(R2076^2*R_up)+dpup_minQ</f>
        <v>90.179035474850025</v>
      </c>
      <c r="S2078" s="106"/>
      <c r="T2078" s="22"/>
      <c r="U2078" s="96">
        <f ca="1">P_1_minQ-(U2076^2*R_up)+dpup_minQ</f>
        <v>89.728404127552878</v>
      </c>
      <c r="V2078" s="107"/>
      <c r="W2078" s="1"/>
      <c r="X2078" s="96">
        <f ca="1">P_1_minQ-(X2076^2*R_up)+dpup_minQ</f>
        <v>87.447139084911328</v>
      </c>
      <c r="Y2078" s="107"/>
      <c r="Z2078" s="1"/>
      <c r="AA2078" s="96">
        <f ca="1">P_1_minQ-(AA2076^2*R_up)+dpup_minQ</f>
        <v>79.79823745374587</v>
      </c>
      <c r="AB2078" s="107"/>
      <c r="AC2078" s="1"/>
      <c r="AD2078" s="96">
        <f ca="1">P_1_minQ-(AD2076^2*R_up)+dpup_minQ</f>
        <v>60.94992790166026</v>
      </c>
      <c r="AE2078" s="107"/>
      <c r="AF2078" s="1"/>
      <c r="AG2078" s="96">
        <f ca="1">P_1_minQ-(AG2076^2*R_up)+dpup_minQ</f>
        <v>27.907826126483286</v>
      </c>
      <c r="AH2078" s="107"/>
      <c r="AI2078" s="1"/>
      <c r="AJ2078" s="96">
        <f ca="1">P_1_minQ-(AJ2076^2*R_up)+dpup_minQ</f>
        <v>-20.724487754325523</v>
      </c>
      <c r="AK2078" s="107"/>
      <c r="AL2078" s="1"/>
      <c r="AM2078" s="96">
        <f ca="1">P_1_minQ-(AM2076^2*R_up)+dpup_minQ</f>
        <v>-74.94413384203429</v>
      </c>
      <c r="AN2078" s="107"/>
      <c r="AO2078" s="1"/>
      <c r="AP2078" s="96">
        <f ca="1">P_1_minQ-(AP2076^2*R_up)+dpup_minQ</f>
        <v>-132.38413803725354</v>
      </c>
      <c r="AQ2078" s="107"/>
      <c r="AR2078" s="1"/>
      <c r="AS2078" s="96">
        <f ca="1">P_1_minQ-(AS2076^2*R_up)+dpup_minQ</f>
        <v>-215.83437686946445</v>
      </c>
      <c r="AT2078" s="107"/>
      <c r="AU2078" s="1"/>
    </row>
    <row r="2079" spans="15:47" x14ac:dyDescent="0.25">
      <c r="O2079" s="8" t="s">
        <v>134</v>
      </c>
      <c r="P2079" s="1"/>
      <c r="Q2079" s="8"/>
      <c r="R2079" s="97">
        <f>P_2_minQ+(R2076^2*R_dn)-dpdn_minQ</f>
        <v>60</v>
      </c>
      <c r="S2079" s="106"/>
      <c r="T2079" s="22"/>
      <c r="U2079" s="97">
        <f ca="1">P_2_minQ+(U2076^2*R_dn)-dpdn_minQ</f>
        <v>60</v>
      </c>
      <c r="V2079" s="107"/>
      <c r="W2079" s="1"/>
      <c r="X2079" s="97">
        <f ca="1">P_2_minQ+(X2076^2*R_dn)-dpdn_minQ</f>
        <v>60</v>
      </c>
      <c r="Y2079" s="107"/>
      <c r="Z2079" s="1"/>
      <c r="AA2079" s="97">
        <f ca="1">P_2_minQ+(AA2076^2*R_dn)-dpdn_minQ</f>
        <v>60</v>
      </c>
      <c r="AB2079" s="107"/>
      <c r="AC2079" s="1"/>
      <c r="AD2079" s="97">
        <f ca="1">P_2_minQ+(AD2076^2*R_dn)-dpdn_minQ</f>
        <v>60</v>
      </c>
      <c r="AE2079" s="107"/>
      <c r="AF2079" s="1"/>
      <c r="AG2079" s="97">
        <f ca="1">P_2_minQ+(AG2076^2*R_dn)-dpdn_minQ</f>
        <v>60</v>
      </c>
      <c r="AH2079" s="107"/>
      <c r="AI2079" s="1"/>
      <c r="AJ2079" s="97">
        <f ca="1">P_2_minQ+(AJ2076^2*R_dn)-dpdn_minQ</f>
        <v>60</v>
      </c>
      <c r="AK2079" s="107"/>
      <c r="AL2079" s="1"/>
      <c r="AM2079" s="97">
        <f ca="1">P_2_minQ+(AM2076^2*R_dn)-dpdn_minQ</f>
        <v>60</v>
      </c>
      <c r="AN2079" s="107"/>
      <c r="AO2079" s="1"/>
      <c r="AP2079" s="97">
        <f ca="1">P_2_minQ+(AP2076^2*R_dn)-dpdn_minQ</f>
        <v>60</v>
      </c>
      <c r="AQ2079" s="107"/>
      <c r="AR2079" s="1"/>
      <c r="AS2079" s="97">
        <f ca="1">P_2_minQ+(AS2076^2*R_dn)-dpdn_minQ</f>
        <v>60</v>
      </c>
      <c r="AT2079" s="107"/>
      <c r="AU2079" s="1"/>
    </row>
    <row r="2080" spans="15:47" x14ac:dyDescent="0.25">
      <c r="O2080" s="8" t="s">
        <v>138</v>
      </c>
      <c r="P2080" s="1"/>
      <c r="Q2080" s="8"/>
      <c r="R2080" s="97">
        <f>R2078-R2079</f>
        <v>30.179035474850025</v>
      </c>
      <c r="S2080" s="106"/>
      <c r="T2080" s="22"/>
      <c r="U2080" s="97">
        <f ca="1">U2078-U2079</f>
        <v>29.728404127552878</v>
      </c>
      <c r="V2080" s="110"/>
      <c r="W2080" s="25"/>
      <c r="X2080" s="97">
        <f ca="1">X2078-X2079</f>
        <v>27.447139084911328</v>
      </c>
      <c r="Y2080" s="110"/>
      <c r="Z2080" s="25"/>
      <c r="AA2080" s="97">
        <f ca="1">AA2078-AA2079</f>
        <v>19.79823745374587</v>
      </c>
      <c r="AB2080" s="110"/>
      <c r="AC2080" s="25"/>
      <c r="AD2080" s="97">
        <f ca="1">AD2078-AD2079</f>
        <v>0.94992790166025998</v>
      </c>
      <c r="AE2080" s="110"/>
      <c r="AF2080" s="25"/>
      <c r="AG2080" s="97">
        <f ca="1">AG2078-AG2079</f>
        <v>-32.092173873516714</v>
      </c>
      <c r="AH2080" s="110"/>
      <c r="AI2080" s="25"/>
      <c r="AJ2080" s="97">
        <f ca="1">AJ2078-AJ2079</f>
        <v>-80.724487754325523</v>
      </c>
      <c r="AK2080" s="110"/>
      <c r="AL2080" s="25"/>
      <c r="AM2080" s="97">
        <f ca="1">AM2078-AM2079</f>
        <v>-134.94413384203429</v>
      </c>
      <c r="AN2080" s="110"/>
      <c r="AO2080" s="25"/>
      <c r="AP2080" s="97">
        <f ca="1">AP2078-AP2079</f>
        <v>-192.38413803725354</v>
      </c>
      <c r="AQ2080" s="110"/>
      <c r="AR2080" s="25"/>
      <c r="AS2080" s="97">
        <f ca="1">AS2078-AS2079</f>
        <v>-275.83437686946445</v>
      </c>
      <c r="AT2080" s="110"/>
      <c r="AU2080" s="25"/>
    </row>
    <row r="2081" spans="15:47" ht="14.4" x14ac:dyDescent="0.3">
      <c r="O2081" s="2" t="s">
        <v>140</v>
      </c>
      <c r="P2081" s="11"/>
      <c r="Q2081" s="2"/>
      <c r="R2081" s="96">
        <f>R2080/R2078</f>
        <v>0.334656889108851</v>
      </c>
      <c r="S2081" s="106"/>
      <c r="T2081" s="22"/>
      <c r="U2081" s="96">
        <f ca="1">U2080/U2078</f>
        <v>0.33131542254214891</v>
      </c>
      <c r="V2081" s="111"/>
      <c r="W2081" s="28"/>
      <c r="X2081" s="96">
        <f ca="1">X2080/X2078</f>
        <v>0.31387120690432313</v>
      </c>
      <c r="Y2081" s="111"/>
      <c r="Z2081" s="28"/>
      <c r="AA2081" s="96">
        <f ca="1">AA2080/AA2078</f>
        <v>0.24810369358372972</v>
      </c>
      <c r="AB2081" s="111"/>
      <c r="AC2081" s="28"/>
      <c r="AD2081" s="96">
        <f ca="1">AD2080/AD2078</f>
        <v>1.5585381875970753E-2</v>
      </c>
      <c r="AE2081" s="111"/>
      <c r="AF2081" s="28"/>
      <c r="AG2081" s="96">
        <f ca="1">AG2080/AG2078</f>
        <v>-1.1499345641638017</v>
      </c>
      <c r="AH2081" s="111"/>
      <c r="AI2081" s="28"/>
      <c r="AJ2081" s="96">
        <f ca="1">AJ2080/AJ2078</f>
        <v>3.8951258391164369</v>
      </c>
      <c r="AK2081" s="111"/>
      <c r="AL2081" s="28"/>
      <c r="AM2081" s="96">
        <f ca="1">AM2080/AM2078</f>
        <v>1.8005963498953337</v>
      </c>
      <c r="AN2081" s="111"/>
      <c r="AO2081" s="28"/>
      <c r="AP2081" s="96">
        <f ca="1">AP2080/AP2078</f>
        <v>1.4532265034887768</v>
      </c>
      <c r="AQ2081" s="111"/>
      <c r="AR2081" s="28"/>
      <c r="AS2081" s="96">
        <f ca="1">AS2080/AS2078</f>
        <v>1.277990933929342</v>
      </c>
      <c r="AT2081" s="111"/>
      <c r="AU2081" s="28"/>
    </row>
    <row r="2082" spans="15:47" x14ac:dyDescent="0.25">
      <c r="O2082" s="2" t="s">
        <v>21</v>
      </c>
      <c r="P2082" s="8">
        <v>12</v>
      </c>
      <c r="Q2082" s="2"/>
      <c r="R2082" s="96">
        <f ca="1">1-R2081/(3*F_GAMMA*R$29)</f>
        <v>0.82570762450093338</v>
      </c>
      <c r="S2082" s="106"/>
      <c r="T2082" s="22"/>
      <c r="U2082" s="96">
        <f ca="1">1-U2081/(3*F_GAMMA*U$29)</f>
        <v>0.8274879773683872</v>
      </c>
      <c r="V2082" s="111"/>
      <c r="W2082" s="28"/>
      <c r="X2082" s="96">
        <f ca="1">1-X2081/(3*F_GAMMA*X$29)</f>
        <v>0.83501443849867518</v>
      </c>
      <c r="Y2082" s="111"/>
      <c r="Z2082" s="28"/>
      <c r="AA2082" s="96">
        <f ca="1">1-AA2081/(3*F_GAMMA*AA$29)</f>
        <v>0.86774661510784001</v>
      </c>
      <c r="AB2082" s="111"/>
      <c r="AC2082" s="28"/>
      <c r="AD2082" s="96">
        <f ca="1">1-AD2081/(3*F_GAMMA*AD$29)</f>
        <v>0.99143444213940923</v>
      </c>
      <c r="AE2082" s="111"/>
      <c r="AF2082" s="28"/>
      <c r="AG2082" s="96">
        <f ca="1">1-AG2081/(3*F_GAMMA*AG$29)</f>
        <v>1.6699150424670655</v>
      </c>
      <c r="AH2082" s="111"/>
      <c r="AI2082" s="28"/>
      <c r="AJ2082" s="96">
        <f ca="1">1-AJ2081/(3*F_GAMMA*AJ$29)</f>
        <v>-1.4413222170932078</v>
      </c>
      <c r="AK2082" s="111"/>
      <c r="AL2082" s="28"/>
      <c r="AM2082" s="96">
        <f ca="1">1-AM2081/(3*F_GAMMA*AM$29)</f>
        <v>-0.26180952042552863</v>
      </c>
      <c r="AN2082" s="111"/>
      <c r="AO2082" s="28"/>
      <c r="AP2082" s="96">
        <f ca="1">1-AP2081/(3*F_GAMMA*AP$29)</f>
        <v>0.1797210412902257</v>
      </c>
      <c r="AQ2082" s="111"/>
      <c r="AR2082" s="28"/>
      <c r="AS2082" s="96">
        <f ca="1">1-AS2081/(3*F_GAMMA*AS$29)</f>
        <v>-0.1308955066573112</v>
      </c>
      <c r="AT2082" s="111"/>
      <c r="AU2082" s="28"/>
    </row>
    <row r="2083" spans="15:47" x14ac:dyDescent="0.25">
      <c r="O2083" s="2" t="s">
        <v>57</v>
      </c>
      <c r="P2083" s="143">
        <v>7</v>
      </c>
      <c r="Q2083" s="2"/>
      <c r="R2083" s="96">
        <f ca="1">(R2076/(N_9*R$27*R2078*R2082))*SQRT(M*'Valve Sizing'!$W$6*'Valve Sizing'!$G$8/R2081)</f>
        <v>2.3182806453956739</v>
      </c>
      <c r="S2083" s="107"/>
      <c r="T2083" s="22"/>
      <c r="U2083" s="96">
        <f ca="1">(U2076/(N_9*U$27*U2078*U2082))*SQRT(M*'Valve Sizing'!$W$6*'Valve Sizing'!$G$8/U2081)</f>
        <v>20.389047240965471</v>
      </c>
      <c r="V2083" s="111"/>
      <c r="W2083" s="28"/>
      <c r="X2083" s="96">
        <f ca="1">(X2076/(N_9*X$27*X2078*X2082))*SQRT(M*'Valve Sizing'!$W$6*'Valve Sizing'!$G$8/X2081)</f>
        <v>52.277679960300468</v>
      </c>
      <c r="Y2083" s="111"/>
      <c r="Z2083" s="28"/>
      <c r="AA2083" s="96">
        <f ca="1">(AA2076/(N_9*AA$27*AA2078*AA2082))*SQRT(M*'Valve Sizing'!$W$6*'Valve Sizing'!$G$8/AA2081)</f>
        <v>121.48718118520688</v>
      </c>
      <c r="AB2083" s="111"/>
      <c r="AC2083" s="28"/>
      <c r="AD2083" s="96">
        <f ca="1">(AD2076/(N_9*AD$27*AD2078*AD2082))*SQRT(M*'Valve Sizing'!$W$6*'Valve Sizing'!$G$8/AD2081)</f>
        <v>943.39967193279608</v>
      </c>
      <c r="AE2083" s="111"/>
      <c r="AF2083" s="28"/>
      <c r="AG2083" s="96" t="e">
        <f ca="1">(AG2076/(N_9*AG$27*AG2078*AG2082))*SQRT(M*'Valve Sizing'!$W$6*'Valve Sizing'!$G$8/AG2081)</f>
        <v>#NUM!</v>
      </c>
      <c r="AH2083" s="111"/>
      <c r="AI2083" s="28"/>
      <c r="AJ2083" s="96">
        <f ca="1">(AJ2076/(N_9*AJ$27*AJ2078*AJ2082))*SQRT(M*'Valve Sizing'!$W$6*'Valve Sizing'!$G$8/AJ2081)</f>
        <v>249.11874470365731</v>
      </c>
      <c r="AK2083" s="111"/>
      <c r="AL2083" s="28"/>
      <c r="AM2083" s="96">
        <f ca="1">(AM2076/(N_9*AM$27*AM2078*AM2082))*SQRT(M*'Valve Sizing'!$W$6*'Valve Sizing'!$G$8/AM2081)</f>
        <v>722.14921727929107</v>
      </c>
      <c r="AN2083" s="111"/>
      <c r="AO2083" s="28"/>
      <c r="AP2083" s="96">
        <f ca="1">(AP2076/(N_9*AP$27*AP2078*AP2082))*SQRT(M*'Valve Sizing'!$W$6*'Valve Sizing'!$G$8/AP2081)</f>
        <v>-875.9791048600058</v>
      </c>
      <c r="AQ2083" s="111"/>
      <c r="AR2083" s="28"/>
      <c r="AS2083" s="96">
        <f ca="1">(AS2076/(N_9*AS$27*AS2078*AS2082))*SQRT(M*'Valve Sizing'!$W$6*'Valve Sizing'!$G$8/AS2081)</f>
        <v>1235.4780601810851</v>
      </c>
      <c r="AT2083" s="111"/>
      <c r="AU2083" s="28"/>
    </row>
    <row r="2084" spans="15:47" x14ac:dyDescent="0.25">
      <c r="O2084" s="2" t="s">
        <v>59</v>
      </c>
      <c r="P2084" s="143">
        <v>7</v>
      </c>
      <c r="Q2084" s="2"/>
      <c r="R2084" s="96">
        <f ca="1">(R2076/(N_9*R$27*R2078*0.667))*SQRT(M*'Valve Sizing'!$W$6*'Valve Sizing'!$G$8/R2085)</f>
        <v>2.0752302639539915</v>
      </c>
      <c r="S2084" s="107"/>
      <c r="T2084" s="22"/>
      <c r="U2084" s="96">
        <f ca="1">(U2076/(N_9*U$27*U2078*0.667))*SQRT(M*'Valve Sizing'!$W$6*'Valve Sizing'!$G$8/U2085)</f>
        <v>18.197138549319583</v>
      </c>
      <c r="V2084" s="111"/>
      <c r="W2084" s="28"/>
      <c r="X2084" s="96">
        <f ca="1">(X2076/(N_9*X$27*X2078*0.667))*SQRT(M*'Valve Sizing'!$W$6*'Valve Sizing'!$G$8/X2085)</f>
        <v>46.043470809128422</v>
      </c>
      <c r="Y2084" s="111"/>
      <c r="Z2084" s="28"/>
      <c r="AA2084" s="96">
        <f ca="1">(AA2076/(N_9*AA$27*AA2078*0.667))*SQRT(M*'Valve Sizing'!$W$6*'Valve Sizing'!$G$8/AA2085)</f>
        <v>99.554655811303434</v>
      </c>
      <c r="AB2084" s="111"/>
      <c r="AC2084" s="28"/>
      <c r="AD2084" s="96">
        <f ca="1">(AD2076/(N_9*AD$27*AD2078*0.667))*SQRT(M*'Valve Sizing'!$W$6*'Valve Sizing'!$G$8/AD2085)</f>
        <v>224.78759610805275</v>
      </c>
      <c r="AE2084" s="111"/>
      <c r="AF2084" s="28"/>
      <c r="AG2084" s="96">
        <f ca="1">(AG2076/(N_9*AG$27*AG2078*0.667))*SQRT(M*'Valve Sizing'!$W$6*'Valve Sizing'!$G$8/AG2085)</f>
        <v>754.31239854026921</v>
      </c>
      <c r="AH2084" s="111"/>
      <c r="AI2084" s="28"/>
      <c r="AJ2084" s="96">
        <f ca="1">(AJ2076/(N_9*AJ$27*AJ2078*0.667))*SQRT(M*'Valve Sizing'!$W$6*'Valve Sizing'!$G$8/AJ2085)</f>
        <v>-1456.849982412273</v>
      </c>
      <c r="AK2084" s="111"/>
      <c r="AL2084" s="28"/>
      <c r="AM2084" s="96">
        <f ca="1">(AM2076/(N_9*AM$27*AM2078*0.667))*SQRT(M*'Valve Sizing'!$W$6*'Valve Sizing'!$G$8/AM2085)</f>
        <v>-551.49816708872731</v>
      </c>
      <c r="AN2084" s="111"/>
      <c r="AO2084" s="28"/>
      <c r="AP2084" s="96">
        <f ca="1">(AP2076/(N_9*AP$27*AP2078*0.667))*SQRT(M*'Valve Sizing'!$W$6*'Valve Sizing'!$G$8/AP2085)</f>
        <v>-370.26124083199733</v>
      </c>
      <c r="AQ2084" s="111"/>
      <c r="AR2084" s="28"/>
      <c r="AS2084" s="96">
        <f ca="1">(AS2076/(N_9*AS$27*AS2078*0.667))*SQRT(M*'Valve Sizing'!$W$6*'Valve Sizing'!$G$8/AS2085)</f>
        <v>-446.58672436731291</v>
      </c>
      <c r="AT2084" s="111"/>
      <c r="AU2084" s="28"/>
    </row>
    <row r="2085" spans="15:47" ht="15.6" x14ac:dyDescent="0.35">
      <c r="O2085" s="2" t="s">
        <v>68</v>
      </c>
      <c r="P2085" s="143">
        <v>10</v>
      </c>
      <c r="Q2085" s="2"/>
      <c r="R2085" s="96">
        <f ca="1">F_GAMMA*R$29</f>
        <v>0.64002969751372984</v>
      </c>
      <c r="S2085" s="107"/>
      <c r="T2085" s="1"/>
      <c r="U2085" s="96">
        <f ca="1">F_GAMMA*U$29</f>
        <v>0.64017842058782071</v>
      </c>
      <c r="V2085" s="111"/>
      <c r="W2085" s="28"/>
      <c r="X2085" s="96">
        <f ca="1">F_GAMMA*X$29</f>
        <v>0.63413873724904268</v>
      </c>
      <c r="Y2085" s="111"/>
      <c r="Z2085" s="28"/>
      <c r="AA2085" s="96">
        <f ca="1">F_GAMMA*AA$29</f>
        <v>0.62532411750377137</v>
      </c>
      <c r="AB2085" s="111"/>
      <c r="AC2085" s="28"/>
      <c r="AD2085" s="96">
        <f ca="1">F_GAMMA*AD$29</f>
        <v>0.60651359509139569</v>
      </c>
      <c r="AE2085" s="111"/>
      <c r="AF2085" s="28"/>
      <c r="AG2085" s="96">
        <f ca="1">F_GAMMA*AG$29</f>
        <v>0.57217930198481592</v>
      </c>
      <c r="AH2085" s="111"/>
      <c r="AI2085" s="28"/>
      <c r="AJ2085" s="96">
        <f ca="1">F_GAMMA*AJ$29</f>
        <v>0.53183282018848232</v>
      </c>
      <c r="AK2085" s="111"/>
      <c r="AL2085" s="28"/>
      <c r="AM2085" s="96">
        <f ca="1">F_GAMMA*AM$29</f>
        <v>0.47566512503094399</v>
      </c>
      <c r="AN2085" s="111"/>
      <c r="AO2085" s="28"/>
      <c r="AP2085" s="96">
        <f ca="1">F_GAMMA*AP$29</f>
        <v>0.59054158265645496</v>
      </c>
      <c r="AQ2085" s="111"/>
      <c r="AR2085" s="28"/>
      <c r="AS2085" s="96">
        <f ca="1">F_GAMMA*AS$29</f>
        <v>0.3766899554102966</v>
      </c>
      <c r="AT2085" s="111"/>
      <c r="AU2085" s="28"/>
    </row>
    <row r="2086" spans="15:47" x14ac:dyDescent="0.25">
      <c r="O2086" s="2" t="s">
        <v>145</v>
      </c>
      <c r="P2086" s="12"/>
      <c r="Q2086" s="2"/>
      <c r="R2086" s="96">
        <f ca="1">IF(R2081&lt;R2085,R2083,R2084)</f>
        <v>2.3182806453956739</v>
      </c>
      <c r="S2086" s="116"/>
      <c r="T2086" s="1"/>
      <c r="U2086" s="96">
        <f ca="1">IF(U2081&lt;U2085,U2083,U2084)</f>
        <v>20.389047240965471</v>
      </c>
      <c r="V2086" s="111"/>
      <c r="W2086" s="28"/>
      <c r="X2086" s="96">
        <f ca="1">IF(X2081&lt;X2085,X2083,X2084)</f>
        <v>52.277679960300468</v>
      </c>
      <c r="Y2086" s="111"/>
      <c r="Z2086" s="28"/>
      <c r="AA2086" s="96">
        <f ca="1">IF(AA2081&lt;AA2085,AA2083,AA2084)</f>
        <v>121.48718118520688</v>
      </c>
      <c r="AB2086" s="111"/>
      <c r="AC2086" s="28"/>
      <c r="AD2086" s="96">
        <f ca="1">IF(AD2081&lt;AD2085,AD2083,AD2084)</f>
        <v>943.39967193279608</v>
      </c>
      <c r="AE2086" s="111"/>
      <c r="AF2086" s="28"/>
      <c r="AG2086" s="96" t="e">
        <f ca="1">IF(AG2081&lt;AG2085,AG2083,AG2084)</f>
        <v>#NUM!</v>
      </c>
      <c r="AH2086" s="111"/>
      <c r="AI2086" s="28"/>
      <c r="AJ2086" s="96">
        <f ca="1">IF(AJ2081&lt;AJ2085,AJ2083,AJ2084)</f>
        <v>-1456.849982412273</v>
      </c>
      <c r="AK2086" s="111"/>
      <c r="AL2086" s="28"/>
      <c r="AM2086" s="96">
        <f ca="1">IF(AM2081&lt;AM2085,AM2083,AM2084)</f>
        <v>-551.49816708872731</v>
      </c>
      <c r="AN2086" s="111"/>
      <c r="AO2086" s="28"/>
      <c r="AP2086" s="96">
        <f ca="1">IF(AP2081&lt;AP2085,AP2083,AP2084)</f>
        <v>-370.26124083199733</v>
      </c>
      <c r="AQ2086" s="111"/>
      <c r="AR2086" s="28"/>
      <c r="AS2086" s="96">
        <f ca="1">IF(AS2081&lt;AS2085,AS2083,AS2084)</f>
        <v>-446.58672436731291</v>
      </c>
      <c r="AT2086" s="111"/>
      <c r="AU2086" s="28"/>
    </row>
    <row r="2087" spans="15:47" x14ac:dyDescent="0.25">
      <c r="O2087" s="13" t="s">
        <v>143</v>
      </c>
      <c r="P2087" s="1"/>
      <c r="Q2087" s="1"/>
      <c r="R2087" s="113"/>
      <c r="S2087" s="106">
        <f ca="1">IF(R2080&lt;=0,Q_max,ABS(R$23-R2086))</f>
        <v>2.4117193546043265</v>
      </c>
      <c r="T2087" s="7">
        <f>R2076</f>
        <v>5739.9979963396245</v>
      </c>
      <c r="U2087" s="98"/>
      <c r="V2087" s="106">
        <f ca="1">IF(U2080&lt;=0,Q_max,ABS(U$23-U2086))</f>
        <v>8.7890472409654716</v>
      </c>
      <c r="W2087" s="9">
        <f ca="1">U2076</f>
        <v>50053.966255554857</v>
      </c>
      <c r="X2087" s="98"/>
      <c r="Y2087" s="106">
        <f ca="1">IF(X2080&lt;=0,Q_max,ABS(X$23-X2086))</f>
        <v>29.277679960300468</v>
      </c>
      <c r="Z2087" s="9">
        <f ca="1">X2076</f>
        <v>122563.7772691041</v>
      </c>
      <c r="AA2087" s="98"/>
      <c r="AB2087" s="106">
        <f ca="1">IF(AA2080&lt;=0,Q_max,ABS(AA$23-AA2086))</f>
        <v>82.087181185206873</v>
      </c>
      <c r="AC2087" s="9">
        <f ca="1">AA2076</f>
        <v>238722.95427822467</v>
      </c>
      <c r="AD2087" s="98"/>
      <c r="AE2087" s="106">
        <f ca="1">IF(AD2080&lt;=0,Q_max,ABS(AD$23-AD2086))</f>
        <v>882.39967193279608</v>
      </c>
      <c r="AF2087" s="9">
        <f ca="1">AD2076</f>
        <v>400502.85569148249</v>
      </c>
      <c r="AG2087" s="98"/>
      <c r="AH2087" s="106">
        <f ca="1">IF(AG2080&lt;=0,Q_max,ABS(AG$23-AG2086))</f>
        <v>236393</v>
      </c>
      <c r="AI2087" s="9">
        <f ca="1">AG2076</f>
        <v>584544.82603427616</v>
      </c>
      <c r="AJ2087" s="98"/>
      <c r="AK2087" s="106">
        <f ca="1">IF(AJ2080&lt;=0,Q_max,ABS(AJ$23-AJ2086))</f>
        <v>236393</v>
      </c>
      <c r="AL2087" s="9">
        <f ca="1">AJ2076</f>
        <v>780077.3363700608</v>
      </c>
      <c r="AM2087" s="98"/>
      <c r="AN2087" s="106">
        <f ca="1">IF(AM2080&lt;=0,Q_max,ABS(AM$23-AM2086))</f>
        <v>236393</v>
      </c>
      <c r="AO2087" s="9">
        <f ca="1">AM2076</f>
        <v>951842.59622788825</v>
      </c>
      <c r="AP2087" s="98"/>
      <c r="AQ2087" s="106">
        <f ca="1">IF(AP2080&lt;=0,Q_max,ABS(AP$23-AP2086))</f>
        <v>236393</v>
      </c>
      <c r="AR2087" s="9">
        <f ca="1">AP2076</f>
        <v>1105059.7046193588</v>
      </c>
      <c r="AS2087" s="98"/>
      <c r="AT2087" s="106">
        <f ca="1">IF(AS2080&lt;=0,Q_max,ABS(AS$23-AS2086))</f>
        <v>236393</v>
      </c>
      <c r="AU2087" s="9">
        <f ca="1">AS2076</f>
        <v>1295769.4110023505</v>
      </c>
    </row>
    <row r="2088" spans="15:47" ht="13.8" x14ac:dyDescent="0.25">
      <c r="O2088" s="21"/>
      <c r="P2088" s="21"/>
      <c r="Q2088" s="21"/>
      <c r="R2088" s="114"/>
      <c r="S2088" s="117"/>
      <c r="T2088" s="25"/>
      <c r="U2088" s="99"/>
      <c r="V2088" s="111"/>
      <c r="W2088" s="28"/>
      <c r="X2088" s="99"/>
      <c r="Y2088" s="111"/>
      <c r="Z2088" s="28"/>
      <c r="AA2088" s="99"/>
      <c r="AB2088" s="111"/>
      <c r="AC2088" s="28"/>
      <c r="AD2088" s="99"/>
      <c r="AE2088" s="111"/>
      <c r="AF2088" s="28"/>
      <c r="AG2088" s="99"/>
      <c r="AH2088" s="111"/>
      <c r="AI2088" s="28"/>
      <c r="AJ2088" s="99"/>
      <c r="AK2088" s="111"/>
      <c r="AL2088" s="28"/>
      <c r="AM2088" s="99"/>
      <c r="AN2088" s="111"/>
      <c r="AO2088" s="28"/>
      <c r="AP2088" s="99"/>
      <c r="AQ2088" s="111"/>
      <c r="AR2088" s="28"/>
      <c r="AS2088" s="99"/>
      <c r="AT2088" s="111"/>
      <c r="AU2088" s="28"/>
    </row>
    <row r="2089" spans="15:47" x14ac:dyDescent="0.25">
      <c r="O2089" s="1"/>
      <c r="P2089" s="1"/>
      <c r="Q2089" s="1"/>
      <c r="R2089" s="98"/>
      <c r="S2089" s="108" t="s">
        <v>137</v>
      </c>
      <c r="T2089" s="26" t="s">
        <v>146</v>
      </c>
      <c r="U2089" s="98"/>
      <c r="V2089" s="108" t="s">
        <v>137</v>
      </c>
      <c r="W2089" s="26" t="s">
        <v>146</v>
      </c>
      <c r="X2089" s="98"/>
      <c r="Y2089" s="108" t="s">
        <v>137</v>
      </c>
      <c r="Z2089" s="26" t="s">
        <v>146</v>
      </c>
      <c r="AA2089" s="98"/>
      <c r="AB2089" s="108" t="s">
        <v>137</v>
      </c>
      <c r="AC2089" s="26" t="s">
        <v>146</v>
      </c>
      <c r="AD2089" s="98"/>
      <c r="AE2089" s="108" t="s">
        <v>137</v>
      </c>
      <c r="AF2089" s="26" t="s">
        <v>146</v>
      </c>
      <c r="AG2089" s="98"/>
      <c r="AH2089" s="108" t="s">
        <v>137</v>
      </c>
      <c r="AI2089" s="26" t="s">
        <v>146</v>
      </c>
      <c r="AJ2089" s="98"/>
      <c r="AK2089" s="108" t="s">
        <v>137</v>
      </c>
      <c r="AL2089" s="26" t="s">
        <v>146</v>
      </c>
      <c r="AM2089" s="98"/>
      <c r="AN2089" s="108" t="s">
        <v>137</v>
      </c>
      <c r="AO2089" s="26" t="s">
        <v>146</v>
      </c>
      <c r="AP2089" s="98"/>
      <c r="AQ2089" s="108" t="s">
        <v>137</v>
      </c>
      <c r="AR2089" s="26" t="s">
        <v>146</v>
      </c>
      <c r="AS2089" s="98"/>
      <c r="AT2089" s="108" t="s">
        <v>137</v>
      </c>
      <c r="AU2089" s="26" t="s">
        <v>146</v>
      </c>
    </row>
    <row r="2090" spans="15:47" ht="13.8" x14ac:dyDescent="0.25">
      <c r="O2090" s="20" t="s">
        <v>136</v>
      </c>
      <c r="P2090" s="1"/>
      <c r="Q2090" s="1"/>
      <c r="R2090" s="96">
        <f>R2076*1.02</f>
        <v>5854.7979562664168</v>
      </c>
      <c r="S2090" s="109" t="s">
        <v>144</v>
      </c>
      <c r="T2090" s="23" t="s">
        <v>147</v>
      </c>
      <c r="U2090" s="96">
        <f ca="1">U2076*1.01</f>
        <v>50554.505918110408</v>
      </c>
      <c r="V2090" s="109" t="s">
        <v>144</v>
      </c>
      <c r="W2090" s="23" t="s">
        <v>147</v>
      </c>
      <c r="X2090" s="96">
        <f ca="1">X2076*1.01</f>
        <v>123789.41504179515</v>
      </c>
      <c r="Y2090" s="109" t="s">
        <v>144</v>
      </c>
      <c r="Z2090" s="23" t="s">
        <v>147</v>
      </c>
      <c r="AA2090" s="96">
        <f ca="1">AA2076*1.01</f>
        <v>241110.18382100691</v>
      </c>
      <c r="AB2090" s="109" t="s">
        <v>144</v>
      </c>
      <c r="AC2090" s="23" t="s">
        <v>147</v>
      </c>
      <c r="AD2090" s="96">
        <f ca="1">AD2076*1.01</f>
        <v>404507.88424839731</v>
      </c>
      <c r="AE2090" s="109" t="s">
        <v>144</v>
      </c>
      <c r="AF2090" s="23" t="s">
        <v>147</v>
      </c>
      <c r="AG2090" s="96">
        <f ca="1">AG2076*1.01</f>
        <v>590390.27429461898</v>
      </c>
      <c r="AH2090" s="109" t="s">
        <v>144</v>
      </c>
      <c r="AI2090" s="23" t="s">
        <v>147</v>
      </c>
      <c r="AJ2090" s="96">
        <f ca="1">AJ2076*1.01</f>
        <v>787878.1097337614</v>
      </c>
      <c r="AK2090" s="109" t="s">
        <v>144</v>
      </c>
      <c r="AL2090" s="23" t="s">
        <v>147</v>
      </c>
      <c r="AM2090" s="96">
        <f ca="1">AM2076*1.01</f>
        <v>961361.0221901671</v>
      </c>
      <c r="AN2090" s="109" t="s">
        <v>144</v>
      </c>
      <c r="AO2090" s="23" t="s">
        <v>147</v>
      </c>
      <c r="AP2090" s="96">
        <f ca="1">AP2076*1.01</f>
        <v>1116110.3016655524</v>
      </c>
      <c r="AQ2090" s="109" t="s">
        <v>144</v>
      </c>
      <c r="AR2090" s="23" t="s">
        <v>147</v>
      </c>
      <c r="AS2090" s="96">
        <f ca="1">AS2076*1.01</f>
        <v>1308727.1051123741</v>
      </c>
      <c r="AT2090" s="109" t="s">
        <v>144</v>
      </c>
      <c r="AU2090" s="23" t="s">
        <v>147</v>
      </c>
    </row>
    <row r="2091" spans="15:47" x14ac:dyDescent="0.25">
      <c r="O2091" s="1"/>
      <c r="P2091" s="1"/>
      <c r="Q2091" s="1"/>
      <c r="R2091" s="98"/>
      <c r="S2091" s="107"/>
      <c r="T2091" s="1"/>
      <c r="U2091" s="47"/>
      <c r="V2091" s="107"/>
      <c r="W2091" s="1"/>
      <c r="X2091" s="47"/>
      <c r="Y2091" s="107"/>
      <c r="Z2091" s="1"/>
      <c r="AA2091" s="47"/>
      <c r="AB2091" s="107"/>
      <c r="AC2091" s="1"/>
      <c r="AD2091" s="47"/>
      <c r="AE2091" s="107"/>
      <c r="AF2091" s="1"/>
      <c r="AG2091" s="47"/>
      <c r="AH2091" s="107"/>
      <c r="AI2091" s="1"/>
      <c r="AJ2091" s="47"/>
      <c r="AK2091" s="107"/>
      <c r="AL2091" s="1"/>
      <c r="AM2091" s="47"/>
      <c r="AN2091" s="107"/>
      <c r="AO2091" s="1"/>
      <c r="AP2091" s="47"/>
      <c r="AQ2091" s="107"/>
      <c r="AR2091" s="1"/>
      <c r="AS2091" s="47"/>
      <c r="AT2091" s="107"/>
      <c r="AU2091" s="1"/>
    </row>
    <row r="2092" spans="15:47" x14ac:dyDescent="0.25">
      <c r="O2092" s="8" t="s">
        <v>132</v>
      </c>
      <c r="P2092" s="8"/>
      <c r="Q2092" s="8"/>
      <c r="R2092" s="96">
        <f>P_1_minQ-(R2090^2*R_up)+dpup_minQ</f>
        <v>90.178792870611645</v>
      </c>
      <c r="S2092" s="106"/>
      <c r="T2092" s="22"/>
      <c r="U2092" s="96">
        <f ca="1">P_1_minQ-(U2090^2*R_up)+dpup_minQ</f>
        <v>89.719225735858558</v>
      </c>
      <c r="V2092" s="107"/>
      <c r="W2092" s="1"/>
      <c r="X2092" s="96">
        <f ca="1">P_1_minQ-(X2090^2*R_up)+dpup_minQ</f>
        <v>87.392107265859906</v>
      </c>
      <c r="Y2092" s="107"/>
      <c r="Z2092" s="1"/>
      <c r="AA2092" s="96">
        <f ca="1">P_1_minQ-(AA2090^2*R_up)+dpup_minQ</f>
        <v>79.589462711908027</v>
      </c>
      <c r="AB2092" s="107"/>
      <c r="AC2092" s="1"/>
      <c r="AD2092" s="96">
        <f ca="1">P_1_minQ-(AD2090^2*R_up)+dpup_minQ</f>
        <v>60.362302137825495</v>
      </c>
      <c r="AE2092" s="107"/>
      <c r="AF2092" s="1"/>
      <c r="AG2092" s="96">
        <f ca="1">P_1_minQ-(AG2090^2*R_up)+dpup_minQ</f>
        <v>26.656054116967454</v>
      </c>
      <c r="AH2092" s="107"/>
      <c r="AI2092" s="1"/>
      <c r="AJ2092" s="96">
        <f ca="1">P_1_minQ-(AJ2090^2*R_up)+dpup_minQ</f>
        <v>-22.953769272845605</v>
      </c>
      <c r="AK2092" s="107"/>
      <c r="AL2092" s="1"/>
      <c r="AM2092" s="96">
        <f ca="1">P_1_minQ-(AM2090^2*R_up)+dpup_minQ</f>
        <v>-78.263230246917288</v>
      </c>
      <c r="AN2092" s="107"/>
      <c r="AO2092" s="1"/>
      <c r="AP2092" s="96">
        <f ca="1">P_1_minQ-(AP2090^2*R_up)+dpup_minQ</f>
        <v>-136.85777852646052</v>
      </c>
      <c r="AQ2092" s="107"/>
      <c r="AR2092" s="1"/>
      <c r="AS2092" s="96">
        <f ca="1">P_1_minQ-(AS2090^2*R_up)+dpup_minQ</f>
        <v>-221.9853671591988</v>
      </c>
      <c r="AT2092" s="107"/>
      <c r="AU2092" s="1"/>
    </row>
    <row r="2093" spans="15:47" x14ac:dyDescent="0.25">
      <c r="O2093" s="8" t="s">
        <v>134</v>
      </c>
      <c r="P2093" s="1"/>
      <c r="Q2093" s="8"/>
      <c r="R2093" s="97">
        <f>P_2_minQ+(R2090^2*R_dn)-dpdn_minQ</f>
        <v>60</v>
      </c>
      <c r="S2093" s="106"/>
      <c r="T2093" s="22"/>
      <c r="U2093" s="97">
        <f ca="1">P_2_minQ+(U2090^2*R_dn)-dpdn_minQ</f>
        <v>60</v>
      </c>
      <c r="V2093" s="107"/>
      <c r="W2093" s="1"/>
      <c r="X2093" s="97">
        <f ca="1">P_2_minQ+(X2090^2*R_dn)-dpdn_minQ</f>
        <v>60</v>
      </c>
      <c r="Y2093" s="107"/>
      <c r="Z2093" s="1"/>
      <c r="AA2093" s="97">
        <f ca="1">P_2_minQ+(AA2090^2*R_dn)-dpdn_minQ</f>
        <v>60</v>
      </c>
      <c r="AB2093" s="107"/>
      <c r="AC2093" s="1"/>
      <c r="AD2093" s="97">
        <f ca="1">P_2_minQ+(AD2090^2*R_dn)-dpdn_minQ</f>
        <v>60</v>
      </c>
      <c r="AE2093" s="107"/>
      <c r="AF2093" s="1"/>
      <c r="AG2093" s="97">
        <f ca="1">P_2_minQ+(AG2090^2*R_dn)-dpdn_minQ</f>
        <v>60</v>
      </c>
      <c r="AH2093" s="107"/>
      <c r="AI2093" s="1"/>
      <c r="AJ2093" s="97">
        <f ca="1">P_2_minQ+(AJ2090^2*R_dn)-dpdn_minQ</f>
        <v>60</v>
      </c>
      <c r="AK2093" s="107"/>
      <c r="AL2093" s="1"/>
      <c r="AM2093" s="97">
        <f ca="1">P_2_minQ+(AM2090^2*R_dn)-dpdn_minQ</f>
        <v>60</v>
      </c>
      <c r="AN2093" s="107"/>
      <c r="AO2093" s="1"/>
      <c r="AP2093" s="97">
        <f ca="1">P_2_minQ+(AP2090^2*R_dn)-dpdn_minQ</f>
        <v>60</v>
      </c>
      <c r="AQ2093" s="107"/>
      <c r="AR2093" s="1"/>
      <c r="AS2093" s="97">
        <f ca="1">P_2_minQ+(AS2090^2*R_dn)-dpdn_minQ</f>
        <v>60</v>
      </c>
      <c r="AT2093" s="107"/>
      <c r="AU2093" s="1"/>
    </row>
    <row r="2094" spans="15:47" x14ac:dyDescent="0.25">
      <c r="O2094" s="8" t="s">
        <v>138</v>
      </c>
      <c r="P2094" s="1"/>
      <c r="Q2094" s="8"/>
      <c r="R2094" s="97">
        <f>R2092-R2093</f>
        <v>30.178792870611645</v>
      </c>
      <c r="S2094" s="106"/>
      <c r="T2094" s="22"/>
      <c r="U2094" s="97">
        <f ca="1">U2092-U2093</f>
        <v>29.719225735858558</v>
      </c>
      <c r="V2094" s="110"/>
      <c r="W2094" s="25"/>
      <c r="X2094" s="97">
        <f ca="1">X2092-X2093</f>
        <v>27.392107265859906</v>
      </c>
      <c r="Y2094" s="110"/>
      <c r="Z2094" s="25"/>
      <c r="AA2094" s="97">
        <f ca="1">AA2092-AA2093</f>
        <v>19.589462711908027</v>
      </c>
      <c r="AB2094" s="110"/>
      <c r="AC2094" s="25"/>
      <c r="AD2094" s="97">
        <f ca="1">AD2092-AD2093</f>
        <v>0.3623021378254947</v>
      </c>
      <c r="AE2094" s="110"/>
      <c r="AF2094" s="25"/>
      <c r="AG2094" s="97">
        <f ca="1">AG2092-AG2093</f>
        <v>-33.343945883032546</v>
      </c>
      <c r="AH2094" s="110"/>
      <c r="AI2094" s="25"/>
      <c r="AJ2094" s="97">
        <f ca="1">AJ2092-AJ2093</f>
        <v>-82.953769272845605</v>
      </c>
      <c r="AK2094" s="110"/>
      <c r="AL2094" s="25"/>
      <c r="AM2094" s="97">
        <f ca="1">AM2092-AM2093</f>
        <v>-138.26323024691729</v>
      </c>
      <c r="AN2094" s="110"/>
      <c r="AO2094" s="25"/>
      <c r="AP2094" s="97">
        <f ca="1">AP2092-AP2093</f>
        <v>-196.85777852646052</v>
      </c>
      <c r="AQ2094" s="110"/>
      <c r="AR2094" s="25"/>
      <c r="AS2094" s="97">
        <f ca="1">AS2092-AS2093</f>
        <v>-281.9853671591988</v>
      </c>
      <c r="AT2094" s="110"/>
      <c r="AU2094" s="25"/>
    </row>
    <row r="2095" spans="15:47" ht="14.4" x14ac:dyDescent="0.3">
      <c r="O2095" s="2" t="s">
        <v>140</v>
      </c>
      <c r="P2095" s="11"/>
      <c r="Q2095" s="2"/>
      <c r="R2095" s="96">
        <f>R2094/R2092</f>
        <v>0.33465509916408082</v>
      </c>
      <c r="S2095" s="106"/>
      <c r="T2095" s="22"/>
      <c r="U2095" s="96">
        <f ca="1">U2094/U2092</f>
        <v>0.33124701525350453</v>
      </c>
      <c r="V2095" s="111"/>
      <c r="W2095" s="28"/>
      <c r="X2095" s="96">
        <f ca="1">X2094/X2092</f>
        <v>0.3134391436806645</v>
      </c>
      <c r="Y2095" s="111"/>
      <c r="Z2095" s="28"/>
      <c r="AA2095" s="96">
        <f ca="1">AA2094/AA2092</f>
        <v>0.24613136016279563</v>
      </c>
      <c r="AB2095" s="111"/>
      <c r="AC2095" s="28"/>
      <c r="AD2095" s="96">
        <f ca="1">AD2094/AD2092</f>
        <v>6.0021259129290454E-3</v>
      </c>
      <c r="AE2095" s="111"/>
      <c r="AF2095" s="28"/>
      <c r="AG2095" s="96">
        <f ca="1">AG2094/AG2092</f>
        <v>-1.250895790379118</v>
      </c>
      <c r="AH2095" s="111"/>
      <c r="AI2095" s="28"/>
      <c r="AJ2095" s="96">
        <f ca="1">AJ2094/AJ2092</f>
        <v>3.6139497738604622</v>
      </c>
      <c r="AK2095" s="111"/>
      <c r="AL2095" s="28"/>
      <c r="AM2095" s="96">
        <f ca="1">AM2094/AM2092</f>
        <v>1.7666435414268291</v>
      </c>
      <c r="AN2095" s="111"/>
      <c r="AO2095" s="28"/>
      <c r="AP2095" s="96">
        <f ca="1">AP2094/AP2092</f>
        <v>1.4384113248513632</v>
      </c>
      <c r="AQ2095" s="111"/>
      <c r="AR2095" s="28"/>
      <c r="AS2095" s="96">
        <f ca="1">AS2094/AS2092</f>
        <v>1.2702880859573527</v>
      </c>
      <c r="AT2095" s="111"/>
      <c r="AU2095" s="28"/>
    </row>
    <row r="2096" spans="15:47" x14ac:dyDescent="0.25">
      <c r="O2096" s="2" t="s">
        <v>21</v>
      </c>
      <c r="P2096" s="8">
        <v>12</v>
      </c>
      <c r="Q2096" s="2"/>
      <c r="R2096" s="96">
        <f ca="1">1-R2095/(3*F_GAMMA*R$29)</f>
        <v>0.8257085567205773</v>
      </c>
      <c r="S2096" s="106"/>
      <c r="T2096" s="22"/>
      <c r="U2096" s="96">
        <f ca="1">1-U2095/(3*F_GAMMA*U$29)</f>
        <v>0.82752359623465133</v>
      </c>
      <c r="V2096" s="111"/>
      <c r="W2096" s="28"/>
      <c r="X2096" s="96">
        <f ca="1">1-X2095/(3*F_GAMMA*X$29)</f>
        <v>0.83524155137807077</v>
      </c>
      <c r="Y2096" s="111"/>
      <c r="Z2096" s="28"/>
      <c r="AA2096" s="96">
        <f ca="1">1-AA2095/(3*F_GAMMA*AA$29)</f>
        <v>0.86879798103990913</v>
      </c>
      <c r="AB2096" s="111"/>
      <c r="AC2096" s="28"/>
      <c r="AD2096" s="96">
        <f ca="1">1-AD2095/(3*F_GAMMA*AD$29)</f>
        <v>0.99670129630426252</v>
      </c>
      <c r="AE2096" s="111"/>
      <c r="AF2096" s="28"/>
      <c r="AG2096" s="96">
        <f ca="1">1-AG2095/(3*F_GAMMA*AG$29)</f>
        <v>1.7287318188779417</v>
      </c>
      <c r="AH2096" s="111"/>
      <c r="AI2096" s="28"/>
      <c r="AJ2096" s="96">
        <f ca="1">1-AJ2095/(3*F_GAMMA*AJ$29)</f>
        <v>-1.2650913574555709</v>
      </c>
      <c r="AK2096" s="111"/>
      <c r="AL2096" s="28"/>
      <c r="AM2096" s="96">
        <f ca="1">1-AM2095/(3*F_GAMMA*AM$29)</f>
        <v>-0.23801630493154313</v>
      </c>
      <c r="AN2096" s="111"/>
      <c r="AO2096" s="28"/>
      <c r="AP2096" s="96">
        <f ca="1">1-AP2095/(3*F_GAMMA*AP$29)</f>
        <v>0.18808352248405347</v>
      </c>
      <c r="AQ2096" s="111"/>
      <c r="AR2096" s="28"/>
      <c r="AS2096" s="96">
        <f ca="1">1-AS2095/(3*F_GAMMA*AS$29)</f>
        <v>-0.12407924847525686</v>
      </c>
      <c r="AT2096" s="111"/>
      <c r="AU2096" s="28"/>
    </row>
    <row r="2097" spans="15:47" x14ac:dyDescent="0.25">
      <c r="O2097" s="2" t="s">
        <v>57</v>
      </c>
      <c r="P2097" s="143">
        <v>7</v>
      </c>
      <c r="Q2097" s="2"/>
      <c r="R2097" s="96">
        <f ca="1">(R2090/(N_9*R$27*R2092*R2096))*SQRT(M*'Valve Sizing'!$W$6*'Valve Sizing'!$G$8/R2095)</f>
        <v>2.3646562739399881</v>
      </c>
      <c r="S2097" s="107"/>
      <c r="T2097" s="22"/>
      <c r="U2097" s="96">
        <f ca="1">(U2090/(N_9*U$27*U2092*U2096))*SQRT(M*'Valve Sizing'!$W$6*'Valve Sizing'!$G$8/U2095)</f>
        <v>20.596284316170934</v>
      </c>
      <c r="V2097" s="111"/>
      <c r="W2097" s="28"/>
      <c r="X2097" s="96">
        <f ca="1">(X2090/(N_9*X$27*X2092*X2096))*SQRT(M*'Valve Sizing'!$W$6*'Valve Sizing'!$G$8/X2095)</f>
        <v>52.855731783892914</v>
      </c>
      <c r="Y2097" s="111"/>
      <c r="Z2097" s="28"/>
      <c r="AA2097" s="96">
        <f ca="1">(AA2090/(N_9*AA$27*AA2092*AA2096))*SQRT(M*'Valve Sizing'!$W$6*'Valve Sizing'!$G$8/AA2095)</f>
        <v>123.36637953456578</v>
      </c>
      <c r="AB2097" s="111"/>
      <c r="AC2097" s="28"/>
      <c r="AD2097" s="96">
        <f ca="1">(AD2090/(N_9*AD$27*AD2092*AD2096))*SQRT(M*'Valve Sizing'!$W$6*'Valve Sizing'!$G$8/AD2095)</f>
        <v>1542.1607589258842</v>
      </c>
      <c r="AE2097" s="111"/>
      <c r="AF2097" s="28"/>
      <c r="AG2097" s="96" t="e">
        <f ca="1">(AG2090/(N_9*AG$27*AG2092*AG2096))*SQRT(M*'Valve Sizing'!$W$6*'Valve Sizing'!$G$8/AG2095)</f>
        <v>#NUM!</v>
      </c>
      <c r="AH2097" s="111"/>
      <c r="AI2097" s="28"/>
      <c r="AJ2097" s="96">
        <f ca="1">(AJ2090/(N_9*AJ$27*AJ2092*AJ2096))*SQRT(M*'Valve Sizing'!$W$6*'Valve Sizing'!$G$8/AJ2095)</f>
        <v>268.69925116642145</v>
      </c>
      <c r="AK2097" s="111"/>
      <c r="AL2097" s="28"/>
      <c r="AM2097" s="96">
        <f ca="1">(AM2090/(N_9*AM$27*AM2092*AM2096))*SQRT(M*'Valve Sizing'!$W$6*'Valve Sizing'!$G$8/AM2095)</f>
        <v>775.6050682792727</v>
      </c>
      <c r="AN2097" s="111"/>
      <c r="AO2097" s="28"/>
      <c r="AP2097" s="96">
        <f ca="1">(AP2090/(N_9*AP$27*AP2092*AP2096))*SQRT(M*'Valve Sizing'!$W$6*'Valve Sizing'!$G$8/AP2095)</f>
        <v>-821.96792531710412</v>
      </c>
      <c r="AQ2097" s="111"/>
      <c r="AR2097" s="28"/>
      <c r="AS2097" s="96">
        <f ca="1">(AS2090/(N_9*AS$27*AS2092*AS2096))*SQRT(M*'Valve Sizing'!$W$6*'Valve Sizing'!$G$8/AS2095)</f>
        <v>1283.7812834608887</v>
      </c>
      <c r="AT2097" s="111"/>
      <c r="AU2097" s="28"/>
    </row>
    <row r="2098" spans="15:47" x14ac:dyDescent="0.25">
      <c r="O2098" s="2" t="s">
        <v>59</v>
      </c>
      <c r="P2098" s="143">
        <v>7</v>
      </c>
      <c r="Q2098" s="2"/>
      <c r="R2098" s="96">
        <f ca="1">(R2090/(N_9*R$27*R2092*0.667))*SQRT(M*'Valve Sizing'!$W$6*'Valve Sizing'!$G$8/R2099)</f>
        <v>2.1167405637964429</v>
      </c>
      <c r="S2098" s="107"/>
      <c r="T2098" s="22"/>
      <c r="U2098" s="96">
        <f ca="1">(U2090/(N_9*U$27*U2092*0.667))*SQRT(M*'Valve Sizing'!$W$6*'Valve Sizing'!$G$8/U2099)</f>
        <v>18.380990141296852</v>
      </c>
      <c r="V2098" s="111"/>
      <c r="W2098" s="28"/>
      <c r="X2098" s="96">
        <f ca="1">(X2090/(N_9*X$27*X2092*0.667))*SQRT(M*'Valve Sizing'!$W$6*'Valve Sizing'!$G$8/X2099)</f>
        <v>46.53318956349888</v>
      </c>
      <c r="Y2098" s="111"/>
      <c r="Z2098" s="28"/>
      <c r="AA2098" s="96">
        <f ca="1">(AA2090/(N_9*AA$27*AA2092*0.667))*SQRT(M*'Valve Sizing'!$W$6*'Valve Sizing'!$G$8/AA2099)</f>
        <v>100.81396018139472</v>
      </c>
      <c r="AB2098" s="111"/>
      <c r="AC2098" s="28"/>
      <c r="AD2098" s="96">
        <f ca="1">(AD2090/(N_9*AD$27*AD2092*0.667))*SQRT(M*'Valve Sizing'!$W$6*'Valve Sizing'!$G$8/AD2099)</f>
        <v>229.24565769769976</v>
      </c>
      <c r="AE2098" s="111"/>
      <c r="AF2098" s="28"/>
      <c r="AG2098" s="96">
        <f ca="1">(AG2090/(N_9*AG$27*AG2092*0.667))*SQRT(M*'Valve Sizing'!$W$6*'Valve Sizing'!$G$8/AG2099)</f>
        <v>797.6323638468956</v>
      </c>
      <c r="AH2098" s="111"/>
      <c r="AI2098" s="28"/>
      <c r="AJ2098" s="96">
        <f ca="1">(AJ2090/(N_9*AJ$27*AJ2092*0.667))*SQRT(M*'Valve Sizing'!$W$6*'Valve Sizing'!$G$8/AJ2099)</f>
        <v>-1328.5135854646501</v>
      </c>
      <c r="AK2098" s="111"/>
      <c r="AL2098" s="28"/>
      <c r="AM2098" s="96">
        <f ca="1">(AM2090/(N_9*AM$27*AM2092*0.667))*SQRT(M*'Valve Sizing'!$W$6*'Valve Sizing'!$G$8/AM2099)</f>
        <v>-533.39055697944184</v>
      </c>
      <c r="AN2098" s="111"/>
      <c r="AO2098" s="28"/>
      <c r="AP2098" s="96">
        <f ca="1">(AP2090/(N_9*AP$27*AP2092*0.667))*SQRT(M*'Valve Sizing'!$W$6*'Valve Sizing'!$G$8/AP2099)</f>
        <v>-361.73963147251857</v>
      </c>
      <c r="AQ2098" s="111"/>
      <c r="AR2098" s="28"/>
      <c r="AS2098" s="96">
        <f ca="1">(AS2090/(N_9*AS$27*AS2092*0.667))*SQRT(M*'Valve Sizing'!$W$6*'Valve Sizing'!$G$8/AS2099)</f>
        <v>-438.55437991954165</v>
      </c>
      <c r="AT2098" s="111"/>
      <c r="AU2098" s="28"/>
    </row>
    <row r="2099" spans="15:47" ht="15.6" x14ac:dyDescent="0.35">
      <c r="O2099" s="2" t="s">
        <v>68</v>
      </c>
      <c r="P2099" s="143">
        <v>10</v>
      </c>
      <c r="Q2099" s="2"/>
      <c r="R2099" s="96">
        <f ca="1">F_GAMMA*R$29</f>
        <v>0.64002969751372984</v>
      </c>
      <c r="S2099" s="107"/>
      <c r="T2099" s="1"/>
      <c r="U2099" s="96">
        <f ca="1">F_GAMMA*U$29</f>
        <v>0.64017842058782071</v>
      </c>
      <c r="V2099" s="111"/>
      <c r="W2099" s="28"/>
      <c r="X2099" s="96">
        <f ca="1">F_GAMMA*X$29</f>
        <v>0.63413873724904268</v>
      </c>
      <c r="Y2099" s="111"/>
      <c r="Z2099" s="28"/>
      <c r="AA2099" s="96">
        <f ca="1">F_GAMMA*AA$29</f>
        <v>0.62532411750377137</v>
      </c>
      <c r="AB2099" s="111"/>
      <c r="AC2099" s="28"/>
      <c r="AD2099" s="96">
        <f ca="1">F_GAMMA*AD$29</f>
        <v>0.60651359509139569</v>
      </c>
      <c r="AE2099" s="111"/>
      <c r="AF2099" s="28"/>
      <c r="AG2099" s="96">
        <f ca="1">F_GAMMA*AG$29</f>
        <v>0.57217930198481592</v>
      </c>
      <c r="AH2099" s="111"/>
      <c r="AI2099" s="28"/>
      <c r="AJ2099" s="96">
        <f ca="1">F_GAMMA*AJ$29</f>
        <v>0.53183282018848232</v>
      </c>
      <c r="AK2099" s="111"/>
      <c r="AL2099" s="28"/>
      <c r="AM2099" s="96">
        <f ca="1">F_GAMMA*AM$29</f>
        <v>0.47566512503094399</v>
      </c>
      <c r="AN2099" s="111"/>
      <c r="AO2099" s="28"/>
      <c r="AP2099" s="96">
        <f ca="1">F_GAMMA*AP$29</f>
        <v>0.59054158265645496</v>
      </c>
      <c r="AQ2099" s="111"/>
      <c r="AR2099" s="28"/>
      <c r="AS2099" s="96">
        <f ca="1">F_GAMMA*AS$29</f>
        <v>0.3766899554102966</v>
      </c>
      <c r="AT2099" s="111"/>
      <c r="AU2099" s="28"/>
    </row>
    <row r="2100" spans="15:47" x14ac:dyDescent="0.25">
      <c r="O2100" s="2" t="s">
        <v>145</v>
      </c>
      <c r="P2100" s="12"/>
      <c r="Q2100" s="2"/>
      <c r="R2100" s="96">
        <f ca="1">IF(R2095&lt;R2099,R2097,R2098)</f>
        <v>2.3646562739399881</v>
      </c>
      <c r="S2100" s="116"/>
      <c r="T2100" s="1"/>
      <c r="U2100" s="96">
        <f ca="1">IF(U2095&lt;U2099,U2097,U2098)</f>
        <v>20.596284316170934</v>
      </c>
      <c r="V2100" s="111"/>
      <c r="W2100" s="28"/>
      <c r="X2100" s="96">
        <f ca="1">IF(X2095&lt;X2099,X2097,X2098)</f>
        <v>52.855731783892914</v>
      </c>
      <c r="Y2100" s="111"/>
      <c r="Z2100" s="28"/>
      <c r="AA2100" s="96">
        <f ca="1">IF(AA2095&lt;AA2099,AA2097,AA2098)</f>
        <v>123.36637953456578</v>
      </c>
      <c r="AB2100" s="111"/>
      <c r="AC2100" s="28"/>
      <c r="AD2100" s="96">
        <f ca="1">IF(AD2095&lt;AD2099,AD2097,AD2098)</f>
        <v>1542.1607589258842</v>
      </c>
      <c r="AE2100" s="111"/>
      <c r="AF2100" s="28"/>
      <c r="AG2100" s="96" t="e">
        <f ca="1">IF(AG2095&lt;AG2099,AG2097,AG2098)</f>
        <v>#NUM!</v>
      </c>
      <c r="AH2100" s="111"/>
      <c r="AI2100" s="28"/>
      <c r="AJ2100" s="96">
        <f ca="1">IF(AJ2095&lt;AJ2099,AJ2097,AJ2098)</f>
        <v>-1328.5135854646501</v>
      </c>
      <c r="AK2100" s="111"/>
      <c r="AL2100" s="28"/>
      <c r="AM2100" s="96">
        <f ca="1">IF(AM2095&lt;AM2099,AM2097,AM2098)</f>
        <v>-533.39055697944184</v>
      </c>
      <c r="AN2100" s="111"/>
      <c r="AO2100" s="28"/>
      <c r="AP2100" s="96">
        <f ca="1">IF(AP2095&lt;AP2099,AP2097,AP2098)</f>
        <v>-361.73963147251857</v>
      </c>
      <c r="AQ2100" s="111"/>
      <c r="AR2100" s="28"/>
      <c r="AS2100" s="96">
        <f ca="1">IF(AS2095&lt;AS2099,AS2097,AS2098)</f>
        <v>-438.55437991954165</v>
      </c>
      <c r="AT2100" s="111"/>
      <c r="AU2100" s="28"/>
    </row>
    <row r="2101" spans="15:47" x14ac:dyDescent="0.25">
      <c r="O2101" s="13" t="s">
        <v>143</v>
      </c>
      <c r="P2101" s="1"/>
      <c r="Q2101" s="1"/>
      <c r="R2101" s="113"/>
      <c r="S2101" s="106">
        <f ca="1">IF(R2094&lt;=0,Q_max,ABS(R$23-R2100))</f>
        <v>2.3653437260600123</v>
      </c>
      <c r="T2101" s="7">
        <f>R2090</f>
        <v>5854.7979562664168</v>
      </c>
      <c r="U2101" s="98"/>
      <c r="V2101" s="106">
        <f ca="1">IF(U2094&lt;=0,Q_max,ABS(U$23-U2100))</f>
        <v>8.996284316170934</v>
      </c>
      <c r="W2101" s="9">
        <f ca="1">U2090</f>
        <v>50554.505918110408</v>
      </c>
      <c r="X2101" s="98"/>
      <c r="Y2101" s="106">
        <f ca="1">IF(X2094&lt;=0,Q_max,ABS(X$23-X2100))</f>
        <v>29.855731783892914</v>
      </c>
      <c r="Z2101" s="9">
        <f ca="1">X2090</f>
        <v>123789.41504179515</v>
      </c>
      <c r="AA2101" s="98"/>
      <c r="AB2101" s="106">
        <f ca="1">IF(AA2094&lt;=0,Q_max,ABS(AA$23-AA2100))</f>
        <v>83.966379534565789</v>
      </c>
      <c r="AC2101" s="9">
        <f ca="1">AA2090</f>
        <v>241110.18382100691</v>
      </c>
      <c r="AD2101" s="98"/>
      <c r="AE2101" s="106">
        <f ca="1">IF(AD2094&lt;=0,Q_max,ABS(AD$23-AD2100))</f>
        <v>1481.1607589258842</v>
      </c>
      <c r="AF2101" s="9">
        <f ca="1">AD2090</f>
        <v>404507.88424839731</v>
      </c>
      <c r="AG2101" s="98"/>
      <c r="AH2101" s="106">
        <f ca="1">IF(AG2094&lt;=0,Q_max,ABS(AG$23-AG2100))</f>
        <v>236393</v>
      </c>
      <c r="AI2101" s="9">
        <f ca="1">AG2090</f>
        <v>590390.27429461898</v>
      </c>
      <c r="AJ2101" s="98"/>
      <c r="AK2101" s="106">
        <f ca="1">IF(AJ2094&lt;=0,Q_max,ABS(AJ$23-AJ2100))</f>
        <v>236393</v>
      </c>
      <c r="AL2101" s="9">
        <f ca="1">AJ2090</f>
        <v>787878.1097337614</v>
      </c>
      <c r="AM2101" s="98"/>
      <c r="AN2101" s="106">
        <f ca="1">IF(AM2094&lt;=0,Q_max,ABS(AM$23-AM2100))</f>
        <v>236393</v>
      </c>
      <c r="AO2101" s="9">
        <f ca="1">AM2090</f>
        <v>961361.0221901671</v>
      </c>
      <c r="AP2101" s="98"/>
      <c r="AQ2101" s="106">
        <f ca="1">IF(AP2094&lt;=0,Q_max,ABS(AP$23-AP2100))</f>
        <v>236393</v>
      </c>
      <c r="AR2101" s="9">
        <f ca="1">AP2090</f>
        <v>1116110.3016655524</v>
      </c>
      <c r="AS2101" s="98"/>
      <c r="AT2101" s="106">
        <f ca="1">IF(AS2094&lt;=0,Q_max,ABS(AS$23-AS2100))</f>
        <v>236393</v>
      </c>
      <c r="AU2101" s="9">
        <f ca="1">AS2090</f>
        <v>1308727.1051123741</v>
      </c>
    </row>
    <row r="2102" spans="15:47" x14ac:dyDescent="0.25">
      <c r="O2102" s="21"/>
      <c r="P2102" s="14"/>
      <c r="Q2102" s="21"/>
      <c r="R2102" s="97"/>
      <c r="S2102" s="106"/>
      <c r="T2102" s="28"/>
      <c r="U2102" s="97"/>
      <c r="V2102" s="111"/>
      <c r="W2102" s="28"/>
      <c r="X2102" s="97"/>
      <c r="Y2102" s="111"/>
      <c r="Z2102" s="28"/>
      <c r="AA2102" s="97"/>
      <c r="AB2102" s="111"/>
      <c r="AC2102" s="28"/>
      <c r="AD2102" s="97"/>
      <c r="AE2102" s="111"/>
      <c r="AF2102" s="28"/>
      <c r="AG2102" s="97"/>
      <c r="AH2102" s="111"/>
      <c r="AI2102" s="28"/>
      <c r="AJ2102" s="97"/>
      <c r="AK2102" s="111"/>
      <c r="AL2102" s="28"/>
      <c r="AM2102" s="97"/>
      <c r="AN2102" s="111"/>
      <c r="AO2102" s="28"/>
      <c r="AP2102" s="97"/>
      <c r="AQ2102" s="111"/>
      <c r="AR2102" s="28"/>
      <c r="AS2102" s="97"/>
      <c r="AT2102" s="111"/>
      <c r="AU2102" s="28"/>
    </row>
    <row r="2103" spans="15:47" x14ac:dyDescent="0.25">
      <c r="O2103" s="1"/>
      <c r="P2103" s="1"/>
      <c r="Q2103" s="1"/>
      <c r="R2103" s="98"/>
      <c r="S2103" s="108" t="s">
        <v>137</v>
      </c>
      <c r="T2103" s="26" t="s">
        <v>146</v>
      </c>
      <c r="U2103" s="98"/>
      <c r="V2103" s="108" t="s">
        <v>137</v>
      </c>
      <c r="W2103" s="26" t="s">
        <v>146</v>
      </c>
      <c r="X2103" s="98"/>
      <c r="Y2103" s="108" t="s">
        <v>137</v>
      </c>
      <c r="Z2103" s="26" t="s">
        <v>146</v>
      </c>
      <c r="AA2103" s="98"/>
      <c r="AB2103" s="108" t="s">
        <v>137</v>
      </c>
      <c r="AC2103" s="26" t="s">
        <v>146</v>
      </c>
      <c r="AD2103" s="98"/>
      <c r="AE2103" s="108" t="s">
        <v>137</v>
      </c>
      <c r="AF2103" s="26" t="s">
        <v>146</v>
      </c>
      <c r="AG2103" s="98"/>
      <c r="AH2103" s="108" t="s">
        <v>137</v>
      </c>
      <c r="AI2103" s="26" t="s">
        <v>146</v>
      </c>
      <c r="AJ2103" s="98"/>
      <c r="AK2103" s="108" t="s">
        <v>137</v>
      </c>
      <c r="AL2103" s="26" t="s">
        <v>146</v>
      </c>
      <c r="AM2103" s="98"/>
      <c r="AN2103" s="108" t="s">
        <v>137</v>
      </c>
      <c r="AO2103" s="26" t="s">
        <v>146</v>
      </c>
      <c r="AP2103" s="98"/>
      <c r="AQ2103" s="108" t="s">
        <v>137</v>
      </c>
      <c r="AR2103" s="26" t="s">
        <v>146</v>
      </c>
      <c r="AS2103" s="98"/>
      <c r="AT2103" s="108" t="s">
        <v>137</v>
      </c>
      <c r="AU2103" s="26" t="s">
        <v>146</v>
      </c>
    </row>
    <row r="2104" spans="15:47" ht="13.8" x14ac:dyDescent="0.25">
      <c r="O2104" s="20" t="s">
        <v>136</v>
      </c>
      <c r="P2104" s="1"/>
      <c r="Q2104" s="1"/>
      <c r="R2104" s="96">
        <f>R2090*1.02</f>
        <v>5971.8939153917454</v>
      </c>
      <c r="S2104" s="109" t="s">
        <v>144</v>
      </c>
      <c r="T2104" s="23" t="s">
        <v>147</v>
      </c>
      <c r="U2104" s="96">
        <f ca="1">U2090*1.01</f>
        <v>51060.05097729151</v>
      </c>
      <c r="V2104" s="109" t="s">
        <v>144</v>
      </c>
      <c r="W2104" s="23" t="s">
        <v>147</v>
      </c>
      <c r="X2104" s="96">
        <f ca="1">X2090*1.01</f>
        <v>125027.3091922131</v>
      </c>
      <c r="Y2104" s="109" t="s">
        <v>144</v>
      </c>
      <c r="Z2104" s="23" t="s">
        <v>147</v>
      </c>
      <c r="AA2104" s="96">
        <f ca="1">AA2090*1.01</f>
        <v>243521.28565921698</v>
      </c>
      <c r="AB2104" s="109" t="s">
        <v>144</v>
      </c>
      <c r="AC2104" s="23" t="s">
        <v>147</v>
      </c>
      <c r="AD2104" s="96">
        <f ca="1">AD2090*1.01</f>
        <v>408552.9630908813</v>
      </c>
      <c r="AE2104" s="109" t="s">
        <v>144</v>
      </c>
      <c r="AF2104" s="23" t="s">
        <v>147</v>
      </c>
      <c r="AG2104" s="96">
        <f ca="1">AG2090*1.01</f>
        <v>596294.17703756515</v>
      </c>
      <c r="AH2104" s="109" t="s">
        <v>144</v>
      </c>
      <c r="AI2104" s="23" t="s">
        <v>147</v>
      </c>
      <c r="AJ2104" s="96">
        <f ca="1">AJ2090*1.01</f>
        <v>795756.89083109901</v>
      </c>
      <c r="AK2104" s="109" t="s">
        <v>144</v>
      </c>
      <c r="AL2104" s="23" t="s">
        <v>147</v>
      </c>
      <c r="AM2104" s="96">
        <f ca="1">AM2090*1.01</f>
        <v>970974.63241206878</v>
      </c>
      <c r="AN2104" s="109" t="s">
        <v>144</v>
      </c>
      <c r="AO2104" s="23" t="s">
        <v>147</v>
      </c>
      <c r="AP2104" s="96">
        <f ca="1">AP2090*1.01</f>
        <v>1127271.4046822079</v>
      </c>
      <c r="AQ2104" s="109" t="s">
        <v>144</v>
      </c>
      <c r="AR2104" s="23" t="s">
        <v>147</v>
      </c>
      <c r="AS2104" s="96">
        <f ca="1">AS2090*1.01</f>
        <v>1321814.3761634978</v>
      </c>
      <c r="AT2104" s="109" t="s">
        <v>144</v>
      </c>
      <c r="AU2104" s="23" t="s">
        <v>147</v>
      </c>
    </row>
    <row r="2105" spans="15:47" x14ac:dyDescent="0.25">
      <c r="O2105" s="1"/>
      <c r="P2105" s="1"/>
      <c r="Q2105" s="1"/>
      <c r="R2105" s="98"/>
      <c r="S2105" s="107"/>
      <c r="T2105" s="1"/>
      <c r="U2105" s="47"/>
      <c r="V2105" s="107"/>
      <c r="W2105" s="1"/>
      <c r="X2105" s="47"/>
      <c r="Y2105" s="107"/>
      <c r="Z2105" s="1"/>
      <c r="AA2105" s="47"/>
      <c r="AB2105" s="107"/>
      <c r="AC2105" s="1"/>
      <c r="AD2105" s="47"/>
      <c r="AE2105" s="107"/>
      <c r="AF2105" s="1"/>
      <c r="AG2105" s="47"/>
      <c r="AH2105" s="107"/>
      <c r="AI2105" s="1"/>
      <c r="AJ2105" s="47"/>
      <c r="AK2105" s="107"/>
      <c r="AL2105" s="1"/>
      <c r="AM2105" s="47"/>
      <c r="AN2105" s="107"/>
      <c r="AO2105" s="1"/>
      <c r="AP2105" s="47"/>
      <c r="AQ2105" s="107"/>
      <c r="AR2105" s="1"/>
      <c r="AS2105" s="47"/>
      <c r="AT2105" s="107"/>
      <c r="AU2105" s="1"/>
    </row>
    <row r="2106" spans="15:47" x14ac:dyDescent="0.25">
      <c r="O2106" s="8" t="s">
        <v>132</v>
      </c>
      <c r="P2106" s="8"/>
      <c r="Q2106" s="8"/>
      <c r="R2106" s="96">
        <f>P_1_minQ-(R2104^2*R_up)+dpup_minQ</f>
        <v>90.17854046516203</v>
      </c>
      <c r="S2106" s="106"/>
      <c r="T2106" s="22"/>
      <c r="U2106" s="96">
        <f ca="1">P_1_minQ-(U2104^2*R_up)+dpup_minQ</f>
        <v>89.709862858491178</v>
      </c>
      <c r="V2106" s="107"/>
      <c r="W2106" s="1"/>
      <c r="X2106" s="96">
        <f ca="1">P_1_minQ-(X2104^2*R_up)+dpup_minQ</f>
        <v>87.335969307245563</v>
      </c>
      <c r="Y2106" s="107"/>
      <c r="Z2106" s="1"/>
      <c r="AA2106" s="96">
        <f ca="1">P_1_minQ-(AA2104^2*R_up)+dpup_minQ</f>
        <v>79.376491597759241</v>
      </c>
      <c r="AB2106" s="107"/>
      <c r="AC2106" s="1"/>
      <c r="AD2106" s="96">
        <f ca="1">P_1_minQ-(AD2104^2*R_up)+dpup_minQ</f>
        <v>59.762865096137645</v>
      </c>
      <c r="AE2106" s="107"/>
      <c r="AF2106" s="1"/>
      <c r="AG2106" s="96">
        <f ca="1">P_1_minQ-(AG2104^2*R_up)+dpup_minQ</f>
        <v>25.379121490060371</v>
      </c>
      <c r="AH2106" s="107"/>
      <c r="AI2106" s="1"/>
      <c r="AJ2106" s="96">
        <f ca="1">P_1_minQ-(AJ2104^2*R_up)+dpup_minQ</f>
        <v>-25.227859349887922</v>
      </c>
      <c r="AK2106" s="107"/>
      <c r="AL2106" s="1"/>
      <c r="AM2106" s="96">
        <f ca="1">P_1_minQ-(AM2104^2*R_up)+dpup_minQ</f>
        <v>-81.649040489538464</v>
      </c>
      <c r="AN2106" s="107"/>
      <c r="AO2106" s="1"/>
      <c r="AP2106" s="96">
        <f ca="1">P_1_minQ-(AP2104^2*R_up)+dpup_minQ</f>
        <v>-141.42133918950046</v>
      </c>
      <c r="AQ2106" s="107"/>
      <c r="AR2106" s="1"/>
      <c r="AS2106" s="96">
        <f ca="1">P_1_minQ-(AS2104^2*R_up)+dpup_minQ</f>
        <v>-228.25999235375684</v>
      </c>
      <c r="AT2106" s="107"/>
      <c r="AU2106" s="1"/>
    </row>
    <row r="2107" spans="15:47" x14ac:dyDescent="0.25">
      <c r="O2107" s="8" t="s">
        <v>134</v>
      </c>
      <c r="P2107" s="1"/>
      <c r="Q2107" s="8"/>
      <c r="R2107" s="97">
        <f>P_2_minQ+(R2104^2*R_dn)-dpdn_minQ</f>
        <v>60</v>
      </c>
      <c r="S2107" s="106"/>
      <c r="T2107" s="22"/>
      <c r="U2107" s="97">
        <f ca="1">P_2_minQ+(U2104^2*R_dn)-dpdn_minQ</f>
        <v>60</v>
      </c>
      <c r="V2107" s="107"/>
      <c r="W2107" s="1"/>
      <c r="X2107" s="97">
        <f ca="1">P_2_minQ+(X2104^2*R_dn)-dpdn_minQ</f>
        <v>60</v>
      </c>
      <c r="Y2107" s="107"/>
      <c r="Z2107" s="1"/>
      <c r="AA2107" s="97">
        <f ca="1">P_2_minQ+(AA2104^2*R_dn)-dpdn_minQ</f>
        <v>60</v>
      </c>
      <c r="AB2107" s="107"/>
      <c r="AC2107" s="1"/>
      <c r="AD2107" s="97">
        <f ca="1">P_2_minQ+(AD2104^2*R_dn)-dpdn_minQ</f>
        <v>60</v>
      </c>
      <c r="AE2107" s="107"/>
      <c r="AF2107" s="1"/>
      <c r="AG2107" s="97">
        <f ca="1">P_2_minQ+(AG2104^2*R_dn)-dpdn_minQ</f>
        <v>60</v>
      </c>
      <c r="AH2107" s="107"/>
      <c r="AI2107" s="1"/>
      <c r="AJ2107" s="97">
        <f ca="1">P_2_minQ+(AJ2104^2*R_dn)-dpdn_minQ</f>
        <v>60</v>
      </c>
      <c r="AK2107" s="107"/>
      <c r="AL2107" s="1"/>
      <c r="AM2107" s="97">
        <f ca="1">P_2_minQ+(AM2104^2*R_dn)-dpdn_minQ</f>
        <v>60</v>
      </c>
      <c r="AN2107" s="107"/>
      <c r="AO2107" s="1"/>
      <c r="AP2107" s="97">
        <f ca="1">P_2_minQ+(AP2104^2*R_dn)-dpdn_minQ</f>
        <v>60</v>
      </c>
      <c r="AQ2107" s="107"/>
      <c r="AR2107" s="1"/>
      <c r="AS2107" s="97">
        <f ca="1">P_2_minQ+(AS2104^2*R_dn)-dpdn_minQ</f>
        <v>60</v>
      </c>
      <c r="AT2107" s="107"/>
      <c r="AU2107" s="1"/>
    </row>
    <row r="2108" spans="15:47" x14ac:dyDescent="0.25">
      <c r="O2108" s="8" t="s">
        <v>138</v>
      </c>
      <c r="P2108" s="1"/>
      <c r="Q2108" s="8"/>
      <c r="R2108" s="97">
        <f>R2106-R2107</f>
        <v>30.17854046516203</v>
      </c>
      <c r="S2108" s="106"/>
      <c r="T2108" s="22"/>
      <c r="U2108" s="97">
        <f ca="1">U2106-U2107</f>
        <v>29.709862858491178</v>
      </c>
      <c r="V2108" s="110"/>
      <c r="W2108" s="25"/>
      <c r="X2108" s="97">
        <f ca="1">X2106-X2107</f>
        <v>27.335969307245563</v>
      </c>
      <c r="Y2108" s="110"/>
      <c r="Z2108" s="25"/>
      <c r="AA2108" s="97">
        <f ca="1">AA2106-AA2107</f>
        <v>19.376491597759241</v>
      </c>
      <c r="AB2108" s="110"/>
      <c r="AC2108" s="25"/>
      <c r="AD2108" s="97">
        <f ca="1">AD2106-AD2107</f>
        <v>-0.23713490386235492</v>
      </c>
      <c r="AE2108" s="110"/>
      <c r="AF2108" s="25"/>
      <c r="AG2108" s="97">
        <f ca="1">AG2106-AG2107</f>
        <v>-34.620878509939629</v>
      </c>
      <c r="AH2108" s="110"/>
      <c r="AI2108" s="25"/>
      <c r="AJ2108" s="97">
        <f ca="1">AJ2106-AJ2107</f>
        <v>-85.227859349887922</v>
      </c>
      <c r="AK2108" s="110"/>
      <c r="AL2108" s="25"/>
      <c r="AM2108" s="97">
        <f ca="1">AM2106-AM2107</f>
        <v>-141.64904048953846</v>
      </c>
      <c r="AN2108" s="110"/>
      <c r="AO2108" s="25"/>
      <c r="AP2108" s="97">
        <f ca="1">AP2106-AP2107</f>
        <v>-201.42133918950046</v>
      </c>
      <c r="AQ2108" s="110"/>
      <c r="AR2108" s="25"/>
      <c r="AS2108" s="97">
        <f ca="1">AS2106-AS2107</f>
        <v>-288.25999235375684</v>
      </c>
      <c r="AT2108" s="110"/>
      <c r="AU2108" s="25"/>
    </row>
    <row r="2109" spans="15:47" ht="14.4" x14ac:dyDescent="0.3">
      <c r="O2109" s="2" t="s">
        <v>140</v>
      </c>
      <c r="P2109" s="11"/>
      <c r="Q2109" s="2"/>
      <c r="R2109" s="96">
        <f>R2108/R2106</f>
        <v>0.33465323689531956</v>
      </c>
      <c r="S2109" s="106"/>
      <c r="T2109" s="22"/>
      <c r="U2109" s="96">
        <f ca="1">U2108/U2106</f>
        <v>0.3311772185557309</v>
      </c>
      <c r="V2109" s="111"/>
      <c r="W2109" s="28"/>
      <c r="X2109" s="96">
        <f ca="1">X2108/X2106</f>
        <v>0.31299783495936673</v>
      </c>
      <c r="Y2109" s="111"/>
      <c r="Z2109" s="28"/>
      <c r="AA2109" s="96">
        <f ca="1">AA2108/AA2106</f>
        <v>0.24410869273423808</v>
      </c>
      <c r="AB2109" s="111"/>
      <c r="AC2109" s="28"/>
      <c r="AD2109" s="96">
        <f ca="1">AD2108/AD2106</f>
        <v>-3.9679306452407763E-3</v>
      </c>
      <c r="AE2109" s="111"/>
      <c r="AF2109" s="28"/>
      <c r="AG2109" s="96">
        <f ca="1">AG2108/AG2106</f>
        <v>-1.3641480270898563</v>
      </c>
      <c r="AH2109" s="111"/>
      <c r="AI2109" s="28"/>
      <c r="AJ2109" s="96">
        <f ca="1">AJ2108/AJ2106</f>
        <v>3.3783230740212034</v>
      </c>
      <c r="AK2109" s="111"/>
      <c r="AL2109" s="28"/>
      <c r="AM2109" s="96">
        <f ca="1">AM2108/AM2106</f>
        <v>1.7348524813061053</v>
      </c>
      <c r="AN2109" s="111"/>
      <c r="AO2109" s="28"/>
      <c r="AP2109" s="96">
        <f ca="1">AP2108/AP2106</f>
        <v>1.4242641198553618</v>
      </c>
      <c r="AQ2109" s="111"/>
      <c r="AR2109" s="28"/>
      <c r="AS2109" s="96">
        <f ca="1">AS2108/AS2106</f>
        <v>1.2628581530267122</v>
      </c>
      <c r="AT2109" s="111"/>
      <c r="AU2109" s="28"/>
    </row>
    <row r="2110" spans="15:47" x14ac:dyDescent="0.25">
      <c r="O2110" s="2" t="s">
        <v>21</v>
      </c>
      <c r="P2110" s="8">
        <v>12</v>
      </c>
      <c r="Q2110" s="2"/>
      <c r="R2110" s="96">
        <f ca="1">1-R2109/(3*F_GAMMA*R$29)</f>
        <v>0.82570952660721886</v>
      </c>
      <c r="S2110" s="106"/>
      <c r="T2110" s="22"/>
      <c r="U2110" s="96">
        <f ca="1">1-U2109/(3*F_GAMMA*U$29)</f>
        <v>0.82755993854981902</v>
      </c>
      <c r="V2110" s="111"/>
      <c r="W2110" s="28"/>
      <c r="X2110" s="96">
        <f ca="1">1-X2109/(3*F_GAMMA*X$29)</f>
        <v>0.83547352412860387</v>
      </c>
      <c r="Y2110" s="111"/>
      <c r="Z2110" s="28"/>
      <c r="AA2110" s="96">
        <f ca="1">1-AA2109/(3*F_GAMMA*AA$29)</f>
        <v>0.86987617786186655</v>
      </c>
      <c r="AB2110" s="111"/>
      <c r="AC2110" s="28"/>
      <c r="AD2110" s="96">
        <f ca="1">1-AD2109/(3*F_GAMMA*AD$29)</f>
        <v>1.0021807319062885</v>
      </c>
      <c r="AE2110" s="111"/>
      <c r="AF2110" s="28"/>
      <c r="AG2110" s="96">
        <f ca="1">1-AG2109/(3*F_GAMMA*AG$29)</f>
        <v>1.794708944298756</v>
      </c>
      <c r="AH2110" s="111"/>
      <c r="AI2110" s="28"/>
      <c r="AJ2110" s="96">
        <f ca="1">1-AJ2109/(3*F_GAMMA*AJ$29)</f>
        <v>-1.1174091718170138</v>
      </c>
      <c r="AK2110" s="111"/>
      <c r="AL2110" s="28"/>
      <c r="AM2110" s="96">
        <f ca="1">1-AM2109/(3*F_GAMMA*AM$29)</f>
        <v>-0.21573798457002424</v>
      </c>
      <c r="AN2110" s="111"/>
      <c r="AO2110" s="28"/>
      <c r="AP2110" s="96">
        <f ca="1">1-AP2109/(3*F_GAMMA*AP$29)</f>
        <v>0.19606896353877845</v>
      </c>
      <c r="AQ2110" s="111"/>
      <c r="AR2110" s="28"/>
      <c r="AS2110" s="96">
        <f ca="1">1-AS2109/(3*F_GAMMA*AS$29)</f>
        <v>-0.11750449309714783</v>
      </c>
      <c r="AT2110" s="111"/>
      <c r="AU2110" s="28"/>
    </row>
    <row r="2111" spans="15:47" x14ac:dyDescent="0.25">
      <c r="O2111" s="2" t="s">
        <v>57</v>
      </c>
      <c r="P2111" s="143">
        <v>7</v>
      </c>
      <c r="Q2111" s="2"/>
      <c r="R2111" s="96">
        <f ca="1">(R2104/(N_9*R$27*R2106*R2110))*SQRT(M*'Valve Sizing'!$W$6*'Valve Sizing'!$G$8/R2109)</f>
        <v>2.4119600282178868</v>
      </c>
      <c r="S2111" s="107"/>
      <c r="T2111" s="22"/>
      <c r="U2111" s="96">
        <f ca="1">(U2104/(N_9*U$27*U2106*U2110))*SQRT(M*'Valve Sizing'!$W$6*'Valve Sizing'!$G$8/U2109)</f>
        <v>20.80569671895211</v>
      </c>
      <c r="V2111" s="111"/>
      <c r="W2111" s="28"/>
      <c r="X2111" s="96">
        <f ca="1">(X2104/(N_9*X$27*X2106*X2110))*SQRT(M*'Valve Sizing'!$W$6*'Valve Sizing'!$G$8/X2109)</f>
        <v>53.441406485590754</v>
      </c>
      <c r="Y2111" s="111"/>
      <c r="Z2111" s="28"/>
      <c r="AA2111" s="96">
        <f ca="1">(AA2104/(N_9*AA$27*AA2106*AA2110))*SQRT(M*'Valve Sizing'!$W$6*'Valve Sizing'!$G$8/AA2109)</f>
        <v>125.29538809614331</v>
      </c>
      <c r="AB2111" s="111"/>
      <c r="AC2111" s="28"/>
      <c r="AD2111" s="96" t="e">
        <f ca="1">(AD2104/(N_9*AD$27*AD2106*AD2110))*SQRT(M*'Valve Sizing'!$W$6*'Valve Sizing'!$G$8/AD2109)</f>
        <v>#NUM!</v>
      </c>
      <c r="AE2111" s="111"/>
      <c r="AF2111" s="28"/>
      <c r="AG2111" s="96" t="e">
        <f ca="1">(AG2104/(N_9*AG$27*AG2106*AG2110))*SQRT(M*'Valve Sizing'!$W$6*'Valve Sizing'!$G$8/AG2109)</f>
        <v>#NUM!</v>
      </c>
      <c r="AH2111" s="111"/>
      <c r="AI2111" s="28"/>
      <c r="AJ2111" s="96">
        <f ca="1">(AJ2104/(N_9*AJ$27*AJ2106*AJ2110))*SQRT(M*'Valve Sizing'!$W$6*'Valve Sizing'!$G$8/AJ2109)</f>
        <v>289.14225538314139</v>
      </c>
      <c r="AK2111" s="111"/>
      <c r="AL2111" s="28"/>
      <c r="AM2111" s="96">
        <f ca="1">(AM2104/(N_9*AM$27*AM2106*AM2110))*SQRT(M*'Valve Sizing'!$W$6*'Valve Sizing'!$G$8/AM2109)</f>
        <v>835.97247172203936</v>
      </c>
      <c r="AN2111" s="111"/>
      <c r="AO2111" s="28"/>
      <c r="AP2111" s="96">
        <f ca="1">(AP2104/(N_9*AP$27*AP2106*AP2110))*SQRT(M*'Valve Sizing'!$W$6*'Valve Sizing'!$G$8/AP2109)</f>
        <v>-774.49561314499806</v>
      </c>
      <c r="AQ2111" s="111"/>
      <c r="AR2111" s="28"/>
      <c r="AS2111" s="96">
        <f ca="1">(AS2104/(N_9*AS$27*AS2106*AS2110))*SQRT(M*'Valve Sizing'!$W$6*'Valve Sizing'!$G$8/AS2109)</f>
        <v>1335.443350388897</v>
      </c>
      <c r="AT2111" s="111"/>
      <c r="AU2111" s="28"/>
    </row>
    <row r="2112" spans="15:47" x14ac:dyDescent="0.25">
      <c r="O2112" s="2" t="s">
        <v>59</v>
      </c>
      <c r="P2112" s="143">
        <v>7</v>
      </c>
      <c r="Q2112" s="2"/>
      <c r="R2112" s="96">
        <f ca="1">(R2104/(N_9*R$27*R2106*0.667))*SQRT(M*'Valve Sizing'!$W$6*'Valve Sizing'!$G$8/R2113)</f>
        <v>2.159081418221751</v>
      </c>
      <c r="S2112" s="107"/>
      <c r="T2112" s="22"/>
      <c r="U2112" s="96">
        <f ca="1">(U2104/(N_9*U$27*U2106*0.667))*SQRT(M*'Valve Sizing'!$W$6*'Valve Sizing'!$G$8/U2113)</f>
        <v>18.566737621707396</v>
      </c>
      <c r="V2112" s="111"/>
      <c r="W2112" s="28"/>
      <c r="X2112" s="96">
        <f ca="1">(X2104/(N_9*X$27*X2106*0.667))*SQRT(M*'Valve Sizing'!$W$6*'Valve Sizing'!$G$8/X2113)</f>
        <v>47.028731246390329</v>
      </c>
      <c r="Y2112" s="111"/>
      <c r="Z2112" s="28"/>
      <c r="AA2112" s="96">
        <f ca="1">(AA2104/(N_9*AA$27*AA2106*0.667))*SQRT(M*'Valve Sizing'!$W$6*'Valve Sizing'!$G$8/AA2113)</f>
        <v>102.09529359159325</v>
      </c>
      <c r="AB2112" s="111"/>
      <c r="AC2112" s="28"/>
      <c r="AD2112" s="96">
        <f ca="1">(AD2104/(N_9*AD$27*AD2106*0.667))*SQRT(M*'Valve Sizing'!$W$6*'Valve Sizing'!$G$8/AD2113)</f>
        <v>233.86050163069672</v>
      </c>
      <c r="AE2112" s="111"/>
      <c r="AF2112" s="28"/>
      <c r="AG2112" s="96">
        <f ca="1">(AG2104/(N_9*AG$27*AG2106*0.667))*SQRT(M*'Valve Sizing'!$W$6*'Valve Sizing'!$G$8/AG2113)</f>
        <v>846.14232132185271</v>
      </c>
      <c r="AH2112" s="111"/>
      <c r="AI2112" s="28"/>
      <c r="AJ2112" s="96">
        <f ca="1">(AJ2104/(N_9*AJ$27*AJ2106*0.667))*SQRT(M*'Valve Sizing'!$W$6*'Valve Sizing'!$G$8/AJ2113)</f>
        <v>-1220.8462807962826</v>
      </c>
      <c r="AK2112" s="111"/>
      <c r="AL2112" s="28"/>
      <c r="AM2112" s="96">
        <f ca="1">(AM2104/(N_9*AM$27*AM2106*0.667))*SQRT(M*'Valve Sizing'!$W$6*'Valve Sizing'!$G$8/AM2113)</f>
        <v>-516.38471682395129</v>
      </c>
      <c r="AN2112" s="111"/>
      <c r="AO2112" s="28"/>
      <c r="AP2112" s="96">
        <f ca="1">(AP2104/(N_9*AP$27*AP2106*0.667))*SQRT(M*'Valve Sizing'!$W$6*'Valve Sizing'!$G$8/AP2113)</f>
        <v>-353.56723022535749</v>
      </c>
      <c r="AQ2112" s="111"/>
      <c r="AR2112" s="28"/>
      <c r="AS2112" s="96">
        <f ca="1">(AS2104/(N_9*AS$27*AS2106*0.667))*SQRT(M*'Valve Sizing'!$W$6*'Valve Sizing'!$G$8/AS2113)</f>
        <v>-430.7639748089785</v>
      </c>
      <c r="AT2112" s="111"/>
      <c r="AU2112" s="28"/>
    </row>
    <row r="2113" spans="15:47" ht="15.6" x14ac:dyDescent="0.35">
      <c r="O2113" s="2" t="s">
        <v>68</v>
      </c>
      <c r="P2113" s="143">
        <v>10</v>
      </c>
      <c r="Q2113" s="2"/>
      <c r="R2113" s="96">
        <f ca="1">F_GAMMA*R$29</f>
        <v>0.64002969751372984</v>
      </c>
      <c r="S2113" s="107"/>
      <c r="T2113" s="1"/>
      <c r="U2113" s="96">
        <f ca="1">F_GAMMA*U$29</f>
        <v>0.64017842058782071</v>
      </c>
      <c r="V2113" s="111"/>
      <c r="W2113" s="28"/>
      <c r="X2113" s="96">
        <f ca="1">F_GAMMA*X$29</f>
        <v>0.63413873724904268</v>
      </c>
      <c r="Y2113" s="111"/>
      <c r="Z2113" s="28"/>
      <c r="AA2113" s="96">
        <f ca="1">F_GAMMA*AA$29</f>
        <v>0.62532411750377137</v>
      </c>
      <c r="AB2113" s="111"/>
      <c r="AC2113" s="28"/>
      <c r="AD2113" s="96">
        <f ca="1">F_GAMMA*AD$29</f>
        <v>0.60651359509139569</v>
      </c>
      <c r="AE2113" s="111"/>
      <c r="AF2113" s="28"/>
      <c r="AG2113" s="96">
        <f ca="1">F_GAMMA*AG$29</f>
        <v>0.57217930198481592</v>
      </c>
      <c r="AH2113" s="111"/>
      <c r="AI2113" s="28"/>
      <c r="AJ2113" s="96">
        <f ca="1">F_GAMMA*AJ$29</f>
        <v>0.53183282018848232</v>
      </c>
      <c r="AK2113" s="111"/>
      <c r="AL2113" s="28"/>
      <c r="AM2113" s="96">
        <f ca="1">F_GAMMA*AM$29</f>
        <v>0.47566512503094399</v>
      </c>
      <c r="AN2113" s="111"/>
      <c r="AO2113" s="28"/>
      <c r="AP2113" s="96">
        <f ca="1">F_GAMMA*AP$29</f>
        <v>0.59054158265645496</v>
      </c>
      <c r="AQ2113" s="111"/>
      <c r="AR2113" s="28"/>
      <c r="AS2113" s="96">
        <f ca="1">F_GAMMA*AS$29</f>
        <v>0.3766899554102966</v>
      </c>
      <c r="AT2113" s="111"/>
      <c r="AU2113" s="28"/>
    </row>
    <row r="2114" spans="15:47" x14ac:dyDescent="0.25">
      <c r="O2114" s="2" t="s">
        <v>145</v>
      </c>
      <c r="P2114" s="12"/>
      <c r="Q2114" s="2"/>
      <c r="R2114" s="96">
        <f ca="1">IF(R2109&lt;R2113,R2111,R2112)</f>
        <v>2.4119600282178868</v>
      </c>
      <c r="S2114" s="116"/>
      <c r="T2114" s="1"/>
      <c r="U2114" s="96">
        <f ca="1">IF(U2109&lt;U2113,U2111,U2112)</f>
        <v>20.80569671895211</v>
      </c>
      <c r="V2114" s="111"/>
      <c r="W2114" s="28"/>
      <c r="X2114" s="96">
        <f ca="1">IF(X2109&lt;X2113,X2111,X2112)</f>
        <v>53.441406485590754</v>
      </c>
      <c r="Y2114" s="111"/>
      <c r="Z2114" s="28"/>
      <c r="AA2114" s="96">
        <f ca="1">IF(AA2109&lt;AA2113,AA2111,AA2112)</f>
        <v>125.29538809614331</v>
      </c>
      <c r="AB2114" s="111"/>
      <c r="AC2114" s="28"/>
      <c r="AD2114" s="96" t="e">
        <f ca="1">IF(AD2109&lt;AD2113,AD2111,AD2112)</f>
        <v>#NUM!</v>
      </c>
      <c r="AE2114" s="111"/>
      <c r="AF2114" s="28"/>
      <c r="AG2114" s="96" t="e">
        <f ca="1">IF(AG2109&lt;AG2113,AG2111,AG2112)</f>
        <v>#NUM!</v>
      </c>
      <c r="AH2114" s="111"/>
      <c r="AI2114" s="28"/>
      <c r="AJ2114" s="96">
        <f ca="1">IF(AJ2109&lt;AJ2113,AJ2111,AJ2112)</f>
        <v>-1220.8462807962826</v>
      </c>
      <c r="AK2114" s="111"/>
      <c r="AL2114" s="28"/>
      <c r="AM2114" s="96">
        <f ca="1">IF(AM2109&lt;AM2113,AM2111,AM2112)</f>
        <v>-516.38471682395129</v>
      </c>
      <c r="AN2114" s="111"/>
      <c r="AO2114" s="28"/>
      <c r="AP2114" s="96">
        <f ca="1">IF(AP2109&lt;AP2113,AP2111,AP2112)</f>
        <v>-353.56723022535749</v>
      </c>
      <c r="AQ2114" s="111"/>
      <c r="AR2114" s="28"/>
      <c r="AS2114" s="96">
        <f ca="1">IF(AS2109&lt;AS2113,AS2111,AS2112)</f>
        <v>-430.7639748089785</v>
      </c>
      <c r="AT2114" s="111"/>
      <c r="AU2114" s="28"/>
    </row>
    <row r="2115" spans="15:47" x14ac:dyDescent="0.25">
      <c r="O2115" s="13" t="s">
        <v>143</v>
      </c>
      <c r="P2115" s="1"/>
      <c r="Q2115" s="1"/>
      <c r="R2115" s="113"/>
      <c r="S2115" s="106">
        <f ca="1">IF(R2108&lt;=0,Q_max,ABS(R$23-R2114))</f>
        <v>2.3180399717821136</v>
      </c>
      <c r="T2115" s="7">
        <f>R2104</f>
        <v>5971.8939153917454</v>
      </c>
      <c r="U2115" s="98"/>
      <c r="V2115" s="106">
        <f ca="1">IF(U2108&lt;=0,Q_max,ABS(U$23-U2114))</f>
        <v>9.2056967189521099</v>
      </c>
      <c r="W2115" s="9">
        <f ca="1">U2104</f>
        <v>51060.05097729151</v>
      </c>
      <c r="X2115" s="98"/>
      <c r="Y2115" s="106">
        <f ca="1">IF(X2108&lt;=0,Q_max,ABS(X$23-X2114))</f>
        <v>30.441406485590754</v>
      </c>
      <c r="Z2115" s="9">
        <f ca="1">X2104</f>
        <v>125027.3091922131</v>
      </c>
      <c r="AA2115" s="98"/>
      <c r="AB2115" s="106">
        <f ca="1">IF(AA2108&lt;=0,Q_max,ABS(AA$23-AA2114))</f>
        <v>85.895388096143307</v>
      </c>
      <c r="AC2115" s="9">
        <f ca="1">AA2104</f>
        <v>243521.28565921698</v>
      </c>
      <c r="AD2115" s="98"/>
      <c r="AE2115" s="106">
        <f ca="1">IF(AD2108&lt;=0,Q_max,ABS(AD$23-AD2114))</f>
        <v>236393</v>
      </c>
      <c r="AF2115" s="9">
        <f ca="1">AD2104</f>
        <v>408552.9630908813</v>
      </c>
      <c r="AG2115" s="98"/>
      <c r="AH2115" s="106">
        <f ca="1">IF(AG2108&lt;=0,Q_max,ABS(AG$23-AG2114))</f>
        <v>236393</v>
      </c>
      <c r="AI2115" s="9">
        <f ca="1">AG2104</f>
        <v>596294.17703756515</v>
      </c>
      <c r="AJ2115" s="98"/>
      <c r="AK2115" s="106">
        <f ca="1">IF(AJ2108&lt;=0,Q_max,ABS(AJ$23-AJ2114))</f>
        <v>236393</v>
      </c>
      <c r="AL2115" s="9">
        <f ca="1">AJ2104</f>
        <v>795756.89083109901</v>
      </c>
      <c r="AM2115" s="98"/>
      <c r="AN2115" s="106">
        <f ca="1">IF(AM2108&lt;=0,Q_max,ABS(AM$23-AM2114))</f>
        <v>236393</v>
      </c>
      <c r="AO2115" s="9">
        <f ca="1">AM2104</f>
        <v>970974.63241206878</v>
      </c>
      <c r="AP2115" s="98"/>
      <c r="AQ2115" s="106">
        <f ca="1">IF(AP2108&lt;=0,Q_max,ABS(AP$23-AP2114))</f>
        <v>236393</v>
      </c>
      <c r="AR2115" s="9">
        <f ca="1">AP2104</f>
        <v>1127271.4046822079</v>
      </c>
      <c r="AS2115" s="98"/>
      <c r="AT2115" s="106">
        <f ca="1">IF(AS2108&lt;=0,Q_max,ABS(AS$23-AS2114))</f>
        <v>236393</v>
      </c>
      <c r="AU2115" s="9">
        <f ca="1">AS2104</f>
        <v>1321814.3761634978</v>
      </c>
    </row>
    <row r="2116" spans="15:47" x14ac:dyDescent="0.25">
      <c r="O2116" s="21"/>
      <c r="P2116" s="14"/>
      <c r="Q2116" s="21"/>
      <c r="R2116" s="97"/>
      <c r="S2116" s="106"/>
      <c r="T2116" s="28"/>
      <c r="U2116" s="97"/>
      <c r="V2116" s="111"/>
      <c r="W2116" s="28"/>
      <c r="X2116" s="97"/>
      <c r="Y2116" s="111"/>
      <c r="Z2116" s="28"/>
      <c r="AA2116" s="97"/>
      <c r="AB2116" s="111"/>
      <c r="AC2116" s="28"/>
      <c r="AD2116" s="97"/>
      <c r="AE2116" s="111"/>
      <c r="AF2116" s="28"/>
      <c r="AG2116" s="97"/>
      <c r="AH2116" s="111"/>
      <c r="AI2116" s="28"/>
      <c r="AJ2116" s="97"/>
      <c r="AK2116" s="111"/>
      <c r="AL2116" s="28"/>
      <c r="AM2116" s="97"/>
      <c r="AN2116" s="111"/>
      <c r="AO2116" s="28"/>
      <c r="AP2116" s="97"/>
      <c r="AQ2116" s="111"/>
      <c r="AR2116" s="28"/>
      <c r="AS2116" s="97"/>
      <c r="AT2116" s="111"/>
      <c r="AU2116" s="28"/>
    </row>
    <row r="2117" spans="15:47" x14ac:dyDescent="0.25">
      <c r="O2117" s="1"/>
      <c r="P2117" s="1"/>
      <c r="Q2117" s="1"/>
      <c r="R2117" s="98"/>
      <c r="S2117" s="108" t="s">
        <v>137</v>
      </c>
      <c r="T2117" s="26" t="s">
        <v>146</v>
      </c>
      <c r="U2117" s="98"/>
      <c r="V2117" s="108" t="s">
        <v>137</v>
      </c>
      <c r="W2117" s="26" t="s">
        <v>146</v>
      </c>
      <c r="X2117" s="98"/>
      <c r="Y2117" s="108" t="s">
        <v>137</v>
      </c>
      <c r="Z2117" s="26" t="s">
        <v>146</v>
      </c>
      <c r="AA2117" s="98"/>
      <c r="AB2117" s="108" t="s">
        <v>137</v>
      </c>
      <c r="AC2117" s="26" t="s">
        <v>146</v>
      </c>
      <c r="AD2117" s="98"/>
      <c r="AE2117" s="108" t="s">
        <v>137</v>
      </c>
      <c r="AF2117" s="26" t="s">
        <v>146</v>
      </c>
      <c r="AG2117" s="98"/>
      <c r="AH2117" s="108" t="s">
        <v>137</v>
      </c>
      <c r="AI2117" s="26" t="s">
        <v>146</v>
      </c>
      <c r="AJ2117" s="98"/>
      <c r="AK2117" s="108" t="s">
        <v>137</v>
      </c>
      <c r="AL2117" s="26" t="s">
        <v>146</v>
      </c>
      <c r="AM2117" s="98"/>
      <c r="AN2117" s="108" t="s">
        <v>137</v>
      </c>
      <c r="AO2117" s="26" t="s">
        <v>146</v>
      </c>
      <c r="AP2117" s="98"/>
      <c r="AQ2117" s="108" t="s">
        <v>137</v>
      </c>
      <c r="AR2117" s="26" t="s">
        <v>146</v>
      </c>
      <c r="AS2117" s="98"/>
      <c r="AT2117" s="108" t="s">
        <v>137</v>
      </c>
      <c r="AU2117" s="26" t="s">
        <v>146</v>
      </c>
    </row>
    <row r="2118" spans="15:47" ht="13.8" x14ac:dyDescent="0.25">
      <c r="O2118" s="20" t="s">
        <v>136</v>
      </c>
      <c r="P2118" s="1"/>
      <c r="Q2118" s="1"/>
      <c r="R2118" s="96">
        <f>R2104*1.02</f>
        <v>6091.33179369958</v>
      </c>
      <c r="S2118" s="109" t="s">
        <v>144</v>
      </c>
      <c r="T2118" s="23" t="s">
        <v>147</v>
      </c>
      <c r="U2118" s="96">
        <f ca="1">U2104*1.01</f>
        <v>51570.651487064424</v>
      </c>
      <c r="V2118" s="109" t="s">
        <v>144</v>
      </c>
      <c r="W2118" s="23" t="s">
        <v>147</v>
      </c>
      <c r="X2118" s="96">
        <f ca="1">X2104*1.01</f>
        <v>126277.58228413523</v>
      </c>
      <c r="Y2118" s="109" t="s">
        <v>144</v>
      </c>
      <c r="Z2118" s="23" t="s">
        <v>147</v>
      </c>
      <c r="AA2118" s="96">
        <f ca="1">AA2104*1.01</f>
        <v>245956.49851580916</v>
      </c>
      <c r="AB2118" s="109" t="s">
        <v>144</v>
      </c>
      <c r="AC2118" s="23" t="s">
        <v>147</v>
      </c>
      <c r="AD2118" s="96">
        <f ca="1">AD2104*1.01</f>
        <v>412638.4927217901</v>
      </c>
      <c r="AE2118" s="109" t="s">
        <v>144</v>
      </c>
      <c r="AF2118" s="23" t="s">
        <v>147</v>
      </c>
      <c r="AG2118" s="96">
        <f ca="1">AG2104*1.01</f>
        <v>602257.11880794086</v>
      </c>
      <c r="AH2118" s="109" t="s">
        <v>144</v>
      </c>
      <c r="AI2118" s="23" t="s">
        <v>147</v>
      </c>
      <c r="AJ2118" s="96">
        <f ca="1">AJ2104*1.01</f>
        <v>803714.45973940997</v>
      </c>
      <c r="AK2118" s="109" t="s">
        <v>144</v>
      </c>
      <c r="AL2118" s="23" t="s">
        <v>147</v>
      </c>
      <c r="AM2118" s="96">
        <f ca="1">AM2104*1.01</f>
        <v>980684.37873618945</v>
      </c>
      <c r="AN2118" s="109" t="s">
        <v>144</v>
      </c>
      <c r="AO2118" s="23" t="s">
        <v>147</v>
      </c>
      <c r="AP2118" s="96">
        <f ca="1">AP2104*1.01</f>
        <v>1138544.11872903</v>
      </c>
      <c r="AQ2118" s="109" t="s">
        <v>144</v>
      </c>
      <c r="AR2118" s="23" t="s">
        <v>147</v>
      </c>
      <c r="AS2118" s="96">
        <f ca="1">AS2104*1.01</f>
        <v>1335032.5199251329</v>
      </c>
      <c r="AT2118" s="109" t="s">
        <v>144</v>
      </c>
      <c r="AU2118" s="23" t="s">
        <v>147</v>
      </c>
    </row>
    <row r="2119" spans="15:47" x14ac:dyDescent="0.25">
      <c r="O2119" s="1"/>
      <c r="P2119" s="1"/>
      <c r="Q2119" s="1"/>
      <c r="R2119" s="98"/>
      <c r="S2119" s="107"/>
      <c r="T2119" s="1"/>
      <c r="U2119" s="47"/>
      <c r="V2119" s="107"/>
      <c r="W2119" s="1"/>
      <c r="X2119" s="47"/>
      <c r="Y2119" s="107"/>
      <c r="Z2119" s="1"/>
      <c r="AA2119" s="47"/>
      <c r="AB2119" s="107"/>
      <c r="AC2119" s="1"/>
      <c r="AD2119" s="47"/>
      <c r="AE2119" s="107"/>
      <c r="AF2119" s="1"/>
      <c r="AG2119" s="47"/>
      <c r="AH2119" s="107"/>
      <c r="AI2119" s="1"/>
      <c r="AJ2119" s="47"/>
      <c r="AK2119" s="107"/>
      <c r="AL2119" s="1"/>
      <c r="AM2119" s="47"/>
      <c r="AN2119" s="107"/>
      <c r="AO2119" s="1"/>
      <c r="AP2119" s="47"/>
      <c r="AQ2119" s="107"/>
      <c r="AR2119" s="1"/>
      <c r="AS2119" s="47"/>
      <c r="AT2119" s="107"/>
      <c r="AU2119" s="1"/>
    </row>
    <row r="2120" spans="15:47" x14ac:dyDescent="0.25">
      <c r="O2120" s="8" t="s">
        <v>132</v>
      </c>
      <c r="P2120" s="8"/>
      <c r="Q2120" s="8"/>
      <c r="R2120" s="96">
        <f>P_1_minQ-(R2118^2*R_up)+dpup_minQ</f>
        <v>90.178277862532255</v>
      </c>
      <c r="S2120" s="106"/>
      <c r="T2120" s="22"/>
      <c r="U2120" s="96">
        <f ca="1">P_1_minQ-(U2118^2*R_up)+dpup_minQ</f>
        <v>89.700311787288712</v>
      </c>
      <c r="V2120" s="107"/>
      <c r="W2120" s="1"/>
      <c r="X2120" s="96">
        <f ca="1">P_1_minQ-(X2118^2*R_up)+dpup_minQ</f>
        <v>87.278702975663052</v>
      </c>
      <c r="Y2120" s="107"/>
      <c r="Z2120" s="1"/>
      <c r="AA2120" s="96">
        <f ca="1">P_1_minQ-(AA2118^2*R_up)+dpup_minQ</f>
        <v>79.159239764216068</v>
      </c>
      <c r="AB2120" s="107"/>
      <c r="AC2120" s="1"/>
      <c r="AD2120" s="96">
        <f ca="1">P_1_minQ-(AD2118^2*R_up)+dpup_minQ</f>
        <v>59.151379369911879</v>
      </c>
      <c r="AE2120" s="107"/>
      <c r="AF2120" s="1"/>
      <c r="AG2120" s="96">
        <f ca="1">P_1_minQ-(AG2118^2*R_up)+dpup_minQ</f>
        <v>24.07652251735243</v>
      </c>
      <c r="AH2120" s="107"/>
      <c r="AI2120" s="1"/>
      <c r="AJ2120" s="96">
        <f ca="1">P_1_minQ-(AJ2118^2*R_up)+dpup_minQ</f>
        <v>-27.547658637478804</v>
      </c>
      <c r="AK2120" s="107"/>
      <c r="AL2120" s="1"/>
      <c r="AM2120" s="96">
        <f ca="1">P_1_minQ-(AM2118^2*R_up)+dpup_minQ</f>
        <v>-85.102905518036323</v>
      </c>
      <c r="AN2120" s="107"/>
      <c r="AO2120" s="1"/>
      <c r="AP2120" s="96">
        <f ca="1">P_1_minQ-(AP2118^2*R_up)+dpup_minQ</f>
        <v>-146.07662742186761</v>
      </c>
      <c r="AQ2120" s="107"/>
      <c r="AR2120" s="1"/>
      <c r="AS2120" s="96">
        <f ca="1">P_1_minQ-(AS2118^2*R_up)+dpup_minQ</f>
        <v>-234.66073751472555</v>
      </c>
      <c r="AT2120" s="107"/>
      <c r="AU2120" s="1"/>
    </row>
    <row r="2121" spans="15:47" x14ac:dyDescent="0.25">
      <c r="O2121" s="8" t="s">
        <v>134</v>
      </c>
      <c r="P2121" s="1"/>
      <c r="Q2121" s="8"/>
      <c r="R2121" s="97">
        <f>P_2_minQ+(R2118^2*R_dn)-dpdn_minQ</f>
        <v>60</v>
      </c>
      <c r="S2121" s="106"/>
      <c r="T2121" s="22"/>
      <c r="U2121" s="97">
        <f ca="1">P_2_minQ+(U2118^2*R_dn)-dpdn_minQ</f>
        <v>60</v>
      </c>
      <c r="V2121" s="107"/>
      <c r="W2121" s="1"/>
      <c r="X2121" s="97">
        <f ca="1">P_2_minQ+(X2118^2*R_dn)-dpdn_minQ</f>
        <v>60</v>
      </c>
      <c r="Y2121" s="107"/>
      <c r="Z2121" s="1"/>
      <c r="AA2121" s="97">
        <f ca="1">P_2_minQ+(AA2118^2*R_dn)-dpdn_minQ</f>
        <v>60</v>
      </c>
      <c r="AB2121" s="107"/>
      <c r="AC2121" s="1"/>
      <c r="AD2121" s="97">
        <f ca="1">P_2_minQ+(AD2118^2*R_dn)-dpdn_minQ</f>
        <v>60</v>
      </c>
      <c r="AE2121" s="107"/>
      <c r="AF2121" s="1"/>
      <c r="AG2121" s="97">
        <f ca="1">P_2_minQ+(AG2118^2*R_dn)-dpdn_minQ</f>
        <v>60</v>
      </c>
      <c r="AH2121" s="107"/>
      <c r="AI2121" s="1"/>
      <c r="AJ2121" s="97">
        <f ca="1">P_2_minQ+(AJ2118^2*R_dn)-dpdn_minQ</f>
        <v>60</v>
      </c>
      <c r="AK2121" s="107"/>
      <c r="AL2121" s="1"/>
      <c r="AM2121" s="97">
        <f ca="1">P_2_minQ+(AM2118^2*R_dn)-dpdn_minQ</f>
        <v>60</v>
      </c>
      <c r="AN2121" s="107"/>
      <c r="AO2121" s="1"/>
      <c r="AP2121" s="97">
        <f ca="1">P_2_minQ+(AP2118^2*R_dn)-dpdn_minQ</f>
        <v>60</v>
      </c>
      <c r="AQ2121" s="107"/>
      <c r="AR2121" s="1"/>
      <c r="AS2121" s="97">
        <f ca="1">P_2_minQ+(AS2118^2*R_dn)-dpdn_minQ</f>
        <v>60</v>
      </c>
      <c r="AT2121" s="107"/>
      <c r="AU2121" s="1"/>
    </row>
    <row r="2122" spans="15:47" x14ac:dyDescent="0.25">
      <c r="O2122" s="8" t="s">
        <v>138</v>
      </c>
      <c r="P2122" s="1"/>
      <c r="Q2122" s="8"/>
      <c r="R2122" s="97">
        <f>R2120-R2121</f>
        <v>30.178277862532255</v>
      </c>
      <c r="S2122" s="106"/>
      <c r="T2122" s="22"/>
      <c r="U2122" s="97">
        <f ca="1">U2120-U2121</f>
        <v>29.700311787288712</v>
      </c>
      <c r="V2122" s="110"/>
      <c r="W2122" s="25"/>
      <c r="X2122" s="97">
        <f ca="1">X2120-X2121</f>
        <v>27.278702975663052</v>
      </c>
      <c r="Y2122" s="110"/>
      <c r="Z2122" s="25"/>
      <c r="AA2122" s="97">
        <f ca="1">AA2120-AA2121</f>
        <v>19.159239764216068</v>
      </c>
      <c r="AB2122" s="110"/>
      <c r="AC2122" s="25"/>
      <c r="AD2122" s="97">
        <f ca="1">AD2120-AD2121</f>
        <v>-0.84862063008812072</v>
      </c>
      <c r="AE2122" s="110"/>
      <c r="AF2122" s="25"/>
      <c r="AG2122" s="97">
        <f ca="1">AG2120-AG2121</f>
        <v>-35.92347748264757</v>
      </c>
      <c r="AH2122" s="110"/>
      <c r="AI2122" s="25"/>
      <c r="AJ2122" s="97">
        <f ca="1">AJ2120-AJ2121</f>
        <v>-87.547658637478804</v>
      </c>
      <c r="AK2122" s="110"/>
      <c r="AL2122" s="25"/>
      <c r="AM2122" s="97">
        <f ca="1">AM2120-AM2121</f>
        <v>-145.10290551803632</v>
      </c>
      <c r="AN2122" s="110"/>
      <c r="AO2122" s="25"/>
      <c r="AP2122" s="97">
        <f ca="1">AP2120-AP2121</f>
        <v>-206.07662742186761</v>
      </c>
      <c r="AQ2122" s="110"/>
      <c r="AR2122" s="25"/>
      <c r="AS2122" s="97">
        <f ca="1">AS2120-AS2121</f>
        <v>-294.66073751472555</v>
      </c>
      <c r="AT2122" s="110"/>
      <c r="AU2122" s="25"/>
    </row>
    <row r="2123" spans="15:47" ht="14.4" x14ac:dyDescent="0.3">
      <c r="O2123" s="2" t="s">
        <v>140</v>
      </c>
      <c r="P2123" s="11"/>
      <c r="Q2123" s="2"/>
      <c r="R2123" s="96">
        <f>R2122/R2120</f>
        <v>0.33465129937983529</v>
      </c>
      <c r="S2123" s="106"/>
      <c r="T2123" s="22"/>
      <c r="U2123" s="96">
        <f ca="1">U2122/U2120</f>
        <v>0.33110600393138762</v>
      </c>
      <c r="V2123" s="111"/>
      <c r="W2123" s="28"/>
      <c r="X2123" s="96">
        <f ca="1">X2122/X2120</f>
        <v>0.31254707099931922</v>
      </c>
      <c r="Y2123" s="111"/>
      <c r="Z2123" s="28"/>
      <c r="AA2123" s="96">
        <f ca="1">AA2122/AA2120</f>
        <v>0.2420341557256466</v>
      </c>
      <c r="AB2123" s="111"/>
      <c r="AC2123" s="28"/>
      <c r="AD2123" s="96">
        <f ca="1">AD2122/AD2120</f>
        <v>-1.434659071568131E-2</v>
      </c>
      <c r="AE2123" s="111"/>
      <c r="AF2123" s="28"/>
      <c r="AG2123" s="96">
        <f ca="1">AG2122/AG2120</f>
        <v>-1.4920542390105052</v>
      </c>
      <c r="AH2123" s="111"/>
      <c r="AI2123" s="28"/>
      <c r="AJ2123" s="96">
        <f ca="1">AJ2122/AJ2120</f>
        <v>3.178043542269307</v>
      </c>
      <c r="AK2123" s="111"/>
      <c r="AL2123" s="28"/>
      <c r="AM2123" s="96">
        <f ca="1">AM2122/AM2120</f>
        <v>1.7050288075920494</v>
      </c>
      <c r="AN2123" s="111"/>
      <c r="AO2123" s="28"/>
      <c r="AP2123" s="96">
        <f ca="1">AP2122/AP2120</f>
        <v>1.4107433273820096</v>
      </c>
      <c r="AQ2123" s="111"/>
      <c r="AR2123" s="28"/>
      <c r="AS2123" s="96">
        <f ca="1">AS2122/AS2120</f>
        <v>1.2556882784715311</v>
      </c>
      <c r="AT2123" s="111"/>
      <c r="AU2123" s="28"/>
    </row>
    <row r="2124" spans="15:47" x14ac:dyDescent="0.25">
      <c r="O2124" s="2" t="s">
        <v>21</v>
      </c>
      <c r="P2124" s="8">
        <v>12</v>
      </c>
      <c r="Q2124" s="2"/>
      <c r="R2124" s="96">
        <f ca="1">1-R2123/(3*F_GAMMA*R$29)</f>
        <v>0.82571053568304342</v>
      </c>
      <c r="S2124" s="106"/>
      <c r="T2124" s="22"/>
      <c r="U2124" s="96">
        <f ca="1">1-U2123/(3*F_GAMMA*U$29)</f>
        <v>0.8275970191625841</v>
      </c>
      <c r="V2124" s="111"/>
      <c r="W2124" s="28"/>
      <c r="X2124" s="96">
        <f ca="1">1-X2123/(3*F_GAMMA*X$29)</f>
        <v>0.83571046700012908</v>
      </c>
      <c r="Y2124" s="111"/>
      <c r="Z2124" s="28"/>
      <c r="AA2124" s="96">
        <f ca="1">1-AA2123/(3*F_GAMMA*AA$29)</f>
        <v>0.87098202412117542</v>
      </c>
      <c r="AB2124" s="111"/>
      <c r="AC2124" s="28"/>
      <c r="AD2124" s="96">
        <f ca="1">1-AD2123/(3*F_GAMMA*AD$29)</f>
        <v>1.0078847315937023</v>
      </c>
      <c r="AE2124" s="111"/>
      <c r="AF2124" s="28"/>
      <c r="AG2124" s="96">
        <f ca="1">1-AG2123/(3*F_GAMMA*AG$29)</f>
        <v>1.8692230062818667</v>
      </c>
      <c r="AH2124" s="111"/>
      <c r="AI2124" s="28"/>
      <c r="AJ2124" s="96">
        <f ca="1">1-AJ2123/(3*F_GAMMA*AJ$29)</f>
        <v>-0.99188129654666279</v>
      </c>
      <c r="AK2124" s="111"/>
      <c r="AL2124" s="28"/>
      <c r="AM2124" s="96">
        <f ca="1">1-AM2123/(3*F_GAMMA*AM$29)</f>
        <v>-0.19483835571725683</v>
      </c>
      <c r="AN2124" s="111"/>
      <c r="AO2124" s="28"/>
      <c r="AP2124" s="96">
        <f ca="1">1-AP2123/(3*F_GAMMA*AP$29)</f>
        <v>0.20370082377828447</v>
      </c>
      <c r="AQ2124" s="111"/>
      <c r="AR2124" s="28"/>
      <c r="AS2124" s="96">
        <f ca="1">1-AS2123/(3*F_GAMMA*AS$29)</f>
        <v>-0.11115986364596631</v>
      </c>
      <c r="AT2124" s="111"/>
      <c r="AU2124" s="28"/>
    </row>
    <row r="2125" spans="15:47" x14ac:dyDescent="0.25">
      <c r="O2125" s="2" t="s">
        <v>57</v>
      </c>
      <c r="P2125" s="143">
        <v>7</v>
      </c>
      <c r="Q2125" s="2"/>
      <c r="R2125" s="96">
        <f ca="1">(R2118/(N_9*R$27*R2120*R2124))*SQRT(M*'Valve Sizing'!$W$6*'Valve Sizing'!$G$8/R2123)</f>
        <v>2.4602105082875818</v>
      </c>
      <c r="S2125" s="107"/>
      <c r="T2125" s="22"/>
      <c r="U2125" s="96">
        <f ca="1">(U2118/(N_9*U$27*U2120*U2124))*SQRT(M*'Valve Sizing'!$W$6*'Valve Sizing'!$G$8/U2123)</f>
        <v>21.017309402693538</v>
      </c>
      <c r="V2125" s="111"/>
      <c r="W2125" s="28"/>
      <c r="X2125" s="96">
        <f ca="1">(X2118/(N_9*X$27*X2120*X2124))*SQRT(M*'Valve Sizing'!$W$6*'Valve Sizing'!$G$8/X2123)</f>
        <v>54.034845563168645</v>
      </c>
      <c r="Y2125" s="111"/>
      <c r="Z2125" s="28"/>
      <c r="AA2125" s="96">
        <f ca="1">(AA2118/(N_9*AA$27*AA2120*AA2124))*SQRT(M*'Valve Sizing'!$W$6*'Valve Sizing'!$G$8/AA2123)</f>
        <v>127.27651743112045</v>
      </c>
      <c r="AB2125" s="111"/>
      <c r="AC2125" s="28"/>
      <c r="AD2125" s="96" t="e">
        <f ca="1">(AD2118/(N_9*AD$27*AD2120*AD2124))*SQRT(M*'Valve Sizing'!$W$6*'Valve Sizing'!$G$8/AD2123)</f>
        <v>#NUM!</v>
      </c>
      <c r="AE2125" s="111"/>
      <c r="AF2125" s="28"/>
      <c r="AG2125" s="96" t="e">
        <f ca="1">(AG2118/(N_9*AG$27*AG2120*AG2124))*SQRT(M*'Valve Sizing'!$W$6*'Valve Sizing'!$G$8/AG2123)</f>
        <v>#NUM!</v>
      </c>
      <c r="AH2125" s="111"/>
      <c r="AI2125" s="28"/>
      <c r="AJ2125" s="96">
        <f ca="1">(AJ2118/(N_9*AJ$27*AJ2120*AJ2124))*SQRT(M*'Valve Sizing'!$W$6*'Valve Sizing'!$G$8/AJ2123)</f>
        <v>310.63604296301531</v>
      </c>
      <c r="AK2125" s="111"/>
      <c r="AL2125" s="28"/>
      <c r="AM2125" s="96">
        <f ca="1">(AM2118/(N_9*AM$27*AM2120*AM2124))*SQRT(M*'Valve Sizing'!$W$6*'Valve Sizing'!$G$8/AM2123)</f>
        <v>904.76881815596482</v>
      </c>
      <c r="AN2125" s="111"/>
      <c r="AO2125" s="28"/>
      <c r="AP2125" s="96">
        <f ca="1">(AP2118/(N_9*AP$27*AP2120*AP2124))*SQRT(M*'Valve Sizing'!$W$6*'Valve Sizing'!$G$8/AP2123)</f>
        <v>-732.42284212178595</v>
      </c>
      <c r="AQ2125" s="111"/>
      <c r="AR2125" s="28"/>
      <c r="AS2125" s="96">
        <f ca="1">(AS2118/(N_9*AS$27*AS2120*AS2124))*SQRT(M*'Valve Sizing'!$W$6*'Valve Sizing'!$G$8/AS2123)</f>
        <v>1390.8459968336056</v>
      </c>
      <c r="AT2125" s="111"/>
      <c r="AU2125" s="28"/>
    </row>
    <row r="2126" spans="15:47" x14ac:dyDescent="0.25">
      <c r="O2126" s="2" t="s">
        <v>59</v>
      </c>
      <c r="P2126" s="143">
        <v>7</v>
      </c>
      <c r="Q2126" s="2"/>
      <c r="R2126" s="96">
        <f ca="1">(R2118/(N_9*R$27*R2120*0.667))*SQRT(M*'Valve Sizing'!$W$6*'Valve Sizing'!$G$8/R2127)</f>
        <v>2.2022694596612764</v>
      </c>
      <c r="S2126" s="107"/>
      <c r="T2126" s="22"/>
      <c r="U2126" s="96">
        <f ca="1">(U2118/(N_9*U$27*U2120*0.667))*SQRT(M*'Valve Sizing'!$W$6*'Valve Sizing'!$G$8/U2127)</f>
        <v>18.7544017084351</v>
      </c>
      <c r="V2126" s="111"/>
      <c r="W2126" s="28"/>
      <c r="X2126" s="96">
        <f ca="1">(X2118/(N_9*X$27*X2120*0.667))*SQRT(M*'Valve Sizing'!$W$6*'Valve Sizing'!$G$8/X2127)</f>
        <v>47.530184174908285</v>
      </c>
      <c r="Y2126" s="111"/>
      <c r="Z2126" s="28"/>
      <c r="AA2126" s="96">
        <f ca="1">(AA2118/(N_9*AA$27*AA2120*0.667))*SQRT(M*'Valve Sizing'!$W$6*'Valve Sizing'!$G$8/AA2127)</f>
        <v>103.3992481542671</v>
      </c>
      <c r="AB2126" s="111"/>
      <c r="AC2126" s="28"/>
      <c r="AD2126" s="96">
        <f ca="1">(AD2118/(N_9*AD$27*AD2120*0.667))*SQRT(M*'Valve Sizing'!$W$6*'Valve Sizing'!$G$8/AD2127)</f>
        <v>238.64084822260904</v>
      </c>
      <c r="AE2126" s="111"/>
      <c r="AF2126" s="28"/>
      <c r="AG2126" s="96">
        <f ca="1">(AG2118/(N_9*AG$27*AG2120*0.667))*SQRT(M*'Valve Sizing'!$W$6*'Valve Sizing'!$G$8/AG2127)</f>
        <v>900.83990504792916</v>
      </c>
      <c r="AH2126" s="111"/>
      <c r="AI2126" s="28"/>
      <c r="AJ2126" s="96">
        <f ca="1">(AJ2118/(N_9*AJ$27*AJ2120*0.667))*SQRT(M*'Valve Sizing'!$W$6*'Valve Sizing'!$G$8/AJ2127)</f>
        <v>-1129.2187133478651</v>
      </c>
      <c r="AK2126" s="111"/>
      <c r="AL2126" s="28"/>
      <c r="AM2126" s="96">
        <f ca="1">(AM2118/(N_9*AM$27*AM2120*0.667))*SQRT(M*'Valve Sizing'!$W$6*'Valve Sizing'!$G$8/AM2127)</f>
        <v>-500.38173854867955</v>
      </c>
      <c r="AN2126" s="111"/>
      <c r="AO2126" s="28"/>
      <c r="AP2126" s="96">
        <f ca="1">(AP2118/(N_9*AP$27*AP2120*0.667))*SQRT(M*'Valve Sizing'!$W$6*'Valve Sizing'!$G$8/AP2127)</f>
        <v>-345.72245810456252</v>
      </c>
      <c r="AQ2126" s="111"/>
      <c r="AR2126" s="28"/>
      <c r="AS2126" s="96">
        <f ca="1">(AS2118/(N_9*AS$27*AS2120*0.667))*SQRT(M*'Valve Sizing'!$W$6*'Valve Sizing'!$G$8/AS2127)</f>
        <v>-423.2043437002373</v>
      </c>
      <c r="AT2126" s="111"/>
      <c r="AU2126" s="28"/>
    </row>
    <row r="2127" spans="15:47" ht="15.6" x14ac:dyDescent="0.35">
      <c r="O2127" s="2" t="s">
        <v>68</v>
      </c>
      <c r="P2127" s="143">
        <v>10</v>
      </c>
      <c r="Q2127" s="2"/>
      <c r="R2127" s="96">
        <f ca="1">F_GAMMA*R$29</f>
        <v>0.64002969751372984</v>
      </c>
      <c r="S2127" s="107"/>
      <c r="T2127" s="1"/>
      <c r="U2127" s="96">
        <f ca="1">F_GAMMA*U$29</f>
        <v>0.64017842058782071</v>
      </c>
      <c r="V2127" s="111"/>
      <c r="W2127" s="28"/>
      <c r="X2127" s="96">
        <f ca="1">F_GAMMA*X$29</f>
        <v>0.63413873724904268</v>
      </c>
      <c r="Y2127" s="111"/>
      <c r="Z2127" s="28"/>
      <c r="AA2127" s="96">
        <f ca="1">F_GAMMA*AA$29</f>
        <v>0.62532411750377137</v>
      </c>
      <c r="AB2127" s="111"/>
      <c r="AC2127" s="28"/>
      <c r="AD2127" s="96">
        <f ca="1">F_GAMMA*AD$29</f>
        <v>0.60651359509139569</v>
      </c>
      <c r="AE2127" s="111"/>
      <c r="AF2127" s="28"/>
      <c r="AG2127" s="96">
        <f ca="1">F_GAMMA*AG$29</f>
        <v>0.57217930198481592</v>
      </c>
      <c r="AH2127" s="111"/>
      <c r="AI2127" s="28"/>
      <c r="AJ2127" s="96">
        <f ca="1">F_GAMMA*AJ$29</f>
        <v>0.53183282018848232</v>
      </c>
      <c r="AK2127" s="111"/>
      <c r="AL2127" s="28"/>
      <c r="AM2127" s="96">
        <f ca="1">F_GAMMA*AM$29</f>
        <v>0.47566512503094399</v>
      </c>
      <c r="AN2127" s="111"/>
      <c r="AO2127" s="28"/>
      <c r="AP2127" s="96">
        <f ca="1">F_GAMMA*AP$29</f>
        <v>0.59054158265645496</v>
      </c>
      <c r="AQ2127" s="111"/>
      <c r="AR2127" s="28"/>
      <c r="AS2127" s="96">
        <f ca="1">F_GAMMA*AS$29</f>
        <v>0.3766899554102966</v>
      </c>
      <c r="AT2127" s="111"/>
      <c r="AU2127" s="28"/>
    </row>
    <row r="2128" spans="15:47" x14ac:dyDescent="0.25">
      <c r="O2128" s="2" t="s">
        <v>145</v>
      </c>
      <c r="P2128" s="12"/>
      <c r="Q2128" s="2"/>
      <c r="R2128" s="96">
        <f ca="1">IF(R2123&lt;R2127,R2125,R2126)</f>
        <v>2.4602105082875818</v>
      </c>
      <c r="S2128" s="116"/>
      <c r="T2128" s="1"/>
      <c r="U2128" s="96">
        <f ca="1">IF(U2123&lt;U2127,U2125,U2126)</f>
        <v>21.017309402693538</v>
      </c>
      <c r="V2128" s="111"/>
      <c r="W2128" s="28"/>
      <c r="X2128" s="96">
        <f ca="1">IF(X2123&lt;X2127,X2125,X2126)</f>
        <v>54.034845563168645</v>
      </c>
      <c r="Y2128" s="111"/>
      <c r="Z2128" s="28"/>
      <c r="AA2128" s="96">
        <f ca="1">IF(AA2123&lt;AA2127,AA2125,AA2126)</f>
        <v>127.27651743112045</v>
      </c>
      <c r="AB2128" s="111"/>
      <c r="AC2128" s="28"/>
      <c r="AD2128" s="96" t="e">
        <f ca="1">IF(AD2123&lt;AD2127,AD2125,AD2126)</f>
        <v>#NUM!</v>
      </c>
      <c r="AE2128" s="111"/>
      <c r="AF2128" s="28"/>
      <c r="AG2128" s="96" t="e">
        <f ca="1">IF(AG2123&lt;AG2127,AG2125,AG2126)</f>
        <v>#NUM!</v>
      </c>
      <c r="AH2128" s="111"/>
      <c r="AI2128" s="28"/>
      <c r="AJ2128" s="96">
        <f ca="1">IF(AJ2123&lt;AJ2127,AJ2125,AJ2126)</f>
        <v>-1129.2187133478651</v>
      </c>
      <c r="AK2128" s="111"/>
      <c r="AL2128" s="28"/>
      <c r="AM2128" s="96">
        <f ca="1">IF(AM2123&lt;AM2127,AM2125,AM2126)</f>
        <v>-500.38173854867955</v>
      </c>
      <c r="AN2128" s="111"/>
      <c r="AO2128" s="28"/>
      <c r="AP2128" s="96">
        <f ca="1">IF(AP2123&lt;AP2127,AP2125,AP2126)</f>
        <v>-345.72245810456252</v>
      </c>
      <c r="AQ2128" s="111"/>
      <c r="AR2128" s="28"/>
      <c r="AS2128" s="96">
        <f ca="1">IF(AS2123&lt;AS2127,AS2125,AS2126)</f>
        <v>-423.2043437002373</v>
      </c>
      <c r="AT2128" s="111"/>
      <c r="AU2128" s="28"/>
    </row>
    <row r="2129" spans="15:47" x14ac:dyDescent="0.25">
      <c r="O2129" s="13" t="s">
        <v>143</v>
      </c>
      <c r="P2129" s="1"/>
      <c r="Q2129" s="1"/>
      <c r="R2129" s="113"/>
      <c r="S2129" s="106">
        <f ca="1">IF(R2122&lt;=0,Q_max,ABS(R$23-R2128))</f>
        <v>2.2697894917124186</v>
      </c>
      <c r="T2129" s="7">
        <f>R2118</f>
        <v>6091.33179369958</v>
      </c>
      <c r="U2129" s="98"/>
      <c r="V2129" s="106">
        <f ca="1">IF(U2122&lt;=0,Q_max,ABS(U$23-U2128))</f>
        <v>9.4173094026935384</v>
      </c>
      <c r="W2129" s="9">
        <f ca="1">U2118</f>
        <v>51570.651487064424</v>
      </c>
      <c r="X2129" s="98"/>
      <c r="Y2129" s="106">
        <f ca="1">IF(X2122&lt;=0,Q_max,ABS(X$23-X2128))</f>
        <v>31.034845563168645</v>
      </c>
      <c r="Z2129" s="9">
        <f ca="1">X2118</f>
        <v>126277.58228413523</v>
      </c>
      <c r="AA2129" s="98"/>
      <c r="AB2129" s="106">
        <f ca="1">IF(AA2122&lt;=0,Q_max,ABS(AA$23-AA2128))</f>
        <v>87.876517431120448</v>
      </c>
      <c r="AC2129" s="9">
        <f ca="1">AA2118</f>
        <v>245956.49851580916</v>
      </c>
      <c r="AD2129" s="98"/>
      <c r="AE2129" s="106">
        <f ca="1">IF(AD2122&lt;=0,Q_max,ABS(AD$23-AD2128))</f>
        <v>236393</v>
      </c>
      <c r="AF2129" s="9">
        <f ca="1">AD2118</f>
        <v>412638.4927217901</v>
      </c>
      <c r="AG2129" s="98"/>
      <c r="AH2129" s="106">
        <f ca="1">IF(AG2122&lt;=0,Q_max,ABS(AG$23-AG2128))</f>
        <v>236393</v>
      </c>
      <c r="AI2129" s="9">
        <f ca="1">AG2118</f>
        <v>602257.11880794086</v>
      </c>
      <c r="AJ2129" s="98"/>
      <c r="AK2129" s="106">
        <f ca="1">IF(AJ2122&lt;=0,Q_max,ABS(AJ$23-AJ2128))</f>
        <v>236393</v>
      </c>
      <c r="AL2129" s="9">
        <f ca="1">AJ2118</f>
        <v>803714.45973940997</v>
      </c>
      <c r="AM2129" s="98"/>
      <c r="AN2129" s="106">
        <f ca="1">IF(AM2122&lt;=0,Q_max,ABS(AM$23-AM2128))</f>
        <v>236393</v>
      </c>
      <c r="AO2129" s="9">
        <f ca="1">AM2118</f>
        <v>980684.37873618945</v>
      </c>
      <c r="AP2129" s="98"/>
      <c r="AQ2129" s="106">
        <f ca="1">IF(AP2122&lt;=0,Q_max,ABS(AP$23-AP2128))</f>
        <v>236393</v>
      </c>
      <c r="AR2129" s="9">
        <f ca="1">AP2118</f>
        <v>1138544.11872903</v>
      </c>
      <c r="AS2129" s="98"/>
      <c r="AT2129" s="106">
        <f ca="1">IF(AS2122&lt;=0,Q_max,ABS(AS$23-AS2128))</f>
        <v>236393</v>
      </c>
      <c r="AU2129" s="9">
        <f ca="1">AS2118</f>
        <v>1335032.5199251329</v>
      </c>
    </row>
    <row r="2130" spans="15:47" x14ac:dyDescent="0.25">
      <c r="O2130" s="21"/>
      <c r="P2130" s="14"/>
      <c r="Q2130" s="21"/>
      <c r="R2130" s="97"/>
      <c r="S2130" s="106"/>
      <c r="T2130" s="28"/>
      <c r="U2130" s="97"/>
      <c r="V2130" s="111"/>
      <c r="W2130" s="28"/>
      <c r="X2130" s="97"/>
      <c r="Y2130" s="111"/>
      <c r="Z2130" s="28"/>
      <c r="AA2130" s="97"/>
      <c r="AB2130" s="111"/>
      <c r="AC2130" s="28"/>
      <c r="AD2130" s="97"/>
      <c r="AE2130" s="111"/>
      <c r="AF2130" s="28"/>
      <c r="AG2130" s="97"/>
      <c r="AH2130" s="111"/>
      <c r="AI2130" s="28"/>
      <c r="AJ2130" s="97"/>
      <c r="AK2130" s="111"/>
      <c r="AL2130" s="28"/>
      <c r="AM2130" s="97"/>
      <c r="AN2130" s="111"/>
      <c r="AO2130" s="28"/>
      <c r="AP2130" s="97"/>
      <c r="AQ2130" s="111"/>
      <c r="AR2130" s="28"/>
      <c r="AS2130" s="97"/>
      <c r="AT2130" s="111"/>
      <c r="AU2130" s="28"/>
    </row>
    <row r="2131" spans="15:47" x14ac:dyDescent="0.25">
      <c r="O2131" s="1"/>
      <c r="P2131" s="1"/>
      <c r="Q2131" s="1"/>
      <c r="R2131" s="98"/>
      <c r="S2131" s="108" t="s">
        <v>137</v>
      </c>
      <c r="T2131" s="26" t="s">
        <v>146</v>
      </c>
      <c r="U2131" s="98"/>
      <c r="V2131" s="108" t="s">
        <v>137</v>
      </c>
      <c r="W2131" s="26" t="s">
        <v>146</v>
      </c>
      <c r="X2131" s="98"/>
      <c r="Y2131" s="108" t="s">
        <v>137</v>
      </c>
      <c r="Z2131" s="26" t="s">
        <v>146</v>
      </c>
      <c r="AA2131" s="98"/>
      <c r="AB2131" s="108" t="s">
        <v>137</v>
      </c>
      <c r="AC2131" s="26" t="s">
        <v>146</v>
      </c>
      <c r="AD2131" s="98"/>
      <c r="AE2131" s="108" t="s">
        <v>137</v>
      </c>
      <c r="AF2131" s="26" t="s">
        <v>146</v>
      </c>
      <c r="AG2131" s="98"/>
      <c r="AH2131" s="108" t="s">
        <v>137</v>
      </c>
      <c r="AI2131" s="26" t="s">
        <v>146</v>
      </c>
      <c r="AJ2131" s="98"/>
      <c r="AK2131" s="108" t="s">
        <v>137</v>
      </c>
      <c r="AL2131" s="26" t="s">
        <v>146</v>
      </c>
      <c r="AM2131" s="98"/>
      <c r="AN2131" s="108" t="s">
        <v>137</v>
      </c>
      <c r="AO2131" s="26" t="s">
        <v>146</v>
      </c>
      <c r="AP2131" s="98"/>
      <c r="AQ2131" s="108" t="s">
        <v>137</v>
      </c>
      <c r="AR2131" s="26" t="s">
        <v>146</v>
      </c>
      <c r="AS2131" s="98"/>
      <c r="AT2131" s="108" t="s">
        <v>137</v>
      </c>
      <c r="AU2131" s="26" t="s">
        <v>146</v>
      </c>
    </row>
    <row r="2132" spans="15:47" ht="13.8" x14ac:dyDescent="0.25">
      <c r="O2132" s="20" t="s">
        <v>136</v>
      </c>
      <c r="P2132" s="1"/>
      <c r="Q2132" s="1"/>
      <c r="R2132" s="96">
        <f>R2118*1.02</f>
        <v>6213.158429573572</v>
      </c>
      <c r="S2132" s="109" t="s">
        <v>144</v>
      </c>
      <c r="T2132" s="23" t="s">
        <v>147</v>
      </c>
      <c r="U2132" s="96">
        <f ca="1">U2118*1.01</f>
        <v>52086.35800193507</v>
      </c>
      <c r="V2132" s="109" t="s">
        <v>144</v>
      </c>
      <c r="W2132" s="23" t="s">
        <v>147</v>
      </c>
      <c r="X2132" s="96">
        <f ca="1">X2118*1.01</f>
        <v>127540.35810697659</v>
      </c>
      <c r="Y2132" s="109" t="s">
        <v>144</v>
      </c>
      <c r="Z2132" s="23" t="s">
        <v>147</v>
      </c>
      <c r="AA2132" s="96">
        <f ca="1">AA2118*1.01</f>
        <v>248416.06350096726</v>
      </c>
      <c r="AB2132" s="109" t="s">
        <v>144</v>
      </c>
      <c r="AC2132" s="23" t="s">
        <v>147</v>
      </c>
      <c r="AD2132" s="96">
        <f ca="1">AD2118*1.01</f>
        <v>416764.87764900801</v>
      </c>
      <c r="AE2132" s="109" t="s">
        <v>144</v>
      </c>
      <c r="AF2132" s="23" t="s">
        <v>147</v>
      </c>
      <c r="AG2132" s="96">
        <f ca="1">AG2118*1.01</f>
        <v>608279.68999602029</v>
      </c>
      <c r="AH2132" s="109" t="s">
        <v>144</v>
      </c>
      <c r="AI2132" s="23" t="s">
        <v>147</v>
      </c>
      <c r="AJ2132" s="96">
        <f ca="1">AJ2118*1.01</f>
        <v>811751.60433680413</v>
      </c>
      <c r="AK2132" s="109" t="s">
        <v>144</v>
      </c>
      <c r="AL2132" s="23" t="s">
        <v>147</v>
      </c>
      <c r="AM2132" s="96">
        <f ca="1">AM2118*1.01</f>
        <v>990491.22252355132</v>
      </c>
      <c r="AN2132" s="109" t="s">
        <v>144</v>
      </c>
      <c r="AO2132" s="23" t="s">
        <v>147</v>
      </c>
      <c r="AP2132" s="96">
        <f ca="1">AP2118*1.01</f>
        <v>1149929.5599163203</v>
      </c>
      <c r="AQ2132" s="109" t="s">
        <v>144</v>
      </c>
      <c r="AR2132" s="23" t="s">
        <v>147</v>
      </c>
      <c r="AS2132" s="96">
        <f ca="1">AS2118*1.01</f>
        <v>1348382.8451243842</v>
      </c>
      <c r="AT2132" s="109" t="s">
        <v>144</v>
      </c>
      <c r="AU2132" s="23" t="s">
        <v>147</v>
      </c>
    </row>
    <row r="2133" spans="15:47" x14ac:dyDescent="0.25">
      <c r="O2133" s="1"/>
      <c r="P2133" s="1"/>
      <c r="Q2133" s="1"/>
      <c r="R2133" s="98"/>
      <c r="S2133" s="107"/>
      <c r="T2133" s="1"/>
      <c r="U2133" s="47"/>
      <c r="V2133" s="107"/>
      <c r="W2133" s="1"/>
      <c r="X2133" s="47"/>
      <c r="Y2133" s="107"/>
      <c r="Z2133" s="1"/>
      <c r="AA2133" s="47"/>
      <c r="AB2133" s="107"/>
      <c r="AC2133" s="1"/>
      <c r="AD2133" s="47"/>
      <c r="AE2133" s="107"/>
      <c r="AF2133" s="1"/>
      <c r="AG2133" s="47"/>
      <c r="AH2133" s="107"/>
      <c r="AI2133" s="1"/>
      <c r="AJ2133" s="47"/>
      <c r="AK2133" s="107"/>
      <c r="AL2133" s="1"/>
      <c r="AM2133" s="47"/>
      <c r="AN2133" s="107"/>
      <c r="AO2133" s="1"/>
      <c r="AP2133" s="47"/>
      <c r="AQ2133" s="107"/>
      <c r="AR2133" s="1"/>
      <c r="AS2133" s="47"/>
      <c r="AT2133" s="107"/>
      <c r="AU2133" s="1"/>
    </row>
    <row r="2134" spans="15:47" x14ac:dyDescent="0.25">
      <c r="O2134" s="8" t="s">
        <v>132</v>
      </c>
      <c r="P2134" s="8"/>
      <c r="Q2134" s="8"/>
      <c r="R2134" s="96">
        <f>P_1_minQ-(R2132^2*R_up)+dpup_minQ</f>
        <v>90.178004650756236</v>
      </c>
      <c r="S2134" s="106"/>
      <c r="T2134" s="22"/>
      <c r="U2134" s="96">
        <f ca="1">P_1_minQ-(U2132^2*R_up)+dpup_minQ</f>
        <v>89.690568739555076</v>
      </c>
      <c r="V2134" s="107"/>
      <c r="W2134" s="1"/>
      <c r="X2134" s="96">
        <f ca="1">P_1_minQ-(X2132^2*R_up)+dpup_minQ</f>
        <v>87.220285590815749</v>
      </c>
      <c r="Y2134" s="107"/>
      <c r="Z2134" s="1"/>
      <c r="AA2134" s="96">
        <f ca="1">P_1_minQ-(AA2132^2*R_up)+dpup_minQ</f>
        <v>78.93762116881868</v>
      </c>
      <c r="AB2134" s="107"/>
      <c r="AC2134" s="1"/>
      <c r="AD2134" s="96">
        <f ca="1">P_1_minQ-(AD2132^2*R_up)+dpup_minQ</f>
        <v>58.527602780588978</v>
      </c>
      <c r="AE2134" s="107"/>
      <c r="AF2134" s="1"/>
      <c r="AG2134" s="96">
        <f ca="1">P_1_minQ-(AG2132^2*R_up)+dpup_minQ</f>
        <v>22.747741305293076</v>
      </c>
      <c r="AH2134" s="107"/>
      <c r="AI2134" s="1"/>
      <c r="AJ2134" s="96">
        <f ca="1">P_1_minQ-(AJ2132^2*R_up)+dpup_minQ</f>
        <v>-29.914085890750272</v>
      </c>
      <c r="AK2134" s="107"/>
      <c r="AL2134" s="1"/>
      <c r="AM2134" s="96">
        <f ca="1">P_1_minQ-(AM2132^2*R_up)+dpup_minQ</f>
        <v>-88.626193233606983</v>
      </c>
      <c r="AN2134" s="107"/>
      <c r="AO2134" s="1"/>
      <c r="AP2134" s="96">
        <f ca="1">P_1_minQ-(AP2132^2*R_up)+dpup_minQ</f>
        <v>-150.82548694770526</v>
      </c>
      <c r="AQ2134" s="107"/>
      <c r="AR2134" s="1"/>
      <c r="AS2134" s="96">
        <f ca="1">P_1_minQ-(AS2132^2*R_up)+dpup_minQ</f>
        <v>-241.19013765342964</v>
      </c>
      <c r="AT2134" s="107"/>
      <c r="AU2134" s="1"/>
    </row>
    <row r="2135" spans="15:47" x14ac:dyDescent="0.25">
      <c r="O2135" s="8" t="s">
        <v>134</v>
      </c>
      <c r="P2135" s="1"/>
      <c r="Q2135" s="8"/>
      <c r="R2135" s="97">
        <f>P_2_minQ+(R2132^2*R_dn)-dpdn_minQ</f>
        <v>60</v>
      </c>
      <c r="S2135" s="106"/>
      <c r="T2135" s="22"/>
      <c r="U2135" s="97">
        <f ca="1">P_2_minQ+(U2132^2*R_dn)-dpdn_minQ</f>
        <v>60</v>
      </c>
      <c r="V2135" s="107"/>
      <c r="W2135" s="1"/>
      <c r="X2135" s="97">
        <f ca="1">P_2_minQ+(X2132^2*R_dn)-dpdn_minQ</f>
        <v>60</v>
      </c>
      <c r="Y2135" s="107"/>
      <c r="Z2135" s="1"/>
      <c r="AA2135" s="97">
        <f ca="1">P_2_minQ+(AA2132^2*R_dn)-dpdn_minQ</f>
        <v>60</v>
      </c>
      <c r="AB2135" s="107"/>
      <c r="AC2135" s="1"/>
      <c r="AD2135" s="97">
        <f ca="1">P_2_minQ+(AD2132^2*R_dn)-dpdn_minQ</f>
        <v>60</v>
      </c>
      <c r="AE2135" s="107"/>
      <c r="AF2135" s="1"/>
      <c r="AG2135" s="97">
        <f ca="1">P_2_minQ+(AG2132^2*R_dn)-dpdn_minQ</f>
        <v>60</v>
      </c>
      <c r="AH2135" s="107"/>
      <c r="AI2135" s="1"/>
      <c r="AJ2135" s="97">
        <f ca="1">P_2_minQ+(AJ2132^2*R_dn)-dpdn_minQ</f>
        <v>60</v>
      </c>
      <c r="AK2135" s="107"/>
      <c r="AL2135" s="1"/>
      <c r="AM2135" s="97">
        <f ca="1">P_2_minQ+(AM2132^2*R_dn)-dpdn_minQ</f>
        <v>60</v>
      </c>
      <c r="AN2135" s="107"/>
      <c r="AO2135" s="1"/>
      <c r="AP2135" s="97">
        <f ca="1">P_2_minQ+(AP2132^2*R_dn)-dpdn_minQ</f>
        <v>60</v>
      </c>
      <c r="AQ2135" s="107"/>
      <c r="AR2135" s="1"/>
      <c r="AS2135" s="97">
        <f ca="1">P_2_minQ+(AS2132^2*R_dn)-dpdn_minQ</f>
        <v>60</v>
      </c>
      <c r="AT2135" s="107"/>
      <c r="AU2135" s="1"/>
    </row>
    <row r="2136" spans="15:47" x14ac:dyDescent="0.25">
      <c r="O2136" s="8" t="s">
        <v>138</v>
      </c>
      <c r="P2136" s="1"/>
      <c r="Q2136" s="8"/>
      <c r="R2136" s="97">
        <f>R2134-R2135</f>
        <v>30.178004650756236</v>
      </c>
      <c r="S2136" s="106"/>
      <c r="T2136" s="22"/>
      <c r="U2136" s="97">
        <f ca="1">U2134-U2135</f>
        <v>29.690568739555076</v>
      </c>
      <c r="V2136" s="110"/>
      <c r="W2136" s="25"/>
      <c r="X2136" s="97">
        <f ca="1">X2134-X2135</f>
        <v>27.220285590815749</v>
      </c>
      <c r="Y2136" s="110"/>
      <c r="Z2136" s="25"/>
      <c r="AA2136" s="97">
        <f ca="1">AA2134-AA2135</f>
        <v>18.93762116881868</v>
      </c>
      <c r="AB2136" s="110"/>
      <c r="AC2136" s="25"/>
      <c r="AD2136" s="97">
        <f ca="1">AD2134-AD2135</f>
        <v>-1.4723972194110218</v>
      </c>
      <c r="AE2136" s="110"/>
      <c r="AF2136" s="25"/>
      <c r="AG2136" s="97">
        <f ca="1">AG2134-AG2135</f>
        <v>-37.252258694706924</v>
      </c>
      <c r="AH2136" s="110"/>
      <c r="AI2136" s="25"/>
      <c r="AJ2136" s="97">
        <f ca="1">AJ2134-AJ2135</f>
        <v>-89.914085890750272</v>
      </c>
      <c r="AK2136" s="110"/>
      <c r="AL2136" s="25"/>
      <c r="AM2136" s="97">
        <f ca="1">AM2134-AM2135</f>
        <v>-148.62619323360698</v>
      </c>
      <c r="AN2136" s="110"/>
      <c r="AO2136" s="25"/>
      <c r="AP2136" s="97">
        <f ca="1">AP2134-AP2135</f>
        <v>-210.82548694770526</v>
      </c>
      <c r="AQ2136" s="110"/>
      <c r="AR2136" s="25"/>
      <c r="AS2136" s="97">
        <f ca="1">AS2134-AS2135</f>
        <v>-301.19013765342964</v>
      </c>
      <c r="AT2136" s="110"/>
      <c r="AU2136" s="25"/>
    </row>
    <row r="2137" spans="15:47" ht="14.4" x14ac:dyDescent="0.3">
      <c r="O2137" s="2" t="s">
        <v>140</v>
      </c>
      <c r="P2137" s="11"/>
      <c r="Q2137" s="2"/>
      <c r="R2137" s="96">
        <f>R2136/R2134</f>
        <v>0.33464928357674811</v>
      </c>
      <c r="S2137" s="106"/>
      <c r="T2137" s="22"/>
      <c r="U2137" s="96">
        <f ca="1">U2136/U2134</f>
        <v>0.3310333422655734</v>
      </c>
      <c r="V2137" s="111"/>
      <c r="W2137" s="28"/>
      <c r="X2137" s="96">
        <f ca="1">X2136/X2134</f>
        <v>0.31208663680048798</v>
      </c>
      <c r="Y2137" s="111"/>
      <c r="Z2137" s="28"/>
      <c r="AA2137" s="96">
        <f ca="1">AA2136/AA2134</f>
        <v>0.23990615486521996</v>
      </c>
      <c r="AB2137" s="111"/>
      <c r="AC2137" s="28"/>
      <c r="AD2137" s="96">
        <f ca="1">AD2136/AD2134</f>
        <v>-2.5157312950793723E-2</v>
      </c>
      <c r="AE2137" s="111"/>
      <c r="AF2137" s="28"/>
      <c r="AG2137" s="96">
        <f ca="1">AG2136/AG2134</f>
        <v>-1.6376245093854156</v>
      </c>
      <c r="AH2137" s="111"/>
      <c r="AI2137" s="28"/>
      <c r="AJ2137" s="96">
        <f ca="1">AJ2136/AJ2134</f>
        <v>3.0057440571350567</v>
      </c>
      <c r="AK2137" s="111"/>
      <c r="AL2137" s="28"/>
      <c r="AM2137" s="96">
        <f ca="1">AM2136/AM2134</f>
        <v>1.6770007580247512</v>
      </c>
      <c r="AN2137" s="111"/>
      <c r="AO2137" s="28"/>
      <c r="AP2137" s="96">
        <f ca="1">AP2136/AP2134</f>
        <v>1.3978107494577718</v>
      </c>
      <c r="AQ2137" s="111"/>
      <c r="AR2137" s="28"/>
      <c r="AS2137" s="96">
        <f ca="1">AS2136/AS2134</f>
        <v>1.2487663906316728</v>
      </c>
      <c r="AT2137" s="111"/>
      <c r="AU2137" s="28"/>
    </row>
    <row r="2138" spans="15:47" x14ac:dyDescent="0.25">
      <c r="O2138" s="2" t="s">
        <v>21</v>
      </c>
      <c r="P2138" s="8">
        <v>12</v>
      </c>
      <c r="Q2138" s="2"/>
      <c r="R2138" s="96">
        <f ca="1">1-R2137/(3*F_GAMMA*R$29)</f>
        <v>0.82571158553176915</v>
      </c>
      <c r="S2138" s="106"/>
      <c r="T2138" s="22"/>
      <c r="U2138" s="96">
        <f ca="1">1-U2137/(3*F_GAMMA*U$29)</f>
        <v>0.82763485323273156</v>
      </c>
      <c r="V2138" s="111"/>
      <c r="W2138" s="28"/>
      <c r="X2138" s="96">
        <f ca="1">1-X2137/(3*F_GAMMA*X$29)</f>
        <v>0.83595249300683994</v>
      </c>
      <c r="Y2138" s="111"/>
      <c r="Z2138" s="28"/>
      <c r="AA2138" s="96">
        <f ca="1">1-AA2137/(3*F_GAMMA*AA$29)</f>
        <v>0.87211636965541417</v>
      </c>
      <c r="AB2138" s="111"/>
      <c r="AC2138" s="28"/>
      <c r="AD2138" s="96">
        <f ca="1">1-AD2137/(3*F_GAMMA*AD$29)</f>
        <v>1.0138261879889672</v>
      </c>
      <c r="AE2138" s="111"/>
      <c r="AF2138" s="28"/>
      <c r="AG2138" s="96">
        <f ca="1">1-AG2137/(3*F_GAMMA*AG$29)</f>
        <v>1.95402758290668</v>
      </c>
      <c r="AH2138" s="111"/>
      <c r="AI2138" s="28"/>
      <c r="AJ2138" s="96">
        <f ca="1">1-AJ2137/(3*F_GAMMA*AJ$29)</f>
        <v>-0.88389028972789885</v>
      </c>
      <c r="AK2138" s="111"/>
      <c r="AL2138" s="28"/>
      <c r="AM2138" s="96">
        <f ca="1">1-AM2137/(3*F_GAMMA*AM$29)</f>
        <v>-0.17519705199861302</v>
      </c>
      <c r="AN2138" s="111"/>
      <c r="AO2138" s="28"/>
      <c r="AP2138" s="96">
        <f ca="1">1-AP2137/(3*F_GAMMA*AP$29)</f>
        <v>0.21100066418696073</v>
      </c>
      <c r="AQ2138" s="111"/>
      <c r="AR2138" s="28"/>
      <c r="AS2138" s="96">
        <f ca="1">1-AS2137/(3*F_GAMMA*AS$29)</f>
        <v>-0.1050346778971023</v>
      </c>
      <c r="AT2138" s="111"/>
      <c r="AU2138" s="28"/>
    </row>
    <row r="2139" spans="15:47" x14ac:dyDescent="0.25">
      <c r="O2139" s="2" t="s">
        <v>57</v>
      </c>
      <c r="P2139" s="143">
        <v>7</v>
      </c>
      <c r="Q2139" s="2"/>
      <c r="R2139" s="96">
        <f ca="1">(R2132/(N_9*R$27*R2134*R2138))*SQRT(M*'Valve Sizing'!$W$6*'Valve Sizing'!$G$8/R2137)</f>
        <v>2.5094266885077778</v>
      </c>
      <c r="S2139" s="107"/>
      <c r="T2139" s="22"/>
      <c r="U2139" s="96">
        <f ca="1">(U2132/(N_9*U$27*U2134*U2138))*SQRT(M*'Valve Sizing'!$W$6*'Valve Sizing'!$G$8/U2137)</f>
        <v>21.231147671475632</v>
      </c>
      <c r="V2139" s="111"/>
      <c r="W2139" s="28"/>
      <c r="X2139" s="96">
        <f ca="1">(X2132/(N_9*X$27*X2134*X2138))*SQRT(M*'Valve Sizing'!$W$6*'Valve Sizing'!$G$8/X2137)</f>
        <v>54.636194460856871</v>
      </c>
      <c r="Y2139" s="111"/>
      <c r="Z2139" s="28"/>
      <c r="AA2139" s="96">
        <f ca="1">(AA2132/(N_9*AA$27*AA2134*AA2138))*SQRT(M*'Valve Sizing'!$W$6*'Valve Sizing'!$G$8/AA2137)</f>
        <v>129.31223702357204</v>
      </c>
      <c r="AB2139" s="111"/>
      <c r="AC2139" s="28"/>
      <c r="AD2139" s="96" t="e">
        <f ca="1">(AD2132/(N_9*AD$27*AD2134*AD2138))*SQRT(M*'Valve Sizing'!$W$6*'Valve Sizing'!$G$8/AD2137)</f>
        <v>#NUM!</v>
      </c>
      <c r="AE2139" s="111"/>
      <c r="AF2139" s="28"/>
      <c r="AG2139" s="96" t="e">
        <f ca="1">(AG2132/(N_9*AG$27*AG2134*AG2138))*SQRT(M*'Valve Sizing'!$W$6*'Valve Sizing'!$G$8/AG2137)</f>
        <v>#NUM!</v>
      </c>
      <c r="AH2139" s="111"/>
      <c r="AI2139" s="28"/>
      <c r="AJ2139" s="96">
        <f ca="1">(AJ2132/(N_9*AJ$27*AJ2134*AJ2138))*SQRT(M*'Valve Sizing'!$W$6*'Valve Sizing'!$G$8/AJ2137)</f>
        <v>333.38606014805623</v>
      </c>
      <c r="AK2139" s="111"/>
      <c r="AL2139" s="28"/>
      <c r="AM2139" s="96">
        <f ca="1">(AM2132/(N_9*AM$27*AM2134*AM2138))*SQRT(M*'Valve Sizing'!$W$6*'Valve Sizing'!$G$8/AM2137)</f>
        <v>983.98433271379736</v>
      </c>
      <c r="AN2139" s="111"/>
      <c r="AO2139" s="28"/>
      <c r="AP2139" s="96">
        <f ca="1">(AP2132/(N_9*AP$27*AP2134*AP2138))*SQRT(M*'Valve Sizing'!$W$6*'Valve Sizing'!$G$8/AP2137)</f>
        <v>-694.86114663508624</v>
      </c>
      <c r="AQ2139" s="111"/>
      <c r="AR2139" s="28"/>
      <c r="AS2139" s="96">
        <f ca="1">(AS2132/(N_9*AS$27*AS2134*AS2138))*SQRT(M*'Valve Sizing'!$W$6*'Valve Sizing'!$G$8/AS2137)</f>
        <v>1450.4304921707051</v>
      </c>
      <c r="AT2139" s="111"/>
      <c r="AU2139" s="28"/>
    </row>
    <row r="2140" spans="15:47" x14ac:dyDescent="0.25">
      <c r="O2140" s="2" t="s">
        <v>59</v>
      </c>
      <c r="P2140" s="143">
        <v>7</v>
      </c>
      <c r="Q2140" s="2"/>
      <c r="R2140" s="96">
        <f ca="1">(R2132/(N_9*R$27*R2134*0.667))*SQRT(M*'Valve Sizing'!$W$6*'Valve Sizing'!$G$8/R2141)</f>
        <v>2.2463216545015303</v>
      </c>
      <c r="S2140" s="107"/>
      <c r="T2140" s="22"/>
      <c r="U2140" s="96">
        <f ca="1">(U2132/(N_9*U$27*U2134*0.667))*SQRT(M*'Valve Sizing'!$W$6*'Valve Sizing'!$G$8/U2141)</f>
        <v>18.944003380900227</v>
      </c>
      <c r="V2140" s="111"/>
      <c r="W2140" s="28"/>
      <c r="X2140" s="96">
        <f ca="1">(X2132/(N_9*X$27*X2134*0.667))*SQRT(M*'Valve Sizing'!$W$6*'Valve Sizing'!$G$8/X2141)</f>
        <v>48.037638570761267</v>
      </c>
      <c r="Y2140" s="111"/>
      <c r="Z2140" s="28"/>
      <c r="AA2140" s="96">
        <f ca="1">(AA2132/(N_9*AA$27*AA2134*0.667))*SQRT(M*'Valve Sizing'!$W$6*'Valve Sizing'!$G$8/AA2141)</f>
        <v>104.7264385781826</v>
      </c>
      <c r="AB2140" s="111"/>
      <c r="AC2140" s="28"/>
      <c r="AD2140" s="96">
        <f ca="1">(AD2132/(N_9*AD$27*AD2134*0.667))*SQRT(M*'Valve Sizing'!$W$6*'Valve Sizing'!$G$8/AD2141)</f>
        <v>243.59608154949561</v>
      </c>
      <c r="AE2140" s="111"/>
      <c r="AF2140" s="28"/>
      <c r="AG2140" s="96">
        <f ca="1">(AG2132/(N_9*AG$27*AG2134*0.667))*SQRT(M*'Valve Sizing'!$W$6*'Valve Sizing'!$G$8/AG2141)</f>
        <v>962.99596900651591</v>
      </c>
      <c r="AH2140" s="111"/>
      <c r="AI2140" s="28"/>
      <c r="AJ2140" s="96">
        <f ca="1">(AJ2132/(N_9*AJ$27*AJ2134*0.667))*SQRT(M*'Valve Sizing'!$W$6*'Valve Sizing'!$G$8/AJ2141)</f>
        <v>-1050.2879838457141</v>
      </c>
      <c r="AK2140" s="111"/>
      <c r="AL2140" s="28"/>
      <c r="AM2140" s="96">
        <f ca="1">(AM2132/(N_9*AM$27*AM2134*0.667))*SQRT(M*'Valve Sizing'!$W$6*'Valve Sizing'!$G$8/AM2141)</f>
        <v>-485.29421887136118</v>
      </c>
      <c r="AN2140" s="111"/>
      <c r="AO2140" s="28"/>
      <c r="AP2140" s="96">
        <f ca="1">(AP2132/(N_9*AP$27*AP2134*0.667))*SQRT(M*'Valve Sizing'!$W$6*'Valve Sizing'!$G$8/AP2141)</f>
        <v>-338.18548471610018</v>
      </c>
      <c r="AQ2140" s="111"/>
      <c r="AR2140" s="28"/>
      <c r="AS2140" s="96">
        <f ca="1">(AS2132/(N_9*AS$27*AS2134*0.667))*SQRT(M*'Valve Sizing'!$W$6*'Valve Sizing'!$G$8/AS2141)</f>
        <v>-415.86500518682436</v>
      </c>
      <c r="AT2140" s="111"/>
      <c r="AU2140" s="28"/>
    </row>
    <row r="2141" spans="15:47" ht="15.6" x14ac:dyDescent="0.35">
      <c r="O2141" s="2" t="s">
        <v>68</v>
      </c>
      <c r="P2141" s="143">
        <v>10</v>
      </c>
      <c r="Q2141" s="2"/>
      <c r="R2141" s="96">
        <f ca="1">F_GAMMA*R$29</f>
        <v>0.64002969751372984</v>
      </c>
      <c r="S2141" s="107"/>
      <c r="T2141" s="1"/>
      <c r="U2141" s="96">
        <f ca="1">F_GAMMA*U$29</f>
        <v>0.64017842058782071</v>
      </c>
      <c r="V2141" s="111"/>
      <c r="W2141" s="28"/>
      <c r="X2141" s="96">
        <f ca="1">F_GAMMA*X$29</f>
        <v>0.63413873724904268</v>
      </c>
      <c r="Y2141" s="111"/>
      <c r="Z2141" s="28"/>
      <c r="AA2141" s="96">
        <f ca="1">F_GAMMA*AA$29</f>
        <v>0.62532411750377137</v>
      </c>
      <c r="AB2141" s="111"/>
      <c r="AC2141" s="28"/>
      <c r="AD2141" s="96">
        <f ca="1">F_GAMMA*AD$29</f>
        <v>0.60651359509139569</v>
      </c>
      <c r="AE2141" s="111"/>
      <c r="AF2141" s="28"/>
      <c r="AG2141" s="96">
        <f ca="1">F_GAMMA*AG$29</f>
        <v>0.57217930198481592</v>
      </c>
      <c r="AH2141" s="111"/>
      <c r="AI2141" s="28"/>
      <c r="AJ2141" s="96">
        <f ca="1">F_GAMMA*AJ$29</f>
        <v>0.53183282018848232</v>
      </c>
      <c r="AK2141" s="111"/>
      <c r="AL2141" s="28"/>
      <c r="AM2141" s="96">
        <f ca="1">F_GAMMA*AM$29</f>
        <v>0.47566512503094399</v>
      </c>
      <c r="AN2141" s="111"/>
      <c r="AO2141" s="28"/>
      <c r="AP2141" s="96">
        <f ca="1">F_GAMMA*AP$29</f>
        <v>0.59054158265645496</v>
      </c>
      <c r="AQ2141" s="111"/>
      <c r="AR2141" s="28"/>
      <c r="AS2141" s="96">
        <f ca="1">F_GAMMA*AS$29</f>
        <v>0.3766899554102966</v>
      </c>
      <c r="AT2141" s="111"/>
      <c r="AU2141" s="28"/>
    </row>
    <row r="2142" spans="15:47" x14ac:dyDescent="0.25">
      <c r="O2142" s="2" t="s">
        <v>145</v>
      </c>
      <c r="P2142" s="12"/>
      <c r="Q2142" s="2"/>
      <c r="R2142" s="96">
        <f ca="1">IF(R2137&lt;R2141,R2139,R2140)</f>
        <v>2.5094266885077778</v>
      </c>
      <c r="S2142" s="116"/>
      <c r="T2142" s="1"/>
      <c r="U2142" s="96">
        <f ca="1">IF(U2137&lt;U2141,U2139,U2140)</f>
        <v>21.231147671475632</v>
      </c>
      <c r="V2142" s="111"/>
      <c r="W2142" s="28"/>
      <c r="X2142" s="96">
        <f ca="1">IF(X2137&lt;X2141,X2139,X2140)</f>
        <v>54.636194460856871</v>
      </c>
      <c r="Y2142" s="111"/>
      <c r="Z2142" s="28"/>
      <c r="AA2142" s="96">
        <f ca="1">IF(AA2137&lt;AA2141,AA2139,AA2140)</f>
        <v>129.31223702357204</v>
      </c>
      <c r="AB2142" s="111"/>
      <c r="AC2142" s="28"/>
      <c r="AD2142" s="96" t="e">
        <f ca="1">IF(AD2137&lt;AD2141,AD2139,AD2140)</f>
        <v>#NUM!</v>
      </c>
      <c r="AE2142" s="111"/>
      <c r="AF2142" s="28"/>
      <c r="AG2142" s="96" t="e">
        <f ca="1">IF(AG2137&lt;AG2141,AG2139,AG2140)</f>
        <v>#NUM!</v>
      </c>
      <c r="AH2142" s="111"/>
      <c r="AI2142" s="28"/>
      <c r="AJ2142" s="96">
        <f ca="1">IF(AJ2137&lt;AJ2141,AJ2139,AJ2140)</f>
        <v>-1050.2879838457141</v>
      </c>
      <c r="AK2142" s="111"/>
      <c r="AL2142" s="28"/>
      <c r="AM2142" s="96">
        <f ca="1">IF(AM2137&lt;AM2141,AM2139,AM2140)</f>
        <v>-485.29421887136118</v>
      </c>
      <c r="AN2142" s="111"/>
      <c r="AO2142" s="28"/>
      <c r="AP2142" s="96">
        <f ca="1">IF(AP2137&lt;AP2141,AP2139,AP2140)</f>
        <v>-338.18548471610018</v>
      </c>
      <c r="AQ2142" s="111"/>
      <c r="AR2142" s="28"/>
      <c r="AS2142" s="96">
        <f ca="1">IF(AS2137&lt;AS2141,AS2139,AS2140)</f>
        <v>-415.86500518682436</v>
      </c>
      <c r="AT2142" s="111"/>
      <c r="AU2142" s="28"/>
    </row>
    <row r="2143" spans="15:47" x14ac:dyDescent="0.25">
      <c r="O2143" s="13" t="s">
        <v>143</v>
      </c>
      <c r="P2143" s="1"/>
      <c r="Q2143" s="1"/>
      <c r="R2143" s="113"/>
      <c r="S2143" s="106">
        <f ca="1">IF(R2136&lt;=0,Q_max,ABS(R$23-R2142))</f>
        <v>2.2205733114922226</v>
      </c>
      <c r="T2143" s="7">
        <f>R2132</f>
        <v>6213.158429573572</v>
      </c>
      <c r="U2143" s="98"/>
      <c r="V2143" s="106">
        <f ca="1">IF(U2136&lt;=0,Q_max,ABS(U$23-U2142))</f>
        <v>9.6311476714756328</v>
      </c>
      <c r="W2143" s="9">
        <f ca="1">U2132</f>
        <v>52086.35800193507</v>
      </c>
      <c r="X2143" s="98"/>
      <c r="Y2143" s="106">
        <f ca="1">IF(X2136&lt;=0,Q_max,ABS(X$23-X2142))</f>
        <v>31.636194460856871</v>
      </c>
      <c r="Z2143" s="9">
        <f ca="1">X2132</f>
        <v>127540.35810697659</v>
      </c>
      <c r="AA2143" s="98"/>
      <c r="AB2143" s="106">
        <f ca="1">IF(AA2136&lt;=0,Q_max,ABS(AA$23-AA2142))</f>
        <v>89.912237023572033</v>
      </c>
      <c r="AC2143" s="9">
        <f ca="1">AA2132</f>
        <v>248416.06350096726</v>
      </c>
      <c r="AD2143" s="98"/>
      <c r="AE2143" s="106">
        <f ca="1">IF(AD2136&lt;=0,Q_max,ABS(AD$23-AD2142))</f>
        <v>236393</v>
      </c>
      <c r="AF2143" s="9">
        <f ca="1">AD2132</f>
        <v>416764.87764900801</v>
      </c>
      <c r="AG2143" s="98"/>
      <c r="AH2143" s="106">
        <f ca="1">IF(AG2136&lt;=0,Q_max,ABS(AG$23-AG2142))</f>
        <v>236393</v>
      </c>
      <c r="AI2143" s="9">
        <f ca="1">AG2132</f>
        <v>608279.68999602029</v>
      </c>
      <c r="AJ2143" s="98"/>
      <c r="AK2143" s="106">
        <f ca="1">IF(AJ2136&lt;=0,Q_max,ABS(AJ$23-AJ2142))</f>
        <v>236393</v>
      </c>
      <c r="AL2143" s="9">
        <f ca="1">AJ2132</f>
        <v>811751.60433680413</v>
      </c>
      <c r="AM2143" s="98"/>
      <c r="AN2143" s="106">
        <f ca="1">IF(AM2136&lt;=0,Q_max,ABS(AM$23-AM2142))</f>
        <v>236393</v>
      </c>
      <c r="AO2143" s="9">
        <f ca="1">AM2132</f>
        <v>990491.22252355132</v>
      </c>
      <c r="AP2143" s="98"/>
      <c r="AQ2143" s="106">
        <f ca="1">IF(AP2136&lt;=0,Q_max,ABS(AP$23-AP2142))</f>
        <v>236393</v>
      </c>
      <c r="AR2143" s="9">
        <f ca="1">AP2132</f>
        <v>1149929.5599163203</v>
      </c>
      <c r="AS2143" s="98"/>
      <c r="AT2143" s="106">
        <f ca="1">IF(AS2136&lt;=0,Q_max,ABS(AS$23-AS2142))</f>
        <v>236393</v>
      </c>
      <c r="AU2143" s="9">
        <f ca="1">AS2132</f>
        <v>1348382.8451243842</v>
      </c>
    </row>
    <row r="2144" spans="15:47" x14ac:dyDescent="0.25">
      <c r="O2144" s="21"/>
      <c r="P2144" s="14"/>
      <c r="Q2144" s="21"/>
      <c r="R2144" s="97"/>
      <c r="S2144" s="106"/>
      <c r="T2144" s="28"/>
      <c r="U2144" s="97"/>
      <c r="V2144" s="111"/>
      <c r="W2144" s="28"/>
      <c r="X2144" s="97"/>
      <c r="Y2144" s="111"/>
      <c r="Z2144" s="28"/>
      <c r="AA2144" s="97"/>
      <c r="AB2144" s="111"/>
      <c r="AC2144" s="28"/>
      <c r="AD2144" s="97"/>
      <c r="AE2144" s="111"/>
      <c r="AF2144" s="28"/>
      <c r="AG2144" s="97"/>
      <c r="AH2144" s="111"/>
      <c r="AI2144" s="28"/>
      <c r="AJ2144" s="97"/>
      <c r="AK2144" s="111"/>
      <c r="AL2144" s="28"/>
      <c r="AM2144" s="97"/>
      <c r="AN2144" s="111"/>
      <c r="AO2144" s="28"/>
      <c r="AP2144" s="97"/>
      <c r="AQ2144" s="111"/>
      <c r="AR2144" s="28"/>
      <c r="AS2144" s="97"/>
      <c r="AT2144" s="111"/>
      <c r="AU2144" s="28"/>
    </row>
    <row r="2145" spans="15:47" x14ac:dyDescent="0.25">
      <c r="O2145" s="1"/>
      <c r="P2145" s="1"/>
      <c r="Q2145" s="1"/>
      <c r="R2145" s="98"/>
      <c r="S2145" s="108" t="s">
        <v>137</v>
      </c>
      <c r="T2145" s="26" t="s">
        <v>146</v>
      </c>
      <c r="U2145" s="98"/>
      <c r="V2145" s="108" t="s">
        <v>137</v>
      </c>
      <c r="W2145" s="26" t="s">
        <v>146</v>
      </c>
      <c r="X2145" s="98"/>
      <c r="Y2145" s="108" t="s">
        <v>137</v>
      </c>
      <c r="Z2145" s="26" t="s">
        <v>146</v>
      </c>
      <c r="AA2145" s="98"/>
      <c r="AB2145" s="108" t="s">
        <v>137</v>
      </c>
      <c r="AC2145" s="26" t="s">
        <v>146</v>
      </c>
      <c r="AD2145" s="98"/>
      <c r="AE2145" s="108" t="s">
        <v>137</v>
      </c>
      <c r="AF2145" s="26" t="s">
        <v>146</v>
      </c>
      <c r="AG2145" s="98"/>
      <c r="AH2145" s="108" t="s">
        <v>137</v>
      </c>
      <c r="AI2145" s="26" t="s">
        <v>146</v>
      </c>
      <c r="AJ2145" s="98"/>
      <c r="AK2145" s="108" t="s">
        <v>137</v>
      </c>
      <c r="AL2145" s="26" t="s">
        <v>146</v>
      </c>
      <c r="AM2145" s="98"/>
      <c r="AN2145" s="108" t="s">
        <v>137</v>
      </c>
      <c r="AO2145" s="26" t="s">
        <v>146</v>
      </c>
      <c r="AP2145" s="98"/>
      <c r="AQ2145" s="108" t="s">
        <v>137</v>
      </c>
      <c r="AR2145" s="26" t="s">
        <v>146</v>
      </c>
      <c r="AS2145" s="98"/>
      <c r="AT2145" s="108" t="s">
        <v>137</v>
      </c>
      <c r="AU2145" s="26" t="s">
        <v>146</v>
      </c>
    </row>
    <row r="2146" spans="15:47" ht="13.8" x14ac:dyDescent="0.25">
      <c r="O2146" s="20" t="s">
        <v>136</v>
      </c>
      <c r="P2146" s="1"/>
      <c r="Q2146" s="1"/>
      <c r="R2146" s="96">
        <f>R2132*1.02</f>
        <v>6337.4215981650432</v>
      </c>
      <c r="S2146" s="109" t="s">
        <v>144</v>
      </c>
      <c r="T2146" s="23" t="s">
        <v>147</v>
      </c>
      <c r="U2146" s="96">
        <f ca="1">U2132*1.01</f>
        <v>52607.221581954422</v>
      </c>
      <c r="V2146" s="109" t="s">
        <v>144</v>
      </c>
      <c r="W2146" s="23" t="s">
        <v>147</v>
      </c>
      <c r="X2146" s="96">
        <f ca="1">X2132*1.01</f>
        <v>128815.76168804636</v>
      </c>
      <c r="Y2146" s="109" t="s">
        <v>144</v>
      </c>
      <c r="Z2146" s="23" t="s">
        <v>147</v>
      </c>
      <c r="AA2146" s="96">
        <f ca="1">AA2132*1.01</f>
        <v>250900.22413597693</v>
      </c>
      <c r="AB2146" s="109" t="s">
        <v>144</v>
      </c>
      <c r="AC2146" s="23" t="s">
        <v>147</v>
      </c>
      <c r="AD2146" s="96">
        <f ca="1">AD2132*1.01</f>
        <v>420932.52642549807</v>
      </c>
      <c r="AE2146" s="109" t="s">
        <v>144</v>
      </c>
      <c r="AF2146" s="23" t="s">
        <v>147</v>
      </c>
      <c r="AG2146" s="96">
        <f ca="1">AG2132*1.01</f>
        <v>614362.48689598055</v>
      </c>
      <c r="AH2146" s="109" t="s">
        <v>144</v>
      </c>
      <c r="AI2146" s="23" t="s">
        <v>147</v>
      </c>
      <c r="AJ2146" s="96">
        <f ca="1">AJ2132*1.01</f>
        <v>819869.12038017216</v>
      </c>
      <c r="AK2146" s="109" t="s">
        <v>144</v>
      </c>
      <c r="AL2146" s="23" t="s">
        <v>147</v>
      </c>
      <c r="AM2146" s="96">
        <f ca="1">AM2132*1.01</f>
        <v>1000396.1347487868</v>
      </c>
      <c r="AN2146" s="109" t="s">
        <v>144</v>
      </c>
      <c r="AO2146" s="23" t="s">
        <v>147</v>
      </c>
      <c r="AP2146" s="96">
        <f ca="1">AP2132*1.01</f>
        <v>1161428.8555154835</v>
      </c>
      <c r="AQ2146" s="109" t="s">
        <v>144</v>
      </c>
      <c r="AR2146" s="23" t="s">
        <v>147</v>
      </c>
      <c r="AS2146" s="96">
        <f ca="1">AS2132*1.01</f>
        <v>1361866.6735756281</v>
      </c>
      <c r="AT2146" s="109" t="s">
        <v>144</v>
      </c>
      <c r="AU2146" s="23" t="s">
        <v>147</v>
      </c>
    </row>
    <row r="2147" spans="15:47" x14ac:dyDescent="0.25">
      <c r="O2147" s="1"/>
      <c r="P2147" s="1"/>
      <c r="Q2147" s="1"/>
      <c r="R2147" s="98"/>
      <c r="S2147" s="107"/>
      <c r="T2147" s="1"/>
      <c r="U2147" s="47"/>
      <c r="V2147" s="107"/>
      <c r="W2147" s="1"/>
      <c r="X2147" s="47"/>
      <c r="Y2147" s="107"/>
      <c r="Z2147" s="1"/>
      <c r="AA2147" s="47"/>
      <c r="AB2147" s="107"/>
      <c r="AC2147" s="1"/>
      <c r="AD2147" s="47"/>
      <c r="AE2147" s="107"/>
      <c r="AF2147" s="1"/>
      <c r="AG2147" s="47"/>
      <c r="AH2147" s="107"/>
      <c r="AI2147" s="1"/>
      <c r="AJ2147" s="47"/>
      <c r="AK2147" s="107"/>
      <c r="AL2147" s="1"/>
      <c r="AM2147" s="47"/>
      <c r="AN2147" s="107"/>
      <c r="AO2147" s="1"/>
      <c r="AP2147" s="47"/>
      <c r="AQ2147" s="107"/>
      <c r="AR2147" s="1"/>
      <c r="AS2147" s="47"/>
      <c r="AT2147" s="107"/>
      <c r="AU2147" s="1"/>
    </row>
    <row r="2148" spans="15:47" x14ac:dyDescent="0.25">
      <c r="O2148" s="8" t="s">
        <v>132</v>
      </c>
      <c r="P2148" s="8"/>
      <c r="Q2148" s="8"/>
      <c r="R2148" s="96">
        <f>P_1_minQ-(R2146^2*R_up)+dpup_minQ</f>
        <v>90.177720401224462</v>
      </c>
      <c r="S2148" s="106"/>
      <c r="T2148" s="22"/>
      <c r="U2148" s="96">
        <f ca="1">P_1_minQ-(U2146^2*R_up)+dpup_minQ</f>
        <v>89.680629856561993</v>
      </c>
      <c r="V2148" s="107"/>
      <c r="W2148" s="1"/>
      <c r="X2148" s="96">
        <f ca="1">P_1_minQ-(X2146^2*R_up)+dpup_minQ</f>
        <v>87.160694016533014</v>
      </c>
      <c r="Y2148" s="107"/>
      <c r="Z2148" s="1"/>
      <c r="AA2148" s="96">
        <f ca="1">P_1_minQ-(AA2146^2*R_up)+dpup_minQ</f>
        <v>78.711548039653792</v>
      </c>
      <c r="AB2148" s="107"/>
      <c r="AC2148" s="1"/>
      <c r="AD2148" s="96">
        <f ca="1">P_1_minQ-(AD2146^2*R_up)+dpup_minQ</f>
        <v>57.891288281820678</v>
      </c>
      <c r="AE2148" s="107"/>
      <c r="AF2148" s="1"/>
      <c r="AG2148" s="96">
        <f ca="1">P_1_minQ-(AG2146^2*R_up)+dpup_minQ</f>
        <v>21.392251590871311</v>
      </c>
      <c r="AH2148" s="107"/>
      <c r="AI2148" s="1"/>
      <c r="AJ2148" s="96">
        <f ca="1">P_1_minQ-(AJ2146^2*R_up)+dpup_minQ</f>
        <v>-32.328078331812506</v>
      </c>
      <c r="AK2148" s="107"/>
      <c r="AL2148" s="1"/>
      <c r="AM2148" s="96">
        <f ca="1">P_1_minQ-(AM2146^2*R_up)+dpup_minQ</f>
        <v>-92.220299032260613</v>
      </c>
      <c r="AN2148" s="107"/>
      <c r="AO2148" s="1"/>
      <c r="AP2148" s="96">
        <f ca="1">P_1_minQ-(AP2146^2*R_up)+dpup_minQ</f>
        <v>-155.66979855001227</v>
      </c>
      <c r="AQ2148" s="107"/>
      <c r="AR2148" s="1"/>
      <c r="AS2148" s="96">
        <f ca="1">P_1_minQ-(AS2146^2*R_up)+dpup_minQ</f>
        <v>-247.85077873492179</v>
      </c>
      <c r="AT2148" s="107"/>
      <c r="AU2148" s="1"/>
    </row>
    <row r="2149" spans="15:47" x14ac:dyDescent="0.25">
      <c r="O2149" s="8" t="s">
        <v>134</v>
      </c>
      <c r="P2149" s="1"/>
      <c r="Q2149" s="8"/>
      <c r="R2149" s="97">
        <f>P_2_minQ+(R2146^2*R_dn)-dpdn_minQ</f>
        <v>60</v>
      </c>
      <c r="S2149" s="106"/>
      <c r="T2149" s="22"/>
      <c r="U2149" s="97">
        <f ca="1">P_2_minQ+(U2146^2*R_dn)-dpdn_minQ</f>
        <v>60</v>
      </c>
      <c r="V2149" s="107"/>
      <c r="W2149" s="1"/>
      <c r="X2149" s="97">
        <f ca="1">P_2_minQ+(X2146^2*R_dn)-dpdn_minQ</f>
        <v>60</v>
      </c>
      <c r="Y2149" s="107"/>
      <c r="Z2149" s="1"/>
      <c r="AA2149" s="97">
        <f ca="1">P_2_minQ+(AA2146^2*R_dn)-dpdn_minQ</f>
        <v>60</v>
      </c>
      <c r="AB2149" s="107"/>
      <c r="AC2149" s="1"/>
      <c r="AD2149" s="97">
        <f ca="1">P_2_minQ+(AD2146^2*R_dn)-dpdn_minQ</f>
        <v>60</v>
      </c>
      <c r="AE2149" s="107"/>
      <c r="AF2149" s="1"/>
      <c r="AG2149" s="97">
        <f ca="1">P_2_minQ+(AG2146^2*R_dn)-dpdn_minQ</f>
        <v>60</v>
      </c>
      <c r="AH2149" s="107"/>
      <c r="AI2149" s="1"/>
      <c r="AJ2149" s="97">
        <f ca="1">P_2_minQ+(AJ2146^2*R_dn)-dpdn_minQ</f>
        <v>60</v>
      </c>
      <c r="AK2149" s="107"/>
      <c r="AL2149" s="1"/>
      <c r="AM2149" s="97">
        <f ca="1">P_2_minQ+(AM2146^2*R_dn)-dpdn_minQ</f>
        <v>60</v>
      </c>
      <c r="AN2149" s="107"/>
      <c r="AO2149" s="1"/>
      <c r="AP2149" s="97">
        <f ca="1">P_2_minQ+(AP2146^2*R_dn)-dpdn_minQ</f>
        <v>60</v>
      </c>
      <c r="AQ2149" s="107"/>
      <c r="AR2149" s="1"/>
      <c r="AS2149" s="97">
        <f ca="1">P_2_minQ+(AS2146^2*R_dn)-dpdn_minQ</f>
        <v>60</v>
      </c>
      <c r="AT2149" s="107"/>
      <c r="AU2149" s="1"/>
    </row>
    <row r="2150" spans="15:47" x14ac:dyDescent="0.25">
      <c r="O2150" s="8" t="s">
        <v>138</v>
      </c>
      <c r="P2150" s="1"/>
      <c r="Q2150" s="8"/>
      <c r="R2150" s="97">
        <f>R2148-R2149</f>
        <v>30.177720401224462</v>
      </c>
      <c r="S2150" s="106"/>
      <c r="T2150" s="22"/>
      <c r="U2150" s="97">
        <f ca="1">U2148-U2149</f>
        <v>29.680629856561993</v>
      </c>
      <c r="V2150" s="110"/>
      <c r="W2150" s="25"/>
      <c r="X2150" s="97">
        <f ca="1">X2148-X2149</f>
        <v>27.160694016533014</v>
      </c>
      <c r="Y2150" s="110"/>
      <c r="Z2150" s="25"/>
      <c r="AA2150" s="97">
        <f ca="1">AA2148-AA2149</f>
        <v>18.711548039653792</v>
      </c>
      <c r="AB2150" s="110"/>
      <c r="AC2150" s="25"/>
      <c r="AD2150" s="97">
        <f ca="1">AD2148-AD2149</f>
        <v>-2.1087117181793218</v>
      </c>
      <c r="AE2150" s="110"/>
      <c r="AF2150" s="25"/>
      <c r="AG2150" s="97">
        <f ca="1">AG2148-AG2149</f>
        <v>-38.607748409128689</v>
      </c>
      <c r="AH2150" s="110"/>
      <c r="AI2150" s="25"/>
      <c r="AJ2150" s="97">
        <f ca="1">AJ2148-AJ2149</f>
        <v>-92.328078331812506</v>
      </c>
      <c r="AK2150" s="110"/>
      <c r="AL2150" s="25"/>
      <c r="AM2150" s="97">
        <f ca="1">AM2148-AM2149</f>
        <v>-152.22029903226061</v>
      </c>
      <c r="AN2150" s="110"/>
      <c r="AO2150" s="25"/>
      <c r="AP2150" s="97">
        <f ca="1">AP2148-AP2149</f>
        <v>-215.66979855001227</v>
      </c>
      <c r="AQ2150" s="110"/>
      <c r="AR2150" s="25"/>
      <c r="AS2150" s="97">
        <f ca="1">AS2148-AS2149</f>
        <v>-307.85077873492179</v>
      </c>
      <c r="AT2150" s="110"/>
      <c r="AU2150" s="25"/>
    </row>
    <row r="2151" spans="15:47" ht="14.4" x14ac:dyDescent="0.3">
      <c r="O2151" s="2" t="s">
        <v>140</v>
      </c>
      <c r="P2151" s="11"/>
      <c r="Q2151" s="2"/>
      <c r="R2151" s="96">
        <f>R2150/R2148</f>
        <v>0.33464718632225149</v>
      </c>
      <c r="S2151" s="106"/>
      <c r="T2151" s="22"/>
      <c r="U2151" s="96">
        <f ca="1">U2150/U2148</f>
        <v>0.33095920383291377</v>
      </c>
      <c r="V2151" s="111"/>
      <c r="W2151" s="28"/>
      <c r="X2151" s="96">
        <f ca="1">X2150/X2148</f>
        <v>0.31161631195113082</v>
      </c>
      <c r="Y2151" s="111"/>
      <c r="Z2151" s="28"/>
      <c r="AA2151" s="96">
        <f ca="1">AA2150/AA2148</f>
        <v>0.23772303436628095</v>
      </c>
      <c r="AB2151" s="111"/>
      <c r="AC2151" s="28"/>
      <c r="AD2151" s="96">
        <f ca="1">AD2150/AD2148</f>
        <v>-3.6425372120134879E-2</v>
      </c>
      <c r="AE2151" s="111"/>
      <c r="AF2151" s="28"/>
      <c r="AG2151" s="96">
        <f ca="1">AG2150/AG2148</f>
        <v>-1.8047538495482041</v>
      </c>
      <c r="AH2151" s="111"/>
      <c r="AI2151" s="28"/>
      <c r="AJ2151" s="96">
        <f ca="1">AJ2150/AJ2148</f>
        <v>2.8559717464231977</v>
      </c>
      <c r="AK2151" s="111"/>
      <c r="AL2151" s="28"/>
      <c r="AM2151" s="96">
        <f ca="1">AM2150/AM2148</f>
        <v>1.6506159774976519</v>
      </c>
      <c r="AN2151" s="111"/>
      <c r="AO2151" s="28"/>
      <c r="AP2151" s="96">
        <f ca="1">AP2150/AP2148</f>
        <v>1.3854312176084926</v>
      </c>
      <c r="AQ2151" s="111"/>
      <c r="AR2151" s="28"/>
      <c r="AS2151" s="96">
        <f ca="1">AS2150/AS2148</f>
        <v>1.2420811437682446</v>
      </c>
      <c r="AT2151" s="111"/>
      <c r="AU2151" s="28"/>
    </row>
    <row r="2152" spans="15:47" x14ac:dyDescent="0.25">
      <c r="O2152" s="2" t="s">
        <v>21</v>
      </c>
      <c r="P2152" s="8">
        <v>12</v>
      </c>
      <c r="Q2152" s="2"/>
      <c r="R2152" s="96">
        <f ca="1">1-R2151/(3*F_GAMMA*R$29)</f>
        <v>0.82571267780113555</v>
      </c>
      <c r="S2152" s="106"/>
      <c r="T2152" s="22"/>
      <c r="U2152" s="96">
        <f ca="1">1-U2151/(3*F_GAMMA*U$29)</f>
        <v>0.82767345623791233</v>
      </c>
      <c r="V2152" s="111"/>
      <c r="W2152" s="28"/>
      <c r="X2152" s="96">
        <f ca="1">1-X2151/(3*F_GAMMA*X$29)</f>
        <v>0.83619971800758008</v>
      </c>
      <c r="Y2152" s="111"/>
      <c r="Z2152" s="28"/>
      <c r="AA2152" s="96">
        <f ca="1">1-AA2151/(3*F_GAMMA*AA$29)</f>
        <v>0.87328009709309018</v>
      </c>
      <c r="AB2152" s="111"/>
      <c r="AC2152" s="28"/>
      <c r="AD2152" s="96">
        <f ca="1">1-AD2151/(3*F_GAMMA*AD$29)</f>
        <v>1.0200189918329563</v>
      </c>
      <c r="AE2152" s="111"/>
      <c r="AF2152" s="28"/>
      <c r="AG2152" s="96">
        <f ca="1">1-AG2151/(3*F_GAMMA*AG$29)</f>
        <v>2.0513917830114599</v>
      </c>
      <c r="AH2152" s="111"/>
      <c r="AI2152" s="28"/>
      <c r="AJ2152" s="96">
        <f ca="1">1-AJ2151/(3*F_GAMMA*AJ$29)</f>
        <v>-0.79001849078001452</v>
      </c>
      <c r="AK2152" s="111"/>
      <c r="AL2152" s="28"/>
      <c r="AM2152" s="96">
        <f ca="1">1-AM2151/(3*F_GAMMA*AM$29)</f>
        <v>-0.15670730705085334</v>
      </c>
      <c r="AN2152" s="111"/>
      <c r="AO2152" s="28"/>
      <c r="AP2152" s="96">
        <f ca="1">1-AP2151/(3*F_GAMMA*AP$29)</f>
        <v>0.21798833573730947</v>
      </c>
      <c r="AQ2152" s="111"/>
      <c r="AR2152" s="28"/>
      <c r="AS2152" s="96">
        <f ca="1">1-AS2151/(3*F_GAMMA*AS$29)</f>
        <v>-9.9118895994408485E-2</v>
      </c>
      <c r="AT2152" s="111"/>
      <c r="AU2152" s="28"/>
    </row>
    <row r="2153" spans="15:47" x14ac:dyDescent="0.25">
      <c r="O2153" s="2" t="s">
        <v>57</v>
      </c>
      <c r="P2153" s="143">
        <v>7</v>
      </c>
      <c r="Q2153" s="2"/>
      <c r="R2153" s="96">
        <f ca="1">(R2146/(N_9*R$27*R2148*R2152))*SQRT(M*'Valve Sizing'!$W$6*'Valve Sizing'!$G$8/R2151)</f>
        <v>2.5596279251645568</v>
      </c>
      <c r="S2153" s="107"/>
      <c r="T2153" s="22"/>
      <c r="U2153" s="96">
        <f ca="1">(U2146/(N_9*U$27*U2148*U2152))*SQRT(M*'Valve Sizing'!$W$6*'Valve Sizing'!$G$8/U2151)</f>
        <v>21.447237186867834</v>
      </c>
      <c r="V2153" s="111"/>
      <c r="W2153" s="28"/>
      <c r="X2153" s="96">
        <f ca="1">(X2146/(N_9*X$27*X2148*X2152))*SQRT(M*'Valve Sizing'!$W$6*'Valve Sizing'!$G$8/X2151)</f>
        <v>55.245602719690702</v>
      </c>
      <c r="Y2153" s="111"/>
      <c r="Z2153" s="28"/>
      <c r="AA2153" s="96">
        <f ca="1">(AA2146/(N_9*AA$27*AA2148*AA2152))*SQRT(M*'Valve Sizing'!$W$6*'Valve Sizing'!$G$8/AA2151)</f>
        <v>131.40518977319488</v>
      </c>
      <c r="AB2153" s="111"/>
      <c r="AC2153" s="28"/>
      <c r="AD2153" s="96" t="e">
        <f ca="1">(AD2146/(N_9*AD$27*AD2148*AD2152))*SQRT(M*'Valve Sizing'!$W$6*'Valve Sizing'!$G$8/AD2151)</f>
        <v>#NUM!</v>
      </c>
      <c r="AE2153" s="111"/>
      <c r="AF2153" s="28"/>
      <c r="AG2153" s="96" t="e">
        <f ca="1">(AG2146/(N_9*AG$27*AG2148*AG2152))*SQRT(M*'Valve Sizing'!$W$6*'Valve Sizing'!$G$8/AG2151)</f>
        <v>#NUM!</v>
      </c>
      <c r="AH2153" s="111"/>
      <c r="AI2153" s="28"/>
      <c r="AJ2153" s="96">
        <f ca="1">(AJ2146/(N_9*AJ$27*AJ2148*AJ2152))*SQRT(M*'Valve Sizing'!$W$6*'Valve Sizing'!$G$8/AJ2151)</f>
        <v>357.62247856056285</v>
      </c>
      <c r="AK2153" s="111"/>
      <c r="AL2153" s="28"/>
      <c r="AM2153" s="96">
        <f ca="1">(AM2146/(N_9*AM$27*AM2148*AM2152))*SQRT(M*'Valve Sizing'!$W$6*'Valve Sizing'!$G$8/AM2151)</f>
        <v>1076.2825037355797</v>
      </c>
      <c r="AN2153" s="111"/>
      <c r="AO2153" s="28"/>
      <c r="AP2153" s="96">
        <f ca="1">(AP2146/(N_9*AP$27*AP2148*AP2152))*SQRT(M*'Valve Sizing'!$W$6*'Valve Sizing'!$G$8/AP2151)</f>
        <v>-661.10744076667947</v>
      </c>
      <c r="AQ2153" s="111"/>
      <c r="AR2153" s="28"/>
      <c r="AS2153" s="96">
        <f ca="1">(AS2146/(N_9*AS$27*AS2148*AS2152))*SQRT(M*'Valve Sizing'!$W$6*'Valve Sizing'!$G$8/AS2151)</f>
        <v>1514.7097499771833</v>
      </c>
      <c r="AT2153" s="111"/>
      <c r="AU2153" s="28"/>
    </row>
    <row r="2154" spans="15:47" x14ac:dyDescent="0.25">
      <c r="O2154" s="2" t="s">
        <v>59</v>
      </c>
      <c r="P2154" s="143">
        <v>7</v>
      </c>
      <c r="Q2154" s="2"/>
      <c r="R2154" s="96">
        <f ca="1">(R2146/(N_9*R$27*R2148*0.667))*SQRT(M*'Valve Sizing'!$W$6*'Valve Sizing'!$G$8/R2155)</f>
        <v>2.2912553098432786</v>
      </c>
      <c r="S2154" s="107"/>
      <c r="T2154" s="22"/>
      <c r="U2154" s="96">
        <f ca="1">(U2146/(N_9*U$27*U2148*0.667))*SQRT(M*'Valve Sizing'!$W$6*'Valve Sizing'!$G$8/U2155)</f>
        <v>19.135563884376513</v>
      </c>
      <c r="V2154" s="111"/>
      <c r="W2154" s="28"/>
      <c r="X2154" s="96">
        <f ca="1">(X2146/(N_9*X$27*X2148*0.667))*SQRT(M*'Valve Sizing'!$W$6*'Valve Sizing'!$G$8/X2155)</f>
        <v>48.55118661629735</v>
      </c>
      <c r="Y2154" s="111"/>
      <c r="Z2154" s="28"/>
      <c r="AA2154" s="96">
        <f ca="1">(AA2146/(N_9*AA$27*AA2148*0.667))*SQRT(M*'Valve Sizing'!$W$6*'Valve Sizing'!$G$8/AA2155)</f>
        <v>106.07750326529219</v>
      </c>
      <c r="AB2154" s="111"/>
      <c r="AC2154" s="28"/>
      <c r="AD2154" s="96">
        <f ca="1">(AD2146/(N_9*AD$27*AD2148*0.667))*SQRT(M*'Valve Sizing'!$W$6*'Valve Sizing'!$G$8/AD2155)</f>
        <v>248.73631377377842</v>
      </c>
      <c r="AE2154" s="111"/>
      <c r="AF2154" s="28"/>
      <c r="AG2154" s="96">
        <f ca="1">(AG2146/(N_9*AG$27*AG2148*0.667))*SQRT(M*'Valve Sizing'!$W$6*'Valve Sizing'!$G$8/AG2155)</f>
        <v>1034.2549926933193</v>
      </c>
      <c r="AH2154" s="111"/>
      <c r="AI2154" s="28"/>
      <c r="AJ2154" s="96">
        <f ca="1">(AJ2146/(N_9*AJ$27*AJ2148*0.667))*SQRT(M*'Valve Sizing'!$W$6*'Valve Sizing'!$G$8/AJ2155)</f>
        <v>-981.5798106732791</v>
      </c>
      <c r="AK2154" s="111"/>
      <c r="AL2154" s="28"/>
      <c r="AM2154" s="96">
        <f ca="1">(AM2146/(N_9*AM$27*AM2148*0.667))*SQRT(M*'Valve Sizing'!$W$6*'Valve Sizing'!$G$8/AM2155)</f>
        <v>-471.04463404329113</v>
      </c>
      <c r="AN2154" s="111"/>
      <c r="AO2154" s="28"/>
      <c r="AP2154" s="96">
        <f ca="1">(AP2146/(N_9*AP$27*AP2148*0.667))*SQRT(M*'Valve Sizing'!$W$6*'Valve Sizing'!$G$8/AP2155)</f>
        <v>-330.93805474740225</v>
      </c>
      <c r="AQ2154" s="111"/>
      <c r="AR2154" s="28"/>
      <c r="AS2154" s="96">
        <f ca="1">(AS2146/(N_9*AS$27*AS2148*0.667))*SQRT(M*'Valve Sizing'!$W$6*'Valve Sizing'!$G$8/AS2155)</f>
        <v>-408.73611025876176</v>
      </c>
      <c r="AT2154" s="111"/>
      <c r="AU2154" s="28"/>
    </row>
    <row r="2155" spans="15:47" ht="15.6" x14ac:dyDescent="0.35">
      <c r="O2155" s="2" t="s">
        <v>68</v>
      </c>
      <c r="P2155" s="143">
        <v>10</v>
      </c>
      <c r="Q2155" s="2"/>
      <c r="R2155" s="96">
        <f ca="1">F_GAMMA*R$29</f>
        <v>0.64002969751372984</v>
      </c>
      <c r="S2155" s="107"/>
      <c r="T2155" s="1"/>
      <c r="U2155" s="96">
        <f ca="1">F_GAMMA*U$29</f>
        <v>0.64017842058782071</v>
      </c>
      <c r="V2155" s="111"/>
      <c r="W2155" s="28"/>
      <c r="X2155" s="96">
        <f ca="1">F_GAMMA*X$29</f>
        <v>0.63413873724904268</v>
      </c>
      <c r="Y2155" s="111"/>
      <c r="Z2155" s="28"/>
      <c r="AA2155" s="96">
        <f ca="1">F_GAMMA*AA$29</f>
        <v>0.62532411750377137</v>
      </c>
      <c r="AB2155" s="111"/>
      <c r="AC2155" s="28"/>
      <c r="AD2155" s="96">
        <f ca="1">F_GAMMA*AD$29</f>
        <v>0.60651359509139569</v>
      </c>
      <c r="AE2155" s="111"/>
      <c r="AF2155" s="28"/>
      <c r="AG2155" s="96">
        <f ca="1">F_GAMMA*AG$29</f>
        <v>0.57217930198481592</v>
      </c>
      <c r="AH2155" s="111"/>
      <c r="AI2155" s="28"/>
      <c r="AJ2155" s="96">
        <f ca="1">F_GAMMA*AJ$29</f>
        <v>0.53183282018848232</v>
      </c>
      <c r="AK2155" s="111"/>
      <c r="AL2155" s="28"/>
      <c r="AM2155" s="96">
        <f ca="1">F_GAMMA*AM$29</f>
        <v>0.47566512503094399</v>
      </c>
      <c r="AN2155" s="111"/>
      <c r="AO2155" s="28"/>
      <c r="AP2155" s="96">
        <f ca="1">F_GAMMA*AP$29</f>
        <v>0.59054158265645496</v>
      </c>
      <c r="AQ2155" s="111"/>
      <c r="AR2155" s="28"/>
      <c r="AS2155" s="96">
        <f ca="1">F_GAMMA*AS$29</f>
        <v>0.3766899554102966</v>
      </c>
      <c r="AT2155" s="111"/>
      <c r="AU2155" s="28"/>
    </row>
    <row r="2156" spans="15:47" x14ac:dyDescent="0.25">
      <c r="O2156" s="2" t="s">
        <v>145</v>
      </c>
      <c r="P2156" s="12"/>
      <c r="Q2156" s="2"/>
      <c r="R2156" s="96">
        <f ca="1">IF(R2151&lt;R2155,R2153,R2154)</f>
        <v>2.5596279251645568</v>
      </c>
      <c r="S2156" s="116"/>
      <c r="T2156" s="1"/>
      <c r="U2156" s="96">
        <f ca="1">IF(U2151&lt;U2155,U2153,U2154)</f>
        <v>21.447237186867834</v>
      </c>
      <c r="V2156" s="111"/>
      <c r="W2156" s="28"/>
      <c r="X2156" s="96">
        <f ca="1">IF(X2151&lt;X2155,X2153,X2154)</f>
        <v>55.245602719690702</v>
      </c>
      <c r="Y2156" s="111"/>
      <c r="Z2156" s="28"/>
      <c r="AA2156" s="96">
        <f ca="1">IF(AA2151&lt;AA2155,AA2153,AA2154)</f>
        <v>131.40518977319488</v>
      </c>
      <c r="AB2156" s="111"/>
      <c r="AC2156" s="28"/>
      <c r="AD2156" s="96" t="e">
        <f ca="1">IF(AD2151&lt;AD2155,AD2153,AD2154)</f>
        <v>#NUM!</v>
      </c>
      <c r="AE2156" s="111"/>
      <c r="AF2156" s="28"/>
      <c r="AG2156" s="96" t="e">
        <f ca="1">IF(AG2151&lt;AG2155,AG2153,AG2154)</f>
        <v>#NUM!</v>
      </c>
      <c r="AH2156" s="111"/>
      <c r="AI2156" s="28"/>
      <c r="AJ2156" s="96">
        <f ca="1">IF(AJ2151&lt;AJ2155,AJ2153,AJ2154)</f>
        <v>-981.5798106732791</v>
      </c>
      <c r="AK2156" s="111"/>
      <c r="AL2156" s="28"/>
      <c r="AM2156" s="96">
        <f ca="1">IF(AM2151&lt;AM2155,AM2153,AM2154)</f>
        <v>-471.04463404329113</v>
      </c>
      <c r="AN2156" s="111"/>
      <c r="AO2156" s="28"/>
      <c r="AP2156" s="96">
        <f ca="1">IF(AP2151&lt;AP2155,AP2153,AP2154)</f>
        <v>-330.93805474740225</v>
      </c>
      <c r="AQ2156" s="111"/>
      <c r="AR2156" s="28"/>
      <c r="AS2156" s="96">
        <f ca="1">IF(AS2151&lt;AS2155,AS2153,AS2154)</f>
        <v>-408.73611025876176</v>
      </c>
      <c r="AT2156" s="111"/>
      <c r="AU2156" s="28"/>
    </row>
    <row r="2157" spans="15:47" x14ac:dyDescent="0.25">
      <c r="O2157" s="13" t="s">
        <v>143</v>
      </c>
      <c r="P2157" s="1"/>
      <c r="Q2157" s="1"/>
      <c r="R2157" s="113"/>
      <c r="S2157" s="106">
        <f ca="1">IF(R2150&lt;=0,Q_max,ABS(R$23-R2156))</f>
        <v>2.1703720748354436</v>
      </c>
      <c r="T2157" s="7">
        <f>R2146</f>
        <v>6337.4215981650432</v>
      </c>
      <c r="U2157" s="98"/>
      <c r="V2157" s="106">
        <f ca="1">IF(U2150&lt;=0,Q_max,ABS(U$23-U2156))</f>
        <v>9.8472371868678348</v>
      </c>
      <c r="W2157" s="9">
        <f ca="1">U2146</f>
        <v>52607.221581954422</v>
      </c>
      <c r="X2157" s="98"/>
      <c r="Y2157" s="106">
        <f ca="1">IF(X2150&lt;=0,Q_max,ABS(X$23-X2156))</f>
        <v>32.245602719690702</v>
      </c>
      <c r="Z2157" s="9">
        <f ca="1">X2146</f>
        <v>128815.76168804636</v>
      </c>
      <c r="AA2157" s="98"/>
      <c r="AB2157" s="106">
        <f ca="1">IF(AA2150&lt;=0,Q_max,ABS(AA$23-AA2156))</f>
        <v>92.005189773194871</v>
      </c>
      <c r="AC2157" s="9">
        <f ca="1">AA2146</f>
        <v>250900.22413597693</v>
      </c>
      <c r="AD2157" s="98"/>
      <c r="AE2157" s="106">
        <f ca="1">IF(AD2150&lt;=0,Q_max,ABS(AD$23-AD2156))</f>
        <v>236393</v>
      </c>
      <c r="AF2157" s="9">
        <f ca="1">AD2146</f>
        <v>420932.52642549807</v>
      </c>
      <c r="AG2157" s="98"/>
      <c r="AH2157" s="106">
        <f ca="1">IF(AG2150&lt;=0,Q_max,ABS(AG$23-AG2156))</f>
        <v>236393</v>
      </c>
      <c r="AI2157" s="9">
        <f ca="1">AG2146</f>
        <v>614362.48689598055</v>
      </c>
      <c r="AJ2157" s="98"/>
      <c r="AK2157" s="106">
        <f ca="1">IF(AJ2150&lt;=0,Q_max,ABS(AJ$23-AJ2156))</f>
        <v>236393</v>
      </c>
      <c r="AL2157" s="9">
        <f ca="1">AJ2146</f>
        <v>819869.12038017216</v>
      </c>
      <c r="AM2157" s="98"/>
      <c r="AN2157" s="106">
        <f ca="1">IF(AM2150&lt;=0,Q_max,ABS(AM$23-AM2156))</f>
        <v>236393</v>
      </c>
      <c r="AO2157" s="9">
        <f ca="1">AM2146</f>
        <v>1000396.1347487868</v>
      </c>
      <c r="AP2157" s="98"/>
      <c r="AQ2157" s="106">
        <f ca="1">IF(AP2150&lt;=0,Q_max,ABS(AP$23-AP2156))</f>
        <v>236393</v>
      </c>
      <c r="AR2157" s="9">
        <f ca="1">AP2146</f>
        <v>1161428.8555154835</v>
      </c>
      <c r="AS2157" s="98"/>
      <c r="AT2157" s="106">
        <f ca="1">IF(AS2150&lt;=0,Q_max,ABS(AS$23-AS2156))</f>
        <v>236393</v>
      </c>
      <c r="AU2157" s="9">
        <f ca="1">AS2146</f>
        <v>1361866.6735756281</v>
      </c>
    </row>
    <row r="2158" spans="15:47" x14ac:dyDescent="0.25">
      <c r="O2158" s="21"/>
      <c r="P2158" s="14"/>
      <c r="Q2158" s="21"/>
      <c r="R2158" s="97"/>
      <c r="S2158" s="106"/>
      <c r="T2158" s="28"/>
      <c r="U2158" s="99"/>
      <c r="V2158" s="110"/>
      <c r="W2158" s="25"/>
      <c r="X2158" s="99"/>
      <c r="Y2158" s="110"/>
      <c r="Z2158" s="25"/>
      <c r="AA2158" s="99"/>
      <c r="AB2158" s="110"/>
      <c r="AC2158" s="25"/>
      <c r="AD2158" s="99"/>
      <c r="AE2158" s="110"/>
      <c r="AF2158" s="25"/>
      <c r="AG2158" s="99"/>
      <c r="AH2158" s="110"/>
      <c r="AI2158" s="25"/>
      <c r="AJ2158" s="99"/>
      <c r="AK2158" s="110"/>
      <c r="AL2158" s="25"/>
      <c r="AM2158" s="99"/>
      <c r="AN2158" s="110"/>
      <c r="AO2158" s="25"/>
      <c r="AP2158" s="99"/>
      <c r="AQ2158" s="110"/>
      <c r="AR2158" s="25"/>
      <c r="AS2158" s="99"/>
      <c r="AT2158" s="110"/>
      <c r="AU2158" s="25"/>
    </row>
    <row r="2159" spans="15:47" x14ac:dyDescent="0.25">
      <c r="O2159" s="1"/>
      <c r="P2159" s="1"/>
      <c r="Q2159" s="1"/>
      <c r="R2159" s="98"/>
      <c r="S2159" s="108" t="s">
        <v>137</v>
      </c>
      <c r="T2159" s="26" t="s">
        <v>146</v>
      </c>
      <c r="U2159" s="98"/>
      <c r="V2159" s="108" t="s">
        <v>137</v>
      </c>
      <c r="W2159" s="26" t="s">
        <v>146</v>
      </c>
      <c r="X2159" s="98"/>
      <c r="Y2159" s="108" t="s">
        <v>137</v>
      </c>
      <c r="Z2159" s="26" t="s">
        <v>146</v>
      </c>
      <c r="AA2159" s="98"/>
      <c r="AB2159" s="108" t="s">
        <v>137</v>
      </c>
      <c r="AC2159" s="26" t="s">
        <v>146</v>
      </c>
      <c r="AD2159" s="98"/>
      <c r="AE2159" s="108" t="s">
        <v>137</v>
      </c>
      <c r="AF2159" s="26" t="s">
        <v>146</v>
      </c>
      <c r="AG2159" s="98"/>
      <c r="AH2159" s="108" t="s">
        <v>137</v>
      </c>
      <c r="AI2159" s="26" t="s">
        <v>146</v>
      </c>
      <c r="AJ2159" s="98"/>
      <c r="AK2159" s="108" t="s">
        <v>137</v>
      </c>
      <c r="AL2159" s="26" t="s">
        <v>146</v>
      </c>
      <c r="AM2159" s="98"/>
      <c r="AN2159" s="108" t="s">
        <v>137</v>
      </c>
      <c r="AO2159" s="26" t="s">
        <v>146</v>
      </c>
      <c r="AP2159" s="98"/>
      <c r="AQ2159" s="108" t="s">
        <v>137</v>
      </c>
      <c r="AR2159" s="26" t="s">
        <v>146</v>
      </c>
      <c r="AS2159" s="98"/>
      <c r="AT2159" s="108" t="s">
        <v>137</v>
      </c>
      <c r="AU2159" s="26" t="s">
        <v>146</v>
      </c>
    </row>
    <row r="2160" spans="15:47" ht="13.8" x14ac:dyDescent="0.25">
      <c r="O2160" s="20" t="s">
        <v>136</v>
      </c>
      <c r="P2160" s="1"/>
      <c r="Q2160" s="1"/>
      <c r="R2160" s="96">
        <f>R2146*1.02</f>
        <v>6464.1700301283445</v>
      </c>
      <c r="S2160" s="109" t="s">
        <v>144</v>
      </c>
      <c r="T2160" s="23" t="s">
        <v>147</v>
      </c>
      <c r="U2160" s="96">
        <f ca="1">U2146*1.01</f>
        <v>53133.293797773964</v>
      </c>
      <c r="V2160" s="109" t="s">
        <v>144</v>
      </c>
      <c r="W2160" s="23" t="s">
        <v>147</v>
      </c>
      <c r="X2160" s="96">
        <f ca="1">X2146*1.01</f>
        <v>130103.91930492682</v>
      </c>
      <c r="Y2160" s="109" t="s">
        <v>144</v>
      </c>
      <c r="Z2160" s="23" t="s">
        <v>147</v>
      </c>
      <c r="AA2160" s="96">
        <f ca="1">AA2146*1.01</f>
        <v>253409.22637733669</v>
      </c>
      <c r="AB2160" s="109" t="s">
        <v>144</v>
      </c>
      <c r="AC2160" s="23" t="s">
        <v>147</v>
      </c>
      <c r="AD2160" s="96">
        <f ca="1">AD2146*1.01</f>
        <v>425141.85168975306</v>
      </c>
      <c r="AE2160" s="109" t="s">
        <v>144</v>
      </c>
      <c r="AF2160" s="23" t="s">
        <v>147</v>
      </c>
      <c r="AG2160" s="96">
        <f ca="1">AG2146*1.01</f>
        <v>620506.11176494032</v>
      </c>
      <c r="AH2160" s="109" t="s">
        <v>144</v>
      </c>
      <c r="AI2160" s="23" t="s">
        <v>147</v>
      </c>
      <c r="AJ2160" s="96">
        <f ca="1">AJ2146*1.01</f>
        <v>828067.81158397393</v>
      </c>
      <c r="AK2160" s="109" t="s">
        <v>144</v>
      </c>
      <c r="AL2160" s="23" t="s">
        <v>147</v>
      </c>
      <c r="AM2160" s="96">
        <f ca="1">AM2146*1.01</f>
        <v>1010400.0960962747</v>
      </c>
      <c r="AN2160" s="109" t="s">
        <v>144</v>
      </c>
      <c r="AO2160" s="23" t="s">
        <v>147</v>
      </c>
      <c r="AP2160" s="96">
        <f ca="1">AP2146*1.01</f>
        <v>1173043.1440706383</v>
      </c>
      <c r="AQ2160" s="109" t="s">
        <v>144</v>
      </c>
      <c r="AR2160" s="23" t="s">
        <v>147</v>
      </c>
      <c r="AS2160" s="96">
        <f ca="1">AS2146*1.01</f>
        <v>1375485.3403113843</v>
      </c>
      <c r="AT2160" s="109" t="s">
        <v>144</v>
      </c>
      <c r="AU2160" s="23" t="s">
        <v>147</v>
      </c>
    </row>
    <row r="2161" spans="15:47" x14ac:dyDescent="0.25">
      <c r="O2161" s="1"/>
      <c r="P2161" s="1"/>
      <c r="Q2161" s="1"/>
      <c r="R2161" s="98"/>
      <c r="S2161" s="107"/>
      <c r="T2161" s="1"/>
      <c r="U2161" s="47"/>
      <c r="V2161" s="107"/>
      <c r="W2161" s="1"/>
      <c r="X2161" s="47"/>
      <c r="Y2161" s="107"/>
      <c r="Z2161" s="1"/>
      <c r="AA2161" s="47"/>
      <c r="AB2161" s="107"/>
      <c r="AC2161" s="1"/>
      <c r="AD2161" s="47"/>
      <c r="AE2161" s="107"/>
      <c r="AF2161" s="1"/>
      <c r="AG2161" s="47"/>
      <c r="AH2161" s="107"/>
      <c r="AI2161" s="1"/>
      <c r="AJ2161" s="47"/>
      <c r="AK2161" s="107"/>
      <c r="AL2161" s="1"/>
      <c r="AM2161" s="47"/>
      <c r="AN2161" s="107"/>
      <c r="AO2161" s="1"/>
      <c r="AP2161" s="47"/>
      <c r="AQ2161" s="107"/>
      <c r="AR2161" s="1"/>
      <c r="AS2161" s="47"/>
      <c r="AT2161" s="107"/>
      <c r="AU2161" s="1"/>
    </row>
    <row r="2162" spans="15:47" x14ac:dyDescent="0.25">
      <c r="O2162" s="8" t="s">
        <v>132</v>
      </c>
      <c r="P2162" s="8"/>
      <c r="Q2162" s="8"/>
      <c r="R2162" s="96">
        <f>P_1_minQ-(R2160^2*R_up)+dpup_minQ</f>
        <v>90.177424668011611</v>
      </c>
      <c r="S2162" s="106"/>
      <c r="T2162" s="22"/>
      <c r="U2162" s="96">
        <f ca="1">P_1_minQ-(U2160^2*R_up)+dpup_minQ</f>
        <v>89.670491202020756</v>
      </c>
      <c r="V2162" s="107"/>
      <c r="W2162" s="1"/>
      <c r="X2162" s="96">
        <f ca="1">P_1_minQ-(X2160^2*R_up)+dpup_minQ</f>
        <v>87.09990465160719</v>
      </c>
      <c r="Y2162" s="107"/>
      <c r="Z2162" s="1"/>
      <c r="AA2162" s="96">
        <f ca="1">P_1_minQ-(AA2160^2*R_up)+dpup_minQ</f>
        <v>78.480930840592691</v>
      </c>
      <c r="AB2162" s="107"/>
      <c r="AC2162" s="1"/>
      <c r="AD2162" s="96">
        <f ca="1">P_1_minQ-(AD2160^2*R_up)+dpup_minQ</f>
        <v>57.242183861627133</v>
      </c>
      <c r="AE2162" s="107"/>
      <c r="AF2162" s="1"/>
      <c r="AG2162" s="96">
        <f ca="1">P_1_minQ-(AG2160^2*R_up)+dpup_minQ</f>
        <v>20.009516533189696</v>
      </c>
      <c r="AH2162" s="107"/>
      <c r="AI2162" s="1"/>
      <c r="AJ2162" s="96">
        <f ca="1">P_1_minQ-(AJ2160^2*R_up)+dpup_minQ</f>
        <v>-34.790592020940096</v>
      </c>
      <c r="AK2162" s="107"/>
      <c r="AL2162" s="1"/>
      <c r="AM2162" s="96">
        <f ca="1">P_1_minQ-(AM2160^2*R_up)+dpup_minQ</f>
        <v>-95.886646357467185</v>
      </c>
      <c r="AN2162" s="107"/>
      <c r="AO2162" s="1"/>
      <c r="AP2162" s="96">
        <f ca="1">P_1_minQ-(AP2160^2*R_up)+dpup_minQ</f>
        <v>-160.61148081552568</v>
      </c>
      <c r="AQ2162" s="107"/>
      <c r="AR2162" s="1"/>
      <c r="AS2162" s="96">
        <f ca="1">P_1_minQ-(AS2160^2*R_up)+dpup_minQ</f>
        <v>-254.64529870215182</v>
      </c>
      <c r="AT2162" s="107"/>
      <c r="AU2162" s="1"/>
    </row>
    <row r="2163" spans="15:47" x14ac:dyDescent="0.25">
      <c r="O2163" s="8" t="s">
        <v>134</v>
      </c>
      <c r="P2163" s="1"/>
      <c r="Q2163" s="8"/>
      <c r="R2163" s="97">
        <f>P_2_minQ+(R2160^2*R_dn)-dpdn_minQ</f>
        <v>60</v>
      </c>
      <c r="S2163" s="106"/>
      <c r="T2163" s="22"/>
      <c r="U2163" s="97">
        <f ca="1">P_2_minQ+(U2160^2*R_dn)-dpdn_minQ</f>
        <v>60</v>
      </c>
      <c r="V2163" s="107"/>
      <c r="W2163" s="1"/>
      <c r="X2163" s="97">
        <f ca="1">P_2_minQ+(X2160^2*R_dn)-dpdn_minQ</f>
        <v>60</v>
      </c>
      <c r="Y2163" s="107"/>
      <c r="Z2163" s="1"/>
      <c r="AA2163" s="97">
        <f ca="1">P_2_minQ+(AA2160^2*R_dn)-dpdn_minQ</f>
        <v>60</v>
      </c>
      <c r="AB2163" s="107"/>
      <c r="AC2163" s="1"/>
      <c r="AD2163" s="97">
        <f ca="1">P_2_minQ+(AD2160^2*R_dn)-dpdn_minQ</f>
        <v>60</v>
      </c>
      <c r="AE2163" s="107"/>
      <c r="AF2163" s="1"/>
      <c r="AG2163" s="97">
        <f ca="1">P_2_minQ+(AG2160^2*R_dn)-dpdn_minQ</f>
        <v>60</v>
      </c>
      <c r="AH2163" s="107"/>
      <c r="AI2163" s="1"/>
      <c r="AJ2163" s="97">
        <f ca="1">P_2_minQ+(AJ2160^2*R_dn)-dpdn_minQ</f>
        <v>60</v>
      </c>
      <c r="AK2163" s="107"/>
      <c r="AL2163" s="1"/>
      <c r="AM2163" s="97">
        <f ca="1">P_2_minQ+(AM2160^2*R_dn)-dpdn_minQ</f>
        <v>60</v>
      </c>
      <c r="AN2163" s="107"/>
      <c r="AO2163" s="1"/>
      <c r="AP2163" s="97">
        <f ca="1">P_2_minQ+(AP2160^2*R_dn)-dpdn_minQ</f>
        <v>60</v>
      </c>
      <c r="AQ2163" s="107"/>
      <c r="AR2163" s="1"/>
      <c r="AS2163" s="97">
        <f ca="1">P_2_minQ+(AS2160^2*R_dn)-dpdn_minQ</f>
        <v>60</v>
      </c>
      <c r="AT2163" s="107"/>
      <c r="AU2163" s="1"/>
    </row>
    <row r="2164" spans="15:47" x14ac:dyDescent="0.25">
      <c r="O2164" s="8" t="s">
        <v>138</v>
      </c>
      <c r="P2164" s="1"/>
      <c r="Q2164" s="8"/>
      <c r="R2164" s="97">
        <f>R2162-R2163</f>
        <v>30.177424668011611</v>
      </c>
      <c r="S2164" s="106"/>
      <c r="T2164" s="22"/>
      <c r="U2164" s="97">
        <f ca="1">U2162-U2163</f>
        <v>29.670491202020756</v>
      </c>
      <c r="V2164" s="110"/>
      <c r="W2164" s="25"/>
      <c r="X2164" s="97">
        <f ca="1">X2162-X2163</f>
        <v>27.09990465160719</v>
      </c>
      <c r="Y2164" s="110"/>
      <c r="Z2164" s="25"/>
      <c r="AA2164" s="97">
        <f ca="1">AA2162-AA2163</f>
        <v>18.480930840592691</v>
      </c>
      <c r="AB2164" s="110"/>
      <c r="AC2164" s="25"/>
      <c r="AD2164" s="97">
        <f ca="1">AD2162-AD2163</f>
        <v>-2.757816138372867</v>
      </c>
      <c r="AE2164" s="110"/>
      <c r="AF2164" s="25"/>
      <c r="AG2164" s="97">
        <f ca="1">AG2162-AG2163</f>
        <v>-39.990483466810304</v>
      </c>
      <c r="AH2164" s="110"/>
      <c r="AI2164" s="25"/>
      <c r="AJ2164" s="97">
        <f ca="1">AJ2162-AJ2163</f>
        <v>-94.790592020940096</v>
      </c>
      <c r="AK2164" s="110"/>
      <c r="AL2164" s="25"/>
      <c r="AM2164" s="97">
        <f ca="1">AM2162-AM2163</f>
        <v>-155.88664635746719</v>
      </c>
      <c r="AN2164" s="110"/>
      <c r="AO2164" s="25"/>
      <c r="AP2164" s="97">
        <f ca="1">AP2162-AP2163</f>
        <v>-220.61148081552568</v>
      </c>
      <c r="AQ2164" s="110"/>
      <c r="AR2164" s="25"/>
      <c r="AS2164" s="97">
        <f ca="1">AS2162-AS2163</f>
        <v>-314.64529870215182</v>
      </c>
      <c r="AT2164" s="110"/>
      <c r="AU2164" s="25"/>
    </row>
    <row r="2165" spans="15:47" ht="14.4" x14ac:dyDescent="0.3">
      <c r="O2165" s="2" t="s">
        <v>140</v>
      </c>
      <c r="P2165" s="11"/>
      <c r="Q2165" s="2"/>
      <c r="R2165" s="96">
        <f>R2164/R2162</f>
        <v>0.33464500432463962</v>
      </c>
      <c r="S2165" s="106"/>
      <c r="T2165" s="22"/>
      <c r="U2165" s="96">
        <f ca="1">U2164/U2162</f>
        <v>0.33088355828424548</v>
      </c>
      <c r="V2165" s="111"/>
      <c r="W2165" s="28"/>
      <c r="X2165" s="96">
        <f ca="1">X2164/X2162</f>
        <v>0.31113587046971741</v>
      </c>
      <c r="Y2165" s="111"/>
      <c r="Z2165" s="28"/>
      <c r="AA2165" s="96">
        <f ca="1">AA2164/AA2162</f>
        <v>0.2354830739473569</v>
      </c>
      <c r="AB2165" s="111"/>
      <c r="AC2165" s="28"/>
      <c r="AD2165" s="96">
        <f ca="1">AD2164/AD2162</f>
        <v>-4.8178038508093969E-2</v>
      </c>
      <c r="AE2165" s="111"/>
      <c r="AF2165" s="28"/>
      <c r="AG2165" s="96">
        <f ca="1">AG2164/AG2162</f>
        <v>-1.9985731989315316</v>
      </c>
      <c r="AH2165" s="111"/>
      <c r="AI2165" s="28"/>
      <c r="AJ2165" s="96">
        <f ca="1">AJ2164/AJ2162</f>
        <v>2.7246041678131441</v>
      </c>
      <c r="AK2165" s="111"/>
      <c r="AL2165" s="28"/>
      <c r="AM2165" s="96">
        <f ca="1">AM2164/AM2162</f>
        <v>1.6257388518555429</v>
      </c>
      <c r="AN2165" s="111"/>
      <c r="AO2165" s="28"/>
      <c r="AP2165" s="96">
        <f ca="1">AP2164/AP2162</f>
        <v>1.3735722981653753</v>
      </c>
      <c r="AQ2165" s="111"/>
      <c r="AR2165" s="28"/>
      <c r="AS2165" s="96">
        <f ca="1">AS2164/AS2162</f>
        <v>1.2356218642394006</v>
      </c>
      <c r="AT2165" s="111"/>
      <c r="AU2165" s="28"/>
    </row>
    <row r="2166" spans="15:47" x14ac:dyDescent="0.25">
      <c r="O2166" s="2" t="s">
        <v>21</v>
      </c>
      <c r="P2166" s="8">
        <v>12</v>
      </c>
      <c r="Q2166" s="2"/>
      <c r="R2166" s="96">
        <f ca="1">1-R2165/(3*F_GAMMA*R$29)</f>
        <v>0.82571381420549328</v>
      </c>
      <c r="S2166" s="106"/>
      <c r="T2166" s="22"/>
      <c r="U2166" s="96">
        <f ca="1">1-U2165/(3*F_GAMMA*U$29)</f>
        <v>0.82771284398057676</v>
      </c>
      <c r="V2166" s="111"/>
      <c r="W2166" s="28"/>
      <c r="X2166" s="96">
        <f ca="1">1-X2165/(3*F_GAMMA*X$29)</f>
        <v>0.83645226078893709</v>
      </c>
      <c r="Y2166" s="111"/>
      <c r="Z2166" s="28"/>
      <c r="AA2166" s="96">
        <f ca="1">1-AA2165/(3*F_GAMMA*AA$29)</f>
        <v>0.87447412344210618</v>
      </c>
      <c r="AB2166" s="111"/>
      <c r="AC2166" s="28"/>
      <c r="AD2166" s="96">
        <f ca="1">1-AD2165/(3*F_GAMMA*AD$29)</f>
        <v>1.0264781305799826</v>
      </c>
      <c r="AE2166" s="111"/>
      <c r="AF2166" s="28"/>
      <c r="AG2166" s="96">
        <f ca="1">1-AG2165/(3*F_GAMMA*AG$29)</f>
        <v>2.1643047275558205</v>
      </c>
      <c r="AH2166" s="111"/>
      <c r="AI2166" s="28"/>
      <c r="AJ2166" s="96">
        <f ca="1">1-AJ2165/(3*F_GAMMA*AJ$29)</f>
        <v>-0.70768210384078989</v>
      </c>
      <c r="AK2166" s="111"/>
      <c r="AL2166" s="28"/>
      <c r="AM2166" s="96">
        <f ca="1">1-AM2165/(3*F_GAMMA*AM$29)</f>
        <v>-0.13927408611943259</v>
      </c>
      <c r="AN2166" s="111"/>
      <c r="AO2166" s="28"/>
      <c r="AP2166" s="96">
        <f ca="1">1-AP2165/(3*F_GAMMA*AP$29)</f>
        <v>0.22468214573105105</v>
      </c>
      <c r="AQ2166" s="111"/>
      <c r="AR2166" s="28"/>
      <c r="AS2166" s="96">
        <f ca="1">1-AS2165/(3*F_GAMMA*AS$29)</f>
        <v>-9.3403072821114375E-2</v>
      </c>
      <c r="AT2166" s="111"/>
      <c r="AU2166" s="28"/>
    </row>
    <row r="2167" spans="15:47" x14ac:dyDescent="0.25">
      <c r="O2167" s="2" t="s">
        <v>57</v>
      </c>
      <c r="P2167" s="143">
        <v>7</v>
      </c>
      <c r="Q2167" s="2"/>
      <c r="R2167" s="96">
        <f ca="1">(R2160/(N_9*R$27*R2162*R2166))*SQRT(M*'Valve Sizing'!$W$6*'Valve Sizing'!$G$8/R2165)</f>
        <v>2.6108339642594447</v>
      </c>
      <c r="S2167" s="107"/>
      <c r="T2167" s="22"/>
      <c r="U2167" s="96">
        <f ca="1">(U2160/(N_9*U$27*U2162*U2166))*SQRT(M*'Valve Sizing'!$W$6*'Valve Sizing'!$G$8/U2165)</f>
        <v>21.665603974901131</v>
      </c>
      <c r="V2167" s="111"/>
      <c r="W2167" s="28"/>
      <c r="X2167" s="96">
        <f ca="1">(X2160/(N_9*X$27*X2162*X2166))*SQRT(M*'Valve Sizing'!$W$6*'Valve Sizing'!$G$8/X2165)</f>
        <v>55.863224134972164</v>
      </c>
      <c r="Y2167" s="111"/>
      <c r="Z2167" s="28"/>
      <c r="AA2167" s="96">
        <f ca="1">(AA2160/(N_9*AA$27*AA2162*AA2166))*SQRT(M*'Valve Sizing'!$W$6*'Valve Sizing'!$G$8/AA2165)</f>
        <v>133.55820814454307</v>
      </c>
      <c r="AB2167" s="111"/>
      <c r="AC2167" s="28"/>
      <c r="AD2167" s="96" t="e">
        <f ca="1">(AD2160/(N_9*AD$27*AD2162*AD2166))*SQRT(M*'Valve Sizing'!$W$6*'Valve Sizing'!$G$8/AD2165)</f>
        <v>#NUM!</v>
      </c>
      <c r="AE2167" s="111"/>
      <c r="AF2167" s="28"/>
      <c r="AG2167" s="96" t="e">
        <f ca="1">(AG2160/(N_9*AG$27*AG2162*AG2166))*SQRT(M*'Valve Sizing'!$W$6*'Valve Sizing'!$G$8/AG2165)</f>
        <v>#NUM!</v>
      </c>
      <c r="AH2167" s="111"/>
      <c r="AI2167" s="28"/>
      <c r="AJ2167" s="96">
        <f ca="1">(AJ2160/(N_9*AJ$27*AJ2162*AJ2166))*SQRT(M*'Valve Sizing'!$W$6*'Valve Sizing'!$G$8/AJ2165)</f>
        <v>383.60878245648934</v>
      </c>
      <c r="AK2167" s="111"/>
      <c r="AL2167" s="28"/>
      <c r="AM2167" s="96">
        <f ca="1">(AM2160/(N_9*AM$27*AM2162*AM2166))*SQRT(M*'Valve Sizing'!$W$6*'Valve Sizing'!$G$8/AM2165)</f>
        <v>1185.3118083343775</v>
      </c>
      <c r="AN2167" s="111"/>
      <c r="AO2167" s="28"/>
      <c r="AP2167" s="96">
        <f ca="1">(AP2160/(N_9*AP$27*AP2162*AP2166))*SQRT(M*'Valve Sizing'!$W$6*'Valve Sizing'!$G$8/AP2165)</f>
        <v>-630.59803328486748</v>
      </c>
      <c r="AQ2167" s="111"/>
      <c r="AR2167" s="28"/>
      <c r="AS2167" s="96">
        <f ca="1">(AS2160/(N_9*AS$27*AS2162*AS2166))*SQRT(M*'Valve Sizing'!$W$6*'Valve Sizing'!$G$8/AS2165)</f>
        <v>1584.2835179012122</v>
      </c>
      <c r="AT2167" s="111"/>
      <c r="AU2167" s="28"/>
    </row>
    <row r="2168" spans="15:47" x14ac:dyDescent="0.25">
      <c r="O2168" s="2" t="s">
        <v>59</v>
      </c>
      <c r="P2168" s="143">
        <v>7</v>
      </c>
      <c r="Q2168" s="2"/>
      <c r="R2168" s="96">
        <f ca="1">(R2160/(N_9*R$27*R2162*0.667))*SQRT(M*'Valve Sizing'!$W$6*'Valve Sizing'!$G$8/R2169)</f>
        <v>2.3370880804007386</v>
      </c>
      <c r="S2168" s="107"/>
      <c r="T2168" s="22"/>
      <c r="U2168" s="96">
        <f ca="1">(U2160/(N_9*U$27*U2162*0.667))*SQRT(M*'Valve Sizing'!$W$6*'Valve Sizing'!$G$8/U2169)</f>
        <v>19.329104734405867</v>
      </c>
      <c r="V2168" s="111"/>
      <c r="W2168" s="28"/>
      <c r="X2168" s="96">
        <f ca="1">(X2160/(N_9*X$27*X2162*0.667))*SQRT(M*'Valve Sizing'!$W$6*'Valve Sizing'!$G$8/X2169)</f>
        <v>49.070922512563818</v>
      </c>
      <c r="Y2168" s="111"/>
      <c r="Z2168" s="28"/>
      <c r="AA2168" s="96">
        <f ca="1">(AA2160/(N_9*AA$27*AA2162*0.667))*SQRT(M*'Valve Sizing'!$W$6*'Valve Sizing'!$G$8/AA2169)</f>
        <v>107.45310547173958</v>
      </c>
      <c r="AB2168" s="111"/>
      <c r="AC2168" s="28"/>
      <c r="AD2168" s="96">
        <f ca="1">(AD2160/(N_9*AD$27*AD2162*0.667))*SQRT(M*'Valve Sizing'!$W$6*'Valve Sizing'!$G$8/AD2169)</f>
        <v>254.07245709668058</v>
      </c>
      <c r="AE2168" s="111"/>
      <c r="AF2168" s="28"/>
      <c r="AG2168" s="96">
        <f ca="1">(AG2160/(N_9*AG$27*AG2162*0.667))*SQRT(M*'Valve Sizing'!$W$6*'Valve Sizing'!$G$8/AG2169)</f>
        <v>1116.7832768909063</v>
      </c>
      <c r="AH2168" s="111"/>
      <c r="AI2168" s="28"/>
      <c r="AJ2168" s="96">
        <f ca="1">(AJ2160/(N_9*AJ$27*AJ2162*0.667))*SQRT(M*'Valve Sizing'!$W$6*'Valve Sizing'!$G$8/AJ2169)</f>
        <v>-921.22361353220606</v>
      </c>
      <c r="AK2168" s="111"/>
      <c r="AL2168" s="28"/>
      <c r="AM2168" s="96">
        <f ca="1">(AM2160/(N_9*AM$27*AM2162*0.667))*SQRT(M*'Valve Sizing'!$W$6*'Valve Sizing'!$G$8/AM2169)</f>
        <v>-457.5639825335021</v>
      </c>
      <c r="AN2168" s="111"/>
      <c r="AO2168" s="28"/>
      <c r="AP2168" s="96">
        <f ca="1">(AP2160/(N_9*AP$27*AP2162*0.667))*SQRT(M*'Valve Sizing'!$W$6*'Valve Sizing'!$G$8/AP2169)</f>
        <v>-323.96333471313034</v>
      </c>
      <c r="AQ2168" s="111"/>
      <c r="AR2168" s="28"/>
      <c r="AS2168" s="96">
        <f ca="1">(AS2160/(N_9*AS$27*AS2162*0.667))*SQRT(M*'Valve Sizing'!$W$6*'Valve Sizing'!$G$8/AS2169)</f>
        <v>-401.80839535797594</v>
      </c>
      <c r="AT2168" s="111"/>
      <c r="AU2168" s="28"/>
    </row>
    <row r="2169" spans="15:47" ht="15.6" x14ac:dyDescent="0.35">
      <c r="O2169" s="2" t="s">
        <v>68</v>
      </c>
      <c r="P2169" s="143">
        <v>10</v>
      </c>
      <c r="Q2169" s="2"/>
      <c r="R2169" s="96">
        <f ca="1">F_GAMMA*R$29</f>
        <v>0.64002969751372984</v>
      </c>
      <c r="S2169" s="107"/>
      <c r="T2169" s="1"/>
      <c r="U2169" s="96">
        <f ca="1">F_GAMMA*U$29</f>
        <v>0.64017842058782071</v>
      </c>
      <c r="V2169" s="111"/>
      <c r="W2169" s="28"/>
      <c r="X2169" s="96">
        <f ca="1">F_GAMMA*X$29</f>
        <v>0.63413873724904268</v>
      </c>
      <c r="Y2169" s="111"/>
      <c r="Z2169" s="28"/>
      <c r="AA2169" s="96">
        <f ca="1">F_GAMMA*AA$29</f>
        <v>0.62532411750377137</v>
      </c>
      <c r="AB2169" s="111"/>
      <c r="AC2169" s="28"/>
      <c r="AD2169" s="96">
        <f ca="1">F_GAMMA*AD$29</f>
        <v>0.60651359509139569</v>
      </c>
      <c r="AE2169" s="111"/>
      <c r="AF2169" s="28"/>
      <c r="AG2169" s="96">
        <f ca="1">F_GAMMA*AG$29</f>
        <v>0.57217930198481592</v>
      </c>
      <c r="AH2169" s="111"/>
      <c r="AI2169" s="28"/>
      <c r="AJ2169" s="96">
        <f ca="1">F_GAMMA*AJ$29</f>
        <v>0.53183282018848232</v>
      </c>
      <c r="AK2169" s="111"/>
      <c r="AL2169" s="28"/>
      <c r="AM2169" s="96">
        <f ca="1">F_GAMMA*AM$29</f>
        <v>0.47566512503094399</v>
      </c>
      <c r="AN2169" s="111"/>
      <c r="AO2169" s="28"/>
      <c r="AP2169" s="96">
        <f ca="1">F_GAMMA*AP$29</f>
        <v>0.59054158265645496</v>
      </c>
      <c r="AQ2169" s="111"/>
      <c r="AR2169" s="28"/>
      <c r="AS2169" s="96">
        <f ca="1">F_GAMMA*AS$29</f>
        <v>0.3766899554102966</v>
      </c>
      <c r="AT2169" s="111"/>
      <c r="AU2169" s="28"/>
    </row>
    <row r="2170" spans="15:47" x14ac:dyDescent="0.25">
      <c r="O2170" s="2" t="s">
        <v>145</v>
      </c>
      <c r="P2170" s="12"/>
      <c r="Q2170" s="2"/>
      <c r="R2170" s="96">
        <f ca="1">IF(R2165&lt;R2169,R2167,R2168)</f>
        <v>2.6108339642594447</v>
      </c>
      <c r="S2170" s="116"/>
      <c r="T2170" s="1"/>
      <c r="U2170" s="96">
        <f ca="1">IF(U2165&lt;U2169,U2167,U2168)</f>
        <v>21.665603974901131</v>
      </c>
      <c r="V2170" s="111"/>
      <c r="W2170" s="28"/>
      <c r="X2170" s="96">
        <f ca="1">IF(X2165&lt;X2169,X2167,X2168)</f>
        <v>55.863224134972164</v>
      </c>
      <c r="Y2170" s="111"/>
      <c r="Z2170" s="28"/>
      <c r="AA2170" s="96">
        <f ca="1">IF(AA2165&lt;AA2169,AA2167,AA2168)</f>
        <v>133.55820814454307</v>
      </c>
      <c r="AB2170" s="111"/>
      <c r="AC2170" s="28"/>
      <c r="AD2170" s="96" t="e">
        <f ca="1">IF(AD2165&lt;AD2169,AD2167,AD2168)</f>
        <v>#NUM!</v>
      </c>
      <c r="AE2170" s="111"/>
      <c r="AF2170" s="28"/>
      <c r="AG2170" s="96" t="e">
        <f ca="1">IF(AG2165&lt;AG2169,AG2167,AG2168)</f>
        <v>#NUM!</v>
      </c>
      <c r="AH2170" s="111"/>
      <c r="AI2170" s="28"/>
      <c r="AJ2170" s="96">
        <f ca="1">IF(AJ2165&lt;AJ2169,AJ2167,AJ2168)</f>
        <v>-921.22361353220606</v>
      </c>
      <c r="AK2170" s="111"/>
      <c r="AL2170" s="28"/>
      <c r="AM2170" s="96">
        <f ca="1">IF(AM2165&lt;AM2169,AM2167,AM2168)</f>
        <v>-457.5639825335021</v>
      </c>
      <c r="AN2170" s="111"/>
      <c r="AO2170" s="28"/>
      <c r="AP2170" s="96">
        <f ca="1">IF(AP2165&lt;AP2169,AP2167,AP2168)</f>
        <v>-323.96333471313034</v>
      </c>
      <c r="AQ2170" s="111"/>
      <c r="AR2170" s="28"/>
      <c r="AS2170" s="96">
        <f ca="1">IF(AS2165&lt;AS2169,AS2167,AS2168)</f>
        <v>-401.80839535797594</v>
      </c>
      <c r="AT2170" s="111"/>
      <c r="AU2170" s="28"/>
    </row>
    <row r="2171" spans="15:47" x14ac:dyDescent="0.25">
      <c r="O2171" s="13" t="s">
        <v>143</v>
      </c>
      <c r="P2171" s="1"/>
      <c r="Q2171" s="1"/>
      <c r="R2171" s="113"/>
      <c r="S2171" s="106">
        <f ca="1">IF(R2164&lt;=0,Q_max,ABS(R$23-R2170))</f>
        <v>2.1191660357405557</v>
      </c>
      <c r="T2171" s="7">
        <f>R2160</f>
        <v>6464.1700301283445</v>
      </c>
      <c r="U2171" s="98"/>
      <c r="V2171" s="106">
        <f ca="1">IF(U2164&lt;=0,Q_max,ABS(U$23-U2170))</f>
        <v>10.065603974901132</v>
      </c>
      <c r="W2171" s="9">
        <f ca="1">U2160</f>
        <v>53133.293797773964</v>
      </c>
      <c r="X2171" s="98"/>
      <c r="Y2171" s="106">
        <f ca="1">IF(X2164&lt;=0,Q_max,ABS(X$23-X2170))</f>
        <v>32.863224134972164</v>
      </c>
      <c r="Z2171" s="9">
        <f ca="1">X2160</f>
        <v>130103.91930492682</v>
      </c>
      <c r="AA2171" s="98"/>
      <c r="AB2171" s="106">
        <f ca="1">IF(AA2164&lt;=0,Q_max,ABS(AA$23-AA2170))</f>
        <v>94.158208144543067</v>
      </c>
      <c r="AC2171" s="9">
        <f ca="1">AA2160</f>
        <v>253409.22637733669</v>
      </c>
      <c r="AD2171" s="98"/>
      <c r="AE2171" s="106">
        <f ca="1">IF(AD2164&lt;=0,Q_max,ABS(AD$23-AD2170))</f>
        <v>236393</v>
      </c>
      <c r="AF2171" s="9">
        <f ca="1">AD2160</f>
        <v>425141.85168975306</v>
      </c>
      <c r="AG2171" s="98"/>
      <c r="AH2171" s="106">
        <f ca="1">IF(AG2164&lt;=0,Q_max,ABS(AG$23-AG2170))</f>
        <v>236393</v>
      </c>
      <c r="AI2171" s="9">
        <f ca="1">AG2160</f>
        <v>620506.11176494032</v>
      </c>
      <c r="AJ2171" s="98"/>
      <c r="AK2171" s="106">
        <f ca="1">IF(AJ2164&lt;=0,Q_max,ABS(AJ$23-AJ2170))</f>
        <v>236393</v>
      </c>
      <c r="AL2171" s="9">
        <f ca="1">AJ2160</f>
        <v>828067.81158397393</v>
      </c>
      <c r="AM2171" s="98"/>
      <c r="AN2171" s="106">
        <f ca="1">IF(AM2164&lt;=0,Q_max,ABS(AM$23-AM2170))</f>
        <v>236393</v>
      </c>
      <c r="AO2171" s="9">
        <f ca="1">AM2160</f>
        <v>1010400.0960962747</v>
      </c>
      <c r="AP2171" s="98"/>
      <c r="AQ2171" s="106">
        <f ca="1">IF(AP2164&lt;=0,Q_max,ABS(AP$23-AP2170))</f>
        <v>236393</v>
      </c>
      <c r="AR2171" s="9">
        <f ca="1">AP2160</f>
        <v>1173043.1440706383</v>
      </c>
      <c r="AS2171" s="98"/>
      <c r="AT2171" s="106">
        <f ca="1">IF(AS2164&lt;=0,Q_max,ABS(AS$23-AS2170))</f>
        <v>236393</v>
      </c>
      <c r="AU2171" s="9">
        <f ca="1">AS2160</f>
        <v>1375485.3403113843</v>
      </c>
    </row>
    <row r="2172" spans="15:47" x14ac:dyDescent="0.25">
      <c r="O2172" s="21"/>
      <c r="P2172" s="14"/>
      <c r="Q2172" s="21"/>
      <c r="R2172" s="97"/>
      <c r="S2172" s="106"/>
      <c r="T2172" s="28"/>
      <c r="U2172" s="97"/>
      <c r="V2172" s="111"/>
      <c r="W2172" s="28"/>
      <c r="X2172" s="97"/>
      <c r="Y2172" s="111"/>
      <c r="Z2172" s="28"/>
      <c r="AA2172" s="97"/>
      <c r="AB2172" s="111"/>
      <c r="AC2172" s="28"/>
      <c r="AD2172" s="97"/>
      <c r="AE2172" s="111"/>
      <c r="AF2172" s="28"/>
      <c r="AG2172" s="97"/>
      <c r="AH2172" s="111"/>
      <c r="AI2172" s="28"/>
      <c r="AJ2172" s="97"/>
      <c r="AK2172" s="111"/>
      <c r="AL2172" s="28"/>
      <c r="AM2172" s="97"/>
      <c r="AN2172" s="111"/>
      <c r="AO2172" s="28"/>
      <c r="AP2172" s="97"/>
      <c r="AQ2172" s="111"/>
      <c r="AR2172" s="28"/>
      <c r="AS2172" s="97"/>
      <c r="AT2172" s="111"/>
      <c r="AU2172" s="28"/>
    </row>
    <row r="2173" spans="15:47" x14ac:dyDescent="0.25">
      <c r="O2173" s="1"/>
      <c r="P2173" s="1"/>
      <c r="Q2173" s="1"/>
      <c r="R2173" s="98"/>
      <c r="S2173" s="108" t="s">
        <v>137</v>
      </c>
      <c r="T2173" s="26" t="s">
        <v>146</v>
      </c>
      <c r="U2173" s="98"/>
      <c r="V2173" s="108" t="s">
        <v>137</v>
      </c>
      <c r="W2173" s="26" t="s">
        <v>146</v>
      </c>
      <c r="X2173" s="98"/>
      <c r="Y2173" s="108" t="s">
        <v>137</v>
      </c>
      <c r="Z2173" s="26" t="s">
        <v>146</v>
      </c>
      <c r="AA2173" s="98"/>
      <c r="AB2173" s="108" t="s">
        <v>137</v>
      </c>
      <c r="AC2173" s="26" t="s">
        <v>146</v>
      </c>
      <c r="AD2173" s="98"/>
      <c r="AE2173" s="108" t="s">
        <v>137</v>
      </c>
      <c r="AF2173" s="26" t="s">
        <v>146</v>
      </c>
      <c r="AG2173" s="98"/>
      <c r="AH2173" s="108" t="s">
        <v>137</v>
      </c>
      <c r="AI2173" s="26" t="s">
        <v>146</v>
      </c>
      <c r="AJ2173" s="98"/>
      <c r="AK2173" s="108" t="s">
        <v>137</v>
      </c>
      <c r="AL2173" s="26" t="s">
        <v>146</v>
      </c>
      <c r="AM2173" s="98"/>
      <c r="AN2173" s="108" t="s">
        <v>137</v>
      </c>
      <c r="AO2173" s="26" t="s">
        <v>146</v>
      </c>
      <c r="AP2173" s="98"/>
      <c r="AQ2173" s="108" t="s">
        <v>137</v>
      </c>
      <c r="AR2173" s="26" t="s">
        <v>146</v>
      </c>
      <c r="AS2173" s="98"/>
      <c r="AT2173" s="108" t="s">
        <v>137</v>
      </c>
      <c r="AU2173" s="26" t="s">
        <v>146</v>
      </c>
    </row>
    <row r="2174" spans="15:47" ht="13.8" x14ac:dyDescent="0.25">
      <c r="O2174" s="20" t="s">
        <v>136</v>
      </c>
      <c r="P2174" s="1"/>
      <c r="Q2174" s="1"/>
      <c r="R2174" s="96">
        <f>R2160*1.02</f>
        <v>6593.4534307309114</v>
      </c>
      <c r="S2174" s="109" t="s">
        <v>144</v>
      </c>
      <c r="T2174" s="23" t="s">
        <v>147</v>
      </c>
      <c r="U2174" s="96">
        <f ca="1">U2160*1.01</f>
        <v>53664.626735751706</v>
      </c>
      <c r="V2174" s="109" t="s">
        <v>144</v>
      </c>
      <c r="W2174" s="23" t="s">
        <v>147</v>
      </c>
      <c r="X2174" s="96">
        <f ca="1">X2160*1.01</f>
        <v>131404.9584979761</v>
      </c>
      <c r="Y2174" s="109" t="s">
        <v>144</v>
      </c>
      <c r="Z2174" s="23" t="s">
        <v>147</v>
      </c>
      <c r="AA2174" s="96">
        <f ca="1">AA2160*1.01</f>
        <v>255943.31864111006</v>
      </c>
      <c r="AB2174" s="109" t="s">
        <v>144</v>
      </c>
      <c r="AC2174" s="23" t="s">
        <v>147</v>
      </c>
      <c r="AD2174" s="96">
        <f ca="1">AD2160*1.01</f>
        <v>429393.2702066506</v>
      </c>
      <c r="AE2174" s="109" t="s">
        <v>144</v>
      </c>
      <c r="AF2174" s="23" t="s">
        <v>147</v>
      </c>
      <c r="AG2174" s="96">
        <f ca="1">AG2160*1.01</f>
        <v>626711.17288258974</v>
      </c>
      <c r="AH2174" s="109" t="s">
        <v>144</v>
      </c>
      <c r="AI2174" s="23" t="s">
        <v>147</v>
      </c>
      <c r="AJ2174" s="96">
        <f ca="1">AJ2160*1.01</f>
        <v>836348.48969981365</v>
      </c>
      <c r="AK2174" s="109" t="s">
        <v>144</v>
      </c>
      <c r="AL2174" s="23" t="s">
        <v>147</v>
      </c>
      <c r="AM2174" s="96">
        <f ca="1">AM2160*1.01</f>
        <v>1020504.0970572374</v>
      </c>
      <c r="AN2174" s="109" t="s">
        <v>144</v>
      </c>
      <c r="AO2174" s="23" t="s">
        <v>147</v>
      </c>
      <c r="AP2174" s="96">
        <f ca="1">AP2160*1.01</f>
        <v>1184773.5755113447</v>
      </c>
      <c r="AQ2174" s="109" t="s">
        <v>144</v>
      </c>
      <c r="AR2174" s="23" t="s">
        <v>147</v>
      </c>
      <c r="AS2174" s="96">
        <f ca="1">AS2160*1.01</f>
        <v>1389240.1937144981</v>
      </c>
      <c r="AT2174" s="109" t="s">
        <v>144</v>
      </c>
      <c r="AU2174" s="23" t="s">
        <v>147</v>
      </c>
    </row>
    <row r="2175" spans="15:47" x14ac:dyDescent="0.25">
      <c r="O2175" s="1"/>
      <c r="P2175" s="1"/>
      <c r="Q2175" s="1"/>
      <c r="R2175" s="98"/>
      <c r="S2175" s="107"/>
      <c r="T2175" s="1"/>
      <c r="U2175" s="47"/>
      <c r="V2175" s="107"/>
      <c r="W2175" s="1"/>
      <c r="X2175" s="47"/>
      <c r="Y2175" s="107"/>
      <c r="Z2175" s="1"/>
      <c r="AA2175" s="47"/>
      <c r="AB2175" s="107"/>
      <c r="AC2175" s="1"/>
      <c r="AD2175" s="47"/>
      <c r="AE2175" s="107"/>
      <c r="AF2175" s="1"/>
      <c r="AG2175" s="47"/>
      <c r="AH2175" s="107"/>
      <c r="AI2175" s="1"/>
      <c r="AJ2175" s="47"/>
      <c r="AK2175" s="107"/>
      <c r="AL2175" s="1"/>
      <c r="AM2175" s="47"/>
      <c r="AN2175" s="107"/>
      <c r="AO2175" s="1"/>
      <c r="AP2175" s="47"/>
      <c r="AQ2175" s="107"/>
      <c r="AR2175" s="1"/>
      <c r="AS2175" s="47"/>
      <c r="AT2175" s="107"/>
      <c r="AU2175" s="1"/>
    </row>
    <row r="2176" spans="15:47" x14ac:dyDescent="0.25">
      <c r="O2176" s="8" t="s">
        <v>132</v>
      </c>
      <c r="P2176" s="8"/>
      <c r="Q2176" s="8"/>
      <c r="R2176" s="96">
        <f>P_1_minQ-(R2174^2*R_up)+dpup_minQ</f>
        <v>90.177116987176944</v>
      </c>
      <c r="S2176" s="106"/>
      <c r="T2176" s="22"/>
      <c r="U2176" s="96">
        <f ca="1">P_1_minQ-(U2174^2*R_up)+dpup_minQ</f>
        <v>89.660148760523242</v>
      </c>
      <c r="V2176" s="107"/>
      <c r="W2176" s="1"/>
      <c r="X2176" s="96">
        <f ca="1">P_1_minQ-(X2174^2*R_up)+dpup_minQ</f>
        <v>87.037893420446352</v>
      </c>
      <c r="Y2176" s="107"/>
      <c r="Z2176" s="1"/>
      <c r="AA2176" s="96">
        <f ca="1">P_1_minQ-(AA2174^2*R_up)+dpup_minQ</f>
        <v>78.245678235830468</v>
      </c>
      <c r="AB2176" s="107"/>
      <c r="AC2176" s="1"/>
      <c r="AD2176" s="96">
        <f ca="1">P_1_minQ-(AD2174^2*R_up)+dpup_minQ</f>
        <v>56.580032442587701</v>
      </c>
      <c r="AE2176" s="107"/>
      <c r="AF2176" s="1"/>
      <c r="AG2176" s="96">
        <f ca="1">P_1_minQ-(AG2174^2*R_up)+dpup_minQ</f>
        <v>18.598988500848677</v>
      </c>
      <c r="AH2176" s="107"/>
      <c r="AI2176" s="1"/>
      <c r="AJ2176" s="96">
        <f ca="1">P_1_minQ-(AJ2174^2*R_up)+dpup_minQ</f>
        <v>-37.302602235219112</v>
      </c>
      <c r="AK2176" s="107"/>
      <c r="AL2176" s="1"/>
      <c r="AM2176" s="96">
        <f ca="1">P_1_minQ-(AM2174^2*R_up)+dpup_minQ</f>
        <v>-99.626687263910412</v>
      </c>
      <c r="AN2176" s="107"/>
      <c r="AO2176" s="1"/>
      <c r="AP2176" s="96">
        <f ca="1">P_1_minQ-(AP2174^2*R_up)+dpup_minQ</f>
        <v>-165.65249089457586</v>
      </c>
      <c r="AQ2176" s="107"/>
      <c r="AR2176" s="1"/>
      <c r="AS2176" s="96">
        <f ca="1">P_1_minQ-(AS2174^2*R_up)+dpup_minQ</f>
        <v>-261.57638852072319</v>
      </c>
      <c r="AT2176" s="107"/>
      <c r="AU2176" s="1"/>
    </row>
    <row r="2177" spans="15:47" x14ac:dyDescent="0.25">
      <c r="O2177" s="8" t="s">
        <v>134</v>
      </c>
      <c r="P2177" s="1"/>
      <c r="Q2177" s="8"/>
      <c r="R2177" s="97">
        <f>P_2_minQ+(R2174^2*R_dn)-dpdn_minQ</f>
        <v>60</v>
      </c>
      <c r="S2177" s="106"/>
      <c r="T2177" s="22"/>
      <c r="U2177" s="97">
        <f ca="1">P_2_minQ+(U2174^2*R_dn)-dpdn_minQ</f>
        <v>60</v>
      </c>
      <c r="V2177" s="107"/>
      <c r="W2177" s="1"/>
      <c r="X2177" s="97">
        <f ca="1">P_2_minQ+(X2174^2*R_dn)-dpdn_minQ</f>
        <v>60</v>
      </c>
      <c r="Y2177" s="107"/>
      <c r="Z2177" s="1"/>
      <c r="AA2177" s="97">
        <f ca="1">P_2_minQ+(AA2174^2*R_dn)-dpdn_minQ</f>
        <v>60</v>
      </c>
      <c r="AB2177" s="107"/>
      <c r="AC2177" s="1"/>
      <c r="AD2177" s="97">
        <f ca="1">P_2_minQ+(AD2174^2*R_dn)-dpdn_minQ</f>
        <v>60</v>
      </c>
      <c r="AE2177" s="107"/>
      <c r="AF2177" s="1"/>
      <c r="AG2177" s="97">
        <f ca="1">P_2_minQ+(AG2174^2*R_dn)-dpdn_minQ</f>
        <v>60</v>
      </c>
      <c r="AH2177" s="107"/>
      <c r="AI2177" s="1"/>
      <c r="AJ2177" s="97">
        <f ca="1">P_2_minQ+(AJ2174^2*R_dn)-dpdn_minQ</f>
        <v>60</v>
      </c>
      <c r="AK2177" s="107"/>
      <c r="AL2177" s="1"/>
      <c r="AM2177" s="97">
        <f ca="1">P_2_minQ+(AM2174^2*R_dn)-dpdn_minQ</f>
        <v>60</v>
      </c>
      <c r="AN2177" s="107"/>
      <c r="AO2177" s="1"/>
      <c r="AP2177" s="97">
        <f ca="1">P_2_minQ+(AP2174^2*R_dn)-dpdn_minQ</f>
        <v>60</v>
      </c>
      <c r="AQ2177" s="107"/>
      <c r="AR2177" s="1"/>
      <c r="AS2177" s="97">
        <f ca="1">P_2_minQ+(AS2174^2*R_dn)-dpdn_minQ</f>
        <v>60</v>
      </c>
      <c r="AT2177" s="107"/>
      <c r="AU2177" s="1"/>
    </row>
    <row r="2178" spans="15:47" x14ac:dyDescent="0.25">
      <c r="O2178" s="8" t="s">
        <v>138</v>
      </c>
      <c r="P2178" s="1"/>
      <c r="Q2178" s="8"/>
      <c r="R2178" s="97">
        <f>R2176-R2177</f>
        <v>30.177116987176944</v>
      </c>
      <c r="S2178" s="106"/>
      <c r="T2178" s="22"/>
      <c r="U2178" s="97">
        <f ca="1">U2176-U2177</f>
        <v>29.660148760523242</v>
      </c>
      <c r="V2178" s="110"/>
      <c r="W2178" s="25"/>
      <c r="X2178" s="97">
        <f ca="1">X2176-X2177</f>
        <v>27.037893420446352</v>
      </c>
      <c r="Y2178" s="110"/>
      <c r="Z2178" s="25"/>
      <c r="AA2178" s="97">
        <f ca="1">AA2176-AA2177</f>
        <v>18.245678235830468</v>
      </c>
      <c r="AB2178" s="110"/>
      <c r="AC2178" s="25"/>
      <c r="AD2178" s="97">
        <f ca="1">AD2176-AD2177</f>
        <v>-3.4199675574122992</v>
      </c>
      <c r="AE2178" s="110"/>
      <c r="AF2178" s="25"/>
      <c r="AG2178" s="97">
        <f ca="1">AG2176-AG2177</f>
        <v>-41.401011499151323</v>
      </c>
      <c r="AH2178" s="110"/>
      <c r="AI2178" s="25"/>
      <c r="AJ2178" s="97">
        <f ca="1">AJ2176-AJ2177</f>
        <v>-97.302602235219112</v>
      </c>
      <c r="AK2178" s="110"/>
      <c r="AL2178" s="25"/>
      <c r="AM2178" s="97">
        <f ca="1">AM2176-AM2177</f>
        <v>-159.62668726391041</v>
      </c>
      <c r="AN2178" s="110"/>
      <c r="AO2178" s="25"/>
      <c r="AP2178" s="97">
        <f ca="1">AP2176-AP2177</f>
        <v>-225.65249089457586</v>
      </c>
      <c r="AQ2178" s="110"/>
      <c r="AR2178" s="25"/>
      <c r="AS2178" s="97">
        <f ca="1">AS2176-AS2177</f>
        <v>-321.57638852072319</v>
      </c>
      <c r="AT2178" s="110"/>
      <c r="AU2178" s="25"/>
    </row>
    <row r="2179" spans="15:47" ht="14.4" x14ac:dyDescent="0.3">
      <c r="O2179" s="2" t="s">
        <v>140</v>
      </c>
      <c r="P2179" s="11"/>
      <c r="Q2179" s="2"/>
      <c r="R2179" s="96">
        <f>R2178/R2176</f>
        <v>0.33464273415913359</v>
      </c>
      <c r="S2179" s="106"/>
      <c r="T2179" s="22"/>
      <c r="U2179" s="96">
        <f ca="1">U2178/U2176</f>
        <v>0.33080637463298973</v>
      </c>
      <c r="V2179" s="111"/>
      <c r="W2179" s="28"/>
      <c r="X2179" s="96">
        <f ca="1">X2178/X2176</f>
        <v>0.31064508064133356</v>
      </c>
      <c r="Y2179" s="111"/>
      <c r="Z2179" s="28"/>
      <c r="AA2179" s="96">
        <f ca="1">AA2178/AA2176</f>
        <v>0.23318448567649272</v>
      </c>
      <c r="AB2179" s="111"/>
      <c r="AC2179" s="28"/>
      <c r="AD2179" s="96">
        <f ca="1">AD2178/AD2176</f>
        <v>-6.0444779010732683E-2</v>
      </c>
      <c r="AE2179" s="111"/>
      <c r="AF2179" s="28"/>
      <c r="AG2179" s="96">
        <f ca="1">AG2178/AG2176</f>
        <v>-2.2259818859107412</v>
      </c>
      <c r="AH2179" s="111"/>
      <c r="AI2179" s="28"/>
      <c r="AJ2179" s="96">
        <f ca="1">AJ2178/AJ2176</f>
        <v>2.6084668737493928</v>
      </c>
      <c r="AK2179" s="111"/>
      <c r="AL2179" s="28"/>
      <c r="AM2179" s="96">
        <f ca="1">AM2178/AM2176</f>
        <v>1.6022482694928961</v>
      </c>
      <c r="AN2179" s="111"/>
      <c r="AO2179" s="28"/>
      <c r="AP2179" s="96">
        <f ca="1">AP2178/AP2176</f>
        <v>1.3622040313187023</v>
      </c>
      <c r="AQ2179" s="111"/>
      <c r="AR2179" s="28"/>
      <c r="AS2179" s="96">
        <f ca="1">AS2178/AS2176</f>
        <v>1.2293785013980594</v>
      </c>
      <c r="AT2179" s="111"/>
      <c r="AU2179" s="28"/>
    </row>
    <row r="2180" spans="15:47" x14ac:dyDescent="0.25">
      <c r="O2180" s="2" t="s">
        <v>21</v>
      </c>
      <c r="P2180" s="8">
        <v>12</v>
      </c>
      <c r="Q2180" s="2"/>
      <c r="R2180" s="96">
        <f ca="1">1-R2179/(3*F_GAMMA*R$29)</f>
        <v>0.82571499652849845</v>
      </c>
      <c r="S2180" s="106"/>
      <c r="T2180" s="22"/>
      <c r="U2180" s="96">
        <f ca="1">1-U2179/(3*F_GAMMA*U$29)</f>
        <v>0.82775303259507005</v>
      </c>
      <c r="V2180" s="111"/>
      <c r="W2180" s="28"/>
      <c r="X2180" s="96">
        <f ca="1">1-X2179/(3*F_GAMMA*X$29)</f>
        <v>0.83671024315123688</v>
      </c>
      <c r="Y2180" s="111"/>
      <c r="Z2180" s="28"/>
      <c r="AA2180" s="96">
        <f ca="1">1-AA2179/(3*F_GAMMA*AA$29)</f>
        <v>0.87569940177192118</v>
      </c>
      <c r="AB2180" s="111"/>
      <c r="AC2180" s="28"/>
      <c r="AD2180" s="96">
        <f ca="1">1-AD2179/(3*F_GAMMA*AD$29)</f>
        <v>1.0332197989184531</v>
      </c>
      <c r="AE2180" s="111"/>
      <c r="AF2180" s="28"/>
      <c r="AG2180" s="96">
        <f ca="1">1-AG2179/(3*F_GAMMA*AG$29)</f>
        <v>2.2967857442524853</v>
      </c>
      <c r="AH2180" s="111"/>
      <c r="AI2180" s="28"/>
      <c r="AJ2180" s="96">
        <f ca="1">1-AJ2179/(3*F_GAMMA*AJ$29)</f>
        <v>-0.6348915014464811</v>
      </c>
      <c r="AK2180" s="111"/>
      <c r="AL2180" s="28"/>
      <c r="AM2180" s="96">
        <f ca="1">1-AM2179/(3*F_GAMMA*AM$29)</f>
        <v>-0.1228125174467809</v>
      </c>
      <c r="AN2180" s="111"/>
      <c r="AO2180" s="28"/>
      <c r="AP2180" s="96">
        <f ca="1">1-AP2179/(3*F_GAMMA*AP$29)</f>
        <v>0.23109900509119685</v>
      </c>
      <c r="AQ2180" s="111"/>
      <c r="AR2180" s="28"/>
      <c r="AS2180" s="96">
        <f ca="1">1-AS2179/(3*F_GAMMA*AS$29)</f>
        <v>-8.7878314549163727E-2</v>
      </c>
      <c r="AT2180" s="111"/>
      <c r="AU2180" s="28"/>
    </row>
    <row r="2181" spans="15:47" x14ac:dyDescent="0.25">
      <c r="O2181" s="2" t="s">
        <v>57</v>
      </c>
      <c r="P2181" s="143">
        <v>7</v>
      </c>
      <c r="Q2181" s="2"/>
      <c r="R2181" s="96">
        <f ca="1">(R2174/(N_9*R$27*R2176*R2180))*SQRT(M*'Valve Sizing'!$W$6*'Valve Sizing'!$G$8/R2179)</f>
        <v>2.6630649494624064</v>
      </c>
      <c r="S2181" s="107"/>
      <c r="T2181" s="22"/>
      <c r="U2181" s="96">
        <f ca="1">(U2174/(N_9*U$27*U2176*U2180))*SQRT(M*'Valve Sizing'!$W$6*'Valve Sizing'!$G$8/U2179)</f>
        <v>21.886274433225587</v>
      </c>
      <c r="V2181" s="111"/>
      <c r="W2181" s="28"/>
      <c r="X2181" s="96">
        <f ca="1">(X2174/(N_9*X$27*X2176*X2180))*SQRT(M*'Valve Sizing'!$W$6*'Valve Sizing'!$G$8/X2179)</f>
        <v>56.489216921245898</v>
      </c>
      <c r="Y2181" s="111"/>
      <c r="Z2181" s="28"/>
      <c r="AA2181" s="96">
        <f ca="1">(AA2174/(N_9*AA$27*AA2176*AA2180))*SQRT(M*'Valve Sizing'!$W$6*'Valve Sizing'!$G$8/AA2179)</f>
        <v>135.77433220185037</v>
      </c>
      <c r="AB2181" s="111"/>
      <c r="AC2181" s="28"/>
      <c r="AD2181" s="96" t="e">
        <f ca="1">(AD2174/(N_9*AD$27*AD2176*AD2180))*SQRT(M*'Valve Sizing'!$W$6*'Valve Sizing'!$G$8/AD2179)</f>
        <v>#NUM!</v>
      </c>
      <c r="AE2181" s="111"/>
      <c r="AF2181" s="28"/>
      <c r="AG2181" s="96" t="e">
        <f ca="1">(AG2174/(N_9*AG$27*AG2176*AG2180))*SQRT(M*'Valve Sizing'!$W$6*'Valve Sizing'!$G$8/AG2179)</f>
        <v>#NUM!</v>
      </c>
      <c r="AH2181" s="111"/>
      <c r="AI2181" s="28"/>
      <c r="AJ2181" s="96">
        <f ca="1">(AJ2174/(N_9*AJ$27*AJ2176*AJ2180))*SQRT(M*'Valve Sizing'!$W$6*'Valve Sizing'!$G$8/AJ2179)</f>
        <v>411.65211383136671</v>
      </c>
      <c r="AK2181" s="111"/>
      <c r="AL2181" s="28"/>
      <c r="AM2181" s="96">
        <f ca="1">(AM2174/(N_9*AM$27*AM2176*AM2180))*SQRT(M*'Valve Sizing'!$W$6*'Valve Sizing'!$G$8/AM2179)</f>
        <v>1316.2082083922601</v>
      </c>
      <c r="AN2181" s="111"/>
      <c r="AO2181" s="28"/>
      <c r="AP2181" s="96">
        <f ca="1">(AP2174/(N_9*AP$27*AP2176*AP2180))*SQRT(M*'Valve Sizing'!$W$6*'Valve Sizing'!$G$8/AP2179)</f>
        <v>-602.87568640594577</v>
      </c>
      <c r="AQ2181" s="111"/>
      <c r="AR2181" s="28"/>
      <c r="AS2181" s="96">
        <f ca="1">(AS2174/(N_9*AS$27*AS2176*AS2180))*SQRT(M*'Valve Sizing'!$W$6*'Valve Sizing'!$G$8/AS2179)</f>
        <v>1659.8576007145305</v>
      </c>
      <c r="AT2181" s="111"/>
      <c r="AU2181" s="28"/>
    </row>
    <row r="2182" spans="15:47" x14ac:dyDescent="0.25">
      <c r="O2182" s="2" t="s">
        <v>59</v>
      </c>
      <c r="P2182" s="143">
        <v>7</v>
      </c>
      <c r="Q2182" s="2"/>
      <c r="R2182" s="96">
        <f ca="1">(R2174/(N_9*R$27*R2176*0.667))*SQRT(M*'Valve Sizing'!$W$6*'Valve Sizing'!$G$8/R2183)</f>
        <v>2.383837975543956</v>
      </c>
      <c r="S2182" s="107"/>
      <c r="T2182" s="22"/>
      <c r="U2182" s="96">
        <f ca="1">(U2174/(N_9*U$27*U2176*0.667))*SQRT(M*'Valve Sizing'!$W$6*'Valve Sizing'!$G$8/U2183)</f>
        <v>19.524647721313436</v>
      </c>
      <c r="V2182" s="111"/>
      <c r="W2182" s="28"/>
      <c r="X2182" s="96">
        <f ca="1">(X2174/(N_9*X$27*X2176*0.667))*SQRT(M*'Valve Sizing'!$W$6*'Valve Sizing'!$G$8/X2183)</f>
        <v>49.596942539474924</v>
      </c>
      <c r="Y2182" s="111"/>
      <c r="Z2182" s="28"/>
      <c r="AA2182" s="96">
        <f ca="1">(AA2174/(N_9*AA$27*AA2176*0.667))*SQRT(M*'Valve Sizing'!$W$6*'Valve Sizing'!$G$8/AA2183)</f>
        <v>108.85393453750602</v>
      </c>
      <c r="AB2182" s="111"/>
      <c r="AC2182" s="28"/>
      <c r="AD2182" s="96">
        <f ca="1">(AD2174/(N_9*AD$27*AD2176*0.667))*SQRT(M*'Valve Sizing'!$W$6*'Valve Sizing'!$G$8/AD2183)</f>
        <v>259.61630441343004</v>
      </c>
      <c r="AE2182" s="111"/>
      <c r="AF2182" s="28"/>
      <c r="AG2182" s="96">
        <f ca="1">(AG2174/(N_9*AG$27*AG2176*0.667))*SQRT(M*'Valve Sizing'!$W$6*'Valve Sizing'!$G$8/AG2183)</f>
        <v>1213.4937540467793</v>
      </c>
      <c r="AH2182" s="111"/>
      <c r="AI2182" s="28"/>
      <c r="AJ2182" s="96">
        <f ca="1">(AJ2174/(N_9*AJ$27*AJ2176*0.667))*SQRT(M*'Valve Sizing'!$W$6*'Valve Sizing'!$G$8/AJ2183)</f>
        <v>-867.77897808097998</v>
      </c>
      <c r="AK2182" s="111"/>
      <c r="AL2182" s="28"/>
      <c r="AM2182" s="96">
        <f ca="1">(AM2174/(N_9*AM$27*AM2176*0.667))*SQRT(M*'Valve Sizing'!$W$6*'Valve Sizing'!$G$8/AM2183)</f>
        <v>-444.79064549752985</v>
      </c>
      <c r="AN2182" s="111"/>
      <c r="AO2182" s="28"/>
      <c r="AP2182" s="96">
        <f ca="1">(AP2174/(N_9*AP$27*AP2176*0.667))*SQRT(M*'Valve Sizing'!$W$6*'Valve Sizing'!$G$8/AP2183)</f>
        <v>-317.2457772508784</v>
      </c>
      <c r="AQ2182" s="111"/>
      <c r="AR2182" s="28"/>
      <c r="AS2182" s="96">
        <f ca="1">(AS2174/(N_9*AS$27*AS2176*0.667))*SQRT(M*'Valve Sizing'!$W$6*'Valve Sizing'!$G$8/AS2183)</f>
        <v>-395.07313955191546</v>
      </c>
      <c r="AT2182" s="111"/>
      <c r="AU2182" s="28"/>
    </row>
    <row r="2183" spans="15:47" ht="15.6" x14ac:dyDescent="0.35">
      <c r="O2183" s="2" t="s">
        <v>68</v>
      </c>
      <c r="P2183" s="143">
        <v>10</v>
      </c>
      <c r="Q2183" s="2"/>
      <c r="R2183" s="96">
        <f ca="1">F_GAMMA*R$29</f>
        <v>0.64002969751372984</v>
      </c>
      <c r="S2183" s="107"/>
      <c r="T2183" s="1"/>
      <c r="U2183" s="96">
        <f ca="1">F_GAMMA*U$29</f>
        <v>0.64017842058782071</v>
      </c>
      <c r="V2183" s="111"/>
      <c r="W2183" s="28"/>
      <c r="X2183" s="96">
        <f ca="1">F_GAMMA*X$29</f>
        <v>0.63413873724904268</v>
      </c>
      <c r="Y2183" s="111"/>
      <c r="Z2183" s="28"/>
      <c r="AA2183" s="96">
        <f ca="1">F_GAMMA*AA$29</f>
        <v>0.62532411750377137</v>
      </c>
      <c r="AB2183" s="111"/>
      <c r="AC2183" s="28"/>
      <c r="AD2183" s="96">
        <f ca="1">F_GAMMA*AD$29</f>
        <v>0.60651359509139569</v>
      </c>
      <c r="AE2183" s="111"/>
      <c r="AF2183" s="28"/>
      <c r="AG2183" s="96">
        <f ca="1">F_GAMMA*AG$29</f>
        <v>0.57217930198481592</v>
      </c>
      <c r="AH2183" s="111"/>
      <c r="AI2183" s="28"/>
      <c r="AJ2183" s="96">
        <f ca="1">F_GAMMA*AJ$29</f>
        <v>0.53183282018848232</v>
      </c>
      <c r="AK2183" s="111"/>
      <c r="AL2183" s="28"/>
      <c r="AM2183" s="96">
        <f ca="1">F_GAMMA*AM$29</f>
        <v>0.47566512503094399</v>
      </c>
      <c r="AN2183" s="111"/>
      <c r="AO2183" s="28"/>
      <c r="AP2183" s="96">
        <f ca="1">F_GAMMA*AP$29</f>
        <v>0.59054158265645496</v>
      </c>
      <c r="AQ2183" s="111"/>
      <c r="AR2183" s="28"/>
      <c r="AS2183" s="96">
        <f ca="1">F_GAMMA*AS$29</f>
        <v>0.3766899554102966</v>
      </c>
      <c r="AT2183" s="111"/>
      <c r="AU2183" s="28"/>
    </row>
    <row r="2184" spans="15:47" x14ac:dyDescent="0.25">
      <c r="O2184" s="2" t="s">
        <v>145</v>
      </c>
      <c r="P2184" s="12"/>
      <c r="Q2184" s="2"/>
      <c r="R2184" s="96">
        <f ca="1">IF(R2179&lt;R2183,R2181,R2182)</f>
        <v>2.6630649494624064</v>
      </c>
      <c r="S2184" s="116"/>
      <c r="T2184" s="1"/>
      <c r="U2184" s="96">
        <f ca="1">IF(U2179&lt;U2183,U2181,U2182)</f>
        <v>21.886274433225587</v>
      </c>
      <c r="V2184" s="111"/>
      <c r="W2184" s="28"/>
      <c r="X2184" s="96">
        <f ca="1">IF(X2179&lt;X2183,X2181,X2182)</f>
        <v>56.489216921245898</v>
      </c>
      <c r="Y2184" s="111"/>
      <c r="Z2184" s="28"/>
      <c r="AA2184" s="96">
        <f ca="1">IF(AA2179&lt;AA2183,AA2181,AA2182)</f>
        <v>135.77433220185037</v>
      </c>
      <c r="AB2184" s="111"/>
      <c r="AC2184" s="28"/>
      <c r="AD2184" s="96" t="e">
        <f ca="1">IF(AD2179&lt;AD2183,AD2181,AD2182)</f>
        <v>#NUM!</v>
      </c>
      <c r="AE2184" s="111"/>
      <c r="AF2184" s="28"/>
      <c r="AG2184" s="96" t="e">
        <f ca="1">IF(AG2179&lt;AG2183,AG2181,AG2182)</f>
        <v>#NUM!</v>
      </c>
      <c r="AH2184" s="111"/>
      <c r="AI2184" s="28"/>
      <c r="AJ2184" s="96">
        <f ca="1">IF(AJ2179&lt;AJ2183,AJ2181,AJ2182)</f>
        <v>-867.77897808097998</v>
      </c>
      <c r="AK2184" s="111"/>
      <c r="AL2184" s="28"/>
      <c r="AM2184" s="96">
        <f ca="1">IF(AM2179&lt;AM2183,AM2181,AM2182)</f>
        <v>-444.79064549752985</v>
      </c>
      <c r="AN2184" s="111"/>
      <c r="AO2184" s="28"/>
      <c r="AP2184" s="96">
        <f ca="1">IF(AP2179&lt;AP2183,AP2181,AP2182)</f>
        <v>-317.2457772508784</v>
      </c>
      <c r="AQ2184" s="111"/>
      <c r="AR2184" s="28"/>
      <c r="AS2184" s="96">
        <f ca="1">IF(AS2179&lt;AS2183,AS2181,AS2182)</f>
        <v>-395.07313955191546</v>
      </c>
      <c r="AT2184" s="111"/>
      <c r="AU2184" s="28"/>
    </row>
    <row r="2185" spans="15:47" x14ac:dyDescent="0.25">
      <c r="O2185" s="13" t="s">
        <v>143</v>
      </c>
      <c r="P2185" s="1"/>
      <c r="Q2185" s="1"/>
      <c r="R2185" s="113"/>
      <c r="S2185" s="106">
        <f ca="1">IF(R2178&lt;=0,Q_max,ABS(R$23-R2184))</f>
        <v>2.0669350505375941</v>
      </c>
      <c r="T2185" s="7">
        <f>R2174</f>
        <v>6593.4534307309114</v>
      </c>
      <c r="U2185" s="98"/>
      <c r="V2185" s="106">
        <f ca="1">IF(U2178&lt;=0,Q_max,ABS(U$23-U2184))</f>
        <v>10.286274433225588</v>
      </c>
      <c r="W2185" s="9">
        <f ca="1">U2174</f>
        <v>53664.626735751706</v>
      </c>
      <c r="X2185" s="98"/>
      <c r="Y2185" s="106">
        <f ca="1">IF(X2178&lt;=0,Q_max,ABS(X$23-X2184))</f>
        <v>33.489216921245898</v>
      </c>
      <c r="Z2185" s="9">
        <f ca="1">X2174</f>
        <v>131404.9584979761</v>
      </c>
      <c r="AA2185" s="98"/>
      <c r="AB2185" s="106">
        <f ca="1">IF(AA2178&lt;=0,Q_max,ABS(AA$23-AA2184))</f>
        <v>96.374332201850365</v>
      </c>
      <c r="AC2185" s="9">
        <f ca="1">AA2174</f>
        <v>255943.31864111006</v>
      </c>
      <c r="AD2185" s="98"/>
      <c r="AE2185" s="106">
        <f ca="1">IF(AD2178&lt;=0,Q_max,ABS(AD$23-AD2184))</f>
        <v>236393</v>
      </c>
      <c r="AF2185" s="9">
        <f ca="1">AD2174</f>
        <v>429393.2702066506</v>
      </c>
      <c r="AG2185" s="98"/>
      <c r="AH2185" s="106">
        <f ca="1">IF(AG2178&lt;=0,Q_max,ABS(AG$23-AG2184))</f>
        <v>236393</v>
      </c>
      <c r="AI2185" s="9">
        <f ca="1">AG2174</f>
        <v>626711.17288258974</v>
      </c>
      <c r="AJ2185" s="98"/>
      <c r="AK2185" s="106">
        <f ca="1">IF(AJ2178&lt;=0,Q_max,ABS(AJ$23-AJ2184))</f>
        <v>236393</v>
      </c>
      <c r="AL2185" s="9">
        <f ca="1">AJ2174</f>
        <v>836348.48969981365</v>
      </c>
      <c r="AM2185" s="98"/>
      <c r="AN2185" s="106">
        <f ca="1">IF(AM2178&lt;=0,Q_max,ABS(AM$23-AM2184))</f>
        <v>236393</v>
      </c>
      <c r="AO2185" s="9">
        <f ca="1">AM2174</f>
        <v>1020504.0970572374</v>
      </c>
      <c r="AP2185" s="98"/>
      <c r="AQ2185" s="106">
        <f ca="1">IF(AP2178&lt;=0,Q_max,ABS(AP$23-AP2184))</f>
        <v>236393</v>
      </c>
      <c r="AR2185" s="9">
        <f ca="1">AP2174</f>
        <v>1184773.5755113447</v>
      </c>
      <c r="AS2185" s="98"/>
      <c r="AT2185" s="106">
        <f ca="1">IF(AS2178&lt;=0,Q_max,ABS(AS$23-AS2184))</f>
        <v>236393</v>
      </c>
      <c r="AU2185" s="9">
        <f ca="1">AS2174</f>
        <v>1389240.1937144981</v>
      </c>
    </row>
    <row r="2186" spans="15:47" x14ac:dyDescent="0.25">
      <c r="O2186" s="21"/>
      <c r="P2186" s="14"/>
      <c r="Q2186" s="21"/>
      <c r="R2186" s="97"/>
      <c r="S2186" s="106"/>
      <c r="T2186" s="28"/>
      <c r="U2186" s="97"/>
      <c r="V2186" s="111"/>
      <c r="W2186" s="28"/>
      <c r="X2186" s="97"/>
      <c r="Y2186" s="111"/>
      <c r="Z2186" s="28"/>
      <c r="AA2186" s="97"/>
      <c r="AB2186" s="111"/>
      <c r="AC2186" s="28"/>
      <c r="AD2186" s="97"/>
      <c r="AE2186" s="111"/>
      <c r="AF2186" s="28"/>
      <c r="AG2186" s="97"/>
      <c r="AH2186" s="111"/>
      <c r="AI2186" s="28"/>
      <c r="AJ2186" s="97"/>
      <c r="AK2186" s="111"/>
      <c r="AL2186" s="28"/>
      <c r="AM2186" s="97"/>
      <c r="AN2186" s="111"/>
      <c r="AO2186" s="28"/>
      <c r="AP2186" s="97"/>
      <c r="AQ2186" s="111"/>
      <c r="AR2186" s="28"/>
      <c r="AS2186" s="97"/>
      <c r="AT2186" s="111"/>
      <c r="AU2186" s="28"/>
    </row>
    <row r="2187" spans="15:47" x14ac:dyDescent="0.25">
      <c r="O2187" s="1"/>
      <c r="P2187" s="1"/>
      <c r="Q2187" s="1"/>
      <c r="R2187" s="98"/>
      <c r="S2187" s="108" t="s">
        <v>137</v>
      </c>
      <c r="T2187" s="26" t="s">
        <v>146</v>
      </c>
      <c r="U2187" s="98"/>
      <c r="V2187" s="108" t="s">
        <v>137</v>
      </c>
      <c r="W2187" s="26" t="s">
        <v>146</v>
      </c>
      <c r="X2187" s="98"/>
      <c r="Y2187" s="108" t="s">
        <v>137</v>
      </c>
      <c r="Z2187" s="26" t="s">
        <v>146</v>
      </c>
      <c r="AA2187" s="98"/>
      <c r="AB2187" s="108" t="s">
        <v>137</v>
      </c>
      <c r="AC2187" s="26" t="s">
        <v>146</v>
      </c>
      <c r="AD2187" s="98"/>
      <c r="AE2187" s="108" t="s">
        <v>137</v>
      </c>
      <c r="AF2187" s="26" t="s">
        <v>146</v>
      </c>
      <c r="AG2187" s="98"/>
      <c r="AH2187" s="108" t="s">
        <v>137</v>
      </c>
      <c r="AI2187" s="26" t="s">
        <v>146</v>
      </c>
      <c r="AJ2187" s="98"/>
      <c r="AK2187" s="108" t="s">
        <v>137</v>
      </c>
      <c r="AL2187" s="26" t="s">
        <v>146</v>
      </c>
      <c r="AM2187" s="98"/>
      <c r="AN2187" s="108" t="s">
        <v>137</v>
      </c>
      <c r="AO2187" s="26" t="s">
        <v>146</v>
      </c>
      <c r="AP2187" s="98"/>
      <c r="AQ2187" s="108" t="s">
        <v>137</v>
      </c>
      <c r="AR2187" s="26" t="s">
        <v>146</v>
      </c>
      <c r="AS2187" s="98"/>
      <c r="AT2187" s="108" t="s">
        <v>137</v>
      </c>
      <c r="AU2187" s="26" t="s">
        <v>146</v>
      </c>
    </row>
    <row r="2188" spans="15:47" ht="13.8" x14ac:dyDescent="0.25">
      <c r="O2188" s="20" t="s">
        <v>136</v>
      </c>
      <c r="P2188" s="1"/>
      <c r="Q2188" s="1"/>
      <c r="R2188" s="96">
        <f>R2174*1.02</f>
        <v>6725.3224993455296</v>
      </c>
      <c r="S2188" s="109" t="s">
        <v>144</v>
      </c>
      <c r="T2188" s="23" t="s">
        <v>147</v>
      </c>
      <c r="U2188" s="96">
        <f ca="1">U2174*1.01</f>
        <v>54201.273003109221</v>
      </c>
      <c r="V2188" s="109" t="s">
        <v>144</v>
      </c>
      <c r="W2188" s="23" t="s">
        <v>147</v>
      </c>
      <c r="X2188" s="96">
        <f ca="1">X2174*1.01</f>
        <v>132719.00808295587</v>
      </c>
      <c r="Y2188" s="109" t="s">
        <v>144</v>
      </c>
      <c r="Z2188" s="23" t="s">
        <v>147</v>
      </c>
      <c r="AA2188" s="96">
        <f ca="1">AA2174*1.01</f>
        <v>258502.75182752116</v>
      </c>
      <c r="AB2188" s="109" t="s">
        <v>144</v>
      </c>
      <c r="AC2188" s="23" t="s">
        <v>147</v>
      </c>
      <c r="AD2188" s="96">
        <f ca="1">AD2174*1.01</f>
        <v>433687.2029087171</v>
      </c>
      <c r="AE2188" s="109" t="s">
        <v>144</v>
      </c>
      <c r="AF2188" s="23" t="s">
        <v>147</v>
      </c>
      <c r="AG2188" s="96">
        <f ca="1">AG2174*1.01</f>
        <v>632978.2846114157</v>
      </c>
      <c r="AH2188" s="109" t="s">
        <v>144</v>
      </c>
      <c r="AI2188" s="23" t="s">
        <v>147</v>
      </c>
      <c r="AJ2188" s="96">
        <f ca="1">AJ2174*1.01</f>
        <v>844711.97459681181</v>
      </c>
      <c r="AK2188" s="109" t="s">
        <v>144</v>
      </c>
      <c r="AL2188" s="23" t="s">
        <v>147</v>
      </c>
      <c r="AM2188" s="96">
        <f ca="1">AM2174*1.01</f>
        <v>1030709.1380278098</v>
      </c>
      <c r="AN2188" s="109" t="s">
        <v>144</v>
      </c>
      <c r="AO2188" s="23" t="s">
        <v>147</v>
      </c>
      <c r="AP2188" s="96">
        <f ca="1">AP2174*1.01</f>
        <v>1196621.3112664581</v>
      </c>
      <c r="AQ2188" s="109" t="s">
        <v>144</v>
      </c>
      <c r="AR2188" s="23" t="s">
        <v>147</v>
      </c>
      <c r="AS2188" s="96">
        <f ca="1">AS2174*1.01</f>
        <v>1403132.5956516431</v>
      </c>
      <c r="AT2188" s="109" t="s">
        <v>144</v>
      </c>
      <c r="AU2188" s="23" t="s">
        <v>147</v>
      </c>
    </row>
    <row r="2189" spans="15:47" x14ac:dyDescent="0.25">
      <c r="O2189" s="1"/>
      <c r="P2189" s="1"/>
      <c r="Q2189" s="1"/>
      <c r="R2189" s="98"/>
      <c r="S2189" s="107"/>
      <c r="T2189" s="1"/>
      <c r="U2189" s="47"/>
      <c r="V2189" s="107"/>
      <c r="W2189" s="1"/>
      <c r="X2189" s="47"/>
      <c r="Y2189" s="107"/>
      <c r="Z2189" s="1"/>
      <c r="AA2189" s="47"/>
      <c r="AB2189" s="107"/>
      <c r="AC2189" s="1"/>
      <c r="AD2189" s="47"/>
      <c r="AE2189" s="107"/>
      <c r="AF2189" s="1"/>
      <c r="AG2189" s="47"/>
      <c r="AH2189" s="107"/>
      <c r="AI2189" s="1"/>
      <c r="AJ2189" s="47"/>
      <c r="AK2189" s="107"/>
      <c r="AL2189" s="1"/>
      <c r="AM2189" s="47"/>
      <c r="AN2189" s="107"/>
      <c r="AO2189" s="1"/>
      <c r="AP2189" s="47"/>
      <c r="AQ2189" s="107"/>
      <c r="AR2189" s="1"/>
      <c r="AS2189" s="47"/>
      <c r="AT2189" s="107"/>
      <c r="AU2189" s="1"/>
    </row>
    <row r="2190" spans="15:47" x14ac:dyDescent="0.25">
      <c r="O2190" s="8" t="s">
        <v>132</v>
      </c>
      <c r="P2190" s="8"/>
      <c r="Q2190" s="8"/>
      <c r="R2190" s="96">
        <f>P_1_minQ-(R2188^2*R_up)+dpup_minQ</f>
        <v>90.176796876036576</v>
      </c>
      <c r="S2190" s="106"/>
      <c r="T2190" s="22"/>
      <c r="U2190" s="96">
        <f ca="1">P_1_minQ-(U2188^2*R_up)+dpup_minQ</f>
        <v>89.649598435951617</v>
      </c>
      <c r="V2190" s="107"/>
      <c r="W2190" s="1"/>
      <c r="X2190" s="96">
        <f ca="1">P_1_minQ-(X2188^2*R_up)+dpup_minQ</f>
        <v>86.974635763539183</v>
      </c>
      <c r="Y2190" s="107"/>
      <c r="Z2190" s="1"/>
      <c r="AA2190" s="96">
        <f ca="1">P_1_minQ-(AA2188^2*R_up)+dpup_minQ</f>
        <v>78.005697053712538</v>
      </c>
      <c r="AB2190" s="107"/>
      <c r="AC2190" s="1"/>
      <c r="AD2190" s="96">
        <f ca="1">P_1_minQ-(AD2188^2*R_up)+dpup_minQ</f>
        <v>55.904571780025584</v>
      </c>
      <c r="AE2190" s="107"/>
      <c r="AF2190" s="1"/>
      <c r="AG2190" s="96">
        <f ca="1">P_1_minQ-(AG2188^2*R_up)+dpup_minQ</f>
        <v>17.160108855057587</v>
      </c>
      <c r="AH2190" s="107"/>
      <c r="AI2190" s="1"/>
      <c r="AJ2190" s="96">
        <f ca="1">P_1_minQ-(AJ2188^2*R_up)+dpup_minQ</f>
        <v>-39.86510385480517</v>
      </c>
      <c r="AK2190" s="107"/>
      <c r="AL2190" s="1"/>
      <c r="AM2190" s="96">
        <f ca="1">P_1_minQ-(AM2188^2*R_up)+dpup_minQ</f>
        <v>-103.44190299257315</v>
      </c>
      <c r="AN2190" s="107"/>
      <c r="AO2190" s="1"/>
      <c r="AP2190" s="96">
        <f ca="1">P_1_minQ-(AP2188^2*R_up)+dpup_minQ</f>
        <v>-170.79482527621497</v>
      </c>
      <c r="AQ2190" s="107"/>
      <c r="AR2190" s="1"/>
      <c r="AS2190" s="96">
        <f ca="1">P_1_minQ-(AS2188^2*R_up)+dpup_minQ</f>
        <v>-268.64679324464788</v>
      </c>
      <c r="AT2190" s="107"/>
      <c r="AU2190" s="1"/>
    </row>
    <row r="2191" spans="15:47" x14ac:dyDescent="0.25">
      <c r="O2191" s="8" t="s">
        <v>134</v>
      </c>
      <c r="P2191" s="1"/>
      <c r="Q2191" s="8"/>
      <c r="R2191" s="97">
        <f>P_2_minQ+(R2188^2*R_dn)-dpdn_minQ</f>
        <v>60</v>
      </c>
      <c r="S2191" s="106"/>
      <c r="T2191" s="22"/>
      <c r="U2191" s="97">
        <f ca="1">P_2_minQ+(U2188^2*R_dn)-dpdn_minQ</f>
        <v>60</v>
      </c>
      <c r="V2191" s="107"/>
      <c r="W2191" s="1"/>
      <c r="X2191" s="97">
        <f ca="1">P_2_minQ+(X2188^2*R_dn)-dpdn_minQ</f>
        <v>60</v>
      </c>
      <c r="Y2191" s="107"/>
      <c r="Z2191" s="1"/>
      <c r="AA2191" s="97">
        <f ca="1">P_2_minQ+(AA2188^2*R_dn)-dpdn_minQ</f>
        <v>60</v>
      </c>
      <c r="AB2191" s="107"/>
      <c r="AC2191" s="1"/>
      <c r="AD2191" s="97">
        <f ca="1">P_2_minQ+(AD2188^2*R_dn)-dpdn_minQ</f>
        <v>60</v>
      </c>
      <c r="AE2191" s="107"/>
      <c r="AF2191" s="1"/>
      <c r="AG2191" s="97">
        <f ca="1">P_2_minQ+(AG2188^2*R_dn)-dpdn_minQ</f>
        <v>60</v>
      </c>
      <c r="AH2191" s="107"/>
      <c r="AI2191" s="1"/>
      <c r="AJ2191" s="97">
        <f ca="1">P_2_minQ+(AJ2188^2*R_dn)-dpdn_minQ</f>
        <v>60</v>
      </c>
      <c r="AK2191" s="107"/>
      <c r="AL2191" s="1"/>
      <c r="AM2191" s="97">
        <f ca="1">P_2_minQ+(AM2188^2*R_dn)-dpdn_minQ</f>
        <v>60</v>
      </c>
      <c r="AN2191" s="107"/>
      <c r="AO2191" s="1"/>
      <c r="AP2191" s="97">
        <f ca="1">P_2_minQ+(AP2188^2*R_dn)-dpdn_minQ</f>
        <v>60</v>
      </c>
      <c r="AQ2191" s="107"/>
      <c r="AR2191" s="1"/>
      <c r="AS2191" s="97">
        <f ca="1">P_2_minQ+(AS2188^2*R_dn)-dpdn_minQ</f>
        <v>60</v>
      </c>
      <c r="AT2191" s="107"/>
      <c r="AU2191" s="1"/>
    </row>
    <row r="2192" spans="15:47" x14ac:dyDescent="0.25">
      <c r="O2192" s="8" t="s">
        <v>138</v>
      </c>
      <c r="P2192" s="1"/>
      <c r="Q2192" s="8"/>
      <c r="R2192" s="97">
        <f>R2190-R2191</f>
        <v>30.176796876036576</v>
      </c>
      <c r="S2192" s="106"/>
      <c r="T2192" s="22"/>
      <c r="U2192" s="97">
        <f ca="1">U2190-U2191</f>
        <v>29.649598435951617</v>
      </c>
      <c r="V2192" s="110"/>
      <c r="W2192" s="25"/>
      <c r="X2192" s="97">
        <f ca="1">X2190-X2191</f>
        <v>26.974635763539183</v>
      </c>
      <c r="Y2192" s="110"/>
      <c r="Z2192" s="25"/>
      <c r="AA2192" s="97">
        <f ca="1">AA2190-AA2191</f>
        <v>18.005697053712538</v>
      </c>
      <c r="AB2192" s="110"/>
      <c r="AC2192" s="25"/>
      <c r="AD2192" s="97">
        <f ca="1">AD2190-AD2191</f>
        <v>-4.0954282199744156</v>
      </c>
      <c r="AE2192" s="110"/>
      <c r="AF2192" s="25"/>
      <c r="AG2192" s="97">
        <f ca="1">AG2190-AG2191</f>
        <v>-42.839891144942413</v>
      </c>
      <c r="AH2192" s="110"/>
      <c r="AI2192" s="25"/>
      <c r="AJ2192" s="97">
        <f ca="1">AJ2190-AJ2191</f>
        <v>-99.86510385480517</v>
      </c>
      <c r="AK2192" s="110"/>
      <c r="AL2192" s="25"/>
      <c r="AM2192" s="97">
        <f ca="1">AM2190-AM2191</f>
        <v>-163.44190299257315</v>
      </c>
      <c r="AN2192" s="110"/>
      <c r="AO2192" s="25"/>
      <c r="AP2192" s="97">
        <f ca="1">AP2190-AP2191</f>
        <v>-230.79482527621497</v>
      </c>
      <c r="AQ2192" s="110"/>
      <c r="AR2192" s="25"/>
      <c r="AS2192" s="97">
        <f ca="1">AS2190-AS2191</f>
        <v>-328.64679324464788</v>
      </c>
      <c r="AT2192" s="110"/>
      <c r="AU2192" s="25"/>
    </row>
    <row r="2193" spans="15:47" ht="14.4" x14ac:dyDescent="0.3">
      <c r="O2193" s="2" t="s">
        <v>140</v>
      </c>
      <c r="P2193" s="11"/>
      <c r="Q2193" s="2"/>
      <c r="R2193" s="96">
        <f>R2192/R2190</f>
        <v>0.33464037226249832</v>
      </c>
      <c r="S2193" s="106"/>
      <c r="T2193" s="22"/>
      <c r="U2193" s="96">
        <f ca="1">U2192/U2190</f>
        <v>0.33072762124120597</v>
      </c>
      <c r="V2193" s="111"/>
      <c r="W2193" s="28"/>
      <c r="X2193" s="96">
        <f ca="1">X2192/X2190</f>
        <v>0.31014370484834242</v>
      </c>
      <c r="Y2193" s="111"/>
      <c r="Z2193" s="28"/>
      <c r="AA2193" s="96">
        <f ca="1">AA2192/AA2190</f>
        <v>0.23082541062756376</v>
      </c>
      <c r="AB2193" s="111"/>
      <c r="AC2193" s="28"/>
      <c r="AD2193" s="96">
        <f ca="1">AD2192/AD2190</f>
        <v>-7.3257483056827402E-2</v>
      </c>
      <c r="AE2193" s="111"/>
      <c r="AF2193" s="28"/>
      <c r="AG2193" s="96">
        <f ca="1">AG2192/AG2190</f>
        <v>-2.4964813164525026</v>
      </c>
      <c r="AH2193" s="111"/>
      <c r="AI2193" s="28"/>
      <c r="AJ2193" s="96">
        <f ca="1">AJ2192/AJ2190</f>
        <v>2.5050757228309051</v>
      </c>
      <c r="AK2193" s="111"/>
      <c r="AL2193" s="28"/>
      <c r="AM2193" s="96">
        <f ca="1">AM2192/AM2190</f>
        <v>1.5800357327562684</v>
      </c>
      <c r="AN2193" s="111"/>
      <c r="AO2193" s="28"/>
      <c r="AP2193" s="96">
        <f ca="1">AP2192/AP2190</f>
        <v>1.351298699494941</v>
      </c>
      <c r="AQ2193" s="111"/>
      <c r="AR2193" s="28"/>
      <c r="AS2193" s="96">
        <f ca="1">AS2192/AS2190</f>
        <v>1.2233415827352161</v>
      </c>
      <c r="AT2193" s="111"/>
      <c r="AU2193" s="28"/>
    </row>
    <row r="2194" spans="15:47" x14ac:dyDescent="0.25">
      <c r="O2194" s="2" t="s">
        <v>21</v>
      </c>
      <c r="P2194" s="8">
        <v>12</v>
      </c>
      <c r="Q2194" s="2"/>
      <c r="R2194" s="96">
        <f ca="1">1-R2193/(3*F_GAMMA*R$29)</f>
        <v>0.82571622662591648</v>
      </c>
      <c r="S2194" s="106"/>
      <c r="T2194" s="22"/>
      <c r="U2194" s="96">
        <f ca="1">1-U2193/(3*F_GAMMA*U$29)</f>
        <v>0.82779403855489364</v>
      </c>
      <c r="V2194" s="111"/>
      <c r="W2194" s="28"/>
      <c r="X2194" s="96">
        <f ca="1">1-X2193/(3*F_GAMMA*X$29)</f>
        <v>0.83697378999755534</v>
      </c>
      <c r="Y2194" s="111"/>
      <c r="Z2194" s="28"/>
      <c r="AA2194" s="96">
        <f ca="1">1-AA2193/(3*F_GAMMA*AA$29)</f>
        <v>0.87695692299592587</v>
      </c>
      <c r="AB2194" s="111"/>
      <c r="AC2194" s="28"/>
      <c r="AD2194" s="96">
        <f ca="1">1-AD2193/(3*F_GAMMA*AD$29)</f>
        <v>1.0402615229346388</v>
      </c>
      <c r="AE2194" s="111"/>
      <c r="AF2194" s="28"/>
      <c r="AG2194" s="96">
        <f ca="1">1-AG2193/(3*F_GAMMA*AG$29)</f>
        <v>2.4543700478693378</v>
      </c>
      <c r="AH2194" s="111"/>
      <c r="AI2194" s="28"/>
      <c r="AJ2194" s="96">
        <f ca="1">1-AJ2193/(3*F_GAMMA*AJ$29)</f>
        <v>-0.57008971474851977</v>
      </c>
      <c r="AK2194" s="111"/>
      <c r="AL2194" s="28"/>
      <c r="AM2194" s="96">
        <f ca="1">1-AM2193/(3*F_GAMMA*AM$29)</f>
        <v>-0.10724656879387617</v>
      </c>
      <c r="AN2194" s="111"/>
      <c r="AO2194" s="28"/>
      <c r="AP2194" s="96">
        <f ca="1">1-AP2193/(3*F_GAMMA*AP$29)</f>
        <v>0.2372545591024291</v>
      </c>
      <c r="AQ2194" s="111"/>
      <c r="AR2194" s="28"/>
      <c r="AS2194" s="96">
        <f ca="1">1-AS2193/(3*F_GAMMA*AS$29)</f>
        <v>-8.2536238945486007E-2</v>
      </c>
      <c r="AT2194" s="111"/>
      <c r="AU2194" s="28"/>
    </row>
    <row r="2195" spans="15:47" x14ac:dyDescent="0.25">
      <c r="O2195" s="2" t="s">
        <v>57</v>
      </c>
      <c r="P2195" s="143">
        <v>7</v>
      </c>
      <c r="Q2195" s="2"/>
      <c r="R2195" s="96">
        <f ca="1">(R2188/(N_9*R$27*R2190*R2194))*SQRT(M*'Valve Sizing'!$W$6*'Valve Sizing'!$G$8/R2193)</f>
        <v>2.7163414302336264</v>
      </c>
      <c r="S2195" s="107"/>
      <c r="T2195" s="22"/>
      <c r="U2195" s="96">
        <f ca="1">(U2188/(N_9*U$27*U2190*U2194))*SQRT(M*'Valve Sizing'!$W$6*'Valve Sizing'!$G$8/U2193)</f>
        <v>22.109275338459042</v>
      </c>
      <c r="V2195" s="111"/>
      <c r="W2195" s="28"/>
      <c r="X2195" s="96">
        <f ca="1">(X2188/(N_9*X$27*X2190*X2194))*SQRT(M*'Valve Sizing'!$W$6*'Valve Sizing'!$G$8/X2193)</f>
        <v>57.123743885215873</v>
      </c>
      <c r="Y2195" s="111"/>
      <c r="Z2195" s="28"/>
      <c r="AA2195" s="96">
        <f ca="1">(AA2188/(N_9*AA$27*AA2190*AA2194))*SQRT(M*'Valve Sizing'!$W$6*'Valve Sizing'!$G$8/AA2193)</f>
        <v>138.05682979591543</v>
      </c>
      <c r="AB2195" s="111"/>
      <c r="AC2195" s="28"/>
      <c r="AD2195" s="96" t="e">
        <f ca="1">(AD2188/(N_9*AD$27*AD2190*AD2194))*SQRT(M*'Valve Sizing'!$W$6*'Valve Sizing'!$G$8/AD2193)</f>
        <v>#NUM!</v>
      </c>
      <c r="AE2195" s="111"/>
      <c r="AF2195" s="28"/>
      <c r="AG2195" s="96" t="e">
        <f ca="1">(AG2188/(N_9*AG$27*AG2190*AG2194))*SQRT(M*'Valve Sizing'!$W$6*'Valve Sizing'!$G$8/AG2193)</f>
        <v>#NUM!</v>
      </c>
      <c r="AH2195" s="111"/>
      <c r="AI2195" s="28"/>
      <c r="AJ2195" s="96">
        <f ca="1">(AJ2188/(N_9*AJ$27*AJ2190*AJ2194))*SQRT(M*'Valve Sizing'!$W$6*'Valve Sizing'!$G$8/AJ2193)</f>
        <v>442.11626747229531</v>
      </c>
      <c r="AK2195" s="111"/>
      <c r="AL2195" s="28"/>
      <c r="AM2195" s="96">
        <f ca="1">(AM2188/(N_9*AM$27*AM2190*AM2194))*SQRT(M*'Valve Sizing'!$W$6*'Valve Sizing'!$G$8/AM2193)</f>
        <v>1476.440111031902</v>
      </c>
      <c r="AN2195" s="111"/>
      <c r="AO2195" s="28"/>
      <c r="AP2195" s="96">
        <f ca="1">(AP2188/(N_9*AP$27*AP2190*AP2194))*SQRT(M*'Valve Sizing'!$W$6*'Valve Sizing'!$G$8/AP2193)</f>
        <v>-577.56559641691513</v>
      </c>
      <c r="AQ2195" s="111"/>
      <c r="AR2195" s="28"/>
      <c r="AS2195" s="96">
        <f ca="1">(AS2188/(N_9*AS$27*AS2190*AS2194))*SQRT(M*'Valve Sizing'!$W$6*'Valve Sizing'!$G$8/AS2193)</f>
        <v>1742.2684239760363</v>
      </c>
      <c r="AT2195" s="111"/>
      <c r="AU2195" s="28"/>
    </row>
    <row r="2196" spans="15:47" x14ac:dyDescent="0.25">
      <c r="O2196" s="2" t="s">
        <v>59</v>
      </c>
      <c r="P2196" s="143">
        <v>7</v>
      </c>
      <c r="Q2196" s="2"/>
      <c r="R2196" s="96">
        <f ca="1">(R2188/(N_9*R$27*R2190*0.667))*SQRT(M*'Valve Sizing'!$W$6*'Valve Sizing'!$G$8/R2197)</f>
        <v>2.43152336648755</v>
      </c>
      <c r="S2196" s="107"/>
      <c r="T2196" s="22"/>
      <c r="U2196" s="96">
        <f ca="1">(U2188/(N_9*U$27*U2190*0.667))*SQRT(M*'Valve Sizing'!$W$6*'Valve Sizing'!$G$8/U2197)</f>
        <v>19.72221491482583</v>
      </c>
      <c r="V2196" s="111"/>
      <c r="W2196" s="28"/>
      <c r="X2196" s="96">
        <f ca="1">(X2188/(N_9*X$27*X2190*0.667))*SQRT(M*'Valve Sizing'!$W$6*'Valve Sizing'!$G$8/X2197)</f>
        <v>50.129345118176239</v>
      </c>
      <c r="Y2196" s="111"/>
      <c r="Z2196" s="28"/>
      <c r="AA2196" s="96">
        <f ca="1">(AA2188/(N_9*AA$27*AA2190*0.667))*SQRT(M*'Valve Sizing'!$W$6*'Valve Sizing'!$G$8/AA2197)</f>
        <v>110.2807071894717</v>
      </c>
      <c r="AB2196" s="111"/>
      <c r="AC2196" s="28"/>
      <c r="AD2196" s="96">
        <f ca="1">(AD2188/(N_9*AD$27*AD2190*0.667))*SQRT(M*'Valve Sizing'!$W$6*'Valve Sizing'!$G$8/AD2197)</f>
        <v>265.38061992455482</v>
      </c>
      <c r="AE2196" s="111"/>
      <c r="AF2196" s="28"/>
      <c r="AG2196" s="96">
        <f ca="1">(AG2188/(N_9*AG$27*AG2190*0.667))*SQRT(M*'Valve Sizing'!$W$6*'Valve Sizing'!$G$8/AG2197)</f>
        <v>1328.3979800875759</v>
      </c>
      <c r="AH2196" s="111"/>
      <c r="AI2196" s="28"/>
      <c r="AJ2196" s="96">
        <f ca="1">(AJ2188/(N_9*AJ$27*AJ2190*0.667))*SQRT(M*'Valve Sizing'!$W$6*'Valve Sizing'!$G$8/AJ2197)</f>
        <v>-820.11872606656493</v>
      </c>
      <c r="AK2196" s="111"/>
      <c r="AL2196" s="28"/>
      <c r="AM2196" s="96">
        <f ca="1">(AM2188/(N_9*AM$27*AM2190*0.667))*SQRT(M*'Valve Sizing'!$W$6*'Valve Sizing'!$G$8/AM2197)</f>
        <v>-432.66942532445069</v>
      </c>
      <c r="AN2196" s="111"/>
      <c r="AO2196" s="28"/>
      <c r="AP2196" s="96">
        <f ca="1">(AP2188/(N_9*AP$27*AP2190*0.667))*SQRT(M*'Valve Sizing'!$W$6*'Valve Sizing'!$G$8/AP2197)</f>
        <v>-310.77100066602202</v>
      </c>
      <c r="AQ2196" s="111"/>
      <c r="AR2196" s="28"/>
      <c r="AS2196" s="96">
        <f ca="1">(AS2188/(N_9*AS$27*AS2190*0.667))*SQRT(M*'Valve Sizing'!$W$6*'Valve Sizing'!$G$8/AS2197)</f>
        <v>-388.5221254099913</v>
      </c>
      <c r="AT2196" s="111"/>
      <c r="AU2196" s="28"/>
    </row>
    <row r="2197" spans="15:47" ht="15.6" x14ac:dyDescent="0.35">
      <c r="O2197" s="2" t="s">
        <v>68</v>
      </c>
      <c r="P2197" s="143">
        <v>10</v>
      </c>
      <c r="Q2197" s="2"/>
      <c r="R2197" s="96">
        <f ca="1">F_GAMMA*R$29</f>
        <v>0.64002969751372984</v>
      </c>
      <c r="S2197" s="107"/>
      <c r="T2197" s="1"/>
      <c r="U2197" s="96">
        <f ca="1">F_GAMMA*U$29</f>
        <v>0.64017842058782071</v>
      </c>
      <c r="V2197" s="111"/>
      <c r="W2197" s="28"/>
      <c r="X2197" s="96">
        <f ca="1">F_GAMMA*X$29</f>
        <v>0.63413873724904268</v>
      </c>
      <c r="Y2197" s="111"/>
      <c r="Z2197" s="28"/>
      <c r="AA2197" s="96">
        <f ca="1">F_GAMMA*AA$29</f>
        <v>0.62532411750377137</v>
      </c>
      <c r="AB2197" s="111"/>
      <c r="AC2197" s="28"/>
      <c r="AD2197" s="96">
        <f ca="1">F_GAMMA*AD$29</f>
        <v>0.60651359509139569</v>
      </c>
      <c r="AE2197" s="111"/>
      <c r="AF2197" s="28"/>
      <c r="AG2197" s="96">
        <f ca="1">F_GAMMA*AG$29</f>
        <v>0.57217930198481592</v>
      </c>
      <c r="AH2197" s="111"/>
      <c r="AI2197" s="28"/>
      <c r="AJ2197" s="96">
        <f ca="1">F_GAMMA*AJ$29</f>
        <v>0.53183282018848232</v>
      </c>
      <c r="AK2197" s="111"/>
      <c r="AL2197" s="28"/>
      <c r="AM2197" s="96">
        <f ca="1">F_GAMMA*AM$29</f>
        <v>0.47566512503094399</v>
      </c>
      <c r="AN2197" s="111"/>
      <c r="AO2197" s="28"/>
      <c r="AP2197" s="96">
        <f ca="1">F_GAMMA*AP$29</f>
        <v>0.59054158265645496</v>
      </c>
      <c r="AQ2197" s="111"/>
      <c r="AR2197" s="28"/>
      <c r="AS2197" s="96">
        <f ca="1">F_GAMMA*AS$29</f>
        <v>0.3766899554102966</v>
      </c>
      <c r="AT2197" s="111"/>
      <c r="AU2197" s="28"/>
    </row>
    <row r="2198" spans="15:47" x14ac:dyDescent="0.25">
      <c r="O2198" s="2" t="s">
        <v>145</v>
      </c>
      <c r="P2198" s="12"/>
      <c r="Q2198" s="2"/>
      <c r="R2198" s="96">
        <f ca="1">IF(R2193&lt;R2197,R2195,R2196)</f>
        <v>2.7163414302336264</v>
      </c>
      <c r="S2198" s="116"/>
      <c r="T2198" s="1"/>
      <c r="U2198" s="96">
        <f ca="1">IF(U2193&lt;U2197,U2195,U2196)</f>
        <v>22.109275338459042</v>
      </c>
      <c r="V2198" s="111"/>
      <c r="W2198" s="28"/>
      <c r="X2198" s="96">
        <f ca="1">IF(X2193&lt;X2197,X2195,X2196)</f>
        <v>57.123743885215873</v>
      </c>
      <c r="Y2198" s="111"/>
      <c r="Z2198" s="28"/>
      <c r="AA2198" s="96">
        <f ca="1">IF(AA2193&lt;AA2197,AA2195,AA2196)</f>
        <v>138.05682979591543</v>
      </c>
      <c r="AB2198" s="111"/>
      <c r="AC2198" s="28"/>
      <c r="AD2198" s="96" t="e">
        <f ca="1">IF(AD2193&lt;AD2197,AD2195,AD2196)</f>
        <v>#NUM!</v>
      </c>
      <c r="AE2198" s="111"/>
      <c r="AF2198" s="28"/>
      <c r="AG2198" s="96" t="e">
        <f ca="1">IF(AG2193&lt;AG2197,AG2195,AG2196)</f>
        <v>#NUM!</v>
      </c>
      <c r="AH2198" s="111"/>
      <c r="AI2198" s="28"/>
      <c r="AJ2198" s="96">
        <f ca="1">IF(AJ2193&lt;AJ2197,AJ2195,AJ2196)</f>
        <v>-820.11872606656493</v>
      </c>
      <c r="AK2198" s="111"/>
      <c r="AL2198" s="28"/>
      <c r="AM2198" s="96">
        <f ca="1">IF(AM2193&lt;AM2197,AM2195,AM2196)</f>
        <v>-432.66942532445069</v>
      </c>
      <c r="AN2198" s="111"/>
      <c r="AO2198" s="28"/>
      <c r="AP2198" s="96">
        <f ca="1">IF(AP2193&lt;AP2197,AP2195,AP2196)</f>
        <v>-310.77100066602202</v>
      </c>
      <c r="AQ2198" s="111"/>
      <c r="AR2198" s="28"/>
      <c r="AS2198" s="96">
        <f ca="1">IF(AS2193&lt;AS2197,AS2195,AS2196)</f>
        <v>-388.5221254099913</v>
      </c>
      <c r="AT2198" s="111"/>
      <c r="AU2198" s="28"/>
    </row>
    <row r="2199" spans="15:47" x14ac:dyDescent="0.25">
      <c r="O2199" s="13" t="s">
        <v>143</v>
      </c>
      <c r="P2199" s="1"/>
      <c r="Q2199" s="1"/>
      <c r="R2199" s="113"/>
      <c r="S2199" s="106">
        <f ca="1">IF(R2192&lt;=0,Q_max,ABS(R$23-R2198))</f>
        <v>2.013658569766374</v>
      </c>
      <c r="T2199" s="7">
        <f>R2188</f>
        <v>6725.3224993455296</v>
      </c>
      <c r="U2199" s="98"/>
      <c r="V2199" s="106">
        <f ca="1">IF(U2192&lt;=0,Q_max,ABS(U$23-U2198))</f>
        <v>10.509275338459043</v>
      </c>
      <c r="W2199" s="9">
        <f ca="1">U2188</f>
        <v>54201.273003109221</v>
      </c>
      <c r="X2199" s="98"/>
      <c r="Y2199" s="106">
        <f ca="1">IF(X2192&lt;=0,Q_max,ABS(X$23-X2198))</f>
        <v>34.123743885215873</v>
      </c>
      <c r="Z2199" s="9">
        <f ca="1">X2188</f>
        <v>132719.00808295587</v>
      </c>
      <c r="AA2199" s="98"/>
      <c r="AB2199" s="106">
        <f ca="1">IF(AA2192&lt;=0,Q_max,ABS(AA$23-AA2198))</f>
        <v>98.656829795915428</v>
      </c>
      <c r="AC2199" s="9">
        <f ca="1">AA2188</f>
        <v>258502.75182752116</v>
      </c>
      <c r="AD2199" s="98"/>
      <c r="AE2199" s="106">
        <f ca="1">IF(AD2192&lt;=0,Q_max,ABS(AD$23-AD2198))</f>
        <v>236393</v>
      </c>
      <c r="AF2199" s="9">
        <f ca="1">AD2188</f>
        <v>433687.2029087171</v>
      </c>
      <c r="AG2199" s="98"/>
      <c r="AH2199" s="106">
        <f ca="1">IF(AG2192&lt;=0,Q_max,ABS(AG$23-AG2198))</f>
        <v>236393</v>
      </c>
      <c r="AI2199" s="9">
        <f ca="1">AG2188</f>
        <v>632978.2846114157</v>
      </c>
      <c r="AJ2199" s="98"/>
      <c r="AK2199" s="106">
        <f ca="1">IF(AJ2192&lt;=0,Q_max,ABS(AJ$23-AJ2198))</f>
        <v>236393</v>
      </c>
      <c r="AL2199" s="9">
        <f ca="1">AJ2188</f>
        <v>844711.97459681181</v>
      </c>
      <c r="AM2199" s="98"/>
      <c r="AN2199" s="106">
        <f ca="1">IF(AM2192&lt;=0,Q_max,ABS(AM$23-AM2198))</f>
        <v>236393</v>
      </c>
      <c r="AO2199" s="9">
        <f ca="1">AM2188</f>
        <v>1030709.1380278098</v>
      </c>
      <c r="AP2199" s="98"/>
      <c r="AQ2199" s="106">
        <f ca="1">IF(AP2192&lt;=0,Q_max,ABS(AP$23-AP2198))</f>
        <v>236393</v>
      </c>
      <c r="AR2199" s="9">
        <f ca="1">AP2188</f>
        <v>1196621.3112664581</v>
      </c>
      <c r="AS2199" s="98"/>
      <c r="AT2199" s="106">
        <f ca="1">IF(AS2192&lt;=0,Q_max,ABS(AS$23-AS2198))</f>
        <v>236393</v>
      </c>
      <c r="AU2199" s="9">
        <f ca="1">AS2188</f>
        <v>1403132.5956516431</v>
      </c>
    </row>
    <row r="2200" spans="15:47" x14ac:dyDescent="0.25">
      <c r="O2200" s="21"/>
      <c r="P2200" s="14"/>
      <c r="Q2200" s="21"/>
      <c r="R2200" s="97"/>
      <c r="S2200" s="106"/>
      <c r="T2200" s="28"/>
      <c r="U2200" s="97"/>
      <c r="V2200" s="111"/>
      <c r="W2200" s="28"/>
      <c r="X2200" s="97"/>
      <c r="Y2200" s="111"/>
      <c r="Z2200" s="28"/>
      <c r="AA2200" s="97"/>
      <c r="AB2200" s="111"/>
      <c r="AC2200" s="28"/>
      <c r="AD2200" s="97"/>
      <c r="AE2200" s="111"/>
      <c r="AF2200" s="28"/>
      <c r="AG2200" s="97"/>
      <c r="AH2200" s="111"/>
      <c r="AI2200" s="28"/>
      <c r="AJ2200" s="97"/>
      <c r="AK2200" s="111"/>
      <c r="AL2200" s="28"/>
      <c r="AM2200" s="97"/>
      <c r="AN2200" s="111"/>
      <c r="AO2200" s="28"/>
      <c r="AP2200" s="97"/>
      <c r="AQ2200" s="111"/>
      <c r="AR2200" s="28"/>
      <c r="AS2200" s="97"/>
      <c r="AT2200" s="111"/>
      <c r="AU2200" s="28"/>
    </row>
    <row r="2201" spans="15:47" x14ac:dyDescent="0.25">
      <c r="O2201" s="1"/>
      <c r="P2201" s="1"/>
      <c r="Q2201" s="1"/>
      <c r="R2201" s="98"/>
      <c r="S2201" s="108" t="s">
        <v>137</v>
      </c>
      <c r="T2201" s="26" t="s">
        <v>146</v>
      </c>
      <c r="U2201" s="98"/>
      <c r="V2201" s="108" t="s">
        <v>137</v>
      </c>
      <c r="W2201" s="26" t="s">
        <v>146</v>
      </c>
      <c r="X2201" s="98"/>
      <c r="Y2201" s="108" t="s">
        <v>137</v>
      </c>
      <c r="Z2201" s="26" t="s">
        <v>146</v>
      </c>
      <c r="AA2201" s="98"/>
      <c r="AB2201" s="108" t="s">
        <v>137</v>
      </c>
      <c r="AC2201" s="26" t="s">
        <v>146</v>
      </c>
      <c r="AD2201" s="98"/>
      <c r="AE2201" s="108" t="s">
        <v>137</v>
      </c>
      <c r="AF2201" s="26" t="s">
        <v>146</v>
      </c>
      <c r="AG2201" s="98"/>
      <c r="AH2201" s="108" t="s">
        <v>137</v>
      </c>
      <c r="AI2201" s="26" t="s">
        <v>146</v>
      </c>
      <c r="AJ2201" s="98"/>
      <c r="AK2201" s="108" t="s">
        <v>137</v>
      </c>
      <c r="AL2201" s="26" t="s">
        <v>146</v>
      </c>
      <c r="AM2201" s="98"/>
      <c r="AN2201" s="108" t="s">
        <v>137</v>
      </c>
      <c r="AO2201" s="26" t="s">
        <v>146</v>
      </c>
      <c r="AP2201" s="98"/>
      <c r="AQ2201" s="108" t="s">
        <v>137</v>
      </c>
      <c r="AR2201" s="26" t="s">
        <v>146</v>
      </c>
      <c r="AS2201" s="98"/>
      <c r="AT2201" s="108" t="s">
        <v>137</v>
      </c>
      <c r="AU2201" s="26" t="s">
        <v>146</v>
      </c>
    </row>
    <row r="2202" spans="15:47" ht="13.8" x14ac:dyDescent="0.25">
      <c r="O2202" s="20" t="s">
        <v>136</v>
      </c>
      <c r="P2202" s="1"/>
      <c r="Q2202" s="1"/>
      <c r="R2202" s="96">
        <f>R2188*1.02</f>
        <v>6859.8289493324401</v>
      </c>
      <c r="S2202" s="109" t="s">
        <v>144</v>
      </c>
      <c r="T2202" s="23" t="s">
        <v>147</v>
      </c>
      <c r="U2202" s="96">
        <f ca="1">U2188*1.01</f>
        <v>54743.285733140314</v>
      </c>
      <c r="V2202" s="109" t="s">
        <v>144</v>
      </c>
      <c r="W2202" s="23" t="s">
        <v>147</v>
      </c>
      <c r="X2202" s="96">
        <f ca="1">X2188*1.01</f>
        <v>134046.19816378542</v>
      </c>
      <c r="Y2202" s="109" t="s">
        <v>144</v>
      </c>
      <c r="Z2202" s="23" t="s">
        <v>147</v>
      </c>
      <c r="AA2202" s="96">
        <f ca="1">AA2188*1.01</f>
        <v>261087.77934579639</v>
      </c>
      <c r="AB2202" s="109" t="s">
        <v>144</v>
      </c>
      <c r="AC2202" s="23" t="s">
        <v>147</v>
      </c>
      <c r="AD2202" s="96">
        <f ca="1">AD2188*1.01</f>
        <v>438024.07493780425</v>
      </c>
      <c r="AE2202" s="109" t="s">
        <v>144</v>
      </c>
      <c r="AF2202" s="23" t="s">
        <v>147</v>
      </c>
      <c r="AG2202" s="96">
        <f ca="1">AG2188*1.01</f>
        <v>639308.06745752983</v>
      </c>
      <c r="AH2202" s="109" t="s">
        <v>144</v>
      </c>
      <c r="AI2202" s="23" t="s">
        <v>147</v>
      </c>
      <c r="AJ2202" s="96">
        <f ca="1">AJ2188*1.01</f>
        <v>853159.09434277995</v>
      </c>
      <c r="AK2202" s="109" t="s">
        <v>144</v>
      </c>
      <c r="AL2202" s="23" t="s">
        <v>147</v>
      </c>
      <c r="AM2202" s="96">
        <f ca="1">AM2188*1.01</f>
        <v>1041016.2294080879</v>
      </c>
      <c r="AN2202" s="109" t="s">
        <v>144</v>
      </c>
      <c r="AO2202" s="23" t="s">
        <v>147</v>
      </c>
      <c r="AP2202" s="96">
        <f ca="1">AP2188*1.01</f>
        <v>1208587.5243791228</v>
      </c>
      <c r="AQ2202" s="109" t="s">
        <v>144</v>
      </c>
      <c r="AR2202" s="23" t="s">
        <v>147</v>
      </c>
      <c r="AS2202" s="96">
        <f ca="1">AS2188*1.01</f>
        <v>1417163.9216081596</v>
      </c>
      <c r="AT2202" s="109" t="s">
        <v>144</v>
      </c>
      <c r="AU2202" s="23" t="s">
        <v>147</v>
      </c>
    </row>
    <row r="2203" spans="15:47" x14ac:dyDescent="0.25">
      <c r="O2203" s="1"/>
      <c r="P2203" s="1"/>
      <c r="Q2203" s="1"/>
      <c r="R2203" s="98"/>
      <c r="S2203" s="107"/>
      <c r="T2203" s="1"/>
      <c r="U2203" s="47"/>
      <c r="V2203" s="107"/>
      <c r="W2203" s="1"/>
      <c r="X2203" s="47"/>
      <c r="Y2203" s="107"/>
      <c r="Z2203" s="1"/>
      <c r="AA2203" s="47"/>
      <c r="AB2203" s="107"/>
      <c r="AC2203" s="1"/>
      <c r="AD2203" s="47"/>
      <c r="AE2203" s="107"/>
      <c r="AF2203" s="1"/>
      <c r="AG2203" s="47"/>
      <c r="AH2203" s="107"/>
      <c r="AI2203" s="1"/>
      <c r="AJ2203" s="47"/>
      <c r="AK2203" s="107"/>
      <c r="AL2203" s="1"/>
      <c r="AM2203" s="47"/>
      <c r="AN2203" s="107"/>
      <c r="AO2203" s="1"/>
      <c r="AP2203" s="47"/>
      <c r="AQ2203" s="107"/>
      <c r="AR2203" s="1"/>
      <c r="AS2203" s="47"/>
      <c r="AT2203" s="107"/>
      <c r="AU2203" s="1"/>
    </row>
    <row r="2204" spans="15:47" x14ac:dyDescent="0.25">
      <c r="O2204" s="8" t="s">
        <v>132</v>
      </c>
      <c r="P2204" s="8"/>
      <c r="Q2204" s="8"/>
      <c r="R2204" s="96">
        <f>P_1_minQ-(R2202^2*R_up)+dpup_minQ</f>
        <v>90.176463832406128</v>
      </c>
      <c r="S2204" s="106"/>
      <c r="T2204" s="22"/>
      <c r="U2204" s="96">
        <f ca="1">P_1_minQ-(U2202^2*R_up)+dpup_minQ</f>
        <v>89.63883604985611</v>
      </c>
      <c r="V2204" s="107"/>
      <c r="W2204" s="1"/>
      <c r="X2204" s="96">
        <f ca="1">P_1_minQ-(X2202^2*R_up)+dpup_minQ</f>
        <v>86.910106627728183</v>
      </c>
      <c r="Y2204" s="107"/>
      <c r="Z2204" s="1"/>
      <c r="AA2204" s="96">
        <f ca="1">P_1_minQ-(AA2202^2*R_up)+dpup_minQ</f>
        <v>77.760892249834015</v>
      </c>
      <c r="AB2204" s="107"/>
      <c r="AC2204" s="1"/>
      <c r="AD2204" s="96">
        <f ca="1">P_1_minQ-(AD2202^2*R_up)+dpup_minQ</f>
        <v>55.215534358145966</v>
      </c>
      <c r="AE2204" s="107"/>
      <c r="AF2204" s="1"/>
      <c r="AG2204" s="96">
        <f ca="1">P_1_minQ-(AG2202^2*R_up)+dpup_minQ</f>
        <v>15.69230772838611</v>
      </c>
      <c r="AH2204" s="107"/>
      <c r="AI2204" s="1"/>
      <c r="AJ2204" s="96">
        <f ca="1">P_1_minQ-(AJ2202^2*R_up)+dpup_minQ</f>
        <v>-42.479111756944889</v>
      </c>
      <c r="AK2204" s="107"/>
      <c r="AL2204" s="1"/>
      <c r="AM2204" s="96">
        <f ca="1">P_1_minQ-(AM2202^2*R_up)+dpup_minQ</f>
        <v>-107.33380455738202</v>
      </c>
      <c r="AN2204" s="107"/>
      <c r="AO2204" s="1"/>
      <c r="AP2204" s="96">
        <f ca="1">P_1_minQ-(AP2202^2*R_up)+dpup_minQ</f>
        <v>-176.04052057892505</v>
      </c>
      <c r="AQ2204" s="107"/>
      <c r="AR2204" s="1"/>
      <c r="AS2204" s="96">
        <f ca="1">P_1_minQ-(AS2202^2*R_up)+dpup_minQ</f>
        <v>-275.85931310352345</v>
      </c>
      <c r="AT2204" s="107"/>
      <c r="AU2204" s="1"/>
    </row>
    <row r="2205" spans="15:47" x14ac:dyDescent="0.25">
      <c r="O2205" s="8" t="s">
        <v>134</v>
      </c>
      <c r="P2205" s="1"/>
      <c r="Q2205" s="8"/>
      <c r="R2205" s="97">
        <f>P_2_minQ+(R2202^2*R_dn)-dpdn_minQ</f>
        <v>60</v>
      </c>
      <c r="S2205" s="106"/>
      <c r="T2205" s="22"/>
      <c r="U2205" s="97">
        <f ca="1">P_2_minQ+(U2202^2*R_dn)-dpdn_minQ</f>
        <v>60</v>
      </c>
      <c r="V2205" s="107"/>
      <c r="W2205" s="1"/>
      <c r="X2205" s="97">
        <f ca="1">P_2_minQ+(X2202^2*R_dn)-dpdn_minQ</f>
        <v>60</v>
      </c>
      <c r="Y2205" s="107"/>
      <c r="Z2205" s="1"/>
      <c r="AA2205" s="97">
        <f ca="1">P_2_minQ+(AA2202^2*R_dn)-dpdn_minQ</f>
        <v>60</v>
      </c>
      <c r="AB2205" s="107"/>
      <c r="AC2205" s="1"/>
      <c r="AD2205" s="97">
        <f ca="1">P_2_minQ+(AD2202^2*R_dn)-dpdn_minQ</f>
        <v>60</v>
      </c>
      <c r="AE2205" s="107"/>
      <c r="AF2205" s="1"/>
      <c r="AG2205" s="97">
        <f ca="1">P_2_minQ+(AG2202^2*R_dn)-dpdn_minQ</f>
        <v>60</v>
      </c>
      <c r="AH2205" s="107"/>
      <c r="AI2205" s="1"/>
      <c r="AJ2205" s="97">
        <f ca="1">P_2_minQ+(AJ2202^2*R_dn)-dpdn_minQ</f>
        <v>60</v>
      </c>
      <c r="AK2205" s="107"/>
      <c r="AL2205" s="1"/>
      <c r="AM2205" s="97">
        <f ca="1">P_2_minQ+(AM2202^2*R_dn)-dpdn_minQ</f>
        <v>60</v>
      </c>
      <c r="AN2205" s="107"/>
      <c r="AO2205" s="1"/>
      <c r="AP2205" s="97">
        <f ca="1">P_2_minQ+(AP2202^2*R_dn)-dpdn_minQ</f>
        <v>60</v>
      </c>
      <c r="AQ2205" s="107"/>
      <c r="AR2205" s="1"/>
      <c r="AS2205" s="97">
        <f ca="1">P_2_minQ+(AS2202^2*R_dn)-dpdn_minQ</f>
        <v>60</v>
      </c>
      <c r="AT2205" s="107"/>
      <c r="AU2205" s="1"/>
    </row>
    <row r="2206" spans="15:47" x14ac:dyDescent="0.25">
      <c r="O2206" s="8" t="s">
        <v>138</v>
      </c>
      <c r="P2206" s="1"/>
      <c r="Q2206" s="8"/>
      <c r="R2206" s="97">
        <f>R2204-R2205</f>
        <v>30.176463832406128</v>
      </c>
      <c r="S2206" s="106"/>
      <c r="T2206" s="22"/>
      <c r="U2206" s="97">
        <f ca="1">U2204-U2205</f>
        <v>29.63883604985611</v>
      </c>
      <c r="V2206" s="110"/>
      <c r="W2206" s="25"/>
      <c r="X2206" s="97">
        <f ca="1">X2204-X2205</f>
        <v>26.910106627728183</v>
      </c>
      <c r="Y2206" s="110"/>
      <c r="Z2206" s="25"/>
      <c r="AA2206" s="97">
        <f ca="1">AA2204-AA2205</f>
        <v>17.760892249834015</v>
      </c>
      <c r="AB2206" s="110"/>
      <c r="AC2206" s="25"/>
      <c r="AD2206" s="97">
        <f ca="1">AD2204-AD2205</f>
        <v>-4.7844656418540339</v>
      </c>
      <c r="AE2206" s="110"/>
      <c r="AF2206" s="25"/>
      <c r="AG2206" s="97">
        <f ca="1">AG2204-AG2205</f>
        <v>-44.307692271613888</v>
      </c>
      <c r="AH2206" s="110"/>
      <c r="AI2206" s="25"/>
      <c r="AJ2206" s="97">
        <f ca="1">AJ2204-AJ2205</f>
        <v>-102.47911175694489</v>
      </c>
      <c r="AK2206" s="110"/>
      <c r="AL2206" s="25"/>
      <c r="AM2206" s="97">
        <f ca="1">AM2204-AM2205</f>
        <v>-167.33380455738202</v>
      </c>
      <c r="AN2206" s="110"/>
      <c r="AO2206" s="25"/>
      <c r="AP2206" s="97">
        <f ca="1">AP2204-AP2205</f>
        <v>-236.04052057892505</v>
      </c>
      <c r="AQ2206" s="110"/>
      <c r="AR2206" s="25"/>
      <c r="AS2206" s="97">
        <f ca="1">AS2204-AS2205</f>
        <v>-335.85931310352345</v>
      </c>
      <c r="AT2206" s="110"/>
      <c r="AU2206" s="25"/>
    </row>
    <row r="2207" spans="15:47" ht="14.4" x14ac:dyDescent="0.3">
      <c r="O2207" s="2" t="s">
        <v>140</v>
      </c>
      <c r="P2207" s="11"/>
      <c r="Q2207" s="2"/>
      <c r="R2207" s="96">
        <f>R2206/R2204</f>
        <v>0.33463791492744038</v>
      </c>
      <c r="S2207" s="106"/>
      <c r="T2207" s="22"/>
      <c r="U2207" s="96">
        <f ca="1">U2206/U2204</f>
        <v>0.33064726580531817</v>
      </c>
      <c r="V2207" s="111"/>
      <c r="W2207" s="28"/>
      <c r="X2207" s="96">
        <f ca="1">X2206/X2204</f>
        <v>0.3096314993950619</v>
      </c>
      <c r="Y2207" s="111"/>
      <c r="Z2207" s="28"/>
      <c r="AA2207" s="96">
        <f ca="1">AA2206/AA2204</f>
        <v>0.22840391533537124</v>
      </c>
      <c r="AB2207" s="111"/>
      <c r="AC2207" s="28"/>
      <c r="AD2207" s="96">
        <f ca="1">AD2206/AD2204</f>
        <v>-8.6650717003306149E-2</v>
      </c>
      <c r="AE2207" s="111"/>
      <c r="AF2207" s="28"/>
      <c r="AG2207" s="96">
        <f ca="1">AG2206/AG2204</f>
        <v>-2.8235294029739726</v>
      </c>
      <c r="AH2207" s="111"/>
      <c r="AI2207" s="28"/>
      <c r="AJ2207" s="96">
        <f ca="1">AJ2206/AJ2204</f>
        <v>2.4124589125899183</v>
      </c>
      <c r="AK2207" s="111"/>
      <c r="AL2207" s="28"/>
      <c r="AM2207" s="96">
        <f ca="1">AM2206/AM2204</f>
        <v>1.5590037569936621</v>
      </c>
      <c r="AN2207" s="111"/>
      <c r="AO2207" s="28"/>
      <c r="AP2207" s="96">
        <f ca="1">AP2206/AP2204</f>
        <v>1.3408306212835808</v>
      </c>
      <c r="AQ2207" s="111"/>
      <c r="AR2207" s="28"/>
      <c r="AS2207" s="96">
        <f ca="1">AS2206/AS2204</f>
        <v>1.2175021728466475</v>
      </c>
      <c r="AT2207" s="111"/>
      <c r="AU2207" s="28"/>
    </row>
    <row r="2208" spans="15:47" x14ac:dyDescent="0.25">
      <c r="O2208" s="2" t="s">
        <v>21</v>
      </c>
      <c r="P2208" s="8">
        <v>12</v>
      </c>
      <c r="Q2208" s="2"/>
      <c r="R2208" s="96">
        <f ca="1">1-R2207/(3*F_GAMMA*R$29)</f>
        <v>0.82571750642854003</v>
      </c>
      <c r="S2208" s="106"/>
      <c r="T2208" s="22"/>
      <c r="U2208" s="96">
        <f ca="1">1-U2207/(3*F_GAMMA*U$29)</f>
        <v>0.82783587868013775</v>
      </c>
      <c r="V2208" s="111"/>
      <c r="W2208" s="28"/>
      <c r="X2208" s="96">
        <f ca="1">1-X2207/(3*F_GAMMA*X$29)</f>
        <v>0.83724302942587703</v>
      </c>
      <c r="Y2208" s="111"/>
      <c r="Z2208" s="28"/>
      <c r="AA2208" s="96">
        <f ca="1">1-AA2207/(3*F_GAMMA*AA$29)</f>
        <v>0.87824771776107835</v>
      </c>
      <c r="AB2208" s="111"/>
      <c r="AC2208" s="28"/>
      <c r="AD2208" s="96">
        <f ca="1">1-AD2207/(3*F_GAMMA*AD$29)</f>
        <v>1.0476222999256644</v>
      </c>
      <c r="AE2208" s="111"/>
      <c r="AF2208" s="28"/>
      <c r="AG2208" s="96">
        <f ca="1">1-AG2207/(3*F_GAMMA*AG$29)</f>
        <v>2.6448977870978059</v>
      </c>
      <c r="AH2208" s="111"/>
      <c r="AI2208" s="28"/>
      <c r="AJ2208" s="96">
        <f ca="1">1-AJ2207/(3*F_GAMMA*AJ$29)</f>
        <v>-0.51204089017731769</v>
      </c>
      <c r="AK2208" s="111"/>
      <c r="AL2208" s="28"/>
      <c r="AM2208" s="96">
        <f ca="1">1-AM2207/(3*F_GAMMA*AM$29)</f>
        <v>-9.2507925537069546E-2</v>
      </c>
      <c r="AN2208" s="111"/>
      <c r="AO2208" s="28"/>
      <c r="AP2208" s="96">
        <f ca="1">1-AP2207/(3*F_GAMMA*AP$29)</f>
        <v>0.24316330372984463</v>
      </c>
      <c r="AQ2208" s="111"/>
      <c r="AR2208" s="28"/>
      <c r="AS2208" s="96">
        <f ca="1">1-AS2207/(3*F_GAMMA*AS$29)</f>
        <v>-7.7368939061590591E-2</v>
      </c>
      <c r="AT2208" s="111"/>
      <c r="AU2208" s="28"/>
    </row>
    <row r="2209" spans="15:47" x14ac:dyDescent="0.25">
      <c r="O2209" s="2" t="s">
        <v>57</v>
      </c>
      <c r="P2209" s="143">
        <v>7</v>
      </c>
      <c r="Q2209" s="2"/>
      <c r="R2209" s="96">
        <f ca="1">(R2202/(N_9*R$27*R2204*R2208))*SQRT(M*'Valve Sizing'!$W$6*'Valve Sizing'!$G$8/R2207)</f>
        <v>2.7706843701180608</v>
      </c>
      <c r="S2209" s="107"/>
      <c r="T2209" s="22"/>
      <c r="U2209" s="96">
        <f ca="1">(U2202/(N_9*U$27*U2204*U2208))*SQRT(M*'Valve Sizing'!$W$6*'Valve Sizing'!$G$8/U2207)</f>
        <v>22.334633853733099</v>
      </c>
      <c r="V2209" s="111"/>
      <c r="W2209" s="28"/>
      <c r="X2209" s="96">
        <f ca="1">(X2202/(N_9*X$27*X2204*X2208))*SQRT(M*'Valve Sizing'!$W$6*'Valve Sizing'!$G$8/X2207)</f>
        <v>57.766972607058904</v>
      </c>
      <c r="Y2209" s="111"/>
      <c r="Z2209" s="28"/>
      <c r="AA2209" s="96">
        <f ca="1">(AA2202/(N_9*AA$27*AA2204*AA2208))*SQRT(M*'Valve Sizing'!$W$6*'Valve Sizing'!$G$8/AA2207)</f>
        <v>140.40921921399419</v>
      </c>
      <c r="AB2209" s="111"/>
      <c r="AC2209" s="28"/>
      <c r="AD2209" s="96" t="e">
        <f ca="1">(AD2202/(N_9*AD$27*AD2204*AD2208))*SQRT(M*'Valve Sizing'!$W$6*'Valve Sizing'!$G$8/AD2207)</f>
        <v>#NUM!</v>
      </c>
      <c r="AE2209" s="111"/>
      <c r="AF2209" s="28"/>
      <c r="AG2209" s="96" t="e">
        <f ca="1">(AG2202/(N_9*AG$27*AG2204*AG2208))*SQRT(M*'Valve Sizing'!$W$6*'Valve Sizing'!$G$8/AG2207)</f>
        <v>#NUM!</v>
      </c>
      <c r="AH2209" s="111"/>
      <c r="AI2209" s="28"/>
      <c r="AJ2209" s="96">
        <f ca="1">(AJ2202/(N_9*AJ$27*AJ2204*AJ2208))*SQRT(M*'Valve Sizing'!$W$6*'Valve Sizing'!$G$8/AJ2207)</f>
        <v>475.4385247390199</v>
      </c>
      <c r="AK2209" s="111"/>
      <c r="AL2209" s="28"/>
      <c r="AM2209" s="96">
        <f ca="1">(AM2202/(N_9*AM$27*AM2204*AM2208))*SQRT(M*'Valve Sizing'!$W$6*'Valve Sizing'!$G$8/AM2207)</f>
        <v>1677.303003882291</v>
      </c>
      <c r="AN2209" s="111"/>
      <c r="AO2209" s="28"/>
      <c r="AP2209" s="96">
        <f ca="1">(AP2202/(N_9*AP$27*AP2204*AP2208))*SQRT(M*'Valve Sizing'!$W$6*'Valve Sizing'!$G$8/AP2207)</f>
        <v>-554.35759859958887</v>
      </c>
      <c r="AQ2209" s="111"/>
      <c r="AR2209" s="28"/>
      <c r="AS2209" s="96">
        <f ca="1">(AS2202/(N_9*AS$27*AS2204*AS2208))*SQRT(M*'Valve Sizing'!$W$6*'Valve Sizing'!$G$8/AS2207)</f>
        <v>1832.5147536078723</v>
      </c>
      <c r="AT2209" s="111"/>
      <c r="AU2209" s="28"/>
    </row>
    <row r="2210" spans="15:47" x14ac:dyDescent="0.25">
      <c r="O2210" s="2" t="s">
        <v>59</v>
      </c>
      <c r="P2210" s="143">
        <v>7</v>
      </c>
      <c r="Q2210" s="2"/>
      <c r="R2210" s="96">
        <f ca="1">(R2202/(N_9*R$27*R2204*0.667))*SQRT(M*'Valve Sizing'!$W$6*'Valve Sizing'!$G$8/R2211)</f>
        <v>2.4801629936290941</v>
      </c>
      <c r="S2210" s="107"/>
      <c r="T2210" s="22"/>
      <c r="U2210" s="96">
        <f ca="1">(U2202/(N_9*U$27*U2204*0.667))*SQRT(M*'Valve Sizing'!$W$6*'Valve Sizing'!$G$8/U2211)</f>
        <v>19.921828668795555</v>
      </c>
      <c r="V2210" s="111"/>
      <c r="W2210" s="28"/>
      <c r="X2210" s="96">
        <f ca="1">(X2202/(N_9*X$27*X2204*0.667))*SQRT(M*'Valve Sizing'!$W$6*'Valve Sizing'!$G$8/X2211)</f>
        <v>50.668230875698548</v>
      </c>
      <c r="Y2210" s="111"/>
      <c r="Z2210" s="28"/>
      <c r="AA2210" s="96">
        <f ca="1">(AA2202/(N_9*AA$27*AA2204*0.667))*SQRT(M*'Valve Sizing'!$W$6*'Valve Sizing'!$G$8/AA2211)</f>
        <v>111.73416892304969</v>
      </c>
      <c r="AB2210" s="111"/>
      <c r="AC2210" s="28"/>
      <c r="AD2210" s="96">
        <f ca="1">(AD2202/(N_9*AD$27*AD2204*0.667))*SQRT(M*'Valve Sizing'!$W$6*'Valve Sizing'!$G$8/AD2211)</f>
        <v>271.37924116721541</v>
      </c>
      <c r="AE2210" s="111"/>
      <c r="AF2210" s="28"/>
      <c r="AG2210" s="96">
        <f ca="1">(AG2202/(N_9*AG$27*AG2204*0.667))*SQRT(M*'Valve Sizing'!$W$6*'Valve Sizing'!$G$8/AG2211)</f>
        <v>1467.177988034568</v>
      </c>
      <c r="AH2210" s="111"/>
      <c r="AI2210" s="28"/>
      <c r="AJ2210" s="96">
        <f ca="1">(AJ2202/(N_9*AJ$27*AJ2204*0.667))*SQRT(M*'Valve Sizing'!$W$6*'Valve Sizing'!$G$8/AJ2211)</f>
        <v>-777.34816016708885</v>
      </c>
      <c r="AK2210" s="111"/>
      <c r="AL2210" s="28"/>
      <c r="AM2210" s="96">
        <f ca="1">(AM2202/(N_9*AM$27*AM2204*0.667))*SQRT(M*'Valve Sizing'!$W$6*'Valve Sizing'!$G$8/AM2211)</f>
        <v>-421.15073061926506</v>
      </c>
      <c r="AN2210" s="111"/>
      <c r="AO2210" s="28"/>
      <c r="AP2210" s="96">
        <f ca="1">(AP2202/(N_9*AP$27*AP2204*0.667))*SQRT(M*'Valve Sizing'!$W$6*'Valve Sizing'!$G$8/AP2211)</f>
        <v>-304.52568176330561</v>
      </c>
      <c r="AQ2210" s="111"/>
      <c r="AR2210" s="28"/>
      <c r="AS2210" s="96">
        <f ca="1">(AS2202/(N_9*AS$27*AS2204*0.667))*SQRT(M*'Valve Sizing'!$W$6*'Valve Sizing'!$G$8/AS2211)</f>
        <v>-382.14760321464206</v>
      </c>
      <c r="AT2210" s="111"/>
      <c r="AU2210" s="28"/>
    </row>
    <row r="2211" spans="15:47" ht="15.6" x14ac:dyDescent="0.35">
      <c r="O2211" s="2" t="s">
        <v>68</v>
      </c>
      <c r="P2211" s="143">
        <v>10</v>
      </c>
      <c r="Q2211" s="2"/>
      <c r="R2211" s="96">
        <f ca="1">F_GAMMA*R$29</f>
        <v>0.64002969751372984</v>
      </c>
      <c r="S2211" s="107"/>
      <c r="T2211" s="1"/>
      <c r="U2211" s="96">
        <f ca="1">F_GAMMA*U$29</f>
        <v>0.64017842058782071</v>
      </c>
      <c r="V2211" s="111"/>
      <c r="W2211" s="28"/>
      <c r="X2211" s="96">
        <f ca="1">F_GAMMA*X$29</f>
        <v>0.63413873724904268</v>
      </c>
      <c r="Y2211" s="111"/>
      <c r="Z2211" s="28"/>
      <c r="AA2211" s="96">
        <f ca="1">F_GAMMA*AA$29</f>
        <v>0.62532411750377137</v>
      </c>
      <c r="AB2211" s="111"/>
      <c r="AC2211" s="28"/>
      <c r="AD2211" s="96">
        <f ca="1">F_GAMMA*AD$29</f>
        <v>0.60651359509139569</v>
      </c>
      <c r="AE2211" s="111"/>
      <c r="AF2211" s="28"/>
      <c r="AG2211" s="96">
        <f ca="1">F_GAMMA*AG$29</f>
        <v>0.57217930198481592</v>
      </c>
      <c r="AH2211" s="111"/>
      <c r="AI2211" s="28"/>
      <c r="AJ2211" s="96">
        <f ca="1">F_GAMMA*AJ$29</f>
        <v>0.53183282018848232</v>
      </c>
      <c r="AK2211" s="111"/>
      <c r="AL2211" s="28"/>
      <c r="AM2211" s="96">
        <f ca="1">F_GAMMA*AM$29</f>
        <v>0.47566512503094399</v>
      </c>
      <c r="AN2211" s="111"/>
      <c r="AO2211" s="28"/>
      <c r="AP2211" s="96">
        <f ca="1">F_GAMMA*AP$29</f>
        <v>0.59054158265645496</v>
      </c>
      <c r="AQ2211" s="111"/>
      <c r="AR2211" s="28"/>
      <c r="AS2211" s="96">
        <f ca="1">F_GAMMA*AS$29</f>
        <v>0.3766899554102966</v>
      </c>
      <c r="AT2211" s="111"/>
      <c r="AU2211" s="28"/>
    </row>
    <row r="2212" spans="15:47" x14ac:dyDescent="0.25">
      <c r="O2212" s="2" t="s">
        <v>145</v>
      </c>
      <c r="P2212" s="12"/>
      <c r="Q2212" s="2"/>
      <c r="R2212" s="96">
        <f ca="1">IF(R2207&lt;R2211,R2209,R2210)</f>
        <v>2.7706843701180608</v>
      </c>
      <c r="S2212" s="116"/>
      <c r="T2212" s="1"/>
      <c r="U2212" s="96">
        <f ca="1">IF(U2207&lt;U2211,U2209,U2210)</f>
        <v>22.334633853733099</v>
      </c>
      <c r="V2212" s="111"/>
      <c r="W2212" s="28"/>
      <c r="X2212" s="96">
        <f ca="1">IF(X2207&lt;X2211,X2209,X2210)</f>
        <v>57.766972607058904</v>
      </c>
      <c r="Y2212" s="111"/>
      <c r="Z2212" s="28"/>
      <c r="AA2212" s="96">
        <f ca="1">IF(AA2207&lt;AA2211,AA2209,AA2210)</f>
        <v>140.40921921399419</v>
      </c>
      <c r="AB2212" s="111"/>
      <c r="AC2212" s="28"/>
      <c r="AD2212" s="96" t="e">
        <f ca="1">IF(AD2207&lt;AD2211,AD2209,AD2210)</f>
        <v>#NUM!</v>
      </c>
      <c r="AE2212" s="111"/>
      <c r="AF2212" s="28"/>
      <c r="AG2212" s="96" t="e">
        <f ca="1">IF(AG2207&lt;AG2211,AG2209,AG2210)</f>
        <v>#NUM!</v>
      </c>
      <c r="AH2212" s="111"/>
      <c r="AI2212" s="28"/>
      <c r="AJ2212" s="96">
        <f ca="1">IF(AJ2207&lt;AJ2211,AJ2209,AJ2210)</f>
        <v>-777.34816016708885</v>
      </c>
      <c r="AK2212" s="111"/>
      <c r="AL2212" s="28"/>
      <c r="AM2212" s="96">
        <f ca="1">IF(AM2207&lt;AM2211,AM2209,AM2210)</f>
        <v>-421.15073061926506</v>
      </c>
      <c r="AN2212" s="111"/>
      <c r="AO2212" s="28"/>
      <c r="AP2212" s="96">
        <f ca="1">IF(AP2207&lt;AP2211,AP2209,AP2210)</f>
        <v>-304.52568176330561</v>
      </c>
      <c r="AQ2212" s="111"/>
      <c r="AR2212" s="28"/>
      <c r="AS2212" s="96">
        <f ca="1">IF(AS2207&lt;AS2211,AS2209,AS2210)</f>
        <v>-382.14760321464206</v>
      </c>
      <c r="AT2212" s="111"/>
      <c r="AU2212" s="28"/>
    </row>
    <row r="2213" spans="15:47" x14ac:dyDescent="0.25">
      <c r="O2213" s="13" t="s">
        <v>143</v>
      </c>
      <c r="P2213" s="1"/>
      <c r="Q2213" s="1"/>
      <c r="R2213" s="113"/>
      <c r="S2213" s="106">
        <f ca="1">IF(R2206&lt;=0,Q_max,ABS(R$23-R2212))</f>
        <v>1.9593156298819396</v>
      </c>
      <c r="T2213" s="7">
        <f>R2202</f>
        <v>6859.8289493324401</v>
      </c>
      <c r="U2213" s="98"/>
      <c r="V2213" s="106">
        <f ca="1">IF(U2206&lt;=0,Q_max,ABS(U$23-U2212))</f>
        <v>10.734633853733099</v>
      </c>
      <c r="W2213" s="9">
        <f ca="1">U2202</f>
        <v>54743.285733140314</v>
      </c>
      <c r="X2213" s="98"/>
      <c r="Y2213" s="106">
        <f ca="1">IF(X2206&lt;=0,Q_max,ABS(X$23-X2212))</f>
        <v>34.766972607058904</v>
      </c>
      <c r="Z2213" s="9">
        <f ca="1">X2202</f>
        <v>134046.19816378542</v>
      </c>
      <c r="AA2213" s="98"/>
      <c r="AB2213" s="106">
        <f ca="1">IF(AA2206&lt;=0,Q_max,ABS(AA$23-AA2212))</f>
        <v>101.00921921399419</v>
      </c>
      <c r="AC2213" s="9">
        <f ca="1">AA2202</f>
        <v>261087.77934579639</v>
      </c>
      <c r="AD2213" s="98"/>
      <c r="AE2213" s="106">
        <f ca="1">IF(AD2206&lt;=0,Q_max,ABS(AD$23-AD2212))</f>
        <v>236393</v>
      </c>
      <c r="AF2213" s="9">
        <f ca="1">AD2202</f>
        <v>438024.07493780425</v>
      </c>
      <c r="AG2213" s="98"/>
      <c r="AH2213" s="106">
        <f ca="1">IF(AG2206&lt;=0,Q_max,ABS(AG$23-AG2212))</f>
        <v>236393</v>
      </c>
      <c r="AI2213" s="9">
        <f ca="1">AG2202</f>
        <v>639308.06745752983</v>
      </c>
      <c r="AJ2213" s="98"/>
      <c r="AK2213" s="106">
        <f ca="1">IF(AJ2206&lt;=0,Q_max,ABS(AJ$23-AJ2212))</f>
        <v>236393</v>
      </c>
      <c r="AL2213" s="9">
        <f ca="1">AJ2202</f>
        <v>853159.09434277995</v>
      </c>
      <c r="AM2213" s="98"/>
      <c r="AN2213" s="106">
        <f ca="1">IF(AM2206&lt;=0,Q_max,ABS(AM$23-AM2212))</f>
        <v>236393</v>
      </c>
      <c r="AO2213" s="9">
        <f ca="1">AM2202</f>
        <v>1041016.2294080879</v>
      </c>
      <c r="AP2213" s="98"/>
      <c r="AQ2213" s="106">
        <f ca="1">IF(AP2206&lt;=0,Q_max,ABS(AP$23-AP2212))</f>
        <v>236393</v>
      </c>
      <c r="AR2213" s="9">
        <f ca="1">AP2202</f>
        <v>1208587.5243791228</v>
      </c>
      <c r="AS2213" s="98"/>
      <c r="AT2213" s="106">
        <f ca="1">IF(AS2206&lt;=0,Q_max,ABS(AS$23-AS2212))</f>
        <v>236393</v>
      </c>
      <c r="AU2213" s="9">
        <f ca="1">AS2202</f>
        <v>1417163.9216081596</v>
      </c>
    </row>
    <row r="2214" spans="15:47" x14ac:dyDescent="0.25">
      <c r="O2214" s="21"/>
      <c r="P2214" s="14"/>
      <c r="Q2214" s="21"/>
      <c r="R2214" s="97"/>
      <c r="S2214" s="106"/>
      <c r="T2214" s="28"/>
      <c r="U2214" s="97"/>
      <c r="V2214" s="111"/>
      <c r="W2214" s="28"/>
      <c r="X2214" s="97"/>
      <c r="Y2214" s="111"/>
      <c r="Z2214" s="28"/>
      <c r="AA2214" s="97"/>
      <c r="AB2214" s="111"/>
      <c r="AC2214" s="28"/>
      <c r="AD2214" s="97"/>
      <c r="AE2214" s="111"/>
      <c r="AF2214" s="28"/>
      <c r="AG2214" s="97"/>
      <c r="AH2214" s="111"/>
      <c r="AI2214" s="28"/>
      <c r="AJ2214" s="97"/>
      <c r="AK2214" s="111"/>
      <c r="AL2214" s="28"/>
      <c r="AM2214" s="97"/>
      <c r="AN2214" s="111"/>
      <c r="AO2214" s="28"/>
      <c r="AP2214" s="97"/>
      <c r="AQ2214" s="111"/>
      <c r="AR2214" s="28"/>
      <c r="AS2214" s="97"/>
      <c r="AT2214" s="111"/>
      <c r="AU2214" s="28"/>
    </row>
    <row r="2215" spans="15:47" x14ac:dyDescent="0.25">
      <c r="O2215" s="1"/>
      <c r="P2215" s="1"/>
      <c r="Q2215" s="1"/>
      <c r="R2215" s="98"/>
      <c r="S2215" s="108" t="s">
        <v>137</v>
      </c>
      <c r="T2215" s="26" t="s">
        <v>146</v>
      </c>
      <c r="U2215" s="98"/>
      <c r="V2215" s="108" t="s">
        <v>137</v>
      </c>
      <c r="W2215" s="26" t="s">
        <v>146</v>
      </c>
      <c r="X2215" s="98"/>
      <c r="Y2215" s="108" t="s">
        <v>137</v>
      </c>
      <c r="Z2215" s="26" t="s">
        <v>146</v>
      </c>
      <c r="AA2215" s="98"/>
      <c r="AB2215" s="108" t="s">
        <v>137</v>
      </c>
      <c r="AC2215" s="26" t="s">
        <v>146</v>
      </c>
      <c r="AD2215" s="98"/>
      <c r="AE2215" s="108" t="s">
        <v>137</v>
      </c>
      <c r="AF2215" s="26" t="s">
        <v>146</v>
      </c>
      <c r="AG2215" s="98"/>
      <c r="AH2215" s="108" t="s">
        <v>137</v>
      </c>
      <c r="AI2215" s="26" t="s">
        <v>146</v>
      </c>
      <c r="AJ2215" s="98"/>
      <c r="AK2215" s="108" t="s">
        <v>137</v>
      </c>
      <c r="AL2215" s="26" t="s">
        <v>146</v>
      </c>
      <c r="AM2215" s="98"/>
      <c r="AN2215" s="108" t="s">
        <v>137</v>
      </c>
      <c r="AO2215" s="26" t="s">
        <v>146</v>
      </c>
      <c r="AP2215" s="98"/>
      <c r="AQ2215" s="108" t="s">
        <v>137</v>
      </c>
      <c r="AR2215" s="26" t="s">
        <v>146</v>
      </c>
      <c r="AS2215" s="98"/>
      <c r="AT2215" s="108" t="s">
        <v>137</v>
      </c>
      <c r="AU2215" s="26" t="s">
        <v>146</v>
      </c>
    </row>
    <row r="2216" spans="15:47" ht="13.8" x14ac:dyDescent="0.25">
      <c r="O2216" s="20" t="s">
        <v>136</v>
      </c>
      <c r="P2216" s="1"/>
      <c r="Q2216" s="1"/>
      <c r="R2216" s="96">
        <f>R2202*1.02</f>
        <v>6997.0255283190891</v>
      </c>
      <c r="S2216" s="109" t="s">
        <v>144</v>
      </c>
      <c r="T2216" s="23" t="s">
        <v>147</v>
      </c>
      <c r="U2216" s="96">
        <f ca="1">U2202*1.01</f>
        <v>55290.718590471719</v>
      </c>
      <c r="V2216" s="109" t="s">
        <v>144</v>
      </c>
      <c r="W2216" s="23" t="s">
        <v>147</v>
      </c>
      <c r="X2216" s="96">
        <f ca="1">X2202*1.01</f>
        <v>135386.66014542329</v>
      </c>
      <c r="Y2216" s="109" t="s">
        <v>144</v>
      </c>
      <c r="Z2216" s="23" t="s">
        <v>147</v>
      </c>
      <c r="AA2216" s="96">
        <f ca="1">AA2202*1.01</f>
        <v>263698.65713925433</v>
      </c>
      <c r="AB2216" s="109" t="s">
        <v>144</v>
      </c>
      <c r="AC2216" s="23" t="s">
        <v>147</v>
      </c>
      <c r="AD2216" s="96">
        <f ca="1">AD2202*1.01</f>
        <v>442404.3156871823</v>
      </c>
      <c r="AE2216" s="109" t="s">
        <v>144</v>
      </c>
      <c r="AF2216" s="23" t="s">
        <v>147</v>
      </c>
      <c r="AG2216" s="96">
        <f ca="1">AG2202*1.01</f>
        <v>645701.14813210513</v>
      </c>
      <c r="AH2216" s="109" t="s">
        <v>144</v>
      </c>
      <c r="AI2216" s="23" t="s">
        <v>147</v>
      </c>
      <c r="AJ2216" s="96">
        <f ca="1">AJ2202*1.01</f>
        <v>861690.68528620771</v>
      </c>
      <c r="AK2216" s="109" t="s">
        <v>144</v>
      </c>
      <c r="AL2216" s="23" t="s">
        <v>147</v>
      </c>
      <c r="AM2216" s="96">
        <f ca="1">AM2202*1.01</f>
        <v>1051426.3917021689</v>
      </c>
      <c r="AN2216" s="109" t="s">
        <v>144</v>
      </c>
      <c r="AO2216" s="23" t="s">
        <v>147</v>
      </c>
      <c r="AP2216" s="96">
        <f ca="1">AP2202*1.01</f>
        <v>1220673.3996229139</v>
      </c>
      <c r="AQ2216" s="109" t="s">
        <v>144</v>
      </c>
      <c r="AR2216" s="23" t="s">
        <v>147</v>
      </c>
      <c r="AS2216" s="96">
        <f ca="1">AS2202*1.01</f>
        <v>1431335.5608242413</v>
      </c>
      <c r="AT2216" s="109" t="s">
        <v>144</v>
      </c>
      <c r="AU2216" s="23" t="s">
        <v>147</v>
      </c>
    </row>
    <row r="2217" spans="15:47" x14ac:dyDescent="0.25">
      <c r="O2217" s="1"/>
      <c r="P2217" s="1"/>
      <c r="Q2217" s="1"/>
      <c r="R2217" s="98"/>
      <c r="S2217" s="107"/>
      <c r="T2217" s="1"/>
      <c r="U2217" s="47"/>
      <c r="V2217" s="107"/>
      <c r="W2217" s="1"/>
      <c r="X2217" s="47"/>
      <c r="Y2217" s="107"/>
      <c r="Z2217" s="1"/>
      <c r="AA2217" s="47"/>
      <c r="AB2217" s="107"/>
      <c r="AC2217" s="1"/>
      <c r="AD2217" s="47"/>
      <c r="AE2217" s="107"/>
      <c r="AF2217" s="1"/>
      <c r="AG2217" s="47"/>
      <c r="AH2217" s="107"/>
      <c r="AI2217" s="1"/>
      <c r="AJ2217" s="47"/>
      <c r="AK2217" s="107"/>
      <c r="AL2217" s="1"/>
      <c r="AM2217" s="47"/>
      <c r="AN2217" s="107"/>
      <c r="AO2217" s="1"/>
      <c r="AP2217" s="47"/>
      <c r="AQ2217" s="107"/>
      <c r="AR2217" s="1"/>
      <c r="AS2217" s="47"/>
      <c r="AT2217" s="107"/>
      <c r="AU2217" s="1"/>
    </row>
    <row r="2218" spans="15:47" x14ac:dyDescent="0.25">
      <c r="O2218" s="8" t="s">
        <v>132</v>
      </c>
      <c r="P2218" s="8"/>
      <c r="Q2218" s="8"/>
      <c r="R2218" s="96">
        <f>P_1_minQ-(R2216^2*R_up)+dpup_minQ</f>
        <v>90.176117333813011</v>
      </c>
      <c r="S2218" s="106"/>
      <c r="T2218" s="22"/>
      <c r="U2218" s="96">
        <f ca="1">P_1_minQ-(U2216^2*R_up)+dpup_minQ</f>
        <v>89.627857339800073</v>
      </c>
      <c r="V2218" s="107"/>
      <c r="W2218" s="1"/>
      <c r="X2218" s="96">
        <f ca="1">P_1_minQ-(X2216^2*R_up)+dpup_minQ</f>
        <v>86.844280456287393</v>
      </c>
      <c r="Y2218" s="107"/>
      <c r="Z2218" s="1"/>
      <c r="AA2218" s="96">
        <f ca="1">P_1_minQ-(AA2216^2*R_up)+dpup_minQ</f>
        <v>77.511166869397542</v>
      </c>
      <c r="AB2218" s="107"/>
      <c r="AC2218" s="1"/>
      <c r="AD2218" s="96">
        <f ca="1">P_1_minQ-(AD2216^2*R_up)+dpup_minQ</f>
        <v>54.512647284086562</v>
      </c>
      <c r="AE2218" s="107"/>
      <c r="AF2218" s="1"/>
      <c r="AG2218" s="96">
        <f ca="1">P_1_minQ-(AG2216^2*R_up)+dpup_minQ</f>
        <v>14.195003799068528</v>
      </c>
      <c r="AH2218" s="107"/>
      <c r="AI2218" s="1"/>
      <c r="AJ2218" s="96">
        <f ca="1">P_1_minQ-(AJ2216^2*R_up)+dpup_minQ</f>
        <v>-45.145661217917592</v>
      </c>
      <c r="AK2218" s="107"/>
      <c r="AL2218" s="1"/>
      <c r="AM2218" s="96">
        <f ca="1">P_1_minQ-(AM2216^2*R_up)+dpup_minQ</f>
        <v>-111.30393334364354</v>
      </c>
      <c r="AN2218" s="107"/>
      <c r="AO2218" s="1"/>
      <c r="AP2218" s="96">
        <f ca="1">P_1_minQ-(AP2216^2*R_up)+dpup_minQ</f>
        <v>-181.39165435721952</v>
      </c>
      <c r="AQ2218" s="107"/>
      <c r="AR2218" s="1"/>
      <c r="AS2218" s="96">
        <f ca="1">P_1_minQ-(AS2216^2*R_up)+dpup_minQ</f>
        <v>-283.21680461156245</v>
      </c>
      <c r="AT2218" s="107"/>
      <c r="AU2218" s="1"/>
    </row>
    <row r="2219" spans="15:47" x14ac:dyDescent="0.25">
      <c r="O2219" s="8" t="s">
        <v>134</v>
      </c>
      <c r="P2219" s="1"/>
      <c r="Q2219" s="8"/>
      <c r="R2219" s="97">
        <f>P_2_minQ+(R2216^2*R_dn)-dpdn_minQ</f>
        <v>60</v>
      </c>
      <c r="S2219" s="106"/>
      <c r="T2219" s="22"/>
      <c r="U2219" s="97">
        <f ca="1">P_2_minQ+(U2216^2*R_dn)-dpdn_minQ</f>
        <v>60</v>
      </c>
      <c r="V2219" s="107"/>
      <c r="W2219" s="1"/>
      <c r="X2219" s="97">
        <f ca="1">P_2_minQ+(X2216^2*R_dn)-dpdn_minQ</f>
        <v>60</v>
      </c>
      <c r="Y2219" s="107"/>
      <c r="Z2219" s="1"/>
      <c r="AA2219" s="97">
        <f ca="1">P_2_minQ+(AA2216^2*R_dn)-dpdn_minQ</f>
        <v>60</v>
      </c>
      <c r="AB2219" s="107"/>
      <c r="AC2219" s="1"/>
      <c r="AD2219" s="97">
        <f ca="1">P_2_minQ+(AD2216^2*R_dn)-dpdn_minQ</f>
        <v>60</v>
      </c>
      <c r="AE2219" s="107"/>
      <c r="AF2219" s="1"/>
      <c r="AG2219" s="97">
        <f ca="1">P_2_minQ+(AG2216^2*R_dn)-dpdn_minQ</f>
        <v>60</v>
      </c>
      <c r="AH2219" s="107"/>
      <c r="AI2219" s="1"/>
      <c r="AJ2219" s="97">
        <f ca="1">P_2_minQ+(AJ2216^2*R_dn)-dpdn_minQ</f>
        <v>60</v>
      </c>
      <c r="AK2219" s="107"/>
      <c r="AL2219" s="1"/>
      <c r="AM2219" s="97">
        <f ca="1">P_2_minQ+(AM2216^2*R_dn)-dpdn_minQ</f>
        <v>60</v>
      </c>
      <c r="AN2219" s="107"/>
      <c r="AO2219" s="1"/>
      <c r="AP2219" s="97">
        <f ca="1">P_2_minQ+(AP2216^2*R_dn)-dpdn_minQ</f>
        <v>60</v>
      </c>
      <c r="AQ2219" s="107"/>
      <c r="AR2219" s="1"/>
      <c r="AS2219" s="97">
        <f ca="1">P_2_minQ+(AS2216^2*R_dn)-dpdn_minQ</f>
        <v>60</v>
      </c>
      <c r="AT2219" s="107"/>
      <c r="AU2219" s="1"/>
    </row>
    <row r="2220" spans="15:47" x14ac:dyDescent="0.25">
      <c r="O2220" s="8" t="s">
        <v>138</v>
      </c>
      <c r="P2220" s="1"/>
      <c r="Q2220" s="8"/>
      <c r="R2220" s="97">
        <f>R2218-R2219</f>
        <v>30.176117333813011</v>
      </c>
      <c r="S2220" s="106"/>
      <c r="T2220" s="22"/>
      <c r="U2220" s="97">
        <f ca="1">U2218-U2219</f>
        <v>29.627857339800073</v>
      </c>
      <c r="V2220" s="110"/>
      <c r="W2220" s="25"/>
      <c r="X2220" s="97">
        <f ca="1">X2218-X2219</f>
        <v>26.844280456287393</v>
      </c>
      <c r="Y2220" s="110"/>
      <c r="Z2220" s="25"/>
      <c r="AA2220" s="97">
        <f ca="1">AA2218-AA2219</f>
        <v>17.511166869397542</v>
      </c>
      <c r="AB2220" s="110"/>
      <c r="AC2220" s="25"/>
      <c r="AD2220" s="97">
        <f ca="1">AD2218-AD2219</f>
        <v>-5.4873527159134383</v>
      </c>
      <c r="AE2220" s="110"/>
      <c r="AF2220" s="25"/>
      <c r="AG2220" s="97">
        <f ca="1">AG2218-AG2219</f>
        <v>-45.80499620093147</v>
      </c>
      <c r="AH2220" s="110"/>
      <c r="AI2220" s="25"/>
      <c r="AJ2220" s="97">
        <f ca="1">AJ2218-AJ2219</f>
        <v>-105.14566121791759</v>
      </c>
      <c r="AK2220" s="110"/>
      <c r="AL2220" s="25"/>
      <c r="AM2220" s="97">
        <f ca="1">AM2218-AM2219</f>
        <v>-171.30393334364354</v>
      </c>
      <c r="AN2220" s="110"/>
      <c r="AO2220" s="25"/>
      <c r="AP2220" s="97">
        <f ca="1">AP2218-AP2219</f>
        <v>-241.39165435721952</v>
      </c>
      <c r="AQ2220" s="110"/>
      <c r="AR2220" s="25"/>
      <c r="AS2220" s="97">
        <f ca="1">AS2218-AS2219</f>
        <v>-343.21680461156245</v>
      </c>
      <c r="AT2220" s="110"/>
      <c r="AU2220" s="25"/>
    </row>
    <row r="2221" spans="15:47" ht="14.4" x14ac:dyDescent="0.3">
      <c r="O2221" s="2" t="s">
        <v>140</v>
      </c>
      <c r="P2221" s="11"/>
      <c r="Q2221" s="2"/>
      <c r="R2221" s="96">
        <f>R2220/R2218</f>
        <v>0.33463535829678021</v>
      </c>
      <c r="S2221" s="106"/>
      <c r="T2221" s="22"/>
      <c r="U2221" s="96">
        <f ca="1">U2220/U2218</f>
        <v>0.33056527534150426</v>
      </c>
      <c r="V2221" s="111"/>
      <c r="W2221" s="28"/>
      <c r="X2221" s="96">
        <f ca="1">X2220/X2218</f>
        <v>0.30910821432620794</v>
      </c>
      <c r="Y2221" s="111"/>
      <c r="Z2221" s="28"/>
      <c r="AA2221" s="96">
        <f ca="1">AA2220/AA2218</f>
        <v>0.2259179880352335</v>
      </c>
      <c r="AB2221" s="111"/>
      <c r="AC2221" s="28"/>
      <c r="AD2221" s="96">
        <f ca="1">AD2220/AD2218</f>
        <v>-0.10066201128183545</v>
      </c>
      <c r="AE2221" s="111"/>
      <c r="AF2221" s="28"/>
      <c r="AG2221" s="96">
        <f ca="1">AG2220/AG2218</f>
        <v>-3.2268393055264402</v>
      </c>
      <c r="AH2221" s="111"/>
      <c r="AI2221" s="28"/>
      <c r="AJ2221" s="96">
        <f ca="1">AJ2220/AJ2218</f>
        <v>2.3290313704872032</v>
      </c>
      <c r="AK2221" s="111"/>
      <c r="AL2221" s="28"/>
      <c r="AM2221" s="96">
        <f ca="1">AM2220/AM2218</f>
        <v>1.5390645074038307</v>
      </c>
      <c r="AN2221" s="111"/>
      <c r="AO2221" s="28"/>
      <c r="AP2221" s="96">
        <f ca="1">AP2220/AP2218</f>
        <v>1.3307759676850424</v>
      </c>
      <c r="AQ2221" s="111"/>
      <c r="AR2221" s="28"/>
      <c r="AS2221" s="96">
        <f ca="1">AS2220/AS2218</f>
        <v>1.2118518358481278</v>
      </c>
      <c r="AT2221" s="111"/>
      <c r="AU2221" s="28"/>
    </row>
    <row r="2222" spans="15:47" x14ac:dyDescent="0.25">
      <c r="O2222" s="2" t="s">
        <v>21</v>
      </c>
      <c r="P2222" s="8">
        <v>12</v>
      </c>
      <c r="Q2222" s="2"/>
      <c r="R2222" s="96">
        <f ca="1">1-R2221/(3*F_GAMMA*R$29)</f>
        <v>0.82571883794522327</v>
      </c>
      <c r="S2222" s="106"/>
      <c r="T2222" s="22"/>
      <c r="U2222" s="96">
        <f ca="1">1-U2221/(3*F_GAMMA*U$29)</f>
        <v>0.82787857014508826</v>
      </c>
      <c r="V2222" s="111"/>
      <c r="W2222" s="28"/>
      <c r="X2222" s="96">
        <f ca="1">1-X2221/(3*F_GAMMA*X$29)</f>
        <v>0.83751809282452905</v>
      </c>
      <c r="Y2222" s="111"/>
      <c r="Z2222" s="28"/>
      <c r="AA2222" s="96">
        <f ca="1">1-AA2221/(3*F_GAMMA*AA$29)</f>
        <v>0.8795728584524164</v>
      </c>
      <c r="AB2222" s="111"/>
      <c r="AC2222" s="28"/>
      <c r="AD2222" s="96">
        <f ca="1">1-AD2221/(3*F_GAMMA*AD$29)</f>
        <v>1.0553227562121761</v>
      </c>
      <c r="AE2222" s="111"/>
      <c r="AF2222" s="28"/>
      <c r="AG2222" s="96">
        <f ca="1">1-AG2221/(3*F_GAMMA*AG$29)</f>
        <v>2.8798532175333573</v>
      </c>
      <c r="AH2222" s="111"/>
      <c r="AI2222" s="28"/>
      <c r="AJ2222" s="96">
        <f ca="1">1-AJ2221/(3*F_GAMMA*AJ$29)</f>
        <v>-0.4597515623185191</v>
      </c>
      <c r="AK2222" s="111"/>
      <c r="AL2222" s="28"/>
      <c r="AM2222" s="96">
        <f ca="1">1-AM2221/(3*F_GAMMA*AM$29)</f>
        <v>-7.853503540872242E-2</v>
      </c>
      <c r="AN2222" s="111"/>
      <c r="AO2222" s="28"/>
      <c r="AP2222" s="96">
        <f ca="1">1-AP2221/(3*F_GAMMA*AP$29)</f>
        <v>0.24883868933848607</v>
      </c>
      <c r="AQ2222" s="111"/>
      <c r="AR2222" s="28"/>
      <c r="AS2222" s="96">
        <f ca="1">1-AS2221/(3*F_GAMMA*AS$29)</f>
        <v>-7.2368949974751962E-2</v>
      </c>
      <c r="AT2222" s="111"/>
      <c r="AU2222" s="28"/>
    </row>
    <row r="2223" spans="15:47" x14ac:dyDescent="0.25">
      <c r="O2223" s="2" t="s">
        <v>57</v>
      </c>
      <c r="P2223" s="143">
        <v>7</v>
      </c>
      <c r="Q2223" s="2"/>
      <c r="R2223" s="96">
        <f ca="1">(R2216/(N_9*R$27*R2218*R2222))*SQRT(M*'Valve Sizing'!$W$6*'Valve Sizing'!$G$8/R2221)</f>
        <v>2.8261151552168342</v>
      </c>
      <c r="S2223" s="107"/>
      <c r="T2223" s="22"/>
      <c r="U2223" s="96">
        <f ca="1">(U2216/(N_9*U$27*U2218*U2222))*SQRT(M*'Valve Sizing'!$W$6*'Valve Sizing'!$G$8/U2221)</f>
        <v>22.562377536443105</v>
      </c>
      <c r="V2223" s="111"/>
      <c r="W2223" s="28"/>
      <c r="X2223" s="96">
        <f ca="1">(X2216/(N_9*X$27*X2218*X2222))*SQRT(M*'Valve Sizing'!$W$6*'Valve Sizing'!$G$8/X2221)</f>
        <v>58.419075630621251</v>
      </c>
      <c r="Y2223" s="111"/>
      <c r="Z2223" s="28"/>
      <c r="AA2223" s="96">
        <f ca="1">(AA2216/(N_9*AA$27*AA2218*AA2222))*SQRT(M*'Valve Sizing'!$W$6*'Valve Sizing'!$G$8/AA2221)</f>
        <v>142.83529465672038</v>
      </c>
      <c r="AB2223" s="111"/>
      <c r="AC2223" s="28"/>
      <c r="AD2223" s="96" t="e">
        <f ca="1">(AD2216/(N_9*AD$27*AD2218*AD2222))*SQRT(M*'Valve Sizing'!$W$6*'Valve Sizing'!$G$8/AD2221)</f>
        <v>#NUM!</v>
      </c>
      <c r="AE2223" s="111"/>
      <c r="AF2223" s="28"/>
      <c r="AG2223" s="96" t="e">
        <f ca="1">(AG2216/(N_9*AG$27*AG2218*AG2222))*SQRT(M*'Valve Sizing'!$W$6*'Valve Sizing'!$G$8/AG2221)</f>
        <v>#NUM!</v>
      </c>
      <c r="AH2223" s="111"/>
      <c r="AI2223" s="28"/>
      <c r="AJ2223" s="96">
        <f ca="1">(AJ2216/(N_9*AJ$27*AJ2218*AJ2222))*SQRT(M*'Valve Sizing'!$W$6*'Valve Sizing'!$G$8/AJ2221)</f>
        <v>512.15200358618767</v>
      </c>
      <c r="AK2223" s="111"/>
      <c r="AL2223" s="28"/>
      <c r="AM2223" s="96">
        <f ca="1">(AM2216/(N_9*AM$27*AM2218*AM2222))*SQRT(M*'Valve Sizing'!$W$6*'Valve Sizing'!$G$8/AM2221)</f>
        <v>1936.7322207305224</v>
      </c>
      <c r="AN2223" s="111"/>
      <c r="AO2223" s="28"/>
      <c r="AP2223" s="96">
        <f ca="1">(AP2216/(N_9*AP$27*AP2218*AP2222))*SQRT(M*'Valve Sizing'!$W$6*'Valve Sizing'!$G$8/AP2221)</f>
        <v>-532.99279245356195</v>
      </c>
      <c r="AQ2223" s="111"/>
      <c r="AR2223" s="28"/>
      <c r="AS2223" s="96">
        <f ca="1">(AS2216/(N_9*AS$27*AS2218*AS2222))*SQRT(M*'Valve Sizing'!$W$6*'Valve Sizing'!$G$8/AS2221)</f>
        <v>1931.7991278305085</v>
      </c>
      <c r="AT2223" s="111"/>
      <c r="AU2223" s="28"/>
    </row>
    <row r="2224" spans="15:47" x14ac:dyDescent="0.25">
      <c r="O2224" s="2" t="s">
        <v>59</v>
      </c>
      <c r="P2224" s="143">
        <v>7</v>
      </c>
      <c r="Q2224" s="2"/>
      <c r="R2224" s="96">
        <f ca="1">(R2216/(N_9*R$27*R2218*0.667))*SQRT(M*'Valve Sizing'!$W$6*'Valve Sizing'!$G$8/R2225)</f>
        <v>2.5297759740404802</v>
      </c>
      <c r="S2224" s="107"/>
      <c r="T2224" s="22"/>
      <c r="U2224" s="96">
        <f ca="1">(U2216/(N_9*U$27*U2218*0.667))*SQRT(M*'Valve Sizing'!$W$6*'Valve Sizing'!$G$8/U2225)</f>
        <v>20.123511626034663</v>
      </c>
      <c r="V2224" s="111"/>
      <c r="W2224" s="28"/>
      <c r="X2224" s="96">
        <f ca="1">(X2216/(N_9*X$27*X2218*0.667))*SQRT(M*'Valve Sizing'!$W$6*'Valve Sizing'!$G$8/X2225)</f>
        <v>51.213702711998955</v>
      </c>
      <c r="Y2224" s="111"/>
      <c r="Z2224" s="28"/>
      <c r="AA2224" s="96">
        <f ca="1">(AA2216/(N_9*AA$27*AA2218*0.667))*SQRT(M*'Valve Sizing'!$W$6*'Valve Sizing'!$G$8/AA2225)</f>
        <v>113.21509546796901</v>
      </c>
      <c r="AB2224" s="111"/>
      <c r="AC2224" s="28"/>
      <c r="AD2224" s="96">
        <f ca="1">(AD2216/(N_9*AD$27*AD2218*0.667))*SQRT(M*'Valve Sizing'!$W$6*'Valve Sizing'!$G$8/AD2225)</f>
        <v>277.62719418180825</v>
      </c>
      <c r="AE2224" s="111"/>
      <c r="AF2224" s="28"/>
      <c r="AG2224" s="96">
        <f ca="1">(AG2216/(N_9*AG$27*AG2218*0.667))*SQRT(M*'Valve Sizing'!$W$6*'Valve Sizing'!$G$8/AG2225)</f>
        <v>1638.1568398653235</v>
      </c>
      <c r="AH2224" s="111"/>
      <c r="AI2224" s="28"/>
      <c r="AJ2224" s="96">
        <f ca="1">(AJ2216/(N_9*AJ$27*AJ2218*0.667))*SQRT(M*'Valve Sizing'!$W$6*'Valve Sizing'!$G$8/AJ2225)</f>
        <v>-738.74806711779013</v>
      </c>
      <c r="AK2224" s="111"/>
      <c r="AL2224" s="28"/>
      <c r="AM2224" s="96">
        <f ca="1">(AM2216/(N_9*AM$27*AM2218*0.667))*SQRT(M*'Valve Sizing'!$W$6*'Valve Sizing'!$G$8/AM2225)</f>
        <v>-410.18988224452607</v>
      </c>
      <c r="AN2224" s="111"/>
      <c r="AO2224" s="28"/>
      <c r="AP2224" s="96">
        <f ca="1">(AP2216/(N_9*AP$27*AP2218*0.667))*SQRT(M*'Valve Sizing'!$W$6*'Valve Sizing'!$G$8/AP2225)</f>
        <v>-298.49746028617125</v>
      </c>
      <c r="AQ2224" s="111"/>
      <c r="AR2224" s="28"/>
      <c r="AS2224" s="96">
        <f ca="1">(AS2216/(N_9*AS$27*AS2218*0.667))*SQRT(M*'Valve Sizing'!$W$6*'Valve Sizing'!$G$8/AS2225)</f>
        <v>-375.94225818008414</v>
      </c>
      <c r="AT2224" s="111"/>
      <c r="AU2224" s="28"/>
    </row>
    <row r="2225" spans="15:47" ht="15.6" x14ac:dyDescent="0.35">
      <c r="O2225" s="2" t="s">
        <v>68</v>
      </c>
      <c r="P2225" s="143">
        <v>10</v>
      </c>
      <c r="Q2225" s="2"/>
      <c r="R2225" s="96">
        <f ca="1">F_GAMMA*R$29</f>
        <v>0.64002969751372984</v>
      </c>
      <c r="S2225" s="107"/>
      <c r="T2225" s="1"/>
      <c r="U2225" s="96">
        <f ca="1">F_GAMMA*U$29</f>
        <v>0.64017842058782071</v>
      </c>
      <c r="V2225" s="111"/>
      <c r="W2225" s="28"/>
      <c r="X2225" s="96">
        <f ca="1">F_GAMMA*X$29</f>
        <v>0.63413873724904268</v>
      </c>
      <c r="Y2225" s="111"/>
      <c r="Z2225" s="28"/>
      <c r="AA2225" s="96">
        <f ca="1">F_GAMMA*AA$29</f>
        <v>0.62532411750377137</v>
      </c>
      <c r="AB2225" s="111"/>
      <c r="AC2225" s="28"/>
      <c r="AD2225" s="96">
        <f ca="1">F_GAMMA*AD$29</f>
        <v>0.60651359509139569</v>
      </c>
      <c r="AE2225" s="111"/>
      <c r="AF2225" s="28"/>
      <c r="AG2225" s="96">
        <f ca="1">F_GAMMA*AG$29</f>
        <v>0.57217930198481592</v>
      </c>
      <c r="AH2225" s="111"/>
      <c r="AI2225" s="28"/>
      <c r="AJ2225" s="96">
        <f ca="1">F_GAMMA*AJ$29</f>
        <v>0.53183282018848232</v>
      </c>
      <c r="AK2225" s="111"/>
      <c r="AL2225" s="28"/>
      <c r="AM2225" s="96">
        <f ca="1">F_GAMMA*AM$29</f>
        <v>0.47566512503094399</v>
      </c>
      <c r="AN2225" s="111"/>
      <c r="AO2225" s="28"/>
      <c r="AP2225" s="96">
        <f ca="1">F_GAMMA*AP$29</f>
        <v>0.59054158265645496</v>
      </c>
      <c r="AQ2225" s="111"/>
      <c r="AR2225" s="28"/>
      <c r="AS2225" s="96">
        <f ca="1">F_GAMMA*AS$29</f>
        <v>0.3766899554102966</v>
      </c>
      <c r="AT2225" s="111"/>
      <c r="AU2225" s="28"/>
    </row>
    <row r="2226" spans="15:47" x14ac:dyDescent="0.25">
      <c r="O2226" s="2" t="s">
        <v>145</v>
      </c>
      <c r="P2226" s="12"/>
      <c r="Q2226" s="2"/>
      <c r="R2226" s="96">
        <f ca="1">IF(R2221&lt;R2225,R2223,R2224)</f>
        <v>2.8261151552168342</v>
      </c>
      <c r="S2226" s="116"/>
      <c r="T2226" s="1"/>
      <c r="U2226" s="96">
        <f ca="1">IF(U2221&lt;U2225,U2223,U2224)</f>
        <v>22.562377536443105</v>
      </c>
      <c r="V2226" s="111"/>
      <c r="W2226" s="28"/>
      <c r="X2226" s="96">
        <f ca="1">IF(X2221&lt;X2225,X2223,X2224)</f>
        <v>58.419075630621251</v>
      </c>
      <c r="Y2226" s="111"/>
      <c r="Z2226" s="28"/>
      <c r="AA2226" s="96">
        <f ca="1">IF(AA2221&lt;AA2225,AA2223,AA2224)</f>
        <v>142.83529465672038</v>
      </c>
      <c r="AB2226" s="111"/>
      <c r="AC2226" s="28"/>
      <c r="AD2226" s="96" t="e">
        <f ca="1">IF(AD2221&lt;AD2225,AD2223,AD2224)</f>
        <v>#NUM!</v>
      </c>
      <c r="AE2226" s="111"/>
      <c r="AF2226" s="28"/>
      <c r="AG2226" s="96" t="e">
        <f ca="1">IF(AG2221&lt;AG2225,AG2223,AG2224)</f>
        <v>#NUM!</v>
      </c>
      <c r="AH2226" s="111"/>
      <c r="AI2226" s="28"/>
      <c r="AJ2226" s="96">
        <f ca="1">IF(AJ2221&lt;AJ2225,AJ2223,AJ2224)</f>
        <v>-738.74806711779013</v>
      </c>
      <c r="AK2226" s="111"/>
      <c r="AL2226" s="28"/>
      <c r="AM2226" s="96">
        <f ca="1">IF(AM2221&lt;AM2225,AM2223,AM2224)</f>
        <v>-410.18988224452607</v>
      </c>
      <c r="AN2226" s="111"/>
      <c r="AO2226" s="28"/>
      <c r="AP2226" s="96">
        <f ca="1">IF(AP2221&lt;AP2225,AP2223,AP2224)</f>
        <v>-298.49746028617125</v>
      </c>
      <c r="AQ2226" s="111"/>
      <c r="AR2226" s="28"/>
      <c r="AS2226" s="96">
        <f ca="1">IF(AS2221&lt;AS2225,AS2223,AS2224)</f>
        <v>-375.94225818008414</v>
      </c>
      <c r="AT2226" s="111"/>
      <c r="AU2226" s="28"/>
    </row>
    <row r="2227" spans="15:47" x14ac:dyDescent="0.25">
      <c r="O2227" s="13" t="s">
        <v>143</v>
      </c>
      <c r="P2227" s="1"/>
      <c r="Q2227" s="1"/>
      <c r="R2227" s="113"/>
      <c r="S2227" s="106">
        <f ca="1">IF(R2220&lt;=0,Q_max,ABS(R$23-R2226))</f>
        <v>1.9038848447831662</v>
      </c>
      <c r="T2227" s="7">
        <f>R2216</f>
        <v>6997.0255283190891</v>
      </c>
      <c r="U2227" s="98"/>
      <c r="V2227" s="106">
        <f ca="1">IF(U2220&lt;=0,Q_max,ABS(U$23-U2226))</f>
        <v>10.962377536443105</v>
      </c>
      <c r="W2227" s="9">
        <f ca="1">U2216</f>
        <v>55290.718590471719</v>
      </c>
      <c r="X2227" s="98"/>
      <c r="Y2227" s="106">
        <f ca="1">IF(X2220&lt;=0,Q_max,ABS(X$23-X2226))</f>
        <v>35.419075630621251</v>
      </c>
      <c r="Z2227" s="9">
        <f ca="1">X2216</f>
        <v>135386.66014542329</v>
      </c>
      <c r="AA2227" s="98"/>
      <c r="AB2227" s="106">
        <f ca="1">IF(AA2220&lt;=0,Q_max,ABS(AA$23-AA2226))</f>
        <v>103.43529465672037</v>
      </c>
      <c r="AC2227" s="9">
        <f ca="1">AA2216</f>
        <v>263698.65713925433</v>
      </c>
      <c r="AD2227" s="98"/>
      <c r="AE2227" s="106">
        <f ca="1">IF(AD2220&lt;=0,Q_max,ABS(AD$23-AD2226))</f>
        <v>236393</v>
      </c>
      <c r="AF2227" s="9">
        <f ca="1">AD2216</f>
        <v>442404.3156871823</v>
      </c>
      <c r="AG2227" s="98"/>
      <c r="AH2227" s="106">
        <f ca="1">IF(AG2220&lt;=0,Q_max,ABS(AG$23-AG2226))</f>
        <v>236393</v>
      </c>
      <c r="AI2227" s="9">
        <f ca="1">AG2216</f>
        <v>645701.14813210513</v>
      </c>
      <c r="AJ2227" s="98"/>
      <c r="AK2227" s="106">
        <f ca="1">IF(AJ2220&lt;=0,Q_max,ABS(AJ$23-AJ2226))</f>
        <v>236393</v>
      </c>
      <c r="AL2227" s="9">
        <f ca="1">AJ2216</f>
        <v>861690.68528620771</v>
      </c>
      <c r="AM2227" s="98"/>
      <c r="AN2227" s="106">
        <f ca="1">IF(AM2220&lt;=0,Q_max,ABS(AM$23-AM2226))</f>
        <v>236393</v>
      </c>
      <c r="AO2227" s="9">
        <f ca="1">AM2216</f>
        <v>1051426.3917021689</v>
      </c>
      <c r="AP2227" s="98"/>
      <c r="AQ2227" s="106">
        <f ca="1">IF(AP2220&lt;=0,Q_max,ABS(AP$23-AP2226))</f>
        <v>236393</v>
      </c>
      <c r="AR2227" s="9">
        <f ca="1">AP2216</f>
        <v>1220673.3996229139</v>
      </c>
      <c r="AS2227" s="98"/>
      <c r="AT2227" s="106">
        <f ca="1">IF(AS2220&lt;=0,Q_max,ABS(AS$23-AS2226))</f>
        <v>236393</v>
      </c>
      <c r="AU2227" s="9">
        <f ca="1">AS2216</f>
        <v>1431335.5608242413</v>
      </c>
    </row>
    <row r="2228" spans="15:47" x14ac:dyDescent="0.25">
      <c r="O2228" s="21"/>
      <c r="P2228" s="14"/>
      <c r="Q2228" s="21"/>
      <c r="R2228" s="97"/>
      <c r="S2228" s="106"/>
      <c r="T2228" s="28"/>
      <c r="U2228" s="97"/>
      <c r="V2228" s="111"/>
      <c r="W2228" s="28"/>
      <c r="X2228" s="97"/>
      <c r="Y2228" s="111"/>
      <c r="Z2228" s="28"/>
      <c r="AA2228" s="97"/>
      <c r="AB2228" s="111"/>
      <c r="AC2228" s="28"/>
      <c r="AD2228" s="97"/>
      <c r="AE2228" s="111"/>
      <c r="AF2228" s="28"/>
      <c r="AG2228" s="97"/>
      <c r="AH2228" s="111"/>
      <c r="AI2228" s="28"/>
      <c r="AJ2228" s="97"/>
      <c r="AK2228" s="111"/>
      <c r="AL2228" s="28"/>
      <c r="AM2228" s="97"/>
      <c r="AN2228" s="111"/>
      <c r="AO2228" s="28"/>
      <c r="AP2228" s="97"/>
      <c r="AQ2228" s="111"/>
      <c r="AR2228" s="28"/>
      <c r="AS2228" s="97"/>
      <c r="AT2228" s="111"/>
      <c r="AU2228" s="28"/>
    </row>
    <row r="2229" spans="15:47" x14ac:dyDescent="0.25">
      <c r="O2229" s="1"/>
      <c r="P2229" s="1"/>
      <c r="Q2229" s="1"/>
      <c r="R2229" s="98"/>
      <c r="S2229" s="108" t="s">
        <v>137</v>
      </c>
      <c r="T2229" s="26" t="s">
        <v>146</v>
      </c>
      <c r="U2229" s="98"/>
      <c r="V2229" s="108" t="s">
        <v>137</v>
      </c>
      <c r="W2229" s="26" t="s">
        <v>146</v>
      </c>
      <c r="X2229" s="98"/>
      <c r="Y2229" s="108" t="s">
        <v>137</v>
      </c>
      <c r="Z2229" s="26" t="s">
        <v>146</v>
      </c>
      <c r="AA2229" s="98"/>
      <c r="AB2229" s="108" t="s">
        <v>137</v>
      </c>
      <c r="AC2229" s="26" t="s">
        <v>146</v>
      </c>
      <c r="AD2229" s="98"/>
      <c r="AE2229" s="108" t="s">
        <v>137</v>
      </c>
      <c r="AF2229" s="26" t="s">
        <v>146</v>
      </c>
      <c r="AG2229" s="98"/>
      <c r="AH2229" s="108" t="s">
        <v>137</v>
      </c>
      <c r="AI2229" s="26" t="s">
        <v>146</v>
      </c>
      <c r="AJ2229" s="98"/>
      <c r="AK2229" s="108" t="s">
        <v>137</v>
      </c>
      <c r="AL2229" s="26" t="s">
        <v>146</v>
      </c>
      <c r="AM2229" s="98"/>
      <c r="AN2229" s="108" t="s">
        <v>137</v>
      </c>
      <c r="AO2229" s="26" t="s">
        <v>146</v>
      </c>
      <c r="AP2229" s="98"/>
      <c r="AQ2229" s="108" t="s">
        <v>137</v>
      </c>
      <c r="AR2229" s="26" t="s">
        <v>146</v>
      </c>
      <c r="AS2229" s="98"/>
      <c r="AT2229" s="108" t="s">
        <v>137</v>
      </c>
      <c r="AU2229" s="26" t="s">
        <v>146</v>
      </c>
    </row>
    <row r="2230" spans="15:47" ht="13.8" x14ac:dyDescent="0.25">
      <c r="O2230" s="20" t="s">
        <v>136</v>
      </c>
      <c r="P2230" s="1"/>
      <c r="Q2230" s="1"/>
      <c r="R2230" s="96">
        <f>R2216*1.02</f>
        <v>7136.9660388854709</v>
      </c>
      <c r="S2230" s="109" t="s">
        <v>144</v>
      </c>
      <c r="T2230" s="23" t="s">
        <v>147</v>
      </c>
      <c r="U2230" s="96">
        <f ca="1">U2216*1.01</f>
        <v>55843.625776376437</v>
      </c>
      <c r="V2230" s="109" t="s">
        <v>144</v>
      </c>
      <c r="W2230" s="23" t="s">
        <v>147</v>
      </c>
      <c r="X2230" s="96">
        <f ca="1">X2216*1.01</f>
        <v>136740.52674687753</v>
      </c>
      <c r="Y2230" s="109" t="s">
        <v>144</v>
      </c>
      <c r="Z2230" s="23" t="s">
        <v>147</v>
      </c>
      <c r="AA2230" s="96">
        <f ca="1">AA2216*1.01</f>
        <v>266335.64371064689</v>
      </c>
      <c r="AB2230" s="109" t="s">
        <v>144</v>
      </c>
      <c r="AC2230" s="23" t="s">
        <v>147</v>
      </c>
      <c r="AD2230" s="96">
        <f ca="1">AD2216*1.01</f>
        <v>446828.35884405411</v>
      </c>
      <c r="AE2230" s="109" t="s">
        <v>144</v>
      </c>
      <c r="AF2230" s="23" t="s">
        <v>147</v>
      </c>
      <c r="AG2230" s="96">
        <f ca="1">AG2216*1.01</f>
        <v>652158.15961342619</v>
      </c>
      <c r="AH2230" s="109" t="s">
        <v>144</v>
      </c>
      <c r="AI2230" s="23" t="s">
        <v>147</v>
      </c>
      <c r="AJ2230" s="96">
        <f ca="1">AJ2216*1.01</f>
        <v>870307.59213906981</v>
      </c>
      <c r="AK2230" s="109" t="s">
        <v>144</v>
      </c>
      <c r="AL2230" s="23" t="s">
        <v>147</v>
      </c>
      <c r="AM2230" s="96">
        <f ca="1">AM2216*1.01</f>
        <v>1061940.6556191905</v>
      </c>
      <c r="AN2230" s="109" t="s">
        <v>144</v>
      </c>
      <c r="AO2230" s="23" t="s">
        <v>147</v>
      </c>
      <c r="AP2230" s="96">
        <f ca="1">AP2216*1.01</f>
        <v>1232880.1336191432</v>
      </c>
      <c r="AQ2230" s="109" t="s">
        <v>144</v>
      </c>
      <c r="AR2230" s="23" t="s">
        <v>147</v>
      </c>
      <c r="AS2230" s="96">
        <f ca="1">AS2216*1.01</f>
        <v>1445648.9164324836</v>
      </c>
      <c r="AT2230" s="109" t="s">
        <v>144</v>
      </c>
      <c r="AU2230" s="23" t="s">
        <v>147</v>
      </c>
    </row>
    <row r="2231" spans="15:47" x14ac:dyDescent="0.25">
      <c r="O2231" s="1"/>
      <c r="P2231" s="1"/>
      <c r="Q2231" s="1"/>
      <c r="R2231" s="98"/>
      <c r="S2231" s="107"/>
      <c r="T2231" s="1"/>
      <c r="U2231" s="47"/>
      <c r="V2231" s="107"/>
      <c r="W2231" s="1"/>
      <c r="X2231" s="47"/>
      <c r="Y2231" s="107"/>
      <c r="Z2231" s="1"/>
      <c r="AA2231" s="47"/>
      <c r="AB2231" s="107"/>
      <c r="AC2231" s="1"/>
      <c r="AD2231" s="47"/>
      <c r="AE2231" s="107"/>
      <c r="AF2231" s="1"/>
      <c r="AG2231" s="47"/>
      <c r="AH2231" s="107"/>
      <c r="AI2231" s="1"/>
      <c r="AJ2231" s="47"/>
      <c r="AK2231" s="107"/>
      <c r="AL2231" s="1"/>
      <c r="AM2231" s="47"/>
      <c r="AN2231" s="107"/>
      <c r="AO2231" s="1"/>
      <c r="AP2231" s="47"/>
      <c r="AQ2231" s="107"/>
      <c r="AR2231" s="1"/>
      <c r="AS2231" s="47"/>
      <c r="AT2231" s="107"/>
      <c r="AU2231" s="1"/>
    </row>
    <row r="2232" spans="15:47" x14ac:dyDescent="0.25">
      <c r="O2232" s="8" t="s">
        <v>132</v>
      </c>
      <c r="P2232" s="8"/>
      <c r="Q2232" s="8"/>
      <c r="R2232" s="96">
        <f>P_1_minQ-(R2230^2*R_up)+dpup_minQ</f>
        <v>90.175756836676726</v>
      </c>
      <c r="S2232" s="106"/>
      <c r="T2232" s="22"/>
      <c r="U2232" s="96">
        <f ca="1">P_1_minQ-(U2230^2*R_up)+dpup_minQ</f>
        <v>89.616657957671919</v>
      </c>
      <c r="V2232" s="107"/>
      <c r="W2232" s="1"/>
      <c r="X2232" s="96">
        <f ca="1">P_1_minQ-(X2230^2*R_up)+dpup_minQ</f>
        <v>86.77713117880063</v>
      </c>
      <c r="Y2232" s="107"/>
      <c r="Z2232" s="1"/>
      <c r="AA2232" s="96">
        <f ca="1">P_1_minQ-(AA2230^2*R_up)+dpup_minQ</f>
        <v>77.256422008814297</v>
      </c>
      <c r="AB2232" s="107"/>
      <c r="AC2232" s="1"/>
      <c r="AD2232" s="96">
        <f ca="1">P_1_minQ-(AD2230^2*R_up)+dpup_minQ</f>
        <v>53.795632179838563</v>
      </c>
      <c r="AE2232" s="107"/>
      <c r="AF2232" s="1"/>
      <c r="AG2232" s="96">
        <f ca="1">P_1_minQ-(AG2230^2*R_up)+dpup_minQ</f>
        <v>12.667604060771664</v>
      </c>
      <c r="AH2232" s="107"/>
      <c r="AI2232" s="1"/>
      <c r="AJ2232" s="96">
        <f ca="1">P_1_minQ-(AJ2230^2*R_up)+dpup_minQ</f>
        <v>-47.865808323055887</v>
      </c>
      <c r="AK2232" s="107"/>
      <c r="AL2232" s="1"/>
      <c r="AM2232" s="96">
        <f ca="1">P_1_minQ-(AM2230^2*R_up)+dpup_minQ</f>
        <v>-115.35386171850894</v>
      </c>
      <c r="AN2232" s="107"/>
      <c r="AO2232" s="1"/>
      <c r="AP2232" s="96">
        <f ca="1">P_1_minQ-(AP2230^2*R_up)+dpup_minQ</f>
        <v>-186.85034592445783</v>
      </c>
      <c r="AQ2232" s="107"/>
      <c r="AR2232" s="1"/>
      <c r="AS2232" s="96">
        <f ca="1">P_1_minQ-(AS2230^2*R_up)+dpup_minQ</f>
        <v>-290.72218169891295</v>
      </c>
      <c r="AT2232" s="107"/>
      <c r="AU2232" s="1"/>
    </row>
    <row r="2233" spans="15:47" x14ac:dyDescent="0.25">
      <c r="O2233" s="8" t="s">
        <v>134</v>
      </c>
      <c r="P2233" s="1"/>
      <c r="Q2233" s="8"/>
      <c r="R2233" s="97">
        <f>P_2_minQ+(R2230^2*R_dn)-dpdn_minQ</f>
        <v>60</v>
      </c>
      <c r="S2233" s="106"/>
      <c r="T2233" s="22"/>
      <c r="U2233" s="97">
        <f ca="1">P_2_minQ+(U2230^2*R_dn)-dpdn_minQ</f>
        <v>60</v>
      </c>
      <c r="V2233" s="107"/>
      <c r="W2233" s="1"/>
      <c r="X2233" s="97">
        <f ca="1">P_2_minQ+(X2230^2*R_dn)-dpdn_minQ</f>
        <v>60</v>
      </c>
      <c r="Y2233" s="107"/>
      <c r="Z2233" s="1"/>
      <c r="AA2233" s="97">
        <f ca="1">P_2_minQ+(AA2230^2*R_dn)-dpdn_minQ</f>
        <v>60</v>
      </c>
      <c r="AB2233" s="107"/>
      <c r="AC2233" s="1"/>
      <c r="AD2233" s="97">
        <f ca="1">P_2_minQ+(AD2230^2*R_dn)-dpdn_minQ</f>
        <v>60</v>
      </c>
      <c r="AE2233" s="107"/>
      <c r="AF2233" s="1"/>
      <c r="AG2233" s="97">
        <f ca="1">P_2_minQ+(AG2230^2*R_dn)-dpdn_minQ</f>
        <v>60</v>
      </c>
      <c r="AH2233" s="107"/>
      <c r="AI2233" s="1"/>
      <c r="AJ2233" s="97">
        <f ca="1">P_2_minQ+(AJ2230^2*R_dn)-dpdn_minQ</f>
        <v>60</v>
      </c>
      <c r="AK2233" s="107"/>
      <c r="AL2233" s="1"/>
      <c r="AM2233" s="97">
        <f ca="1">P_2_minQ+(AM2230^2*R_dn)-dpdn_minQ</f>
        <v>60</v>
      </c>
      <c r="AN2233" s="107"/>
      <c r="AO2233" s="1"/>
      <c r="AP2233" s="97">
        <f ca="1">P_2_minQ+(AP2230^2*R_dn)-dpdn_minQ</f>
        <v>60</v>
      </c>
      <c r="AQ2233" s="107"/>
      <c r="AR2233" s="1"/>
      <c r="AS2233" s="97">
        <f ca="1">P_2_minQ+(AS2230^2*R_dn)-dpdn_minQ</f>
        <v>60</v>
      </c>
      <c r="AT2233" s="107"/>
      <c r="AU2233" s="1"/>
    </row>
    <row r="2234" spans="15:47" x14ac:dyDescent="0.25">
      <c r="O2234" s="8" t="s">
        <v>138</v>
      </c>
      <c r="P2234" s="1"/>
      <c r="Q2234" s="8"/>
      <c r="R2234" s="97">
        <f>R2232-R2233</f>
        <v>30.175756836676726</v>
      </c>
      <c r="S2234" s="106"/>
      <c r="T2234" s="22"/>
      <c r="U2234" s="97">
        <f ca="1">U2232-U2233</f>
        <v>29.616657957671919</v>
      </c>
      <c r="V2234" s="110"/>
      <c r="W2234" s="25"/>
      <c r="X2234" s="97">
        <f ca="1">X2232-X2233</f>
        <v>26.77713117880063</v>
      </c>
      <c r="Y2234" s="110"/>
      <c r="Z2234" s="25"/>
      <c r="AA2234" s="97">
        <f ca="1">AA2232-AA2233</f>
        <v>17.256422008814297</v>
      </c>
      <c r="AB2234" s="110"/>
      <c r="AC2234" s="25"/>
      <c r="AD2234" s="97">
        <f ca="1">AD2232-AD2233</f>
        <v>-6.204367820161437</v>
      </c>
      <c r="AE2234" s="110"/>
      <c r="AF2234" s="25"/>
      <c r="AG2234" s="97">
        <f ca="1">AG2232-AG2233</f>
        <v>-47.332395939228334</v>
      </c>
      <c r="AH2234" s="110"/>
      <c r="AI2234" s="25"/>
      <c r="AJ2234" s="97">
        <f ca="1">AJ2232-AJ2233</f>
        <v>-107.86580832305589</v>
      </c>
      <c r="AK2234" s="110"/>
      <c r="AL2234" s="25"/>
      <c r="AM2234" s="97">
        <f ca="1">AM2232-AM2233</f>
        <v>-175.35386171850894</v>
      </c>
      <c r="AN2234" s="110"/>
      <c r="AO2234" s="25"/>
      <c r="AP2234" s="97">
        <f ca="1">AP2232-AP2233</f>
        <v>-246.85034592445783</v>
      </c>
      <c r="AQ2234" s="110"/>
      <c r="AR2234" s="25"/>
      <c r="AS2234" s="97">
        <f ca="1">AS2232-AS2233</f>
        <v>-350.72218169891295</v>
      </c>
      <c r="AT2234" s="110"/>
      <c r="AU2234" s="25"/>
    </row>
    <row r="2235" spans="15:47" ht="14.4" x14ac:dyDescent="0.3">
      <c r="O2235" s="2" t="s">
        <v>140</v>
      </c>
      <c r="P2235" s="11"/>
      <c r="Q2235" s="2"/>
      <c r="R2235" s="96">
        <f>R2234/R2232</f>
        <v>0.33463269835738707</v>
      </c>
      <c r="S2235" s="106"/>
      <c r="T2235" s="22"/>
      <c r="U2235" s="96">
        <f ca="1">U2234/U2232</f>
        <v>0.33048161617074107</v>
      </c>
      <c r="V2235" s="111"/>
      <c r="W2235" s="28"/>
      <c r="X2235" s="96">
        <f ca="1">X2234/X2232</f>
        <v>0.30857359323883937</v>
      </c>
      <c r="Y2235" s="111"/>
      <c r="Z2235" s="28"/>
      <c r="AA2235" s="96">
        <f ca="1">AA2234/AA2232</f>
        <v>0.22336553467160941</v>
      </c>
      <c r="AB2235" s="111"/>
      <c r="AC2235" s="28"/>
      <c r="AD2235" s="96">
        <f ca="1">AD2234/AD2232</f>
        <v>-0.11533218532352706</v>
      </c>
      <c r="AE2235" s="111"/>
      <c r="AF2235" s="28"/>
      <c r="AG2235" s="96">
        <f ca="1">AG2234/AG2232</f>
        <v>-3.7364915821615141</v>
      </c>
      <c r="AH2235" s="111"/>
      <c r="AI2235" s="28"/>
      <c r="AJ2235" s="96">
        <f ca="1">AJ2234/AJ2232</f>
        <v>2.2535043719526899</v>
      </c>
      <c r="AK2235" s="111"/>
      <c r="AL2235" s="28"/>
      <c r="AM2235" s="96">
        <f ca="1">AM2234/AM2232</f>
        <v>1.5201386334721447</v>
      </c>
      <c r="AN2235" s="111"/>
      <c r="AO2235" s="28"/>
      <c r="AP2235" s="96">
        <f ca="1">AP2234/AP2232</f>
        <v>1.3211125979090108</v>
      </c>
      <c r="AQ2235" s="111"/>
      <c r="AR2235" s="28"/>
      <c r="AS2235" s="96">
        <f ca="1">AS2234/AS2232</f>
        <v>1.2063826009056959</v>
      </c>
      <c r="AT2235" s="111"/>
      <c r="AU2235" s="28"/>
    </row>
    <row r="2236" spans="15:47" x14ac:dyDescent="0.25">
      <c r="O2236" s="2" t="s">
        <v>21</v>
      </c>
      <c r="P2236" s="8">
        <v>12</v>
      </c>
      <c r="Q2236" s="2"/>
      <c r="R2236" s="96">
        <f ca="1">1-R2235/(3*F_GAMMA*R$29)</f>
        <v>0.82572022326604166</v>
      </c>
      <c r="S2236" s="106"/>
      <c r="T2236" s="22"/>
      <c r="U2236" s="96">
        <f ca="1">1-U2235/(3*F_GAMMA*U$29)</f>
        <v>0.82792213048601448</v>
      </c>
      <c r="V2236" s="111"/>
      <c r="W2236" s="28"/>
      <c r="X2236" s="96">
        <f ca="1">1-X2235/(3*F_GAMMA*X$29)</f>
        <v>0.83779911497103265</v>
      </c>
      <c r="Y2236" s="111"/>
      <c r="Z2236" s="28"/>
      <c r="AA2236" s="96">
        <f ca="1">1-AA2235/(3*F_GAMMA*AA$29)</f>
        <v>0.88093346132068739</v>
      </c>
      <c r="AB2236" s="111"/>
      <c r="AC2236" s="28"/>
      <c r="AD2236" s="96">
        <f ca="1">1-AD2235/(3*F_GAMMA*AD$29)</f>
        <v>1.0633853257134589</v>
      </c>
      <c r="AE2236" s="111"/>
      <c r="AF2236" s="28"/>
      <c r="AG2236" s="96">
        <f ca="1">1-AG2235/(3*F_GAMMA*AG$29)</f>
        <v>3.176760308758757</v>
      </c>
      <c r="AH2236" s="111"/>
      <c r="AI2236" s="28"/>
      <c r="AJ2236" s="96">
        <f ca="1">1-AJ2235/(3*F_GAMMA*AJ$29)</f>
        <v>-0.41241400581110232</v>
      </c>
      <c r="AK2236" s="111"/>
      <c r="AL2236" s="28"/>
      <c r="AM2236" s="96">
        <f ca="1">1-AM2235/(3*F_GAMMA*AM$29)</f>
        <v>-6.5272291701193197E-2</v>
      </c>
      <c r="AN2236" s="111"/>
      <c r="AO2236" s="28"/>
      <c r="AP2236" s="96">
        <f ca="1">1-AP2235/(3*F_GAMMA*AP$29)</f>
        <v>0.25429321337756805</v>
      </c>
      <c r="AQ2236" s="111"/>
      <c r="AR2236" s="28"/>
      <c r="AS2236" s="96">
        <f ca="1">1-AS2235/(3*F_GAMMA*AS$29)</f>
        <v>-6.752921828570746E-2</v>
      </c>
      <c r="AT2236" s="111"/>
      <c r="AU2236" s="28"/>
    </row>
    <row r="2237" spans="15:47" x14ac:dyDescent="0.25">
      <c r="O2237" s="2" t="s">
        <v>57</v>
      </c>
      <c r="P2237" s="143">
        <v>7</v>
      </c>
      <c r="Q2237" s="2"/>
      <c r="R2237" s="96">
        <f ca="1">(R2230/(N_9*R$27*R2232*R2236))*SQRT(M*'Valve Sizing'!$W$6*'Valve Sizing'!$G$8/R2235)</f>
        <v>2.8826556028397103</v>
      </c>
      <c r="S2237" s="107"/>
      <c r="T2237" s="22"/>
      <c r="U2237" s="96">
        <f ca="1">(U2230/(N_9*U$27*U2232*U2236))*SQRT(M*'Valve Sizing'!$W$6*'Valve Sizing'!$G$8/U2235)</f>
        <v>22.792534346208477</v>
      </c>
      <c r="V2237" s="111"/>
      <c r="W2237" s="28"/>
      <c r="X2237" s="96">
        <f ca="1">(X2230/(N_9*X$27*X2232*X2236))*SQRT(M*'Valve Sizing'!$W$6*'Valve Sizing'!$G$8/X2235)</f>
        <v>59.080230663016799</v>
      </c>
      <c r="Y2237" s="111"/>
      <c r="Z2237" s="28"/>
      <c r="AA2237" s="96">
        <f ca="1">(AA2230/(N_9*AA$27*AA2232*AA2236))*SQRT(M*'Valve Sizing'!$W$6*'Valve Sizing'!$G$8/AA2235)</f>
        <v>145.33915496966816</v>
      </c>
      <c r="AB2237" s="111"/>
      <c r="AC2237" s="28"/>
      <c r="AD2237" s="96" t="e">
        <f ca="1">(AD2230/(N_9*AD$27*AD2232*AD2236))*SQRT(M*'Valve Sizing'!$W$6*'Valve Sizing'!$G$8/AD2235)</f>
        <v>#NUM!</v>
      </c>
      <c r="AE2237" s="111"/>
      <c r="AF2237" s="28"/>
      <c r="AG2237" s="96" t="e">
        <f ca="1">(AG2230/(N_9*AG$27*AG2232*AG2236))*SQRT(M*'Valve Sizing'!$W$6*'Valve Sizing'!$G$8/AG2235)</f>
        <v>#NUM!</v>
      </c>
      <c r="AH2237" s="111"/>
      <c r="AI2237" s="28"/>
      <c r="AJ2237" s="96">
        <f ca="1">(AJ2230/(N_9*AJ$27*AJ2232*AJ2236))*SQRT(M*'Valve Sizing'!$W$6*'Valve Sizing'!$G$8/AJ2235)</f>
        <v>552.9159844629603</v>
      </c>
      <c r="AK2237" s="111"/>
      <c r="AL2237" s="28"/>
      <c r="AM2237" s="96">
        <f ca="1">(AM2230/(N_9*AM$27*AM2232*AM2236))*SQRT(M*'Valve Sizing'!$W$6*'Valve Sizing'!$G$8/AM2235)</f>
        <v>2285.0237675856124</v>
      </c>
      <c r="AN2237" s="111"/>
      <c r="AO2237" s="28"/>
      <c r="AP2237" s="96">
        <f ca="1">(AP2230/(N_9*AP$27*AP2232*AP2236))*SQRT(M*'Valve Sizing'!$W$6*'Valve Sizing'!$G$8/AP2235)</f>
        <v>-513.25335702386099</v>
      </c>
      <c r="AQ2237" s="111"/>
      <c r="AR2237" s="28"/>
      <c r="AS2237" s="96">
        <f ca="1">(AS2230/(N_9*AS$27*AS2232*AS2236))*SQRT(M*'Valve Sizing'!$W$6*'Valve Sizing'!$G$8/AS2235)</f>
        <v>2041.5826577751932</v>
      </c>
      <c r="AT2237" s="111"/>
      <c r="AU2237" s="28"/>
    </row>
    <row r="2238" spans="15:47" x14ac:dyDescent="0.25">
      <c r="O2238" s="2" t="s">
        <v>59</v>
      </c>
      <c r="P2238" s="143">
        <v>7</v>
      </c>
      <c r="Q2238" s="2"/>
      <c r="R2238" s="96">
        <f ca="1">(R2230/(N_9*R$27*R2232*0.667))*SQRT(M*'Valve Sizing'!$W$6*'Valve Sizing'!$G$8/R2239)</f>
        <v>2.5803818091157091</v>
      </c>
      <c r="S2238" s="107"/>
      <c r="T2238" s="22"/>
      <c r="U2238" s="96">
        <f ca="1">(U2230/(N_9*U$27*U2232*0.667))*SQRT(M*'Valve Sizing'!$W$6*'Valve Sizing'!$G$8/U2239)</f>
        <v>20.327286723260745</v>
      </c>
      <c r="V2238" s="111"/>
      <c r="W2238" s="28"/>
      <c r="X2238" s="96">
        <f ca="1">(X2230/(N_9*X$27*X2232*0.667))*SQRT(M*'Valve Sizing'!$W$6*'Valve Sizing'!$G$8/X2239)</f>
        <v>51.76586586949103</v>
      </c>
      <c r="Y2238" s="111"/>
      <c r="Z2238" s="28"/>
      <c r="AA2238" s="96">
        <f ca="1">(AA2230/(N_9*AA$27*AA2232*0.667))*SQRT(M*'Valve Sizing'!$W$6*'Valve Sizing'!$G$8/AA2239)</f>
        <v>114.72429434424018</v>
      </c>
      <c r="AB2238" s="111"/>
      <c r="AC2238" s="28"/>
      <c r="AD2238" s="96">
        <f ca="1">(AD2230/(N_9*AD$27*AD2232*0.667))*SQRT(M*'Valve Sizing'!$W$6*'Valve Sizing'!$G$8/AD2239)</f>
        <v>284.1408238299548</v>
      </c>
      <c r="AE2238" s="111"/>
      <c r="AF2238" s="28"/>
      <c r="AG2238" s="96">
        <f ca="1">(AG2230/(N_9*AG$27*AG2232*0.667))*SQRT(M*'Valve Sizing'!$W$6*'Valve Sizing'!$G$8/AG2239)</f>
        <v>1854.0348181344448</v>
      </c>
      <c r="AH2238" s="111"/>
      <c r="AI2238" s="28"/>
      <c r="AJ2238" s="96">
        <f ca="1">(AJ2230/(N_9*AJ$27*AJ2232*0.667))*SQRT(M*'Valve Sizing'!$W$6*'Valve Sizing'!$G$8/AJ2239)</f>
        <v>-703.73370560841238</v>
      </c>
      <c r="AK2238" s="111"/>
      <c r="AL2238" s="28"/>
      <c r="AM2238" s="96">
        <f ca="1">(AM2230/(N_9*AM$27*AM2232*0.667))*SQRT(M*'Valve Sizing'!$W$6*'Valve Sizing'!$G$8/AM2239)</f>
        <v>-399.74651994939376</v>
      </c>
      <c r="AN2238" s="111"/>
      <c r="AO2238" s="28"/>
      <c r="AP2238" s="96">
        <f ca="1">(AP2230/(N_9*AP$27*AP2232*0.667))*SQRT(M*'Valve Sizing'!$W$6*'Valve Sizing'!$G$8/AP2239)</f>
        <v>-292.6748535230098</v>
      </c>
      <c r="AQ2238" s="111"/>
      <c r="AR2238" s="28"/>
      <c r="AS2238" s="96">
        <f ca="1">(AS2230/(N_9*AS$27*AS2232*0.667))*SQRT(M*'Valve Sizing'!$W$6*'Valve Sizing'!$G$8/AS2239)</f>
        <v>-369.8991803879365</v>
      </c>
      <c r="AT2238" s="111"/>
      <c r="AU2238" s="28"/>
    </row>
    <row r="2239" spans="15:47" ht="15.6" x14ac:dyDescent="0.35">
      <c r="O2239" s="2" t="s">
        <v>68</v>
      </c>
      <c r="P2239" s="143">
        <v>10</v>
      </c>
      <c r="Q2239" s="2"/>
      <c r="R2239" s="96">
        <f ca="1">F_GAMMA*R$29</f>
        <v>0.64002969751372984</v>
      </c>
      <c r="S2239" s="107"/>
      <c r="T2239" s="1"/>
      <c r="U2239" s="96">
        <f ca="1">F_GAMMA*U$29</f>
        <v>0.64017842058782071</v>
      </c>
      <c r="V2239" s="111"/>
      <c r="W2239" s="28"/>
      <c r="X2239" s="96">
        <f ca="1">F_GAMMA*X$29</f>
        <v>0.63413873724904268</v>
      </c>
      <c r="Y2239" s="111"/>
      <c r="Z2239" s="28"/>
      <c r="AA2239" s="96">
        <f ca="1">F_GAMMA*AA$29</f>
        <v>0.62532411750377137</v>
      </c>
      <c r="AB2239" s="111"/>
      <c r="AC2239" s="28"/>
      <c r="AD2239" s="96">
        <f ca="1">F_GAMMA*AD$29</f>
        <v>0.60651359509139569</v>
      </c>
      <c r="AE2239" s="111"/>
      <c r="AF2239" s="28"/>
      <c r="AG2239" s="96">
        <f ca="1">F_GAMMA*AG$29</f>
        <v>0.57217930198481592</v>
      </c>
      <c r="AH2239" s="111"/>
      <c r="AI2239" s="28"/>
      <c r="AJ2239" s="96">
        <f ca="1">F_GAMMA*AJ$29</f>
        <v>0.53183282018848232</v>
      </c>
      <c r="AK2239" s="111"/>
      <c r="AL2239" s="28"/>
      <c r="AM2239" s="96">
        <f ca="1">F_GAMMA*AM$29</f>
        <v>0.47566512503094399</v>
      </c>
      <c r="AN2239" s="111"/>
      <c r="AO2239" s="28"/>
      <c r="AP2239" s="96">
        <f ca="1">F_GAMMA*AP$29</f>
        <v>0.59054158265645496</v>
      </c>
      <c r="AQ2239" s="111"/>
      <c r="AR2239" s="28"/>
      <c r="AS2239" s="96">
        <f ca="1">F_GAMMA*AS$29</f>
        <v>0.3766899554102966</v>
      </c>
      <c r="AT2239" s="111"/>
      <c r="AU2239" s="28"/>
    </row>
    <row r="2240" spans="15:47" x14ac:dyDescent="0.25">
      <c r="O2240" s="2" t="s">
        <v>145</v>
      </c>
      <c r="P2240" s="12"/>
      <c r="Q2240" s="2"/>
      <c r="R2240" s="96">
        <f ca="1">IF(R2235&lt;R2239,R2237,R2238)</f>
        <v>2.8826556028397103</v>
      </c>
      <c r="S2240" s="116"/>
      <c r="T2240" s="1"/>
      <c r="U2240" s="96">
        <f ca="1">IF(U2235&lt;U2239,U2237,U2238)</f>
        <v>22.792534346208477</v>
      </c>
      <c r="V2240" s="111"/>
      <c r="W2240" s="28"/>
      <c r="X2240" s="96">
        <f ca="1">IF(X2235&lt;X2239,X2237,X2238)</f>
        <v>59.080230663016799</v>
      </c>
      <c r="Y2240" s="111"/>
      <c r="Z2240" s="28"/>
      <c r="AA2240" s="96">
        <f ca="1">IF(AA2235&lt;AA2239,AA2237,AA2238)</f>
        <v>145.33915496966816</v>
      </c>
      <c r="AB2240" s="111"/>
      <c r="AC2240" s="28"/>
      <c r="AD2240" s="96" t="e">
        <f ca="1">IF(AD2235&lt;AD2239,AD2237,AD2238)</f>
        <v>#NUM!</v>
      </c>
      <c r="AE2240" s="111"/>
      <c r="AF2240" s="28"/>
      <c r="AG2240" s="96" t="e">
        <f ca="1">IF(AG2235&lt;AG2239,AG2237,AG2238)</f>
        <v>#NUM!</v>
      </c>
      <c r="AH2240" s="111"/>
      <c r="AI2240" s="28"/>
      <c r="AJ2240" s="96">
        <f ca="1">IF(AJ2235&lt;AJ2239,AJ2237,AJ2238)</f>
        <v>-703.73370560841238</v>
      </c>
      <c r="AK2240" s="111"/>
      <c r="AL2240" s="28"/>
      <c r="AM2240" s="96">
        <f ca="1">IF(AM2235&lt;AM2239,AM2237,AM2238)</f>
        <v>-399.74651994939376</v>
      </c>
      <c r="AN2240" s="111"/>
      <c r="AO2240" s="28"/>
      <c r="AP2240" s="96">
        <f ca="1">IF(AP2235&lt;AP2239,AP2237,AP2238)</f>
        <v>-292.6748535230098</v>
      </c>
      <c r="AQ2240" s="111"/>
      <c r="AR2240" s="28"/>
      <c r="AS2240" s="96">
        <f ca="1">IF(AS2235&lt;AS2239,AS2237,AS2238)</f>
        <v>-369.8991803879365</v>
      </c>
      <c r="AT2240" s="111"/>
      <c r="AU2240" s="28"/>
    </row>
    <row r="2241" spans="15:47" x14ac:dyDescent="0.25">
      <c r="O2241" s="13" t="s">
        <v>143</v>
      </c>
      <c r="P2241" s="1"/>
      <c r="Q2241" s="1"/>
      <c r="R2241" s="113"/>
      <c r="S2241" s="106">
        <f ca="1">IF(R2234&lt;=0,Q_max,ABS(R$23-R2240))</f>
        <v>1.8473443971602901</v>
      </c>
      <c r="T2241" s="7">
        <f>R2230</f>
        <v>7136.9660388854709</v>
      </c>
      <c r="U2241" s="98"/>
      <c r="V2241" s="106">
        <f ca="1">IF(U2234&lt;=0,Q_max,ABS(U$23-U2240))</f>
        <v>11.192534346208477</v>
      </c>
      <c r="W2241" s="9">
        <f ca="1">U2230</f>
        <v>55843.625776376437</v>
      </c>
      <c r="X2241" s="98"/>
      <c r="Y2241" s="106">
        <f ca="1">IF(X2234&lt;=0,Q_max,ABS(X$23-X2240))</f>
        <v>36.080230663016799</v>
      </c>
      <c r="Z2241" s="9">
        <f ca="1">X2230</f>
        <v>136740.52674687753</v>
      </c>
      <c r="AA2241" s="98"/>
      <c r="AB2241" s="106">
        <f ca="1">IF(AA2234&lt;=0,Q_max,ABS(AA$23-AA2240))</f>
        <v>105.93915496966815</v>
      </c>
      <c r="AC2241" s="9">
        <f ca="1">AA2230</f>
        <v>266335.64371064689</v>
      </c>
      <c r="AD2241" s="98"/>
      <c r="AE2241" s="106">
        <f ca="1">IF(AD2234&lt;=0,Q_max,ABS(AD$23-AD2240))</f>
        <v>236393</v>
      </c>
      <c r="AF2241" s="9">
        <f ca="1">AD2230</f>
        <v>446828.35884405411</v>
      </c>
      <c r="AG2241" s="98"/>
      <c r="AH2241" s="106">
        <f ca="1">IF(AG2234&lt;=0,Q_max,ABS(AG$23-AG2240))</f>
        <v>236393</v>
      </c>
      <c r="AI2241" s="9">
        <f ca="1">AG2230</f>
        <v>652158.15961342619</v>
      </c>
      <c r="AJ2241" s="98"/>
      <c r="AK2241" s="106">
        <f ca="1">IF(AJ2234&lt;=0,Q_max,ABS(AJ$23-AJ2240))</f>
        <v>236393</v>
      </c>
      <c r="AL2241" s="9">
        <f ca="1">AJ2230</f>
        <v>870307.59213906981</v>
      </c>
      <c r="AM2241" s="98"/>
      <c r="AN2241" s="106">
        <f ca="1">IF(AM2234&lt;=0,Q_max,ABS(AM$23-AM2240))</f>
        <v>236393</v>
      </c>
      <c r="AO2241" s="9">
        <f ca="1">AM2230</f>
        <v>1061940.6556191905</v>
      </c>
      <c r="AP2241" s="98"/>
      <c r="AQ2241" s="106">
        <f ca="1">IF(AP2234&lt;=0,Q_max,ABS(AP$23-AP2240))</f>
        <v>236393</v>
      </c>
      <c r="AR2241" s="9">
        <f ca="1">AP2230</f>
        <v>1232880.1336191432</v>
      </c>
      <c r="AS2241" s="98"/>
      <c r="AT2241" s="106">
        <f ca="1">IF(AS2234&lt;=0,Q_max,ABS(AS$23-AS2240))</f>
        <v>236393</v>
      </c>
      <c r="AU2241" s="9">
        <f ca="1">AS2230</f>
        <v>1445648.9164324836</v>
      </c>
    </row>
    <row r="2242" spans="15:47" x14ac:dyDescent="0.25">
      <c r="O2242" s="21"/>
      <c r="P2242" s="14"/>
      <c r="Q2242" s="21"/>
      <c r="R2242" s="97"/>
      <c r="S2242" s="106"/>
      <c r="T2242" s="28"/>
      <c r="U2242" s="97"/>
      <c r="V2242" s="111"/>
      <c r="W2242" s="28"/>
      <c r="X2242" s="97"/>
      <c r="Y2242" s="111"/>
      <c r="Z2242" s="28"/>
      <c r="AA2242" s="97"/>
      <c r="AB2242" s="111"/>
      <c r="AC2242" s="28"/>
      <c r="AD2242" s="97"/>
      <c r="AE2242" s="111"/>
      <c r="AF2242" s="28"/>
      <c r="AG2242" s="97"/>
      <c r="AH2242" s="111"/>
      <c r="AI2242" s="28"/>
      <c r="AJ2242" s="97"/>
      <c r="AK2242" s="111"/>
      <c r="AL2242" s="28"/>
      <c r="AM2242" s="97"/>
      <c r="AN2242" s="111"/>
      <c r="AO2242" s="28"/>
      <c r="AP2242" s="97"/>
      <c r="AQ2242" s="111"/>
      <c r="AR2242" s="28"/>
      <c r="AS2242" s="97"/>
      <c r="AT2242" s="111"/>
      <c r="AU2242" s="28"/>
    </row>
    <row r="2243" spans="15:47" x14ac:dyDescent="0.25">
      <c r="O2243" s="1"/>
      <c r="P2243" s="1"/>
      <c r="Q2243" s="1"/>
      <c r="R2243" s="98"/>
      <c r="S2243" s="108" t="s">
        <v>137</v>
      </c>
      <c r="T2243" s="26" t="s">
        <v>146</v>
      </c>
      <c r="U2243" s="98"/>
      <c r="V2243" s="108" t="s">
        <v>137</v>
      </c>
      <c r="W2243" s="26" t="s">
        <v>146</v>
      </c>
      <c r="X2243" s="98"/>
      <c r="Y2243" s="108" t="s">
        <v>137</v>
      </c>
      <c r="Z2243" s="26" t="s">
        <v>146</v>
      </c>
      <c r="AA2243" s="98"/>
      <c r="AB2243" s="108" t="s">
        <v>137</v>
      </c>
      <c r="AC2243" s="26" t="s">
        <v>146</v>
      </c>
      <c r="AD2243" s="98"/>
      <c r="AE2243" s="108" t="s">
        <v>137</v>
      </c>
      <c r="AF2243" s="26" t="s">
        <v>146</v>
      </c>
      <c r="AG2243" s="98"/>
      <c r="AH2243" s="108" t="s">
        <v>137</v>
      </c>
      <c r="AI2243" s="26" t="s">
        <v>146</v>
      </c>
      <c r="AJ2243" s="98"/>
      <c r="AK2243" s="108" t="s">
        <v>137</v>
      </c>
      <c r="AL2243" s="26" t="s">
        <v>146</v>
      </c>
      <c r="AM2243" s="98"/>
      <c r="AN2243" s="108" t="s">
        <v>137</v>
      </c>
      <c r="AO2243" s="26" t="s">
        <v>146</v>
      </c>
      <c r="AP2243" s="98"/>
      <c r="AQ2243" s="108" t="s">
        <v>137</v>
      </c>
      <c r="AR2243" s="26" t="s">
        <v>146</v>
      </c>
      <c r="AS2243" s="98"/>
      <c r="AT2243" s="108" t="s">
        <v>137</v>
      </c>
      <c r="AU2243" s="26" t="s">
        <v>146</v>
      </c>
    </row>
    <row r="2244" spans="15:47" ht="13.8" x14ac:dyDescent="0.25">
      <c r="O2244" s="20" t="s">
        <v>136</v>
      </c>
      <c r="P2244" s="1"/>
      <c r="Q2244" s="1"/>
      <c r="R2244" s="96">
        <f>R2230*1.02</f>
        <v>7279.7053596631804</v>
      </c>
      <c r="S2244" s="109" t="s">
        <v>144</v>
      </c>
      <c r="T2244" s="23" t="s">
        <v>147</v>
      </c>
      <c r="U2244" s="96">
        <f ca="1">U2230*1.01</f>
        <v>56402.062034140203</v>
      </c>
      <c r="V2244" s="109" t="s">
        <v>144</v>
      </c>
      <c r="W2244" s="23" t="s">
        <v>147</v>
      </c>
      <c r="X2244" s="96">
        <f ca="1">X2230*1.01</f>
        <v>138107.9320143463</v>
      </c>
      <c r="Y2244" s="109" t="s">
        <v>144</v>
      </c>
      <c r="Z2244" s="23" t="s">
        <v>147</v>
      </c>
      <c r="AA2244" s="96">
        <f ca="1">AA2230*1.01</f>
        <v>268999.0001477534</v>
      </c>
      <c r="AB2244" s="109" t="s">
        <v>144</v>
      </c>
      <c r="AC2244" s="23" t="s">
        <v>147</v>
      </c>
      <c r="AD2244" s="96">
        <f ca="1">AD2230*1.01</f>
        <v>451296.64243249467</v>
      </c>
      <c r="AE2244" s="109" t="s">
        <v>144</v>
      </c>
      <c r="AF2244" s="23" t="s">
        <v>147</v>
      </c>
      <c r="AG2244" s="96">
        <f ca="1">AG2230*1.01</f>
        <v>658679.74120956042</v>
      </c>
      <c r="AH2244" s="109" t="s">
        <v>144</v>
      </c>
      <c r="AI2244" s="23" t="s">
        <v>147</v>
      </c>
      <c r="AJ2244" s="96">
        <f ca="1">AJ2230*1.01</f>
        <v>879010.66806046048</v>
      </c>
      <c r="AK2244" s="109" t="s">
        <v>144</v>
      </c>
      <c r="AL2244" s="23" t="s">
        <v>147</v>
      </c>
      <c r="AM2244" s="96">
        <f ca="1">AM2230*1.01</f>
        <v>1072560.0621753824</v>
      </c>
      <c r="AN2244" s="109" t="s">
        <v>144</v>
      </c>
      <c r="AO2244" s="23" t="s">
        <v>147</v>
      </c>
      <c r="AP2244" s="96">
        <f ca="1">AP2230*1.01</f>
        <v>1245208.9349553345</v>
      </c>
      <c r="AQ2244" s="109" t="s">
        <v>144</v>
      </c>
      <c r="AR2244" s="23" t="s">
        <v>147</v>
      </c>
      <c r="AS2244" s="96">
        <f ca="1">AS2230*1.01</f>
        <v>1460105.4055968085</v>
      </c>
      <c r="AT2244" s="109" t="s">
        <v>144</v>
      </c>
      <c r="AU2244" s="23" t="s">
        <v>147</v>
      </c>
    </row>
    <row r="2245" spans="15:47" x14ac:dyDescent="0.25">
      <c r="O2245" s="1"/>
      <c r="P2245" s="1"/>
      <c r="Q2245" s="1"/>
      <c r="R2245" s="98"/>
      <c r="S2245" s="107"/>
      <c r="T2245" s="1"/>
      <c r="U2245" s="47"/>
      <c r="V2245" s="107"/>
      <c r="W2245" s="1"/>
      <c r="X2245" s="47"/>
      <c r="Y2245" s="107"/>
      <c r="Z2245" s="1"/>
      <c r="AA2245" s="47"/>
      <c r="AB2245" s="107"/>
      <c r="AC2245" s="1"/>
      <c r="AD2245" s="47"/>
      <c r="AE2245" s="107"/>
      <c r="AF2245" s="1"/>
      <c r="AG2245" s="47"/>
      <c r="AH2245" s="107"/>
      <c r="AI2245" s="1"/>
      <c r="AJ2245" s="47"/>
      <c r="AK2245" s="107"/>
      <c r="AL2245" s="1"/>
      <c r="AM2245" s="47"/>
      <c r="AN2245" s="107"/>
      <c r="AO2245" s="1"/>
      <c r="AP2245" s="47"/>
      <c r="AQ2245" s="107"/>
      <c r="AR2245" s="1"/>
      <c r="AS2245" s="47"/>
      <c r="AT2245" s="107"/>
      <c r="AU2245" s="1"/>
    </row>
    <row r="2246" spans="15:47" x14ac:dyDescent="0.25">
      <c r="O2246" s="8" t="s">
        <v>132</v>
      </c>
      <c r="P2246" s="8"/>
      <c r="Q2246" s="8"/>
      <c r="R2246" s="96">
        <f>P_1_minQ-(R2244^2*R_up)+dpup_minQ</f>
        <v>90.175381775456145</v>
      </c>
      <c r="S2246" s="106"/>
      <c r="T2246" s="22"/>
      <c r="U2246" s="96">
        <f ca="1">P_1_minQ-(U2244^2*R_up)+dpup_minQ</f>
        <v>89.605233467962989</v>
      </c>
      <c r="V2246" s="107"/>
      <c r="W2246" s="1"/>
      <c r="X2246" s="96">
        <f ca="1">P_1_minQ-(X2244^2*R_up)+dpup_minQ</f>
        <v>86.708632200836377</v>
      </c>
      <c r="Y2246" s="107"/>
      <c r="Z2246" s="1"/>
      <c r="AA2246" s="96">
        <f ca="1">P_1_minQ-(AA2244^2*R_up)+dpup_minQ</f>
        <v>76.996556776533325</v>
      </c>
      <c r="AB2246" s="107"/>
      <c r="AC2246" s="1"/>
      <c r="AD2246" s="96">
        <f ca="1">P_1_minQ-(AD2244^2*R_up)+dpup_minQ</f>
        <v>53.064205071995175</v>
      </c>
      <c r="AE2246" s="107"/>
      <c r="AF2246" s="1"/>
      <c r="AG2246" s="96">
        <f ca="1">P_1_minQ-(AG2244^2*R_up)+dpup_minQ</f>
        <v>11.109503587735047</v>
      </c>
      <c r="AH2246" s="107"/>
      <c r="AI2246" s="1"/>
      <c r="AJ2246" s="96">
        <f ca="1">P_1_minQ-(AJ2244^2*R_up)+dpup_minQ</f>
        <v>-50.640630385007427</v>
      </c>
      <c r="AK2246" s="107"/>
      <c r="AL2246" s="1"/>
      <c r="AM2246" s="96">
        <f ca="1">P_1_minQ-(AM2244^2*R_up)+dpup_minQ</f>
        <v>-119.48519365370908</v>
      </c>
      <c r="AN2246" s="107"/>
      <c r="AO2246" s="1"/>
      <c r="AP2246" s="96">
        <f ca="1">P_1_minQ-(AP2244^2*R_up)+dpup_minQ</f>
        <v>-192.41875719219757</v>
      </c>
      <c r="AQ2246" s="107"/>
      <c r="AR2246" s="1"/>
      <c r="AS2246" s="96">
        <f ca="1">P_1_minQ-(AS2244^2*R_up)+dpup_minQ</f>
        <v>-298.37841686571926</v>
      </c>
      <c r="AT2246" s="107"/>
      <c r="AU2246" s="1"/>
    </row>
    <row r="2247" spans="15:47" x14ac:dyDescent="0.25">
      <c r="O2247" s="8" t="s">
        <v>134</v>
      </c>
      <c r="P2247" s="1"/>
      <c r="Q2247" s="8"/>
      <c r="R2247" s="97">
        <f>P_2_minQ+(R2244^2*R_dn)-dpdn_minQ</f>
        <v>60</v>
      </c>
      <c r="S2247" s="106"/>
      <c r="T2247" s="22"/>
      <c r="U2247" s="97">
        <f ca="1">P_2_minQ+(U2244^2*R_dn)-dpdn_minQ</f>
        <v>60</v>
      </c>
      <c r="V2247" s="107"/>
      <c r="W2247" s="1"/>
      <c r="X2247" s="97">
        <f ca="1">P_2_minQ+(X2244^2*R_dn)-dpdn_minQ</f>
        <v>60</v>
      </c>
      <c r="Y2247" s="107"/>
      <c r="Z2247" s="1"/>
      <c r="AA2247" s="97">
        <f ca="1">P_2_minQ+(AA2244^2*R_dn)-dpdn_minQ</f>
        <v>60</v>
      </c>
      <c r="AB2247" s="107"/>
      <c r="AC2247" s="1"/>
      <c r="AD2247" s="97">
        <f ca="1">P_2_minQ+(AD2244^2*R_dn)-dpdn_minQ</f>
        <v>60</v>
      </c>
      <c r="AE2247" s="107"/>
      <c r="AF2247" s="1"/>
      <c r="AG2247" s="97">
        <f ca="1">P_2_minQ+(AG2244^2*R_dn)-dpdn_minQ</f>
        <v>60</v>
      </c>
      <c r="AH2247" s="107"/>
      <c r="AI2247" s="1"/>
      <c r="AJ2247" s="97">
        <f ca="1">P_2_minQ+(AJ2244^2*R_dn)-dpdn_minQ</f>
        <v>60</v>
      </c>
      <c r="AK2247" s="107"/>
      <c r="AL2247" s="1"/>
      <c r="AM2247" s="97">
        <f ca="1">P_2_minQ+(AM2244^2*R_dn)-dpdn_minQ</f>
        <v>60</v>
      </c>
      <c r="AN2247" s="107"/>
      <c r="AO2247" s="1"/>
      <c r="AP2247" s="97">
        <f ca="1">P_2_minQ+(AP2244^2*R_dn)-dpdn_minQ</f>
        <v>60</v>
      </c>
      <c r="AQ2247" s="107"/>
      <c r="AR2247" s="1"/>
      <c r="AS2247" s="97">
        <f ca="1">P_2_minQ+(AS2244^2*R_dn)-dpdn_minQ</f>
        <v>60</v>
      </c>
      <c r="AT2247" s="107"/>
      <c r="AU2247" s="1"/>
    </row>
    <row r="2248" spans="15:47" x14ac:dyDescent="0.25">
      <c r="O2248" s="8" t="s">
        <v>138</v>
      </c>
      <c r="P2248" s="1"/>
      <c r="Q2248" s="8"/>
      <c r="R2248" s="97">
        <f>R2246-R2247</f>
        <v>30.175381775456145</v>
      </c>
      <c r="S2248" s="106"/>
      <c r="T2248" s="22"/>
      <c r="U2248" s="97">
        <f ca="1">U2246-U2247</f>
        <v>29.605233467962989</v>
      </c>
      <c r="V2248" s="110"/>
      <c r="W2248" s="25"/>
      <c r="X2248" s="97">
        <f ca="1">X2246-X2247</f>
        <v>26.708632200836377</v>
      </c>
      <c r="Y2248" s="110"/>
      <c r="Z2248" s="25"/>
      <c r="AA2248" s="97">
        <f ca="1">AA2246-AA2247</f>
        <v>16.996556776533325</v>
      </c>
      <c r="AB2248" s="110"/>
      <c r="AC2248" s="25"/>
      <c r="AD2248" s="97">
        <f ca="1">AD2246-AD2247</f>
        <v>-6.9357949280048246</v>
      </c>
      <c r="AE2248" s="110"/>
      <c r="AF2248" s="25"/>
      <c r="AG2248" s="97">
        <f ca="1">AG2246-AG2247</f>
        <v>-48.890496412264952</v>
      </c>
      <c r="AH2248" s="110"/>
      <c r="AI2248" s="25"/>
      <c r="AJ2248" s="97">
        <f ca="1">AJ2246-AJ2247</f>
        <v>-110.64063038500743</v>
      </c>
      <c r="AK2248" s="110"/>
      <c r="AL2248" s="25"/>
      <c r="AM2248" s="97">
        <f ca="1">AM2246-AM2247</f>
        <v>-179.48519365370908</v>
      </c>
      <c r="AN2248" s="110"/>
      <c r="AO2248" s="25"/>
      <c r="AP2248" s="97">
        <f ca="1">AP2246-AP2247</f>
        <v>-252.41875719219757</v>
      </c>
      <c r="AQ2248" s="110"/>
      <c r="AR2248" s="25"/>
      <c r="AS2248" s="97">
        <f ca="1">AS2246-AS2247</f>
        <v>-358.37841686571926</v>
      </c>
      <c r="AT2248" s="110"/>
      <c r="AU2248" s="25"/>
    </row>
    <row r="2249" spans="15:47" ht="14.4" x14ac:dyDescent="0.3">
      <c r="O2249" s="2" t="s">
        <v>140</v>
      </c>
      <c r="P2249" s="11"/>
      <c r="Q2249" s="2"/>
      <c r="R2249" s="96">
        <f>R2248/R2246</f>
        <v>0.33462993093386884</v>
      </c>
      <c r="S2249" s="106"/>
      <c r="T2249" s="22"/>
      <c r="U2249" s="96">
        <f ca="1">U2248/U2246</f>
        <v>0.33039625390349436</v>
      </c>
      <c r="V2249" s="111"/>
      <c r="W2249" s="28"/>
      <c r="X2249" s="96">
        <f ca="1">X2248/X2246</f>
        <v>0.3080273730875292</v>
      </c>
      <c r="Y2249" s="111"/>
      <c r="Z2249" s="28"/>
      <c r="AA2249" s="96">
        <f ca="1">AA2248/AA2246</f>
        <v>0.22074437465901672</v>
      </c>
      <c r="AB2249" s="111"/>
      <c r="AC2249" s="28"/>
      <c r="AD2249" s="96">
        <f ca="1">AD2248/AD2246</f>
        <v>-0.13070571619031404</v>
      </c>
      <c r="AE2249" s="111"/>
      <c r="AF2249" s="28"/>
      <c r="AG2249" s="96">
        <f ca="1">AG2248/AG2246</f>
        <v>-4.4007813694070297</v>
      </c>
      <c r="AH2249" s="111"/>
      <c r="AI2249" s="28"/>
      <c r="AJ2249" s="96">
        <f ca="1">AJ2248/AJ2246</f>
        <v>2.1848193741633102</v>
      </c>
      <c r="AK2249" s="111"/>
      <c r="AL2249" s="28"/>
      <c r="AM2249" s="96">
        <f ca="1">AM2248/AM2246</f>
        <v>1.5021542683681082</v>
      </c>
      <c r="AN2249" s="111"/>
      <c r="AO2249" s="28"/>
      <c r="AP2249" s="96">
        <f ca="1">AP2248/AP2246</f>
        <v>1.3118199123387382</v>
      </c>
      <c r="AQ2249" s="111"/>
      <c r="AR2249" s="28"/>
      <c r="AS2249" s="96">
        <f ca="1">AS2248/AS2246</f>
        <v>1.2010869305838636</v>
      </c>
      <c r="AT2249" s="111"/>
      <c r="AU2249" s="28"/>
    </row>
    <row r="2250" spans="15:47" x14ac:dyDescent="0.25">
      <c r="O2250" s="2" t="s">
        <v>21</v>
      </c>
      <c r="P2250" s="8">
        <v>12</v>
      </c>
      <c r="Q2250" s="2"/>
      <c r="R2250" s="96">
        <f ca="1">1-R2249/(3*F_GAMMA*R$29)</f>
        <v>0.82572166456557783</v>
      </c>
      <c r="S2250" s="106"/>
      <c r="T2250" s="22"/>
      <c r="U2250" s="96">
        <f ca="1">1-U2249/(3*F_GAMMA*U$29)</f>
        <v>0.82796657760914005</v>
      </c>
      <c r="V2250" s="111"/>
      <c r="W2250" s="28"/>
      <c r="X2250" s="96">
        <f ca="1">1-X2249/(3*F_GAMMA*X$29)</f>
        <v>0.83808623413451411</v>
      </c>
      <c r="Y2250" s="111"/>
      <c r="Z2250" s="28"/>
      <c r="AA2250" s="96">
        <f ca="1">1-AA2249/(3*F_GAMMA*AA$29)</f>
        <v>0.88233068874202114</v>
      </c>
      <c r="AB2250" s="111"/>
      <c r="AC2250" s="28"/>
      <c r="AD2250" s="96">
        <f ca="1">1-AD2249/(3*F_GAMMA*AD$29)</f>
        <v>1.0718344525432653</v>
      </c>
      <c r="AE2250" s="111"/>
      <c r="AF2250" s="28"/>
      <c r="AG2250" s="96">
        <f ca="1">1-AG2249/(3*F_GAMMA*AG$29)</f>
        <v>3.5637542603290551</v>
      </c>
      <c r="AH2250" s="111"/>
      <c r="AI2250" s="28"/>
      <c r="AJ2250" s="96">
        <f ca="1">1-AJ2249/(3*F_GAMMA*AJ$29)</f>
        <v>-0.36936476478266678</v>
      </c>
      <c r="AK2250" s="111"/>
      <c r="AL2250" s="28"/>
      <c r="AM2250" s="96">
        <f ca="1">1-AM2249/(3*F_GAMMA*AM$29)</f>
        <v>-5.2669332071512143E-2</v>
      </c>
      <c r="AN2250" s="111"/>
      <c r="AO2250" s="28"/>
      <c r="AP2250" s="96">
        <f ca="1">1-AP2249/(3*F_GAMMA*AP$29)</f>
        <v>0.25953850337530826</v>
      </c>
      <c r="AQ2250" s="111"/>
      <c r="AR2250" s="28"/>
      <c r="AS2250" s="96">
        <f ca="1">1-AS2249/(3*F_GAMMA*AS$29)</f>
        <v>-6.2843074109954156E-2</v>
      </c>
      <c r="AT2250" s="111"/>
      <c r="AU2250" s="28"/>
    </row>
    <row r="2251" spans="15:47" x14ac:dyDescent="0.25">
      <c r="O2251" s="2" t="s">
        <v>57</v>
      </c>
      <c r="P2251" s="143">
        <v>7</v>
      </c>
      <c r="Q2251" s="2"/>
      <c r="R2251" s="96">
        <f ca="1">(R2244/(N_9*R$27*R2246*R2250))*SQRT(M*'Valve Sizing'!$W$6*'Valve Sizing'!$G$8/R2249)</f>
        <v>2.940327970342949</v>
      </c>
      <c r="S2251" s="107"/>
      <c r="T2251" s="22"/>
      <c r="U2251" s="96">
        <f ca="1">(U2244/(N_9*U$27*U2246*U2250))*SQRT(M*'Valve Sizing'!$W$6*'Valve Sizing'!$G$8/U2249)</f>
        <v>23.025132653050758</v>
      </c>
      <c r="V2251" s="111"/>
      <c r="W2251" s="28"/>
      <c r="X2251" s="96">
        <f ca="1">(X2244/(N_9*X$27*X2246*X2250))*SQRT(M*'Valve Sizing'!$W$6*'Valve Sizing'!$G$8/X2249)</f>
        <v>59.750620784181926</v>
      </c>
      <c r="Y2251" s="111"/>
      <c r="Z2251" s="28"/>
      <c r="AA2251" s="96">
        <f ca="1">(AA2244/(N_9*AA$27*AA2246*AA2250))*SQRT(M*'Valve Sizing'!$W$6*'Valve Sizing'!$G$8/AA2249)</f>
        <v>147.92523613365393</v>
      </c>
      <c r="AB2251" s="111"/>
      <c r="AC2251" s="28"/>
      <c r="AD2251" s="96" t="e">
        <f ca="1">(AD2244/(N_9*AD$27*AD2246*AD2250))*SQRT(M*'Valve Sizing'!$W$6*'Valve Sizing'!$G$8/AD2249)</f>
        <v>#NUM!</v>
      </c>
      <c r="AE2251" s="111"/>
      <c r="AF2251" s="28"/>
      <c r="AG2251" s="96" t="e">
        <f ca="1">(AG2244/(N_9*AG$27*AG2246*AG2250))*SQRT(M*'Valve Sizing'!$W$6*'Valve Sizing'!$G$8/AG2249)</f>
        <v>#NUM!</v>
      </c>
      <c r="AH2251" s="111"/>
      <c r="AI2251" s="28"/>
      <c r="AJ2251" s="96">
        <f ca="1">(AJ2244/(N_9*AJ$27*AJ2246*AJ2250))*SQRT(M*'Valve Sizing'!$W$6*'Valve Sizing'!$G$8/AJ2249)</f>
        <v>598.55792919410806</v>
      </c>
      <c r="AK2251" s="111"/>
      <c r="AL2251" s="28"/>
      <c r="AM2251" s="96">
        <f ca="1">(AM2244/(N_9*AM$27*AM2246*AM2250))*SQRT(M*'Valve Sizing'!$W$6*'Valve Sizing'!$G$8/AM2249)</f>
        <v>2777.7011719075495</v>
      </c>
      <c r="AN2251" s="111"/>
      <c r="AO2251" s="28"/>
      <c r="AP2251" s="96">
        <f ca="1">(AP2244/(N_9*AP$27*AP2246*AP2250))*SQRT(M*'Valve Sizing'!$W$6*'Valve Sizing'!$G$8/AP2249)</f>
        <v>-494.95470246897713</v>
      </c>
      <c r="AQ2251" s="111"/>
      <c r="AR2251" s="28"/>
      <c r="AS2251" s="96">
        <f ca="1">(AS2244/(N_9*AS$27*AS2246*AS2250))*SQRT(M*'Valve Sizing'!$W$6*'Valve Sizing'!$G$8/AS2249)</f>
        <v>2163.65851557633</v>
      </c>
      <c r="AT2251" s="111"/>
      <c r="AU2251" s="28"/>
    </row>
    <row r="2252" spans="15:47" x14ac:dyDescent="0.25">
      <c r="O2252" s="2" t="s">
        <v>59</v>
      </c>
      <c r="P2252" s="143">
        <v>7</v>
      </c>
      <c r="Q2252" s="2"/>
      <c r="R2252" s="96">
        <f ca="1">(R2244/(N_9*R$27*R2246*0.667))*SQRT(M*'Valve Sizing'!$W$6*'Valve Sizing'!$G$8/R2253)</f>
        <v>2.6320003923786395</v>
      </c>
      <c r="S2252" s="107"/>
      <c r="T2252" s="22"/>
      <c r="U2252" s="96">
        <f ca="1">(U2244/(N_9*U$27*U2246*0.667))*SQRT(M*'Valve Sizing'!$W$6*'Valve Sizing'!$G$8/U2253)</f>
        <v>20.533177196158583</v>
      </c>
      <c r="V2252" s="111"/>
      <c r="W2252" s="28"/>
      <c r="X2252" s="96">
        <f ca="1">(X2244/(N_9*X$27*X2246*0.667))*SQRT(M*'Valve Sizing'!$W$6*'Valve Sizing'!$G$8/X2253)</f>
        <v>52.324828005171426</v>
      </c>
      <c r="Y2252" s="111"/>
      <c r="Z2252" s="28"/>
      <c r="AA2252" s="96">
        <f ca="1">(AA2244/(N_9*AA$27*AA2246*0.667))*SQRT(M*'Valve Sizing'!$W$6*'Valve Sizing'!$G$8/AA2253)</f>
        <v>116.26260651483528</v>
      </c>
      <c r="AB2252" s="111"/>
      <c r="AC2252" s="28"/>
      <c r="AD2252" s="96">
        <f ca="1">(AD2244/(N_9*AD$27*AD2246*0.667))*SQRT(M*'Valve Sizing'!$W$6*'Valve Sizing'!$G$8/AD2253)</f>
        <v>290.93794164157845</v>
      </c>
      <c r="AE2252" s="111"/>
      <c r="AF2252" s="28"/>
      <c r="AG2252" s="96">
        <f ca="1">(AG2244/(N_9*AG$27*AG2246*0.667))*SQRT(M*'Valve Sizing'!$W$6*'Valve Sizing'!$G$8/AG2253)</f>
        <v>2135.2025852091379</v>
      </c>
      <c r="AH2252" s="111"/>
      <c r="AI2252" s="28"/>
      <c r="AJ2252" s="96">
        <f ca="1">(AJ2244/(N_9*AJ$27*AJ2246*0.667))*SQRT(M*'Valve Sizing'!$W$6*'Valve Sizing'!$G$8/AJ2253)</f>
        <v>-671.82478241482852</v>
      </c>
      <c r="AK2252" s="111"/>
      <c r="AL2252" s="28"/>
      <c r="AM2252" s="96">
        <f ca="1">(AM2244/(N_9*AM$27*AM2246*0.667))*SQRT(M*'Valve Sizing'!$W$6*'Valve Sizing'!$G$8/AM2253)</f>
        <v>-389.78409297743787</v>
      </c>
      <c r="AN2252" s="111"/>
      <c r="AO2252" s="28"/>
      <c r="AP2252" s="96">
        <f ca="1">(AP2244/(N_9*AP$27*AP2246*0.667))*SQRT(M*'Valve Sizing'!$W$6*'Valve Sizing'!$G$8/AP2253)</f>
        <v>-287.04717984035346</v>
      </c>
      <c r="AQ2252" s="111"/>
      <c r="AR2252" s="28"/>
      <c r="AS2252" s="96">
        <f ca="1">(AS2244/(N_9*AS$27*AS2246*0.667))*SQRT(M*'Valve Sizing'!$W$6*'Valve Sizing'!$G$8/AS2253)</f>
        <v>-364.01183718060497</v>
      </c>
      <c r="AT2252" s="111"/>
      <c r="AU2252" s="28"/>
    </row>
    <row r="2253" spans="15:47" ht="15.6" x14ac:dyDescent="0.35">
      <c r="O2253" s="2" t="s">
        <v>68</v>
      </c>
      <c r="P2253" s="143">
        <v>10</v>
      </c>
      <c r="Q2253" s="2"/>
      <c r="R2253" s="96">
        <f ca="1">F_GAMMA*R$29</f>
        <v>0.64002969751372984</v>
      </c>
      <c r="S2253" s="107"/>
      <c r="T2253" s="1"/>
      <c r="U2253" s="96">
        <f ca="1">F_GAMMA*U$29</f>
        <v>0.64017842058782071</v>
      </c>
      <c r="V2253" s="111"/>
      <c r="W2253" s="28"/>
      <c r="X2253" s="96">
        <f ca="1">F_GAMMA*X$29</f>
        <v>0.63413873724904268</v>
      </c>
      <c r="Y2253" s="111"/>
      <c r="Z2253" s="28"/>
      <c r="AA2253" s="96">
        <f ca="1">F_GAMMA*AA$29</f>
        <v>0.62532411750377137</v>
      </c>
      <c r="AB2253" s="111"/>
      <c r="AC2253" s="28"/>
      <c r="AD2253" s="96">
        <f ca="1">F_GAMMA*AD$29</f>
        <v>0.60651359509139569</v>
      </c>
      <c r="AE2253" s="111"/>
      <c r="AF2253" s="28"/>
      <c r="AG2253" s="96">
        <f ca="1">F_GAMMA*AG$29</f>
        <v>0.57217930198481592</v>
      </c>
      <c r="AH2253" s="111"/>
      <c r="AI2253" s="28"/>
      <c r="AJ2253" s="96">
        <f ca="1">F_GAMMA*AJ$29</f>
        <v>0.53183282018848232</v>
      </c>
      <c r="AK2253" s="111"/>
      <c r="AL2253" s="28"/>
      <c r="AM2253" s="96">
        <f ca="1">F_GAMMA*AM$29</f>
        <v>0.47566512503094399</v>
      </c>
      <c r="AN2253" s="111"/>
      <c r="AO2253" s="28"/>
      <c r="AP2253" s="96">
        <f ca="1">F_GAMMA*AP$29</f>
        <v>0.59054158265645496</v>
      </c>
      <c r="AQ2253" s="111"/>
      <c r="AR2253" s="28"/>
      <c r="AS2253" s="96">
        <f ca="1">F_GAMMA*AS$29</f>
        <v>0.3766899554102966</v>
      </c>
      <c r="AT2253" s="111"/>
      <c r="AU2253" s="28"/>
    </row>
    <row r="2254" spans="15:47" x14ac:dyDescent="0.25">
      <c r="O2254" s="2" t="s">
        <v>145</v>
      </c>
      <c r="P2254" s="12"/>
      <c r="Q2254" s="2"/>
      <c r="R2254" s="96">
        <f ca="1">IF(R2249&lt;R2253,R2251,R2252)</f>
        <v>2.940327970342949</v>
      </c>
      <c r="S2254" s="116"/>
      <c r="T2254" s="1"/>
      <c r="U2254" s="96">
        <f ca="1">IF(U2249&lt;U2253,U2251,U2252)</f>
        <v>23.025132653050758</v>
      </c>
      <c r="V2254" s="111"/>
      <c r="W2254" s="28"/>
      <c r="X2254" s="96">
        <f ca="1">IF(X2249&lt;X2253,X2251,X2252)</f>
        <v>59.750620784181926</v>
      </c>
      <c r="Y2254" s="111"/>
      <c r="Z2254" s="28"/>
      <c r="AA2254" s="96">
        <f ca="1">IF(AA2249&lt;AA2253,AA2251,AA2252)</f>
        <v>147.92523613365393</v>
      </c>
      <c r="AB2254" s="111"/>
      <c r="AC2254" s="28"/>
      <c r="AD2254" s="96" t="e">
        <f ca="1">IF(AD2249&lt;AD2253,AD2251,AD2252)</f>
        <v>#NUM!</v>
      </c>
      <c r="AE2254" s="111"/>
      <c r="AF2254" s="28"/>
      <c r="AG2254" s="96" t="e">
        <f ca="1">IF(AG2249&lt;AG2253,AG2251,AG2252)</f>
        <v>#NUM!</v>
      </c>
      <c r="AH2254" s="111"/>
      <c r="AI2254" s="28"/>
      <c r="AJ2254" s="96">
        <f ca="1">IF(AJ2249&lt;AJ2253,AJ2251,AJ2252)</f>
        <v>-671.82478241482852</v>
      </c>
      <c r="AK2254" s="111"/>
      <c r="AL2254" s="28"/>
      <c r="AM2254" s="96">
        <f ca="1">IF(AM2249&lt;AM2253,AM2251,AM2252)</f>
        <v>-389.78409297743787</v>
      </c>
      <c r="AN2254" s="111"/>
      <c r="AO2254" s="28"/>
      <c r="AP2254" s="96">
        <f ca="1">IF(AP2249&lt;AP2253,AP2251,AP2252)</f>
        <v>-287.04717984035346</v>
      </c>
      <c r="AQ2254" s="111"/>
      <c r="AR2254" s="28"/>
      <c r="AS2254" s="96">
        <f ca="1">IF(AS2249&lt;AS2253,AS2251,AS2252)</f>
        <v>-364.01183718060497</v>
      </c>
      <c r="AT2254" s="111"/>
      <c r="AU2254" s="28"/>
    </row>
    <row r="2255" spans="15:47" x14ac:dyDescent="0.25">
      <c r="O2255" s="13" t="s">
        <v>143</v>
      </c>
      <c r="P2255" s="1"/>
      <c r="Q2255" s="1"/>
      <c r="R2255" s="113"/>
      <c r="S2255" s="106">
        <f ca="1">IF(R2248&lt;=0,Q_max,ABS(R$23-R2254))</f>
        <v>1.7896720296570514</v>
      </c>
      <c r="T2255" s="7">
        <f>R2244</f>
        <v>7279.7053596631804</v>
      </c>
      <c r="U2255" s="98"/>
      <c r="V2255" s="106">
        <f ca="1">IF(U2248&lt;=0,Q_max,ABS(U$23-U2254))</f>
        <v>11.425132653050758</v>
      </c>
      <c r="W2255" s="9">
        <f ca="1">U2244</f>
        <v>56402.062034140203</v>
      </c>
      <c r="X2255" s="98"/>
      <c r="Y2255" s="106">
        <f ca="1">IF(X2248&lt;=0,Q_max,ABS(X$23-X2254))</f>
        <v>36.750620784181926</v>
      </c>
      <c r="Z2255" s="9">
        <f ca="1">X2244</f>
        <v>138107.9320143463</v>
      </c>
      <c r="AA2255" s="98"/>
      <c r="AB2255" s="106">
        <f ca="1">IF(AA2248&lt;=0,Q_max,ABS(AA$23-AA2254))</f>
        <v>108.52523613365392</v>
      </c>
      <c r="AC2255" s="9">
        <f ca="1">AA2244</f>
        <v>268999.0001477534</v>
      </c>
      <c r="AD2255" s="98"/>
      <c r="AE2255" s="106">
        <f ca="1">IF(AD2248&lt;=0,Q_max,ABS(AD$23-AD2254))</f>
        <v>236393</v>
      </c>
      <c r="AF2255" s="9">
        <f ca="1">AD2244</f>
        <v>451296.64243249467</v>
      </c>
      <c r="AG2255" s="98"/>
      <c r="AH2255" s="106">
        <f ca="1">IF(AG2248&lt;=0,Q_max,ABS(AG$23-AG2254))</f>
        <v>236393</v>
      </c>
      <c r="AI2255" s="9">
        <f ca="1">AG2244</f>
        <v>658679.74120956042</v>
      </c>
      <c r="AJ2255" s="98"/>
      <c r="AK2255" s="106">
        <f ca="1">IF(AJ2248&lt;=0,Q_max,ABS(AJ$23-AJ2254))</f>
        <v>236393</v>
      </c>
      <c r="AL2255" s="9">
        <f ca="1">AJ2244</f>
        <v>879010.66806046048</v>
      </c>
      <c r="AM2255" s="98"/>
      <c r="AN2255" s="106">
        <f ca="1">IF(AM2248&lt;=0,Q_max,ABS(AM$23-AM2254))</f>
        <v>236393</v>
      </c>
      <c r="AO2255" s="9">
        <f ca="1">AM2244</f>
        <v>1072560.0621753824</v>
      </c>
      <c r="AP2255" s="98"/>
      <c r="AQ2255" s="106">
        <f ca="1">IF(AP2248&lt;=0,Q_max,ABS(AP$23-AP2254))</f>
        <v>236393</v>
      </c>
      <c r="AR2255" s="9">
        <f ca="1">AP2244</f>
        <v>1245208.9349553345</v>
      </c>
      <c r="AS2255" s="98"/>
      <c r="AT2255" s="106">
        <f ca="1">IF(AS2248&lt;=0,Q_max,ABS(AS$23-AS2254))</f>
        <v>236393</v>
      </c>
      <c r="AU2255" s="9">
        <f ca="1">AS2244</f>
        <v>1460105.4055968085</v>
      </c>
    </row>
    <row r="2256" spans="15:47" x14ac:dyDescent="0.25">
      <c r="O2256" s="21"/>
      <c r="P2256" s="14"/>
      <c r="Q2256" s="21"/>
      <c r="R2256" s="97"/>
      <c r="S2256" s="106"/>
      <c r="T2256" s="28"/>
      <c r="U2256" s="97"/>
      <c r="V2256" s="111"/>
      <c r="W2256" s="28"/>
      <c r="X2256" s="97"/>
      <c r="Y2256" s="111"/>
      <c r="Z2256" s="28"/>
      <c r="AA2256" s="97"/>
      <c r="AB2256" s="111"/>
      <c r="AC2256" s="28"/>
      <c r="AD2256" s="97"/>
      <c r="AE2256" s="111"/>
      <c r="AF2256" s="28"/>
      <c r="AG2256" s="97"/>
      <c r="AH2256" s="111"/>
      <c r="AI2256" s="28"/>
      <c r="AJ2256" s="97"/>
      <c r="AK2256" s="111"/>
      <c r="AL2256" s="28"/>
      <c r="AM2256" s="97"/>
      <c r="AN2256" s="111"/>
      <c r="AO2256" s="28"/>
      <c r="AP2256" s="97"/>
      <c r="AQ2256" s="111"/>
      <c r="AR2256" s="28"/>
      <c r="AS2256" s="97"/>
      <c r="AT2256" s="111"/>
      <c r="AU2256" s="28"/>
    </row>
    <row r="2257" spans="15:47" x14ac:dyDescent="0.25">
      <c r="O2257" s="1"/>
      <c r="P2257" s="1"/>
      <c r="Q2257" s="1"/>
      <c r="R2257" s="98"/>
      <c r="S2257" s="108" t="s">
        <v>137</v>
      </c>
      <c r="T2257" s="26" t="s">
        <v>146</v>
      </c>
      <c r="U2257" s="98"/>
      <c r="V2257" s="108" t="s">
        <v>137</v>
      </c>
      <c r="W2257" s="26" t="s">
        <v>146</v>
      </c>
      <c r="X2257" s="98"/>
      <c r="Y2257" s="108" t="s">
        <v>137</v>
      </c>
      <c r="Z2257" s="26" t="s">
        <v>146</v>
      </c>
      <c r="AA2257" s="98"/>
      <c r="AB2257" s="108" t="s">
        <v>137</v>
      </c>
      <c r="AC2257" s="26" t="s">
        <v>146</v>
      </c>
      <c r="AD2257" s="98"/>
      <c r="AE2257" s="108" t="s">
        <v>137</v>
      </c>
      <c r="AF2257" s="26" t="s">
        <v>146</v>
      </c>
      <c r="AG2257" s="98"/>
      <c r="AH2257" s="108" t="s">
        <v>137</v>
      </c>
      <c r="AI2257" s="26" t="s">
        <v>146</v>
      </c>
      <c r="AJ2257" s="98"/>
      <c r="AK2257" s="108" t="s">
        <v>137</v>
      </c>
      <c r="AL2257" s="26" t="s">
        <v>146</v>
      </c>
      <c r="AM2257" s="98"/>
      <c r="AN2257" s="108" t="s">
        <v>137</v>
      </c>
      <c r="AO2257" s="26" t="s">
        <v>146</v>
      </c>
      <c r="AP2257" s="98"/>
      <c r="AQ2257" s="108" t="s">
        <v>137</v>
      </c>
      <c r="AR2257" s="26" t="s">
        <v>146</v>
      </c>
      <c r="AS2257" s="98"/>
      <c r="AT2257" s="108" t="s">
        <v>137</v>
      </c>
      <c r="AU2257" s="26" t="s">
        <v>146</v>
      </c>
    </row>
    <row r="2258" spans="15:47" ht="13.8" x14ac:dyDescent="0.25">
      <c r="O2258" s="20" t="s">
        <v>136</v>
      </c>
      <c r="P2258" s="1"/>
      <c r="Q2258" s="1"/>
      <c r="R2258" s="96">
        <f>R2244*1.02</f>
        <v>7425.2994668564443</v>
      </c>
      <c r="S2258" s="109" t="s">
        <v>144</v>
      </c>
      <c r="T2258" s="23" t="s">
        <v>147</v>
      </c>
      <c r="U2258" s="96">
        <f ca="1">U2244*1.01</f>
        <v>56966.082654481608</v>
      </c>
      <c r="V2258" s="109" t="s">
        <v>144</v>
      </c>
      <c r="W2258" s="23" t="s">
        <v>147</v>
      </c>
      <c r="X2258" s="96">
        <f ca="1">X2244*1.01</f>
        <v>139489.01133448977</v>
      </c>
      <c r="Y2258" s="109" t="s">
        <v>144</v>
      </c>
      <c r="Z2258" s="23" t="s">
        <v>147</v>
      </c>
      <c r="AA2258" s="96">
        <f ca="1">AA2244*1.01</f>
        <v>271688.99014923093</v>
      </c>
      <c r="AB2258" s="109" t="s">
        <v>144</v>
      </c>
      <c r="AC2258" s="23" t="s">
        <v>147</v>
      </c>
      <c r="AD2258" s="96">
        <f ca="1">AD2244*1.01</f>
        <v>455809.60885681963</v>
      </c>
      <c r="AE2258" s="109" t="s">
        <v>144</v>
      </c>
      <c r="AF2258" s="23" t="s">
        <v>147</v>
      </c>
      <c r="AG2258" s="96">
        <f ca="1">AG2244*1.01</f>
        <v>665266.53862165601</v>
      </c>
      <c r="AH2258" s="109" t="s">
        <v>144</v>
      </c>
      <c r="AI2258" s="23" t="s">
        <v>147</v>
      </c>
      <c r="AJ2258" s="96">
        <f ca="1">AJ2244*1.01</f>
        <v>887800.77474106511</v>
      </c>
      <c r="AK2258" s="109" t="s">
        <v>144</v>
      </c>
      <c r="AL2258" s="23" t="s">
        <v>147</v>
      </c>
      <c r="AM2258" s="96">
        <f ca="1">AM2244*1.01</f>
        <v>1083285.6627971362</v>
      </c>
      <c r="AN2258" s="109" t="s">
        <v>144</v>
      </c>
      <c r="AO2258" s="23" t="s">
        <v>147</v>
      </c>
      <c r="AP2258" s="96">
        <f ca="1">AP2244*1.01</f>
        <v>1257661.024304888</v>
      </c>
      <c r="AQ2258" s="109" t="s">
        <v>144</v>
      </c>
      <c r="AR2258" s="23" t="s">
        <v>147</v>
      </c>
      <c r="AS2258" s="96">
        <f ca="1">AS2244*1.01</f>
        <v>1474706.4596527766</v>
      </c>
      <c r="AT2258" s="109" t="s">
        <v>144</v>
      </c>
      <c r="AU2258" s="23" t="s">
        <v>147</v>
      </c>
    </row>
    <row r="2259" spans="15:47" x14ac:dyDescent="0.25">
      <c r="O2259" s="1"/>
      <c r="P2259" s="1"/>
      <c r="Q2259" s="1"/>
      <c r="R2259" s="98"/>
      <c r="S2259" s="107"/>
      <c r="T2259" s="1"/>
      <c r="U2259" s="47"/>
      <c r="V2259" s="107"/>
      <c r="W2259" s="1"/>
      <c r="X2259" s="47"/>
      <c r="Y2259" s="107"/>
      <c r="Z2259" s="1"/>
      <c r="AA2259" s="47"/>
      <c r="AB2259" s="107"/>
      <c r="AC2259" s="1"/>
      <c r="AD2259" s="47"/>
      <c r="AE2259" s="107"/>
      <c r="AF2259" s="1"/>
      <c r="AG2259" s="47"/>
      <c r="AH2259" s="107"/>
      <c r="AI2259" s="1"/>
      <c r="AJ2259" s="47"/>
      <c r="AK2259" s="107"/>
      <c r="AL2259" s="1"/>
      <c r="AM2259" s="47"/>
      <c r="AN2259" s="107"/>
      <c r="AO2259" s="1"/>
      <c r="AP2259" s="47"/>
      <c r="AQ2259" s="107"/>
      <c r="AR2259" s="1"/>
      <c r="AS2259" s="47"/>
      <c r="AT2259" s="107"/>
      <c r="AU2259" s="1"/>
    </row>
    <row r="2260" spans="15:47" x14ac:dyDescent="0.25">
      <c r="O2260" s="8" t="s">
        <v>132</v>
      </c>
      <c r="P2260" s="8"/>
      <c r="Q2260" s="8"/>
      <c r="R2260" s="96">
        <f>P_1_minQ-(R2258^2*R_up)+dpup_minQ</f>
        <v>90.174991561762255</v>
      </c>
      <c r="S2260" s="106"/>
      <c r="T2260" s="22"/>
      <c r="U2260" s="96">
        <f ca="1">P_1_minQ-(U2258^2*R_up)+dpup_minQ</f>
        <v>89.593579346010912</v>
      </c>
      <c r="V2260" s="107"/>
      <c r="W2260" s="1"/>
      <c r="X2260" s="96">
        <f ca="1">P_1_minQ-(X2258^2*R_up)+dpup_minQ</f>
        <v>86.638756393415065</v>
      </c>
      <c r="Y2260" s="107"/>
      <c r="Z2260" s="1"/>
      <c r="AA2260" s="96">
        <f ca="1">P_1_minQ-(AA2258^2*R_up)+dpup_minQ</f>
        <v>76.731468253083506</v>
      </c>
      <c r="AB2260" s="107"/>
      <c r="AC2260" s="1"/>
      <c r="AD2260" s="96">
        <f ca="1">P_1_minQ-(AD2258^2*R_up)+dpup_minQ</f>
        <v>52.318076279284142</v>
      </c>
      <c r="AE2260" s="107"/>
      <c r="AF2260" s="1"/>
      <c r="AG2260" s="96">
        <f ca="1">P_1_minQ-(AG2258^2*R_up)+dpup_minQ</f>
        <v>9.5200852951903823</v>
      </c>
      <c r="AH2260" s="107"/>
      <c r="AI2260" s="1"/>
      <c r="AJ2260" s="96">
        <f ca="1">P_1_minQ-(AJ2258^2*R_up)+dpup_minQ</f>
        <v>-53.471226370404224</v>
      </c>
      <c r="AK2260" s="107"/>
      <c r="AL2260" s="1"/>
      <c r="AM2260" s="96">
        <f ca="1">P_1_minQ-(AM2258^2*R_up)+dpup_minQ</f>
        <v>-123.69956536080679</v>
      </c>
      <c r="AN2260" s="107"/>
      <c r="AO2260" s="1"/>
      <c r="AP2260" s="96">
        <f ca="1">P_1_minQ-(AP2258^2*R_up)+dpup_minQ</f>
        <v>-198.09909352641893</v>
      </c>
      <c r="AQ2260" s="107"/>
      <c r="AR2260" s="1"/>
      <c r="AS2260" s="96">
        <f ca="1">P_1_minQ-(AS2258^2*R_up)+dpup_minQ</f>
        <v>-306.1885423593784</v>
      </c>
      <c r="AT2260" s="107"/>
      <c r="AU2260" s="1"/>
    </row>
    <row r="2261" spans="15:47" x14ac:dyDescent="0.25">
      <c r="O2261" s="8" t="s">
        <v>134</v>
      </c>
      <c r="P2261" s="1"/>
      <c r="Q2261" s="8"/>
      <c r="R2261" s="97">
        <f>P_2_minQ+(R2258^2*R_dn)-dpdn_minQ</f>
        <v>60</v>
      </c>
      <c r="S2261" s="106"/>
      <c r="T2261" s="22"/>
      <c r="U2261" s="97">
        <f ca="1">P_2_minQ+(U2258^2*R_dn)-dpdn_minQ</f>
        <v>60</v>
      </c>
      <c r="V2261" s="107"/>
      <c r="W2261" s="1"/>
      <c r="X2261" s="97">
        <f ca="1">P_2_minQ+(X2258^2*R_dn)-dpdn_minQ</f>
        <v>60</v>
      </c>
      <c r="Y2261" s="107"/>
      <c r="Z2261" s="1"/>
      <c r="AA2261" s="97">
        <f ca="1">P_2_minQ+(AA2258^2*R_dn)-dpdn_minQ</f>
        <v>60</v>
      </c>
      <c r="AB2261" s="107"/>
      <c r="AC2261" s="1"/>
      <c r="AD2261" s="97">
        <f ca="1">P_2_minQ+(AD2258^2*R_dn)-dpdn_minQ</f>
        <v>60</v>
      </c>
      <c r="AE2261" s="107"/>
      <c r="AF2261" s="1"/>
      <c r="AG2261" s="97">
        <f ca="1">P_2_minQ+(AG2258^2*R_dn)-dpdn_minQ</f>
        <v>60</v>
      </c>
      <c r="AH2261" s="107"/>
      <c r="AI2261" s="1"/>
      <c r="AJ2261" s="97">
        <f ca="1">P_2_minQ+(AJ2258^2*R_dn)-dpdn_minQ</f>
        <v>60</v>
      </c>
      <c r="AK2261" s="107"/>
      <c r="AL2261" s="1"/>
      <c r="AM2261" s="97">
        <f ca="1">P_2_minQ+(AM2258^2*R_dn)-dpdn_minQ</f>
        <v>60</v>
      </c>
      <c r="AN2261" s="107"/>
      <c r="AO2261" s="1"/>
      <c r="AP2261" s="97">
        <f ca="1">P_2_minQ+(AP2258^2*R_dn)-dpdn_minQ</f>
        <v>60</v>
      </c>
      <c r="AQ2261" s="107"/>
      <c r="AR2261" s="1"/>
      <c r="AS2261" s="97">
        <f ca="1">P_2_minQ+(AS2258^2*R_dn)-dpdn_minQ</f>
        <v>60</v>
      </c>
      <c r="AT2261" s="107"/>
      <c r="AU2261" s="1"/>
    </row>
    <row r="2262" spans="15:47" x14ac:dyDescent="0.25">
      <c r="O2262" s="8" t="s">
        <v>138</v>
      </c>
      <c r="P2262" s="1"/>
      <c r="Q2262" s="8"/>
      <c r="R2262" s="97">
        <f>R2260-R2261</f>
        <v>30.174991561762255</v>
      </c>
      <c r="S2262" s="106"/>
      <c r="T2262" s="22"/>
      <c r="U2262" s="97">
        <f ca="1">U2260-U2261</f>
        <v>29.593579346010912</v>
      </c>
      <c r="V2262" s="110"/>
      <c r="W2262" s="25"/>
      <c r="X2262" s="97">
        <f ca="1">X2260-X2261</f>
        <v>26.638756393415065</v>
      </c>
      <c r="Y2262" s="110"/>
      <c r="Z2262" s="25"/>
      <c r="AA2262" s="97">
        <f ca="1">AA2260-AA2261</f>
        <v>16.731468253083506</v>
      </c>
      <c r="AB2262" s="110"/>
      <c r="AC2262" s="25"/>
      <c r="AD2262" s="97">
        <f ca="1">AD2260-AD2261</f>
        <v>-7.6819237207158579</v>
      </c>
      <c r="AE2262" s="110"/>
      <c r="AF2262" s="25"/>
      <c r="AG2262" s="97">
        <f ca="1">AG2260-AG2261</f>
        <v>-50.479914704809616</v>
      </c>
      <c r="AH2262" s="110"/>
      <c r="AI2262" s="25"/>
      <c r="AJ2262" s="97">
        <f ca="1">AJ2260-AJ2261</f>
        <v>-113.47122637040422</v>
      </c>
      <c r="AK2262" s="110"/>
      <c r="AL2262" s="25"/>
      <c r="AM2262" s="97">
        <f ca="1">AM2260-AM2261</f>
        <v>-183.69956536080679</v>
      </c>
      <c r="AN2262" s="110"/>
      <c r="AO2262" s="25"/>
      <c r="AP2262" s="97">
        <f ca="1">AP2260-AP2261</f>
        <v>-258.09909352641893</v>
      </c>
      <c r="AQ2262" s="110"/>
      <c r="AR2262" s="25"/>
      <c r="AS2262" s="97">
        <f ca="1">AS2260-AS2261</f>
        <v>-366.1885423593784</v>
      </c>
      <c r="AT2262" s="110"/>
      <c r="AU2262" s="25"/>
    </row>
    <row r="2263" spans="15:47" ht="14.4" x14ac:dyDescent="0.3">
      <c r="O2263" s="2" t="s">
        <v>140</v>
      </c>
      <c r="P2263" s="11"/>
      <c r="Q2263" s="2"/>
      <c r="R2263" s="96">
        <f>R2262/R2260</f>
        <v>0.33462705168200579</v>
      </c>
      <c r="S2263" s="106"/>
      <c r="T2263" s="22"/>
      <c r="U2263" s="96">
        <f ca="1">U2262/U2260</f>
        <v>0.33030915342404549</v>
      </c>
      <c r="V2263" s="111"/>
      <c r="W2263" s="28"/>
      <c r="X2263" s="96">
        <f ca="1">X2262/X2260</f>
        <v>0.30746928398247103</v>
      </c>
      <c r="Y2263" s="111"/>
      <c r="Z2263" s="28"/>
      <c r="AA2263" s="96">
        <f ca="1">AA2262/AA2260</f>
        <v>0.21805223637710255</v>
      </c>
      <c r="AB2263" s="111"/>
      <c r="AC2263" s="28"/>
      <c r="AD2263" s="96">
        <f ca="1">AD2262/AD2260</f>
        <v>-0.14683115792920681</v>
      </c>
      <c r="AE2263" s="111"/>
      <c r="AF2263" s="28"/>
      <c r="AG2263" s="96">
        <f ca="1">AG2262/AG2260</f>
        <v>-5.3024645409755351</v>
      </c>
      <c r="AH2263" s="111"/>
      <c r="AI2263" s="28"/>
      <c r="AJ2263" s="96">
        <f ca="1">AJ2262/AJ2260</f>
        <v>2.1220988197347457</v>
      </c>
      <c r="AK2263" s="111"/>
      <c r="AL2263" s="28"/>
      <c r="AM2263" s="96">
        <f ca="1">AM2262/AM2260</f>
        <v>1.4850461666942163</v>
      </c>
      <c r="AN2263" s="111"/>
      <c r="AO2263" s="28"/>
      <c r="AP2263" s="96">
        <f ca="1">AP2262/AP2260</f>
        <v>1.3028787206035259</v>
      </c>
      <c r="AQ2263" s="111"/>
      <c r="AR2263" s="28"/>
      <c r="AS2263" s="96">
        <f ca="1">AS2262/AS2260</f>
        <v>1.1959576917466004</v>
      </c>
      <c r="AT2263" s="111"/>
      <c r="AU2263" s="28"/>
    </row>
    <row r="2264" spans="15:47" x14ac:dyDescent="0.25">
      <c r="O2264" s="2" t="s">
        <v>21</v>
      </c>
      <c r="P2264" s="8">
        <v>12</v>
      </c>
      <c r="Q2264" s="2"/>
      <c r="R2264" s="96">
        <f ca="1">1-R2263/(3*F_GAMMA*R$29)</f>
        <v>0.82572316410634083</v>
      </c>
      <c r="S2264" s="106"/>
      <c r="T2264" s="22"/>
      <c r="U2264" s="96">
        <f ca="1">1-U2263/(3*F_GAMMA*U$29)</f>
        <v>0.82801192979880467</v>
      </c>
      <c r="V2264" s="111"/>
      <c r="W2264" s="28"/>
      <c r="X2264" s="96">
        <f ca="1">1-X2263/(3*F_GAMMA*X$29)</f>
        <v>0.83837959218182889</v>
      </c>
      <c r="Y2264" s="111"/>
      <c r="Z2264" s="28"/>
      <c r="AA2264" s="96">
        <f ca="1">1-AA2263/(3*F_GAMMA*AA$29)</f>
        <v>0.88376575161931259</v>
      </c>
      <c r="AB2264" s="111"/>
      <c r="AC2264" s="28"/>
      <c r="AD2264" s="96">
        <f ca="1">1-AD2263/(3*F_GAMMA*AD$29)</f>
        <v>1.0806968214823944</v>
      </c>
      <c r="AE2264" s="111"/>
      <c r="AF2264" s="28"/>
      <c r="AG2264" s="96">
        <f ca="1">1-AG2263/(3*F_GAMMA*AG$29)</f>
        <v>4.089045993439453</v>
      </c>
      <c r="AH2264" s="111"/>
      <c r="AI2264" s="28"/>
      <c r="AJ2264" s="96">
        <f ca="1">1-AJ2263/(3*F_GAMMA*AJ$29)</f>
        <v>-0.33005381840523418</v>
      </c>
      <c r="AK2264" s="111"/>
      <c r="AL2264" s="28"/>
      <c r="AM2264" s="96">
        <f ca="1">1-AM2263/(3*F_GAMMA*AM$29)</f>
        <v>-4.06804342989604E-2</v>
      </c>
      <c r="AN2264" s="111"/>
      <c r="AO2264" s="28"/>
      <c r="AP2264" s="96">
        <f ca="1">1-AP2263/(3*F_GAMMA*AP$29)</f>
        <v>0.26458539140589177</v>
      </c>
      <c r="AQ2264" s="111"/>
      <c r="AR2264" s="28"/>
      <c r="AS2264" s="96">
        <f ca="1">1-AS2263/(3*F_GAMMA*AS$29)</f>
        <v>-5.8304205327999181E-2</v>
      </c>
      <c r="AT2264" s="111"/>
      <c r="AU2264" s="28"/>
    </row>
    <row r="2265" spans="15:47" x14ac:dyDescent="0.25">
      <c r="O2265" s="2" t="s">
        <v>57</v>
      </c>
      <c r="P2265" s="143">
        <v>7</v>
      </c>
      <c r="Q2265" s="2"/>
      <c r="R2265" s="96">
        <f ca="1">(R2258/(N_9*R$27*R2260*R2264))*SQRT(M*'Valve Sizing'!$W$6*'Valve Sizing'!$G$8/R2263)</f>
        <v>2.9991549641570505</v>
      </c>
      <c r="S2265" s="107"/>
      <c r="T2265" s="22"/>
      <c r="U2265" s="96">
        <f ca="1">(U2258/(N_9*U$27*U2260*U2264))*SQRT(M*'Valve Sizing'!$W$6*'Valve Sizing'!$G$8/U2263)</f>
        <v>23.260201245796345</v>
      </c>
      <c r="V2265" s="111"/>
      <c r="W2265" s="28"/>
      <c r="X2265" s="96">
        <f ca="1">(X2258/(N_9*X$27*X2260*X2264))*SQRT(M*'Valve Sizing'!$W$6*'Valve Sizing'!$G$8/X2263)</f>
        <v>60.430434666979387</v>
      </c>
      <c r="Y2265" s="111"/>
      <c r="Z2265" s="28"/>
      <c r="AA2265" s="96">
        <f ca="1">(AA2258/(N_9*AA$27*AA2260*AA2264))*SQRT(M*'Valve Sizing'!$W$6*'Valve Sizing'!$G$8/AA2263)</f>
        <v>150.59834811025914</v>
      </c>
      <c r="AB2265" s="111"/>
      <c r="AC2265" s="28"/>
      <c r="AD2265" s="96" t="e">
        <f ca="1">(AD2258/(N_9*AD$27*AD2260*AD2264))*SQRT(M*'Valve Sizing'!$W$6*'Valve Sizing'!$G$8/AD2263)</f>
        <v>#NUM!</v>
      </c>
      <c r="AE2265" s="111"/>
      <c r="AF2265" s="28"/>
      <c r="AG2265" s="96" t="e">
        <f ca="1">(AG2258/(N_9*AG$27*AG2260*AG2264))*SQRT(M*'Valve Sizing'!$W$6*'Valve Sizing'!$G$8/AG2263)</f>
        <v>#NUM!</v>
      </c>
      <c r="AH2265" s="111"/>
      <c r="AI2265" s="28"/>
      <c r="AJ2265" s="96">
        <f ca="1">(AJ2258/(N_9*AJ$27*AJ2260*AJ2264))*SQRT(M*'Valve Sizing'!$W$6*'Valve Sizing'!$G$8/AJ2263)</f>
        <v>650.13296910606857</v>
      </c>
      <c r="AK2265" s="111"/>
      <c r="AL2265" s="28"/>
      <c r="AM2265" s="96">
        <f ca="1">(AM2258/(N_9*AM$27*AM2260*AM2264))*SQRT(M*'Valve Sizing'!$W$6*'Valve Sizing'!$G$8/AM2263)</f>
        <v>3528.6804766662467</v>
      </c>
      <c r="AN2265" s="111"/>
      <c r="AO2265" s="28"/>
      <c r="AP2265" s="96">
        <f ca="1">(AP2258/(N_9*AP$27*AP2260*AP2264))*SQRT(M*'Valve Sizing'!$W$6*'Valve Sizing'!$G$8/AP2263)</f>
        <v>-477.93935558970713</v>
      </c>
      <c r="AQ2265" s="111"/>
      <c r="AR2265" s="28"/>
      <c r="AS2265" s="96">
        <f ca="1">(AS2258/(N_9*AS$27*AS2260*AS2264))*SQRT(M*'Valve Sizing'!$W$6*'Valve Sizing'!$G$8/AS2263)</f>
        <v>2300.2519928797497</v>
      </c>
      <c r="AT2265" s="111"/>
      <c r="AU2265" s="28"/>
    </row>
    <row r="2266" spans="15:47" x14ac:dyDescent="0.25">
      <c r="O2266" s="2" t="s">
        <v>59</v>
      </c>
      <c r="P2266" s="143">
        <v>7</v>
      </c>
      <c r="Q2266" s="2"/>
      <c r="R2266" s="96">
        <f ca="1">(R2258/(N_9*R$27*R2260*0.667))*SQRT(M*'Valve Sizing'!$W$6*'Valve Sizing'!$G$8/R2267)</f>
        <v>2.6846520174543285</v>
      </c>
      <c r="S2266" s="107"/>
      <c r="T2266" s="22"/>
      <c r="U2266" s="96">
        <f ca="1">(U2258/(N_9*U$27*U2260*0.667))*SQRT(M*'Valve Sizing'!$W$6*'Valve Sizing'!$G$8/U2267)</f>
        <v>20.741206584560803</v>
      </c>
      <c r="V2266" s="111"/>
      <c r="W2266" s="28"/>
      <c r="X2266" s="96">
        <f ca="1">(X2258/(N_9*X$27*X2260*0.667))*SQRT(M*'Valve Sizing'!$W$6*'Valve Sizing'!$G$8/X2267)</f>
        <v>52.890699265455275</v>
      </c>
      <c r="Y2266" s="111"/>
      <c r="Z2266" s="28"/>
      <c r="AA2266" s="96">
        <f ca="1">(AA2258/(N_9*AA$27*AA2260*0.667))*SQRT(M*'Valve Sizing'!$W$6*'Valve Sizing'!$G$8/AA2267)</f>
        <v>117.83090814216249</v>
      </c>
      <c r="AB2266" s="111"/>
      <c r="AC2266" s="28"/>
      <c r="AD2266" s="96">
        <f ca="1">(AD2258/(N_9*AD$27*AD2260*0.667))*SQRT(M*'Valve Sizing'!$W$6*'Valve Sizing'!$G$8/AD2267)</f>
        <v>298.03799400498838</v>
      </c>
      <c r="AE2266" s="111"/>
      <c r="AF2266" s="28"/>
      <c r="AG2266" s="96">
        <f ca="1">(AG2258/(N_9*AG$27*AG2260*0.667))*SQRT(M*'Valve Sizing'!$W$6*'Valve Sizing'!$G$8/AG2267)</f>
        <v>2516.6004763460651</v>
      </c>
      <c r="AH2266" s="111"/>
      <c r="AI2266" s="28"/>
      <c r="AJ2266" s="96">
        <f ca="1">(AJ2258/(N_9*AJ$27*AJ2260*0.667))*SQRT(M*'Valve Sizing'!$W$6*'Valve Sizing'!$G$8/AJ2267)</f>
        <v>-642.62312886980794</v>
      </c>
      <c r="AK2266" s="111"/>
      <c r="AL2266" s="28"/>
      <c r="AM2266" s="96">
        <f ca="1">(AM2258/(N_9*AM$27*AM2260*0.667))*SQRT(M*'Valve Sizing'!$W$6*'Valve Sizing'!$G$8/AM2267)</f>
        <v>-380.26942110642159</v>
      </c>
      <c r="AN2266" s="111"/>
      <c r="AO2266" s="28"/>
      <c r="AP2266" s="96">
        <f ca="1">(AP2258/(N_9*AP$27*AP2260*0.667))*SQRT(M*'Valve Sizing'!$W$6*'Valve Sizing'!$G$8/AP2267)</f>
        <v>-281.60449007289583</v>
      </c>
      <c r="AQ2266" s="111"/>
      <c r="AR2266" s="28"/>
      <c r="AS2266" s="96">
        <f ca="1">(AS2258/(N_9*AS$27*AS2260*0.667))*SQRT(M*'Valve Sizing'!$W$6*'Valve Sizing'!$G$8/AS2267)</f>
        <v>-358.27404778118125</v>
      </c>
      <c r="AT2266" s="111"/>
      <c r="AU2266" s="28"/>
    </row>
    <row r="2267" spans="15:47" ht="15.6" x14ac:dyDescent="0.35">
      <c r="O2267" s="2" t="s">
        <v>68</v>
      </c>
      <c r="P2267" s="143">
        <v>10</v>
      </c>
      <c r="Q2267" s="2"/>
      <c r="R2267" s="96">
        <f ca="1">F_GAMMA*R$29</f>
        <v>0.64002969751372984</v>
      </c>
      <c r="S2267" s="107"/>
      <c r="T2267" s="1"/>
      <c r="U2267" s="96">
        <f ca="1">F_GAMMA*U$29</f>
        <v>0.64017842058782071</v>
      </c>
      <c r="V2267" s="111"/>
      <c r="W2267" s="28"/>
      <c r="X2267" s="96">
        <f ca="1">F_GAMMA*X$29</f>
        <v>0.63413873724904268</v>
      </c>
      <c r="Y2267" s="111"/>
      <c r="Z2267" s="28"/>
      <c r="AA2267" s="96">
        <f ca="1">F_GAMMA*AA$29</f>
        <v>0.62532411750377137</v>
      </c>
      <c r="AB2267" s="111"/>
      <c r="AC2267" s="28"/>
      <c r="AD2267" s="96">
        <f ca="1">F_GAMMA*AD$29</f>
        <v>0.60651359509139569</v>
      </c>
      <c r="AE2267" s="111"/>
      <c r="AF2267" s="28"/>
      <c r="AG2267" s="96">
        <f ca="1">F_GAMMA*AG$29</f>
        <v>0.57217930198481592</v>
      </c>
      <c r="AH2267" s="111"/>
      <c r="AI2267" s="28"/>
      <c r="AJ2267" s="96">
        <f ca="1">F_GAMMA*AJ$29</f>
        <v>0.53183282018848232</v>
      </c>
      <c r="AK2267" s="111"/>
      <c r="AL2267" s="28"/>
      <c r="AM2267" s="96">
        <f ca="1">F_GAMMA*AM$29</f>
        <v>0.47566512503094399</v>
      </c>
      <c r="AN2267" s="111"/>
      <c r="AO2267" s="28"/>
      <c r="AP2267" s="96">
        <f ca="1">F_GAMMA*AP$29</f>
        <v>0.59054158265645496</v>
      </c>
      <c r="AQ2267" s="111"/>
      <c r="AR2267" s="28"/>
      <c r="AS2267" s="96">
        <f ca="1">F_GAMMA*AS$29</f>
        <v>0.3766899554102966</v>
      </c>
      <c r="AT2267" s="111"/>
      <c r="AU2267" s="28"/>
    </row>
    <row r="2268" spans="15:47" x14ac:dyDescent="0.25">
      <c r="O2268" s="2" t="s">
        <v>145</v>
      </c>
      <c r="P2268" s="12"/>
      <c r="Q2268" s="2"/>
      <c r="R2268" s="96">
        <f ca="1">IF(R2263&lt;R2267,R2265,R2266)</f>
        <v>2.9991549641570505</v>
      </c>
      <c r="S2268" s="116"/>
      <c r="T2268" s="1"/>
      <c r="U2268" s="96">
        <f ca="1">IF(U2263&lt;U2267,U2265,U2266)</f>
        <v>23.260201245796345</v>
      </c>
      <c r="V2268" s="111"/>
      <c r="W2268" s="28"/>
      <c r="X2268" s="96">
        <f ca="1">IF(X2263&lt;X2267,X2265,X2266)</f>
        <v>60.430434666979387</v>
      </c>
      <c r="Y2268" s="111"/>
      <c r="Z2268" s="28"/>
      <c r="AA2268" s="96">
        <f ca="1">IF(AA2263&lt;AA2267,AA2265,AA2266)</f>
        <v>150.59834811025914</v>
      </c>
      <c r="AB2268" s="111"/>
      <c r="AC2268" s="28"/>
      <c r="AD2268" s="96" t="e">
        <f ca="1">IF(AD2263&lt;AD2267,AD2265,AD2266)</f>
        <v>#NUM!</v>
      </c>
      <c r="AE2268" s="111"/>
      <c r="AF2268" s="28"/>
      <c r="AG2268" s="96" t="e">
        <f ca="1">IF(AG2263&lt;AG2267,AG2265,AG2266)</f>
        <v>#NUM!</v>
      </c>
      <c r="AH2268" s="111"/>
      <c r="AI2268" s="28"/>
      <c r="AJ2268" s="96">
        <f ca="1">IF(AJ2263&lt;AJ2267,AJ2265,AJ2266)</f>
        <v>-642.62312886980794</v>
      </c>
      <c r="AK2268" s="111"/>
      <c r="AL2268" s="28"/>
      <c r="AM2268" s="96">
        <f ca="1">IF(AM2263&lt;AM2267,AM2265,AM2266)</f>
        <v>-380.26942110642159</v>
      </c>
      <c r="AN2268" s="111"/>
      <c r="AO2268" s="28"/>
      <c r="AP2268" s="96">
        <f ca="1">IF(AP2263&lt;AP2267,AP2265,AP2266)</f>
        <v>-281.60449007289583</v>
      </c>
      <c r="AQ2268" s="111"/>
      <c r="AR2268" s="28"/>
      <c r="AS2268" s="96">
        <f ca="1">IF(AS2263&lt;AS2267,AS2265,AS2266)</f>
        <v>-358.27404778118125</v>
      </c>
      <c r="AT2268" s="111"/>
      <c r="AU2268" s="28"/>
    </row>
    <row r="2269" spans="15:47" x14ac:dyDescent="0.25">
      <c r="O2269" s="13" t="s">
        <v>143</v>
      </c>
      <c r="P2269" s="1"/>
      <c r="Q2269" s="1"/>
      <c r="R2269" s="113"/>
      <c r="S2269" s="106">
        <f ca="1">IF(R2262&lt;=0,Q_max,ABS(R$23-R2268))</f>
        <v>1.7308450358429499</v>
      </c>
      <c r="T2269" s="7">
        <f>R2258</f>
        <v>7425.2994668564443</v>
      </c>
      <c r="U2269" s="98"/>
      <c r="V2269" s="106">
        <f ca="1">IF(U2262&lt;=0,Q_max,ABS(U$23-U2268))</f>
        <v>11.660201245796346</v>
      </c>
      <c r="W2269" s="9">
        <f ca="1">U2258</f>
        <v>56966.082654481608</v>
      </c>
      <c r="X2269" s="98"/>
      <c r="Y2269" s="106">
        <f ca="1">IF(X2262&lt;=0,Q_max,ABS(X$23-X2268))</f>
        <v>37.430434666979387</v>
      </c>
      <c r="Z2269" s="9">
        <f ca="1">X2258</f>
        <v>139489.01133448977</v>
      </c>
      <c r="AA2269" s="98"/>
      <c r="AB2269" s="106">
        <f ca="1">IF(AA2262&lt;=0,Q_max,ABS(AA$23-AA2268))</f>
        <v>111.19834811025913</v>
      </c>
      <c r="AC2269" s="9">
        <f ca="1">AA2258</f>
        <v>271688.99014923093</v>
      </c>
      <c r="AD2269" s="98"/>
      <c r="AE2269" s="106">
        <f ca="1">IF(AD2262&lt;=0,Q_max,ABS(AD$23-AD2268))</f>
        <v>236393</v>
      </c>
      <c r="AF2269" s="9">
        <f ca="1">AD2258</f>
        <v>455809.60885681963</v>
      </c>
      <c r="AG2269" s="98"/>
      <c r="AH2269" s="106">
        <f ca="1">IF(AG2262&lt;=0,Q_max,ABS(AG$23-AG2268))</f>
        <v>236393</v>
      </c>
      <c r="AI2269" s="9">
        <f ca="1">AG2258</f>
        <v>665266.53862165601</v>
      </c>
      <c r="AJ2269" s="98"/>
      <c r="AK2269" s="106">
        <f ca="1">IF(AJ2262&lt;=0,Q_max,ABS(AJ$23-AJ2268))</f>
        <v>236393</v>
      </c>
      <c r="AL2269" s="9">
        <f ca="1">AJ2258</f>
        <v>887800.77474106511</v>
      </c>
      <c r="AM2269" s="98"/>
      <c r="AN2269" s="106">
        <f ca="1">IF(AM2262&lt;=0,Q_max,ABS(AM$23-AM2268))</f>
        <v>236393</v>
      </c>
      <c r="AO2269" s="9">
        <f ca="1">AM2258</f>
        <v>1083285.6627971362</v>
      </c>
      <c r="AP2269" s="98"/>
      <c r="AQ2269" s="106">
        <f ca="1">IF(AP2262&lt;=0,Q_max,ABS(AP$23-AP2268))</f>
        <v>236393</v>
      </c>
      <c r="AR2269" s="9">
        <f ca="1">AP2258</f>
        <v>1257661.024304888</v>
      </c>
      <c r="AS2269" s="98"/>
      <c r="AT2269" s="106">
        <f ca="1">IF(AS2262&lt;=0,Q_max,ABS(AS$23-AS2268))</f>
        <v>236393</v>
      </c>
      <c r="AU2269" s="9">
        <f ca="1">AS2258</f>
        <v>1474706.4596527766</v>
      </c>
    </row>
    <row r="2270" spans="15:47" x14ac:dyDescent="0.25">
      <c r="O2270" s="21"/>
      <c r="P2270" s="14"/>
      <c r="Q2270" s="21"/>
      <c r="R2270" s="97"/>
      <c r="S2270" s="106"/>
      <c r="T2270" s="28"/>
      <c r="U2270" s="97"/>
      <c r="V2270" s="111"/>
      <c r="W2270" s="28"/>
      <c r="X2270" s="97"/>
      <c r="Y2270" s="111"/>
      <c r="Z2270" s="28"/>
      <c r="AA2270" s="97"/>
      <c r="AB2270" s="111"/>
      <c r="AC2270" s="28"/>
      <c r="AD2270" s="97"/>
      <c r="AE2270" s="111"/>
      <c r="AF2270" s="28"/>
      <c r="AG2270" s="97"/>
      <c r="AH2270" s="111"/>
      <c r="AI2270" s="28"/>
      <c r="AJ2270" s="97"/>
      <c r="AK2270" s="111"/>
      <c r="AL2270" s="28"/>
      <c r="AM2270" s="97"/>
      <c r="AN2270" s="111"/>
      <c r="AO2270" s="28"/>
      <c r="AP2270" s="97"/>
      <c r="AQ2270" s="111"/>
      <c r="AR2270" s="28"/>
      <c r="AS2270" s="97"/>
      <c r="AT2270" s="111"/>
      <c r="AU2270" s="28"/>
    </row>
    <row r="2271" spans="15:47" x14ac:dyDescent="0.25">
      <c r="O2271" s="1"/>
      <c r="P2271" s="1"/>
      <c r="Q2271" s="1"/>
      <c r="R2271" s="98"/>
      <c r="S2271" s="108" t="s">
        <v>137</v>
      </c>
      <c r="T2271" s="26" t="s">
        <v>146</v>
      </c>
      <c r="U2271" s="98"/>
      <c r="V2271" s="108" t="s">
        <v>137</v>
      </c>
      <c r="W2271" s="26" t="s">
        <v>146</v>
      </c>
      <c r="X2271" s="98"/>
      <c r="Y2271" s="108" t="s">
        <v>137</v>
      </c>
      <c r="Z2271" s="26" t="s">
        <v>146</v>
      </c>
      <c r="AA2271" s="98"/>
      <c r="AB2271" s="108" t="s">
        <v>137</v>
      </c>
      <c r="AC2271" s="26" t="s">
        <v>146</v>
      </c>
      <c r="AD2271" s="98"/>
      <c r="AE2271" s="108" t="s">
        <v>137</v>
      </c>
      <c r="AF2271" s="26" t="s">
        <v>146</v>
      </c>
      <c r="AG2271" s="98"/>
      <c r="AH2271" s="108" t="s">
        <v>137</v>
      </c>
      <c r="AI2271" s="26" t="s">
        <v>146</v>
      </c>
      <c r="AJ2271" s="98"/>
      <c r="AK2271" s="108" t="s">
        <v>137</v>
      </c>
      <c r="AL2271" s="26" t="s">
        <v>146</v>
      </c>
      <c r="AM2271" s="98"/>
      <c r="AN2271" s="108" t="s">
        <v>137</v>
      </c>
      <c r="AO2271" s="26" t="s">
        <v>146</v>
      </c>
      <c r="AP2271" s="98"/>
      <c r="AQ2271" s="108" t="s">
        <v>137</v>
      </c>
      <c r="AR2271" s="26" t="s">
        <v>146</v>
      </c>
      <c r="AS2271" s="98"/>
      <c r="AT2271" s="108" t="s">
        <v>137</v>
      </c>
      <c r="AU2271" s="26" t="s">
        <v>146</v>
      </c>
    </row>
    <row r="2272" spans="15:47" ht="13.8" x14ac:dyDescent="0.25">
      <c r="O2272" s="20" t="s">
        <v>136</v>
      </c>
      <c r="P2272" s="1"/>
      <c r="Q2272" s="1"/>
      <c r="R2272" s="96">
        <f>R2258*1.02</f>
        <v>7573.8054561935733</v>
      </c>
      <c r="S2272" s="109" t="s">
        <v>144</v>
      </c>
      <c r="T2272" s="23" t="s">
        <v>147</v>
      </c>
      <c r="U2272" s="96">
        <f ca="1">U2258*1.01</f>
        <v>57535.743481026424</v>
      </c>
      <c r="V2272" s="109" t="s">
        <v>144</v>
      </c>
      <c r="W2272" s="23" t="s">
        <v>147</v>
      </c>
      <c r="X2272" s="96">
        <f ca="1">X2258*1.01</f>
        <v>140883.90144783468</v>
      </c>
      <c r="Y2272" s="109" t="s">
        <v>144</v>
      </c>
      <c r="Z2272" s="23" t="s">
        <v>147</v>
      </c>
      <c r="AA2272" s="96">
        <f ca="1">AA2258*1.01</f>
        <v>274405.88005072327</v>
      </c>
      <c r="AB2272" s="109" t="s">
        <v>144</v>
      </c>
      <c r="AC2272" s="23" t="s">
        <v>147</v>
      </c>
      <c r="AD2272" s="96">
        <f ca="1">AD2258*1.01</f>
        <v>460367.70494538784</v>
      </c>
      <c r="AE2272" s="109" t="s">
        <v>144</v>
      </c>
      <c r="AF2272" s="23" t="s">
        <v>147</v>
      </c>
      <c r="AG2272" s="96">
        <f ca="1">AG2258*1.01</f>
        <v>671919.20400787261</v>
      </c>
      <c r="AH2272" s="109" t="s">
        <v>144</v>
      </c>
      <c r="AI2272" s="23" t="s">
        <v>147</v>
      </c>
      <c r="AJ2272" s="96">
        <f ca="1">AJ2258*1.01</f>
        <v>896678.78248847579</v>
      </c>
      <c r="AK2272" s="109" t="s">
        <v>144</v>
      </c>
      <c r="AL2272" s="23" t="s">
        <v>147</v>
      </c>
      <c r="AM2272" s="96">
        <f ca="1">AM2258*1.01</f>
        <v>1094118.5194251076</v>
      </c>
      <c r="AN2272" s="109" t="s">
        <v>144</v>
      </c>
      <c r="AO2272" s="23" t="s">
        <v>147</v>
      </c>
      <c r="AP2272" s="96">
        <f ca="1">AP2258*1.01</f>
        <v>1270237.634547937</v>
      </c>
      <c r="AQ2272" s="109" t="s">
        <v>144</v>
      </c>
      <c r="AR2272" s="23" t="s">
        <v>147</v>
      </c>
      <c r="AS2272" s="96">
        <f ca="1">AS2258*1.01</f>
        <v>1489453.5242493043</v>
      </c>
      <c r="AT2272" s="109" t="s">
        <v>144</v>
      </c>
      <c r="AU2272" s="23" t="s">
        <v>147</v>
      </c>
    </row>
    <row r="2273" spans="15:47" x14ac:dyDescent="0.25">
      <c r="O2273" s="1"/>
      <c r="P2273" s="1"/>
      <c r="Q2273" s="1"/>
      <c r="R2273" s="98"/>
      <c r="S2273" s="107"/>
      <c r="T2273" s="1"/>
      <c r="U2273" s="47"/>
      <c r="V2273" s="107"/>
      <c r="W2273" s="1"/>
      <c r="X2273" s="47"/>
      <c r="Y2273" s="107"/>
      <c r="Z2273" s="1"/>
      <c r="AA2273" s="47"/>
      <c r="AB2273" s="107"/>
      <c r="AC2273" s="1"/>
      <c r="AD2273" s="47"/>
      <c r="AE2273" s="107"/>
      <c r="AF2273" s="1"/>
      <c r="AG2273" s="47"/>
      <c r="AH2273" s="107"/>
      <c r="AI2273" s="1"/>
      <c r="AJ2273" s="47"/>
      <c r="AK2273" s="107"/>
      <c r="AL2273" s="1"/>
      <c r="AM2273" s="47"/>
      <c r="AN2273" s="107"/>
      <c r="AO2273" s="1"/>
      <c r="AP2273" s="47"/>
      <c r="AQ2273" s="107"/>
      <c r="AR2273" s="1"/>
      <c r="AS2273" s="47"/>
      <c r="AT2273" s="107"/>
      <c r="AU2273" s="1"/>
    </row>
    <row r="2274" spans="15:47" x14ac:dyDescent="0.25">
      <c r="O2274" s="8" t="s">
        <v>132</v>
      </c>
      <c r="P2274" s="8"/>
      <c r="Q2274" s="8"/>
      <c r="R2274" s="96">
        <f>P_1_minQ-(R2272^2*R_up)+dpup_minQ</f>
        <v>90.174585583435118</v>
      </c>
      <c r="S2274" s="106"/>
      <c r="T2274" s="22"/>
      <c r="U2274" s="96">
        <f ca="1">P_1_minQ-(U2272^2*R_up)+dpup_minQ</f>
        <v>89.581690976207597</v>
      </c>
      <c r="V2274" s="107"/>
      <c r="W2274" s="1"/>
      <c r="X2274" s="96">
        <f ca="1">P_1_minQ-(X2272^2*R_up)+dpup_minQ</f>
        <v>86.567476082264562</v>
      </c>
      <c r="Y2274" s="107"/>
      <c r="Z2274" s="1"/>
      <c r="AA2274" s="96">
        <f ca="1">P_1_minQ-(AA2272^2*R_up)+dpup_minQ</f>
        <v>76.46105145031234</v>
      </c>
      <c r="AB2274" s="107"/>
      <c r="AC2274" s="1"/>
      <c r="AD2274" s="96">
        <f ca="1">P_1_minQ-(AD2272^2*R_up)+dpup_minQ</f>
        <v>51.556950297839613</v>
      </c>
      <c r="AE2274" s="107"/>
      <c r="AF2274" s="1"/>
      <c r="AG2274" s="96">
        <f ca="1">P_1_minQ-(AG2272^2*R_up)+dpup_minQ</f>
        <v>7.8987196949655774</v>
      </c>
      <c r="AH2274" s="107"/>
      <c r="AI2274" s="1"/>
      <c r="AJ2274" s="96">
        <f ca="1">P_1_minQ-(AJ2272^2*R_up)+dpup_minQ</f>
        <v>-56.358717335107485</v>
      </c>
      <c r="AK2274" s="107"/>
      <c r="AL2274" s="1"/>
      <c r="AM2274" s="96">
        <f ca="1">P_1_minQ-(AM2272^2*R_up)+dpup_minQ</f>
        <v>-127.99864593921714</v>
      </c>
      <c r="AN2274" s="107"/>
      <c r="AO2274" s="1"/>
      <c r="AP2274" s="96">
        <f ca="1">P_1_minQ-(AP2272^2*R_up)+dpup_minQ</f>
        <v>-203.89360462095811</v>
      </c>
      <c r="AQ2274" s="107"/>
      <c r="AR2274" s="1"/>
      <c r="AS2274" s="96">
        <f ca="1">P_1_minQ-(AS2272^2*R_up)+dpup_minQ</f>
        <v>-314.15565137545997</v>
      </c>
      <c r="AT2274" s="107"/>
      <c r="AU2274" s="1"/>
    </row>
    <row r="2275" spans="15:47" x14ac:dyDescent="0.25">
      <c r="O2275" s="8" t="s">
        <v>134</v>
      </c>
      <c r="P2275" s="1"/>
      <c r="Q2275" s="8"/>
      <c r="R2275" s="97">
        <f>P_2_minQ+(R2272^2*R_dn)-dpdn_minQ</f>
        <v>60</v>
      </c>
      <c r="S2275" s="106"/>
      <c r="T2275" s="22"/>
      <c r="U2275" s="97">
        <f ca="1">P_2_minQ+(U2272^2*R_dn)-dpdn_minQ</f>
        <v>60</v>
      </c>
      <c r="V2275" s="107"/>
      <c r="W2275" s="1"/>
      <c r="X2275" s="97">
        <f ca="1">P_2_minQ+(X2272^2*R_dn)-dpdn_minQ</f>
        <v>60</v>
      </c>
      <c r="Y2275" s="107"/>
      <c r="Z2275" s="1"/>
      <c r="AA2275" s="97">
        <f ca="1">P_2_minQ+(AA2272^2*R_dn)-dpdn_minQ</f>
        <v>60</v>
      </c>
      <c r="AB2275" s="107"/>
      <c r="AC2275" s="1"/>
      <c r="AD2275" s="97">
        <f ca="1">P_2_minQ+(AD2272^2*R_dn)-dpdn_minQ</f>
        <v>60</v>
      </c>
      <c r="AE2275" s="107"/>
      <c r="AF2275" s="1"/>
      <c r="AG2275" s="97">
        <f ca="1">P_2_minQ+(AG2272^2*R_dn)-dpdn_minQ</f>
        <v>60</v>
      </c>
      <c r="AH2275" s="107"/>
      <c r="AI2275" s="1"/>
      <c r="AJ2275" s="97">
        <f ca="1">P_2_minQ+(AJ2272^2*R_dn)-dpdn_minQ</f>
        <v>60</v>
      </c>
      <c r="AK2275" s="107"/>
      <c r="AL2275" s="1"/>
      <c r="AM2275" s="97">
        <f ca="1">P_2_minQ+(AM2272^2*R_dn)-dpdn_minQ</f>
        <v>60</v>
      </c>
      <c r="AN2275" s="107"/>
      <c r="AO2275" s="1"/>
      <c r="AP2275" s="97">
        <f ca="1">P_2_minQ+(AP2272^2*R_dn)-dpdn_minQ</f>
        <v>60</v>
      </c>
      <c r="AQ2275" s="107"/>
      <c r="AR2275" s="1"/>
      <c r="AS2275" s="97">
        <f ca="1">P_2_minQ+(AS2272^2*R_dn)-dpdn_minQ</f>
        <v>60</v>
      </c>
      <c r="AT2275" s="107"/>
      <c r="AU2275" s="1"/>
    </row>
    <row r="2276" spans="15:47" x14ac:dyDescent="0.25">
      <c r="O2276" s="8" t="s">
        <v>138</v>
      </c>
      <c r="P2276" s="1"/>
      <c r="Q2276" s="8"/>
      <c r="R2276" s="97">
        <f>R2274-R2275</f>
        <v>30.174585583435118</v>
      </c>
      <c r="S2276" s="106"/>
      <c r="T2276" s="22"/>
      <c r="U2276" s="97">
        <f ca="1">U2274-U2275</f>
        <v>29.581690976207597</v>
      </c>
      <c r="V2276" s="110"/>
      <c r="W2276" s="25"/>
      <c r="X2276" s="97">
        <f ca="1">X2274-X2275</f>
        <v>26.567476082264562</v>
      </c>
      <c r="Y2276" s="110"/>
      <c r="Z2276" s="25"/>
      <c r="AA2276" s="97">
        <f ca="1">AA2274-AA2275</f>
        <v>16.46105145031234</v>
      </c>
      <c r="AB2276" s="110"/>
      <c r="AC2276" s="25"/>
      <c r="AD2276" s="97">
        <f ca="1">AD2274-AD2275</f>
        <v>-8.443049702160387</v>
      </c>
      <c r="AE2276" s="110"/>
      <c r="AF2276" s="25"/>
      <c r="AG2276" s="97">
        <f ca="1">AG2274-AG2275</f>
        <v>-52.101280305034422</v>
      </c>
      <c r="AH2276" s="110"/>
      <c r="AI2276" s="25"/>
      <c r="AJ2276" s="97">
        <f ca="1">AJ2274-AJ2275</f>
        <v>-116.35871733510749</v>
      </c>
      <c r="AK2276" s="110"/>
      <c r="AL2276" s="25"/>
      <c r="AM2276" s="97">
        <f ca="1">AM2274-AM2275</f>
        <v>-187.99864593921714</v>
      </c>
      <c r="AN2276" s="110"/>
      <c r="AO2276" s="25"/>
      <c r="AP2276" s="97">
        <f ca="1">AP2274-AP2275</f>
        <v>-263.89360462095811</v>
      </c>
      <c r="AQ2276" s="110"/>
      <c r="AR2276" s="25"/>
      <c r="AS2276" s="97">
        <f ca="1">AS2274-AS2275</f>
        <v>-374.15565137545997</v>
      </c>
      <c r="AT2276" s="110"/>
      <c r="AU2276" s="25"/>
    </row>
    <row r="2277" spans="15:47" ht="14.4" x14ac:dyDescent="0.3">
      <c r="O2277" s="2" t="s">
        <v>140</v>
      </c>
      <c r="P2277" s="11"/>
      <c r="Q2277" s="2"/>
      <c r="R2277" s="96">
        <f>R2276/R2274</f>
        <v>0.33462405608191814</v>
      </c>
      <c r="S2277" s="106"/>
      <c r="T2277" s="22"/>
      <c r="U2277" s="96">
        <f ca="1">U2276/U2274</f>
        <v>0.33022027887444466</v>
      </c>
      <c r="V2277" s="111"/>
      <c r="W2277" s="28"/>
      <c r="X2277" s="96">
        <f ca="1">X2276/X2274</f>
        <v>0.30689904898021569</v>
      </c>
      <c r="Y2277" s="111"/>
      <c r="Z2277" s="28"/>
      <c r="AA2277" s="96">
        <f ca="1">AA2276/AA2274</f>
        <v>0.21528675238018974</v>
      </c>
      <c r="AB2277" s="111"/>
      <c r="AC2277" s="28"/>
      <c r="AD2277" s="96">
        <f ca="1">AD2276/AD2274</f>
        <v>-0.16376161998306124</v>
      </c>
      <c r="AE2277" s="111"/>
      <c r="AF2277" s="28"/>
      <c r="AG2277" s="96">
        <f ca="1">AG2276/AG2274</f>
        <v>-6.5961677736510032</v>
      </c>
      <c r="AH2277" s="111"/>
      <c r="AI2277" s="28"/>
      <c r="AJ2277" s="96">
        <f ca="1">AJ2276/AJ2274</f>
        <v>2.0646090407494824</v>
      </c>
      <c r="AK2277" s="111"/>
      <c r="AL2277" s="28"/>
      <c r="AM2277" s="96">
        <f ca="1">AM2276/AM2274</f>
        <v>1.4687549587711441</v>
      </c>
      <c r="AN2277" s="111"/>
      <c r="AO2277" s="28"/>
      <c r="AP2277" s="96">
        <f ca="1">AP2276/AP2274</f>
        <v>1.2942711229787764</v>
      </c>
      <c r="AQ2277" s="111"/>
      <c r="AR2277" s="28"/>
      <c r="AS2277" s="96">
        <f ca="1">AS2276/AS2274</f>
        <v>1.1909881287740758</v>
      </c>
      <c r="AT2277" s="111"/>
      <c r="AU2277" s="28"/>
    </row>
    <row r="2278" spans="15:47" x14ac:dyDescent="0.25">
      <c r="O2278" s="2" t="s">
        <v>21</v>
      </c>
      <c r="P2278" s="8">
        <v>12</v>
      </c>
      <c r="Q2278" s="2"/>
      <c r="R2278" s="96">
        <f ca="1">1-R2277/(3*F_GAMMA*R$29)</f>
        <v>0.82572472424232579</v>
      </c>
      <c r="S2278" s="106"/>
      <c r="T2278" s="22"/>
      <c r="U2278" s="96">
        <f ca="1">1-U2277/(3*F_GAMMA*U$29)</f>
        <v>0.82805820572581845</v>
      </c>
      <c r="V2278" s="111"/>
      <c r="W2278" s="28"/>
      <c r="X2278" s="96">
        <f ca="1">1-X2277/(3*F_GAMMA*X$29)</f>
        <v>0.8386793346875614</v>
      </c>
      <c r="Y2278" s="111"/>
      <c r="Z2278" s="28"/>
      <c r="AA2278" s="96">
        <f ca="1">1-AA2277/(3*F_GAMMA*AA$29)</f>
        <v>0.88523991193580698</v>
      </c>
      <c r="AB2278" s="111"/>
      <c r="AC2278" s="28"/>
      <c r="AD2278" s="96">
        <f ca="1">1-AD2277/(3*F_GAMMA*AD$29)</f>
        <v>1.0900016209080929</v>
      </c>
      <c r="AE2278" s="111"/>
      <c r="AF2278" s="28"/>
      <c r="AG2278" s="96">
        <f ca="1">1-AG2277/(3*F_GAMMA*AG$29)</f>
        <v>4.8427160569945773</v>
      </c>
      <c r="AH2278" s="111"/>
      <c r="AI2278" s="28"/>
      <c r="AJ2278" s="96">
        <f ca="1">1-AJ2277/(3*F_GAMMA*AJ$29)</f>
        <v>-0.29402133049867185</v>
      </c>
      <c r="AK2278" s="111"/>
      <c r="AL2278" s="28"/>
      <c r="AM2278" s="96">
        <f ca="1">1-AM2277/(3*F_GAMMA*AM$29)</f>
        <v>-2.9263993708175562E-2</v>
      </c>
      <c r="AN2278" s="111"/>
      <c r="AO2278" s="28"/>
      <c r="AP2278" s="96">
        <f ca="1">1-AP2277/(3*F_GAMMA*AP$29)</f>
        <v>0.26944398103364198</v>
      </c>
      <c r="AQ2278" s="111"/>
      <c r="AR2278" s="28"/>
      <c r="AS2278" s="96">
        <f ca="1">1-AS2277/(3*F_GAMMA*AS$29)</f>
        <v>-5.3906633884828636E-2</v>
      </c>
      <c r="AT2278" s="111"/>
      <c r="AU2278" s="28"/>
    </row>
    <row r="2279" spans="15:47" x14ac:dyDescent="0.25">
      <c r="O2279" s="2" t="s">
        <v>57</v>
      </c>
      <c r="P2279" s="143">
        <v>7</v>
      </c>
      <c r="Q2279" s="2"/>
      <c r="R2279" s="96">
        <f ca="1">(R2272/(N_9*R$27*R2274*R2278))*SQRT(M*'Valve Sizing'!$W$6*'Valve Sizing'!$G$8/R2277)</f>
        <v>3.0591597490089422</v>
      </c>
      <c r="S2279" s="107"/>
      <c r="T2279" s="22"/>
      <c r="U2279" s="96">
        <f ca="1">(U2272/(N_9*U$27*U2274*U2278))*SQRT(M*'Valve Sizing'!$W$6*'Valve Sizing'!$G$8/U2277)</f>
        <v>23.497769340711571</v>
      </c>
      <c r="V2279" s="111"/>
      <c r="W2279" s="28"/>
      <c r="X2279" s="96">
        <f ca="1">(X2272/(N_9*X$27*X2274*X2278))*SQRT(M*'Valve Sizing'!$W$6*'Valve Sizing'!$G$8/X2277)</f>
        <v>61.119866808485341</v>
      </c>
      <c r="Y2279" s="111"/>
      <c r="Z2279" s="28"/>
      <c r="AA2279" s="96">
        <f ca="1">(AA2272/(N_9*AA$27*AA2274*AA2278))*SQRT(M*'Valve Sizing'!$W$6*'Valve Sizing'!$G$8/AA2277)</f>
        <v>153.36371675110999</v>
      </c>
      <c r="AB2279" s="111"/>
      <c r="AC2279" s="28"/>
      <c r="AD2279" s="96" t="e">
        <f ca="1">(AD2272/(N_9*AD$27*AD2274*AD2278))*SQRT(M*'Valve Sizing'!$W$6*'Valve Sizing'!$G$8/AD2277)</f>
        <v>#NUM!</v>
      </c>
      <c r="AE2279" s="111"/>
      <c r="AF2279" s="28"/>
      <c r="AG2279" s="96" t="e">
        <f ca="1">(AG2272/(N_9*AG$27*AG2274*AG2278))*SQRT(M*'Valve Sizing'!$W$6*'Valve Sizing'!$G$8/AG2277)</f>
        <v>#NUM!</v>
      </c>
      <c r="AH2279" s="111"/>
      <c r="AI2279" s="28"/>
      <c r="AJ2279" s="96">
        <f ca="1">(AJ2272/(N_9*AJ$27*AJ2274*AJ2278))*SQRT(M*'Valve Sizing'!$W$6*'Valve Sizing'!$G$8/AJ2277)</f>
        <v>709.01009844899784</v>
      </c>
      <c r="AK2279" s="111"/>
      <c r="AL2279" s="28"/>
      <c r="AM2279" s="96">
        <f ca="1">(AM2272/(N_9*AM$27*AM2274*AM2278))*SQRT(M*'Valve Sizing'!$W$6*'Valve Sizing'!$G$8/AM2277)</f>
        <v>4814.4180347466445</v>
      </c>
      <c r="AN2279" s="111"/>
      <c r="AO2279" s="28"/>
      <c r="AP2279" s="96">
        <f ca="1">(AP2272/(N_9*AP$27*AP2274*AP2278))*SQRT(M*'Valve Sizing'!$W$6*'Valve Sizing'!$G$8/AP2277)</f>
        <v>-462.07214819174504</v>
      </c>
      <c r="AQ2279" s="111"/>
      <c r="AR2279" s="28"/>
      <c r="AS2279" s="96">
        <f ca="1">(AS2272/(N_9*AS$27*AS2274*AS2278))*SQRT(M*'Valve Sizing'!$W$6*'Valve Sizing'!$G$8/AS2277)</f>
        <v>2454.1590566706809</v>
      </c>
      <c r="AT2279" s="111"/>
      <c r="AU2279" s="28"/>
    </row>
    <row r="2280" spans="15:47" x14ac:dyDescent="0.25">
      <c r="O2280" s="2" t="s">
        <v>59</v>
      </c>
      <c r="P2280" s="143">
        <v>7</v>
      </c>
      <c r="Q2280" s="2"/>
      <c r="R2280" s="96">
        <f ca="1">(R2272/(N_9*R$27*R2274*0.667))*SQRT(M*'Valve Sizing'!$W$6*'Valve Sizing'!$G$8/R2281)</f>
        <v>2.738357386207682</v>
      </c>
      <c r="S2280" s="107"/>
      <c r="T2280" s="22"/>
      <c r="U2280" s="96">
        <f ca="1">(U2272/(N_9*U$27*U2274*0.667))*SQRT(M*'Valve Sizing'!$W$6*'Valve Sizing'!$G$8/U2281)</f>
        <v>20.951398737750942</v>
      </c>
      <c r="V2280" s="111"/>
      <c r="W2280" s="28"/>
      <c r="X2280" s="96">
        <f ca="1">(X2272/(N_9*X$27*X2274*0.667))*SQRT(M*'Valve Sizing'!$W$6*'Valve Sizing'!$G$8/X2281)</f>
        <v>53.463592363838465</v>
      </c>
      <c r="Y2280" s="111"/>
      <c r="Z2280" s="28"/>
      <c r="AA2280" s="96">
        <f ca="1">(AA2272/(N_9*AA$27*AA2274*0.667))*SQRT(M*'Valve Sizing'!$W$6*'Valve Sizing'!$G$8/AA2281)</f>
        <v>119.43011245601252</v>
      </c>
      <c r="AB2280" s="111"/>
      <c r="AC2280" s="28"/>
      <c r="AD2280" s="96">
        <f ca="1">(AD2272/(N_9*AD$27*AD2274*0.667))*SQRT(M*'Valve Sizing'!$W$6*'Valve Sizing'!$G$8/AD2281)</f>
        <v>305.46225404225487</v>
      </c>
      <c r="AE2280" s="111"/>
      <c r="AF2280" s="28"/>
      <c r="AG2280" s="96">
        <f ca="1">(AG2272/(N_9*AG$27*AG2274*0.667))*SQRT(M*'Valve Sizing'!$W$6*'Valve Sizing'!$G$8/AG2281)</f>
        <v>3063.513409146753</v>
      </c>
      <c r="AH2280" s="111"/>
      <c r="AI2280" s="28"/>
      <c r="AJ2280" s="96">
        <f ca="1">(AJ2272/(N_9*AJ$27*AJ2274*0.667))*SQRT(M*'Valve Sizing'!$W$6*'Valve Sizing'!$G$8/AJ2281)</f>
        <v>-615.79586803304414</v>
      </c>
      <c r="AK2280" s="111"/>
      <c r="AL2280" s="28"/>
      <c r="AM2280" s="96">
        <f ca="1">(AM2272/(N_9*AM$27*AM2274*0.667))*SQRT(M*'Valve Sizing'!$W$6*'Valve Sizing'!$G$8/AM2281)</f>
        <v>-371.17231501448509</v>
      </c>
      <c r="AN2280" s="111"/>
      <c r="AO2280" s="28"/>
      <c r="AP2280" s="96">
        <f ca="1">(AP2272/(N_9*AP$27*AP2274*0.667))*SQRT(M*'Valve Sizing'!$W$6*'Valve Sizing'!$G$8/AP2281)</f>
        <v>-276.33750584437263</v>
      </c>
      <c r="AQ2280" s="111"/>
      <c r="AR2280" s="28"/>
      <c r="AS2280" s="96">
        <f ca="1">(AS2272/(N_9*AS$27*AS2274*0.667))*SQRT(M*'Valve Sizing'!$W$6*'Valve Sizing'!$G$8/AS2281)</f>
        <v>-352.6799599331419</v>
      </c>
      <c r="AT2280" s="111"/>
      <c r="AU2280" s="28"/>
    </row>
    <row r="2281" spans="15:47" ht="15.6" x14ac:dyDescent="0.35">
      <c r="O2281" s="2" t="s">
        <v>68</v>
      </c>
      <c r="P2281" s="143">
        <v>10</v>
      </c>
      <c r="Q2281" s="2"/>
      <c r="R2281" s="96">
        <f ca="1">F_GAMMA*R$29</f>
        <v>0.64002969751372984</v>
      </c>
      <c r="S2281" s="107"/>
      <c r="T2281" s="1"/>
      <c r="U2281" s="96">
        <f ca="1">F_GAMMA*U$29</f>
        <v>0.64017842058782071</v>
      </c>
      <c r="V2281" s="111"/>
      <c r="W2281" s="28"/>
      <c r="X2281" s="96">
        <f ca="1">F_GAMMA*X$29</f>
        <v>0.63413873724904268</v>
      </c>
      <c r="Y2281" s="111"/>
      <c r="Z2281" s="28"/>
      <c r="AA2281" s="96">
        <f ca="1">F_GAMMA*AA$29</f>
        <v>0.62532411750377137</v>
      </c>
      <c r="AB2281" s="111"/>
      <c r="AC2281" s="28"/>
      <c r="AD2281" s="96">
        <f ca="1">F_GAMMA*AD$29</f>
        <v>0.60651359509139569</v>
      </c>
      <c r="AE2281" s="111"/>
      <c r="AF2281" s="28"/>
      <c r="AG2281" s="96">
        <f ca="1">F_GAMMA*AG$29</f>
        <v>0.57217930198481592</v>
      </c>
      <c r="AH2281" s="111"/>
      <c r="AI2281" s="28"/>
      <c r="AJ2281" s="96">
        <f ca="1">F_GAMMA*AJ$29</f>
        <v>0.53183282018848232</v>
      </c>
      <c r="AK2281" s="111"/>
      <c r="AL2281" s="28"/>
      <c r="AM2281" s="96">
        <f ca="1">F_GAMMA*AM$29</f>
        <v>0.47566512503094399</v>
      </c>
      <c r="AN2281" s="111"/>
      <c r="AO2281" s="28"/>
      <c r="AP2281" s="96">
        <f ca="1">F_GAMMA*AP$29</f>
        <v>0.59054158265645496</v>
      </c>
      <c r="AQ2281" s="111"/>
      <c r="AR2281" s="28"/>
      <c r="AS2281" s="96">
        <f ca="1">F_GAMMA*AS$29</f>
        <v>0.3766899554102966</v>
      </c>
      <c r="AT2281" s="111"/>
      <c r="AU2281" s="28"/>
    </row>
    <row r="2282" spans="15:47" x14ac:dyDescent="0.25">
      <c r="O2282" s="2" t="s">
        <v>145</v>
      </c>
      <c r="P2282" s="12"/>
      <c r="Q2282" s="2"/>
      <c r="R2282" s="96">
        <f ca="1">IF(R2277&lt;R2281,R2279,R2280)</f>
        <v>3.0591597490089422</v>
      </c>
      <c r="S2282" s="116"/>
      <c r="T2282" s="1"/>
      <c r="U2282" s="96">
        <f ca="1">IF(U2277&lt;U2281,U2279,U2280)</f>
        <v>23.497769340711571</v>
      </c>
      <c r="V2282" s="111"/>
      <c r="W2282" s="28"/>
      <c r="X2282" s="96">
        <f ca="1">IF(X2277&lt;X2281,X2279,X2280)</f>
        <v>61.119866808485341</v>
      </c>
      <c r="Y2282" s="111"/>
      <c r="Z2282" s="28"/>
      <c r="AA2282" s="96">
        <f ca="1">IF(AA2277&lt;AA2281,AA2279,AA2280)</f>
        <v>153.36371675110999</v>
      </c>
      <c r="AB2282" s="111"/>
      <c r="AC2282" s="28"/>
      <c r="AD2282" s="96" t="e">
        <f ca="1">IF(AD2277&lt;AD2281,AD2279,AD2280)</f>
        <v>#NUM!</v>
      </c>
      <c r="AE2282" s="111"/>
      <c r="AF2282" s="28"/>
      <c r="AG2282" s="96" t="e">
        <f ca="1">IF(AG2277&lt;AG2281,AG2279,AG2280)</f>
        <v>#NUM!</v>
      </c>
      <c r="AH2282" s="111"/>
      <c r="AI2282" s="28"/>
      <c r="AJ2282" s="96">
        <f ca="1">IF(AJ2277&lt;AJ2281,AJ2279,AJ2280)</f>
        <v>-615.79586803304414</v>
      </c>
      <c r="AK2282" s="111"/>
      <c r="AL2282" s="28"/>
      <c r="AM2282" s="96">
        <f ca="1">IF(AM2277&lt;AM2281,AM2279,AM2280)</f>
        <v>-371.17231501448509</v>
      </c>
      <c r="AN2282" s="111"/>
      <c r="AO2282" s="28"/>
      <c r="AP2282" s="96">
        <f ca="1">IF(AP2277&lt;AP2281,AP2279,AP2280)</f>
        <v>-276.33750584437263</v>
      </c>
      <c r="AQ2282" s="111"/>
      <c r="AR2282" s="28"/>
      <c r="AS2282" s="96">
        <f ca="1">IF(AS2277&lt;AS2281,AS2279,AS2280)</f>
        <v>-352.6799599331419</v>
      </c>
      <c r="AT2282" s="111"/>
      <c r="AU2282" s="28"/>
    </row>
    <row r="2283" spans="15:47" x14ac:dyDescent="0.25">
      <c r="O2283" s="13" t="s">
        <v>143</v>
      </c>
      <c r="P2283" s="1"/>
      <c r="Q2283" s="1"/>
      <c r="R2283" s="113"/>
      <c r="S2283" s="106">
        <f ca="1">IF(R2276&lt;=0,Q_max,ABS(R$23-R2282))</f>
        <v>1.6708402509910583</v>
      </c>
      <c r="T2283" s="7">
        <f>R2272</f>
        <v>7573.8054561935733</v>
      </c>
      <c r="U2283" s="98"/>
      <c r="V2283" s="106">
        <f ca="1">IF(U2276&lt;=0,Q_max,ABS(U$23-U2282))</f>
        <v>11.897769340711571</v>
      </c>
      <c r="W2283" s="9">
        <f ca="1">U2272</f>
        <v>57535.743481026424</v>
      </c>
      <c r="X2283" s="98"/>
      <c r="Y2283" s="106">
        <f ca="1">IF(X2276&lt;=0,Q_max,ABS(X$23-X2282))</f>
        <v>38.119866808485341</v>
      </c>
      <c r="Z2283" s="9">
        <f ca="1">X2272</f>
        <v>140883.90144783468</v>
      </c>
      <c r="AA2283" s="98"/>
      <c r="AB2283" s="106">
        <f ca="1">IF(AA2276&lt;=0,Q_max,ABS(AA$23-AA2282))</f>
        <v>113.96371675110998</v>
      </c>
      <c r="AC2283" s="9">
        <f ca="1">AA2272</f>
        <v>274405.88005072327</v>
      </c>
      <c r="AD2283" s="98"/>
      <c r="AE2283" s="106">
        <f ca="1">IF(AD2276&lt;=0,Q_max,ABS(AD$23-AD2282))</f>
        <v>236393</v>
      </c>
      <c r="AF2283" s="9">
        <f ca="1">AD2272</f>
        <v>460367.70494538784</v>
      </c>
      <c r="AG2283" s="98"/>
      <c r="AH2283" s="106">
        <f ca="1">IF(AG2276&lt;=0,Q_max,ABS(AG$23-AG2282))</f>
        <v>236393</v>
      </c>
      <c r="AI2283" s="9">
        <f ca="1">AG2272</f>
        <v>671919.20400787261</v>
      </c>
      <c r="AJ2283" s="98"/>
      <c r="AK2283" s="106">
        <f ca="1">IF(AJ2276&lt;=0,Q_max,ABS(AJ$23-AJ2282))</f>
        <v>236393</v>
      </c>
      <c r="AL2283" s="9">
        <f ca="1">AJ2272</f>
        <v>896678.78248847579</v>
      </c>
      <c r="AM2283" s="98"/>
      <c r="AN2283" s="106">
        <f ca="1">IF(AM2276&lt;=0,Q_max,ABS(AM$23-AM2282))</f>
        <v>236393</v>
      </c>
      <c r="AO2283" s="9">
        <f ca="1">AM2272</f>
        <v>1094118.5194251076</v>
      </c>
      <c r="AP2283" s="98"/>
      <c r="AQ2283" s="106">
        <f ca="1">IF(AP2276&lt;=0,Q_max,ABS(AP$23-AP2282))</f>
        <v>236393</v>
      </c>
      <c r="AR2283" s="9">
        <f ca="1">AP2272</f>
        <v>1270237.634547937</v>
      </c>
      <c r="AS2283" s="98"/>
      <c r="AT2283" s="106">
        <f ca="1">IF(AS2276&lt;=0,Q_max,ABS(AS$23-AS2282))</f>
        <v>236393</v>
      </c>
      <c r="AU2283" s="9">
        <f ca="1">AS2272</f>
        <v>1489453.5242493043</v>
      </c>
    </row>
    <row r="2284" spans="15:47" x14ac:dyDescent="0.25">
      <c r="O2284" s="21"/>
      <c r="P2284" s="14"/>
      <c r="Q2284" s="21"/>
      <c r="R2284" s="97"/>
      <c r="S2284" s="106"/>
      <c r="T2284" s="28"/>
      <c r="U2284" s="99"/>
      <c r="V2284" s="110"/>
      <c r="W2284" s="25"/>
      <c r="X2284" s="99"/>
      <c r="Y2284" s="110"/>
      <c r="Z2284" s="25"/>
      <c r="AA2284" s="99"/>
      <c r="AB2284" s="110"/>
      <c r="AC2284" s="25"/>
      <c r="AD2284" s="99"/>
      <c r="AE2284" s="110"/>
      <c r="AF2284" s="25"/>
      <c r="AG2284" s="99"/>
      <c r="AH2284" s="110"/>
      <c r="AI2284" s="25"/>
      <c r="AJ2284" s="99"/>
      <c r="AK2284" s="110"/>
      <c r="AL2284" s="25"/>
      <c r="AM2284" s="99"/>
      <c r="AN2284" s="110"/>
      <c r="AO2284" s="25"/>
      <c r="AP2284" s="99"/>
      <c r="AQ2284" s="110"/>
      <c r="AR2284" s="25"/>
      <c r="AS2284" s="99"/>
      <c r="AT2284" s="110"/>
      <c r="AU2284" s="25"/>
    </row>
    <row r="2285" spans="15:47" x14ac:dyDescent="0.25">
      <c r="O2285" s="1"/>
      <c r="P2285" s="1"/>
      <c r="Q2285" s="1"/>
      <c r="R2285" s="98"/>
      <c r="S2285" s="108" t="s">
        <v>137</v>
      </c>
      <c r="T2285" s="26" t="s">
        <v>146</v>
      </c>
      <c r="U2285" s="98"/>
      <c r="V2285" s="108" t="s">
        <v>137</v>
      </c>
      <c r="W2285" s="26" t="s">
        <v>146</v>
      </c>
      <c r="X2285" s="98"/>
      <c r="Y2285" s="108" t="s">
        <v>137</v>
      </c>
      <c r="Z2285" s="26" t="s">
        <v>146</v>
      </c>
      <c r="AA2285" s="98"/>
      <c r="AB2285" s="108" t="s">
        <v>137</v>
      </c>
      <c r="AC2285" s="26" t="s">
        <v>146</v>
      </c>
      <c r="AD2285" s="98"/>
      <c r="AE2285" s="108" t="s">
        <v>137</v>
      </c>
      <c r="AF2285" s="26" t="s">
        <v>146</v>
      </c>
      <c r="AG2285" s="98"/>
      <c r="AH2285" s="108" t="s">
        <v>137</v>
      </c>
      <c r="AI2285" s="26" t="s">
        <v>146</v>
      </c>
      <c r="AJ2285" s="98"/>
      <c r="AK2285" s="108" t="s">
        <v>137</v>
      </c>
      <c r="AL2285" s="26" t="s">
        <v>146</v>
      </c>
      <c r="AM2285" s="98"/>
      <c r="AN2285" s="108" t="s">
        <v>137</v>
      </c>
      <c r="AO2285" s="26" t="s">
        <v>146</v>
      </c>
      <c r="AP2285" s="98"/>
      <c r="AQ2285" s="108" t="s">
        <v>137</v>
      </c>
      <c r="AR2285" s="26" t="s">
        <v>146</v>
      </c>
      <c r="AS2285" s="98"/>
      <c r="AT2285" s="108" t="s">
        <v>137</v>
      </c>
      <c r="AU2285" s="26" t="s">
        <v>146</v>
      </c>
    </row>
    <row r="2286" spans="15:47" ht="13.8" x14ac:dyDescent="0.25">
      <c r="O2286" s="20" t="s">
        <v>136</v>
      </c>
      <c r="P2286" s="1"/>
      <c r="Q2286" s="1"/>
      <c r="R2286" s="96">
        <f>R2272*1.02</f>
        <v>7725.2815653174448</v>
      </c>
      <c r="S2286" s="109" t="s">
        <v>144</v>
      </c>
      <c r="T2286" s="23" t="s">
        <v>147</v>
      </c>
      <c r="U2286" s="96">
        <f ca="1">U2272*1.01</f>
        <v>58111.100915836687</v>
      </c>
      <c r="V2286" s="109" t="s">
        <v>144</v>
      </c>
      <c r="W2286" s="23" t="s">
        <v>147</v>
      </c>
      <c r="X2286" s="96">
        <f ca="1">X2272*1.01</f>
        <v>142292.74046231303</v>
      </c>
      <c r="Y2286" s="109" t="s">
        <v>144</v>
      </c>
      <c r="Z2286" s="23" t="s">
        <v>147</v>
      </c>
      <c r="AA2286" s="96">
        <f ca="1">AA2272*1.01</f>
        <v>277149.93885123049</v>
      </c>
      <c r="AB2286" s="109" t="s">
        <v>144</v>
      </c>
      <c r="AC2286" s="23" t="s">
        <v>147</v>
      </c>
      <c r="AD2286" s="96">
        <f ca="1">AD2272*1.01</f>
        <v>464971.38199484174</v>
      </c>
      <c r="AE2286" s="109" t="s">
        <v>144</v>
      </c>
      <c r="AF2286" s="23" t="s">
        <v>147</v>
      </c>
      <c r="AG2286" s="96">
        <f ca="1">AG2272*1.01</f>
        <v>678638.3960479513</v>
      </c>
      <c r="AH2286" s="109" t="s">
        <v>144</v>
      </c>
      <c r="AI2286" s="23" t="s">
        <v>147</v>
      </c>
      <c r="AJ2286" s="96">
        <f ca="1">AJ2272*1.01</f>
        <v>905645.57031336054</v>
      </c>
      <c r="AK2286" s="109" t="s">
        <v>144</v>
      </c>
      <c r="AL2286" s="23" t="s">
        <v>147</v>
      </c>
      <c r="AM2286" s="96">
        <f ca="1">AM2272*1.01</f>
        <v>1105059.7046193588</v>
      </c>
      <c r="AN2286" s="109" t="s">
        <v>144</v>
      </c>
      <c r="AO2286" s="23" t="s">
        <v>147</v>
      </c>
      <c r="AP2286" s="96">
        <f ca="1">AP2272*1.01</f>
        <v>1282940.0108934164</v>
      </c>
      <c r="AQ2286" s="109" t="s">
        <v>144</v>
      </c>
      <c r="AR2286" s="23" t="s">
        <v>147</v>
      </c>
      <c r="AS2286" s="96">
        <f ca="1">AS2272*1.01</f>
        <v>1504348.0594917974</v>
      </c>
      <c r="AT2286" s="109" t="s">
        <v>144</v>
      </c>
      <c r="AU2286" s="23" t="s">
        <v>147</v>
      </c>
    </row>
    <row r="2287" spans="15:47" x14ac:dyDescent="0.25">
      <c r="O2287" s="1"/>
      <c r="P2287" s="1"/>
      <c r="Q2287" s="1"/>
      <c r="R2287" s="98"/>
      <c r="S2287" s="107"/>
      <c r="T2287" s="1"/>
      <c r="U2287" s="47"/>
      <c r="V2287" s="107"/>
      <c r="W2287" s="1"/>
      <c r="X2287" s="47"/>
      <c r="Y2287" s="107"/>
      <c r="Z2287" s="1"/>
      <c r="AA2287" s="47"/>
      <c r="AB2287" s="107"/>
      <c r="AC2287" s="1"/>
      <c r="AD2287" s="47"/>
      <c r="AE2287" s="107"/>
      <c r="AF2287" s="1"/>
      <c r="AG2287" s="47"/>
      <c r="AH2287" s="107"/>
      <c r="AI2287" s="1"/>
      <c r="AJ2287" s="47"/>
      <c r="AK2287" s="107"/>
      <c r="AL2287" s="1"/>
      <c r="AM2287" s="47"/>
      <c r="AN2287" s="107"/>
      <c r="AO2287" s="1"/>
      <c r="AP2287" s="47"/>
      <c r="AQ2287" s="107"/>
      <c r="AR2287" s="1"/>
      <c r="AS2287" s="47"/>
      <c r="AT2287" s="107"/>
      <c r="AU2287" s="1"/>
    </row>
    <row r="2288" spans="15:47" x14ac:dyDescent="0.25">
      <c r="O2288" s="8" t="s">
        <v>132</v>
      </c>
      <c r="P2288" s="8"/>
      <c r="Q2288" s="8"/>
      <c r="R2288" s="96">
        <f>P_1_minQ-(R2286^2*R_up)+dpup_minQ</f>
        <v>90.174163203583575</v>
      </c>
      <c r="S2288" s="106"/>
      <c r="T2288" s="22"/>
      <c r="U2288" s="96">
        <f ca="1">P_1_minQ-(U2286^2*R_up)+dpup_minQ</f>
        <v>89.569563650171233</v>
      </c>
      <c r="V2288" s="107"/>
      <c r="W2288" s="1"/>
      <c r="X2288" s="96">
        <f ca="1">P_1_minQ-(X2286^2*R_up)+dpup_minQ</f>
        <v>86.49476303685995</v>
      </c>
      <c r="Y2288" s="107"/>
      <c r="Z2288" s="1"/>
      <c r="AA2288" s="96">
        <f ca="1">P_1_minQ-(AA2286^2*R_up)+dpup_minQ</f>
        <v>76.185199269805494</v>
      </c>
      <c r="AB2288" s="107"/>
      <c r="AC2288" s="1"/>
      <c r="AD2288" s="96">
        <f ca="1">P_1_minQ-(AD2286^2*R_up)+dpup_minQ</f>
        <v>50.780525684168055</v>
      </c>
      <c r="AE2288" s="107"/>
      <c r="AF2288" s="1"/>
      <c r="AG2288" s="96">
        <f ca="1">P_1_minQ-(AG2286^2*R_up)+dpup_minQ</f>
        <v>6.2447646461762494</v>
      </c>
      <c r="AH2288" s="107"/>
      <c r="AI2288" s="1"/>
      <c r="AJ2288" s="96">
        <f ca="1">P_1_minQ-(AJ2286^2*R_up)+dpup_minQ</f>
        <v>-59.30424686820129</v>
      </c>
      <c r="AK2288" s="107"/>
      <c r="AL2288" s="1"/>
      <c r="AM2288" s="96">
        <f ca="1">P_1_minQ-(AM2286^2*R_up)+dpup_minQ</f>
        <v>-132.38413803725354</v>
      </c>
      <c r="AN2288" s="107"/>
      <c r="AO2288" s="1"/>
      <c r="AP2288" s="96">
        <f ca="1">P_1_minQ-(AP2286^2*R_up)+dpup_minQ</f>
        <v>-209.80458538849751</v>
      </c>
      <c r="AQ2288" s="107"/>
      <c r="AR2288" s="1"/>
      <c r="AS2288" s="96">
        <f ca="1">P_1_minQ-(AS2286^2*R_up)+dpup_minQ</f>
        <v>-322.2828992827649</v>
      </c>
      <c r="AT2288" s="107"/>
      <c r="AU2288" s="1"/>
    </row>
    <row r="2289" spans="15:47" x14ac:dyDescent="0.25">
      <c r="O2289" s="8" t="s">
        <v>134</v>
      </c>
      <c r="P2289" s="1"/>
      <c r="Q2289" s="8"/>
      <c r="R2289" s="97">
        <f>P_2_minQ+(R2286^2*R_dn)-dpdn_minQ</f>
        <v>60</v>
      </c>
      <c r="S2289" s="106"/>
      <c r="T2289" s="22"/>
      <c r="U2289" s="97">
        <f ca="1">P_2_minQ+(U2286^2*R_dn)-dpdn_minQ</f>
        <v>60</v>
      </c>
      <c r="V2289" s="107"/>
      <c r="W2289" s="1"/>
      <c r="X2289" s="97">
        <f ca="1">P_2_minQ+(X2286^2*R_dn)-dpdn_minQ</f>
        <v>60</v>
      </c>
      <c r="Y2289" s="107"/>
      <c r="Z2289" s="1"/>
      <c r="AA2289" s="97">
        <f ca="1">P_2_minQ+(AA2286^2*R_dn)-dpdn_minQ</f>
        <v>60</v>
      </c>
      <c r="AB2289" s="107"/>
      <c r="AC2289" s="1"/>
      <c r="AD2289" s="97">
        <f ca="1">P_2_minQ+(AD2286^2*R_dn)-dpdn_minQ</f>
        <v>60</v>
      </c>
      <c r="AE2289" s="107"/>
      <c r="AF2289" s="1"/>
      <c r="AG2289" s="97">
        <f ca="1">P_2_minQ+(AG2286^2*R_dn)-dpdn_minQ</f>
        <v>60</v>
      </c>
      <c r="AH2289" s="107"/>
      <c r="AI2289" s="1"/>
      <c r="AJ2289" s="97">
        <f ca="1">P_2_minQ+(AJ2286^2*R_dn)-dpdn_minQ</f>
        <v>60</v>
      </c>
      <c r="AK2289" s="107"/>
      <c r="AL2289" s="1"/>
      <c r="AM2289" s="97">
        <f ca="1">P_2_minQ+(AM2286^2*R_dn)-dpdn_minQ</f>
        <v>60</v>
      </c>
      <c r="AN2289" s="107"/>
      <c r="AO2289" s="1"/>
      <c r="AP2289" s="97">
        <f ca="1">P_2_minQ+(AP2286^2*R_dn)-dpdn_minQ</f>
        <v>60</v>
      </c>
      <c r="AQ2289" s="107"/>
      <c r="AR2289" s="1"/>
      <c r="AS2289" s="97">
        <f ca="1">P_2_minQ+(AS2286^2*R_dn)-dpdn_minQ</f>
        <v>60</v>
      </c>
      <c r="AT2289" s="107"/>
      <c r="AU2289" s="1"/>
    </row>
    <row r="2290" spans="15:47" x14ac:dyDescent="0.25">
      <c r="O2290" s="8" t="s">
        <v>138</v>
      </c>
      <c r="P2290" s="1"/>
      <c r="Q2290" s="8"/>
      <c r="R2290" s="97">
        <f>R2288-R2289</f>
        <v>30.174163203583575</v>
      </c>
      <c r="S2290" s="106"/>
      <c r="T2290" s="22"/>
      <c r="U2290" s="97">
        <f ca="1">U2288-U2289</f>
        <v>29.569563650171233</v>
      </c>
      <c r="V2290" s="110"/>
      <c r="W2290" s="25"/>
      <c r="X2290" s="97">
        <f ca="1">X2288-X2289</f>
        <v>26.49476303685995</v>
      </c>
      <c r="Y2290" s="110"/>
      <c r="Z2290" s="25"/>
      <c r="AA2290" s="97">
        <f ca="1">AA2288-AA2289</f>
        <v>16.185199269805494</v>
      </c>
      <c r="AB2290" s="110"/>
      <c r="AC2290" s="25"/>
      <c r="AD2290" s="97">
        <f ca="1">AD2288-AD2289</f>
        <v>-9.2194743158319454</v>
      </c>
      <c r="AE2290" s="110"/>
      <c r="AF2290" s="25"/>
      <c r="AG2290" s="97">
        <f ca="1">AG2288-AG2289</f>
        <v>-53.75523535382375</v>
      </c>
      <c r="AH2290" s="110"/>
      <c r="AI2290" s="25"/>
      <c r="AJ2290" s="97">
        <f ca="1">AJ2288-AJ2289</f>
        <v>-119.30424686820129</v>
      </c>
      <c r="AK2290" s="110"/>
      <c r="AL2290" s="25"/>
      <c r="AM2290" s="97">
        <f ca="1">AM2288-AM2289</f>
        <v>-192.38413803725354</v>
      </c>
      <c r="AN2290" s="110"/>
      <c r="AO2290" s="25"/>
      <c r="AP2290" s="97">
        <f ca="1">AP2288-AP2289</f>
        <v>-269.80458538849751</v>
      </c>
      <c r="AQ2290" s="110"/>
      <c r="AR2290" s="25"/>
      <c r="AS2290" s="97">
        <f ca="1">AS2288-AS2289</f>
        <v>-382.2828992827649</v>
      </c>
      <c r="AT2290" s="110"/>
      <c r="AU2290" s="25"/>
    </row>
    <row r="2291" spans="15:47" ht="14.4" x14ac:dyDescent="0.3">
      <c r="O2291" s="2" t="s">
        <v>140</v>
      </c>
      <c r="P2291" s="11"/>
      <c r="Q2291" s="2"/>
      <c r="R2291" s="96">
        <f>R2290/R2288</f>
        <v>0.33462093943095705</v>
      </c>
      <c r="S2291" s="106"/>
      <c r="T2291" s="22"/>
      <c r="U2291" s="96">
        <f ca="1">U2290/U2288</f>
        <v>0.3301295936380807</v>
      </c>
      <c r="V2291" s="111"/>
      <c r="W2291" s="28"/>
      <c r="X2291" s="96">
        <f ca="1">X2290/X2288</f>
        <v>0.306316383866722</v>
      </c>
      <c r="Y2291" s="111"/>
      <c r="Z2291" s="28"/>
      <c r="AA2291" s="96">
        <f ca="1">AA2290/AA2288</f>
        <v>0.21244545429994274</v>
      </c>
      <c r="AB2291" s="111"/>
      <c r="AC2291" s="28"/>
      <c r="AD2291" s="96">
        <f ca="1">AD2290/AD2288</f>
        <v>-0.18155531459388416</v>
      </c>
      <c r="AE2291" s="111"/>
      <c r="AF2291" s="28"/>
      <c r="AG2291" s="96">
        <f ca="1">AG2290/AG2288</f>
        <v>-8.6080482451390345</v>
      </c>
      <c r="AH2291" s="111"/>
      <c r="AI2291" s="28"/>
      <c r="AJ2291" s="96">
        <f ca="1">AJ2290/AJ2288</f>
        <v>2.0117319276197025</v>
      </c>
      <c r="AK2291" s="111"/>
      <c r="AL2291" s="28"/>
      <c r="AM2291" s="96">
        <f ca="1">AM2290/AM2288</f>
        <v>1.4532265034887768</v>
      </c>
      <c r="AN2291" s="111"/>
      <c r="AO2291" s="28"/>
      <c r="AP2291" s="96">
        <f ca="1">AP2290/AP2288</f>
        <v>1.2859804035688607</v>
      </c>
      <c r="AQ2291" s="111"/>
      <c r="AR2291" s="28"/>
      <c r="AS2291" s="96">
        <f ca="1">AS2290/AS2288</f>
        <v>1.1861718388829472</v>
      </c>
      <c r="AT2291" s="111"/>
      <c r="AU2291" s="28"/>
    </row>
    <row r="2292" spans="15:47" x14ac:dyDescent="0.25">
      <c r="O2292" s="2" t="s">
        <v>21</v>
      </c>
      <c r="P2292" s="8">
        <v>12</v>
      </c>
      <c r="Q2292" s="2"/>
      <c r="R2292" s="96">
        <f ca="1">1-R2291/(3*F_GAMMA*R$29)</f>
        <v>0.82572634742271533</v>
      </c>
      <c r="S2292" s="106"/>
      <c r="T2292" s="22"/>
      <c r="U2292" s="96">
        <f ca="1">1-U2291/(3*F_GAMMA*U$29)</f>
        <v>0.82810542445601798</v>
      </c>
      <c r="V2292" s="111"/>
      <c r="W2292" s="28"/>
      <c r="X2292" s="96">
        <f ca="1">1-X2291/(3*F_GAMMA*X$29)</f>
        <v>0.83898561104806335</v>
      </c>
      <c r="Y2292" s="111"/>
      <c r="Z2292" s="28"/>
      <c r="AA2292" s="96">
        <f ca="1">1-AA2291/(3*F_GAMMA*AA$29)</f>
        <v>0.88675448547226843</v>
      </c>
      <c r="AB2292" s="111"/>
      <c r="AC2292" s="28"/>
      <c r="AD2292" s="96">
        <f ca="1">1-AD2291/(3*F_GAMMA*AD$29)</f>
        <v>1.0997808436410099</v>
      </c>
      <c r="AE2292" s="111"/>
      <c r="AF2292" s="28"/>
      <c r="AG2292" s="96">
        <f ca="1">1-AG2291/(3*F_GAMMA*AG$29)</f>
        <v>6.0147731752842919</v>
      </c>
      <c r="AH2292" s="111"/>
      <c r="AI2292" s="28"/>
      <c r="AJ2292" s="96">
        <f ca="1">1-AJ2291/(3*F_GAMMA*AJ$29)</f>
        <v>-0.26087989261158029</v>
      </c>
      <c r="AK2292" s="111"/>
      <c r="AL2292" s="28"/>
      <c r="AM2292" s="96">
        <f ca="1">1-AM2291/(3*F_GAMMA*AM$29)</f>
        <v>-1.8382069664548473E-2</v>
      </c>
      <c r="AN2292" s="111"/>
      <c r="AO2292" s="28"/>
      <c r="AP2292" s="96">
        <f ca="1">1-AP2291/(3*F_GAMMA*AP$29)</f>
        <v>0.27412370760633664</v>
      </c>
      <c r="AQ2292" s="111"/>
      <c r="AR2292" s="28"/>
      <c r="AS2292" s="96">
        <f ca="1">1-AS2291/(3*F_GAMMA*AS$29)</f>
        <v>-4.9644693950802843E-2</v>
      </c>
      <c r="AT2292" s="111"/>
      <c r="AU2292" s="28"/>
    </row>
    <row r="2293" spans="15:47" x14ac:dyDescent="0.25">
      <c r="O2293" s="2" t="s">
        <v>57</v>
      </c>
      <c r="P2293" s="143">
        <v>7</v>
      </c>
      <c r="Q2293" s="2"/>
      <c r="R2293" s="96">
        <f ca="1">(R2286/(N_9*R$27*R2288*R2292))*SQRT(M*'Valve Sizing'!$W$6*'Valve Sizing'!$G$8/R2291)</f>
        <v>3.1203659573434024</v>
      </c>
      <c r="S2293" s="107"/>
      <c r="T2293" s="22"/>
      <c r="U2293" s="96">
        <f ca="1">(U2286/(N_9*U$27*U2288*U2292))*SQRT(M*'Valve Sizing'!$W$6*'Valve Sizing'!$G$8/U2291)</f>
        <v>23.737866590377791</v>
      </c>
      <c r="V2293" s="111"/>
      <c r="W2293" s="28"/>
      <c r="X2293" s="96">
        <f ca="1">(X2286/(N_9*X$27*X2288*X2292))*SQRT(M*'Valve Sizing'!$W$6*'Valve Sizing'!$G$8/X2291)</f>
        <v>61.819117773137364</v>
      </c>
      <c r="Y2293" s="111"/>
      <c r="Z2293" s="28"/>
      <c r="AA2293" s="96">
        <f ca="1">(AA2286/(N_9*AA$27*AA2288*AA2292))*SQRT(M*'Valve Sizing'!$W$6*'Valve Sizing'!$G$8/AA2291)</f>
        <v>156.22703161599432</v>
      </c>
      <c r="AB2293" s="111"/>
      <c r="AC2293" s="28"/>
      <c r="AD2293" s="96" t="e">
        <f ca="1">(AD2286/(N_9*AD$27*AD2288*AD2292))*SQRT(M*'Valve Sizing'!$W$6*'Valve Sizing'!$G$8/AD2291)</f>
        <v>#NUM!</v>
      </c>
      <c r="AE2293" s="111"/>
      <c r="AF2293" s="28"/>
      <c r="AG2293" s="96" t="e">
        <f ca="1">(AG2286/(N_9*AG$27*AG2288*AG2292))*SQRT(M*'Valve Sizing'!$W$6*'Valve Sizing'!$G$8/AG2291)</f>
        <v>#NUM!</v>
      </c>
      <c r="AH2293" s="111"/>
      <c r="AI2293" s="28"/>
      <c r="AJ2293" s="96">
        <f ca="1">(AJ2286/(N_9*AJ$27*AJ2288*AJ2292))*SQRT(M*'Valve Sizing'!$W$6*'Valve Sizing'!$G$8/AJ2291)</f>
        <v>777.00030587376295</v>
      </c>
      <c r="AK2293" s="111"/>
      <c r="AL2293" s="28"/>
      <c r="AM2293" s="96">
        <f ca="1">(AM2286/(N_9*AM$27*AM2288*AM2292))*SQRT(M*'Valve Sizing'!$W$6*'Valve Sizing'!$G$8/AM2291)</f>
        <v>7524.5719541822727</v>
      </c>
      <c r="AN2293" s="111"/>
      <c r="AO2293" s="28"/>
      <c r="AP2293" s="96">
        <f ca="1">(AP2286/(N_9*AP$27*AP2288*AP2292))*SQRT(M*'Valve Sizing'!$W$6*'Valve Sizing'!$G$8/AP2291)</f>
        <v>-447.23639546675872</v>
      </c>
      <c r="AQ2293" s="111"/>
      <c r="AR2293" s="28"/>
      <c r="AS2293" s="96">
        <f ca="1">(AS2286/(N_9*AS$27*AS2288*AS2292))*SQRT(M*'Valve Sizing'!$W$6*'Valve Sizing'!$G$8/AS2291)</f>
        <v>2628.9418671006742</v>
      </c>
      <c r="AT2293" s="111"/>
      <c r="AU2293" s="28"/>
    </row>
    <row r="2294" spans="15:47" x14ac:dyDescent="0.25">
      <c r="O2294" s="2" t="s">
        <v>59</v>
      </c>
      <c r="P2294" s="143">
        <v>7</v>
      </c>
      <c r="Q2294" s="2"/>
      <c r="R2294" s="96">
        <f ca="1">(R2286/(N_9*R$27*R2288*0.667))*SQRT(M*'Valve Sizing'!$W$6*'Valve Sizing'!$G$8/R2295)</f>
        <v>2.793137617053254</v>
      </c>
      <c r="S2294" s="107"/>
      <c r="T2294" s="22"/>
      <c r="U2294" s="96">
        <f ca="1">(U2286/(N_9*U$27*U2288*0.667))*SQRT(M*'Valve Sizing'!$W$6*'Valve Sizing'!$G$8/U2295)</f>
        <v>21.163777819892641</v>
      </c>
      <c r="V2294" s="111"/>
      <c r="W2294" s="28"/>
      <c r="X2294" s="96">
        <f ca="1">(X2286/(N_9*X$27*X2288*0.667))*SQRT(M*'Valve Sizing'!$W$6*'Valve Sizing'!$G$8/X2295)</f>
        <v>54.043622661510369</v>
      </c>
      <c r="Y2294" s="111"/>
      <c r="Z2294" s="28"/>
      <c r="AA2294" s="96">
        <f ca="1">(AA2286/(N_9*AA$27*AA2288*0.667))*SQRT(M*'Valve Sizing'!$W$6*'Valve Sizing'!$G$8/AA2295)</f>
        <v>121.06117174131097</v>
      </c>
      <c r="AB2294" s="111"/>
      <c r="AC2294" s="28"/>
      <c r="AD2294" s="96">
        <f ca="1">(AD2286/(N_9*AD$27*AD2288*0.667))*SQRT(M*'Valve Sizing'!$W$6*'Valve Sizing'!$G$8/AD2295)</f>
        <v>313.23404115481458</v>
      </c>
      <c r="AE2294" s="111"/>
      <c r="AF2294" s="28"/>
      <c r="AG2294" s="96">
        <f ca="1">(AG2286/(N_9*AG$27*AG2288*0.667))*SQRT(M*'Valve Sizing'!$W$6*'Valve Sizing'!$G$8/AG2295)</f>
        <v>3913.6482193271445</v>
      </c>
      <c r="AH2294" s="111"/>
      <c r="AI2294" s="28"/>
      <c r="AJ2294" s="96">
        <f ca="1">(AJ2286/(N_9*AJ$27*AJ2288*0.667))*SQRT(M*'Valve Sizing'!$W$6*'Valve Sizing'!$G$8/AJ2295)</f>
        <v>-591.06255902935231</v>
      </c>
      <c r="AK2294" s="111"/>
      <c r="AL2294" s="28"/>
      <c r="AM2294" s="96">
        <f ca="1">(AM2286/(N_9*AM$27*AM2288*0.667))*SQRT(M*'Valve Sizing'!$W$6*'Valve Sizing'!$G$8/AM2295)</f>
        <v>-362.46524682432369</v>
      </c>
      <c r="AN2294" s="111"/>
      <c r="AO2294" s="28"/>
      <c r="AP2294" s="96">
        <f ca="1">(AP2286/(N_9*AP$27*AP2288*0.667))*SQRT(M*'Valve Sizing'!$W$6*'Valve Sizing'!$G$8/AP2295)</f>
        <v>-271.23756401598587</v>
      </c>
      <c r="AQ2294" s="111"/>
      <c r="AR2294" s="28"/>
      <c r="AS2294" s="96">
        <f ca="1">(AS2286/(N_9*AS$27*AS2288*0.667))*SQRT(M*'Valve Sizing'!$W$6*'Valve Sizing'!$G$8/AS2295)</f>
        <v>-347.22402837478262</v>
      </c>
      <c r="AT2294" s="111"/>
      <c r="AU2294" s="28"/>
    </row>
    <row r="2295" spans="15:47" ht="15.6" x14ac:dyDescent="0.35">
      <c r="O2295" s="2" t="s">
        <v>68</v>
      </c>
      <c r="P2295" s="143">
        <v>10</v>
      </c>
      <c r="Q2295" s="2"/>
      <c r="R2295" s="96">
        <f ca="1">F_GAMMA*R$29</f>
        <v>0.64002969751372984</v>
      </c>
      <c r="S2295" s="107"/>
      <c r="T2295" s="1"/>
      <c r="U2295" s="96">
        <f ca="1">F_GAMMA*U$29</f>
        <v>0.64017842058782071</v>
      </c>
      <c r="V2295" s="111"/>
      <c r="W2295" s="28"/>
      <c r="X2295" s="96">
        <f ca="1">F_GAMMA*X$29</f>
        <v>0.63413873724904268</v>
      </c>
      <c r="Y2295" s="111"/>
      <c r="Z2295" s="28"/>
      <c r="AA2295" s="96">
        <f ca="1">F_GAMMA*AA$29</f>
        <v>0.62532411750377137</v>
      </c>
      <c r="AB2295" s="111"/>
      <c r="AC2295" s="28"/>
      <c r="AD2295" s="96">
        <f ca="1">F_GAMMA*AD$29</f>
        <v>0.60651359509139569</v>
      </c>
      <c r="AE2295" s="111"/>
      <c r="AF2295" s="28"/>
      <c r="AG2295" s="96">
        <f ca="1">F_GAMMA*AG$29</f>
        <v>0.57217930198481592</v>
      </c>
      <c r="AH2295" s="111"/>
      <c r="AI2295" s="28"/>
      <c r="AJ2295" s="96">
        <f ca="1">F_GAMMA*AJ$29</f>
        <v>0.53183282018848232</v>
      </c>
      <c r="AK2295" s="111"/>
      <c r="AL2295" s="28"/>
      <c r="AM2295" s="96">
        <f ca="1">F_GAMMA*AM$29</f>
        <v>0.47566512503094399</v>
      </c>
      <c r="AN2295" s="111"/>
      <c r="AO2295" s="28"/>
      <c r="AP2295" s="96">
        <f ca="1">F_GAMMA*AP$29</f>
        <v>0.59054158265645496</v>
      </c>
      <c r="AQ2295" s="111"/>
      <c r="AR2295" s="28"/>
      <c r="AS2295" s="96">
        <f ca="1">F_GAMMA*AS$29</f>
        <v>0.3766899554102966</v>
      </c>
      <c r="AT2295" s="111"/>
      <c r="AU2295" s="28"/>
    </row>
    <row r="2296" spans="15:47" x14ac:dyDescent="0.25">
      <c r="O2296" s="2" t="s">
        <v>145</v>
      </c>
      <c r="P2296" s="12"/>
      <c r="Q2296" s="2"/>
      <c r="R2296" s="96">
        <f ca="1">IF(R2291&lt;R2295,R2293,R2294)</f>
        <v>3.1203659573434024</v>
      </c>
      <c r="S2296" s="116"/>
      <c r="T2296" s="1"/>
      <c r="U2296" s="96">
        <f ca="1">IF(U2291&lt;U2295,U2293,U2294)</f>
        <v>23.737866590377791</v>
      </c>
      <c r="V2296" s="111"/>
      <c r="W2296" s="28"/>
      <c r="X2296" s="96">
        <f ca="1">IF(X2291&lt;X2295,X2293,X2294)</f>
        <v>61.819117773137364</v>
      </c>
      <c r="Y2296" s="111"/>
      <c r="Z2296" s="28"/>
      <c r="AA2296" s="96">
        <f ca="1">IF(AA2291&lt;AA2295,AA2293,AA2294)</f>
        <v>156.22703161599432</v>
      </c>
      <c r="AB2296" s="111"/>
      <c r="AC2296" s="28"/>
      <c r="AD2296" s="96" t="e">
        <f ca="1">IF(AD2291&lt;AD2295,AD2293,AD2294)</f>
        <v>#NUM!</v>
      </c>
      <c r="AE2296" s="111"/>
      <c r="AF2296" s="28"/>
      <c r="AG2296" s="96" t="e">
        <f ca="1">IF(AG2291&lt;AG2295,AG2293,AG2294)</f>
        <v>#NUM!</v>
      </c>
      <c r="AH2296" s="111"/>
      <c r="AI2296" s="28"/>
      <c r="AJ2296" s="96">
        <f ca="1">IF(AJ2291&lt;AJ2295,AJ2293,AJ2294)</f>
        <v>-591.06255902935231</v>
      </c>
      <c r="AK2296" s="111"/>
      <c r="AL2296" s="28"/>
      <c r="AM2296" s="96">
        <f ca="1">IF(AM2291&lt;AM2295,AM2293,AM2294)</f>
        <v>-362.46524682432369</v>
      </c>
      <c r="AN2296" s="111"/>
      <c r="AO2296" s="28"/>
      <c r="AP2296" s="96">
        <f ca="1">IF(AP2291&lt;AP2295,AP2293,AP2294)</f>
        <v>-271.23756401598587</v>
      </c>
      <c r="AQ2296" s="111"/>
      <c r="AR2296" s="28"/>
      <c r="AS2296" s="96">
        <f ca="1">IF(AS2291&lt;AS2295,AS2293,AS2294)</f>
        <v>-347.22402837478262</v>
      </c>
      <c r="AT2296" s="111"/>
      <c r="AU2296" s="28"/>
    </row>
    <row r="2297" spans="15:47" x14ac:dyDescent="0.25">
      <c r="O2297" s="13" t="s">
        <v>143</v>
      </c>
      <c r="P2297" s="1"/>
      <c r="Q2297" s="1"/>
      <c r="R2297" s="113"/>
      <c r="S2297" s="106">
        <f ca="1">IF(R2290&lt;=0,Q_max,ABS(R$23-R2296))</f>
        <v>1.609634042656598</v>
      </c>
      <c r="T2297" s="7">
        <f>R2286</f>
        <v>7725.2815653174448</v>
      </c>
      <c r="U2297" s="98"/>
      <c r="V2297" s="106">
        <f ca="1">IF(U2290&lt;=0,Q_max,ABS(U$23-U2296))</f>
        <v>12.137866590377792</v>
      </c>
      <c r="W2297" s="9">
        <f ca="1">U2286</f>
        <v>58111.100915836687</v>
      </c>
      <c r="X2297" s="98"/>
      <c r="Y2297" s="106">
        <f ca="1">IF(X2290&lt;=0,Q_max,ABS(X$23-X2296))</f>
        <v>38.819117773137364</v>
      </c>
      <c r="Z2297" s="9">
        <f ca="1">X2286</f>
        <v>142292.74046231303</v>
      </c>
      <c r="AA2297" s="98"/>
      <c r="AB2297" s="106">
        <f ca="1">IF(AA2290&lt;=0,Q_max,ABS(AA$23-AA2296))</f>
        <v>116.82703161599431</v>
      </c>
      <c r="AC2297" s="9">
        <f ca="1">AA2286</f>
        <v>277149.93885123049</v>
      </c>
      <c r="AD2297" s="98"/>
      <c r="AE2297" s="106">
        <f ca="1">IF(AD2290&lt;=0,Q_max,ABS(AD$23-AD2296))</f>
        <v>236393</v>
      </c>
      <c r="AF2297" s="9">
        <f ca="1">AD2286</f>
        <v>464971.38199484174</v>
      </c>
      <c r="AG2297" s="98"/>
      <c r="AH2297" s="106">
        <f ca="1">IF(AG2290&lt;=0,Q_max,ABS(AG$23-AG2296))</f>
        <v>236393</v>
      </c>
      <c r="AI2297" s="9">
        <f ca="1">AG2286</f>
        <v>678638.3960479513</v>
      </c>
      <c r="AJ2297" s="98"/>
      <c r="AK2297" s="106">
        <f ca="1">IF(AJ2290&lt;=0,Q_max,ABS(AJ$23-AJ2296))</f>
        <v>236393</v>
      </c>
      <c r="AL2297" s="9">
        <f ca="1">AJ2286</f>
        <v>905645.57031336054</v>
      </c>
      <c r="AM2297" s="98"/>
      <c r="AN2297" s="106">
        <f ca="1">IF(AM2290&lt;=0,Q_max,ABS(AM$23-AM2296))</f>
        <v>236393</v>
      </c>
      <c r="AO2297" s="9">
        <f ca="1">AM2286</f>
        <v>1105059.7046193588</v>
      </c>
      <c r="AP2297" s="98"/>
      <c r="AQ2297" s="106">
        <f ca="1">IF(AP2290&lt;=0,Q_max,ABS(AP$23-AP2296))</f>
        <v>236393</v>
      </c>
      <c r="AR2297" s="9">
        <f ca="1">AP2286</f>
        <v>1282940.0108934164</v>
      </c>
      <c r="AS2297" s="98"/>
      <c r="AT2297" s="106">
        <f ca="1">IF(AS2290&lt;=0,Q_max,ABS(AS$23-AS2296))</f>
        <v>236393</v>
      </c>
      <c r="AU2297" s="9">
        <f ca="1">AS2286</f>
        <v>1504348.0594917974</v>
      </c>
    </row>
    <row r="2298" spans="15:47" x14ac:dyDescent="0.25">
      <c r="O2298" s="21"/>
      <c r="P2298" s="14"/>
      <c r="Q2298" s="21"/>
      <c r="R2298" s="97"/>
      <c r="S2298" s="106"/>
      <c r="T2298" s="28"/>
      <c r="U2298" s="97"/>
      <c r="V2298" s="111"/>
      <c r="W2298" s="28"/>
      <c r="X2298" s="97"/>
      <c r="Y2298" s="111"/>
      <c r="Z2298" s="28"/>
      <c r="AA2298" s="97"/>
      <c r="AB2298" s="111"/>
      <c r="AC2298" s="28"/>
      <c r="AD2298" s="97"/>
      <c r="AE2298" s="111"/>
      <c r="AF2298" s="28"/>
      <c r="AG2298" s="97"/>
      <c r="AH2298" s="111"/>
      <c r="AI2298" s="28"/>
      <c r="AJ2298" s="97"/>
      <c r="AK2298" s="111"/>
      <c r="AL2298" s="28"/>
      <c r="AM2298" s="97"/>
      <c r="AN2298" s="111"/>
      <c r="AO2298" s="28"/>
      <c r="AP2298" s="97"/>
      <c r="AQ2298" s="111"/>
      <c r="AR2298" s="28"/>
      <c r="AS2298" s="97"/>
      <c r="AT2298" s="111"/>
      <c r="AU2298" s="28"/>
    </row>
    <row r="2299" spans="15:47" x14ac:dyDescent="0.25">
      <c r="O2299" s="1"/>
      <c r="P2299" s="1"/>
      <c r="Q2299" s="1"/>
      <c r="R2299" s="98"/>
      <c r="S2299" s="108" t="s">
        <v>137</v>
      </c>
      <c r="T2299" s="26" t="s">
        <v>146</v>
      </c>
      <c r="U2299" s="98"/>
      <c r="V2299" s="108" t="s">
        <v>137</v>
      </c>
      <c r="W2299" s="26" t="s">
        <v>146</v>
      </c>
      <c r="X2299" s="98"/>
      <c r="Y2299" s="108" t="s">
        <v>137</v>
      </c>
      <c r="Z2299" s="26" t="s">
        <v>146</v>
      </c>
      <c r="AA2299" s="98"/>
      <c r="AB2299" s="108" t="s">
        <v>137</v>
      </c>
      <c r="AC2299" s="26" t="s">
        <v>146</v>
      </c>
      <c r="AD2299" s="98"/>
      <c r="AE2299" s="108" t="s">
        <v>137</v>
      </c>
      <c r="AF2299" s="26" t="s">
        <v>146</v>
      </c>
      <c r="AG2299" s="98"/>
      <c r="AH2299" s="108" t="s">
        <v>137</v>
      </c>
      <c r="AI2299" s="26" t="s">
        <v>146</v>
      </c>
      <c r="AJ2299" s="98"/>
      <c r="AK2299" s="108" t="s">
        <v>137</v>
      </c>
      <c r="AL2299" s="26" t="s">
        <v>146</v>
      </c>
      <c r="AM2299" s="98"/>
      <c r="AN2299" s="108" t="s">
        <v>137</v>
      </c>
      <c r="AO2299" s="26" t="s">
        <v>146</v>
      </c>
      <c r="AP2299" s="98"/>
      <c r="AQ2299" s="108" t="s">
        <v>137</v>
      </c>
      <c r="AR2299" s="26" t="s">
        <v>146</v>
      </c>
      <c r="AS2299" s="98"/>
      <c r="AT2299" s="108" t="s">
        <v>137</v>
      </c>
      <c r="AU2299" s="26" t="s">
        <v>146</v>
      </c>
    </row>
    <row r="2300" spans="15:47" ht="13.8" x14ac:dyDescent="0.25">
      <c r="O2300" s="20" t="s">
        <v>136</v>
      </c>
      <c r="P2300" s="1"/>
      <c r="Q2300" s="1"/>
      <c r="R2300" s="96">
        <f>R2286*1.02</f>
        <v>7879.7871966237935</v>
      </c>
      <c r="S2300" s="109" t="s">
        <v>144</v>
      </c>
      <c r="T2300" s="23" t="s">
        <v>147</v>
      </c>
      <c r="U2300" s="96">
        <f ca="1">U2286*1.01</f>
        <v>58692.211924995056</v>
      </c>
      <c r="V2300" s="109" t="s">
        <v>144</v>
      </c>
      <c r="W2300" s="23" t="s">
        <v>147</v>
      </c>
      <c r="X2300" s="96">
        <f ca="1">X2286*1.01</f>
        <v>143715.66786693616</v>
      </c>
      <c r="Y2300" s="109" t="s">
        <v>144</v>
      </c>
      <c r="Z2300" s="23" t="s">
        <v>147</v>
      </c>
      <c r="AA2300" s="96">
        <f ca="1">AA2286*1.01</f>
        <v>279921.43823974277</v>
      </c>
      <c r="AB2300" s="109" t="s">
        <v>144</v>
      </c>
      <c r="AC2300" s="23" t="s">
        <v>147</v>
      </c>
      <c r="AD2300" s="96">
        <f ca="1">AD2286*1.01</f>
        <v>469621.09581479017</v>
      </c>
      <c r="AE2300" s="109" t="s">
        <v>144</v>
      </c>
      <c r="AF2300" s="23" t="s">
        <v>147</v>
      </c>
      <c r="AG2300" s="96">
        <f ca="1">AG2286*1.01</f>
        <v>685424.78000843083</v>
      </c>
      <c r="AH2300" s="109" t="s">
        <v>144</v>
      </c>
      <c r="AI2300" s="23" t="s">
        <v>147</v>
      </c>
      <c r="AJ2300" s="96">
        <f ca="1">AJ2286*1.01</f>
        <v>914702.02601649414</v>
      </c>
      <c r="AK2300" s="109" t="s">
        <v>144</v>
      </c>
      <c r="AL2300" s="23" t="s">
        <v>147</v>
      </c>
      <c r="AM2300" s="96">
        <f ca="1">AM2286*1.01</f>
        <v>1116110.3016655524</v>
      </c>
      <c r="AN2300" s="109" t="s">
        <v>144</v>
      </c>
      <c r="AO2300" s="23" t="s">
        <v>147</v>
      </c>
      <c r="AP2300" s="96">
        <f ca="1">AP2286*1.01</f>
        <v>1295769.4110023505</v>
      </c>
      <c r="AQ2300" s="109" t="s">
        <v>144</v>
      </c>
      <c r="AR2300" s="23" t="s">
        <v>147</v>
      </c>
      <c r="AS2300" s="96">
        <f ca="1">AS2286*1.01</f>
        <v>1519391.5400867152</v>
      </c>
      <c r="AT2300" s="109" t="s">
        <v>144</v>
      </c>
      <c r="AU2300" s="23" t="s">
        <v>147</v>
      </c>
    </row>
    <row r="2301" spans="15:47" x14ac:dyDescent="0.25">
      <c r="O2301" s="1"/>
      <c r="P2301" s="1"/>
      <c r="Q2301" s="1"/>
      <c r="R2301" s="98"/>
      <c r="S2301" s="107"/>
      <c r="T2301" s="1"/>
      <c r="U2301" s="47"/>
      <c r="V2301" s="107"/>
      <c r="W2301" s="1"/>
      <c r="X2301" s="47"/>
      <c r="Y2301" s="107"/>
      <c r="Z2301" s="1"/>
      <c r="AA2301" s="47"/>
      <c r="AB2301" s="107"/>
      <c r="AC2301" s="1"/>
      <c r="AD2301" s="47"/>
      <c r="AE2301" s="107"/>
      <c r="AF2301" s="1"/>
      <c r="AG2301" s="47"/>
      <c r="AH2301" s="107"/>
      <c r="AI2301" s="1"/>
      <c r="AJ2301" s="47"/>
      <c r="AK2301" s="107"/>
      <c r="AL2301" s="1"/>
      <c r="AM2301" s="47"/>
      <c r="AN2301" s="107"/>
      <c r="AO2301" s="1"/>
      <c r="AP2301" s="47"/>
      <c r="AQ2301" s="107"/>
      <c r="AR2301" s="1"/>
      <c r="AS2301" s="47"/>
      <c r="AT2301" s="107"/>
      <c r="AU2301" s="1"/>
    </row>
    <row r="2302" spans="15:47" x14ac:dyDescent="0.25">
      <c r="O2302" s="8" t="s">
        <v>132</v>
      </c>
      <c r="P2302" s="8"/>
      <c r="Q2302" s="8"/>
      <c r="R2302" s="96">
        <f>P_1_minQ-(R2300^2*R_up)+dpup_minQ</f>
        <v>90.173723759586025</v>
      </c>
      <c r="S2302" s="106"/>
      <c r="T2302" s="22"/>
      <c r="U2302" s="96">
        <f ca="1">P_1_minQ-(U2300^2*R_up)+dpup_minQ</f>
        <v>89.557192564881532</v>
      </c>
      <c r="V2302" s="107"/>
      <c r="W2302" s="1"/>
      <c r="X2302" s="96">
        <f ca="1">P_1_minQ-(X2300^2*R_up)+dpup_minQ</f>
        <v>86.420588459242694</v>
      </c>
      <c r="Y2302" s="107"/>
      <c r="Z2302" s="1"/>
      <c r="AA2302" s="96">
        <f ca="1">P_1_minQ-(AA2300^2*R_up)+dpup_minQ</f>
        <v>75.903802460470445</v>
      </c>
      <c r="AB2302" s="107"/>
      <c r="AC2302" s="1"/>
      <c r="AD2302" s="96">
        <f ca="1">P_1_minQ-(AD2300^2*R_up)+dpup_minQ</f>
        <v>49.988494935761686</v>
      </c>
      <c r="AE2302" s="107"/>
      <c r="AF2302" s="1"/>
      <c r="AG2302" s="96">
        <f ca="1">P_1_minQ-(AG2300^2*R_up)+dpup_minQ</f>
        <v>4.5575651009062588</v>
      </c>
      <c r="AH2302" s="107"/>
      <c r="AI2302" s="1"/>
      <c r="AJ2302" s="96">
        <f ca="1">P_1_minQ-(AJ2300^2*R_up)+dpup_minQ</f>
        <v>-62.308981544910267</v>
      </c>
      <c r="AK2302" s="107"/>
      <c r="AL2302" s="1"/>
      <c r="AM2302" s="96">
        <f ca="1">P_1_minQ-(AM2300^2*R_up)+dpup_minQ</f>
        <v>-136.85777852646052</v>
      </c>
      <c r="AN2302" s="107"/>
      <c r="AO2302" s="1"/>
      <c r="AP2302" s="96">
        <f ca="1">P_1_minQ-(AP2300^2*R_up)+dpup_minQ</f>
        <v>-215.83437686946445</v>
      </c>
      <c r="AQ2302" s="107"/>
      <c r="AR2302" s="1"/>
      <c r="AS2302" s="96">
        <f ca="1">P_1_minQ-(AS2300^2*R_up)+dpup_minQ</f>
        <v>-330.57350487300653</v>
      </c>
      <c r="AT2302" s="107"/>
      <c r="AU2302" s="1"/>
    </row>
    <row r="2303" spans="15:47" x14ac:dyDescent="0.25">
      <c r="O2303" s="8" t="s">
        <v>134</v>
      </c>
      <c r="P2303" s="1"/>
      <c r="Q2303" s="8"/>
      <c r="R2303" s="97">
        <f>P_2_minQ+(R2300^2*R_dn)-dpdn_minQ</f>
        <v>60</v>
      </c>
      <c r="S2303" s="106"/>
      <c r="T2303" s="22"/>
      <c r="U2303" s="97">
        <f ca="1">P_2_minQ+(U2300^2*R_dn)-dpdn_minQ</f>
        <v>60</v>
      </c>
      <c r="V2303" s="107"/>
      <c r="W2303" s="1"/>
      <c r="X2303" s="97">
        <f ca="1">P_2_minQ+(X2300^2*R_dn)-dpdn_minQ</f>
        <v>60</v>
      </c>
      <c r="Y2303" s="107"/>
      <c r="Z2303" s="1"/>
      <c r="AA2303" s="97">
        <f ca="1">P_2_minQ+(AA2300^2*R_dn)-dpdn_minQ</f>
        <v>60</v>
      </c>
      <c r="AB2303" s="107"/>
      <c r="AC2303" s="1"/>
      <c r="AD2303" s="97">
        <f ca="1">P_2_minQ+(AD2300^2*R_dn)-dpdn_minQ</f>
        <v>60</v>
      </c>
      <c r="AE2303" s="107"/>
      <c r="AF2303" s="1"/>
      <c r="AG2303" s="97">
        <f ca="1">P_2_minQ+(AG2300^2*R_dn)-dpdn_minQ</f>
        <v>60</v>
      </c>
      <c r="AH2303" s="107"/>
      <c r="AI2303" s="1"/>
      <c r="AJ2303" s="97">
        <f ca="1">P_2_minQ+(AJ2300^2*R_dn)-dpdn_minQ</f>
        <v>60</v>
      </c>
      <c r="AK2303" s="107"/>
      <c r="AL2303" s="1"/>
      <c r="AM2303" s="97">
        <f ca="1">P_2_minQ+(AM2300^2*R_dn)-dpdn_minQ</f>
        <v>60</v>
      </c>
      <c r="AN2303" s="107"/>
      <c r="AO2303" s="1"/>
      <c r="AP2303" s="97">
        <f ca="1">P_2_minQ+(AP2300^2*R_dn)-dpdn_minQ</f>
        <v>60</v>
      </c>
      <c r="AQ2303" s="107"/>
      <c r="AR2303" s="1"/>
      <c r="AS2303" s="97">
        <f ca="1">P_2_minQ+(AS2300^2*R_dn)-dpdn_minQ</f>
        <v>60</v>
      </c>
      <c r="AT2303" s="107"/>
      <c r="AU2303" s="1"/>
    </row>
    <row r="2304" spans="15:47" x14ac:dyDescent="0.25">
      <c r="O2304" s="8" t="s">
        <v>138</v>
      </c>
      <c r="P2304" s="1"/>
      <c r="Q2304" s="8"/>
      <c r="R2304" s="97">
        <f>R2302-R2303</f>
        <v>30.173723759586025</v>
      </c>
      <c r="S2304" s="106"/>
      <c r="T2304" s="22"/>
      <c r="U2304" s="97">
        <f ca="1">U2302-U2303</f>
        <v>29.557192564881532</v>
      </c>
      <c r="V2304" s="110"/>
      <c r="W2304" s="25"/>
      <c r="X2304" s="97">
        <f ca="1">X2302-X2303</f>
        <v>26.420588459242694</v>
      </c>
      <c r="Y2304" s="110"/>
      <c r="Z2304" s="25"/>
      <c r="AA2304" s="97">
        <f ca="1">AA2302-AA2303</f>
        <v>15.903802460470445</v>
      </c>
      <c r="AB2304" s="110"/>
      <c r="AC2304" s="25"/>
      <c r="AD2304" s="97">
        <f ca="1">AD2302-AD2303</f>
        <v>-10.011505064238314</v>
      </c>
      <c r="AE2304" s="110"/>
      <c r="AF2304" s="25"/>
      <c r="AG2304" s="97">
        <f ca="1">AG2302-AG2303</f>
        <v>-55.44243489909374</v>
      </c>
      <c r="AH2304" s="110"/>
      <c r="AI2304" s="25"/>
      <c r="AJ2304" s="97">
        <f ca="1">AJ2302-AJ2303</f>
        <v>-122.30898154491027</v>
      </c>
      <c r="AK2304" s="110"/>
      <c r="AL2304" s="25"/>
      <c r="AM2304" s="97">
        <f ca="1">AM2302-AM2303</f>
        <v>-196.85777852646052</v>
      </c>
      <c r="AN2304" s="110"/>
      <c r="AO2304" s="25"/>
      <c r="AP2304" s="97">
        <f ca="1">AP2302-AP2303</f>
        <v>-275.83437686946445</v>
      </c>
      <c r="AQ2304" s="110"/>
      <c r="AR2304" s="25"/>
      <c r="AS2304" s="97">
        <f ca="1">AS2302-AS2303</f>
        <v>-390.57350487300653</v>
      </c>
      <c r="AT2304" s="110"/>
      <c r="AU2304" s="25"/>
    </row>
    <row r="2305" spans="15:47" ht="14.4" x14ac:dyDescent="0.3">
      <c r="O2305" s="2" t="s">
        <v>140</v>
      </c>
      <c r="P2305" s="11"/>
      <c r="Q2305" s="2"/>
      <c r="R2305" s="96">
        <f>R2304/R2302</f>
        <v>0.33461769683630671</v>
      </c>
      <c r="S2305" s="106"/>
      <c r="T2305" s="22"/>
      <c r="U2305" s="96">
        <f ca="1">U2304/U2302</f>
        <v>0.33003706032285707</v>
      </c>
      <c r="V2305" s="111"/>
      <c r="W2305" s="28"/>
      <c r="X2305" s="96">
        <f ca="1">X2304/X2302</f>
        <v>0.30572099693238097</v>
      </c>
      <c r="Y2305" s="111"/>
      <c r="Z2305" s="28"/>
      <c r="AA2305" s="96">
        <f ca="1">AA2304/AA2302</f>
        <v>0.20952576741794859</v>
      </c>
      <c r="AB2305" s="111"/>
      <c r="AC2305" s="28"/>
      <c r="AD2305" s="96">
        <f ca="1">AD2304/AD2302</f>
        <v>-0.20027618509226411</v>
      </c>
      <c r="AE2305" s="111"/>
      <c r="AF2305" s="28"/>
      <c r="AG2305" s="96">
        <f ca="1">AG2304/AG2302</f>
        <v>-12.164924399668843</v>
      </c>
      <c r="AH2305" s="111"/>
      <c r="AI2305" s="28"/>
      <c r="AJ2305" s="96">
        <f ca="1">AJ2304/AJ2302</f>
        <v>1.962943038264138</v>
      </c>
      <c r="AK2305" s="111"/>
      <c r="AL2305" s="28"/>
      <c r="AM2305" s="96">
        <f ca="1">AM2304/AM2302</f>
        <v>1.4384113248513632</v>
      </c>
      <c r="AN2305" s="111"/>
      <c r="AO2305" s="28"/>
      <c r="AP2305" s="96">
        <f ca="1">AP2304/AP2302</f>
        <v>1.277990933929342</v>
      </c>
      <c r="AQ2305" s="111"/>
      <c r="AR2305" s="28"/>
      <c r="AS2305" s="96">
        <f ca="1">AS2304/AS2302</f>
        <v>1.1815027493599333</v>
      </c>
      <c r="AT2305" s="111"/>
      <c r="AU2305" s="28"/>
    </row>
    <row r="2306" spans="15:47" x14ac:dyDescent="0.25">
      <c r="O2306" s="2" t="s">
        <v>21</v>
      </c>
      <c r="P2306" s="8">
        <v>12</v>
      </c>
      <c r="Q2306" s="2"/>
      <c r="R2306" s="96">
        <f ca="1">1-R2305/(3*F_GAMMA*R$29)</f>
        <v>0.82572803619573265</v>
      </c>
      <c r="S2306" s="106"/>
      <c r="T2306" s="22"/>
      <c r="U2306" s="96">
        <f ca="1">1-U2305/(3*F_GAMMA*U$29)</f>
        <v>0.82815360545902583</v>
      </c>
      <c r="V2306" s="111"/>
      <c r="W2306" s="28"/>
      <c r="X2306" s="96">
        <f ca="1">1-X2305/(3*F_GAMMA*X$29)</f>
        <v>0.83929857459971124</v>
      </c>
      <c r="Y2306" s="111"/>
      <c r="Z2306" s="28"/>
      <c r="AA2306" s="96">
        <f ca="1">1-AA2305/(3*F_GAMMA*AA$29)</f>
        <v>0.88831084470010335</v>
      </c>
      <c r="AB2306" s="111"/>
      <c r="AC2306" s="28"/>
      <c r="AD2306" s="96">
        <f ca="1">1-AD2305/(3*F_GAMMA*AD$29)</f>
        <v>1.1100696322462948</v>
      </c>
      <c r="AE2306" s="111"/>
      <c r="AF2306" s="28"/>
      <c r="AG2306" s="96">
        <f ca="1">1-AG2305/(3*F_GAMMA*AG$29)</f>
        <v>8.0868952893322632</v>
      </c>
      <c r="AH2306" s="111"/>
      <c r="AI2306" s="28"/>
      <c r="AJ2306" s="96">
        <f ca="1">1-AJ2305/(3*F_GAMMA*AJ$29)</f>
        <v>-0.23030080365509598</v>
      </c>
      <c r="AK2306" s="111"/>
      <c r="AL2306" s="28"/>
      <c r="AM2306" s="96">
        <f ca="1">1-AM2305/(3*F_GAMMA*AM$29)</f>
        <v>-7.9999907202141785E-3</v>
      </c>
      <c r="AN2306" s="111"/>
      <c r="AO2306" s="28"/>
      <c r="AP2306" s="96">
        <f ca="1">1-AP2305/(3*F_GAMMA*AP$29)</f>
        <v>0.27863339265599307</v>
      </c>
      <c r="AQ2306" s="111"/>
      <c r="AR2306" s="28"/>
      <c r="AS2306" s="96">
        <f ca="1">1-AS2305/(3*F_GAMMA*AS$29)</f>
        <v>-4.5513011775623058E-2</v>
      </c>
      <c r="AT2306" s="111"/>
      <c r="AU2306" s="28"/>
    </row>
    <row r="2307" spans="15:47" x14ac:dyDescent="0.25">
      <c r="O2307" s="2" t="s">
        <v>57</v>
      </c>
      <c r="P2307" s="143">
        <v>7</v>
      </c>
      <c r="Q2307" s="2"/>
      <c r="R2307" s="96">
        <f ca="1">(R2300/(N_9*R$27*R2302*R2306))*SQRT(M*'Valve Sizing'!$W$6*'Valve Sizing'!$G$8/R2305)</f>
        <v>3.1827976989485793</v>
      </c>
      <c r="S2307" s="107"/>
      <c r="T2307" s="22"/>
      <c r="U2307" s="96">
        <f ca="1">(U2300/(N_9*U$27*U2302*U2306))*SQRT(M*'Valve Sizing'!$W$6*'Valve Sizing'!$G$8/U2305)</f>
        <v>23.980523092814785</v>
      </c>
      <c r="V2307" s="111"/>
      <c r="W2307" s="28"/>
      <c r="X2307" s="96">
        <f ca="1">(X2300/(N_9*X$27*X2302*X2306))*SQRT(M*'Valve Sizing'!$W$6*'Valve Sizing'!$G$8/X2305)</f>
        <v>62.528394448470905</v>
      </c>
      <c r="Y2307" s="111"/>
      <c r="Z2307" s="28"/>
      <c r="AA2307" s="96">
        <f ca="1">(AA2300/(N_9*AA$27*AA2302*AA2306))*SQRT(M*'Valve Sizing'!$W$6*'Valve Sizing'!$G$8/AA2305)</f>
        <v>159.19450071206012</v>
      </c>
      <c r="AB2307" s="111"/>
      <c r="AC2307" s="28"/>
      <c r="AD2307" s="96" t="e">
        <f ca="1">(AD2300/(N_9*AD$27*AD2302*AD2306))*SQRT(M*'Valve Sizing'!$W$6*'Valve Sizing'!$G$8/AD2305)</f>
        <v>#NUM!</v>
      </c>
      <c r="AE2307" s="111"/>
      <c r="AF2307" s="28"/>
      <c r="AG2307" s="96" t="e">
        <f ca="1">(AG2300/(N_9*AG$27*AG2302*AG2306))*SQRT(M*'Valve Sizing'!$W$6*'Valve Sizing'!$G$8/AG2305)</f>
        <v>#NUM!</v>
      </c>
      <c r="AH2307" s="111"/>
      <c r="AI2307" s="28"/>
      <c r="AJ2307" s="96">
        <f ca="1">(AJ2300/(N_9*AJ$27*AJ2302*AJ2306))*SQRT(M*'Valve Sizing'!$W$6*'Valve Sizing'!$G$8/AJ2305)</f>
        <v>856.55265400928056</v>
      </c>
      <c r="AK2307" s="111"/>
      <c r="AL2307" s="28"/>
      <c r="AM2307" s="96">
        <f ca="1">(AM2300/(N_9*AM$27*AM2302*AM2306))*SQRT(M*'Valve Sizing'!$W$6*'Valve Sizing'!$G$8/AM2305)</f>
        <v>16978.513785662184</v>
      </c>
      <c r="AN2307" s="111"/>
      <c r="AO2307" s="28"/>
      <c r="AP2307" s="96">
        <f ca="1">(AP2300/(N_9*AP$27*AP2302*AP2306))*SQRT(M*'Valve Sizing'!$W$6*'Valve Sizing'!$G$8/AP2305)</f>
        <v>-433.33083457308481</v>
      </c>
      <c r="AQ2307" s="111"/>
      <c r="AR2307" s="28"/>
      <c r="AS2307" s="96">
        <f ca="1">(AS2300/(N_9*AS$27*AS2302*AS2306))*SQRT(M*'Valve Sizing'!$W$6*'Valve Sizing'!$G$8/AS2305)</f>
        <v>2829.210588003662</v>
      </c>
      <c r="AT2307" s="111"/>
      <c r="AU2307" s="28"/>
    </row>
    <row r="2308" spans="15:47" x14ac:dyDescent="0.25">
      <c r="O2308" s="2" t="s">
        <v>59</v>
      </c>
      <c r="P2308" s="143">
        <v>7</v>
      </c>
      <c r="Q2308" s="2"/>
      <c r="R2308" s="96">
        <f ca="1">(R2300/(N_9*R$27*R2302*0.667))*SQRT(M*'Valve Sizing'!$W$6*'Valve Sizing'!$G$8/R2309)</f>
        <v>2.849014253440127</v>
      </c>
      <c r="S2308" s="107"/>
      <c r="T2308" s="22"/>
      <c r="U2308" s="96">
        <f ca="1">(U2300/(N_9*U$27*U2302*0.667))*SQRT(M*'Valve Sizing'!$W$6*'Valve Sizing'!$G$8/U2309)</f>
        <v>21.378368315588546</v>
      </c>
      <c r="V2308" s="111"/>
      <c r="W2308" s="28"/>
      <c r="X2308" s="96">
        <f ca="1">(X2300/(N_9*X$27*X2302*0.667))*SQRT(M*'Valve Sizing'!$W$6*'Valve Sizing'!$G$8/X2309)</f>
        <v>54.630908251047501</v>
      </c>
      <c r="Y2308" s="111"/>
      <c r="Z2308" s="28"/>
      <c r="AA2308" s="96">
        <f ca="1">(AA2300/(N_9*AA$27*AA2302*0.667))*SQRT(M*'Valve Sizing'!$W$6*'Valve Sizing'!$G$8/AA2309)</f>
        <v>122.72507945473045</v>
      </c>
      <c r="AB2308" s="111"/>
      <c r="AC2308" s="28"/>
      <c r="AD2308" s="96">
        <f ca="1">(AD2300/(N_9*AD$27*AD2302*0.667))*SQRT(M*'Valve Sizing'!$W$6*'Valve Sizing'!$G$8/AD2309)</f>
        <v>321.37897300934623</v>
      </c>
      <c r="AE2308" s="111"/>
      <c r="AF2308" s="28"/>
      <c r="AG2308" s="96">
        <f ca="1">(AG2300/(N_9*AG$27*AG2302*0.667))*SQRT(M*'Valve Sizing'!$W$6*'Valve Sizing'!$G$8/AG2309)</f>
        <v>5416.0960099270214</v>
      </c>
      <c r="AH2308" s="111"/>
      <c r="AI2308" s="28"/>
      <c r="AJ2308" s="96">
        <f ca="1">(AJ2300/(N_9*AJ$27*AJ2302*0.667))*SQRT(M*'Valve Sizing'!$W$6*'Valve Sizing'!$G$8/AJ2309)</f>
        <v>-568.18526377072021</v>
      </c>
      <c r="AK2308" s="111"/>
      <c r="AL2308" s="28"/>
      <c r="AM2308" s="96">
        <f ca="1">(AM2300/(N_9*AM$27*AM2302*0.667))*SQRT(M*'Valve Sizing'!$W$6*'Valve Sizing'!$G$8/AM2309)</f>
        <v>-354.12306325446565</v>
      </c>
      <c r="AN2308" s="111"/>
      <c r="AO2308" s="28"/>
      <c r="AP2308" s="96">
        <f ca="1">(AP2300/(N_9*AP$27*AP2302*0.667))*SQRT(M*'Valve Sizing'!$W$6*'Valve Sizing'!$G$8/AP2309)</f>
        <v>-266.29656656373476</v>
      </c>
      <c r="AQ2308" s="111"/>
      <c r="AR2308" s="28"/>
      <c r="AS2308" s="96">
        <f ca="1">(AS2300/(N_9*AS$27*AS2302*0.667))*SQRT(M*'Valve Sizing'!$W$6*'Valve Sizing'!$G$8/AS2309)</f>
        <v>-341.90099498245581</v>
      </c>
      <c r="AT2308" s="111"/>
      <c r="AU2308" s="28"/>
    </row>
    <row r="2309" spans="15:47" ht="15.6" x14ac:dyDescent="0.35">
      <c r="O2309" s="2" t="s">
        <v>68</v>
      </c>
      <c r="P2309" s="143">
        <v>10</v>
      </c>
      <c r="Q2309" s="2"/>
      <c r="R2309" s="96">
        <f ca="1">F_GAMMA*R$29</f>
        <v>0.64002969751372984</v>
      </c>
      <c r="S2309" s="107"/>
      <c r="T2309" s="1"/>
      <c r="U2309" s="96">
        <f ca="1">F_GAMMA*U$29</f>
        <v>0.64017842058782071</v>
      </c>
      <c r="V2309" s="111"/>
      <c r="W2309" s="28"/>
      <c r="X2309" s="96">
        <f ca="1">F_GAMMA*X$29</f>
        <v>0.63413873724904268</v>
      </c>
      <c r="Y2309" s="111"/>
      <c r="Z2309" s="28"/>
      <c r="AA2309" s="96">
        <f ca="1">F_GAMMA*AA$29</f>
        <v>0.62532411750377137</v>
      </c>
      <c r="AB2309" s="111"/>
      <c r="AC2309" s="28"/>
      <c r="AD2309" s="96">
        <f ca="1">F_GAMMA*AD$29</f>
        <v>0.60651359509139569</v>
      </c>
      <c r="AE2309" s="111"/>
      <c r="AF2309" s="28"/>
      <c r="AG2309" s="96">
        <f ca="1">F_GAMMA*AG$29</f>
        <v>0.57217930198481592</v>
      </c>
      <c r="AH2309" s="111"/>
      <c r="AI2309" s="28"/>
      <c r="AJ2309" s="96">
        <f ca="1">F_GAMMA*AJ$29</f>
        <v>0.53183282018848232</v>
      </c>
      <c r="AK2309" s="111"/>
      <c r="AL2309" s="28"/>
      <c r="AM2309" s="96">
        <f ca="1">F_GAMMA*AM$29</f>
        <v>0.47566512503094399</v>
      </c>
      <c r="AN2309" s="111"/>
      <c r="AO2309" s="28"/>
      <c r="AP2309" s="96">
        <f ca="1">F_GAMMA*AP$29</f>
        <v>0.59054158265645496</v>
      </c>
      <c r="AQ2309" s="111"/>
      <c r="AR2309" s="28"/>
      <c r="AS2309" s="96">
        <f ca="1">F_GAMMA*AS$29</f>
        <v>0.3766899554102966</v>
      </c>
      <c r="AT2309" s="111"/>
      <c r="AU2309" s="28"/>
    </row>
    <row r="2310" spans="15:47" x14ac:dyDescent="0.25">
      <c r="O2310" s="2" t="s">
        <v>145</v>
      </c>
      <c r="P2310" s="12"/>
      <c r="Q2310" s="2"/>
      <c r="R2310" s="96">
        <f ca="1">IF(R2305&lt;R2309,R2307,R2308)</f>
        <v>3.1827976989485793</v>
      </c>
      <c r="S2310" s="116"/>
      <c r="T2310" s="1"/>
      <c r="U2310" s="96">
        <f ca="1">IF(U2305&lt;U2309,U2307,U2308)</f>
        <v>23.980523092814785</v>
      </c>
      <c r="V2310" s="111"/>
      <c r="W2310" s="28"/>
      <c r="X2310" s="96">
        <f ca="1">IF(X2305&lt;X2309,X2307,X2308)</f>
        <v>62.528394448470905</v>
      </c>
      <c r="Y2310" s="111"/>
      <c r="Z2310" s="28"/>
      <c r="AA2310" s="96">
        <f ca="1">IF(AA2305&lt;AA2309,AA2307,AA2308)</f>
        <v>159.19450071206012</v>
      </c>
      <c r="AB2310" s="111"/>
      <c r="AC2310" s="28"/>
      <c r="AD2310" s="96" t="e">
        <f ca="1">IF(AD2305&lt;AD2309,AD2307,AD2308)</f>
        <v>#NUM!</v>
      </c>
      <c r="AE2310" s="111"/>
      <c r="AF2310" s="28"/>
      <c r="AG2310" s="96" t="e">
        <f ca="1">IF(AG2305&lt;AG2309,AG2307,AG2308)</f>
        <v>#NUM!</v>
      </c>
      <c r="AH2310" s="111"/>
      <c r="AI2310" s="28"/>
      <c r="AJ2310" s="96">
        <f ca="1">IF(AJ2305&lt;AJ2309,AJ2307,AJ2308)</f>
        <v>-568.18526377072021</v>
      </c>
      <c r="AK2310" s="111"/>
      <c r="AL2310" s="28"/>
      <c r="AM2310" s="96">
        <f ca="1">IF(AM2305&lt;AM2309,AM2307,AM2308)</f>
        <v>-354.12306325446565</v>
      </c>
      <c r="AN2310" s="111"/>
      <c r="AO2310" s="28"/>
      <c r="AP2310" s="96">
        <f ca="1">IF(AP2305&lt;AP2309,AP2307,AP2308)</f>
        <v>-266.29656656373476</v>
      </c>
      <c r="AQ2310" s="111"/>
      <c r="AR2310" s="28"/>
      <c r="AS2310" s="96">
        <f ca="1">IF(AS2305&lt;AS2309,AS2307,AS2308)</f>
        <v>-341.90099498245581</v>
      </c>
      <c r="AT2310" s="111"/>
      <c r="AU2310" s="28"/>
    </row>
    <row r="2311" spans="15:47" x14ac:dyDescent="0.25">
      <c r="O2311" s="13" t="s">
        <v>143</v>
      </c>
      <c r="P2311" s="1"/>
      <c r="Q2311" s="1"/>
      <c r="R2311" s="113"/>
      <c r="S2311" s="106">
        <f ca="1">IF(R2304&lt;=0,Q_max,ABS(R$23-R2310))</f>
        <v>1.5472023010514211</v>
      </c>
      <c r="T2311" s="7">
        <f>R2300</f>
        <v>7879.7871966237935</v>
      </c>
      <c r="U2311" s="98"/>
      <c r="V2311" s="106">
        <f ca="1">IF(U2304&lt;=0,Q_max,ABS(U$23-U2310))</f>
        <v>12.380523092814785</v>
      </c>
      <c r="W2311" s="9">
        <f ca="1">U2300</f>
        <v>58692.211924995056</v>
      </c>
      <c r="X2311" s="98"/>
      <c r="Y2311" s="106">
        <f ca="1">IF(X2304&lt;=0,Q_max,ABS(X$23-X2310))</f>
        <v>39.528394448470905</v>
      </c>
      <c r="Z2311" s="9">
        <f ca="1">X2300</f>
        <v>143715.66786693616</v>
      </c>
      <c r="AA2311" s="98"/>
      <c r="AB2311" s="106">
        <f ca="1">IF(AA2304&lt;=0,Q_max,ABS(AA$23-AA2310))</f>
        <v>119.79450071206011</v>
      </c>
      <c r="AC2311" s="9">
        <f ca="1">AA2300</f>
        <v>279921.43823974277</v>
      </c>
      <c r="AD2311" s="98"/>
      <c r="AE2311" s="106">
        <f ca="1">IF(AD2304&lt;=0,Q_max,ABS(AD$23-AD2310))</f>
        <v>236393</v>
      </c>
      <c r="AF2311" s="9">
        <f ca="1">AD2300</f>
        <v>469621.09581479017</v>
      </c>
      <c r="AG2311" s="98"/>
      <c r="AH2311" s="106">
        <f ca="1">IF(AG2304&lt;=0,Q_max,ABS(AG$23-AG2310))</f>
        <v>236393</v>
      </c>
      <c r="AI2311" s="9">
        <f ca="1">AG2300</f>
        <v>685424.78000843083</v>
      </c>
      <c r="AJ2311" s="98"/>
      <c r="AK2311" s="106">
        <f ca="1">IF(AJ2304&lt;=0,Q_max,ABS(AJ$23-AJ2310))</f>
        <v>236393</v>
      </c>
      <c r="AL2311" s="9">
        <f ca="1">AJ2300</f>
        <v>914702.02601649414</v>
      </c>
      <c r="AM2311" s="98"/>
      <c r="AN2311" s="106">
        <f ca="1">IF(AM2304&lt;=0,Q_max,ABS(AM$23-AM2310))</f>
        <v>236393</v>
      </c>
      <c r="AO2311" s="9">
        <f ca="1">AM2300</f>
        <v>1116110.3016655524</v>
      </c>
      <c r="AP2311" s="98"/>
      <c r="AQ2311" s="106">
        <f ca="1">IF(AP2304&lt;=0,Q_max,ABS(AP$23-AP2310))</f>
        <v>236393</v>
      </c>
      <c r="AR2311" s="9">
        <f ca="1">AP2300</f>
        <v>1295769.4110023505</v>
      </c>
      <c r="AS2311" s="98"/>
      <c r="AT2311" s="106">
        <f ca="1">IF(AS2304&lt;=0,Q_max,ABS(AS$23-AS2310))</f>
        <v>236393</v>
      </c>
      <c r="AU2311" s="9">
        <f ca="1">AS2300</f>
        <v>1519391.5400867152</v>
      </c>
    </row>
    <row r="2312" spans="15:47" x14ac:dyDescent="0.25">
      <c r="O2312" s="21"/>
      <c r="P2312" s="14"/>
      <c r="Q2312" s="21"/>
      <c r="R2312" s="97"/>
      <c r="S2312" s="106"/>
      <c r="T2312" s="28"/>
      <c r="U2312" s="97"/>
      <c r="V2312" s="111"/>
      <c r="W2312" s="28"/>
      <c r="X2312" s="97"/>
      <c r="Y2312" s="111"/>
      <c r="Z2312" s="28"/>
      <c r="AA2312" s="97"/>
      <c r="AB2312" s="111"/>
      <c r="AC2312" s="28"/>
      <c r="AD2312" s="97"/>
      <c r="AE2312" s="111"/>
      <c r="AF2312" s="28"/>
      <c r="AG2312" s="97"/>
      <c r="AH2312" s="111"/>
      <c r="AI2312" s="28"/>
      <c r="AJ2312" s="97"/>
      <c r="AK2312" s="111"/>
      <c r="AL2312" s="28"/>
      <c r="AM2312" s="97"/>
      <c r="AN2312" s="111"/>
      <c r="AO2312" s="28"/>
      <c r="AP2312" s="97"/>
      <c r="AQ2312" s="111"/>
      <c r="AR2312" s="28"/>
      <c r="AS2312" s="97"/>
      <c r="AT2312" s="111"/>
      <c r="AU2312" s="28"/>
    </row>
    <row r="2313" spans="15:47" x14ac:dyDescent="0.25">
      <c r="O2313" s="1"/>
      <c r="P2313" s="1"/>
      <c r="Q2313" s="1"/>
      <c r="R2313" s="98"/>
      <c r="S2313" s="108" t="s">
        <v>137</v>
      </c>
      <c r="T2313" s="26" t="s">
        <v>146</v>
      </c>
      <c r="U2313" s="98"/>
      <c r="V2313" s="108" t="s">
        <v>137</v>
      </c>
      <c r="W2313" s="26" t="s">
        <v>146</v>
      </c>
      <c r="X2313" s="98"/>
      <c r="Y2313" s="108" t="s">
        <v>137</v>
      </c>
      <c r="Z2313" s="26" t="s">
        <v>146</v>
      </c>
      <c r="AA2313" s="98"/>
      <c r="AB2313" s="108" t="s">
        <v>137</v>
      </c>
      <c r="AC2313" s="26" t="s">
        <v>146</v>
      </c>
      <c r="AD2313" s="98"/>
      <c r="AE2313" s="108" t="s">
        <v>137</v>
      </c>
      <c r="AF2313" s="26" t="s">
        <v>146</v>
      </c>
      <c r="AG2313" s="98"/>
      <c r="AH2313" s="108" t="s">
        <v>137</v>
      </c>
      <c r="AI2313" s="26" t="s">
        <v>146</v>
      </c>
      <c r="AJ2313" s="98"/>
      <c r="AK2313" s="108" t="s">
        <v>137</v>
      </c>
      <c r="AL2313" s="26" t="s">
        <v>146</v>
      </c>
      <c r="AM2313" s="98"/>
      <c r="AN2313" s="108" t="s">
        <v>137</v>
      </c>
      <c r="AO2313" s="26" t="s">
        <v>146</v>
      </c>
      <c r="AP2313" s="98"/>
      <c r="AQ2313" s="108" t="s">
        <v>137</v>
      </c>
      <c r="AR2313" s="26" t="s">
        <v>146</v>
      </c>
      <c r="AS2313" s="98"/>
      <c r="AT2313" s="108" t="s">
        <v>137</v>
      </c>
      <c r="AU2313" s="26" t="s">
        <v>146</v>
      </c>
    </row>
    <row r="2314" spans="15:47" ht="13.8" x14ac:dyDescent="0.25">
      <c r="O2314" s="20" t="s">
        <v>136</v>
      </c>
      <c r="P2314" s="1"/>
      <c r="Q2314" s="1"/>
      <c r="R2314" s="96">
        <f>R2300*1.02</f>
        <v>8037.3829405562692</v>
      </c>
      <c r="S2314" s="109" t="s">
        <v>144</v>
      </c>
      <c r="T2314" s="23" t="s">
        <v>147</v>
      </c>
      <c r="U2314" s="96">
        <f ca="1">U2300*1.01</f>
        <v>59279.134044245009</v>
      </c>
      <c r="V2314" s="109" t="s">
        <v>144</v>
      </c>
      <c r="W2314" s="23" t="s">
        <v>147</v>
      </c>
      <c r="X2314" s="96">
        <f ca="1">X2300*1.01</f>
        <v>145152.82454560552</v>
      </c>
      <c r="Y2314" s="109" t="s">
        <v>144</v>
      </c>
      <c r="Z2314" s="23" t="s">
        <v>147</v>
      </c>
      <c r="AA2314" s="96">
        <f ca="1">AA2300*1.01</f>
        <v>282720.65262214019</v>
      </c>
      <c r="AB2314" s="109" t="s">
        <v>144</v>
      </c>
      <c r="AC2314" s="23" t="s">
        <v>147</v>
      </c>
      <c r="AD2314" s="96">
        <f ca="1">AD2300*1.01</f>
        <v>474317.30677293806</v>
      </c>
      <c r="AE2314" s="109" t="s">
        <v>144</v>
      </c>
      <c r="AF2314" s="23" t="s">
        <v>147</v>
      </c>
      <c r="AG2314" s="96">
        <f ca="1">AG2300*1.01</f>
        <v>692279.02780851512</v>
      </c>
      <c r="AH2314" s="109" t="s">
        <v>144</v>
      </c>
      <c r="AI2314" s="23" t="s">
        <v>147</v>
      </c>
      <c r="AJ2314" s="96">
        <f ca="1">AJ2300*1.01</f>
        <v>923849.04627665912</v>
      </c>
      <c r="AK2314" s="109" t="s">
        <v>144</v>
      </c>
      <c r="AL2314" s="23" t="s">
        <v>147</v>
      </c>
      <c r="AM2314" s="96">
        <f ca="1">AM2300*1.01</f>
        <v>1127271.4046822079</v>
      </c>
      <c r="AN2314" s="109" t="s">
        <v>144</v>
      </c>
      <c r="AO2314" s="23" t="s">
        <v>147</v>
      </c>
      <c r="AP2314" s="96">
        <f ca="1">AP2300*1.01</f>
        <v>1308727.1051123741</v>
      </c>
      <c r="AQ2314" s="109" t="s">
        <v>144</v>
      </c>
      <c r="AR2314" s="23" t="s">
        <v>147</v>
      </c>
      <c r="AS2314" s="96">
        <f ca="1">AS2300*1.01</f>
        <v>1534585.4554875824</v>
      </c>
      <c r="AT2314" s="109" t="s">
        <v>144</v>
      </c>
      <c r="AU2314" s="23" t="s">
        <v>147</v>
      </c>
    </row>
    <row r="2315" spans="15:47" x14ac:dyDescent="0.25">
      <c r="O2315" s="1"/>
      <c r="P2315" s="1"/>
      <c r="Q2315" s="1"/>
      <c r="R2315" s="98"/>
      <c r="S2315" s="107"/>
      <c r="T2315" s="1"/>
      <c r="U2315" s="47"/>
      <c r="V2315" s="107"/>
      <c r="W2315" s="1"/>
      <c r="X2315" s="47"/>
      <c r="Y2315" s="107"/>
      <c r="Z2315" s="1"/>
      <c r="AA2315" s="47"/>
      <c r="AB2315" s="107"/>
      <c r="AC2315" s="1"/>
      <c r="AD2315" s="47"/>
      <c r="AE2315" s="107"/>
      <c r="AF2315" s="1"/>
      <c r="AG2315" s="47"/>
      <c r="AH2315" s="107"/>
      <c r="AI2315" s="1"/>
      <c r="AJ2315" s="47"/>
      <c r="AK2315" s="107"/>
      <c r="AL2315" s="1"/>
      <c r="AM2315" s="47"/>
      <c r="AN2315" s="107"/>
      <c r="AO2315" s="1"/>
      <c r="AP2315" s="47"/>
      <c r="AQ2315" s="107"/>
      <c r="AR2315" s="1"/>
      <c r="AS2315" s="47"/>
      <c r="AT2315" s="107"/>
      <c r="AU2315" s="1"/>
    </row>
    <row r="2316" spans="15:47" x14ac:dyDescent="0.25">
      <c r="O2316" s="8" t="s">
        <v>132</v>
      </c>
      <c r="P2316" s="8"/>
      <c r="Q2316" s="8"/>
      <c r="R2316" s="96">
        <f>P_1_minQ-(R2314^2*R_up)+dpup_minQ</f>
        <v>90.173266562050983</v>
      </c>
      <c r="S2316" s="106"/>
      <c r="T2316" s="22"/>
      <c r="U2316" s="96">
        <f ca="1">P_1_minQ-(U2314^2*R_up)+dpup_minQ</f>
        <v>89.544572820777518</v>
      </c>
      <c r="V2316" s="107"/>
      <c r="W2316" s="1"/>
      <c r="X2316" s="96">
        <f ca="1">P_1_minQ-(X2314^2*R_up)+dpup_minQ</f>
        <v>86.344922972615336</v>
      </c>
      <c r="Y2316" s="107"/>
      <c r="Z2316" s="1"/>
      <c r="AA2316" s="96">
        <f ca="1">P_1_minQ-(AA2314^2*R_up)+dpup_minQ</f>
        <v>75.616749575267761</v>
      </c>
      <c r="AB2316" s="107"/>
      <c r="AC2316" s="1"/>
      <c r="AD2316" s="96">
        <f ca="1">P_1_minQ-(AD2314^2*R_up)+dpup_minQ</f>
        <v>49.180544369312365</v>
      </c>
      <c r="AE2316" s="107"/>
      <c r="AF2316" s="1"/>
      <c r="AG2316" s="96">
        <f ca="1">P_1_minQ-(AG2314^2*R_up)+dpup_minQ</f>
        <v>2.8364528447763306</v>
      </c>
      <c r="AH2316" s="107"/>
      <c r="AI2316" s="1"/>
      <c r="AJ2316" s="96">
        <f ca="1">P_1_minQ-(AJ2314^2*R_up)+dpup_minQ</f>
        <v>-65.374111388621117</v>
      </c>
      <c r="AK2316" s="107"/>
      <c r="AL2316" s="1"/>
      <c r="AM2316" s="96">
        <f ca="1">P_1_minQ-(AM2314^2*R_up)+dpup_minQ</f>
        <v>-141.42133918950046</v>
      </c>
      <c r="AN2316" s="107"/>
      <c r="AO2316" s="1"/>
      <c r="AP2316" s="96">
        <f ca="1">P_1_minQ-(AP2314^2*R_up)+dpup_minQ</f>
        <v>-221.9853671591988</v>
      </c>
      <c r="AQ2316" s="107"/>
      <c r="AR2316" s="1"/>
      <c r="AS2316" s="96">
        <f ca="1">P_1_minQ-(AS2314^2*R_up)+dpup_minQ</f>
        <v>-339.03075163561209</v>
      </c>
      <c r="AT2316" s="107"/>
      <c r="AU2316" s="1"/>
    </row>
    <row r="2317" spans="15:47" x14ac:dyDescent="0.25">
      <c r="O2317" s="8" t="s">
        <v>134</v>
      </c>
      <c r="P2317" s="1"/>
      <c r="Q2317" s="8"/>
      <c r="R2317" s="97">
        <f>P_2_minQ+(R2314^2*R_dn)-dpdn_minQ</f>
        <v>60</v>
      </c>
      <c r="S2317" s="106"/>
      <c r="T2317" s="22"/>
      <c r="U2317" s="97">
        <f ca="1">P_2_minQ+(U2314^2*R_dn)-dpdn_minQ</f>
        <v>60</v>
      </c>
      <c r="V2317" s="107"/>
      <c r="W2317" s="1"/>
      <c r="X2317" s="97">
        <f ca="1">P_2_minQ+(X2314^2*R_dn)-dpdn_minQ</f>
        <v>60</v>
      </c>
      <c r="Y2317" s="107"/>
      <c r="Z2317" s="1"/>
      <c r="AA2317" s="97">
        <f ca="1">P_2_minQ+(AA2314^2*R_dn)-dpdn_minQ</f>
        <v>60</v>
      </c>
      <c r="AB2317" s="107"/>
      <c r="AC2317" s="1"/>
      <c r="AD2317" s="97">
        <f ca="1">P_2_minQ+(AD2314^2*R_dn)-dpdn_minQ</f>
        <v>60</v>
      </c>
      <c r="AE2317" s="107"/>
      <c r="AF2317" s="1"/>
      <c r="AG2317" s="97">
        <f ca="1">P_2_minQ+(AG2314^2*R_dn)-dpdn_minQ</f>
        <v>60</v>
      </c>
      <c r="AH2317" s="107"/>
      <c r="AI2317" s="1"/>
      <c r="AJ2317" s="97">
        <f ca="1">P_2_minQ+(AJ2314^2*R_dn)-dpdn_minQ</f>
        <v>60</v>
      </c>
      <c r="AK2317" s="107"/>
      <c r="AL2317" s="1"/>
      <c r="AM2317" s="97">
        <f ca="1">P_2_minQ+(AM2314^2*R_dn)-dpdn_minQ</f>
        <v>60</v>
      </c>
      <c r="AN2317" s="107"/>
      <c r="AO2317" s="1"/>
      <c r="AP2317" s="97">
        <f ca="1">P_2_minQ+(AP2314^2*R_dn)-dpdn_minQ</f>
        <v>60</v>
      </c>
      <c r="AQ2317" s="107"/>
      <c r="AR2317" s="1"/>
      <c r="AS2317" s="97">
        <f ca="1">P_2_minQ+(AS2314^2*R_dn)-dpdn_minQ</f>
        <v>60</v>
      </c>
      <c r="AT2317" s="107"/>
      <c r="AU2317" s="1"/>
    </row>
    <row r="2318" spans="15:47" x14ac:dyDescent="0.25">
      <c r="O2318" s="8" t="s">
        <v>138</v>
      </c>
      <c r="P2318" s="1"/>
      <c r="Q2318" s="8"/>
      <c r="R2318" s="97">
        <f>R2316-R2317</f>
        <v>30.173266562050983</v>
      </c>
      <c r="S2318" s="106"/>
      <c r="T2318" s="22"/>
      <c r="U2318" s="97">
        <f ca="1">U2316-U2317</f>
        <v>29.544572820777518</v>
      </c>
      <c r="V2318" s="110"/>
      <c r="W2318" s="25"/>
      <c r="X2318" s="97">
        <f ca="1">X2316-X2317</f>
        <v>26.344922972615336</v>
      </c>
      <c r="Y2318" s="110"/>
      <c r="Z2318" s="25"/>
      <c r="AA2318" s="97">
        <f ca="1">AA2316-AA2317</f>
        <v>15.616749575267761</v>
      </c>
      <c r="AB2318" s="110"/>
      <c r="AC2318" s="25"/>
      <c r="AD2318" s="97">
        <f ca="1">AD2316-AD2317</f>
        <v>-10.819455630687635</v>
      </c>
      <c r="AE2318" s="110"/>
      <c r="AF2318" s="25"/>
      <c r="AG2318" s="97">
        <f ca="1">AG2316-AG2317</f>
        <v>-57.163547155223668</v>
      </c>
      <c r="AH2318" s="110"/>
      <c r="AI2318" s="25"/>
      <c r="AJ2318" s="97">
        <f ca="1">AJ2316-AJ2317</f>
        <v>-125.37411138862112</v>
      </c>
      <c r="AK2318" s="110"/>
      <c r="AL2318" s="25"/>
      <c r="AM2318" s="97">
        <f ca="1">AM2316-AM2317</f>
        <v>-201.42133918950046</v>
      </c>
      <c r="AN2318" s="110"/>
      <c r="AO2318" s="25"/>
      <c r="AP2318" s="97">
        <f ca="1">AP2316-AP2317</f>
        <v>-281.9853671591988</v>
      </c>
      <c r="AQ2318" s="110"/>
      <c r="AR2318" s="25"/>
      <c r="AS2318" s="97">
        <f ca="1">AS2316-AS2317</f>
        <v>-399.03075163561209</v>
      </c>
      <c r="AT2318" s="110"/>
      <c r="AU2318" s="25"/>
    </row>
    <row r="2319" spans="15:47" ht="14.4" x14ac:dyDescent="0.3">
      <c r="O2319" s="2" t="s">
        <v>140</v>
      </c>
      <c r="P2319" s="11"/>
      <c r="Q2319" s="2"/>
      <c r="R2319" s="96">
        <f>R2318/R2316</f>
        <v>0.33461432320728712</v>
      </c>
      <c r="S2319" s="106"/>
      <c r="T2319" s="22"/>
      <c r="U2319" s="96">
        <f ca="1">U2318/U2316</f>
        <v>0.32994264074396396</v>
      </c>
      <c r="V2319" s="111"/>
      <c r="W2319" s="28"/>
      <c r="X2319" s="96">
        <f ca="1">X2318/X2316</f>
        <v>0.30511258873866554</v>
      </c>
      <c r="Y2319" s="111"/>
      <c r="Z2319" s="28"/>
      <c r="AA2319" s="96">
        <f ca="1">AA2318/AA2316</f>
        <v>0.20652500488298675</v>
      </c>
      <c r="AB2319" s="111"/>
      <c r="AC2319" s="28"/>
      <c r="AD2319" s="96">
        <f ca="1">AD2318/AD2316</f>
        <v>-0.21999462936890041</v>
      </c>
      <c r="AE2319" s="111"/>
      <c r="AF2319" s="28"/>
      <c r="AG2319" s="96">
        <f ca="1">AG2318/AG2316</f>
        <v>-20.153180850687232</v>
      </c>
      <c r="AH2319" s="111"/>
      <c r="AI2319" s="28"/>
      <c r="AJ2319" s="96">
        <f ca="1">AJ2318/AJ2316</f>
        <v>1.9177945019141549</v>
      </c>
      <c r="AK2319" s="111"/>
      <c r="AL2319" s="28"/>
      <c r="AM2319" s="96">
        <f ca="1">AM2318/AM2316</f>
        <v>1.4242641198553618</v>
      </c>
      <c r="AN2319" s="111"/>
      <c r="AO2319" s="28"/>
      <c r="AP2319" s="96">
        <f ca="1">AP2318/AP2316</f>
        <v>1.2702880859573527</v>
      </c>
      <c r="AQ2319" s="111"/>
      <c r="AR2319" s="28"/>
      <c r="AS2319" s="96">
        <f ca="1">AS2318/AS2316</f>
        <v>1.1769750965378136</v>
      </c>
      <c r="AT2319" s="111"/>
      <c r="AU2319" s="28"/>
    </row>
    <row r="2320" spans="15:47" x14ac:dyDescent="0.25">
      <c r="O2320" s="2" t="s">
        <v>21</v>
      </c>
      <c r="P2320" s="8">
        <v>12</v>
      </c>
      <c r="Q2320" s="2"/>
      <c r="R2320" s="96">
        <f ca="1">1-R2319/(3*F_GAMMA*R$29)</f>
        <v>0.82572979321265061</v>
      </c>
      <c r="S2320" s="106"/>
      <c r="T2320" s="22"/>
      <c r="U2320" s="96">
        <f ca="1">1-U2319/(3*F_GAMMA*U$29)</f>
        <v>0.82820276861722075</v>
      </c>
      <c r="V2320" s="111"/>
      <c r="W2320" s="28"/>
      <c r="X2320" s="96">
        <f ca="1">1-X2319/(3*F_GAMMA*X$29)</f>
        <v>0.83961838274156719</v>
      </c>
      <c r="Y2320" s="111"/>
      <c r="Z2320" s="28"/>
      <c r="AA2320" s="96">
        <f ca="1">1-AA2319/(3*F_GAMMA*AA$29)</f>
        <v>0.88991042186388447</v>
      </c>
      <c r="AB2320" s="111"/>
      <c r="AC2320" s="28"/>
      <c r="AD2320" s="96">
        <f ca="1">1-AD2319/(3*F_GAMMA*AD$29)</f>
        <v>1.1209066766457501</v>
      </c>
      <c r="AE2320" s="111"/>
      <c r="AF2320" s="28"/>
      <c r="AG2320" s="96">
        <f ca="1">1-AG2319/(3*F_GAMMA*AG$29)</f>
        <v>12.740597618484543</v>
      </c>
      <c r="AH2320" s="111"/>
      <c r="AI2320" s="28"/>
      <c r="AJ2320" s="96">
        <f ca="1">1-AJ2319/(3*F_GAMMA*AJ$29)</f>
        <v>-0.20200335463469243</v>
      </c>
      <c r="AK2320" s="111"/>
      <c r="AL2320" s="28"/>
      <c r="AM2320" s="96">
        <f ca="1">1-AM2319/(3*F_GAMMA*AM$29)</f>
        <v>1.9139902519252905E-3</v>
      </c>
      <c r="AN2320" s="111"/>
      <c r="AO2320" s="28"/>
      <c r="AP2320" s="96">
        <f ca="1">1-AP2319/(3*F_GAMMA*AP$29)</f>
        <v>0.28298129306820974</v>
      </c>
      <c r="AQ2320" s="111"/>
      <c r="AR2320" s="28"/>
      <c r="AS2320" s="96">
        <f ca="1">1-AS2319/(3*F_GAMMA*AS$29)</f>
        <v>-4.1506487084171484E-2</v>
      </c>
      <c r="AT2320" s="111"/>
      <c r="AU2320" s="28"/>
    </row>
    <row r="2321" spans="15:47" x14ac:dyDescent="0.25">
      <c r="O2321" s="2" t="s">
        <v>57</v>
      </c>
      <c r="P2321" s="143">
        <v>7</v>
      </c>
      <c r="Q2321" s="2"/>
      <c r="R2321" s="96">
        <f ca="1">(R2314/(N_9*R$27*R2316*R2320))*SQRT(M*'Valve Sizing'!$W$6*'Valve Sizing'!$G$8/R2319)</f>
        <v>3.24647957079066</v>
      </c>
      <c r="S2321" s="107"/>
      <c r="T2321" s="22"/>
      <c r="U2321" s="96">
        <f ca="1">(U2314/(N_9*U$27*U2316*U2320))*SQRT(M*'Valve Sizing'!$W$6*'Valve Sizing'!$G$8/U2319)</f>
        <v>24.225769400860695</v>
      </c>
      <c r="V2321" s="111"/>
      <c r="W2321" s="28"/>
      <c r="X2321" s="96">
        <f ca="1">(X2314/(N_9*X$27*X2316*X2320))*SQRT(M*'Valve Sizing'!$W$6*'Valve Sizing'!$G$8/X2319)</f>
        <v>63.247910314221585</v>
      </c>
      <c r="Y2321" s="111"/>
      <c r="Z2321" s="28"/>
      <c r="AA2321" s="96">
        <f ca="1">(AA2314/(N_9*AA$27*AA2316*AA2320))*SQRT(M*'Valve Sizing'!$W$6*'Valve Sizing'!$G$8/AA2319)</f>
        <v>162.27291337201217</v>
      </c>
      <c r="AB2321" s="111"/>
      <c r="AC2321" s="28"/>
      <c r="AD2321" s="96" t="e">
        <f ca="1">(AD2314/(N_9*AD$27*AD2316*AD2320))*SQRT(M*'Valve Sizing'!$W$6*'Valve Sizing'!$G$8/AD2319)</f>
        <v>#NUM!</v>
      </c>
      <c r="AE2321" s="111"/>
      <c r="AF2321" s="28"/>
      <c r="AG2321" s="96" t="e">
        <f ca="1">(AG2314/(N_9*AG$27*AG2316*AG2320))*SQRT(M*'Valve Sizing'!$W$6*'Valve Sizing'!$G$8/AG2319)</f>
        <v>#NUM!</v>
      </c>
      <c r="AH2321" s="111"/>
      <c r="AI2321" s="28"/>
      <c r="AJ2321" s="96">
        <f ca="1">(AJ2314/(N_9*AJ$27*AJ2316*AJ2320))*SQRT(M*'Valve Sizing'!$W$6*'Valve Sizing'!$G$8/AJ2319)</f>
        <v>951.06451599889533</v>
      </c>
      <c r="AK2321" s="111"/>
      <c r="AL2321" s="28"/>
      <c r="AM2321" s="96">
        <f ca="1">(AM2314/(N_9*AM$27*AM2316*AM2320))*SQRT(M*'Valve Sizing'!$W$6*'Valve Sizing'!$G$8/AM2319)</f>
        <v>-69706.235280175475</v>
      </c>
      <c r="AN2321" s="111"/>
      <c r="AO2321" s="28"/>
      <c r="AP2321" s="96">
        <f ca="1">(AP2314/(N_9*AP$27*AP2316*AP2320))*SQRT(M*'Valve Sizing'!$W$6*'Valve Sizing'!$G$8/AP2319)</f>
        <v>-420.26715261501818</v>
      </c>
      <c r="AQ2321" s="111"/>
      <c r="AR2321" s="28"/>
      <c r="AS2321" s="96">
        <f ca="1">(AS2314/(N_9*AS$27*AS2316*AS2320))*SQRT(M*'Valve Sizing'!$W$6*'Valve Sizing'!$G$8/AS2319)</f>
        <v>3061.0394516651977</v>
      </c>
      <c r="AT2321" s="111"/>
      <c r="AU2321" s="28"/>
    </row>
    <row r="2322" spans="15:47" x14ac:dyDescent="0.25">
      <c r="O2322" s="2" t="s">
        <v>59</v>
      </c>
      <c r="P2322" s="143">
        <v>7</v>
      </c>
      <c r="Q2322" s="2"/>
      <c r="R2322" s="96">
        <f ca="1">(R2314/(N_9*R$27*R2316*0.667))*SQRT(M*'Valve Sizing'!$W$6*'Valve Sizing'!$G$8/R2323)</f>
        <v>2.9060092725159197</v>
      </c>
      <c r="S2322" s="107"/>
      <c r="T2322" s="22"/>
      <c r="U2322" s="96">
        <f ca="1">(U2314/(N_9*U$27*U2316*0.667))*SQRT(M*'Valve Sizing'!$W$6*'Valve Sizing'!$G$8/U2323)</f>
        <v>21.595195035572857</v>
      </c>
      <c r="V2322" s="111"/>
      <c r="W2322" s="28"/>
      <c r="X2322" s="96">
        <f ca="1">(X2314/(N_9*X$27*X2316*0.667))*SQRT(M*'Valve Sizing'!$W$6*'Valve Sizing'!$G$8/X2323)</f>
        <v>55.225570043324254</v>
      </c>
      <c r="Y2322" s="111"/>
      <c r="Z2322" s="28"/>
      <c r="AA2322" s="96">
        <f ca="1">(AA2314/(N_9*AA$27*AA2316*0.667))*SQRT(M*'Valve Sizing'!$W$6*'Valve Sizing'!$G$8/AA2323)</f>
        <v>124.42287248000711</v>
      </c>
      <c r="AB2322" s="111"/>
      <c r="AC2322" s="28"/>
      <c r="AD2322" s="96">
        <f ca="1">(AD2314/(N_9*AD$27*AD2316*0.667))*SQRT(M*'Valve Sizing'!$W$6*'Valve Sizing'!$G$8/AD2323)</f>
        <v>329.92525569745425</v>
      </c>
      <c r="AE2322" s="111"/>
      <c r="AF2322" s="28"/>
      <c r="AG2322" s="96">
        <f ca="1">(AG2314/(N_9*AG$27*AG2316*0.667))*SQRT(M*'Valve Sizing'!$W$6*'Valve Sizing'!$G$8/AG2323)</f>
        <v>8789.5176207475397</v>
      </c>
      <c r="AH2322" s="111"/>
      <c r="AI2322" s="28"/>
      <c r="AJ2322" s="96">
        <f ca="1">(AJ2314/(N_9*AJ$27*AJ2316*0.667))*SQRT(M*'Valve Sizing'!$W$6*'Valve Sizing'!$G$8/AJ2323)</f>
        <v>-546.96078930944191</v>
      </c>
      <c r="AK2322" s="111"/>
      <c r="AL2322" s="28"/>
      <c r="AM2322" s="96">
        <f ca="1">(AM2314/(N_9*AM$27*AM2316*0.667))*SQRT(M*'Valve Sizing'!$W$6*'Valve Sizing'!$G$8/AM2323)</f>
        <v>-346.1227350847027</v>
      </c>
      <c r="AN2322" s="111"/>
      <c r="AO2322" s="28"/>
      <c r="AP2322" s="96">
        <f ca="1">(AP2314/(N_9*AP$27*AP2316*0.667))*SQRT(M*'Valve Sizing'!$W$6*'Valve Sizing'!$G$8/AP2323)</f>
        <v>-261.50693527559224</v>
      </c>
      <c r="AQ2322" s="111"/>
      <c r="AR2322" s="28"/>
      <c r="AS2322" s="96">
        <f ca="1">(AS2314/(N_9*AS$27*AS2316*0.667))*SQRT(M*'Valve Sizing'!$W$6*'Valve Sizing'!$G$8/AS2323)</f>
        <v>-336.7058704336041</v>
      </c>
      <c r="AT2322" s="111"/>
      <c r="AU2322" s="28"/>
    </row>
    <row r="2323" spans="15:47" ht="15.6" x14ac:dyDescent="0.35">
      <c r="O2323" s="2" t="s">
        <v>68</v>
      </c>
      <c r="P2323" s="143">
        <v>10</v>
      </c>
      <c r="Q2323" s="2"/>
      <c r="R2323" s="96">
        <f ca="1">F_GAMMA*R$29</f>
        <v>0.64002969751372984</v>
      </c>
      <c r="S2323" s="107"/>
      <c r="T2323" s="1"/>
      <c r="U2323" s="96">
        <f ca="1">F_GAMMA*U$29</f>
        <v>0.64017842058782071</v>
      </c>
      <c r="V2323" s="111"/>
      <c r="W2323" s="28"/>
      <c r="X2323" s="96">
        <f ca="1">F_GAMMA*X$29</f>
        <v>0.63413873724904268</v>
      </c>
      <c r="Y2323" s="111"/>
      <c r="Z2323" s="28"/>
      <c r="AA2323" s="96">
        <f ca="1">F_GAMMA*AA$29</f>
        <v>0.62532411750377137</v>
      </c>
      <c r="AB2323" s="111"/>
      <c r="AC2323" s="28"/>
      <c r="AD2323" s="96">
        <f ca="1">F_GAMMA*AD$29</f>
        <v>0.60651359509139569</v>
      </c>
      <c r="AE2323" s="111"/>
      <c r="AF2323" s="28"/>
      <c r="AG2323" s="96">
        <f ca="1">F_GAMMA*AG$29</f>
        <v>0.57217930198481592</v>
      </c>
      <c r="AH2323" s="111"/>
      <c r="AI2323" s="28"/>
      <c r="AJ2323" s="96">
        <f ca="1">F_GAMMA*AJ$29</f>
        <v>0.53183282018848232</v>
      </c>
      <c r="AK2323" s="111"/>
      <c r="AL2323" s="28"/>
      <c r="AM2323" s="96">
        <f ca="1">F_GAMMA*AM$29</f>
        <v>0.47566512503094399</v>
      </c>
      <c r="AN2323" s="111"/>
      <c r="AO2323" s="28"/>
      <c r="AP2323" s="96">
        <f ca="1">F_GAMMA*AP$29</f>
        <v>0.59054158265645496</v>
      </c>
      <c r="AQ2323" s="111"/>
      <c r="AR2323" s="28"/>
      <c r="AS2323" s="96">
        <f ca="1">F_GAMMA*AS$29</f>
        <v>0.3766899554102966</v>
      </c>
      <c r="AT2323" s="111"/>
      <c r="AU2323" s="28"/>
    </row>
    <row r="2324" spans="15:47" x14ac:dyDescent="0.25">
      <c r="O2324" s="2" t="s">
        <v>145</v>
      </c>
      <c r="P2324" s="12"/>
      <c r="Q2324" s="2"/>
      <c r="R2324" s="96">
        <f ca="1">IF(R2319&lt;R2323,R2321,R2322)</f>
        <v>3.24647957079066</v>
      </c>
      <c r="S2324" s="116"/>
      <c r="T2324" s="1"/>
      <c r="U2324" s="96">
        <f ca="1">IF(U2319&lt;U2323,U2321,U2322)</f>
        <v>24.225769400860695</v>
      </c>
      <c r="V2324" s="111"/>
      <c r="W2324" s="28"/>
      <c r="X2324" s="96">
        <f ca="1">IF(X2319&lt;X2323,X2321,X2322)</f>
        <v>63.247910314221585</v>
      </c>
      <c r="Y2324" s="111"/>
      <c r="Z2324" s="28"/>
      <c r="AA2324" s="96">
        <f ca="1">IF(AA2319&lt;AA2323,AA2321,AA2322)</f>
        <v>162.27291337201217</v>
      </c>
      <c r="AB2324" s="111"/>
      <c r="AC2324" s="28"/>
      <c r="AD2324" s="96" t="e">
        <f ca="1">IF(AD2319&lt;AD2323,AD2321,AD2322)</f>
        <v>#NUM!</v>
      </c>
      <c r="AE2324" s="111"/>
      <c r="AF2324" s="28"/>
      <c r="AG2324" s="96" t="e">
        <f ca="1">IF(AG2319&lt;AG2323,AG2321,AG2322)</f>
        <v>#NUM!</v>
      </c>
      <c r="AH2324" s="111"/>
      <c r="AI2324" s="28"/>
      <c r="AJ2324" s="96">
        <f ca="1">IF(AJ2319&lt;AJ2323,AJ2321,AJ2322)</f>
        <v>-546.96078930944191</v>
      </c>
      <c r="AK2324" s="111"/>
      <c r="AL2324" s="28"/>
      <c r="AM2324" s="96">
        <f ca="1">IF(AM2319&lt;AM2323,AM2321,AM2322)</f>
        <v>-346.1227350847027</v>
      </c>
      <c r="AN2324" s="111"/>
      <c r="AO2324" s="28"/>
      <c r="AP2324" s="96">
        <f ca="1">IF(AP2319&lt;AP2323,AP2321,AP2322)</f>
        <v>-261.50693527559224</v>
      </c>
      <c r="AQ2324" s="111"/>
      <c r="AR2324" s="28"/>
      <c r="AS2324" s="96">
        <f ca="1">IF(AS2319&lt;AS2323,AS2321,AS2322)</f>
        <v>-336.7058704336041</v>
      </c>
      <c r="AT2324" s="111"/>
      <c r="AU2324" s="28"/>
    </row>
    <row r="2325" spans="15:47" x14ac:dyDescent="0.25">
      <c r="O2325" s="13" t="s">
        <v>143</v>
      </c>
      <c r="P2325" s="1"/>
      <c r="Q2325" s="1"/>
      <c r="R2325" s="113"/>
      <c r="S2325" s="106">
        <f ca="1">IF(R2318&lt;=0,Q_max,ABS(R$23-R2324))</f>
        <v>1.4835204292093405</v>
      </c>
      <c r="T2325" s="7">
        <f>R2314</f>
        <v>8037.3829405562692</v>
      </c>
      <c r="U2325" s="98"/>
      <c r="V2325" s="106">
        <f ca="1">IF(U2318&lt;=0,Q_max,ABS(U$23-U2324))</f>
        <v>12.625769400860696</v>
      </c>
      <c r="W2325" s="9">
        <f ca="1">U2314</f>
        <v>59279.134044245009</v>
      </c>
      <c r="X2325" s="98"/>
      <c r="Y2325" s="106">
        <f ca="1">IF(X2318&lt;=0,Q_max,ABS(X$23-X2324))</f>
        <v>40.247910314221585</v>
      </c>
      <c r="Z2325" s="9">
        <f ca="1">X2314</f>
        <v>145152.82454560552</v>
      </c>
      <c r="AA2325" s="98"/>
      <c r="AB2325" s="106">
        <f ca="1">IF(AA2318&lt;=0,Q_max,ABS(AA$23-AA2324))</f>
        <v>122.87291337201216</v>
      </c>
      <c r="AC2325" s="9">
        <f ca="1">AA2314</f>
        <v>282720.65262214019</v>
      </c>
      <c r="AD2325" s="98"/>
      <c r="AE2325" s="106">
        <f ca="1">IF(AD2318&lt;=0,Q_max,ABS(AD$23-AD2324))</f>
        <v>236393</v>
      </c>
      <c r="AF2325" s="9">
        <f ca="1">AD2314</f>
        <v>474317.30677293806</v>
      </c>
      <c r="AG2325" s="98"/>
      <c r="AH2325" s="106">
        <f ca="1">IF(AG2318&lt;=0,Q_max,ABS(AG$23-AG2324))</f>
        <v>236393</v>
      </c>
      <c r="AI2325" s="9">
        <f ca="1">AG2314</f>
        <v>692279.02780851512</v>
      </c>
      <c r="AJ2325" s="98"/>
      <c r="AK2325" s="106">
        <f ca="1">IF(AJ2318&lt;=0,Q_max,ABS(AJ$23-AJ2324))</f>
        <v>236393</v>
      </c>
      <c r="AL2325" s="9">
        <f ca="1">AJ2314</f>
        <v>923849.04627665912</v>
      </c>
      <c r="AM2325" s="98"/>
      <c r="AN2325" s="106">
        <f ca="1">IF(AM2318&lt;=0,Q_max,ABS(AM$23-AM2324))</f>
        <v>236393</v>
      </c>
      <c r="AO2325" s="9">
        <f ca="1">AM2314</f>
        <v>1127271.4046822079</v>
      </c>
      <c r="AP2325" s="98"/>
      <c r="AQ2325" s="106">
        <f ca="1">IF(AP2318&lt;=0,Q_max,ABS(AP$23-AP2324))</f>
        <v>236393</v>
      </c>
      <c r="AR2325" s="9">
        <f ca="1">AP2314</f>
        <v>1308727.1051123741</v>
      </c>
      <c r="AS2325" s="98"/>
      <c r="AT2325" s="106">
        <f ca="1">IF(AS2318&lt;=0,Q_max,ABS(AS$23-AS2324))</f>
        <v>236393</v>
      </c>
      <c r="AU2325" s="9">
        <f ca="1">AS2314</f>
        <v>1534585.4554875824</v>
      </c>
    </row>
    <row r="2326" spans="15:47" x14ac:dyDescent="0.25">
      <c r="O2326" s="21"/>
      <c r="P2326" s="14"/>
      <c r="Q2326" s="21"/>
      <c r="R2326" s="97"/>
      <c r="S2326" s="106"/>
      <c r="T2326" s="28"/>
      <c r="U2326" s="97"/>
      <c r="V2326" s="111"/>
      <c r="W2326" s="28"/>
      <c r="X2326" s="97"/>
      <c r="Y2326" s="111"/>
      <c r="Z2326" s="28"/>
      <c r="AA2326" s="97"/>
      <c r="AB2326" s="111"/>
      <c r="AC2326" s="28"/>
      <c r="AD2326" s="97"/>
      <c r="AE2326" s="111"/>
      <c r="AF2326" s="28"/>
      <c r="AG2326" s="97"/>
      <c r="AH2326" s="111"/>
      <c r="AI2326" s="28"/>
      <c r="AJ2326" s="97"/>
      <c r="AK2326" s="111"/>
      <c r="AL2326" s="28"/>
      <c r="AM2326" s="97"/>
      <c r="AN2326" s="111"/>
      <c r="AO2326" s="28"/>
      <c r="AP2326" s="97"/>
      <c r="AQ2326" s="111"/>
      <c r="AR2326" s="28"/>
      <c r="AS2326" s="97"/>
      <c r="AT2326" s="111"/>
      <c r="AU2326" s="28"/>
    </row>
    <row r="2327" spans="15:47" x14ac:dyDescent="0.25">
      <c r="O2327" s="1"/>
      <c r="P2327" s="1"/>
      <c r="Q2327" s="1"/>
      <c r="R2327" s="98"/>
      <c r="S2327" s="108" t="s">
        <v>137</v>
      </c>
      <c r="T2327" s="26" t="s">
        <v>146</v>
      </c>
      <c r="U2327" s="98"/>
      <c r="V2327" s="108" t="s">
        <v>137</v>
      </c>
      <c r="W2327" s="26" t="s">
        <v>146</v>
      </c>
      <c r="X2327" s="98"/>
      <c r="Y2327" s="108" t="s">
        <v>137</v>
      </c>
      <c r="Z2327" s="26" t="s">
        <v>146</v>
      </c>
      <c r="AA2327" s="98"/>
      <c r="AB2327" s="108" t="s">
        <v>137</v>
      </c>
      <c r="AC2327" s="26" t="s">
        <v>146</v>
      </c>
      <c r="AD2327" s="98"/>
      <c r="AE2327" s="108" t="s">
        <v>137</v>
      </c>
      <c r="AF2327" s="26" t="s">
        <v>146</v>
      </c>
      <c r="AG2327" s="98"/>
      <c r="AH2327" s="108" t="s">
        <v>137</v>
      </c>
      <c r="AI2327" s="26" t="s">
        <v>146</v>
      </c>
      <c r="AJ2327" s="98"/>
      <c r="AK2327" s="108" t="s">
        <v>137</v>
      </c>
      <c r="AL2327" s="26" t="s">
        <v>146</v>
      </c>
      <c r="AM2327" s="98"/>
      <c r="AN2327" s="108" t="s">
        <v>137</v>
      </c>
      <c r="AO2327" s="26" t="s">
        <v>146</v>
      </c>
      <c r="AP2327" s="98"/>
      <c r="AQ2327" s="108" t="s">
        <v>137</v>
      </c>
      <c r="AR2327" s="26" t="s">
        <v>146</v>
      </c>
      <c r="AS2327" s="98"/>
      <c r="AT2327" s="108" t="s">
        <v>137</v>
      </c>
      <c r="AU2327" s="26" t="s">
        <v>146</v>
      </c>
    </row>
    <row r="2328" spans="15:47" ht="13.8" x14ac:dyDescent="0.25">
      <c r="O2328" s="20" t="s">
        <v>136</v>
      </c>
      <c r="P2328" s="1"/>
      <c r="Q2328" s="1"/>
      <c r="R2328" s="96">
        <f>R2314*1.02</f>
        <v>8198.1305993673941</v>
      </c>
      <c r="S2328" s="109" t="s">
        <v>144</v>
      </c>
      <c r="T2328" s="23" t="s">
        <v>147</v>
      </c>
      <c r="U2328" s="96">
        <f ca="1">U2314*1.01</f>
        <v>59871.925384687456</v>
      </c>
      <c r="V2328" s="109" t="s">
        <v>144</v>
      </c>
      <c r="W2328" s="23" t="s">
        <v>147</v>
      </c>
      <c r="X2328" s="96">
        <f ca="1">X2314*1.01</f>
        <v>146604.35279106157</v>
      </c>
      <c r="Y2328" s="109" t="s">
        <v>144</v>
      </c>
      <c r="Z2328" s="23" t="s">
        <v>147</v>
      </c>
      <c r="AA2328" s="96">
        <f ca="1">AA2314*1.01</f>
        <v>285547.8591483616</v>
      </c>
      <c r="AB2328" s="109" t="s">
        <v>144</v>
      </c>
      <c r="AC2328" s="23" t="s">
        <v>147</v>
      </c>
      <c r="AD2328" s="96">
        <f ca="1">AD2314*1.01</f>
        <v>479060.47984066745</v>
      </c>
      <c r="AE2328" s="109" t="s">
        <v>144</v>
      </c>
      <c r="AF2328" s="23" t="s">
        <v>147</v>
      </c>
      <c r="AG2328" s="96">
        <f ca="1">AG2314*1.01</f>
        <v>699201.81808660028</v>
      </c>
      <c r="AH2328" s="109" t="s">
        <v>144</v>
      </c>
      <c r="AI2328" s="23" t="s">
        <v>147</v>
      </c>
      <c r="AJ2328" s="96">
        <f ca="1">AJ2314*1.01</f>
        <v>933087.53673942573</v>
      </c>
      <c r="AK2328" s="109" t="s">
        <v>144</v>
      </c>
      <c r="AL2328" s="23" t="s">
        <v>147</v>
      </c>
      <c r="AM2328" s="96">
        <f ca="1">AM2314*1.01</f>
        <v>1138544.11872903</v>
      </c>
      <c r="AN2328" s="109" t="s">
        <v>144</v>
      </c>
      <c r="AO2328" s="23" t="s">
        <v>147</v>
      </c>
      <c r="AP2328" s="96">
        <f ca="1">AP2314*1.01</f>
        <v>1321814.3761634978</v>
      </c>
      <c r="AQ2328" s="109" t="s">
        <v>144</v>
      </c>
      <c r="AR2328" s="23" t="s">
        <v>147</v>
      </c>
      <c r="AS2328" s="96">
        <f ca="1">AS2314*1.01</f>
        <v>1549931.3100424581</v>
      </c>
      <c r="AT2328" s="109" t="s">
        <v>144</v>
      </c>
      <c r="AU2328" s="23" t="s">
        <v>147</v>
      </c>
    </row>
    <row r="2329" spans="15:47" x14ac:dyDescent="0.25">
      <c r="O2329" s="1"/>
      <c r="P2329" s="1"/>
      <c r="Q2329" s="1"/>
      <c r="R2329" s="98"/>
      <c r="S2329" s="107"/>
      <c r="T2329" s="1"/>
      <c r="U2329" s="47"/>
      <c r="V2329" s="107"/>
      <c r="W2329" s="1"/>
      <c r="X2329" s="47"/>
      <c r="Y2329" s="107"/>
      <c r="Z2329" s="1"/>
      <c r="AA2329" s="47"/>
      <c r="AB2329" s="107"/>
      <c r="AC2329" s="1"/>
      <c r="AD2329" s="47"/>
      <c r="AE2329" s="107"/>
      <c r="AF2329" s="1"/>
      <c r="AG2329" s="47"/>
      <c r="AH2329" s="107"/>
      <c r="AI2329" s="1"/>
      <c r="AJ2329" s="47"/>
      <c r="AK2329" s="107"/>
      <c r="AL2329" s="1"/>
      <c r="AM2329" s="47"/>
      <c r="AN2329" s="107"/>
      <c r="AO2329" s="1"/>
      <c r="AP2329" s="47"/>
      <c r="AQ2329" s="107"/>
      <c r="AR2329" s="1"/>
      <c r="AS2329" s="47"/>
      <c r="AT2329" s="107"/>
      <c r="AU2329" s="1"/>
    </row>
    <row r="2330" spans="15:47" x14ac:dyDescent="0.25">
      <c r="O2330" s="8" t="s">
        <v>132</v>
      </c>
      <c r="P2330" s="8"/>
      <c r="Q2330" s="8"/>
      <c r="R2330" s="96">
        <f>P_1_minQ-(R2328^2*R_up)+dpup_minQ</f>
        <v>90.17279089373551</v>
      </c>
      <c r="S2330" s="106"/>
      <c r="T2330" s="22"/>
      <c r="U2330" s="96">
        <f ca="1">P_1_minQ-(U2328^2*R_up)+dpup_minQ</f>
        <v>89.531699419817016</v>
      </c>
      <c r="V2330" s="107"/>
      <c r="W2330" s="1"/>
      <c r="X2330" s="96">
        <f ca="1">P_1_minQ-(X2328^2*R_up)+dpup_minQ</f>
        <v>86.267736609706773</v>
      </c>
      <c r="Y2330" s="107"/>
      <c r="Z2330" s="1"/>
      <c r="AA2330" s="96">
        <f ca="1">P_1_minQ-(AA2328^2*R_up)+dpup_minQ</f>
        <v>75.323926927072506</v>
      </c>
      <c r="AB2330" s="107"/>
      <c r="AC2330" s="1"/>
      <c r="AD2330" s="96">
        <f ca="1">P_1_minQ-(AD2328^2*R_up)+dpup_minQ</f>
        <v>48.356353996477409</v>
      </c>
      <c r="AE2330" s="107"/>
      <c r="AF2330" s="1"/>
      <c r="AG2330" s="96">
        <f ca="1">P_1_minQ-(AG2328^2*R_up)+dpup_minQ</f>
        <v>1.0807462322981951</v>
      </c>
      <c r="AH2330" s="107"/>
      <c r="AI2330" s="1"/>
      <c r="AJ2330" s="96">
        <f ca="1">P_1_minQ-(AJ2328^2*R_up)+dpup_minQ</f>
        <v>-68.500850342190546</v>
      </c>
      <c r="AK2330" s="107"/>
      <c r="AL2330" s="1"/>
      <c r="AM2330" s="96">
        <f ca="1">P_1_minQ-(AM2328^2*R_up)+dpup_minQ</f>
        <v>-146.07662742186761</v>
      </c>
      <c r="AN2330" s="107"/>
      <c r="AO2330" s="1"/>
      <c r="AP2330" s="96">
        <f ca="1">P_1_minQ-(AP2328^2*R_up)+dpup_minQ</f>
        <v>-228.25999235375684</v>
      </c>
      <c r="AQ2330" s="107"/>
      <c r="AR2330" s="1"/>
      <c r="AS2330" s="96">
        <f ca="1">P_1_minQ-(AS2328^2*R_up)+dpup_minQ</f>
        <v>-347.65798905814603</v>
      </c>
      <c r="AT2330" s="107"/>
      <c r="AU2330" s="1"/>
    </row>
    <row r="2331" spans="15:47" x14ac:dyDescent="0.25">
      <c r="O2331" s="8" t="s">
        <v>134</v>
      </c>
      <c r="P2331" s="1"/>
      <c r="Q2331" s="8"/>
      <c r="R2331" s="97">
        <f>P_2_minQ+(R2328^2*R_dn)-dpdn_minQ</f>
        <v>60</v>
      </c>
      <c r="S2331" s="106"/>
      <c r="T2331" s="22"/>
      <c r="U2331" s="97">
        <f ca="1">P_2_minQ+(U2328^2*R_dn)-dpdn_minQ</f>
        <v>60</v>
      </c>
      <c r="V2331" s="107"/>
      <c r="W2331" s="1"/>
      <c r="X2331" s="97">
        <f ca="1">P_2_minQ+(X2328^2*R_dn)-dpdn_minQ</f>
        <v>60</v>
      </c>
      <c r="Y2331" s="107"/>
      <c r="Z2331" s="1"/>
      <c r="AA2331" s="97">
        <f ca="1">P_2_minQ+(AA2328^2*R_dn)-dpdn_minQ</f>
        <v>60</v>
      </c>
      <c r="AB2331" s="107"/>
      <c r="AC2331" s="1"/>
      <c r="AD2331" s="97">
        <f ca="1">P_2_minQ+(AD2328^2*R_dn)-dpdn_minQ</f>
        <v>60</v>
      </c>
      <c r="AE2331" s="107"/>
      <c r="AF2331" s="1"/>
      <c r="AG2331" s="97">
        <f ca="1">P_2_minQ+(AG2328^2*R_dn)-dpdn_minQ</f>
        <v>60</v>
      </c>
      <c r="AH2331" s="107"/>
      <c r="AI2331" s="1"/>
      <c r="AJ2331" s="97">
        <f ca="1">P_2_minQ+(AJ2328^2*R_dn)-dpdn_minQ</f>
        <v>60</v>
      </c>
      <c r="AK2331" s="107"/>
      <c r="AL2331" s="1"/>
      <c r="AM2331" s="97">
        <f ca="1">P_2_minQ+(AM2328^2*R_dn)-dpdn_minQ</f>
        <v>60</v>
      </c>
      <c r="AN2331" s="107"/>
      <c r="AO2331" s="1"/>
      <c r="AP2331" s="97">
        <f ca="1">P_2_minQ+(AP2328^2*R_dn)-dpdn_minQ</f>
        <v>60</v>
      </c>
      <c r="AQ2331" s="107"/>
      <c r="AR2331" s="1"/>
      <c r="AS2331" s="97">
        <f ca="1">P_2_minQ+(AS2328^2*R_dn)-dpdn_minQ</f>
        <v>60</v>
      </c>
      <c r="AT2331" s="107"/>
      <c r="AU2331" s="1"/>
    </row>
    <row r="2332" spans="15:47" x14ac:dyDescent="0.25">
      <c r="O2332" s="8" t="s">
        <v>138</v>
      </c>
      <c r="P2332" s="1"/>
      <c r="Q2332" s="8"/>
      <c r="R2332" s="97">
        <f>R2330-R2331</f>
        <v>30.17279089373551</v>
      </c>
      <c r="S2332" s="106"/>
      <c r="T2332" s="22"/>
      <c r="U2332" s="97">
        <f ca="1">U2330-U2331</f>
        <v>29.531699419817016</v>
      </c>
      <c r="V2332" s="110"/>
      <c r="W2332" s="25"/>
      <c r="X2332" s="97">
        <f ca="1">X2330-X2331</f>
        <v>26.267736609706773</v>
      </c>
      <c r="Y2332" s="110"/>
      <c r="Z2332" s="25"/>
      <c r="AA2332" s="97">
        <f ca="1">AA2330-AA2331</f>
        <v>15.323926927072506</v>
      </c>
      <c r="AB2332" s="110"/>
      <c r="AC2332" s="25"/>
      <c r="AD2332" s="97">
        <f ca="1">AD2330-AD2331</f>
        <v>-11.643646003522591</v>
      </c>
      <c r="AE2332" s="110"/>
      <c r="AF2332" s="25"/>
      <c r="AG2332" s="97">
        <f ca="1">AG2330-AG2331</f>
        <v>-58.919253767701804</v>
      </c>
      <c r="AH2332" s="110"/>
      <c r="AI2332" s="25"/>
      <c r="AJ2332" s="97">
        <f ca="1">AJ2330-AJ2331</f>
        <v>-128.50085034219055</v>
      </c>
      <c r="AK2332" s="110"/>
      <c r="AL2332" s="25"/>
      <c r="AM2332" s="97">
        <f ca="1">AM2330-AM2331</f>
        <v>-206.07662742186761</v>
      </c>
      <c r="AN2332" s="110"/>
      <c r="AO2332" s="25"/>
      <c r="AP2332" s="97">
        <f ca="1">AP2330-AP2331</f>
        <v>-288.25999235375684</v>
      </c>
      <c r="AQ2332" s="110"/>
      <c r="AR2332" s="25"/>
      <c r="AS2332" s="97">
        <f ca="1">AS2330-AS2331</f>
        <v>-407.65798905814603</v>
      </c>
      <c r="AT2332" s="110"/>
      <c r="AU2332" s="25"/>
    </row>
    <row r="2333" spans="15:47" ht="14.4" x14ac:dyDescent="0.3">
      <c r="O2333" s="2" t="s">
        <v>140</v>
      </c>
      <c r="P2333" s="11"/>
      <c r="Q2333" s="2"/>
      <c r="R2333" s="96">
        <f>R2332/R2330</f>
        <v>0.33461081324734371</v>
      </c>
      <c r="S2333" s="106"/>
      <c r="T2333" s="22"/>
      <c r="U2333" s="96">
        <f ca="1">U2332/U2330</f>
        <v>0.3298462959062346</v>
      </c>
      <c r="V2333" s="111"/>
      <c r="W2333" s="28"/>
      <c r="X2333" s="96">
        <f ca="1">X2332/X2330</f>
        <v>0.30449085187603209</v>
      </c>
      <c r="Y2333" s="111"/>
      <c r="Z2333" s="28"/>
      <c r="AA2333" s="96">
        <f ca="1">AA2332/AA2330</f>
        <v>0.20344036154552725</v>
      </c>
      <c r="AB2333" s="111"/>
      <c r="AC2333" s="28"/>
      <c r="AD2333" s="96">
        <f ca="1">AD2332/AD2330</f>
        <v>-0.24078833578666392</v>
      </c>
      <c r="AE2333" s="111"/>
      <c r="AF2333" s="28"/>
      <c r="AG2333" s="96">
        <f ca="1">AG2332/AG2330</f>
        <v>-54.517195625480603</v>
      </c>
      <c r="AH2333" s="111"/>
      <c r="AI2333" s="28"/>
      <c r="AJ2333" s="96">
        <f ca="1">AJ2332/AJ2330</f>
        <v>1.8759015355324025</v>
      </c>
      <c r="AK2333" s="111"/>
      <c r="AL2333" s="28"/>
      <c r="AM2333" s="96">
        <f ca="1">AM2332/AM2330</f>
        <v>1.4107433273820096</v>
      </c>
      <c r="AN2333" s="111"/>
      <c r="AO2333" s="28"/>
      <c r="AP2333" s="96">
        <f ca="1">AP2332/AP2330</f>
        <v>1.2628581530267122</v>
      </c>
      <c r="AQ2333" s="111"/>
      <c r="AR2333" s="28"/>
      <c r="AS2333" s="96">
        <f ca="1">AS2332/AS2330</f>
        <v>1.172583406360223</v>
      </c>
      <c r="AT2333" s="111"/>
      <c r="AU2333" s="28"/>
    </row>
    <row r="2334" spans="15:47" x14ac:dyDescent="0.25">
      <c r="O2334" s="2" t="s">
        <v>21</v>
      </c>
      <c r="P2334" s="8">
        <v>12</v>
      </c>
      <c r="Q2334" s="2"/>
      <c r="R2334" s="96">
        <f ca="1">1-R2333/(3*F_GAMMA*R$29)</f>
        <v>0.82573162123196342</v>
      </c>
      <c r="S2334" s="106"/>
      <c r="T2334" s="22"/>
      <c r="U2334" s="96">
        <f ca="1">1-U2333/(3*F_GAMMA*U$29)</f>
        <v>0.82825293423492519</v>
      </c>
      <c r="V2334" s="111"/>
      <c r="W2334" s="28"/>
      <c r="X2334" s="96">
        <f ca="1">1-X2333/(3*F_GAMMA*X$29)</f>
        <v>0.83994519706263659</v>
      </c>
      <c r="Y2334" s="111"/>
      <c r="Z2334" s="28"/>
      <c r="AA2334" s="96">
        <f ca="1">1-AA2333/(3*F_GAMMA*AA$29)</f>
        <v>0.89155471226791427</v>
      </c>
      <c r="AB2334" s="111"/>
      <c r="AC2334" s="28"/>
      <c r="AD2334" s="96">
        <f ca="1">1-AD2333/(3*F_GAMMA*AD$29)</f>
        <v>1.1323346735260895</v>
      </c>
      <c r="AE2334" s="111"/>
      <c r="AF2334" s="28"/>
      <c r="AG2334" s="96">
        <f ca="1">1-AG2333/(3*F_GAMMA*AG$29)</f>
        <v>32.759971880823322</v>
      </c>
      <c r="AH2334" s="111"/>
      <c r="AI2334" s="28"/>
      <c r="AJ2334" s="96">
        <f ca="1">1-AJ2333/(3*F_GAMMA*AJ$29)</f>
        <v>-0.17574637763522527</v>
      </c>
      <c r="AK2334" s="111"/>
      <c r="AL2334" s="28"/>
      <c r="AM2334" s="96">
        <f ca="1">1-AM2333/(3*F_GAMMA*AM$29)</f>
        <v>1.138899816670047E-2</v>
      </c>
      <c r="AN2334" s="111"/>
      <c r="AO2334" s="28"/>
      <c r="AP2334" s="96">
        <f ca="1">1-AP2333/(3*F_GAMMA*AP$29)</f>
        <v>0.28717514559773483</v>
      </c>
      <c r="AQ2334" s="111"/>
      <c r="AR2334" s="28"/>
      <c r="AS2334" s="96">
        <f ca="1">1-AS2333/(3*F_GAMMA*AS$29)</f>
        <v>-3.7620275878276432E-2</v>
      </c>
      <c r="AT2334" s="111"/>
      <c r="AU2334" s="28"/>
    </row>
    <row r="2335" spans="15:47" x14ac:dyDescent="0.25">
      <c r="O2335" s="2" t="s">
        <v>57</v>
      </c>
      <c r="P2335" s="143">
        <v>7</v>
      </c>
      <c r="Q2335" s="2"/>
      <c r="R2335" s="96">
        <f ca="1">(R2328/(N_9*R$27*R2330*R2334))*SQRT(M*'Valve Sizing'!$W$6*'Valve Sizing'!$G$8/R2333)</f>
        <v>3.3114366670629063</v>
      </c>
      <c r="S2335" s="107"/>
      <c r="T2335" s="22"/>
      <c r="U2335" s="96">
        <f ca="1">(U2328/(N_9*U$27*U2330*U2334))*SQRT(M*'Valve Sizing'!$W$6*'Valve Sizing'!$G$8/U2333)</f>
        <v>24.473636531817334</v>
      </c>
      <c r="V2335" s="111"/>
      <c r="W2335" s="28"/>
      <c r="X2335" s="96">
        <f ca="1">(X2328/(N_9*X$27*X2330*X2334))*SQRT(M*'Valve Sizing'!$W$6*'Valve Sizing'!$G$8/X2333)</f>
        <v>63.977885725629093</v>
      </c>
      <c r="Y2335" s="111"/>
      <c r="Z2335" s="28"/>
      <c r="AA2335" s="96">
        <f ca="1">(AA2328/(N_9*AA$27*AA2330*AA2334))*SQRT(M*'Valve Sizing'!$W$6*'Valve Sizing'!$G$8/AA2333)</f>
        <v>165.46971274360513</v>
      </c>
      <c r="AB2335" s="111"/>
      <c r="AC2335" s="28"/>
      <c r="AD2335" s="96" t="e">
        <f ca="1">(AD2328/(N_9*AD$27*AD2330*AD2334))*SQRT(M*'Valve Sizing'!$W$6*'Valve Sizing'!$G$8/AD2333)</f>
        <v>#NUM!</v>
      </c>
      <c r="AE2335" s="111"/>
      <c r="AF2335" s="28"/>
      <c r="AG2335" s="96" t="e">
        <f ca="1">(AG2328/(N_9*AG$27*AG2330*AG2334))*SQRT(M*'Valve Sizing'!$W$6*'Valve Sizing'!$G$8/AG2333)</f>
        <v>#NUM!</v>
      </c>
      <c r="AH2335" s="111"/>
      <c r="AI2335" s="28"/>
      <c r="AJ2335" s="96">
        <f ca="1">(AJ2328/(N_9*AJ$27*AJ2330*AJ2334))*SQRT(M*'Valve Sizing'!$W$6*'Valve Sizing'!$G$8/AJ2333)</f>
        <v>1065.3919300599907</v>
      </c>
      <c r="AK2335" s="111"/>
      <c r="AL2335" s="28"/>
      <c r="AM2335" s="96">
        <f ca="1">(AM2328/(N_9*AM$27*AM2330*AM2334))*SQRT(M*'Valve Sizing'!$W$6*'Valve Sizing'!$G$8/AM2333)</f>
        <v>-11509.399807249723</v>
      </c>
      <c r="AN2335" s="111"/>
      <c r="AO2335" s="28"/>
      <c r="AP2335" s="96">
        <f ca="1">(AP2328/(N_9*AP$27*AP2330*AP2334))*SQRT(M*'Valve Sizing'!$W$6*'Valve Sizing'!$G$8/AP2333)</f>
        <v>-407.96797571696681</v>
      </c>
      <c r="AQ2335" s="111"/>
      <c r="AR2335" s="28"/>
      <c r="AS2335" s="96">
        <f ca="1">(AS2328/(N_9*AS$27*AS2330*AS2334))*SQRT(M*'Valve Sizing'!$W$6*'Valve Sizing'!$G$8/AS2333)</f>
        <v>3332.5981321960926</v>
      </c>
      <c r="AT2335" s="111"/>
      <c r="AU2335" s="28"/>
    </row>
    <row r="2336" spans="15:47" x14ac:dyDescent="0.25">
      <c r="O2336" s="2" t="s">
        <v>59</v>
      </c>
      <c r="P2336" s="143">
        <v>7</v>
      </c>
      <c r="Q2336" s="2"/>
      <c r="R2336" s="96">
        <f ca="1">(R2328/(N_9*R$27*R2330*0.667))*SQRT(M*'Valve Sizing'!$W$6*'Valve Sizing'!$G$8/R2337)</f>
        <v>2.9641450939740861</v>
      </c>
      <c r="S2336" s="107"/>
      <c r="T2336" s="22"/>
      <c r="U2336" s="96">
        <f ca="1">(U2328/(N_9*U$27*U2330*0.667))*SQRT(M*'Valve Sizing'!$W$6*'Valve Sizing'!$G$8/U2337)</f>
        <v>21.814283122541401</v>
      </c>
      <c r="V2336" s="111"/>
      <c r="W2336" s="28"/>
      <c r="X2336" s="96">
        <f ca="1">(X2328/(N_9*X$27*X2330*0.667))*SQRT(M*'Valve Sizing'!$W$6*'Valve Sizing'!$G$8/X2337)</f>
        <v>55.827731857784649</v>
      </c>
      <c r="Y2336" s="111"/>
      <c r="Z2336" s="28"/>
      <c r="AA2336" s="96">
        <f ca="1">(AA2328/(N_9*AA$27*AA2330*0.667))*SQRT(M*'Valve Sizing'!$W$6*'Valve Sizing'!$G$8/AA2337)</f>
        <v>126.15563353267481</v>
      </c>
      <c r="AB2336" s="111"/>
      <c r="AC2336" s="28"/>
      <c r="AD2336" s="96">
        <f ca="1">(AD2328/(N_9*AD$27*AD2330*0.667))*SQRT(M*'Valve Sizing'!$W$6*'Valve Sizing'!$G$8/AD2337)</f>
        <v>338.90401899082485</v>
      </c>
      <c r="AE2336" s="111"/>
      <c r="AF2336" s="28"/>
      <c r="AG2336" s="96">
        <f ca="1">(AG2328/(N_9*AG$27*AG2330*0.667))*SQRT(M*'Valve Sizing'!$W$6*'Valve Sizing'!$G$8/AG2337)</f>
        <v>23299.052108311389</v>
      </c>
      <c r="AH2336" s="111"/>
      <c r="AI2336" s="28"/>
      <c r="AJ2336" s="96">
        <f ca="1">(AJ2328/(N_9*AJ$27*AJ2330*0.667))*SQRT(M*'Valve Sizing'!$W$6*'Valve Sizing'!$G$8/AJ2337)</f>
        <v>-527.21456946550268</v>
      </c>
      <c r="AK2336" s="111"/>
      <c r="AL2336" s="28"/>
      <c r="AM2336" s="96">
        <f ca="1">(AM2328/(N_9*AM$27*AM2330*0.667))*SQRT(M*'Valve Sizing'!$W$6*'Valve Sizing'!$G$8/AM2337)</f>
        <v>-338.4431376830002</v>
      </c>
      <c r="AN2336" s="111"/>
      <c r="AO2336" s="28"/>
      <c r="AP2336" s="96">
        <f ca="1">(AP2328/(N_9*AP$27*AP2330*0.667))*SQRT(M*'Valve Sizing'!$W$6*'Valve Sizing'!$G$8/AP2337)</f>
        <v>-256.86157073632478</v>
      </c>
      <c r="AQ2336" s="111"/>
      <c r="AR2336" s="28"/>
      <c r="AS2336" s="96">
        <f ca="1">(AS2328/(N_9*AS$27*AS2330*0.667))*SQRT(M*'Valve Sizing'!$W$6*'Valve Sizing'!$G$8/AS2337)</f>
        <v>-331.63391725560751</v>
      </c>
      <c r="AT2336" s="111"/>
      <c r="AU2336" s="28"/>
    </row>
    <row r="2337" spans="15:47" ht="15.6" x14ac:dyDescent="0.35">
      <c r="O2337" s="2" t="s">
        <v>68</v>
      </c>
      <c r="P2337" s="143">
        <v>10</v>
      </c>
      <c r="Q2337" s="2"/>
      <c r="R2337" s="96">
        <f ca="1">F_GAMMA*R$29</f>
        <v>0.64002969751372984</v>
      </c>
      <c r="S2337" s="107"/>
      <c r="T2337" s="1"/>
      <c r="U2337" s="96">
        <f ca="1">F_GAMMA*U$29</f>
        <v>0.64017842058782071</v>
      </c>
      <c r="V2337" s="111"/>
      <c r="W2337" s="28"/>
      <c r="X2337" s="96">
        <f ca="1">F_GAMMA*X$29</f>
        <v>0.63413873724904268</v>
      </c>
      <c r="Y2337" s="111"/>
      <c r="Z2337" s="28"/>
      <c r="AA2337" s="96">
        <f ca="1">F_GAMMA*AA$29</f>
        <v>0.62532411750377137</v>
      </c>
      <c r="AB2337" s="111"/>
      <c r="AC2337" s="28"/>
      <c r="AD2337" s="96">
        <f ca="1">F_GAMMA*AD$29</f>
        <v>0.60651359509139569</v>
      </c>
      <c r="AE2337" s="111"/>
      <c r="AF2337" s="28"/>
      <c r="AG2337" s="96">
        <f ca="1">F_GAMMA*AG$29</f>
        <v>0.57217930198481592</v>
      </c>
      <c r="AH2337" s="111"/>
      <c r="AI2337" s="28"/>
      <c r="AJ2337" s="96">
        <f ca="1">F_GAMMA*AJ$29</f>
        <v>0.53183282018848232</v>
      </c>
      <c r="AK2337" s="111"/>
      <c r="AL2337" s="28"/>
      <c r="AM2337" s="96">
        <f ca="1">F_GAMMA*AM$29</f>
        <v>0.47566512503094399</v>
      </c>
      <c r="AN2337" s="111"/>
      <c r="AO2337" s="28"/>
      <c r="AP2337" s="96">
        <f ca="1">F_GAMMA*AP$29</f>
        <v>0.59054158265645496</v>
      </c>
      <c r="AQ2337" s="111"/>
      <c r="AR2337" s="28"/>
      <c r="AS2337" s="96">
        <f ca="1">F_GAMMA*AS$29</f>
        <v>0.3766899554102966</v>
      </c>
      <c r="AT2337" s="111"/>
      <c r="AU2337" s="28"/>
    </row>
    <row r="2338" spans="15:47" x14ac:dyDescent="0.25">
      <c r="O2338" s="2" t="s">
        <v>145</v>
      </c>
      <c r="P2338" s="12"/>
      <c r="Q2338" s="2"/>
      <c r="R2338" s="96">
        <f ca="1">IF(R2333&lt;R2337,R2335,R2336)</f>
        <v>3.3114366670629063</v>
      </c>
      <c r="S2338" s="116"/>
      <c r="T2338" s="1"/>
      <c r="U2338" s="96">
        <f ca="1">IF(U2333&lt;U2337,U2335,U2336)</f>
        <v>24.473636531817334</v>
      </c>
      <c r="V2338" s="111"/>
      <c r="W2338" s="28"/>
      <c r="X2338" s="96">
        <f ca="1">IF(X2333&lt;X2337,X2335,X2336)</f>
        <v>63.977885725629093</v>
      </c>
      <c r="Y2338" s="111"/>
      <c r="Z2338" s="28"/>
      <c r="AA2338" s="96">
        <f ca="1">IF(AA2333&lt;AA2337,AA2335,AA2336)</f>
        <v>165.46971274360513</v>
      </c>
      <c r="AB2338" s="111"/>
      <c r="AC2338" s="28"/>
      <c r="AD2338" s="96" t="e">
        <f ca="1">IF(AD2333&lt;AD2337,AD2335,AD2336)</f>
        <v>#NUM!</v>
      </c>
      <c r="AE2338" s="111"/>
      <c r="AF2338" s="28"/>
      <c r="AG2338" s="96" t="e">
        <f ca="1">IF(AG2333&lt;AG2337,AG2335,AG2336)</f>
        <v>#NUM!</v>
      </c>
      <c r="AH2338" s="111"/>
      <c r="AI2338" s="28"/>
      <c r="AJ2338" s="96">
        <f ca="1">IF(AJ2333&lt;AJ2337,AJ2335,AJ2336)</f>
        <v>-527.21456946550268</v>
      </c>
      <c r="AK2338" s="111"/>
      <c r="AL2338" s="28"/>
      <c r="AM2338" s="96">
        <f ca="1">IF(AM2333&lt;AM2337,AM2335,AM2336)</f>
        <v>-338.4431376830002</v>
      </c>
      <c r="AN2338" s="111"/>
      <c r="AO2338" s="28"/>
      <c r="AP2338" s="96">
        <f ca="1">IF(AP2333&lt;AP2337,AP2335,AP2336)</f>
        <v>-256.86157073632478</v>
      </c>
      <c r="AQ2338" s="111"/>
      <c r="AR2338" s="28"/>
      <c r="AS2338" s="96">
        <f ca="1">IF(AS2333&lt;AS2337,AS2335,AS2336)</f>
        <v>-331.63391725560751</v>
      </c>
      <c r="AT2338" s="111"/>
      <c r="AU2338" s="28"/>
    </row>
    <row r="2339" spans="15:47" x14ac:dyDescent="0.25">
      <c r="O2339" s="13" t="s">
        <v>143</v>
      </c>
      <c r="P2339" s="1"/>
      <c r="Q2339" s="1"/>
      <c r="R2339" s="113"/>
      <c r="S2339" s="106">
        <f ca="1">IF(R2332&lt;=0,Q_max,ABS(R$23-R2338))</f>
        <v>1.4185633329370941</v>
      </c>
      <c r="T2339" s="7">
        <f>R2328</f>
        <v>8198.1305993673941</v>
      </c>
      <c r="U2339" s="98"/>
      <c r="V2339" s="106">
        <f ca="1">IF(U2332&lt;=0,Q_max,ABS(U$23-U2338))</f>
        <v>12.873636531817334</v>
      </c>
      <c r="W2339" s="9">
        <f ca="1">U2328</f>
        <v>59871.925384687456</v>
      </c>
      <c r="X2339" s="98"/>
      <c r="Y2339" s="106">
        <f ca="1">IF(X2332&lt;=0,Q_max,ABS(X$23-X2338))</f>
        <v>40.977885725629093</v>
      </c>
      <c r="Z2339" s="9">
        <f ca="1">X2328</f>
        <v>146604.35279106157</v>
      </c>
      <c r="AA2339" s="98"/>
      <c r="AB2339" s="106">
        <f ca="1">IF(AA2332&lt;=0,Q_max,ABS(AA$23-AA2338))</f>
        <v>126.06971274360512</v>
      </c>
      <c r="AC2339" s="9">
        <f ca="1">AA2328</f>
        <v>285547.8591483616</v>
      </c>
      <c r="AD2339" s="98"/>
      <c r="AE2339" s="106">
        <f ca="1">IF(AD2332&lt;=0,Q_max,ABS(AD$23-AD2338))</f>
        <v>236393</v>
      </c>
      <c r="AF2339" s="9">
        <f ca="1">AD2328</f>
        <v>479060.47984066745</v>
      </c>
      <c r="AG2339" s="98"/>
      <c r="AH2339" s="106">
        <f ca="1">IF(AG2332&lt;=0,Q_max,ABS(AG$23-AG2338))</f>
        <v>236393</v>
      </c>
      <c r="AI2339" s="9">
        <f ca="1">AG2328</f>
        <v>699201.81808660028</v>
      </c>
      <c r="AJ2339" s="98"/>
      <c r="AK2339" s="106">
        <f ca="1">IF(AJ2332&lt;=0,Q_max,ABS(AJ$23-AJ2338))</f>
        <v>236393</v>
      </c>
      <c r="AL2339" s="9">
        <f ca="1">AJ2328</f>
        <v>933087.53673942573</v>
      </c>
      <c r="AM2339" s="98"/>
      <c r="AN2339" s="106">
        <f ca="1">IF(AM2332&lt;=0,Q_max,ABS(AM$23-AM2338))</f>
        <v>236393</v>
      </c>
      <c r="AO2339" s="9">
        <f ca="1">AM2328</f>
        <v>1138544.11872903</v>
      </c>
      <c r="AP2339" s="98"/>
      <c r="AQ2339" s="106">
        <f ca="1">IF(AP2332&lt;=0,Q_max,ABS(AP$23-AP2338))</f>
        <v>236393</v>
      </c>
      <c r="AR2339" s="9">
        <f ca="1">AP2328</f>
        <v>1321814.3761634978</v>
      </c>
      <c r="AS2339" s="98"/>
      <c r="AT2339" s="106">
        <f ca="1">IF(AS2332&lt;=0,Q_max,ABS(AS$23-AS2338))</f>
        <v>236393</v>
      </c>
      <c r="AU2339" s="9">
        <f ca="1">AS2328</f>
        <v>1549931.3100424581</v>
      </c>
    </row>
    <row r="2340" spans="15:47" x14ac:dyDescent="0.25">
      <c r="O2340" s="21"/>
      <c r="P2340" s="14"/>
      <c r="Q2340" s="21"/>
      <c r="R2340" s="97"/>
      <c r="S2340" s="106"/>
      <c r="T2340" s="28"/>
      <c r="U2340" s="97"/>
      <c r="V2340" s="111"/>
      <c r="W2340" s="28"/>
      <c r="X2340" s="97"/>
      <c r="Y2340" s="111"/>
      <c r="Z2340" s="28"/>
      <c r="AA2340" s="97"/>
      <c r="AB2340" s="111"/>
      <c r="AC2340" s="28"/>
      <c r="AD2340" s="97"/>
      <c r="AE2340" s="111"/>
      <c r="AF2340" s="28"/>
      <c r="AG2340" s="97"/>
      <c r="AH2340" s="111"/>
      <c r="AI2340" s="28"/>
      <c r="AJ2340" s="97"/>
      <c r="AK2340" s="111"/>
      <c r="AL2340" s="28"/>
      <c r="AM2340" s="97"/>
      <c r="AN2340" s="111"/>
      <c r="AO2340" s="28"/>
      <c r="AP2340" s="97"/>
      <c r="AQ2340" s="111"/>
      <c r="AR2340" s="28"/>
      <c r="AS2340" s="97"/>
      <c r="AT2340" s="111"/>
      <c r="AU2340" s="28"/>
    </row>
    <row r="2341" spans="15:47" x14ac:dyDescent="0.25">
      <c r="O2341" s="1"/>
      <c r="P2341" s="1"/>
      <c r="Q2341" s="1"/>
      <c r="R2341" s="98"/>
      <c r="S2341" s="108" t="s">
        <v>137</v>
      </c>
      <c r="T2341" s="26" t="s">
        <v>146</v>
      </c>
      <c r="U2341" s="98"/>
      <c r="V2341" s="108" t="s">
        <v>137</v>
      </c>
      <c r="W2341" s="26" t="s">
        <v>146</v>
      </c>
      <c r="X2341" s="98"/>
      <c r="Y2341" s="108" t="s">
        <v>137</v>
      </c>
      <c r="Z2341" s="26" t="s">
        <v>146</v>
      </c>
      <c r="AA2341" s="98"/>
      <c r="AB2341" s="108" t="s">
        <v>137</v>
      </c>
      <c r="AC2341" s="26" t="s">
        <v>146</v>
      </c>
      <c r="AD2341" s="98"/>
      <c r="AE2341" s="108" t="s">
        <v>137</v>
      </c>
      <c r="AF2341" s="26" t="s">
        <v>146</v>
      </c>
      <c r="AG2341" s="98"/>
      <c r="AH2341" s="108" t="s">
        <v>137</v>
      </c>
      <c r="AI2341" s="26" t="s">
        <v>146</v>
      </c>
      <c r="AJ2341" s="98"/>
      <c r="AK2341" s="108" t="s">
        <v>137</v>
      </c>
      <c r="AL2341" s="26" t="s">
        <v>146</v>
      </c>
      <c r="AM2341" s="98"/>
      <c r="AN2341" s="108" t="s">
        <v>137</v>
      </c>
      <c r="AO2341" s="26" t="s">
        <v>146</v>
      </c>
      <c r="AP2341" s="98"/>
      <c r="AQ2341" s="108" t="s">
        <v>137</v>
      </c>
      <c r="AR2341" s="26" t="s">
        <v>146</v>
      </c>
      <c r="AS2341" s="98"/>
      <c r="AT2341" s="108" t="s">
        <v>137</v>
      </c>
      <c r="AU2341" s="26" t="s">
        <v>146</v>
      </c>
    </row>
    <row r="2342" spans="15:47" ht="13.8" x14ac:dyDescent="0.25">
      <c r="O2342" s="20" t="s">
        <v>136</v>
      </c>
      <c r="P2342" s="1"/>
      <c r="Q2342" s="1"/>
      <c r="R2342" s="96">
        <f>R2328*1.02</f>
        <v>8362.0932113547424</v>
      </c>
      <c r="S2342" s="109" t="s">
        <v>144</v>
      </c>
      <c r="T2342" s="23" t="s">
        <v>147</v>
      </c>
      <c r="U2342" s="96">
        <f ca="1">U2328*1.01</f>
        <v>60470.64463853433</v>
      </c>
      <c r="V2342" s="109" t="s">
        <v>144</v>
      </c>
      <c r="W2342" s="23" t="s">
        <v>147</v>
      </c>
      <c r="X2342" s="96">
        <f ca="1">X2328*1.01</f>
        <v>148070.3963189722</v>
      </c>
      <c r="Y2342" s="109" t="s">
        <v>144</v>
      </c>
      <c r="Z2342" s="23" t="s">
        <v>147</v>
      </c>
      <c r="AA2342" s="96">
        <f ca="1">AA2328*1.01</f>
        <v>288403.33773984521</v>
      </c>
      <c r="AB2342" s="109" t="s">
        <v>144</v>
      </c>
      <c r="AC2342" s="23" t="s">
        <v>147</v>
      </c>
      <c r="AD2342" s="96">
        <f ca="1">AD2328*1.01</f>
        <v>483851.08463907411</v>
      </c>
      <c r="AE2342" s="109" t="s">
        <v>144</v>
      </c>
      <c r="AF2342" s="23" t="s">
        <v>147</v>
      </c>
      <c r="AG2342" s="96">
        <f ca="1">AG2328*1.01</f>
        <v>706193.83626746631</v>
      </c>
      <c r="AH2342" s="109" t="s">
        <v>144</v>
      </c>
      <c r="AI2342" s="23" t="s">
        <v>147</v>
      </c>
      <c r="AJ2342" s="96">
        <f ca="1">AJ2328*1.01</f>
        <v>942418.41210682003</v>
      </c>
      <c r="AK2342" s="109" t="s">
        <v>144</v>
      </c>
      <c r="AL2342" s="23" t="s">
        <v>147</v>
      </c>
      <c r="AM2342" s="96">
        <f ca="1">AM2328*1.01</f>
        <v>1149929.5599163203</v>
      </c>
      <c r="AN2342" s="109" t="s">
        <v>144</v>
      </c>
      <c r="AO2342" s="23" t="s">
        <v>147</v>
      </c>
      <c r="AP2342" s="96">
        <f ca="1">AP2328*1.01</f>
        <v>1335032.5199251329</v>
      </c>
      <c r="AQ2342" s="109" t="s">
        <v>144</v>
      </c>
      <c r="AR2342" s="23" t="s">
        <v>147</v>
      </c>
      <c r="AS2342" s="96">
        <f ca="1">AS2328*1.01</f>
        <v>1565430.6231428827</v>
      </c>
      <c r="AT2342" s="109" t="s">
        <v>144</v>
      </c>
      <c r="AU2342" s="23" t="s">
        <v>147</v>
      </c>
    </row>
    <row r="2343" spans="15:47" x14ac:dyDescent="0.25">
      <c r="O2343" s="1"/>
      <c r="P2343" s="1"/>
      <c r="Q2343" s="1"/>
      <c r="R2343" s="98"/>
      <c r="S2343" s="107"/>
      <c r="T2343" s="1"/>
      <c r="U2343" s="47"/>
      <c r="V2343" s="107"/>
      <c r="W2343" s="1"/>
      <c r="X2343" s="47"/>
      <c r="Y2343" s="107"/>
      <c r="Z2343" s="1"/>
      <c r="AA2343" s="47"/>
      <c r="AB2343" s="107"/>
      <c r="AC2343" s="1"/>
      <c r="AD2343" s="47"/>
      <c r="AE2343" s="107"/>
      <c r="AF2343" s="1"/>
      <c r="AG2343" s="47"/>
      <c r="AH2343" s="107"/>
      <c r="AI2343" s="1"/>
      <c r="AJ2343" s="47"/>
      <c r="AK2343" s="107"/>
      <c r="AL2343" s="1"/>
      <c r="AM2343" s="47"/>
      <c r="AN2343" s="107"/>
      <c r="AO2343" s="1"/>
      <c r="AP2343" s="47"/>
      <c r="AQ2343" s="107"/>
      <c r="AR2343" s="1"/>
      <c r="AS2343" s="47"/>
      <c r="AT2343" s="107"/>
      <c r="AU2343" s="1"/>
    </row>
    <row r="2344" spans="15:47" x14ac:dyDescent="0.25">
      <c r="O2344" s="8" t="s">
        <v>132</v>
      </c>
      <c r="P2344" s="8"/>
      <c r="Q2344" s="8"/>
      <c r="R2344" s="96">
        <f>P_1_minQ-(R2342^2*R_up)+dpup_minQ</f>
        <v>90.172296008420105</v>
      </c>
      <c r="S2344" s="106"/>
      <c r="T2344" s="22"/>
      <c r="U2344" s="96">
        <f ca="1">P_1_minQ-(U2342^2*R_up)+dpup_minQ</f>
        <v>89.518567263497204</v>
      </c>
      <c r="V2344" s="107"/>
      <c r="W2344" s="1"/>
      <c r="X2344" s="96">
        <f ca="1">P_1_minQ-(X2342^2*R_up)+dpup_minQ</f>
        <v>86.188998800903732</v>
      </c>
      <c r="Y2344" s="107"/>
      <c r="Z2344" s="1"/>
      <c r="AA2344" s="96">
        <f ca="1">P_1_minQ-(AA2342^2*R_up)+dpup_minQ</f>
        <v>75.025218543648535</v>
      </c>
      <c r="AB2344" s="107"/>
      <c r="AC2344" s="1"/>
      <c r="AD2344" s="96">
        <f ca="1">P_1_minQ-(AD2342^2*R_up)+dpup_minQ</f>
        <v>47.515597397148468</v>
      </c>
      <c r="AE2344" s="107"/>
      <c r="AF2344" s="1"/>
      <c r="AG2344" s="96">
        <f ca="1">P_1_minQ-(AG2342^2*R_up)+dpup_minQ</f>
        <v>-0.71025008309074289</v>
      </c>
      <c r="AH2344" s="107"/>
      <c r="AI2344" s="1"/>
      <c r="AJ2344" s="96">
        <f ca="1">P_1_minQ-(AJ2342^2*R_up)+dpup_minQ</f>
        <v>-71.690436748726739</v>
      </c>
      <c r="AK2344" s="107"/>
      <c r="AL2344" s="1"/>
      <c r="AM2344" s="96">
        <f ca="1">P_1_minQ-(AM2342^2*R_up)+dpup_minQ</f>
        <v>-150.82548694770526</v>
      </c>
      <c r="AN2344" s="107"/>
      <c r="AO2344" s="1"/>
      <c r="AP2344" s="96">
        <f ca="1">P_1_minQ-(AP2342^2*R_up)+dpup_minQ</f>
        <v>-234.66073751472555</v>
      </c>
      <c r="AQ2344" s="107"/>
      <c r="AR2344" s="1"/>
      <c r="AS2344" s="96">
        <f ca="1">P_1_minQ-(AS2342^2*R_up)+dpup_minQ</f>
        <v>-356.45863395287284</v>
      </c>
      <c r="AT2344" s="107"/>
      <c r="AU2344" s="1"/>
    </row>
    <row r="2345" spans="15:47" x14ac:dyDescent="0.25">
      <c r="O2345" s="8" t="s">
        <v>134</v>
      </c>
      <c r="P2345" s="1"/>
      <c r="Q2345" s="8"/>
      <c r="R2345" s="97">
        <f>P_2_minQ+(R2342^2*R_dn)-dpdn_minQ</f>
        <v>60</v>
      </c>
      <c r="S2345" s="106"/>
      <c r="T2345" s="22"/>
      <c r="U2345" s="97">
        <f ca="1">P_2_minQ+(U2342^2*R_dn)-dpdn_minQ</f>
        <v>60</v>
      </c>
      <c r="V2345" s="107"/>
      <c r="W2345" s="1"/>
      <c r="X2345" s="97">
        <f ca="1">P_2_minQ+(X2342^2*R_dn)-dpdn_minQ</f>
        <v>60</v>
      </c>
      <c r="Y2345" s="107"/>
      <c r="Z2345" s="1"/>
      <c r="AA2345" s="97">
        <f ca="1">P_2_minQ+(AA2342^2*R_dn)-dpdn_minQ</f>
        <v>60</v>
      </c>
      <c r="AB2345" s="107"/>
      <c r="AC2345" s="1"/>
      <c r="AD2345" s="97">
        <f ca="1">P_2_minQ+(AD2342^2*R_dn)-dpdn_minQ</f>
        <v>60</v>
      </c>
      <c r="AE2345" s="107"/>
      <c r="AF2345" s="1"/>
      <c r="AG2345" s="97">
        <f ca="1">P_2_minQ+(AG2342^2*R_dn)-dpdn_minQ</f>
        <v>60</v>
      </c>
      <c r="AH2345" s="107"/>
      <c r="AI2345" s="1"/>
      <c r="AJ2345" s="97">
        <f ca="1">P_2_minQ+(AJ2342^2*R_dn)-dpdn_minQ</f>
        <v>60</v>
      </c>
      <c r="AK2345" s="107"/>
      <c r="AL2345" s="1"/>
      <c r="AM2345" s="97">
        <f ca="1">P_2_minQ+(AM2342^2*R_dn)-dpdn_minQ</f>
        <v>60</v>
      </c>
      <c r="AN2345" s="107"/>
      <c r="AO2345" s="1"/>
      <c r="AP2345" s="97">
        <f ca="1">P_2_minQ+(AP2342^2*R_dn)-dpdn_minQ</f>
        <v>60</v>
      </c>
      <c r="AQ2345" s="107"/>
      <c r="AR2345" s="1"/>
      <c r="AS2345" s="97">
        <f ca="1">P_2_minQ+(AS2342^2*R_dn)-dpdn_minQ</f>
        <v>60</v>
      </c>
      <c r="AT2345" s="107"/>
      <c r="AU2345" s="1"/>
    </row>
    <row r="2346" spans="15:47" x14ac:dyDescent="0.25">
      <c r="O2346" s="8" t="s">
        <v>138</v>
      </c>
      <c r="P2346" s="1"/>
      <c r="Q2346" s="8"/>
      <c r="R2346" s="97">
        <f>R2344-R2345</f>
        <v>30.172296008420105</v>
      </c>
      <c r="S2346" s="106"/>
      <c r="T2346" s="22"/>
      <c r="U2346" s="97">
        <f ca="1">U2344-U2345</f>
        <v>29.518567263497204</v>
      </c>
      <c r="V2346" s="110"/>
      <c r="W2346" s="25"/>
      <c r="X2346" s="97">
        <f ca="1">X2344-X2345</f>
        <v>26.188998800903732</v>
      </c>
      <c r="Y2346" s="110"/>
      <c r="Z2346" s="25"/>
      <c r="AA2346" s="97">
        <f ca="1">AA2344-AA2345</f>
        <v>15.025218543648535</v>
      </c>
      <c r="AB2346" s="110"/>
      <c r="AC2346" s="25"/>
      <c r="AD2346" s="97">
        <f ca="1">AD2344-AD2345</f>
        <v>-12.484402602851532</v>
      </c>
      <c r="AE2346" s="110"/>
      <c r="AF2346" s="25"/>
      <c r="AG2346" s="97">
        <f ca="1">AG2344-AG2345</f>
        <v>-60.710250083090742</v>
      </c>
      <c r="AH2346" s="110"/>
      <c r="AI2346" s="25"/>
      <c r="AJ2346" s="97">
        <f ca="1">AJ2344-AJ2345</f>
        <v>-131.69043674872674</v>
      </c>
      <c r="AK2346" s="110"/>
      <c r="AL2346" s="25"/>
      <c r="AM2346" s="97">
        <f ca="1">AM2344-AM2345</f>
        <v>-210.82548694770526</v>
      </c>
      <c r="AN2346" s="110"/>
      <c r="AO2346" s="25"/>
      <c r="AP2346" s="97">
        <f ca="1">AP2344-AP2345</f>
        <v>-294.66073751472555</v>
      </c>
      <c r="AQ2346" s="110"/>
      <c r="AR2346" s="25"/>
      <c r="AS2346" s="97">
        <f ca="1">AS2344-AS2345</f>
        <v>-416.45863395287284</v>
      </c>
      <c r="AT2346" s="110"/>
      <c r="AU2346" s="25"/>
    </row>
    <row r="2347" spans="15:47" ht="14.4" x14ac:dyDescent="0.3">
      <c r="O2347" s="2" t="s">
        <v>140</v>
      </c>
      <c r="P2347" s="11"/>
      <c r="Q2347" s="2"/>
      <c r="R2347" s="96">
        <f>R2346/R2344</f>
        <v>0.33460716144571362</v>
      </c>
      <c r="S2347" s="106"/>
      <c r="T2347" s="22"/>
      <c r="U2347" s="96">
        <f ca="1">U2346/U2344</f>
        <v>0.32974798598607519</v>
      </c>
      <c r="V2347" s="111"/>
      <c r="W2347" s="28"/>
      <c r="X2347" s="96">
        <f ca="1">X2346/X2344</f>
        <v>0.30385547071268598</v>
      </c>
      <c r="Y2347" s="111"/>
      <c r="Z2347" s="28"/>
      <c r="AA2347" s="96">
        <f ca="1">AA2346/AA2344</f>
        <v>0.20026890737955119</v>
      </c>
      <c r="AB2347" s="111"/>
      <c r="AC2347" s="28"/>
      <c r="AD2347" s="96">
        <f ca="1">AD2346/AD2344</f>
        <v>-0.26274325246304808</v>
      </c>
      <c r="AE2347" s="111"/>
      <c r="AF2347" s="28"/>
      <c r="AG2347" s="96">
        <f ca="1">AG2346/AG2344</f>
        <v>85.477286843674023</v>
      </c>
      <c r="AH2347" s="111"/>
      <c r="AI2347" s="28"/>
      <c r="AJ2347" s="96">
        <f ca="1">AJ2346/AJ2344</f>
        <v>1.8369317125281097</v>
      </c>
      <c r="AK2347" s="111"/>
      <c r="AL2347" s="28"/>
      <c r="AM2347" s="96">
        <f ca="1">AM2346/AM2344</f>
        <v>1.3978107494577718</v>
      </c>
      <c r="AN2347" s="111"/>
      <c r="AO2347" s="28"/>
      <c r="AP2347" s="96">
        <f ca="1">AP2346/AP2344</f>
        <v>1.2556882784715311</v>
      </c>
      <c r="AQ2347" s="111"/>
      <c r="AR2347" s="28"/>
      <c r="AS2347" s="96">
        <f ca="1">AS2346/AS2344</f>
        <v>1.1683224763968898</v>
      </c>
      <c r="AT2347" s="111"/>
      <c r="AU2347" s="28"/>
    </row>
    <row r="2348" spans="15:47" x14ac:dyDescent="0.25">
      <c r="O2348" s="2" t="s">
        <v>21</v>
      </c>
      <c r="P2348" s="8">
        <v>12</v>
      </c>
      <c r="Q2348" s="2"/>
      <c r="R2348" s="96">
        <f ca="1">1-R2347/(3*F_GAMMA*R$29)</f>
        <v>0.82573352312372683</v>
      </c>
      <c r="S2348" s="106"/>
      <c r="T2348" s="22"/>
      <c r="U2348" s="96">
        <f ca="1">1-U2347/(3*F_GAMMA*U$29)</f>
        <v>0.8283041230478132</v>
      </c>
      <c r="V2348" s="111"/>
      <c r="W2348" s="28"/>
      <c r="X2348" s="96">
        <f ca="1">1-X2347/(3*F_GAMMA*X$29)</f>
        <v>0.84027918347392905</v>
      </c>
      <c r="Y2348" s="111"/>
      <c r="Z2348" s="28"/>
      <c r="AA2348" s="96">
        <f ca="1">1-AA2347/(3*F_GAMMA*AA$29)</f>
        <v>0.89324527778276874</v>
      </c>
      <c r="AB2348" s="111"/>
      <c r="AC2348" s="28"/>
      <c r="AD2348" s="96">
        <f ca="1">1-AD2347/(3*F_GAMMA*AD$29)</f>
        <v>1.1444008590461221</v>
      </c>
      <c r="AE2348" s="111"/>
      <c r="AF2348" s="28"/>
      <c r="AG2348" s="96">
        <f ca="1">1-AG2347/(3*F_GAMMA*AG$29)</f>
        <v>-48.796329313302309</v>
      </c>
      <c r="AH2348" s="111"/>
      <c r="AI2348" s="28"/>
      <c r="AJ2348" s="96">
        <f ca="1">1-AJ2347/(3*F_GAMMA*AJ$29)</f>
        <v>-0.15132151984471265</v>
      </c>
      <c r="AK2348" s="111"/>
      <c r="AL2348" s="28"/>
      <c r="AM2348" s="96">
        <f ca="1">1-AM2347/(3*F_GAMMA*AM$29)</f>
        <v>2.0451801137170156E-2</v>
      </c>
      <c r="AN2348" s="111"/>
      <c r="AO2348" s="28"/>
      <c r="AP2348" s="96">
        <f ca="1">1-AP2347/(3*F_GAMMA*AP$29)</f>
        <v>0.29122220723615411</v>
      </c>
      <c r="AQ2348" s="111"/>
      <c r="AR2348" s="28"/>
      <c r="AS2348" s="96">
        <f ca="1">1-AS2347/(3*F_GAMMA*AS$29)</f>
        <v>-3.3849774521980125E-2</v>
      </c>
      <c r="AT2348" s="111"/>
      <c r="AU2348" s="28"/>
    </row>
    <row r="2349" spans="15:47" x14ac:dyDescent="0.25">
      <c r="O2349" s="2" t="s">
        <v>57</v>
      </c>
      <c r="P2349" s="143">
        <v>7</v>
      </c>
      <c r="Q2349" s="2"/>
      <c r="R2349" s="96">
        <f ca="1">(R2342/(N_9*R$27*R2344*R2348))*SQRT(M*'Valve Sizing'!$W$6*'Valve Sizing'!$G$8/R2347)</f>
        <v>3.377694589454411</v>
      </c>
      <c r="S2349" s="107"/>
      <c r="T2349" s="22"/>
      <c r="U2349" s="96">
        <f ca="1">(U2342/(N_9*U$27*U2344*U2348))*SQRT(M*'Valve Sizing'!$W$6*'Valve Sizing'!$G$8/U2347)</f>
        <v>24.724155977369957</v>
      </c>
      <c r="V2349" s="111"/>
      <c r="W2349" s="28"/>
      <c r="X2349" s="96">
        <f ca="1">(X2342/(N_9*X$27*X2344*X2348))*SQRT(M*'Valve Sizing'!$W$6*'Valve Sizing'!$G$8/X2347)</f>
        <v>64.718548211837771</v>
      </c>
      <c r="Y2349" s="111"/>
      <c r="Z2349" s="28"/>
      <c r="AA2349" s="96">
        <f ca="1">(AA2342/(N_9*AA$27*AA2344*AA2348))*SQRT(M*'Valve Sizing'!$W$6*'Valve Sizing'!$G$8/AA2347)</f>
        <v>168.7930796790728</v>
      </c>
      <c r="AB2349" s="111"/>
      <c r="AC2349" s="28"/>
      <c r="AD2349" s="96" t="e">
        <f ca="1">(AD2342/(N_9*AD$27*AD2344*AD2348))*SQRT(M*'Valve Sizing'!$W$6*'Valve Sizing'!$G$8/AD2347)</f>
        <v>#NUM!</v>
      </c>
      <c r="AE2349" s="111"/>
      <c r="AF2349" s="28"/>
      <c r="AG2349" s="96">
        <f ca="1">(AG2342/(N_9*AG$27*AG2344*AG2348))*SQRT(M*'Valve Sizing'!$W$6*'Valve Sizing'!$G$8/AG2347)</f>
        <v>40.045290750614541</v>
      </c>
      <c r="AH2349" s="111"/>
      <c r="AI2349" s="28"/>
      <c r="AJ2349" s="96">
        <f ca="1">(AJ2342/(N_9*AJ$27*AJ2344*AJ2348))*SQRT(M*'Valve Sizing'!$W$6*'Valve Sizing'!$G$8/AJ2347)</f>
        <v>1206.728901844441</v>
      </c>
      <c r="AK2349" s="111"/>
      <c r="AL2349" s="28"/>
      <c r="AM2349" s="96">
        <f ca="1">(AM2342/(N_9*AM$27*AM2344*AM2348))*SQRT(M*'Valve Sizing'!$W$6*'Valve Sizing'!$G$8/AM2347)</f>
        <v>-6298.4519992358428</v>
      </c>
      <c r="AN2349" s="111"/>
      <c r="AO2349" s="28"/>
      <c r="AP2349" s="96">
        <f ca="1">(AP2342/(N_9*AP$27*AP2344*AP2348))*SQRT(M*'Valve Sizing'!$W$6*'Valve Sizing'!$G$8/AP2347)</f>
        <v>-396.36522184895847</v>
      </c>
      <c r="AQ2349" s="111"/>
      <c r="AR2349" s="28"/>
      <c r="AS2349" s="96">
        <f ca="1">(AS2342/(N_9*AS$27*AS2344*AS2348))*SQRT(M*'Valve Sizing'!$W$6*'Valve Sizing'!$G$8/AS2347)</f>
        <v>3655.1406870343058</v>
      </c>
      <c r="AT2349" s="111"/>
      <c r="AU2349" s="28"/>
    </row>
    <row r="2350" spans="15:47" x14ac:dyDescent="0.25">
      <c r="O2350" s="2" t="s">
        <v>59</v>
      </c>
      <c r="P2350" s="143">
        <v>7</v>
      </c>
      <c r="Q2350" s="2"/>
      <c r="R2350" s="96">
        <f ca="1">(R2342/(N_9*R$27*R2344*0.667))*SQRT(M*'Valve Sizing'!$W$6*'Valve Sizing'!$G$8/R2351)</f>
        <v>3.0234445890887809</v>
      </c>
      <c r="S2350" s="107"/>
      <c r="T2350" s="22"/>
      <c r="U2350" s="96">
        <f ca="1">(U2342/(N_9*U$27*U2344*0.667))*SQRT(M*'Valve Sizing'!$W$6*'Valve Sizing'!$G$8/U2351)</f>
        <v>22.035658057123406</v>
      </c>
      <c r="V2350" s="111"/>
      <c r="W2350" s="28"/>
      <c r="X2350" s="96">
        <f ca="1">(X2342/(N_9*X$27*X2344*0.667))*SQRT(M*'Valve Sizing'!$W$6*'Valve Sizing'!$G$8/X2351)</f>
        <v>56.437520516225618</v>
      </c>
      <c r="Y2350" s="111"/>
      <c r="Z2350" s="28"/>
      <c r="AA2350" s="96">
        <f ca="1">(AA2342/(N_9*AA$27*AA2344*0.667))*SQRT(M*'Valve Sizing'!$W$6*'Valve Sizing'!$G$8/AA2351)</f>
        <v>127.92449372588705</v>
      </c>
      <c r="AB2350" s="111"/>
      <c r="AC2350" s="28"/>
      <c r="AD2350" s="96">
        <f ca="1">(AD2342/(N_9*AD$27*AD2344*0.667))*SQRT(M*'Valve Sizing'!$W$6*'Valve Sizing'!$G$8/AD2351)</f>
        <v>348.34970508597775</v>
      </c>
      <c r="AE2350" s="111"/>
      <c r="AF2350" s="28"/>
      <c r="AG2350" s="96">
        <f ca="1">(AG2342/(N_9*AG$27*AG2344*0.667))*SQRT(M*'Valve Sizing'!$W$6*'Valve Sizing'!$G$8/AG2351)</f>
        <v>-35807.340281225086</v>
      </c>
      <c r="AH2350" s="111"/>
      <c r="AI2350" s="28"/>
      <c r="AJ2350" s="96">
        <f ca="1">(AJ2342/(N_9*AJ$27*AJ2344*0.667))*SQRT(M*'Valve Sizing'!$W$6*'Valve Sizing'!$G$8/AJ2351)</f>
        <v>-508.79579534767498</v>
      </c>
      <c r="AK2350" s="111"/>
      <c r="AL2350" s="28"/>
      <c r="AM2350" s="96">
        <f ca="1">(AM2342/(N_9*AM$27*AM2344*0.667))*SQRT(M*'Valve Sizing'!$W$6*'Valve Sizing'!$G$8/AM2351)</f>
        <v>-331.06485819196121</v>
      </c>
      <c r="AN2350" s="111"/>
      <c r="AO2350" s="28"/>
      <c r="AP2350" s="96">
        <f ca="1">(AP2342/(N_9*AP$27*AP2344*0.667))*SQRT(M*'Valve Sizing'!$W$6*'Valve Sizing'!$G$8/AP2351)</f>
        <v>-252.35381513387554</v>
      </c>
      <c r="AQ2350" s="111"/>
      <c r="AR2350" s="28"/>
      <c r="AS2350" s="96">
        <f ca="1">(AS2342/(N_9*AS$27*AS2344*0.667))*SQRT(M*'Valve Sizing'!$W$6*'Valve Sizing'!$G$8/AS2351)</f>
        <v>-326.68063413978416</v>
      </c>
      <c r="AT2350" s="111"/>
      <c r="AU2350" s="28"/>
    </row>
    <row r="2351" spans="15:47" ht="15.6" x14ac:dyDescent="0.35">
      <c r="O2351" s="2" t="s">
        <v>68</v>
      </c>
      <c r="P2351" s="143">
        <v>10</v>
      </c>
      <c r="Q2351" s="2"/>
      <c r="R2351" s="96">
        <f ca="1">F_GAMMA*R$29</f>
        <v>0.64002969751372984</v>
      </c>
      <c r="S2351" s="107"/>
      <c r="T2351" s="1"/>
      <c r="U2351" s="96">
        <f ca="1">F_GAMMA*U$29</f>
        <v>0.64017842058782071</v>
      </c>
      <c r="V2351" s="111"/>
      <c r="W2351" s="28"/>
      <c r="X2351" s="96">
        <f ca="1">F_GAMMA*X$29</f>
        <v>0.63413873724904268</v>
      </c>
      <c r="Y2351" s="111"/>
      <c r="Z2351" s="28"/>
      <c r="AA2351" s="96">
        <f ca="1">F_GAMMA*AA$29</f>
        <v>0.62532411750377137</v>
      </c>
      <c r="AB2351" s="111"/>
      <c r="AC2351" s="28"/>
      <c r="AD2351" s="96">
        <f ca="1">F_GAMMA*AD$29</f>
        <v>0.60651359509139569</v>
      </c>
      <c r="AE2351" s="111"/>
      <c r="AF2351" s="28"/>
      <c r="AG2351" s="96">
        <f ca="1">F_GAMMA*AG$29</f>
        <v>0.57217930198481592</v>
      </c>
      <c r="AH2351" s="111"/>
      <c r="AI2351" s="28"/>
      <c r="AJ2351" s="96">
        <f ca="1">F_GAMMA*AJ$29</f>
        <v>0.53183282018848232</v>
      </c>
      <c r="AK2351" s="111"/>
      <c r="AL2351" s="28"/>
      <c r="AM2351" s="96">
        <f ca="1">F_GAMMA*AM$29</f>
        <v>0.47566512503094399</v>
      </c>
      <c r="AN2351" s="111"/>
      <c r="AO2351" s="28"/>
      <c r="AP2351" s="96">
        <f ca="1">F_GAMMA*AP$29</f>
        <v>0.59054158265645496</v>
      </c>
      <c r="AQ2351" s="111"/>
      <c r="AR2351" s="28"/>
      <c r="AS2351" s="96">
        <f ca="1">F_GAMMA*AS$29</f>
        <v>0.3766899554102966</v>
      </c>
      <c r="AT2351" s="111"/>
      <c r="AU2351" s="28"/>
    </row>
    <row r="2352" spans="15:47" x14ac:dyDescent="0.25">
      <c r="O2352" s="2" t="s">
        <v>145</v>
      </c>
      <c r="P2352" s="12"/>
      <c r="Q2352" s="2"/>
      <c r="R2352" s="96">
        <f ca="1">IF(R2347&lt;R2351,R2349,R2350)</f>
        <v>3.377694589454411</v>
      </c>
      <c r="S2352" s="116"/>
      <c r="T2352" s="1"/>
      <c r="U2352" s="96">
        <f ca="1">IF(U2347&lt;U2351,U2349,U2350)</f>
        <v>24.724155977369957</v>
      </c>
      <c r="V2352" s="111"/>
      <c r="W2352" s="28"/>
      <c r="X2352" s="96">
        <f ca="1">IF(X2347&lt;X2351,X2349,X2350)</f>
        <v>64.718548211837771</v>
      </c>
      <c r="Y2352" s="111"/>
      <c r="Z2352" s="28"/>
      <c r="AA2352" s="96">
        <f ca="1">IF(AA2347&lt;AA2351,AA2349,AA2350)</f>
        <v>168.7930796790728</v>
      </c>
      <c r="AB2352" s="111"/>
      <c r="AC2352" s="28"/>
      <c r="AD2352" s="96" t="e">
        <f ca="1">IF(AD2347&lt;AD2351,AD2349,AD2350)</f>
        <v>#NUM!</v>
      </c>
      <c r="AE2352" s="111"/>
      <c r="AF2352" s="28"/>
      <c r="AG2352" s="96">
        <f ca="1">IF(AG2347&lt;AG2351,AG2349,AG2350)</f>
        <v>-35807.340281225086</v>
      </c>
      <c r="AH2352" s="111"/>
      <c r="AI2352" s="28"/>
      <c r="AJ2352" s="96">
        <f ca="1">IF(AJ2347&lt;AJ2351,AJ2349,AJ2350)</f>
        <v>-508.79579534767498</v>
      </c>
      <c r="AK2352" s="111"/>
      <c r="AL2352" s="28"/>
      <c r="AM2352" s="96">
        <f ca="1">IF(AM2347&lt;AM2351,AM2349,AM2350)</f>
        <v>-331.06485819196121</v>
      </c>
      <c r="AN2352" s="111"/>
      <c r="AO2352" s="28"/>
      <c r="AP2352" s="96">
        <f ca="1">IF(AP2347&lt;AP2351,AP2349,AP2350)</f>
        <v>-252.35381513387554</v>
      </c>
      <c r="AQ2352" s="111"/>
      <c r="AR2352" s="28"/>
      <c r="AS2352" s="96">
        <f ca="1">IF(AS2347&lt;AS2351,AS2349,AS2350)</f>
        <v>-326.68063413978416</v>
      </c>
      <c r="AT2352" s="111"/>
      <c r="AU2352" s="28"/>
    </row>
    <row r="2353" spans="15:47" x14ac:dyDescent="0.25">
      <c r="O2353" s="13" t="s">
        <v>143</v>
      </c>
      <c r="P2353" s="1"/>
      <c r="Q2353" s="1"/>
      <c r="R2353" s="113"/>
      <c r="S2353" s="106">
        <f ca="1">IF(R2346&lt;=0,Q_max,ABS(R$23-R2352))</f>
        <v>1.3523054105455894</v>
      </c>
      <c r="T2353" s="7">
        <f>R2342</f>
        <v>8362.0932113547424</v>
      </c>
      <c r="U2353" s="98"/>
      <c r="V2353" s="106">
        <f ca="1">IF(U2346&lt;=0,Q_max,ABS(U$23-U2352))</f>
        <v>13.124155977369957</v>
      </c>
      <c r="W2353" s="9">
        <f ca="1">U2342</f>
        <v>60470.64463853433</v>
      </c>
      <c r="X2353" s="98"/>
      <c r="Y2353" s="106">
        <f ca="1">IF(X2346&lt;=0,Q_max,ABS(X$23-X2352))</f>
        <v>41.718548211837771</v>
      </c>
      <c r="Z2353" s="9">
        <f ca="1">X2342</f>
        <v>148070.3963189722</v>
      </c>
      <c r="AA2353" s="98"/>
      <c r="AB2353" s="106">
        <f ca="1">IF(AA2346&lt;=0,Q_max,ABS(AA$23-AA2352))</f>
        <v>129.3930796790728</v>
      </c>
      <c r="AC2353" s="9">
        <f ca="1">AA2342</f>
        <v>288403.33773984521</v>
      </c>
      <c r="AD2353" s="98"/>
      <c r="AE2353" s="106">
        <f ca="1">IF(AD2346&lt;=0,Q_max,ABS(AD$23-AD2352))</f>
        <v>236393</v>
      </c>
      <c r="AF2353" s="9">
        <f ca="1">AD2342</f>
        <v>483851.08463907411</v>
      </c>
      <c r="AG2353" s="98"/>
      <c r="AH2353" s="106">
        <f ca="1">IF(AG2346&lt;=0,Q_max,ABS(AG$23-AG2352))</f>
        <v>236393</v>
      </c>
      <c r="AI2353" s="9">
        <f ca="1">AG2342</f>
        <v>706193.83626746631</v>
      </c>
      <c r="AJ2353" s="98"/>
      <c r="AK2353" s="106">
        <f ca="1">IF(AJ2346&lt;=0,Q_max,ABS(AJ$23-AJ2352))</f>
        <v>236393</v>
      </c>
      <c r="AL2353" s="9">
        <f ca="1">AJ2342</f>
        <v>942418.41210682003</v>
      </c>
      <c r="AM2353" s="98"/>
      <c r="AN2353" s="106">
        <f ca="1">IF(AM2346&lt;=0,Q_max,ABS(AM$23-AM2352))</f>
        <v>236393</v>
      </c>
      <c r="AO2353" s="9">
        <f ca="1">AM2342</f>
        <v>1149929.5599163203</v>
      </c>
      <c r="AP2353" s="98"/>
      <c r="AQ2353" s="106">
        <f ca="1">IF(AP2346&lt;=0,Q_max,ABS(AP$23-AP2352))</f>
        <v>236393</v>
      </c>
      <c r="AR2353" s="9">
        <f ca="1">AP2342</f>
        <v>1335032.5199251329</v>
      </c>
      <c r="AS2353" s="98"/>
      <c r="AT2353" s="106">
        <f ca="1">IF(AS2346&lt;=0,Q_max,ABS(AS$23-AS2352))</f>
        <v>236393</v>
      </c>
      <c r="AU2353" s="9">
        <f ca="1">AS2342</f>
        <v>1565430.6231428827</v>
      </c>
    </row>
    <row r="2354" spans="15:47" x14ac:dyDescent="0.25">
      <c r="O2354" s="21"/>
      <c r="P2354" s="14"/>
      <c r="Q2354" s="21"/>
      <c r="R2354" s="97"/>
      <c r="S2354" s="106"/>
      <c r="T2354" s="28"/>
      <c r="U2354" s="97"/>
      <c r="V2354" s="111"/>
      <c r="W2354" s="28"/>
      <c r="X2354" s="97"/>
      <c r="Y2354" s="111"/>
      <c r="Z2354" s="28"/>
      <c r="AA2354" s="97"/>
      <c r="AB2354" s="111"/>
      <c r="AC2354" s="28"/>
      <c r="AD2354" s="97"/>
      <c r="AE2354" s="111"/>
      <c r="AF2354" s="28"/>
      <c r="AG2354" s="97"/>
      <c r="AH2354" s="111"/>
      <c r="AI2354" s="28"/>
      <c r="AJ2354" s="97"/>
      <c r="AK2354" s="111"/>
      <c r="AL2354" s="28"/>
      <c r="AM2354" s="97"/>
      <c r="AN2354" s="111"/>
      <c r="AO2354" s="28"/>
      <c r="AP2354" s="97"/>
      <c r="AQ2354" s="111"/>
      <c r="AR2354" s="28"/>
      <c r="AS2354" s="97"/>
      <c r="AT2354" s="111"/>
      <c r="AU2354" s="28"/>
    </row>
    <row r="2355" spans="15:47" x14ac:dyDescent="0.25">
      <c r="O2355" s="1"/>
      <c r="P2355" s="1"/>
      <c r="Q2355" s="1"/>
      <c r="R2355" s="98"/>
      <c r="S2355" s="108" t="s">
        <v>137</v>
      </c>
      <c r="T2355" s="26" t="s">
        <v>146</v>
      </c>
      <c r="U2355" s="98"/>
      <c r="V2355" s="108" t="s">
        <v>137</v>
      </c>
      <c r="W2355" s="26" t="s">
        <v>146</v>
      </c>
      <c r="X2355" s="98"/>
      <c r="Y2355" s="108" t="s">
        <v>137</v>
      </c>
      <c r="Z2355" s="26" t="s">
        <v>146</v>
      </c>
      <c r="AA2355" s="98"/>
      <c r="AB2355" s="108" t="s">
        <v>137</v>
      </c>
      <c r="AC2355" s="26" t="s">
        <v>146</v>
      </c>
      <c r="AD2355" s="98"/>
      <c r="AE2355" s="108" t="s">
        <v>137</v>
      </c>
      <c r="AF2355" s="26" t="s">
        <v>146</v>
      </c>
      <c r="AG2355" s="98"/>
      <c r="AH2355" s="108" t="s">
        <v>137</v>
      </c>
      <c r="AI2355" s="26" t="s">
        <v>146</v>
      </c>
      <c r="AJ2355" s="98"/>
      <c r="AK2355" s="108" t="s">
        <v>137</v>
      </c>
      <c r="AL2355" s="26" t="s">
        <v>146</v>
      </c>
      <c r="AM2355" s="98"/>
      <c r="AN2355" s="108" t="s">
        <v>137</v>
      </c>
      <c r="AO2355" s="26" t="s">
        <v>146</v>
      </c>
      <c r="AP2355" s="98"/>
      <c r="AQ2355" s="108" t="s">
        <v>137</v>
      </c>
      <c r="AR2355" s="26" t="s">
        <v>146</v>
      </c>
      <c r="AS2355" s="98"/>
      <c r="AT2355" s="108" t="s">
        <v>137</v>
      </c>
      <c r="AU2355" s="26" t="s">
        <v>146</v>
      </c>
    </row>
    <row r="2356" spans="15:47" ht="13.8" x14ac:dyDescent="0.25">
      <c r="O2356" s="20" t="s">
        <v>136</v>
      </c>
      <c r="P2356" s="1"/>
      <c r="Q2356" s="1"/>
      <c r="R2356" s="96">
        <f>R2342*1.02</f>
        <v>8529.3350755818374</v>
      </c>
      <c r="S2356" s="109" t="s">
        <v>144</v>
      </c>
      <c r="T2356" s="23" t="s">
        <v>147</v>
      </c>
      <c r="U2356" s="96">
        <f ca="1">U2342*1.01</f>
        <v>61075.351084919675</v>
      </c>
      <c r="V2356" s="109" t="s">
        <v>144</v>
      </c>
      <c r="W2356" s="23" t="s">
        <v>147</v>
      </c>
      <c r="X2356" s="96">
        <f ca="1">X2342*1.01</f>
        <v>149551.10028216193</v>
      </c>
      <c r="Y2356" s="109" t="s">
        <v>144</v>
      </c>
      <c r="Z2356" s="23" t="s">
        <v>147</v>
      </c>
      <c r="AA2356" s="96">
        <f ca="1">AA2342*1.01</f>
        <v>291287.37111724366</v>
      </c>
      <c r="AB2356" s="109" t="s">
        <v>144</v>
      </c>
      <c r="AC2356" s="23" t="s">
        <v>147</v>
      </c>
      <c r="AD2356" s="96">
        <f ca="1">AD2342*1.01</f>
        <v>488689.59548546484</v>
      </c>
      <c r="AE2356" s="109" t="s">
        <v>144</v>
      </c>
      <c r="AF2356" s="23" t="s">
        <v>147</v>
      </c>
      <c r="AG2356" s="96">
        <f ca="1">AG2342*1.01</f>
        <v>713255.77463014098</v>
      </c>
      <c r="AH2356" s="109" t="s">
        <v>144</v>
      </c>
      <c r="AI2356" s="23" t="s">
        <v>147</v>
      </c>
      <c r="AJ2356" s="96">
        <f ca="1">AJ2342*1.01</f>
        <v>951842.59622788825</v>
      </c>
      <c r="AK2356" s="109" t="s">
        <v>144</v>
      </c>
      <c r="AL2356" s="23" t="s">
        <v>147</v>
      </c>
      <c r="AM2356" s="96">
        <f ca="1">AM2342*1.01</f>
        <v>1161428.8555154835</v>
      </c>
      <c r="AN2356" s="109" t="s">
        <v>144</v>
      </c>
      <c r="AO2356" s="23" t="s">
        <v>147</v>
      </c>
      <c r="AP2356" s="96">
        <f ca="1">AP2342*1.01</f>
        <v>1348382.8451243842</v>
      </c>
      <c r="AQ2356" s="109" t="s">
        <v>144</v>
      </c>
      <c r="AR2356" s="23" t="s">
        <v>147</v>
      </c>
      <c r="AS2356" s="96">
        <f ca="1">AS2342*1.01</f>
        <v>1581084.9293743116</v>
      </c>
      <c r="AT2356" s="109" t="s">
        <v>144</v>
      </c>
      <c r="AU2356" s="23" t="s">
        <v>147</v>
      </c>
    </row>
    <row r="2357" spans="15:47" x14ac:dyDescent="0.25">
      <c r="O2357" s="1"/>
      <c r="P2357" s="1"/>
      <c r="Q2357" s="1"/>
      <c r="R2357" s="98"/>
      <c r="S2357" s="107"/>
      <c r="T2357" s="1"/>
      <c r="U2357" s="47"/>
      <c r="V2357" s="107"/>
      <c r="W2357" s="1"/>
      <c r="X2357" s="47"/>
      <c r="Y2357" s="107"/>
      <c r="Z2357" s="1"/>
      <c r="AA2357" s="47"/>
      <c r="AB2357" s="107"/>
      <c r="AC2357" s="1"/>
      <c r="AD2357" s="47"/>
      <c r="AE2357" s="107"/>
      <c r="AF2357" s="1"/>
      <c r="AG2357" s="47"/>
      <c r="AH2357" s="107"/>
      <c r="AI2357" s="1"/>
      <c r="AJ2357" s="47"/>
      <c r="AK2357" s="107"/>
      <c r="AL2357" s="1"/>
      <c r="AM2357" s="47"/>
      <c r="AN2357" s="107"/>
      <c r="AO2357" s="1"/>
      <c r="AP2357" s="47"/>
      <c r="AQ2357" s="107"/>
      <c r="AR2357" s="1"/>
      <c r="AS2357" s="47"/>
      <c r="AT2357" s="107"/>
      <c r="AU2357" s="1"/>
    </row>
    <row r="2358" spans="15:47" x14ac:dyDescent="0.25">
      <c r="O2358" s="8" t="s">
        <v>132</v>
      </c>
      <c r="P2358" s="8"/>
      <c r="Q2358" s="8"/>
      <c r="R2358" s="96">
        <f>P_1_minQ-(R2356^2*R_up)+dpup_minQ</f>
        <v>90.171781129737951</v>
      </c>
      <c r="S2358" s="106"/>
      <c r="T2358" s="22"/>
      <c r="U2358" s="96">
        <f ca="1">P_1_minQ-(U2356^2*R_up)+dpup_minQ</f>
        <v>89.505171150835352</v>
      </c>
      <c r="V2358" s="107"/>
      <c r="W2358" s="1"/>
      <c r="X2358" s="96">
        <f ca="1">P_1_minQ-(X2356^2*R_up)+dpup_minQ</f>
        <v>86.108678362143763</v>
      </c>
      <c r="Y2358" s="107"/>
      <c r="Z2358" s="1"/>
      <c r="AA2358" s="96">
        <f ca="1">P_1_minQ-(AA2356^2*R_up)+dpup_minQ</f>
        <v>74.720506121717733</v>
      </c>
      <c r="AB2358" s="107"/>
      <c r="AC2358" s="1"/>
      <c r="AD2358" s="96">
        <f ca="1">P_1_minQ-(AD2356^2*R_up)+dpup_minQ</f>
        <v>46.657941590173017</v>
      </c>
      <c r="AE2358" s="107"/>
      <c r="AF2358" s="1"/>
      <c r="AG2358" s="96">
        <f ca="1">P_1_minQ-(AG2356^2*R_up)+dpup_minQ</f>
        <v>-2.5372454244189995</v>
      </c>
      <c r="AH2358" s="107"/>
      <c r="AI2358" s="1"/>
      <c r="AJ2358" s="96">
        <f ca="1">P_1_minQ-(AJ2356^2*R_up)+dpup_minQ</f>
        <v>-74.94413384203429</v>
      </c>
      <c r="AK2358" s="107"/>
      <c r="AL2358" s="1"/>
      <c r="AM2358" s="96">
        <f ca="1">P_1_minQ-(AM2356^2*R_up)+dpup_minQ</f>
        <v>-155.66979855001227</v>
      </c>
      <c r="AN2358" s="107"/>
      <c r="AO2358" s="1"/>
      <c r="AP2358" s="96">
        <f ca="1">P_1_minQ-(AP2356^2*R_up)+dpup_minQ</f>
        <v>-241.19013765342964</v>
      </c>
      <c r="AQ2358" s="107"/>
      <c r="AR2358" s="1"/>
      <c r="AS2358" s="96">
        <f ca="1">P_1_minQ-(AS2356^2*R_up)+dpup_minQ</f>
        <v>-365.43617180998376</v>
      </c>
      <c r="AT2358" s="107"/>
      <c r="AU2358" s="1"/>
    </row>
    <row r="2359" spans="15:47" x14ac:dyDescent="0.25">
      <c r="O2359" s="8" t="s">
        <v>134</v>
      </c>
      <c r="P2359" s="1"/>
      <c r="Q2359" s="8"/>
      <c r="R2359" s="97">
        <f>P_2_minQ+(R2356^2*R_dn)-dpdn_minQ</f>
        <v>60</v>
      </c>
      <c r="S2359" s="106"/>
      <c r="T2359" s="22"/>
      <c r="U2359" s="97">
        <f ca="1">P_2_minQ+(U2356^2*R_dn)-dpdn_minQ</f>
        <v>60</v>
      </c>
      <c r="V2359" s="107"/>
      <c r="W2359" s="1"/>
      <c r="X2359" s="97">
        <f ca="1">P_2_minQ+(X2356^2*R_dn)-dpdn_minQ</f>
        <v>60</v>
      </c>
      <c r="Y2359" s="107"/>
      <c r="Z2359" s="1"/>
      <c r="AA2359" s="97">
        <f ca="1">P_2_minQ+(AA2356^2*R_dn)-dpdn_minQ</f>
        <v>60</v>
      </c>
      <c r="AB2359" s="107"/>
      <c r="AC2359" s="1"/>
      <c r="AD2359" s="97">
        <f ca="1">P_2_minQ+(AD2356^2*R_dn)-dpdn_minQ</f>
        <v>60</v>
      </c>
      <c r="AE2359" s="107"/>
      <c r="AF2359" s="1"/>
      <c r="AG2359" s="97">
        <f ca="1">P_2_minQ+(AG2356^2*R_dn)-dpdn_minQ</f>
        <v>60</v>
      </c>
      <c r="AH2359" s="107"/>
      <c r="AI2359" s="1"/>
      <c r="AJ2359" s="97">
        <f ca="1">P_2_minQ+(AJ2356^2*R_dn)-dpdn_minQ</f>
        <v>60</v>
      </c>
      <c r="AK2359" s="107"/>
      <c r="AL2359" s="1"/>
      <c r="AM2359" s="97">
        <f ca="1">P_2_minQ+(AM2356^2*R_dn)-dpdn_minQ</f>
        <v>60</v>
      </c>
      <c r="AN2359" s="107"/>
      <c r="AO2359" s="1"/>
      <c r="AP2359" s="97">
        <f ca="1">P_2_minQ+(AP2356^2*R_dn)-dpdn_minQ</f>
        <v>60</v>
      </c>
      <c r="AQ2359" s="107"/>
      <c r="AR2359" s="1"/>
      <c r="AS2359" s="97">
        <f ca="1">P_2_minQ+(AS2356^2*R_dn)-dpdn_minQ</f>
        <v>60</v>
      </c>
      <c r="AT2359" s="107"/>
      <c r="AU2359" s="1"/>
    </row>
    <row r="2360" spans="15:47" x14ac:dyDescent="0.25">
      <c r="O2360" s="8" t="s">
        <v>138</v>
      </c>
      <c r="P2360" s="1"/>
      <c r="Q2360" s="8"/>
      <c r="R2360" s="97">
        <f>R2358-R2359</f>
        <v>30.171781129737951</v>
      </c>
      <c r="S2360" s="106"/>
      <c r="T2360" s="22"/>
      <c r="U2360" s="97">
        <f ca="1">U2358-U2359</f>
        <v>29.505171150835352</v>
      </c>
      <c r="V2360" s="110"/>
      <c r="W2360" s="25"/>
      <c r="X2360" s="97">
        <f ca="1">X2358-X2359</f>
        <v>26.108678362143763</v>
      </c>
      <c r="Y2360" s="110"/>
      <c r="Z2360" s="25"/>
      <c r="AA2360" s="97">
        <f ca="1">AA2358-AA2359</f>
        <v>14.720506121717733</v>
      </c>
      <c r="AB2360" s="110"/>
      <c r="AC2360" s="25"/>
      <c r="AD2360" s="97">
        <f ca="1">AD2358-AD2359</f>
        <v>-13.342058409826983</v>
      </c>
      <c r="AE2360" s="110"/>
      <c r="AF2360" s="25"/>
      <c r="AG2360" s="97">
        <f ca="1">AG2358-AG2359</f>
        <v>-62.537245424418998</v>
      </c>
      <c r="AH2360" s="110"/>
      <c r="AI2360" s="25"/>
      <c r="AJ2360" s="97">
        <f ca="1">AJ2358-AJ2359</f>
        <v>-134.94413384203429</v>
      </c>
      <c r="AK2360" s="110"/>
      <c r="AL2360" s="25"/>
      <c r="AM2360" s="97">
        <f ca="1">AM2358-AM2359</f>
        <v>-215.66979855001227</v>
      </c>
      <c r="AN2360" s="110"/>
      <c r="AO2360" s="25"/>
      <c r="AP2360" s="97">
        <f ca="1">AP2358-AP2359</f>
        <v>-301.19013765342964</v>
      </c>
      <c r="AQ2360" s="110"/>
      <c r="AR2360" s="25"/>
      <c r="AS2360" s="97">
        <f ca="1">AS2358-AS2359</f>
        <v>-425.43617180998376</v>
      </c>
      <c r="AT2360" s="110"/>
      <c r="AU2360" s="25"/>
    </row>
    <row r="2361" spans="15:47" ht="14.4" x14ac:dyDescent="0.3">
      <c r="O2361" s="2" t="s">
        <v>140</v>
      </c>
      <c r="P2361" s="11"/>
      <c r="Q2361" s="2"/>
      <c r="R2361" s="96">
        <f>R2360/R2358</f>
        <v>0.33460336206875185</v>
      </c>
      <c r="S2361" s="106"/>
      <c r="T2361" s="22"/>
      <c r="U2361" s="96">
        <f ca="1">U2360/U2358</f>
        <v>0.32964767031295689</v>
      </c>
      <c r="V2361" s="111"/>
      <c r="W2361" s="28"/>
      <c r="X2361" s="96">
        <f ca="1">X2360/X2358</f>
        <v>0.30320612113380208</v>
      </c>
      <c r="Y2361" s="111"/>
      <c r="Z2361" s="28"/>
      <c r="AA2361" s="96">
        <f ca="1">AA2360/AA2358</f>
        <v>0.19700758045908331</v>
      </c>
      <c r="AB2361" s="111"/>
      <c r="AC2361" s="28"/>
      <c r="AD2361" s="96">
        <f ca="1">AD2360/AD2358</f>
        <v>-0.28595471542698864</v>
      </c>
      <c r="AE2361" s="111"/>
      <c r="AF2361" s="28"/>
      <c r="AG2361" s="96">
        <f ca="1">AG2360/AG2358</f>
        <v>24.647692660137253</v>
      </c>
      <c r="AH2361" s="111"/>
      <c r="AI2361" s="28"/>
      <c r="AJ2361" s="96">
        <f ca="1">AJ2360/AJ2358</f>
        <v>1.8005963498953337</v>
      </c>
      <c r="AK2361" s="111"/>
      <c r="AL2361" s="28"/>
      <c r="AM2361" s="96">
        <f ca="1">AM2360/AM2358</f>
        <v>1.3854312176084926</v>
      </c>
      <c r="AN2361" s="111"/>
      <c r="AO2361" s="28"/>
      <c r="AP2361" s="96">
        <f ca="1">AP2360/AP2358</f>
        <v>1.2487663906316728</v>
      </c>
      <c r="AQ2361" s="111"/>
      <c r="AR2361" s="28"/>
      <c r="AS2361" s="96">
        <f ca="1">AS2360/AS2358</f>
        <v>1.1641873591845699</v>
      </c>
      <c r="AT2361" s="111"/>
      <c r="AU2361" s="28"/>
    </row>
    <row r="2362" spans="15:47" x14ac:dyDescent="0.25">
      <c r="O2362" s="2" t="s">
        <v>21</v>
      </c>
      <c r="P2362" s="8">
        <v>12</v>
      </c>
      <c r="Q2362" s="2"/>
      <c r="R2362" s="96">
        <f ca="1">1-R2361/(3*F_GAMMA*R$29)</f>
        <v>0.82573550187407574</v>
      </c>
      <c r="S2362" s="106"/>
      <c r="T2362" s="22"/>
      <c r="U2362" s="96">
        <f ca="1">1-U2361/(3*F_GAMMA*U$29)</f>
        <v>0.82835635623254855</v>
      </c>
      <c r="V2362" s="111"/>
      <c r="W2362" s="28"/>
      <c r="X2362" s="96">
        <f ca="1">1-X2361/(3*F_GAMMA*X$29)</f>
        <v>0.84062051234553681</v>
      </c>
      <c r="Y2362" s="111"/>
      <c r="Z2362" s="28"/>
      <c r="AA2362" s="96">
        <f ca="1">1-AA2361/(3*F_GAMMA*AA$29)</f>
        <v>0.89498375058920532</v>
      </c>
      <c r="AB2362" s="111"/>
      <c r="AC2362" s="28"/>
      <c r="AD2362" s="96">
        <f ca="1">1-AD2361/(3*F_GAMMA*AD$29)</f>
        <v>1.1571576288595795</v>
      </c>
      <c r="AE2362" s="111"/>
      <c r="AF2362" s="28"/>
      <c r="AG2362" s="96">
        <f ca="1">1-AG2361/(3*F_GAMMA*AG$29)</f>
        <v>-13.358956230816458</v>
      </c>
      <c r="AH2362" s="111"/>
      <c r="AI2362" s="28"/>
      <c r="AJ2362" s="96">
        <f ca="1">1-AJ2361/(3*F_GAMMA*AJ$29)</f>
        <v>-0.12854784532803598</v>
      </c>
      <c r="AK2362" s="111"/>
      <c r="AL2362" s="28"/>
      <c r="AM2362" s="96">
        <f ca="1">1-AM2361/(3*F_GAMMA*AM$29)</f>
        <v>2.9127044284663728E-2</v>
      </c>
      <c r="AN2362" s="111"/>
      <c r="AO2362" s="28"/>
      <c r="AP2362" s="96">
        <f ca="1">1-AP2361/(3*F_GAMMA*AP$29)</f>
        <v>0.29512929187571568</v>
      </c>
      <c r="AQ2362" s="111"/>
      <c r="AR2362" s="28"/>
      <c r="AS2362" s="96">
        <f ca="1">1-AS2361/(3*F_GAMMA*AS$29)</f>
        <v>-3.0190604999911885E-2</v>
      </c>
      <c r="AT2362" s="111"/>
      <c r="AU2362" s="28"/>
    </row>
    <row r="2363" spans="15:47" x14ac:dyDescent="0.25">
      <c r="O2363" s="2" t="s">
        <v>57</v>
      </c>
      <c r="P2363" s="143">
        <v>7</v>
      </c>
      <c r="Q2363" s="2"/>
      <c r="R2363" s="96">
        <f ca="1">(R2356/(N_9*R$27*R2358*R2362))*SQRT(M*'Valve Sizing'!$W$6*'Valve Sizing'!$G$8/R2361)</f>
        <v>3.4452794576441428</v>
      </c>
      <c r="S2363" s="107"/>
      <c r="T2363" s="22"/>
      <c r="U2363" s="96">
        <f ca="1">(U2356/(N_9*U$27*U2358*U2362))*SQRT(M*'Valve Sizing'!$W$6*'Valve Sizing'!$G$8/U2361)</f>
        <v>24.977359713790843</v>
      </c>
      <c r="V2363" s="111"/>
      <c r="W2363" s="28"/>
      <c r="X2363" s="96">
        <f ca="1">(X2356/(N_9*X$27*X2358*X2362))*SQRT(M*'Valve Sizing'!$W$6*'Valve Sizing'!$G$8/X2361)</f>
        <v>65.470132790355819</v>
      </c>
      <c r="Y2363" s="111"/>
      <c r="Z2363" s="28"/>
      <c r="AA2363" s="96">
        <f ca="1">(AA2356/(N_9*AA$27*AA2358*AA2362))*SQRT(M*'Valve Sizing'!$W$6*'Valve Sizing'!$G$8/AA2361)</f>
        <v>172.25203020882412</v>
      </c>
      <c r="AB2363" s="111"/>
      <c r="AC2363" s="28"/>
      <c r="AD2363" s="96" t="e">
        <f ca="1">(AD2356/(N_9*AD$27*AD2358*AD2362))*SQRT(M*'Valve Sizing'!$W$6*'Valve Sizing'!$G$8/AD2361)</f>
        <v>#NUM!</v>
      </c>
      <c r="AE2363" s="111"/>
      <c r="AF2363" s="28"/>
      <c r="AG2363" s="96">
        <f ca="1">(AG2356/(N_9*AG$27*AG2358*AG2362))*SQRT(M*'Valve Sizing'!$W$6*'Valve Sizing'!$G$8/AG2361)</f>
        <v>77.014676624099948</v>
      </c>
      <c r="AH2363" s="111"/>
      <c r="AI2363" s="28"/>
      <c r="AJ2363" s="96">
        <f ca="1">(AJ2356/(N_9*AJ$27*AJ2358*AJ2362))*SQRT(M*'Valve Sizing'!$W$6*'Valve Sizing'!$G$8/AJ2361)</f>
        <v>1386.2095484556098</v>
      </c>
      <c r="AK2363" s="111"/>
      <c r="AL2363" s="28"/>
      <c r="AM2363" s="96">
        <f ca="1">(AM2356/(N_9*AM$27*AM2358*AM2362))*SQRT(M*'Valve Sizing'!$W$6*'Valve Sizing'!$G$8/AM2361)</f>
        <v>-4347.0278131515979</v>
      </c>
      <c r="AN2363" s="111"/>
      <c r="AO2363" s="28"/>
      <c r="AP2363" s="96">
        <f ca="1">(AP2356/(N_9*AP$27*AP2358*AP2362))*SQRT(M*'Valve Sizing'!$W$6*'Valve Sizing'!$G$8/AP2361)</f>
        <v>-385.3987428612545</v>
      </c>
      <c r="AQ2363" s="111"/>
      <c r="AR2363" s="28"/>
      <c r="AS2363" s="96">
        <f ca="1">(AS2356/(N_9*AS$27*AS2358*AS2362))*SQRT(M*'Valve Sizing'!$W$6*'Valve Sizing'!$G$8/AS2361)</f>
        <v>4044.6129443493219</v>
      </c>
      <c r="AT2363" s="111"/>
      <c r="AU2363" s="28"/>
    </row>
    <row r="2364" spans="15:47" x14ac:dyDescent="0.25">
      <c r="O2364" s="2" t="s">
        <v>59</v>
      </c>
      <c r="P2364" s="143">
        <v>7</v>
      </c>
      <c r="Q2364" s="2"/>
      <c r="R2364" s="96">
        <f ca="1">(R2356/(N_9*R$27*R2358*0.667))*SQRT(M*'Valve Sizing'!$W$6*'Valve Sizing'!$G$8/R2365)</f>
        <v>3.0839310899416983</v>
      </c>
      <c r="S2364" s="107"/>
      <c r="T2364" s="22"/>
      <c r="U2364" s="96">
        <f ca="1">(U2356/(N_9*U$27*U2358*0.667))*SQRT(M*'Valve Sizing'!$W$6*'Valve Sizing'!$G$8/U2365)</f>
        <v>22.259345663999117</v>
      </c>
      <c r="V2364" s="111"/>
      <c r="W2364" s="28"/>
      <c r="X2364" s="96">
        <f ca="1">(X2356/(N_9*X$27*X2358*0.667))*SQRT(M*'Valve Sizing'!$W$6*'Valve Sizing'!$G$8/X2365)</f>
        <v>57.055065940250564</v>
      </c>
      <c r="Y2364" s="111"/>
      <c r="Z2364" s="28"/>
      <c r="AA2364" s="96">
        <f ca="1">(AA2356/(N_9*AA$27*AA2358*0.667))*SQRT(M*'Valve Sizing'!$W$6*'Valve Sizing'!$G$8/AA2365)</f>
        <v>129.7306353100507</v>
      </c>
      <c r="AB2364" s="111"/>
      <c r="AC2364" s="28"/>
      <c r="AD2364" s="96">
        <f ca="1">(AD2356/(N_9*AD$27*AD2358*0.667))*SQRT(M*'Valve Sizing'!$W$6*'Valve Sizing'!$G$8/AD2365)</f>
        <v>358.30052106723338</v>
      </c>
      <c r="AE2364" s="111"/>
      <c r="AF2364" s="28"/>
      <c r="AG2364" s="96">
        <f ca="1">(AG2356/(N_9*AG$27*AG2358*0.667))*SQRT(M*'Valve Sizing'!$W$6*'Valve Sizing'!$G$8/AG2365)</f>
        <v>-10123.76959157608</v>
      </c>
      <c r="AH2364" s="111"/>
      <c r="AI2364" s="28"/>
      <c r="AJ2364" s="96">
        <f ca="1">(AJ2356/(N_9*AJ$27*AJ2358*0.667))*SQRT(M*'Valve Sizing'!$W$6*'Valve Sizing'!$G$8/AJ2365)</f>
        <v>-491.57350713914809</v>
      </c>
      <c r="AK2364" s="111"/>
      <c r="AL2364" s="28"/>
      <c r="AM2364" s="96">
        <f ca="1">(AM2356/(N_9*AM$27*AM2358*0.667))*SQRT(M*'Valve Sizing'!$W$6*'Valve Sizing'!$G$8/AM2365)</f>
        <v>-323.9700256717029</v>
      </c>
      <c r="AN2364" s="111"/>
      <c r="AO2364" s="28"/>
      <c r="AP2364" s="96">
        <f ca="1">(AP2356/(N_9*AP$27*AP2358*0.667))*SQRT(M*'Valve Sizing'!$W$6*'Valve Sizing'!$G$8/AP2365)</f>
        <v>-247.97741847824338</v>
      </c>
      <c r="AQ2364" s="111"/>
      <c r="AR2364" s="28"/>
      <c r="AS2364" s="96">
        <f ca="1">(AS2356/(N_9*AS$27*AS2358*0.667))*SQRT(M*'Valve Sizing'!$W$6*'Valve Sizing'!$G$8/AS2365)</f>
        <v>-321.84174141175089</v>
      </c>
      <c r="AT2364" s="111"/>
      <c r="AU2364" s="28"/>
    </row>
    <row r="2365" spans="15:47" ht="15.6" x14ac:dyDescent="0.35">
      <c r="O2365" s="2" t="s">
        <v>68</v>
      </c>
      <c r="P2365" s="143">
        <v>10</v>
      </c>
      <c r="Q2365" s="2"/>
      <c r="R2365" s="96">
        <f ca="1">F_GAMMA*R$29</f>
        <v>0.64002969751372984</v>
      </c>
      <c r="S2365" s="107"/>
      <c r="T2365" s="1"/>
      <c r="U2365" s="96">
        <f ca="1">F_GAMMA*U$29</f>
        <v>0.64017842058782071</v>
      </c>
      <c r="V2365" s="111"/>
      <c r="W2365" s="28"/>
      <c r="X2365" s="96">
        <f ca="1">F_GAMMA*X$29</f>
        <v>0.63413873724904268</v>
      </c>
      <c r="Y2365" s="111"/>
      <c r="Z2365" s="28"/>
      <c r="AA2365" s="96">
        <f ca="1">F_GAMMA*AA$29</f>
        <v>0.62532411750377137</v>
      </c>
      <c r="AB2365" s="111"/>
      <c r="AC2365" s="28"/>
      <c r="AD2365" s="96">
        <f ca="1">F_GAMMA*AD$29</f>
        <v>0.60651359509139569</v>
      </c>
      <c r="AE2365" s="111"/>
      <c r="AF2365" s="28"/>
      <c r="AG2365" s="96">
        <f ca="1">F_GAMMA*AG$29</f>
        <v>0.57217930198481592</v>
      </c>
      <c r="AH2365" s="111"/>
      <c r="AI2365" s="28"/>
      <c r="AJ2365" s="96">
        <f ca="1">F_GAMMA*AJ$29</f>
        <v>0.53183282018848232</v>
      </c>
      <c r="AK2365" s="111"/>
      <c r="AL2365" s="28"/>
      <c r="AM2365" s="96">
        <f ca="1">F_GAMMA*AM$29</f>
        <v>0.47566512503094399</v>
      </c>
      <c r="AN2365" s="111"/>
      <c r="AO2365" s="28"/>
      <c r="AP2365" s="96">
        <f ca="1">F_GAMMA*AP$29</f>
        <v>0.59054158265645496</v>
      </c>
      <c r="AQ2365" s="111"/>
      <c r="AR2365" s="28"/>
      <c r="AS2365" s="96">
        <f ca="1">F_GAMMA*AS$29</f>
        <v>0.3766899554102966</v>
      </c>
      <c r="AT2365" s="111"/>
      <c r="AU2365" s="28"/>
    </row>
    <row r="2366" spans="15:47" x14ac:dyDescent="0.25">
      <c r="O2366" s="2" t="s">
        <v>145</v>
      </c>
      <c r="P2366" s="12"/>
      <c r="Q2366" s="2"/>
      <c r="R2366" s="96">
        <f ca="1">IF(R2361&lt;R2365,R2363,R2364)</f>
        <v>3.4452794576441428</v>
      </c>
      <c r="S2366" s="116"/>
      <c r="T2366" s="1"/>
      <c r="U2366" s="96">
        <f ca="1">IF(U2361&lt;U2365,U2363,U2364)</f>
        <v>24.977359713790843</v>
      </c>
      <c r="V2366" s="111"/>
      <c r="W2366" s="28"/>
      <c r="X2366" s="96">
        <f ca="1">IF(X2361&lt;X2365,X2363,X2364)</f>
        <v>65.470132790355819</v>
      </c>
      <c r="Y2366" s="111"/>
      <c r="Z2366" s="28"/>
      <c r="AA2366" s="96">
        <f ca="1">IF(AA2361&lt;AA2365,AA2363,AA2364)</f>
        <v>172.25203020882412</v>
      </c>
      <c r="AB2366" s="111"/>
      <c r="AC2366" s="28"/>
      <c r="AD2366" s="96" t="e">
        <f ca="1">IF(AD2361&lt;AD2365,AD2363,AD2364)</f>
        <v>#NUM!</v>
      </c>
      <c r="AE2366" s="111"/>
      <c r="AF2366" s="28"/>
      <c r="AG2366" s="96">
        <f ca="1">IF(AG2361&lt;AG2365,AG2363,AG2364)</f>
        <v>-10123.76959157608</v>
      </c>
      <c r="AH2366" s="111"/>
      <c r="AI2366" s="28"/>
      <c r="AJ2366" s="96">
        <f ca="1">IF(AJ2361&lt;AJ2365,AJ2363,AJ2364)</f>
        <v>-491.57350713914809</v>
      </c>
      <c r="AK2366" s="111"/>
      <c r="AL2366" s="28"/>
      <c r="AM2366" s="96">
        <f ca="1">IF(AM2361&lt;AM2365,AM2363,AM2364)</f>
        <v>-323.9700256717029</v>
      </c>
      <c r="AN2366" s="111"/>
      <c r="AO2366" s="28"/>
      <c r="AP2366" s="96">
        <f ca="1">IF(AP2361&lt;AP2365,AP2363,AP2364)</f>
        <v>-247.97741847824338</v>
      </c>
      <c r="AQ2366" s="111"/>
      <c r="AR2366" s="28"/>
      <c r="AS2366" s="96">
        <f ca="1">IF(AS2361&lt;AS2365,AS2363,AS2364)</f>
        <v>-321.84174141175089</v>
      </c>
      <c r="AT2366" s="111"/>
      <c r="AU2366" s="28"/>
    </row>
    <row r="2367" spans="15:47" x14ac:dyDescent="0.25">
      <c r="O2367" s="13" t="s">
        <v>143</v>
      </c>
      <c r="P2367" s="1"/>
      <c r="Q2367" s="1"/>
      <c r="R2367" s="113"/>
      <c r="S2367" s="106">
        <f ca="1">IF(R2360&lt;=0,Q_max,ABS(R$23-R2366))</f>
        <v>1.2847205423558576</v>
      </c>
      <c r="T2367" s="7">
        <f>R2356</f>
        <v>8529.3350755818374</v>
      </c>
      <c r="U2367" s="98"/>
      <c r="V2367" s="106">
        <f ca="1">IF(U2360&lt;=0,Q_max,ABS(U$23-U2366))</f>
        <v>13.377359713790844</v>
      </c>
      <c r="W2367" s="9">
        <f ca="1">U2356</f>
        <v>61075.351084919675</v>
      </c>
      <c r="X2367" s="98"/>
      <c r="Y2367" s="106">
        <f ca="1">IF(X2360&lt;=0,Q_max,ABS(X$23-X2366))</f>
        <v>42.470132790355819</v>
      </c>
      <c r="Z2367" s="9">
        <f ca="1">X2356</f>
        <v>149551.10028216193</v>
      </c>
      <c r="AA2367" s="98"/>
      <c r="AB2367" s="106">
        <f ca="1">IF(AA2360&lt;=0,Q_max,ABS(AA$23-AA2366))</f>
        <v>132.85203020882412</v>
      </c>
      <c r="AC2367" s="9">
        <f ca="1">AA2356</f>
        <v>291287.37111724366</v>
      </c>
      <c r="AD2367" s="98"/>
      <c r="AE2367" s="106">
        <f ca="1">IF(AD2360&lt;=0,Q_max,ABS(AD$23-AD2366))</f>
        <v>236393</v>
      </c>
      <c r="AF2367" s="9">
        <f ca="1">AD2356</f>
        <v>488689.59548546484</v>
      </c>
      <c r="AG2367" s="98"/>
      <c r="AH2367" s="106">
        <f ca="1">IF(AG2360&lt;=0,Q_max,ABS(AG$23-AG2366))</f>
        <v>236393</v>
      </c>
      <c r="AI2367" s="9">
        <f ca="1">AG2356</f>
        <v>713255.77463014098</v>
      </c>
      <c r="AJ2367" s="98"/>
      <c r="AK2367" s="106">
        <f ca="1">IF(AJ2360&lt;=0,Q_max,ABS(AJ$23-AJ2366))</f>
        <v>236393</v>
      </c>
      <c r="AL2367" s="9">
        <f ca="1">AJ2356</f>
        <v>951842.59622788825</v>
      </c>
      <c r="AM2367" s="98"/>
      <c r="AN2367" s="106">
        <f ca="1">IF(AM2360&lt;=0,Q_max,ABS(AM$23-AM2366))</f>
        <v>236393</v>
      </c>
      <c r="AO2367" s="9">
        <f ca="1">AM2356</f>
        <v>1161428.8555154835</v>
      </c>
      <c r="AP2367" s="98"/>
      <c r="AQ2367" s="106">
        <f ca="1">IF(AP2360&lt;=0,Q_max,ABS(AP$23-AP2366))</f>
        <v>236393</v>
      </c>
      <c r="AR2367" s="9">
        <f ca="1">AP2356</f>
        <v>1348382.8451243842</v>
      </c>
      <c r="AS2367" s="98"/>
      <c r="AT2367" s="106">
        <f ca="1">IF(AS2360&lt;=0,Q_max,ABS(AS$23-AS2366))</f>
        <v>236393</v>
      </c>
      <c r="AU2367" s="9">
        <f ca="1">AS2356</f>
        <v>1581084.9293743116</v>
      </c>
    </row>
    <row r="2368" spans="15:47" x14ac:dyDescent="0.25">
      <c r="O2368" s="21"/>
      <c r="P2368" s="14"/>
      <c r="Q2368" s="21"/>
      <c r="R2368" s="97"/>
      <c r="S2368" s="106"/>
      <c r="T2368" s="28"/>
      <c r="U2368" s="97"/>
      <c r="V2368" s="111"/>
      <c r="W2368" s="28"/>
      <c r="X2368" s="97"/>
      <c r="Y2368" s="111"/>
      <c r="Z2368" s="28"/>
      <c r="AA2368" s="97"/>
      <c r="AB2368" s="111"/>
      <c r="AC2368" s="28"/>
      <c r="AD2368" s="97"/>
      <c r="AE2368" s="111"/>
      <c r="AF2368" s="28"/>
      <c r="AG2368" s="97"/>
      <c r="AH2368" s="111"/>
      <c r="AI2368" s="28"/>
      <c r="AJ2368" s="97"/>
      <c r="AK2368" s="111"/>
      <c r="AL2368" s="28"/>
      <c r="AM2368" s="97"/>
      <c r="AN2368" s="111"/>
      <c r="AO2368" s="28"/>
      <c r="AP2368" s="97"/>
      <c r="AQ2368" s="111"/>
      <c r="AR2368" s="28"/>
      <c r="AS2368" s="97"/>
      <c r="AT2368" s="111"/>
      <c r="AU2368" s="28"/>
    </row>
    <row r="2369" spans="15:47" x14ac:dyDescent="0.25">
      <c r="O2369" s="1"/>
      <c r="P2369" s="1"/>
      <c r="Q2369" s="1"/>
      <c r="R2369" s="98"/>
      <c r="S2369" s="108" t="s">
        <v>137</v>
      </c>
      <c r="T2369" s="26" t="s">
        <v>146</v>
      </c>
      <c r="U2369" s="98"/>
      <c r="V2369" s="108" t="s">
        <v>137</v>
      </c>
      <c r="W2369" s="26" t="s">
        <v>146</v>
      </c>
      <c r="X2369" s="98"/>
      <c r="Y2369" s="108" t="s">
        <v>137</v>
      </c>
      <c r="Z2369" s="26" t="s">
        <v>146</v>
      </c>
      <c r="AA2369" s="98"/>
      <c r="AB2369" s="108" t="s">
        <v>137</v>
      </c>
      <c r="AC2369" s="26" t="s">
        <v>146</v>
      </c>
      <c r="AD2369" s="98"/>
      <c r="AE2369" s="108" t="s">
        <v>137</v>
      </c>
      <c r="AF2369" s="26" t="s">
        <v>146</v>
      </c>
      <c r="AG2369" s="98"/>
      <c r="AH2369" s="108" t="s">
        <v>137</v>
      </c>
      <c r="AI2369" s="26" t="s">
        <v>146</v>
      </c>
      <c r="AJ2369" s="98"/>
      <c r="AK2369" s="108" t="s">
        <v>137</v>
      </c>
      <c r="AL2369" s="26" t="s">
        <v>146</v>
      </c>
      <c r="AM2369" s="98"/>
      <c r="AN2369" s="108" t="s">
        <v>137</v>
      </c>
      <c r="AO2369" s="26" t="s">
        <v>146</v>
      </c>
      <c r="AP2369" s="98"/>
      <c r="AQ2369" s="108" t="s">
        <v>137</v>
      </c>
      <c r="AR2369" s="26" t="s">
        <v>146</v>
      </c>
      <c r="AS2369" s="98"/>
      <c r="AT2369" s="108" t="s">
        <v>137</v>
      </c>
      <c r="AU2369" s="26" t="s">
        <v>146</v>
      </c>
    </row>
    <row r="2370" spans="15:47" ht="13.8" x14ac:dyDescent="0.25">
      <c r="O2370" s="20" t="s">
        <v>136</v>
      </c>
      <c r="P2370" s="1"/>
      <c r="Q2370" s="1"/>
      <c r="R2370" s="96">
        <f>R2356*1.02</f>
        <v>8699.9217770934738</v>
      </c>
      <c r="S2370" s="109" t="s">
        <v>144</v>
      </c>
      <c r="T2370" s="23" t="s">
        <v>147</v>
      </c>
      <c r="U2370" s="96">
        <f ca="1">U2356*1.01</f>
        <v>61686.104595768869</v>
      </c>
      <c r="V2370" s="109" t="s">
        <v>144</v>
      </c>
      <c r="W2370" s="23" t="s">
        <v>147</v>
      </c>
      <c r="X2370" s="96">
        <f ca="1">X2356*1.01</f>
        <v>151046.61128498355</v>
      </c>
      <c r="Y2370" s="109" t="s">
        <v>144</v>
      </c>
      <c r="Z2370" s="23" t="s">
        <v>147</v>
      </c>
      <c r="AA2370" s="96">
        <f ca="1">AA2356*1.01</f>
        <v>294200.24482841609</v>
      </c>
      <c r="AB2370" s="109" t="s">
        <v>144</v>
      </c>
      <c r="AC2370" s="23" t="s">
        <v>147</v>
      </c>
      <c r="AD2370" s="96">
        <f ca="1">AD2356*1.01</f>
        <v>493576.49144031951</v>
      </c>
      <c r="AE2370" s="109" t="s">
        <v>144</v>
      </c>
      <c r="AF2370" s="23" t="s">
        <v>147</v>
      </c>
      <c r="AG2370" s="96">
        <f ca="1">AG2356*1.01</f>
        <v>720388.33237644238</v>
      </c>
      <c r="AH2370" s="109" t="s">
        <v>144</v>
      </c>
      <c r="AI2370" s="23" t="s">
        <v>147</v>
      </c>
      <c r="AJ2370" s="96">
        <f ca="1">AJ2356*1.01</f>
        <v>961361.0221901671</v>
      </c>
      <c r="AK2370" s="109" t="s">
        <v>144</v>
      </c>
      <c r="AL2370" s="23" t="s">
        <v>147</v>
      </c>
      <c r="AM2370" s="96">
        <f ca="1">AM2356*1.01</f>
        <v>1173043.1440706383</v>
      </c>
      <c r="AN2370" s="109" t="s">
        <v>144</v>
      </c>
      <c r="AO2370" s="23" t="s">
        <v>147</v>
      </c>
      <c r="AP2370" s="96">
        <f ca="1">AP2356*1.01</f>
        <v>1361866.6735756281</v>
      </c>
      <c r="AQ2370" s="109" t="s">
        <v>144</v>
      </c>
      <c r="AR2370" s="23" t="s">
        <v>147</v>
      </c>
      <c r="AS2370" s="96">
        <f ca="1">AS2356*1.01</f>
        <v>1596895.7786680546</v>
      </c>
      <c r="AT2370" s="109" t="s">
        <v>144</v>
      </c>
      <c r="AU2370" s="23" t="s">
        <v>147</v>
      </c>
    </row>
    <row r="2371" spans="15:47" x14ac:dyDescent="0.25">
      <c r="O2371" s="1"/>
      <c r="P2371" s="1"/>
      <c r="Q2371" s="1"/>
      <c r="R2371" s="98"/>
      <c r="S2371" s="107"/>
      <c r="T2371" s="1"/>
      <c r="U2371" s="47"/>
      <c r="V2371" s="107"/>
      <c r="W2371" s="1"/>
      <c r="X2371" s="47"/>
      <c r="Y2371" s="107"/>
      <c r="Z2371" s="1"/>
      <c r="AA2371" s="47"/>
      <c r="AB2371" s="107"/>
      <c r="AC2371" s="1"/>
      <c r="AD2371" s="47"/>
      <c r="AE2371" s="107"/>
      <c r="AF2371" s="1"/>
      <c r="AG2371" s="47"/>
      <c r="AH2371" s="107"/>
      <c r="AI2371" s="1"/>
      <c r="AJ2371" s="47"/>
      <c r="AK2371" s="107"/>
      <c r="AL2371" s="1"/>
      <c r="AM2371" s="47"/>
      <c r="AN2371" s="107"/>
      <c r="AO2371" s="1"/>
      <c r="AP2371" s="47"/>
      <c r="AQ2371" s="107"/>
      <c r="AR2371" s="1"/>
      <c r="AS2371" s="47"/>
      <c r="AT2371" s="107"/>
      <c r="AU2371" s="1"/>
    </row>
    <row r="2372" spans="15:47" x14ac:dyDescent="0.25">
      <c r="O2372" s="8" t="s">
        <v>132</v>
      </c>
      <c r="P2372" s="8"/>
      <c r="Q2372" s="8"/>
      <c r="R2372" s="96">
        <f>P_1_minQ-(R2370^2*R_up)+dpup_minQ</f>
        <v>90.171245449957041</v>
      </c>
      <c r="S2372" s="106"/>
      <c r="T2372" s="22"/>
      <c r="U2372" s="96">
        <f ca="1">P_1_minQ-(U2370^2*R_up)+dpup_minQ</f>
        <v>89.491505776309012</v>
      </c>
      <c r="V2372" s="107"/>
      <c r="W2372" s="1"/>
      <c r="X2372" s="96">
        <f ca="1">P_1_minQ-(X2370^2*R_up)+dpup_minQ</f>
        <v>86.026743482564711</v>
      </c>
      <c r="Y2372" s="107"/>
      <c r="Z2372" s="1"/>
      <c r="AA2372" s="96">
        <f ca="1">P_1_minQ-(AA2370^2*R_up)+dpup_minQ</f>
        <v>74.409668980106119</v>
      </c>
      <c r="AB2372" s="107"/>
      <c r="AC2372" s="1"/>
      <c r="AD2372" s="96">
        <f ca="1">P_1_minQ-(AD2370^2*R_up)+dpup_minQ</f>
        <v>45.783046901477356</v>
      </c>
      <c r="AE2372" s="107"/>
      <c r="AF2372" s="1"/>
      <c r="AG2372" s="96">
        <f ca="1">P_1_minQ-(AG2370^2*R_up)+dpup_minQ</f>
        <v>-4.4009633721079675</v>
      </c>
      <c r="AH2372" s="107"/>
      <c r="AI2372" s="1"/>
      <c r="AJ2372" s="96">
        <f ca="1">P_1_minQ-(AJ2370^2*R_up)+dpup_minQ</f>
        <v>-78.263230246917288</v>
      </c>
      <c r="AK2372" s="107"/>
      <c r="AL2372" s="1"/>
      <c r="AM2372" s="96">
        <f ca="1">P_1_minQ-(AM2370^2*R_up)+dpup_minQ</f>
        <v>-160.61148081552568</v>
      </c>
      <c r="AN2372" s="107"/>
      <c r="AO2372" s="1"/>
      <c r="AP2372" s="96">
        <f ca="1">P_1_minQ-(AP2370^2*R_up)+dpup_minQ</f>
        <v>-247.85077873492179</v>
      </c>
      <c r="AQ2372" s="107"/>
      <c r="AR2372" s="1"/>
      <c r="AS2372" s="96">
        <f ca="1">P_1_minQ-(AS2370^2*R_up)+dpup_minQ</f>
        <v>-374.59415817802255</v>
      </c>
      <c r="AT2372" s="107"/>
      <c r="AU2372" s="1"/>
    </row>
    <row r="2373" spans="15:47" x14ac:dyDescent="0.25">
      <c r="O2373" s="8" t="s">
        <v>134</v>
      </c>
      <c r="P2373" s="1"/>
      <c r="Q2373" s="8"/>
      <c r="R2373" s="97">
        <f>P_2_minQ+(R2370^2*R_dn)-dpdn_minQ</f>
        <v>60</v>
      </c>
      <c r="S2373" s="106"/>
      <c r="T2373" s="22"/>
      <c r="U2373" s="97">
        <f ca="1">P_2_minQ+(U2370^2*R_dn)-dpdn_minQ</f>
        <v>60</v>
      </c>
      <c r="V2373" s="107"/>
      <c r="W2373" s="1"/>
      <c r="X2373" s="97">
        <f ca="1">P_2_minQ+(X2370^2*R_dn)-dpdn_minQ</f>
        <v>60</v>
      </c>
      <c r="Y2373" s="107"/>
      <c r="Z2373" s="1"/>
      <c r="AA2373" s="97">
        <f ca="1">P_2_minQ+(AA2370^2*R_dn)-dpdn_minQ</f>
        <v>60</v>
      </c>
      <c r="AB2373" s="107"/>
      <c r="AC2373" s="1"/>
      <c r="AD2373" s="97">
        <f ca="1">P_2_minQ+(AD2370^2*R_dn)-dpdn_minQ</f>
        <v>60</v>
      </c>
      <c r="AE2373" s="107"/>
      <c r="AF2373" s="1"/>
      <c r="AG2373" s="97">
        <f ca="1">P_2_minQ+(AG2370^2*R_dn)-dpdn_minQ</f>
        <v>60</v>
      </c>
      <c r="AH2373" s="107"/>
      <c r="AI2373" s="1"/>
      <c r="AJ2373" s="97">
        <f ca="1">P_2_minQ+(AJ2370^2*R_dn)-dpdn_minQ</f>
        <v>60</v>
      </c>
      <c r="AK2373" s="107"/>
      <c r="AL2373" s="1"/>
      <c r="AM2373" s="97">
        <f ca="1">P_2_minQ+(AM2370^2*R_dn)-dpdn_minQ</f>
        <v>60</v>
      </c>
      <c r="AN2373" s="107"/>
      <c r="AO2373" s="1"/>
      <c r="AP2373" s="97">
        <f ca="1">P_2_minQ+(AP2370^2*R_dn)-dpdn_minQ</f>
        <v>60</v>
      </c>
      <c r="AQ2373" s="107"/>
      <c r="AR2373" s="1"/>
      <c r="AS2373" s="97">
        <f ca="1">P_2_minQ+(AS2370^2*R_dn)-dpdn_minQ</f>
        <v>60</v>
      </c>
      <c r="AT2373" s="107"/>
      <c r="AU2373" s="1"/>
    </row>
    <row r="2374" spans="15:47" x14ac:dyDescent="0.25">
      <c r="O2374" s="8" t="s">
        <v>138</v>
      </c>
      <c r="P2374" s="1"/>
      <c r="Q2374" s="8"/>
      <c r="R2374" s="97">
        <f>R2372-R2373</f>
        <v>30.171245449957041</v>
      </c>
      <c r="S2374" s="106"/>
      <c r="T2374" s="22"/>
      <c r="U2374" s="97">
        <f ca="1">U2372-U2373</f>
        <v>29.491505776309012</v>
      </c>
      <c r="V2374" s="110"/>
      <c r="W2374" s="25"/>
      <c r="X2374" s="97">
        <f ca="1">X2372-X2373</f>
        <v>26.026743482564711</v>
      </c>
      <c r="Y2374" s="110"/>
      <c r="Z2374" s="25"/>
      <c r="AA2374" s="97">
        <f ca="1">AA2372-AA2373</f>
        <v>14.409668980106119</v>
      </c>
      <c r="AB2374" s="110"/>
      <c r="AC2374" s="25"/>
      <c r="AD2374" s="97">
        <f ca="1">AD2372-AD2373</f>
        <v>-14.216953098522644</v>
      </c>
      <c r="AE2374" s="110"/>
      <c r="AF2374" s="25"/>
      <c r="AG2374" s="97">
        <f ca="1">AG2372-AG2373</f>
        <v>-64.400963372107967</v>
      </c>
      <c r="AH2374" s="110"/>
      <c r="AI2374" s="25"/>
      <c r="AJ2374" s="97">
        <f ca="1">AJ2372-AJ2373</f>
        <v>-138.26323024691729</v>
      </c>
      <c r="AK2374" s="110"/>
      <c r="AL2374" s="25"/>
      <c r="AM2374" s="97">
        <f ca="1">AM2372-AM2373</f>
        <v>-220.61148081552568</v>
      </c>
      <c r="AN2374" s="110"/>
      <c r="AO2374" s="25"/>
      <c r="AP2374" s="97">
        <f ca="1">AP2372-AP2373</f>
        <v>-307.85077873492179</v>
      </c>
      <c r="AQ2374" s="110"/>
      <c r="AR2374" s="25"/>
      <c r="AS2374" s="97">
        <f ca="1">AS2372-AS2373</f>
        <v>-434.59415817802255</v>
      </c>
      <c r="AT2374" s="110"/>
      <c r="AU2374" s="25"/>
    </row>
    <row r="2375" spans="15:47" ht="14.4" x14ac:dyDescent="0.3">
      <c r="O2375" s="2" t="s">
        <v>140</v>
      </c>
      <c r="P2375" s="11"/>
      <c r="Q2375" s="2"/>
      <c r="R2375" s="96">
        <f>R2374/R2372</f>
        <v>0.33459940915090702</v>
      </c>
      <c r="S2375" s="106"/>
      <c r="T2375" s="22"/>
      <c r="U2375" s="96">
        <f ca="1">U2374/U2372</f>
        <v>0.32954530735045767</v>
      </c>
      <c r="V2375" s="111"/>
      <c r="W2375" s="28"/>
      <c r="X2375" s="96">
        <f ca="1">X2374/X2372</f>
        <v>0.30254247027076675</v>
      </c>
      <c r="Y2375" s="111"/>
      <c r="Z2375" s="28"/>
      <c r="AA2375" s="96">
        <f ca="1">AA2374/AA2372</f>
        <v>0.19365317945385072</v>
      </c>
      <c r="AB2375" s="111"/>
      <c r="AC2375" s="28"/>
      <c r="AD2375" s="96">
        <f ca="1">AD2374/AD2372</f>
        <v>-0.31052876688431769</v>
      </c>
      <c r="AE2375" s="111"/>
      <c r="AF2375" s="28"/>
      <c r="AG2375" s="96">
        <f ca="1">AG2374/AG2372</f>
        <v>14.63337863256546</v>
      </c>
      <c r="AH2375" s="111"/>
      <c r="AI2375" s="28"/>
      <c r="AJ2375" s="96">
        <f ca="1">AJ2374/AJ2372</f>
        <v>1.7666435414268291</v>
      </c>
      <c r="AK2375" s="111"/>
      <c r="AL2375" s="28"/>
      <c r="AM2375" s="96">
        <f ca="1">AM2374/AM2372</f>
        <v>1.3735722981653753</v>
      </c>
      <c r="AN2375" s="111"/>
      <c r="AO2375" s="28"/>
      <c r="AP2375" s="96">
        <f ca="1">AP2374/AP2372</f>
        <v>1.2420811437682446</v>
      </c>
      <c r="AQ2375" s="111"/>
      <c r="AR2375" s="28"/>
      <c r="AS2375" s="96">
        <f ca="1">AS2374/AS2372</f>
        <v>1.1601733467810396</v>
      </c>
      <c r="AT2375" s="111"/>
      <c r="AU2375" s="28"/>
    </row>
    <row r="2376" spans="15:47" x14ac:dyDescent="0.25">
      <c r="O2376" s="2" t="s">
        <v>21</v>
      </c>
      <c r="P2376" s="8">
        <v>12</v>
      </c>
      <c r="Q2376" s="2"/>
      <c r="R2376" s="96">
        <f ca="1">1-R2375/(3*F_GAMMA*R$29)</f>
        <v>0.82573756058992387</v>
      </c>
      <c r="S2376" s="106"/>
      <c r="T2376" s="22"/>
      <c r="U2376" s="96">
        <f ca="1">1-U2375/(3*F_GAMMA*U$29)</f>
        <v>0.82840965541665468</v>
      </c>
      <c r="V2376" s="111"/>
      <c r="W2376" s="28"/>
      <c r="X2376" s="96">
        <f ca="1">1-X2375/(3*F_GAMMA*X$29)</f>
        <v>0.84096935864895728</v>
      </c>
      <c r="Y2376" s="111"/>
      <c r="Z2376" s="28"/>
      <c r="AA2376" s="96">
        <f ca="1">1-AA2375/(3*F_GAMMA*AA$29)</f>
        <v>0.89677183717840381</v>
      </c>
      <c r="AB2376" s="111"/>
      <c r="AC2376" s="28"/>
      <c r="AD2376" s="96">
        <f ca="1">1-AD2375/(3*F_GAMMA*AD$29)</f>
        <v>1.1706632626195979</v>
      </c>
      <c r="AE2376" s="111"/>
      <c r="AF2376" s="28"/>
      <c r="AG2376" s="96">
        <f ca="1">1-AG2375/(3*F_GAMMA*AG$29)</f>
        <v>-7.5249376560833081</v>
      </c>
      <c r="AH2376" s="111"/>
      <c r="AI2376" s="28"/>
      <c r="AJ2376" s="96">
        <f ca="1">1-AJ2375/(3*F_GAMMA*AJ$29)</f>
        <v>-0.10726746850055124</v>
      </c>
      <c r="AK2376" s="111"/>
      <c r="AL2376" s="28"/>
      <c r="AM2376" s="96">
        <f ca="1">1-AM2375/(3*F_GAMMA*AM$29)</f>
        <v>3.7437456252429113E-2</v>
      </c>
      <c r="AN2376" s="111"/>
      <c r="AO2376" s="28"/>
      <c r="AP2376" s="96">
        <f ca="1">1-AP2375/(3*F_GAMMA*AP$29)</f>
        <v>0.2989028036597946</v>
      </c>
      <c r="AQ2376" s="111"/>
      <c r="AR2376" s="28"/>
      <c r="AS2376" s="96">
        <f ca="1">1-AS2375/(3*F_GAMMA*AS$29)</f>
        <v>-2.6638601249101113E-2</v>
      </c>
      <c r="AT2376" s="111"/>
      <c r="AU2376" s="28"/>
    </row>
    <row r="2377" spans="15:47" x14ac:dyDescent="0.25">
      <c r="O2377" s="2" t="s">
        <v>57</v>
      </c>
      <c r="P2377" s="143">
        <v>7</v>
      </c>
      <c r="Q2377" s="2"/>
      <c r="R2377" s="96">
        <f ca="1">(R2370/(N_9*R$27*R2372*R2376))*SQRT(M*'Valve Sizing'!$W$6*'Valve Sizing'!$G$8/R2375)</f>
        <v>3.5142179200259913</v>
      </c>
      <c r="S2377" s="107"/>
      <c r="T2377" s="22"/>
      <c r="U2377" s="96">
        <f ca="1">(U2370/(N_9*U$27*U2372*U2376))*SQRT(M*'Valve Sizing'!$W$6*'Valve Sizing'!$G$8/U2375)</f>
        <v>25.23328021243665</v>
      </c>
      <c r="V2377" s="111"/>
      <c r="W2377" s="28"/>
      <c r="X2377" s="96">
        <f ca="1">(X2370/(N_9*X$27*X2372*X2376))*SQRT(M*'Valve Sizing'!$W$6*'Valve Sizing'!$G$8/X2375)</f>
        <v>66.232882298606967</v>
      </c>
      <c r="Y2377" s="111"/>
      <c r="Z2377" s="28"/>
      <c r="AA2377" s="96">
        <f ca="1">(AA2370/(N_9*AA$27*AA2372*AA2376))*SQRT(M*'Valve Sizing'!$W$6*'Valve Sizing'!$G$8/AA2375)</f>
        <v>175.8565292816867</v>
      </c>
      <c r="AB2377" s="111"/>
      <c r="AC2377" s="28"/>
      <c r="AD2377" s="96" t="e">
        <f ca="1">(AD2370/(N_9*AD$27*AD2372*AD2376))*SQRT(M*'Valve Sizing'!$W$6*'Valve Sizing'!$G$8/AD2375)</f>
        <v>#NUM!</v>
      </c>
      <c r="AE2377" s="111"/>
      <c r="AF2377" s="28"/>
      <c r="AG2377" s="96">
        <f ca="1">(AG2370/(N_9*AG$27*AG2372*AG2376))*SQRT(M*'Valve Sizing'!$W$6*'Valve Sizing'!$G$8/AG2375)</f>
        <v>103.32253303265938</v>
      </c>
      <c r="AH2377" s="111"/>
      <c r="AI2377" s="28"/>
      <c r="AJ2377" s="96">
        <f ca="1">(AJ2370/(N_9*AJ$27*AJ2372*AJ2376))*SQRT(M*'Valve Sizing'!$W$6*'Valve Sizing'!$G$8/AJ2375)</f>
        <v>1622.0365017621903</v>
      </c>
      <c r="AK2377" s="111"/>
      <c r="AL2377" s="28"/>
      <c r="AM2377" s="96">
        <f ca="1">(AM2370/(N_9*AM$27*AM2372*AM2376))*SQRT(M*'Valve Sizing'!$W$6*'Valve Sizing'!$G$8/AM2375)</f>
        <v>-3325.0515025384648</v>
      </c>
      <c r="AN2377" s="111"/>
      <c r="AO2377" s="28"/>
      <c r="AP2377" s="96">
        <f ca="1">(AP2370/(N_9*AP$27*AP2372*AP2376))*SQRT(M*'Valve Sizing'!$W$6*'Valve Sizing'!$G$8/AP2375)</f>
        <v>-375.01519814933977</v>
      </c>
      <c r="AQ2377" s="111"/>
      <c r="AR2377" s="28"/>
      <c r="AS2377" s="96">
        <f ca="1">(AS2370/(N_9*AS$27*AS2372*AS2376))*SQRT(M*'Valve Sizing'!$W$6*'Valve Sizing'!$G$8/AS2375)</f>
        <v>4524.3820479976357</v>
      </c>
      <c r="AT2377" s="111"/>
      <c r="AU2377" s="28"/>
    </row>
    <row r="2378" spans="15:47" x14ac:dyDescent="0.25">
      <c r="O2378" s="2" t="s">
        <v>59</v>
      </c>
      <c r="P2378" s="143">
        <v>7</v>
      </c>
      <c r="Q2378" s="2"/>
      <c r="R2378" s="96">
        <f ca="1">(R2370/(N_9*R$27*R2372*0.667))*SQRT(M*'Valve Sizing'!$W$6*'Valve Sizing'!$G$8/R2379)</f>
        <v>3.1456283988454152</v>
      </c>
      <c r="S2378" s="107"/>
      <c r="T2378" s="22"/>
      <c r="U2378" s="96">
        <f ca="1">(U2370/(N_9*U$27*U2372*0.667))*SQRT(M*'Valve Sizing'!$W$6*'Valve Sizing'!$G$8/U2379)</f>
        <v>22.485372118167724</v>
      </c>
      <c r="V2378" s="111"/>
      <c r="W2378" s="28"/>
      <c r="X2378" s="96">
        <f ca="1">(X2370/(N_9*X$27*X2372*0.667))*SQRT(M*'Valve Sizing'!$W$6*'Valve Sizing'!$G$8/X2379)</f>
        <v>57.680501252560077</v>
      </c>
      <c r="Y2378" s="111"/>
      <c r="Z2378" s="28"/>
      <c r="AA2378" s="96">
        <f ca="1">(AA2370/(N_9*AA$27*AA2372*0.667))*SQRT(M*'Valve Sizing'!$W$6*'Valve Sizing'!$G$8/AA2379)</f>
        <v>131.57529460015616</v>
      </c>
      <c r="AB2378" s="111"/>
      <c r="AC2378" s="28"/>
      <c r="AD2378" s="96">
        <f ca="1">(AD2370/(N_9*AD$27*AD2372*0.667))*SQRT(M*'Valve Sizing'!$W$6*'Valve Sizing'!$G$8/AD2379)</f>
        <v>368.79896761470275</v>
      </c>
      <c r="AE2378" s="111"/>
      <c r="AF2378" s="28"/>
      <c r="AG2378" s="96">
        <f ca="1">(AG2370/(N_9*AG$27*AG2372*0.667))*SQRT(M*'Valve Sizing'!$W$6*'Valve Sizing'!$G$8/AG2379)</f>
        <v>-5894.9258971935678</v>
      </c>
      <c r="AH2378" s="111"/>
      <c r="AI2378" s="28"/>
      <c r="AJ2378" s="96">
        <f ca="1">(AJ2370/(N_9*AJ$27*AJ2372*0.667))*SQRT(M*'Valve Sizing'!$W$6*'Valve Sizing'!$G$8/AJ2379)</f>
        <v>-475.4334328133931</v>
      </c>
      <c r="AK2378" s="111"/>
      <c r="AL2378" s="28"/>
      <c r="AM2378" s="96">
        <f ca="1">(AM2370/(N_9*AM$27*AM2372*0.667))*SQRT(M*'Valve Sizing'!$W$6*'Valve Sizing'!$G$8/AM2379)</f>
        <v>-317.14216107244812</v>
      </c>
      <c r="AN2378" s="111"/>
      <c r="AO2378" s="28"/>
      <c r="AP2378" s="96">
        <f ca="1">(AP2370/(N_9*AP$27*AP2372*0.667))*SQRT(M*'Valve Sizing'!$W$6*'Valve Sizing'!$G$8/AP2379)</f>
        <v>-243.72650787308334</v>
      </c>
      <c r="AQ2378" s="111"/>
      <c r="AR2378" s="28"/>
      <c r="AS2378" s="96">
        <f ca="1">(AS2370/(N_9*AS$27*AS2372*0.667))*SQRT(M*'Valve Sizing'!$W$6*'Valve Sizing'!$G$8/AS2379)</f>
        <v>-317.11316755990981</v>
      </c>
      <c r="AT2378" s="111"/>
      <c r="AU2378" s="28"/>
    </row>
    <row r="2379" spans="15:47" ht="15.6" x14ac:dyDescent="0.35">
      <c r="O2379" s="2" t="s">
        <v>68</v>
      </c>
      <c r="P2379" s="143">
        <v>10</v>
      </c>
      <c r="Q2379" s="2"/>
      <c r="R2379" s="96">
        <f ca="1">F_GAMMA*R$29</f>
        <v>0.64002969751372984</v>
      </c>
      <c r="S2379" s="107"/>
      <c r="T2379" s="1"/>
      <c r="U2379" s="96">
        <f ca="1">F_GAMMA*U$29</f>
        <v>0.64017842058782071</v>
      </c>
      <c r="V2379" s="111"/>
      <c r="W2379" s="28"/>
      <c r="X2379" s="96">
        <f ca="1">F_GAMMA*X$29</f>
        <v>0.63413873724904268</v>
      </c>
      <c r="Y2379" s="111"/>
      <c r="Z2379" s="28"/>
      <c r="AA2379" s="96">
        <f ca="1">F_GAMMA*AA$29</f>
        <v>0.62532411750377137</v>
      </c>
      <c r="AB2379" s="111"/>
      <c r="AC2379" s="28"/>
      <c r="AD2379" s="96">
        <f ca="1">F_GAMMA*AD$29</f>
        <v>0.60651359509139569</v>
      </c>
      <c r="AE2379" s="111"/>
      <c r="AF2379" s="28"/>
      <c r="AG2379" s="96">
        <f ca="1">F_GAMMA*AG$29</f>
        <v>0.57217930198481592</v>
      </c>
      <c r="AH2379" s="111"/>
      <c r="AI2379" s="28"/>
      <c r="AJ2379" s="96">
        <f ca="1">F_GAMMA*AJ$29</f>
        <v>0.53183282018848232</v>
      </c>
      <c r="AK2379" s="111"/>
      <c r="AL2379" s="28"/>
      <c r="AM2379" s="96">
        <f ca="1">F_GAMMA*AM$29</f>
        <v>0.47566512503094399</v>
      </c>
      <c r="AN2379" s="111"/>
      <c r="AO2379" s="28"/>
      <c r="AP2379" s="96">
        <f ca="1">F_GAMMA*AP$29</f>
        <v>0.59054158265645496</v>
      </c>
      <c r="AQ2379" s="111"/>
      <c r="AR2379" s="28"/>
      <c r="AS2379" s="96">
        <f ca="1">F_GAMMA*AS$29</f>
        <v>0.3766899554102966</v>
      </c>
      <c r="AT2379" s="111"/>
      <c r="AU2379" s="28"/>
    </row>
    <row r="2380" spans="15:47" x14ac:dyDescent="0.25">
      <c r="O2380" s="2" t="s">
        <v>145</v>
      </c>
      <c r="P2380" s="12"/>
      <c r="Q2380" s="2"/>
      <c r="R2380" s="96">
        <f ca="1">IF(R2375&lt;R2379,R2377,R2378)</f>
        <v>3.5142179200259913</v>
      </c>
      <c r="S2380" s="116"/>
      <c r="T2380" s="1"/>
      <c r="U2380" s="96">
        <f ca="1">IF(U2375&lt;U2379,U2377,U2378)</f>
        <v>25.23328021243665</v>
      </c>
      <c r="V2380" s="111"/>
      <c r="W2380" s="28"/>
      <c r="X2380" s="96">
        <f ca="1">IF(X2375&lt;X2379,X2377,X2378)</f>
        <v>66.232882298606967</v>
      </c>
      <c r="Y2380" s="111"/>
      <c r="Z2380" s="28"/>
      <c r="AA2380" s="96">
        <f ca="1">IF(AA2375&lt;AA2379,AA2377,AA2378)</f>
        <v>175.8565292816867</v>
      </c>
      <c r="AB2380" s="111"/>
      <c r="AC2380" s="28"/>
      <c r="AD2380" s="96" t="e">
        <f ca="1">IF(AD2375&lt;AD2379,AD2377,AD2378)</f>
        <v>#NUM!</v>
      </c>
      <c r="AE2380" s="111"/>
      <c r="AF2380" s="28"/>
      <c r="AG2380" s="96">
        <f ca="1">IF(AG2375&lt;AG2379,AG2377,AG2378)</f>
        <v>-5894.9258971935678</v>
      </c>
      <c r="AH2380" s="111"/>
      <c r="AI2380" s="28"/>
      <c r="AJ2380" s="96">
        <f ca="1">IF(AJ2375&lt;AJ2379,AJ2377,AJ2378)</f>
        <v>-475.4334328133931</v>
      </c>
      <c r="AK2380" s="111"/>
      <c r="AL2380" s="28"/>
      <c r="AM2380" s="96">
        <f ca="1">IF(AM2375&lt;AM2379,AM2377,AM2378)</f>
        <v>-317.14216107244812</v>
      </c>
      <c r="AN2380" s="111"/>
      <c r="AO2380" s="28"/>
      <c r="AP2380" s="96">
        <f ca="1">IF(AP2375&lt;AP2379,AP2377,AP2378)</f>
        <v>-243.72650787308334</v>
      </c>
      <c r="AQ2380" s="111"/>
      <c r="AR2380" s="28"/>
      <c r="AS2380" s="96">
        <f ca="1">IF(AS2375&lt;AS2379,AS2377,AS2378)</f>
        <v>-317.11316755990981</v>
      </c>
      <c r="AT2380" s="111"/>
      <c r="AU2380" s="28"/>
    </row>
    <row r="2381" spans="15:47" x14ac:dyDescent="0.25">
      <c r="O2381" s="13" t="s">
        <v>143</v>
      </c>
      <c r="P2381" s="1"/>
      <c r="Q2381" s="1"/>
      <c r="R2381" s="113"/>
      <c r="S2381" s="106">
        <f ca="1">IF(R2374&lt;=0,Q_max,ABS(R$23-R2380))</f>
        <v>1.2157820799740091</v>
      </c>
      <c r="T2381" s="7">
        <f>R2370</f>
        <v>8699.9217770934738</v>
      </c>
      <c r="U2381" s="98"/>
      <c r="V2381" s="106">
        <f ca="1">IF(U2374&lt;=0,Q_max,ABS(U$23-U2380))</f>
        <v>13.633280212436651</v>
      </c>
      <c r="W2381" s="9">
        <f ca="1">U2370</f>
        <v>61686.104595768869</v>
      </c>
      <c r="X2381" s="98"/>
      <c r="Y2381" s="106">
        <f ca="1">IF(X2374&lt;=0,Q_max,ABS(X$23-X2380))</f>
        <v>43.232882298606967</v>
      </c>
      <c r="Z2381" s="9">
        <f ca="1">X2370</f>
        <v>151046.61128498355</v>
      </c>
      <c r="AA2381" s="98"/>
      <c r="AB2381" s="106">
        <f ca="1">IF(AA2374&lt;=0,Q_max,ABS(AA$23-AA2380))</f>
        <v>136.4565292816867</v>
      </c>
      <c r="AC2381" s="9">
        <f ca="1">AA2370</f>
        <v>294200.24482841609</v>
      </c>
      <c r="AD2381" s="98"/>
      <c r="AE2381" s="106">
        <f ca="1">IF(AD2374&lt;=0,Q_max,ABS(AD$23-AD2380))</f>
        <v>236393</v>
      </c>
      <c r="AF2381" s="9">
        <f ca="1">AD2370</f>
        <v>493576.49144031951</v>
      </c>
      <c r="AG2381" s="98"/>
      <c r="AH2381" s="106">
        <f ca="1">IF(AG2374&lt;=0,Q_max,ABS(AG$23-AG2380))</f>
        <v>236393</v>
      </c>
      <c r="AI2381" s="9">
        <f ca="1">AG2370</f>
        <v>720388.33237644238</v>
      </c>
      <c r="AJ2381" s="98"/>
      <c r="AK2381" s="106">
        <f ca="1">IF(AJ2374&lt;=0,Q_max,ABS(AJ$23-AJ2380))</f>
        <v>236393</v>
      </c>
      <c r="AL2381" s="9">
        <f ca="1">AJ2370</f>
        <v>961361.0221901671</v>
      </c>
      <c r="AM2381" s="98"/>
      <c r="AN2381" s="106">
        <f ca="1">IF(AM2374&lt;=0,Q_max,ABS(AM$23-AM2380))</f>
        <v>236393</v>
      </c>
      <c r="AO2381" s="9">
        <f ca="1">AM2370</f>
        <v>1173043.1440706383</v>
      </c>
      <c r="AP2381" s="98"/>
      <c r="AQ2381" s="106">
        <f ca="1">IF(AP2374&lt;=0,Q_max,ABS(AP$23-AP2380))</f>
        <v>236393</v>
      </c>
      <c r="AR2381" s="9">
        <f ca="1">AP2370</f>
        <v>1361866.6735756281</v>
      </c>
      <c r="AS2381" s="98"/>
      <c r="AT2381" s="106">
        <f ca="1">IF(AS2374&lt;=0,Q_max,ABS(AS$23-AS2380))</f>
        <v>236393</v>
      </c>
      <c r="AU2381" s="9">
        <f ca="1">AS2370</f>
        <v>1596895.7786680546</v>
      </c>
    </row>
    <row r="2382" spans="15:47" x14ac:dyDescent="0.25">
      <c r="O2382" s="21"/>
      <c r="P2382" s="14"/>
      <c r="Q2382" s="21"/>
      <c r="R2382" s="97"/>
      <c r="S2382" s="106"/>
      <c r="T2382" s="28"/>
      <c r="U2382" s="97"/>
      <c r="V2382" s="111"/>
      <c r="W2382" s="28"/>
      <c r="X2382" s="97"/>
      <c r="Y2382" s="111"/>
      <c r="Z2382" s="28"/>
      <c r="AA2382" s="97"/>
      <c r="AB2382" s="111"/>
      <c r="AC2382" s="28"/>
      <c r="AD2382" s="97"/>
      <c r="AE2382" s="111"/>
      <c r="AF2382" s="28"/>
      <c r="AG2382" s="97"/>
      <c r="AH2382" s="111"/>
      <c r="AI2382" s="28"/>
      <c r="AJ2382" s="97"/>
      <c r="AK2382" s="111"/>
      <c r="AL2382" s="28"/>
      <c r="AM2382" s="97"/>
      <c r="AN2382" s="111"/>
      <c r="AO2382" s="28"/>
      <c r="AP2382" s="97"/>
      <c r="AQ2382" s="111"/>
      <c r="AR2382" s="28"/>
      <c r="AS2382" s="97"/>
      <c r="AT2382" s="111"/>
      <c r="AU2382" s="28"/>
    </row>
    <row r="2383" spans="15:47" x14ac:dyDescent="0.25">
      <c r="O2383" s="1"/>
      <c r="P2383" s="1"/>
      <c r="Q2383" s="1"/>
      <c r="R2383" s="98"/>
      <c r="S2383" s="108" t="s">
        <v>137</v>
      </c>
      <c r="T2383" s="26" t="s">
        <v>146</v>
      </c>
      <c r="U2383" s="98"/>
      <c r="V2383" s="108" t="s">
        <v>137</v>
      </c>
      <c r="W2383" s="26" t="s">
        <v>146</v>
      </c>
      <c r="X2383" s="98"/>
      <c r="Y2383" s="108" t="s">
        <v>137</v>
      </c>
      <c r="Z2383" s="26" t="s">
        <v>146</v>
      </c>
      <c r="AA2383" s="98"/>
      <c r="AB2383" s="108" t="s">
        <v>137</v>
      </c>
      <c r="AC2383" s="26" t="s">
        <v>146</v>
      </c>
      <c r="AD2383" s="98"/>
      <c r="AE2383" s="108" t="s">
        <v>137</v>
      </c>
      <c r="AF2383" s="26" t="s">
        <v>146</v>
      </c>
      <c r="AG2383" s="98"/>
      <c r="AH2383" s="108" t="s">
        <v>137</v>
      </c>
      <c r="AI2383" s="26" t="s">
        <v>146</v>
      </c>
      <c r="AJ2383" s="98"/>
      <c r="AK2383" s="108" t="s">
        <v>137</v>
      </c>
      <c r="AL2383" s="26" t="s">
        <v>146</v>
      </c>
      <c r="AM2383" s="98"/>
      <c r="AN2383" s="108" t="s">
        <v>137</v>
      </c>
      <c r="AO2383" s="26" t="s">
        <v>146</v>
      </c>
      <c r="AP2383" s="98"/>
      <c r="AQ2383" s="108" t="s">
        <v>137</v>
      </c>
      <c r="AR2383" s="26" t="s">
        <v>146</v>
      </c>
      <c r="AS2383" s="98"/>
      <c r="AT2383" s="108" t="s">
        <v>137</v>
      </c>
      <c r="AU2383" s="26" t="s">
        <v>146</v>
      </c>
    </row>
    <row r="2384" spans="15:47" ht="13.8" x14ac:dyDescent="0.25">
      <c r="O2384" s="20" t="s">
        <v>136</v>
      </c>
      <c r="P2384" s="1"/>
      <c r="Q2384" s="1"/>
      <c r="R2384" s="96">
        <f>R2370*1.02</f>
        <v>8873.920212635343</v>
      </c>
      <c r="S2384" s="109" t="s">
        <v>144</v>
      </c>
      <c r="T2384" s="23" t="s">
        <v>147</v>
      </c>
      <c r="U2384" s="96">
        <f ca="1">U2370*1.01</f>
        <v>62302.965641726558</v>
      </c>
      <c r="V2384" s="109" t="s">
        <v>144</v>
      </c>
      <c r="W2384" s="23" t="s">
        <v>147</v>
      </c>
      <c r="X2384" s="96">
        <f ca="1">X2370*1.01</f>
        <v>152557.07739783337</v>
      </c>
      <c r="Y2384" s="109" t="s">
        <v>144</v>
      </c>
      <c r="Z2384" s="23" t="s">
        <v>147</v>
      </c>
      <c r="AA2384" s="96">
        <f ca="1">AA2370*1.01</f>
        <v>297142.24727670028</v>
      </c>
      <c r="AB2384" s="109" t="s">
        <v>144</v>
      </c>
      <c r="AC2384" s="23" t="s">
        <v>147</v>
      </c>
      <c r="AD2384" s="96">
        <f ca="1">AD2370*1.01</f>
        <v>498512.25635472272</v>
      </c>
      <c r="AE2384" s="109" t="s">
        <v>144</v>
      </c>
      <c r="AF2384" s="23" t="s">
        <v>147</v>
      </c>
      <c r="AG2384" s="96">
        <f ca="1">AG2370*1.01</f>
        <v>727592.21570020681</v>
      </c>
      <c r="AH2384" s="109" t="s">
        <v>144</v>
      </c>
      <c r="AI2384" s="23" t="s">
        <v>147</v>
      </c>
      <c r="AJ2384" s="96">
        <f ca="1">AJ2370*1.01</f>
        <v>970974.63241206878</v>
      </c>
      <c r="AK2384" s="109" t="s">
        <v>144</v>
      </c>
      <c r="AL2384" s="23" t="s">
        <v>147</v>
      </c>
      <c r="AM2384" s="96">
        <f ca="1">AM2370*1.01</f>
        <v>1184773.5755113447</v>
      </c>
      <c r="AN2384" s="109" t="s">
        <v>144</v>
      </c>
      <c r="AO2384" s="23" t="s">
        <v>147</v>
      </c>
      <c r="AP2384" s="96">
        <f ca="1">AP2370*1.01</f>
        <v>1375485.3403113843</v>
      </c>
      <c r="AQ2384" s="109" t="s">
        <v>144</v>
      </c>
      <c r="AR2384" s="23" t="s">
        <v>147</v>
      </c>
      <c r="AS2384" s="96">
        <f ca="1">AS2370*1.01</f>
        <v>1612864.7364547353</v>
      </c>
      <c r="AT2384" s="109" t="s">
        <v>144</v>
      </c>
      <c r="AU2384" s="23" t="s">
        <v>147</v>
      </c>
    </row>
    <row r="2385" spans="15:47" x14ac:dyDescent="0.25">
      <c r="O2385" s="1"/>
      <c r="P2385" s="1"/>
      <c r="Q2385" s="1"/>
      <c r="R2385" s="98"/>
      <c r="S2385" s="107"/>
      <c r="T2385" s="1"/>
      <c r="U2385" s="47"/>
      <c r="V2385" s="107"/>
      <c r="W2385" s="1"/>
      <c r="X2385" s="47"/>
      <c r="Y2385" s="107"/>
      <c r="Z2385" s="1"/>
      <c r="AA2385" s="47"/>
      <c r="AB2385" s="107"/>
      <c r="AC2385" s="1"/>
      <c r="AD2385" s="47"/>
      <c r="AE2385" s="107"/>
      <c r="AF2385" s="1"/>
      <c r="AG2385" s="47"/>
      <c r="AH2385" s="107"/>
      <c r="AI2385" s="1"/>
      <c r="AJ2385" s="47"/>
      <c r="AK2385" s="107"/>
      <c r="AL2385" s="1"/>
      <c r="AM2385" s="47"/>
      <c r="AN2385" s="107"/>
      <c r="AO2385" s="1"/>
      <c r="AP2385" s="47"/>
      <c r="AQ2385" s="107"/>
      <c r="AR2385" s="1"/>
      <c r="AS2385" s="47"/>
      <c r="AT2385" s="107"/>
      <c r="AU2385" s="1"/>
    </row>
    <row r="2386" spans="15:47" x14ac:dyDescent="0.25">
      <c r="O2386" s="8" t="s">
        <v>132</v>
      </c>
      <c r="P2386" s="8"/>
      <c r="Q2386" s="8"/>
      <c r="R2386" s="96">
        <f>P_1_minQ-(R2384^2*R_up)+dpup_minQ</f>
        <v>90.170688128712982</v>
      </c>
      <c r="S2386" s="106"/>
      <c r="T2386" s="22"/>
      <c r="U2386" s="96">
        <f ca="1">P_1_minQ-(U2384^2*R_up)+dpup_minQ</f>
        <v>89.47756572775468</v>
      </c>
      <c r="V2386" s="107"/>
      <c r="W2386" s="1"/>
      <c r="X2386" s="96">
        <f ca="1">P_1_minQ-(X2384^2*R_up)+dpup_minQ</f>
        <v>85.943161711906129</v>
      </c>
      <c r="Y2386" s="107"/>
      <c r="Z2386" s="1"/>
      <c r="AA2386" s="96">
        <f ca="1">P_1_minQ-(AA2384^2*R_up)+dpup_minQ</f>
        <v>74.092584011948119</v>
      </c>
      <c r="AB2386" s="107"/>
      <c r="AC2386" s="1"/>
      <c r="AD2386" s="96">
        <f ca="1">P_1_minQ-(AD2384^2*R_up)+dpup_minQ</f>
        <v>44.890566829538912</v>
      </c>
      <c r="AE2386" s="107"/>
      <c r="AF2386" s="1"/>
      <c r="AG2386" s="96">
        <f ca="1">P_1_minQ-(AG2384^2*R_up)+dpup_minQ</f>
        <v>-6.3021420505454708</v>
      </c>
      <c r="AH2386" s="107"/>
      <c r="AI2386" s="1"/>
      <c r="AJ2386" s="96">
        <f ca="1">P_1_minQ-(AJ2384^2*R_up)+dpup_minQ</f>
        <v>-81.649040489538464</v>
      </c>
      <c r="AK2386" s="107"/>
      <c r="AL2386" s="1"/>
      <c r="AM2386" s="96">
        <f ca="1">P_1_minQ-(AM2384^2*R_up)+dpup_minQ</f>
        <v>-165.65249089457586</v>
      </c>
      <c r="AN2386" s="107"/>
      <c r="AO2386" s="1"/>
      <c r="AP2386" s="96">
        <f ca="1">P_1_minQ-(AP2384^2*R_up)+dpup_minQ</f>
        <v>-254.64529870215182</v>
      </c>
      <c r="AQ2386" s="107"/>
      <c r="AR2386" s="1"/>
      <c r="AS2386" s="96">
        <f ca="1">P_1_minQ-(AS2384^2*R_up)+dpup_minQ</f>
        <v>-383.93622007205897</v>
      </c>
      <c r="AT2386" s="107"/>
      <c r="AU2386" s="1"/>
    </row>
    <row r="2387" spans="15:47" x14ac:dyDescent="0.25">
      <c r="O2387" s="8" t="s">
        <v>134</v>
      </c>
      <c r="P2387" s="1"/>
      <c r="Q2387" s="8"/>
      <c r="R2387" s="97">
        <f>P_2_minQ+(R2384^2*R_dn)-dpdn_minQ</f>
        <v>60</v>
      </c>
      <c r="S2387" s="106"/>
      <c r="T2387" s="22"/>
      <c r="U2387" s="97">
        <f ca="1">P_2_minQ+(U2384^2*R_dn)-dpdn_minQ</f>
        <v>60</v>
      </c>
      <c r="V2387" s="107"/>
      <c r="W2387" s="1"/>
      <c r="X2387" s="97">
        <f ca="1">P_2_minQ+(X2384^2*R_dn)-dpdn_minQ</f>
        <v>60</v>
      </c>
      <c r="Y2387" s="107"/>
      <c r="Z2387" s="1"/>
      <c r="AA2387" s="97">
        <f ca="1">P_2_minQ+(AA2384^2*R_dn)-dpdn_minQ</f>
        <v>60</v>
      </c>
      <c r="AB2387" s="107"/>
      <c r="AC2387" s="1"/>
      <c r="AD2387" s="97">
        <f ca="1">P_2_minQ+(AD2384^2*R_dn)-dpdn_minQ</f>
        <v>60</v>
      </c>
      <c r="AE2387" s="107"/>
      <c r="AF2387" s="1"/>
      <c r="AG2387" s="97">
        <f ca="1">P_2_minQ+(AG2384^2*R_dn)-dpdn_minQ</f>
        <v>60</v>
      </c>
      <c r="AH2387" s="107"/>
      <c r="AI2387" s="1"/>
      <c r="AJ2387" s="97">
        <f ca="1">P_2_minQ+(AJ2384^2*R_dn)-dpdn_minQ</f>
        <v>60</v>
      </c>
      <c r="AK2387" s="107"/>
      <c r="AL2387" s="1"/>
      <c r="AM2387" s="97">
        <f ca="1">P_2_minQ+(AM2384^2*R_dn)-dpdn_minQ</f>
        <v>60</v>
      </c>
      <c r="AN2387" s="107"/>
      <c r="AO2387" s="1"/>
      <c r="AP2387" s="97">
        <f ca="1">P_2_minQ+(AP2384^2*R_dn)-dpdn_minQ</f>
        <v>60</v>
      </c>
      <c r="AQ2387" s="107"/>
      <c r="AR2387" s="1"/>
      <c r="AS2387" s="97">
        <f ca="1">P_2_minQ+(AS2384^2*R_dn)-dpdn_minQ</f>
        <v>60</v>
      </c>
      <c r="AT2387" s="107"/>
      <c r="AU2387" s="1"/>
    </row>
    <row r="2388" spans="15:47" x14ac:dyDescent="0.25">
      <c r="O2388" s="8" t="s">
        <v>138</v>
      </c>
      <c r="P2388" s="1"/>
      <c r="Q2388" s="8"/>
      <c r="R2388" s="97">
        <f>R2386-R2387</f>
        <v>30.170688128712982</v>
      </c>
      <c r="S2388" s="106"/>
      <c r="T2388" s="22"/>
      <c r="U2388" s="97">
        <f ca="1">U2386-U2387</f>
        <v>29.47756572775468</v>
      </c>
      <c r="V2388" s="110"/>
      <c r="W2388" s="25"/>
      <c r="X2388" s="97">
        <f ca="1">X2386-X2387</f>
        <v>25.943161711906129</v>
      </c>
      <c r="Y2388" s="110"/>
      <c r="Z2388" s="25"/>
      <c r="AA2388" s="97">
        <f ca="1">AA2386-AA2387</f>
        <v>14.092584011948119</v>
      </c>
      <c r="AB2388" s="110"/>
      <c r="AC2388" s="25"/>
      <c r="AD2388" s="97">
        <f ca="1">AD2386-AD2387</f>
        <v>-15.109433170461088</v>
      </c>
      <c r="AE2388" s="110"/>
      <c r="AF2388" s="25"/>
      <c r="AG2388" s="97">
        <f ca="1">AG2386-AG2387</f>
        <v>-66.30214205054547</v>
      </c>
      <c r="AH2388" s="110"/>
      <c r="AI2388" s="25"/>
      <c r="AJ2388" s="97">
        <f ca="1">AJ2386-AJ2387</f>
        <v>-141.64904048953846</v>
      </c>
      <c r="AK2388" s="110"/>
      <c r="AL2388" s="25"/>
      <c r="AM2388" s="97">
        <f ca="1">AM2386-AM2387</f>
        <v>-225.65249089457586</v>
      </c>
      <c r="AN2388" s="110"/>
      <c r="AO2388" s="25"/>
      <c r="AP2388" s="97">
        <f ca="1">AP2386-AP2387</f>
        <v>-314.64529870215182</v>
      </c>
      <c r="AQ2388" s="110"/>
      <c r="AR2388" s="25"/>
      <c r="AS2388" s="97">
        <f ca="1">AS2386-AS2387</f>
        <v>-443.93622007205897</v>
      </c>
      <c r="AT2388" s="110"/>
      <c r="AU2388" s="25"/>
    </row>
    <row r="2389" spans="15:47" ht="14.4" x14ac:dyDescent="0.3">
      <c r="O2389" s="2" t="s">
        <v>140</v>
      </c>
      <c r="P2389" s="11"/>
      <c r="Q2389" s="2"/>
      <c r="R2389" s="96">
        <f>R2388/R2386</f>
        <v>0.33459529648533037</v>
      </c>
      <c r="S2389" s="106"/>
      <c r="T2389" s="22"/>
      <c r="U2389" s="96">
        <f ca="1">U2388/U2386</f>
        <v>0.32944085467684059</v>
      </c>
      <c r="V2389" s="111"/>
      <c r="W2389" s="28"/>
      <c r="X2389" s="96">
        <f ca="1">X2388/X2386</f>
        <v>0.30186417621999234</v>
      </c>
      <c r="Y2389" s="111"/>
      <c r="Z2389" s="28"/>
      <c r="AA2389" s="96">
        <f ca="1">AA2388/AA2386</f>
        <v>0.190202355605192</v>
      </c>
      <c r="AB2389" s="111"/>
      <c r="AC2389" s="28"/>
      <c r="AD2389" s="96">
        <f ca="1">AD2388/AD2386</f>
        <v>-0.33658370204670196</v>
      </c>
      <c r="AE2389" s="111"/>
      <c r="AF2389" s="28"/>
      <c r="AG2389" s="96">
        <f ca="1">AG2388/AG2386</f>
        <v>10.520572452791159</v>
      </c>
      <c r="AH2389" s="111"/>
      <c r="AI2389" s="28"/>
      <c r="AJ2389" s="96">
        <f ca="1">AJ2388/AJ2386</f>
        <v>1.7348524813061053</v>
      </c>
      <c r="AK2389" s="111"/>
      <c r="AL2389" s="28"/>
      <c r="AM2389" s="96">
        <f ca="1">AM2388/AM2386</f>
        <v>1.3622040313187023</v>
      </c>
      <c r="AN2389" s="111"/>
      <c r="AO2389" s="28"/>
      <c r="AP2389" s="96">
        <f ca="1">AP2388/AP2386</f>
        <v>1.2356218642394006</v>
      </c>
      <c r="AQ2389" s="111"/>
      <c r="AR2389" s="28"/>
      <c r="AS2389" s="96">
        <f ca="1">AS2388/AS2386</f>
        <v>1.1562759564303127</v>
      </c>
      <c r="AT2389" s="111"/>
      <c r="AU2389" s="28"/>
    </row>
    <row r="2390" spans="15:47" x14ac:dyDescent="0.25">
      <c r="O2390" s="2" t="s">
        <v>21</v>
      </c>
      <c r="P2390" s="8">
        <v>12</v>
      </c>
      <c r="Q2390" s="2"/>
      <c r="R2390" s="96">
        <f ca="1">1-R2389/(3*F_GAMMA*R$29)</f>
        <v>0.8257397025038552</v>
      </c>
      <c r="S2390" s="106"/>
      <c r="T2390" s="22"/>
      <c r="U2390" s="96">
        <f ca="1">1-U2389/(3*F_GAMMA*U$29)</f>
        <v>0.82846404268862872</v>
      </c>
      <c r="V2390" s="111"/>
      <c r="W2390" s="28"/>
      <c r="X2390" s="96">
        <f ca="1">1-X2389/(3*F_GAMMA*X$29)</f>
        <v>0.84132590210489822</v>
      </c>
      <c r="Y2390" s="111"/>
      <c r="Z2390" s="28"/>
      <c r="AA2390" s="96">
        <f ca="1">1-AA2389/(3*F_GAMMA*AA$29)</f>
        <v>0.89861132262926313</v>
      </c>
      <c r="AB2390" s="111"/>
      <c r="AC2390" s="28"/>
      <c r="AD2390" s="96">
        <f ca="1">1-AD2389/(3*F_GAMMA*AD$29)</f>
        <v>1.1849827740992254</v>
      </c>
      <c r="AE2390" s="111"/>
      <c r="AF2390" s="28"/>
      <c r="AG2390" s="96">
        <f ca="1">1-AG2389/(3*F_GAMMA*AG$29)</f>
        <v>-5.1289485168353437</v>
      </c>
      <c r="AH2390" s="111"/>
      <c r="AI2390" s="28"/>
      <c r="AJ2390" s="96">
        <f ca="1">1-AJ2389/(3*F_GAMMA*AJ$29)</f>
        <v>-8.7341996363488272E-2</v>
      </c>
      <c r="AK2390" s="111"/>
      <c r="AL2390" s="28"/>
      <c r="AM2390" s="96">
        <f ca="1">1-AM2389/(3*F_GAMMA*AM$29)</f>
        <v>4.5404032069770839E-2</v>
      </c>
      <c r="AN2390" s="111"/>
      <c r="AO2390" s="28"/>
      <c r="AP2390" s="96">
        <f ca="1">1-AP2389/(3*F_GAMMA*AP$29)</f>
        <v>0.30254876736415559</v>
      </c>
      <c r="AQ2390" s="111"/>
      <c r="AR2390" s="28"/>
      <c r="AS2390" s="96">
        <f ca="1">1-AS2389/(3*F_GAMMA*AS$29)</f>
        <v>-2.3189796474113233E-2</v>
      </c>
      <c r="AT2390" s="111"/>
      <c r="AU2390" s="28"/>
    </row>
    <row r="2391" spans="15:47" x14ac:dyDescent="0.25">
      <c r="O2391" s="2" t="s">
        <v>57</v>
      </c>
      <c r="P2391" s="143">
        <v>7</v>
      </c>
      <c r="Q2391" s="2"/>
      <c r="R2391" s="96">
        <f ca="1">(R2384/(N_9*R$27*R2386*R2390))*SQRT(M*'Valve Sizing'!$W$6*'Valve Sizing'!$G$8/R2389)</f>
        <v>3.5845371646707536</v>
      </c>
      <c r="S2391" s="107"/>
      <c r="T2391" s="22"/>
      <c r="U2391" s="96">
        <f ca="1">(U2384/(N_9*U$27*U2386*U2390))*SQRT(M*'Valve Sizing'!$W$6*'Valve Sizing'!$G$8/U2389)</f>
        <v>25.491950450549567</v>
      </c>
      <c r="V2391" s="111"/>
      <c r="W2391" s="28"/>
      <c r="X2391" s="96">
        <f ca="1">(X2384/(N_9*X$27*X2386*X2390))*SQRT(M*'Valve Sizing'!$W$6*'Valve Sizing'!$G$8/X2389)</f>
        <v>67.007047743685291</v>
      </c>
      <c r="Y2391" s="111"/>
      <c r="Z2391" s="28"/>
      <c r="AA2391" s="96">
        <f ca="1">(AA2384/(N_9*AA$27*AA2386*AA2390))*SQRT(M*'Valve Sizing'!$W$6*'Valve Sizing'!$G$8/AA2389)</f>
        <v>179.61762408468039</v>
      </c>
      <c r="AB2391" s="111"/>
      <c r="AC2391" s="28"/>
      <c r="AD2391" s="96" t="e">
        <f ca="1">(AD2384/(N_9*AD$27*AD2386*AD2390))*SQRT(M*'Valve Sizing'!$W$6*'Valve Sizing'!$G$8/AD2389)</f>
        <v>#NUM!</v>
      </c>
      <c r="AE2391" s="111"/>
      <c r="AF2391" s="28"/>
      <c r="AG2391" s="96">
        <f ca="1">(AG2384/(N_9*AG$27*AG2386*AG2390))*SQRT(M*'Valve Sizing'!$W$6*'Valve Sizing'!$G$8/AG2389)</f>
        <v>126.09654005165609</v>
      </c>
      <c r="AH2391" s="111"/>
      <c r="AI2391" s="28"/>
      <c r="AJ2391" s="96">
        <f ca="1">(AJ2384/(N_9*AJ$27*AJ2386*AJ2390))*SQRT(M*'Valve Sizing'!$W$6*'Valve Sizing'!$G$8/AJ2389)</f>
        <v>1946.1521348430672</v>
      </c>
      <c r="AK2391" s="111"/>
      <c r="AL2391" s="28"/>
      <c r="AM2391" s="96">
        <f ca="1">(AM2384/(N_9*AM$27*AM2386*AM2390))*SQRT(M*'Valve Sizing'!$W$6*'Valve Sizing'!$G$8/AM2389)</f>
        <v>-2695.9693939915005</v>
      </c>
      <c r="AN2391" s="111"/>
      <c r="AO2391" s="28"/>
      <c r="AP2391" s="96">
        <f ca="1">(AP2384/(N_9*AP$27*AP2386*AP2390))*SQRT(M*'Valve Sizing'!$W$6*'Valve Sizing'!$G$8/AP2389)</f>
        <v>-365.16711511102704</v>
      </c>
      <c r="AQ2391" s="111"/>
      <c r="AR2391" s="28"/>
      <c r="AS2391" s="96">
        <f ca="1">(AS2384/(N_9*AS$27*AS2386*AS2390))*SQRT(M*'Valve Sizing'!$W$6*'Valve Sizing'!$G$8/AS2389)</f>
        <v>5130.1224823625971</v>
      </c>
      <c r="AT2391" s="111"/>
      <c r="AU2391" s="28"/>
    </row>
    <row r="2392" spans="15:47" x14ac:dyDescent="0.25">
      <c r="O2392" s="2" t="s">
        <v>59</v>
      </c>
      <c r="P2392" s="143">
        <v>7</v>
      </c>
      <c r="Q2392" s="2"/>
      <c r="R2392" s="96">
        <f ca="1">(R2384/(N_9*R$27*R2386*0.667))*SQRT(M*'Valve Sizing'!$W$6*'Valve Sizing'!$G$8/R2393)</f>
        <v>3.2085607979679027</v>
      </c>
      <c r="S2392" s="107"/>
      <c r="T2392" s="22"/>
      <c r="U2392" s="96">
        <f ca="1">(U2384/(N_9*U$27*U2386*0.667))*SQRT(M*'Valve Sizing'!$W$6*'Valve Sizing'!$G$8/U2393)</f>
        <v>22.713763951370055</v>
      </c>
      <c r="V2392" s="111"/>
      <c r="W2392" s="28"/>
      <c r="X2392" s="96">
        <f ca="1">(X2384/(N_9*X$27*X2386*0.667))*SQRT(M*'Valve Sizing'!$W$6*'Valve Sizing'!$G$8/X2393)</f>
        <v>58.313962882255034</v>
      </c>
      <c r="Y2392" s="111"/>
      <c r="Z2392" s="28"/>
      <c r="AA2392" s="96">
        <f ca="1">(AA2384/(N_9*AA$27*AA2386*0.667))*SQRT(M*'Valve Sizing'!$W$6*'Valve Sizing'!$G$8/AA2393)</f>
        <v>133.45976510597265</v>
      </c>
      <c r="AB2392" s="111"/>
      <c r="AC2392" s="28"/>
      <c r="AD2392" s="96">
        <f ca="1">(AD2384/(N_9*AD$27*AD2386*0.667))*SQRT(M*'Valve Sizing'!$W$6*'Valve Sizing'!$G$8/AD2393)</f>
        <v>379.89245937999516</v>
      </c>
      <c r="AE2392" s="111"/>
      <c r="AF2392" s="28"/>
      <c r="AG2392" s="96">
        <f ca="1">(AG2384/(N_9*AG$27*AG2386*0.667))*SQRT(M*'Valve Sizing'!$W$6*'Valve Sizing'!$G$8/AG2393)</f>
        <v>-4157.7587864938805</v>
      </c>
      <c r="AH2392" s="111"/>
      <c r="AI2392" s="28"/>
      <c r="AJ2392" s="96">
        <f ca="1">(AJ2384/(N_9*AJ$27*AJ2386*0.667))*SQRT(M*'Valve Sizing'!$W$6*'Valve Sizing'!$G$8/AJ2393)</f>
        <v>-460.2754123775112</v>
      </c>
      <c r="AK2392" s="111"/>
      <c r="AL2392" s="28"/>
      <c r="AM2392" s="96">
        <f ca="1">(AM2384/(N_9*AM$27*AM2386*0.667))*SQRT(M*'Valve Sizing'!$W$6*'Valve Sizing'!$G$8/AM2393)</f>
        <v>-310.5660443875355</v>
      </c>
      <c r="AN2392" s="111"/>
      <c r="AO2392" s="28"/>
      <c r="AP2392" s="96">
        <f ca="1">(AP2384/(N_9*AP$27*AP2386*0.667))*SQRT(M*'Valve Sizing'!$W$6*'Valve Sizing'!$G$8/AP2393)</f>
        <v>-239.59555952296103</v>
      </c>
      <c r="AQ2392" s="111"/>
      <c r="AR2392" s="28"/>
      <c r="AS2392" s="96">
        <f ca="1">(AS2384/(N_9*AS$27*AS2386*0.667))*SQRT(M*'Valve Sizing'!$W$6*'Valve Sizing'!$G$8/AS2393)</f>
        <v>-312.49103673325106</v>
      </c>
      <c r="AT2392" s="111"/>
      <c r="AU2392" s="28"/>
    </row>
    <row r="2393" spans="15:47" ht="15.6" x14ac:dyDescent="0.35">
      <c r="O2393" s="2" t="s">
        <v>68</v>
      </c>
      <c r="P2393" s="143">
        <v>10</v>
      </c>
      <c r="Q2393" s="2"/>
      <c r="R2393" s="96">
        <f ca="1">F_GAMMA*R$29</f>
        <v>0.64002969751372984</v>
      </c>
      <c r="S2393" s="107"/>
      <c r="T2393" s="1"/>
      <c r="U2393" s="96">
        <f ca="1">F_GAMMA*U$29</f>
        <v>0.64017842058782071</v>
      </c>
      <c r="V2393" s="111"/>
      <c r="W2393" s="28"/>
      <c r="X2393" s="96">
        <f ca="1">F_GAMMA*X$29</f>
        <v>0.63413873724904268</v>
      </c>
      <c r="Y2393" s="111"/>
      <c r="Z2393" s="28"/>
      <c r="AA2393" s="96">
        <f ca="1">F_GAMMA*AA$29</f>
        <v>0.62532411750377137</v>
      </c>
      <c r="AB2393" s="111"/>
      <c r="AC2393" s="28"/>
      <c r="AD2393" s="96">
        <f ca="1">F_GAMMA*AD$29</f>
        <v>0.60651359509139569</v>
      </c>
      <c r="AE2393" s="111"/>
      <c r="AF2393" s="28"/>
      <c r="AG2393" s="96">
        <f ca="1">F_GAMMA*AG$29</f>
        <v>0.57217930198481592</v>
      </c>
      <c r="AH2393" s="111"/>
      <c r="AI2393" s="28"/>
      <c r="AJ2393" s="96">
        <f ca="1">F_GAMMA*AJ$29</f>
        <v>0.53183282018848232</v>
      </c>
      <c r="AK2393" s="111"/>
      <c r="AL2393" s="28"/>
      <c r="AM2393" s="96">
        <f ca="1">F_GAMMA*AM$29</f>
        <v>0.47566512503094399</v>
      </c>
      <c r="AN2393" s="111"/>
      <c r="AO2393" s="28"/>
      <c r="AP2393" s="96">
        <f ca="1">F_GAMMA*AP$29</f>
        <v>0.59054158265645496</v>
      </c>
      <c r="AQ2393" s="111"/>
      <c r="AR2393" s="28"/>
      <c r="AS2393" s="96">
        <f ca="1">F_GAMMA*AS$29</f>
        <v>0.3766899554102966</v>
      </c>
      <c r="AT2393" s="111"/>
      <c r="AU2393" s="28"/>
    </row>
    <row r="2394" spans="15:47" x14ac:dyDescent="0.25">
      <c r="O2394" s="2" t="s">
        <v>145</v>
      </c>
      <c r="P2394" s="12"/>
      <c r="Q2394" s="2"/>
      <c r="R2394" s="96">
        <f ca="1">IF(R2389&lt;R2393,R2391,R2392)</f>
        <v>3.5845371646707536</v>
      </c>
      <c r="S2394" s="116"/>
      <c r="T2394" s="1"/>
      <c r="U2394" s="96">
        <f ca="1">IF(U2389&lt;U2393,U2391,U2392)</f>
        <v>25.491950450549567</v>
      </c>
      <c r="V2394" s="111"/>
      <c r="W2394" s="28"/>
      <c r="X2394" s="96">
        <f ca="1">IF(X2389&lt;X2393,X2391,X2392)</f>
        <v>67.007047743685291</v>
      </c>
      <c r="Y2394" s="111"/>
      <c r="Z2394" s="28"/>
      <c r="AA2394" s="96">
        <f ca="1">IF(AA2389&lt;AA2393,AA2391,AA2392)</f>
        <v>179.61762408468039</v>
      </c>
      <c r="AB2394" s="111"/>
      <c r="AC2394" s="28"/>
      <c r="AD2394" s="96" t="e">
        <f ca="1">IF(AD2389&lt;AD2393,AD2391,AD2392)</f>
        <v>#NUM!</v>
      </c>
      <c r="AE2394" s="111"/>
      <c r="AF2394" s="28"/>
      <c r="AG2394" s="96">
        <f ca="1">IF(AG2389&lt;AG2393,AG2391,AG2392)</f>
        <v>-4157.7587864938805</v>
      </c>
      <c r="AH2394" s="111"/>
      <c r="AI2394" s="28"/>
      <c r="AJ2394" s="96">
        <f ca="1">IF(AJ2389&lt;AJ2393,AJ2391,AJ2392)</f>
        <v>-460.2754123775112</v>
      </c>
      <c r="AK2394" s="111"/>
      <c r="AL2394" s="28"/>
      <c r="AM2394" s="96">
        <f ca="1">IF(AM2389&lt;AM2393,AM2391,AM2392)</f>
        <v>-310.5660443875355</v>
      </c>
      <c r="AN2394" s="111"/>
      <c r="AO2394" s="28"/>
      <c r="AP2394" s="96">
        <f ca="1">IF(AP2389&lt;AP2393,AP2391,AP2392)</f>
        <v>-239.59555952296103</v>
      </c>
      <c r="AQ2394" s="111"/>
      <c r="AR2394" s="28"/>
      <c r="AS2394" s="96">
        <f ca="1">IF(AS2389&lt;AS2393,AS2391,AS2392)</f>
        <v>-312.49103673325106</v>
      </c>
      <c r="AT2394" s="111"/>
      <c r="AU2394" s="28"/>
    </row>
    <row r="2395" spans="15:47" x14ac:dyDescent="0.25">
      <c r="O2395" s="13" t="s">
        <v>143</v>
      </c>
      <c r="P2395" s="1"/>
      <c r="Q2395" s="1"/>
      <c r="R2395" s="113"/>
      <c r="S2395" s="106">
        <f ca="1">IF(R2388&lt;=0,Q_max,ABS(R$23-R2394))</f>
        <v>1.1454628353292469</v>
      </c>
      <c r="T2395" s="7">
        <f>R2384</f>
        <v>8873.920212635343</v>
      </c>
      <c r="U2395" s="98"/>
      <c r="V2395" s="106">
        <f ca="1">IF(U2388&lt;=0,Q_max,ABS(U$23-U2394))</f>
        <v>13.891950450549567</v>
      </c>
      <c r="W2395" s="9">
        <f ca="1">U2384</f>
        <v>62302.965641726558</v>
      </c>
      <c r="X2395" s="98"/>
      <c r="Y2395" s="106">
        <f ca="1">IF(X2388&lt;=0,Q_max,ABS(X$23-X2394))</f>
        <v>44.007047743685291</v>
      </c>
      <c r="Z2395" s="9">
        <f ca="1">X2384</f>
        <v>152557.07739783337</v>
      </c>
      <c r="AA2395" s="98"/>
      <c r="AB2395" s="106">
        <f ca="1">IF(AA2388&lt;=0,Q_max,ABS(AA$23-AA2394))</f>
        <v>140.21762408468038</v>
      </c>
      <c r="AC2395" s="9">
        <f ca="1">AA2384</f>
        <v>297142.24727670028</v>
      </c>
      <c r="AD2395" s="98"/>
      <c r="AE2395" s="106">
        <f ca="1">IF(AD2388&lt;=0,Q_max,ABS(AD$23-AD2394))</f>
        <v>236393</v>
      </c>
      <c r="AF2395" s="9">
        <f ca="1">AD2384</f>
        <v>498512.25635472272</v>
      </c>
      <c r="AG2395" s="98"/>
      <c r="AH2395" s="106">
        <f ca="1">IF(AG2388&lt;=0,Q_max,ABS(AG$23-AG2394))</f>
        <v>236393</v>
      </c>
      <c r="AI2395" s="9">
        <f ca="1">AG2384</f>
        <v>727592.21570020681</v>
      </c>
      <c r="AJ2395" s="98"/>
      <c r="AK2395" s="106">
        <f ca="1">IF(AJ2388&lt;=0,Q_max,ABS(AJ$23-AJ2394))</f>
        <v>236393</v>
      </c>
      <c r="AL2395" s="9">
        <f ca="1">AJ2384</f>
        <v>970974.63241206878</v>
      </c>
      <c r="AM2395" s="98"/>
      <c r="AN2395" s="106">
        <f ca="1">IF(AM2388&lt;=0,Q_max,ABS(AM$23-AM2394))</f>
        <v>236393</v>
      </c>
      <c r="AO2395" s="9">
        <f ca="1">AM2384</f>
        <v>1184773.5755113447</v>
      </c>
      <c r="AP2395" s="98"/>
      <c r="AQ2395" s="106">
        <f ca="1">IF(AP2388&lt;=0,Q_max,ABS(AP$23-AP2394))</f>
        <v>236393</v>
      </c>
      <c r="AR2395" s="9">
        <f ca="1">AP2384</f>
        <v>1375485.3403113843</v>
      </c>
      <c r="AS2395" s="98"/>
      <c r="AT2395" s="106">
        <f ca="1">IF(AS2388&lt;=0,Q_max,ABS(AS$23-AS2394))</f>
        <v>236393</v>
      </c>
      <c r="AU2395" s="9">
        <f ca="1">AS2384</f>
        <v>1612864.7364547353</v>
      </c>
    </row>
    <row r="2396" spans="15:47" x14ac:dyDescent="0.25">
      <c r="O2396" s="21"/>
      <c r="P2396" s="14"/>
      <c r="Q2396" s="21"/>
      <c r="R2396" s="97"/>
      <c r="S2396" s="106"/>
      <c r="T2396" s="28"/>
      <c r="U2396" s="97"/>
      <c r="V2396" s="111"/>
      <c r="W2396" s="28"/>
      <c r="X2396" s="97"/>
      <c r="Y2396" s="111"/>
      <c r="Z2396" s="28"/>
      <c r="AA2396" s="97"/>
      <c r="AB2396" s="111"/>
      <c r="AC2396" s="28"/>
      <c r="AD2396" s="97"/>
      <c r="AE2396" s="111"/>
      <c r="AF2396" s="28"/>
      <c r="AG2396" s="97"/>
      <c r="AH2396" s="111"/>
      <c r="AI2396" s="28"/>
      <c r="AJ2396" s="97"/>
      <c r="AK2396" s="111"/>
      <c r="AL2396" s="28"/>
      <c r="AM2396" s="97"/>
      <c r="AN2396" s="111"/>
      <c r="AO2396" s="28"/>
      <c r="AP2396" s="97"/>
      <c r="AQ2396" s="111"/>
      <c r="AR2396" s="28"/>
      <c r="AS2396" s="97"/>
      <c r="AT2396" s="111"/>
      <c r="AU2396" s="28"/>
    </row>
    <row r="2397" spans="15:47" x14ac:dyDescent="0.25">
      <c r="O2397" s="1"/>
      <c r="P2397" s="1"/>
      <c r="Q2397" s="1"/>
      <c r="R2397" s="98"/>
      <c r="S2397" s="108" t="s">
        <v>137</v>
      </c>
      <c r="T2397" s="26" t="s">
        <v>146</v>
      </c>
      <c r="U2397" s="98"/>
      <c r="V2397" s="108" t="s">
        <v>137</v>
      </c>
      <c r="W2397" s="26" t="s">
        <v>146</v>
      </c>
      <c r="X2397" s="98"/>
      <c r="Y2397" s="108" t="s">
        <v>137</v>
      </c>
      <c r="Z2397" s="26" t="s">
        <v>146</v>
      </c>
      <c r="AA2397" s="98"/>
      <c r="AB2397" s="108" t="s">
        <v>137</v>
      </c>
      <c r="AC2397" s="26" t="s">
        <v>146</v>
      </c>
      <c r="AD2397" s="98"/>
      <c r="AE2397" s="108" t="s">
        <v>137</v>
      </c>
      <c r="AF2397" s="26" t="s">
        <v>146</v>
      </c>
      <c r="AG2397" s="98"/>
      <c r="AH2397" s="108" t="s">
        <v>137</v>
      </c>
      <c r="AI2397" s="26" t="s">
        <v>146</v>
      </c>
      <c r="AJ2397" s="98"/>
      <c r="AK2397" s="108" t="s">
        <v>137</v>
      </c>
      <c r="AL2397" s="26" t="s">
        <v>146</v>
      </c>
      <c r="AM2397" s="98"/>
      <c r="AN2397" s="108" t="s">
        <v>137</v>
      </c>
      <c r="AO2397" s="26" t="s">
        <v>146</v>
      </c>
      <c r="AP2397" s="98"/>
      <c r="AQ2397" s="108" t="s">
        <v>137</v>
      </c>
      <c r="AR2397" s="26" t="s">
        <v>146</v>
      </c>
      <c r="AS2397" s="98"/>
      <c r="AT2397" s="108" t="s">
        <v>137</v>
      </c>
      <c r="AU2397" s="26" t="s">
        <v>146</v>
      </c>
    </row>
    <row r="2398" spans="15:47" ht="13.8" x14ac:dyDescent="0.25">
      <c r="O2398" s="20" t="s">
        <v>136</v>
      </c>
      <c r="P2398" s="1"/>
      <c r="Q2398" s="1"/>
      <c r="R2398" s="96">
        <f>R2384*1.02</f>
        <v>9051.3986168880492</v>
      </c>
      <c r="S2398" s="109" t="s">
        <v>144</v>
      </c>
      <c r="T2398" s="23" t="s">
        <v>147</v>
      </c>
      <c r="U2398" s="96">
        <f ca="1">U2384*1.01</f>
        <v>62925.995298143825</v>
      </c>
      <c r="V2398" s="109" t="s">
        <v>144</v>
      </c>
      <c r="W2398" s="23" t="s">
        <v>147</v>
      </c>
      <c r="X2398" s="96">
        <f ca="1">X2384*1.01</f>
        <v>154082.64817181171</v>
      </c>
      <c r="Y2398" s="109" t="s">
        <v>144</v>
      </c>
      <c r="Z2398" s="23" t="s">
        <v>147</v>
      </c>
      <c r="AA2398" s="96">
        <f ca="1">AA2384*1.01</f>
        <v>300113.66974946728</v>
      </c>
      <c r="AB2398" s="109" t="s">
        <v>144</v>
      </c>
      <c r="AC2398" s="23" t="s">
        <v>147</v>
      </c>
      <c r="AD2398" s="96">
        <f ca="1">AD2384*1.01</f>
        <v>503497.37891826994</v>
      </c>
      <c r="AE2398" s="109" t="s">
        <v>144</v>
      </c>
      <c r="AF2398" s="23" t="s">
        <v>147</v>
      </c>
      <c r="AG2398" s="96">
        <f ca="1">AG2384*1.01</f>
        <v>734868.13785720884</v>
      </c>
      <c r="AH2398" s="109" t="s">
        <v>144</v>
      </c>
      <c r="AI2398" s="23" t="s">
        <v>147</v>
      </c>
      <c r="AJ2398" s="96">
        <f ca="1">AJ2384*1.01</f>
        <v>980684.37873618945</v>
      </c>
      <c r="AK2398" s="109" t="s">
        <v>144</v>
      </c>
      <c r="AL2398" s="23" t="s">
        <v>147</v>
      </c>
      <c r="AM2398" s="96">
        <f ca="1">AM2384*1.01</f>
        <v>1196621.3112664581</v>
      </c>
      <c r="AN2398" s="109" t="s">
        <v>144</v>
      </c>
      <c r="AO2398" s="23" t="s">
        <v>147</v>
      </c>
      <c r="AP2398" s="96">
        <f ca="1">AP2384*1.01</f>
        <v>1389240.1937144981</v>
      </c>
      <c r="AQ2398" s="109" t="s">
        <v>144</v>
      </c>
      <c r="AR2398" s="23" t="s">
        <v>147</v>
      </c>
      <c r="AS2398" s="96">
        <f ca="1">AS2384*1.01</f>
        <v>1628993.3838192828</v>
      </c>
      <c r="AT2398" s="109" t="s">
        <v>144</v>
      </c>
      <c r="AU2398" s="23" t="s">
        <v>147</v>
      </c>
    </row>
    <row r="2399" spans="15:47" x14ac:dyDescent="0.25">
      <c r="O2399" s="1"/>
      <c r="P2399" s="1"/>
      <c r="Q2399" s="1"/>
      <c r="R2399" s="98"/>
      <c r="S2399" s="107"/>
      <c r="T2399" s="1"/>
      <c r="U2399" s="47"/>
      <c r="V2399" s="107"/>
      <c r="W2399" s="1"/>
      <c r="X2399" s="47"/>
      <c r="Y2399" s="107"/>
      <c r="Z2399" s="1"/>
      <c r="AA2399" s="47"/>
      <c r="AB2399" s="107"/>
      <c r="AC2399" s="1"/>
      <c r="AD2399" s="47"/>
      <c r="AE2399" s="107"/>
      <c r="AF2399" s="1"/>
      <c r="AG2399" s="47"/>
      <c r="AH2399" s="107"/>
      <c r="AI2399" s="1"/>
      <c r="AJ2399" s="47"/>
      <c r="AK2399" s="107"/>
      <c r="AL2399" s="1"/>
      <c r="AM2399" s="47"/>
      <c r="AN2399" s="107"/>
      <c r="AO2399" s="1"/>
      <c r="AP2399" s="47"/>
      <c r="AQ2399" s="107"/>
      <c r="AR2399" s="1"/>
      <c r="AS2399" s="47"/>
      <c r="AT2399" s="107"/>
      <c r="AU2399" s="1"/>
    </row>
    <row r="2400" spans="15:47" x14ac:dyDescent="0.25">
      <c r="O2400" s="8" t="s">
        <v>132</v>
      </c>
      <c r="P2400" s="8"/>
      <c r="Q2400" s="8"/>
      <c r="R2400" s="96">
        <f>P_1_minQ-(R2398^2*R_up)+dpup_minQ</f>
        <v>90.170108291690667</v>
      </c>
      <c r="S2400" s="106"/>
      <c r="T2400" s="22"/>
      <c r="U2400" s="96">
        <f ca="1">P_1_minQ-(U2398^2*R_up)+dpup_minQ</f>
        <v>89.463345484224419</v>
      </c>
      <c r="V2400" s="107"/>
      <c r="W2400" s="1"/>
      <c r="X2400" s="96">
        <f ca="1">P_1_minQ-(X2398^2*R_up)+dpup_minQ</f>
        <v>85.857899947657302</v>
      </c>
      <c r="Y2400" s="107"/>
      <c r="Z2400" s="1"/>
      <c r="AA2400" s="96">
        <f ca="1">P_1_minQ-(AA2398^2*R_up)+dpup_minQ</f>
        <v>73.769125635930138</v>
      </c>
      <c r="AB2400" s="107"/>
      <c r="AC2400" s="1"/>
      <c r="AD2400" s="96">
        <f ca="1">P_1_minQ-(AD2398^2*R_up)+dpup_minQ</f>
        <v>43.980147908154507</v>
      </c>
      <c r="AE2400" s="107"/>
      <c r="AF2400" s="1"/>
      <c r="AG2400" s="96">
        <f ca="1">P_1_minQ-(AG2398^2*R_up)+dpup_minQ</f>
        <v>-8.2415344204195566</v>
      </c>
      <c r="AH2400" s="107"/>
      <c r="AI2400" s="1"/>
      <c r="AJ2400" s="96">
        <f ca="1">P_1_minQ-(AJ2398^2*R_up)+dpup_minQ</f>
        <v>-85.102905518036323</v>
      </c>
      <c r="AK2400" s="107"/>
      <c r="AL2400" s="1"/>
      <c r="AM2400" s="96">
        <f ca="1">P_1_minQ-(AM2398^2*R_up)+dpup_minQ</f>
        <v>-170.79482527621497</v>
      </c>
      <c r="AN2400" s="107"/>
      <c r="AO2400" s="1"/>
      <c r="AP2400" s="96">
        <f ca="1">P_1_minQ-(AP2398^2*R_up)+dpup_minQ</f>
        <v>-261.57638852072319</v>
      </c>
      <c r="AQ2400" s="107"/>
      <c r="AR2400" s="1"/>
      <c r="AS2400" s="96">
        <f ca="1">P_1_minQ-(AS2398^2*R_up)+dpup_minQ</f>
        <v>-393.4660574101656</v>
      </c>
      <c r="AT2400" s="107"/>
      <c r="AU2400" s="1"/>
    </row>
    <row r="2401" spans="15:47" x14ac:dyDescent="0.25">
      <c r="O2401" s="8" t="s">
        <v>134</v>
      </c>
      <c r="P2401" s="1"/>
      <c r="Q2401" s="8"/>
      <c r="R2401" s="97">
        <f>P_2_minQ+(R2398^2*R_dn)-dpdn_minQ</f>
        <v>60</v>
      </c>
      <c r="S2401" s="106"/>
      <c r="T2401" s="22"/>
      <c r="U2401" s="97">
        <f ca="1">P_2_minQ+(U2398^2*R_dn)-dpdn_minQ</f>
        <v>60</v>
      </c>
      <c r="V2401" s="107"/>
      <c r="W2401" s="1"/>
      <c r="X2401" s="97">
        <f ca="1">P_2_minQ+(X2398^2*R_dn)-dpdn_minQ</f>
        <v>60</v>
      </c>
      <c r="Y2401" s="107"/>
      <c r="Z2401" s="1"/>
      <c r="AA2401" s="97">
        <f ca="1">P_2_minQ+(AA2398^2*R_dn)-dpdn_minQ</f>
        <v>60</v>
      </c>
      <c r="AB2401" s="107"/>
      <c r="AC2401" s="1"/>
      <c r="AD2401" s="97">
        <f ca="1">P_2_minQ+(AD2398^2*R_dn)-dpdn_minQ</f>
        <v>60</v>
      </c>
      <c r="AE2401" s="107"/>
      <c r="AF2401" s="1"/>
      <c r="AG2401" s="97">
        <f ca="1">P_2_minQ+(AG2398^2*R_dn)-dpdn_minQ</f>
        <v>60</v>
      </c>
      <c r="AH2401" s="107"/>
      <c r="AI2401" s="1"/>
      <c r="AJ2401" s="97">
        <f ca="1">P_2_minQ+(AJ2398^2*R_dn)-dpdn_minQ</f>
        <v>60</v>
      </c>
      <c r="AK2401" s="107"/>
      <c r="AL2401" s="1"/>
      <c r="AM2401" s="97">
        <f ca="1">P_2_minQ+(AM2398^2*R_dn)-dpdn_minQ</f>
        <v>60</v>
      </c>
      <c r="AN2401" s="107"/>
      <c r="AO2401" s="1"/>
      <c r="AP2401" s="97">
        <f ca="1">P_2_minQ+(AP2398^2*R_dn)-dpdn_minQ</f>
        <v>60</v>
      </c>
      <c r="AQ2401" s="107"/>
      <c r="AR2401" s="1"/>
      <c r="AS2401" s="97">
        <f ca="1">P_2_minQ+(AS2398^2*R_dn)-dpdn_minQ</f>
        <v>60</v>
      </c>
      <c r="AT2401" s="107"/>
      <c r="AU2401" s="1"/>
    </row>
    <row r="2402" spans="15:47" x14ac:dyDescent="0.25">
      <c r="O2402" s="8" t="s">
        <v>138</v>
      </c>
      <c r="P2402" s="1"/>
      <c r="Q2402" s="8"/>
      <c r="R2402" s="97">
        <f>R2400-R2401</f>
        <v>30.170108291690667</v>
      </c>
      <c r="S2402" s="106"/>
      <c r="T2402" s="22"/>
      <c r="U2402" s="97">
        <f ca="1">U2400-U2401</f>
        <v>29.463345484224419</v>
      </c>
      <c r="V2402" s="110"/>
      <c r="W2402" s="25"/>
      <c r="X2402" s="97">
        <f ca="1">X2400-X2401</f>
        <v>25.857899947657302</v>
      </c>
      <c r="Y2402" s="110"/>
      <c r="Z2402" s="25"/>
      <c r="AA2402" s="97">
        <f ca="1">AA2400-AA2401</f>
        <v>13.769125635930138</v>
      </c>
      <c r="AB2402" s="110"/>
      <c r="AC2402" s="25"/>
      <c r="AD2402" s="97">
        <f ca="1">AD2400-AD2401</f>
        <v>-16.019852091845493</v>
      </c>
      <c r="AE2402" s="110"/>
      <c r="AF2402" s="25"/>
      <c r="AG2402" s="97">
        <f ca="1">AG2400-AG2401</f>
        <v>-68.241534420419555</v>
      </c>
      <c r="AH2402" s="110"/>
      <c r="AI2402" s="25"/>
      <c r="AJ2402" s="97">
        <f ca="1">AJ2400-AJ2401</f>
        <v>-145.10290551803632</v>
      </c>
      <c r="AK2402" s="110"/>
      <c r="AL2402" s="25"/>
      <c r="AM2402" s="97">
        <f ca="1">AM2400-AM2401</f>
        <v>-230.79482527621497</v>
      </c>
      <c r="AN2402" s="110"/>
      <c r="AO2402" s="25"/>
      <c r="AP2402" s="97">
        <f ca="1">AP2400-AP2401</f>
        <v>-321.57638852072319</v>
      </c>
      <c r="AQ2402" s="110"/>
      <c r="AR2402" s="25"/>
      <c r="AS2402" s="97">
        <f ca="1">AS2400-AS2401</f>
        <v>-453.4660574101656</v>
      </c>
      <c r="AT2402" s="110"/>
      <c r="AU2402" s="25"/>
    </row>
    <row r="2403" spans="15:47" ht="14.4" x14ac:dyDescent="0.3">
      <c r="O2403" s="2" t="s">
        <v>140</v>
      </c>
      <c r="P2403" s="11"/>
      <c r="Q2403" s="2"/>
      <c r="R2403" s="96">
        <f>R2402/R2400</f>
        <v>0.3345910176141032</v>
      </c>
      <c r="S2403" s="106"/>
      <c r="T2403" s="22"/>
      <c r="U2403" s="96">
        <f ca="1">U2402/U2400</f>
        <v>0.32933426896515799</v>
      </c>
      <c r="V2403" s="111"/>
      <c r="W2403" s="28"/>
      <c r="X2403" s="96">
        <f ca="1">X2402/X2400</f>
        <v>0.30117088775082312</v>
      </c>
      <c r="Y2403" s="111"/>
      <c r="Z2403" s="28"/>
      <c r="AA2403" s="96">
        <f ca="1">AA2402/AA2400</f>
        <v>0.18665160413970963</v>
      </c>
      <c r="AB2403" s="111"/>
      <c r="AC2403" s="28"/>
      <c r="AD2403" s="96">
        <f ca="1">AD2402/AD2400</f>
        <v>-0.36425189213325038</v>
      </c>
      <c r="AE2403" s="111"/>
      <c r="AF2403" s="28"/>
      <c r="AG2403" s="96">
        <f ca="1">AG2402/AG2400</f>
        <v>8.280197708249764</v>
      </c>
      <c r="AH2403" s="111"/>
      <c r="AI2403" s="28"/>
      <c r="AJ2403" s="96">
        <f ca="1">AJ2402/AJ2400</f>
        <v>1.7050288075920494</v>
      </c>
      <c r="AK2403" s="111"/>
      <c r="AL2403" s="28"/>
      <c r="AM2403" s="96">
        <f ca="1">AM2402/AM2400</f>
        <v>1.351298699494941</v>
      </c>
      <c r="AN2403" s="111"/>
      <c r="AO2403" s="28"/>
      <c r="AP2403" s="96">
        <f ca="1">AP2402/AP2400</f>
        <v>1.2293785013980594</v>
      </c>
      <c r="AQ2403" s="111"/>
      <c r="AR2403" s="28"/>
      <c r="AS2403" s="96">
        <f ca="1">AS2402/AS2400</f>
        <v>1.1524909172469062</v>
      </c>
      <c r="AT2403" s="111"/>
      <c r="AU2403" s="28"/>
    </row>
    <row r="2404" spans="15:47" x14ac:dyDescent="0.25">
      <c r="O2404" s="2" t="s">
        <v>21</v>
      </c>
      <c r="P2404" s="8">
        <v>12</v>
      </c>
      <c r="Q2404" s="2"/>
      <c r="R2404" s="96">
        <f ca="1">1-R2403/(3*F_GAMMA*R$29)</f>
        <v>0.82574193097921289</v>
      </c>
      <c r="S2404" s="106"/>
      <c r="T2404" s="22"/>
      <c r="U2404" s="96">
        <f ca="1">1-U2403/(3*F_GAMMA*U$29)</f>
        <v>0.82851954060829969</v>
      </c>
      <c r="V2404" s="111"/>
      <c r="W2404" s="28"/>
      <c r="X2404" s="96">
        <f ca="1">1-X2403/(3*F_GAMMA*X$29)</f>
        <v>0.84169032733681559</v>
      </c>
      <c r="Y2404" s="111"/>
      <c r="Z2404" s="28"/>
      <c r="AA2404" s="96">
        <f ca="1">1-AA2403/(3*F_GAMMA*AA$29)</f>
        <v>0.90050407518541298</v>
      </c>
      <c r="AB2404" s="111"/>
      <c r="AC2404" s="28"/>
      <c r="AD2404" s="96">
        <f ca="1">1-AD2403/(3*F_GAMMA*AD$29)</f>
        <v>1.2001889130934547</v>
      </c>
      <c r="AE2404" s="111"/>
      <c r="AF2404" s="28"/>
      <c r="AG2404" s="96">
        <f ca="1">1-AG2403/(3*F_GAMMA*AG$29)</f>
        <v>-3.8237779541755712</v>
      </c>
      <c r="AH2404" s="111"/>
      <c r="AI2404" s="28"/>
      <c r="AJ2404" s="96">
        <f ca="1">1-AJ2403/(3*F_GAMMA*AJ$29)</f>
        <v>-6.8649609970657499E-2</v>
      </c>
      <c r="AK2404" s="111"/>
      <c r="AL2404" s="28"/>
      <c r="AM2404" s="96">
        <f ca="1">1-AM2403/(3*F_GAMMA*AM$29)</f>
        <v>5.3046195467148283E-2</v>
      </c>
      <c r="AN2404" s="111"/>
      <c r="AO2404" s="28"/>
      <c r="AP2404" s="96">
        <f ca="1">1-AP2403/(3*F_GAMMA*AP$29)</f>
        <v>0.30607285611291424</v>
      </c>
      <c r="AQ2404" s="111"/>
      <c r="AR2404" s="28"/>
      <c r="AS2404" s="96">
        <f ca="1">1-AS2403/(3*F_GAMMA*AS$29)</f>
        <v>-1.9840411363942545E-2</v>
      </c>
      <c r="AT2404" s="111"/>
      <c r="AU2404" s="28"/>
    </row>
    <row r="2405" spans="15:47" x14ac:dyDescent="0.25">
      <c r="O2405" s="2" t="s">
        <v>57</v>
      </c>
      <c r="P2405" s="143">
        <v>7</v>
      </c>
      <c r="Q2405" s="2"/>
      <c r="R2405" s="96">
        <f ca="1">(R2398/(N_9*R$27*R2400*R2404))*SQRT(M*'Valve Sizing'!$W$6*'Valve Sizing'!$G$8/R2403)</f>
        <v>3.6562649305311559</v>
      </c>
      <c r="S2405" s="107"/>
      <c r="T2405" s="22"/>
      <c r="U2405" s="96">
        <f ca="1">(U2398/(N_9*U$27*U2400*U2404))*SQRT(M*'Valve Sizing'!$W$6*'Valve Sizing'!$G$8/U2403)</f>
        <v>25.753403922372978</v>
      </c>
      <c r="V2405" s="111"/>
      <c r="W2405" s="28"/>
      <c r="X2405" s="96">
        <f ca="1">(X2398/(N_9*X$27*X2400*X2404))*SQRT(M*'Valve Sizing'!$W$6*'Valve Sizing'!$G$8/X2403)</f>
        <v>67.792888671509417</v>
      </c>
      <c r="Y2405" s="111"/>
      <c r="Z2405" s="28"/>
      <c r="AA2405" s="96">
        <f ca="1">(AA2398/(N_9*AA$27*AA2400*AA2404))*SQRT(M*'Valve Sizing'!$W$6*'Valve Sizing'!$G$8/AA2403)</f>
        <v>183.5476010595813</v>
      </c>
      <c r="AB2405" s="111"/>
      <c r="AC2405" s="28"/>
      <c r="AD2405" s="96" t="e">
        <f ca="1">(AD2398/(N_9*AD$27*AD2400*AD2404))*SQRT(M*'Valve Sizing'!$W$6*'Valve Sizing'!$G$8/AD2403)</f>
        <v>#NUM!</v>
      </c>
      <c r="AE2405" s="111"/>
      <c r="AF2405" s="28"/>
      <c r="AG2405" s="96">
        <f ca="1">(AG2398/(N_9*AG$27*AG2400*AG2404))*SQRT(M*'Valve Sizing'!$W$6*'Valve Sizing'!$G$8/AG2403)</f>
        <v>147.24469690378842</v>
      </c>
      <c r="AH2405" s="111"/>
      <c r="AI2405" s="28"/>
      <c r="AJ2405" s="96">
        <f ca="1">(AJ2398/(N_9*AJ$27*AJ2400*AJ2404))*SQRT(M*'Valve Sizing'!$W$6*'Valve Sizing'!$G$8/AJ2403)</f>
        <v>2420.2226103049979</v>
      </c>
      <c r="AK2405" s="111"/>
      <c r="AL2405" s="28"/>
      <c r="AM2405" s="96">
        <f ca="1">(AM2398/(N_9*AM$27*AM2400*AM2404))*SQRT(M*'Valve Sizing'!$W$6*'Valve Sizing'!$G$8/AM2403)</f>
        <v>-2269.5783260105491</v>
      </c>
      <c r="AN2405" s="111"/>
      <c r="AO2405" s="28"/>
      <c r="AP2405" s="96">
        <f ca="1">(AP2398/(N_9*AP$27*AP2400*AP2404))*SQRT(M*'Valve Sizing'!$W$6*'Valve Sizing'!$G$8/AP2403)</f>
        <v>-355.81210121160541</v>
      </c>
      <c r="AQ2405" s="111"/>
      <c r="AR2405" s="28"/>
      <c r="AS2405" s="96">
        <f ca="1">(AS2398/(N_9*AS$27*AS2400*AS2404))*SQRT(M*'Valve Sizing'!$W$6*'Valve Sizing'!$G$8/AS2403)</f>
        <v>5919.14767972748</v>
      </c>
      <c r="AT2405" s="111"/>
      <c r="AU2405" s="28"/>
    </row>
    <row r="2406" spans="15:47" x14ac:dyDescent="0.25">
      <c r="O2406" s="2" t="s">
        <v>59</v>
      </c>
      <c r="P2406" s="143">
        <v>7</v>
      </c>
      <c r="Q2406" s="2"/>
      <c r="R2406" s="96">
        <f ca="1">(R2398/(N_9*R$27*R2400*0.667))*SQRT(M*'Valve Sizing'!$W$6*'Valve Sizing'!$G$8/R2407)</f>
        <v>3.2727530591630019</v>
      </c>
      <c r="S2406" s="107"/>
      <c r="T2406" s="22"/>
      <c r="U2406" s="96">
        <f ca="1">(U2398/(N_9*U$27*U2400*0.667))*SQRT(M*'Valve Sizing'!$W$6*'Valve Sizing'!$G$8/U2407)</f>
        <v>22.944548058670762</v>
      </c>
      <c r="V2406" s="111"/>
      <c r="W2406" s="28"/>
      <c r="X2406" s="96">
        <f ca="1">(X2398/(N_9*X$27*X2400*0.667))*SQRT(M*'Valve Sizing'!$W$6*'Valve Sizing'!$G$8/X2407)</f>
        <v>58.955590674336875</v>
      </c>
      <c r="Y2406" s="111"/>
      <c r="Z2406" s="28"/>
      <c r="AA2406" s="96">
        <f ca="1">(AA2398/(N_9*AA$27*AA2400*0.667))*SQRT(M*'Valve Sizing'!$W$6*'Valve Sizing'!$G$8/AA2407)</f>
        <v>135.38540088169376</v>
      </c>
      <c r="AB2406" s="111"/>
      <c r="AC2406" s="28"/>
      <c r="AD2406" s="96">
        <f ca="1">(AD2398/(N_9*AD$27*AD2400*0.667))*SQRT(M*'Valve Sizing'!$W$6*'Valve Sizing'!$G$8/AD2407)</f>
        <v>391.63405612377079</v>
      </c>
      <c r="AE2406" s="111"/>
      <c r="AF2406" s="28"/>
      <c r="AG2406" s="96">
        <f ca="1">(AG2398/(N_9*AG$27*AG2400*0.667))*SQRT(M*'Valve Sizing'!$W$6*'Valve Sizing'!$G$8/AG2407)</f>
        <v>-3211.1513462422222</v>
      </c>
      <c r="AH2406" s="111"/>
      <c r="AI2406" s="28"/>
      <c r="AJ2406" s="96">
        <f ca="1">(AJ2398/(N_9*AJ$27*AJ2400*0.667))*SQRT(M*'Valve Sizing'!$W$6*'Valve Sizing'!$G$8/AJ2407)</f>
        <v>-446.01128490638348</v>
      </c>
      <c r="AK2406" s="111"/>
      <c r="AL2406" s="28"/>
      <c r="AM2406" s="96">
        <f ca="1">(AM2398/(N_9*AM$27*AM2400*0.667))*SQRT(M*'Valve Sizing'!$W$6*'Valve Sizing'!$G$8/AM2407)</f>
        <v>-304.22759673449804</v>
      </c>
      <c r="AN2406" s="111"/>
      <c r="AO2406" s="28"/>
      <c r="AP2406" s="96">
        <f ca="1">(AP2398/(N_9*AP$27*AP2400*0.667))*SQRT(M*'Valve Sizing'!$W$6*'Valve Sizing'!$G$8/AP2407)</f>
        <v>-235.5793731962776</v>
      </c>
      <c r="AQ2406" s="111"/>
      <c r="AR2406" s="28"/>
      <c r="AS2406" s="96">
        <f ca="1">(AS2398/(N_9*AS$27*AS2400*0.667))*SQRT(M*'Valve Sizing'!$W$6*'Valve Sizing'!$G$8/AS2407)</f>
        <v>-307.9716571280801</v>
      </c>
      <c r="AT2406" s="111"/>
      <c r="AU2406" s="28"/>
    </row>
    <row r="2407" spans="15:47" ht="15.6" x14ac:dyDescent="0.35">
      <c r="O2407" s="2" t="s">
        <v>68</v>
      </c>
      <c r="P2407" s="143">
        <v>10</v>
      </c>
      <c r="Q2407" s="2"/>
      <c r="R2407" s="96">
        <f ca="1">F_GAMMA*R$29</f>
        <v>0.64002969751372984</v>
      </c>
      <c r="S2407" s="107"/>
      <c r="T2407" s="1"/>
      <c r="U2407" s="96">
        <f ca="1">F_GAMMA*U$29</f>
        <v>0.64017842058782071</v>
      </c>
      <c r="V2407" s="111"/>
      <c r="W2407" s="28"/>
      <c r="X2407" s="96">
        <f ca="1">F_GAMMA*X$29</f>
        <v>0.63413873724904268</v>
      </c>
      <c r="Y2407" s="111"/>
      <c r="Z2407" s="28"/>
      <c r="AA2407" s="96">
        <f ca="1">F_GAMMA*AA$29</f>
        <v>0.62532411750377137</v>
      </c>
      <c r="AB2407" s="111"/>
      <c r="AC2407" s="28"/>
      <c r="AD2407" s="96">
        <f ca="1">F_GAMMA*AD$29</f>
        <v>0.60651359509139569</v>
      </c>
      <c r="AE2407" s="111"/>
      <c r="AF2407" s="28"/>
      <c r="AG2407" s="96">
        <f ca="1">F_GAMMA*AG$29</f>
        <v>0.57217930198481592</v>
      </c>
      <c r="AH2407" s="111"/>
      <c r="AI2407" s="28"/>
      <c r="AJ2407" s="96">
        <f ca="1">F_GAMMA*AJ$29</f>
        <v>0.53183282018848232</v>
      </c>
      <c r="AK2407" s="111"/>
      <c r="AL2407" s="28"/>
      <c r="AM2407" s="96">
        <f ca="1">F_GAMMA*AM$29</f>
        <v>0.47566512503094399</v>
      </c>
      <c r="AN2407" s="111"/>
      <c r="AO2407" s="28"/>
      <c r="AP2407" s="96">
        <f ca="1">F_GAMMA*AP$29</f>
        <v>0.59054158265645496</v>
      </c>
      <c r="AQ2407" s="111"/>
      <c r="AR2407" s="28"/>
      <c r="AS2407" s="96">
        <f ca="1">F_GAMMA*AS$29</f>
        <v>0.3766899554102966</v>
      </c>
      <c r="AT2407" s="111"/>
      <c r="AU2407" s="28"/>
    </row>
    <row r="2408" spans="15:47" x14ac:dyDescent="0.25">
      <c r="O2408" s="2" t="s">
        <v>145</v>
      </c>
      <c r="P2408" s="12"/>
      <c r="Q2408" s="2"/>
      <c r="R2408" s="96">
        <f ca="1">IF(R2403&lt;R2407,R2405,R2406)</f>
        <v>3.6562649305311559</v>
      </c>
      <c r="S2408" s="116"/>
      <c r="T2408" s="1"/>
      <c r="U2408" s="96">
        <f ca="1">IF(U2403&lt;U2407,U2405,U2406)</f>
        <v>25.753403922372978</v>
      </c>
      <c r="V2408" s="111"/>
      <c r="W2408" s="28"/>
      <c r="X2408" s="96">
        <f ca="1">IF(X2403&lt;X2407,X2405,X2406)</f>
        <v>67.792888671509417</v>
      </c>
      <c r="Y2408" s="111"/>
      <c r="Z2408" s="28"/>
      <c r="AA2408" s="96">
        <f ca="1">IF(AA2403&lt;AA2407,AA2405,AA2406)</f>
        <v>183.5476010595813</v>
      </c>
      <c r="AB2408" s="111"/>
      <c r="AC2408" s="28"/>
      <c r="AD2408" s="96" t="e">
        <f ca="1">IF(AD2403&lt;AD2407,AD2405,AD2406)</f>
        <v>#NUM!</v>
      </c>
      <c r="AE2408" s="111"/>
      <c r="AF2408" s="28"/>
      <c r="AG2408" s="96">
        <f ca="1">IF(AG2403&lt;AG2407,AG2405,AG2406)</f>
        <v>-3211.1513462422222</v>
      </c>
      <c r="AH2408" s="111"/>
      <c r="AI2408" s="28"/>
      <c r="AJ2408" s="96">
        <f ca="1">IF(AJ2403&lt;AJ2407,AJ2405,AJ2406)</f>
        <v>-446.01128490638348</v>
      </c>
      <c r="AK2408" s="111"/>
      <c r="AL2408" s="28"/>
      <c r="AM2408" s="96">
        <f ca="1">IF(AM2403&lt;AM2407,AM2405,AM2406)</f>
        <v>-304.22759673449804</v>
      </c>
      <c r="AN2408" s="111"/>
      <c r="AO2408" s="28"/>
      <c r="AP2408" s="96">
        <f ca="1">IF(AP2403&lt;AP2407,AP2405,AP2406)</f>
        <v>-235.5793731962776</v>
      </c>
      <c r="AQ2408" s="111"/>
      <c r="AR2408" s="28"/>
      <c r="AS2408" s="96">
        <f ca="1">IF(AS2403&lt;AS2407,AS2405,AS2406)</f>
        <v>-307.9716571280801</v>
      </c>
      <c r="AT2408" s="111"/>
      <c r="AU2408" s="28"/>
    </row>
    <row r="2409" spans="15:47" x14ac:dyDescent="0.25">
      <c r="O2409" s="13" t="s">
        <v>143</v>
      </c>
      <c r="P2409" s="1"/>
      <c r="Q2409" s="1"/>
      <c r="R2409" s="113"/>
      <c r="S2409" s="106">
        <f ca="1">IF(R2402&lt;=0,Q_max,ABS(R$23-R2408))</f>
        <v>1.0737350694688446</v>
      </c>
      <c r="T2409" s="7">
        <f>R2398</f>
        <v>9051.3986168880492</v>
      </c>
      <c r="U2409" s="98"/>
      <c r="V2409" s="106">
        <f ca="1">IF(U2402&lt;=0,Q_max,ABS(U$23-U2408))</f>
        <v>14.153403922372979</v>
      </c>
      <c r="W2409" s="9">
        <f ca="1">U2398</f>
        <v>62925.995298143825</v>
      </c>
      <c r="X2409" s="98"/>
      <c r="Y2409" s="106">
        <f ca="1">IF(X2402&lt;=0,Q_max,ABS(X$23-X2408))</f>
        <v>44.792888671509417</v>
      </c>
      <c r="Z2409" s="9">
        <f ca="1">X2398</f>
        <v>154082.64817181171</v>
      </c>
      <c r="AA2409" s="98"/>
      <c r="AB2409" s="106">
        <f ca="1">IF(AA2402&lt;=0,Q_max,ABS(AA$23-AA2408))</f>
        <v>144.14760105958129</v>
      </c>
      <c r="AC2409" s="9">
        <f ca="1">AA2398</f>
        <v>300113.66974946728</v>
      </c>
      <c r="AD2409" s="98"/>
      <c r="AE2409" s="106">
        <f ca="1">IF(AD2402&lt;=0,Q_max,ABS(AD$23-AD2408))</f>
        <v>236393</v>
      </c>
      <c r="AF2409" s="9">
        <f ca="1">AD2398</f>
        <v>503497.37891826994</v>
      </c>
      <c r="AG2409" s="98"/>
      <c r="AH2409" s="106">
        <f ca="1">IF(AG2402&lt;=0,Q_max,ABS(AG$23-AG2408))</f>
        <v>236393</v>
      </c>
      <c r="AI2409" s="9">
        <f ca="1">AG2398</f>
        <v>734868.13785720884</v>
      </c>
      <c r="AJ2409" s="98"/>
      <c r="AK2409" s="106">
        <f ca="1">IF(AJ2402&lt;=0,Q_max,ABS(AJ$23-AJ2408))</f>
        <v>236393</v>
      </c>
      <c r="AL2409" s="9">
        <f ca="1">AJ2398</f>
        <v>980684.37873618945</v>
      </c>
      <c r="AM2409" s="98"/>
      <c r="AN2409" s="106">
        <f ca="1">IF(AM2402&lt;=0,Q_max,ABS(AM$23-AM2408))</f>
        <v>236393</v>
      </c>
      <c r="AO2409" s="9">
        <f ca="1">AM2398</f>
        <v>1196621.3112664581</v>
      </c>
      <c r="AP2409" s="98"/>
      <c r="AQ2409" s="106">
        <f ca="1">IF(AP2402&lt;=0,Q_max,ABS(AP$23-AP2408))</f>
        <v>236393</v>
      </c>
      <c r="AR2409" s="9">
        <f ca="1">AP2398</f>
        <v>1389240.1937144981</v>
      </c>
      <c r="AS2409" s="98"/>
      <c r="AT2409" s="106">
        <f ca="1">IF(AS2402&lt;=0,Q_max,ABS(AS$23-AS2408))</f>
        <v>236393</v>
      </c>
      <c r="AU2409" s="9">
        <f ca="1">AS2398</f>
        <v>1628993.3838192828</v>
      </c>
    </row>
    <row r="2410" spans="15:47" x14ac:dyDescent="0.25">
      <c r="O2410" s="21"/>
      <c r="P2410" s="14"/>
      <c r="Q2410" s="21"/>
      <c r="R2410" s="97"/>
      <c r="S2410" s="106"/>
      <c r="T2410" s="28"/>
      <c r="U2410" s="99"/>
      <c r="V2410" s="110"/>
      <c r="W2410" s="25"/>
      <c r="X2410" s="99"/>
      <c r="Y2410" s="110"/>
      <c r="Z2410" s="25"/>
      <c r="AA2410" s="99"/>
      <c r="AB2410" s="110"/>
      <c r="AC2410" s="25"/>
      <c r="AD2410" s="99"/>
      <c r="AE2410" s="110"/>
      <c r="AF2410" s="25"/>
      <c r="AG2410" s="99"/>
      <c r="AH2410" s="110"/>
      <c r="AI2410" s="25"/>
      <c r="AJ2410" s="99"/>
      <c r="AK2410" s="110"/>
      <c r="AL2410" s="25"/>
      <c r="AM2410" s="99"/>
      <c r="AN2410" s="110"/>
      <c r="AO2410" s="25"/>
      <c r="AP2410" s="99"/>
      <c r="AQ2410" s="110"/>
      <c r="AR2410" s="25"/>
      <c r="AS2410" s="99"/>
      <c r="AT2410" s="110"/>
      <c r="AU2410" s="25"/>
    </row>
    <row r="2411" spans="15:47" x14ac:dyDescent="0.25">
      <c r="O2411" s="1"/>
      <c r="P2411" s="1"/>
      <c r="Q2411" s="1"/>
      <c r="R2411" s="98"/>
      <c r="S2411" s="108" t="s">
        <v>137</v>
      </c>
      <c r="T2411" s="26" t="s">
        <v>146</v>
      </c>
      <c r="U2411" s="98"/>
      <c r="V2411" s="108" t="s">
        <v>137</v>
      </c>
      <c r="W2411" s="26" t="s">
        <v>146</v>
      </c>
      <c r="X2411" s="98"/>
      <c r="Y2411" s="108" t="s">
        <v>137</v>
      </c>
      <c r="Z2411" s="26" t="s">
        <v>146</v>
      </c>
      <c r="AA2411" s="98"/>
      <c r="AB2411" s="108" t="s">
        <v>137</v>
      </c>
      <c r="AC2411" s="26" t="s">
        <v>146</v>
      </c>
      <c r="AD2411" s="98"/>
      <c r="AE2411" s="108" t="s">
        <v>137</v>
      </c>
      <c r="AF2411" s="26" t="s">
        <v>146</v>
      </c>
      <c r="AG2411" s="98"/>
      <c r="AH2411" s="108" t="s">
        <v>137</v>
      </c>
      <c r="AI2411" s="26" t="s">
        <v>146</v>
      </c>
      <c r="AJ2411" s="98"/>
      <c r="AK2411" s="108" t="s">
        <v>137</v>
      </c>
      <c r="AL2411" s="26" t="s">
        <v>146</v>
      </c>
      <c r="AM2411" s="98"/>
      <c r="AN2411" s="108" t="s">
        <v>137</v>
      </c>
      <c r="AO2411" s="26" t="s">
        <v>146</v>
      </c>
      <c r="AP2411" s="98"/>
      <c r="AQ2411" s="108" t="s">
        <v>137</v>
      </c>
      <c r="AR2411" s="26" t="s">
        <v>146</v>
      </c>
      <c r="AS2411" s="98"/>
      <c r="AT2411" s="108" t="s">
        <v>137</v>
      </c>
      <c r="AU2411" s="26" t="s">
        <v>146</v>
      </c>
    </row>
    <row r="2412" spans="15:47" ht="13.8" x14ac:dyDescent="0.25">
      <c r="O2412" s="20" t="s">
        <v>136</v>
      </c>
      <c r="P2412" s="1"/>
      <c r="Q2412" s="1"/>
      <c r="R2412" s="96">
        <f>R2398*1.02</f>
        <v>9232.4265892258099</v>
      </c>
      <c r="S2412" s="109" t="s">
        <v>144</v>
      </c>
      <c r="T2412" s="23" t="s">
        <v>147</v>
      </c>
      <c r="U2412" s="96">
        <f ca="1">U2398*1.01</f>
        <v>63555.255251125265</v>
      </c>
      <c r="V2412" s="109" t="s">
        <v>144</v>
      </c>
      <c r="W2412" s="23" t="s">
        <v>147</v>
      </c>
      <c r="X2412" s="96">
        <f ca="1">X2398*1.01</f>
        <v>155623.47465352982</v>
      </c>
      <c r="Y2412" s="109" t="s">
        <v>144</v>
      </c>
      <c r="Z2412" s="23" t="s">
        <v>147</v>
      </c>
      <c r="AA2412" s="96">
        <f ca="1">AA2398*1.01</f>
        <v>303114.80644696194</v>
      </c>
      <c r="AB2412" s="109" t="s">
        <v>144</v>
      </c>
      <c r="AC2412" s="23" t="s">
        <v>147</v>
      </c>
      <c r="AD2412" s="96">
        <f ca="1">AD2398*1.01</f>
        <v>508532.35270745266</v>
      </c>
      <c r="AE2412" s="109" t="s">
        <v>144</v>
      </c>
      <c r="AF2412" s="23" t="s">
        <v>147</v>
      </c>
      <c r="AG2412" s="96">
        <f ca="1">AG2398*1.01</f>
        <v>742216.81923578097</v>
      </c>
      <c r="AH2412" s="109" t="s">
        <v>144</v>
      </c>
      <c r="AI2412" s="23" t="s">
        <v>147</v>
      </c>
      <c r="AJ2412" s="96">
        <f ca="1">AJ2398*1.01</f>
        <v>990491.22252355132</v>
      </c>
      <c r="AK2412" s="109" t="s">
        <v>144</v>
      </c>
      <c r="AL2412" s="23" t="s">
        <v>147</v>
      </c>
      <c r="AM2412" s="96">
        <f ca="1">AM2398*1.01</f>
        <v>1208587.5243791228</v>
      </c>
      <c r="AN2412" s="109" t="s">
        <v>144</v>
      </c>
      <c r="AO2412" s="23" t="s">
        <v>147</v>
      </c>
      <c r="AP2412" s="96">
        <f ca="1">AP2398*1.01</f>
        <v>1403132.5956516431</v>
      </c>
      <c r="AQ2412" s="109" t="s">
        <v>144</v>
      </c>
      <c r="AR2412" s="23" t="s">
        <v>147</v>
      </c>
      <c r="AS2412" s="96">
        <f ca="1">AS2398*1.01</f>
        <v>1645283.3176574756</v>
      </c>
      <c r="AT2412" s="109" t="s">
        <v>144</v>
      </c>
      <c r="AU2412" s="23" t="s">
        <v>147</v>
      </c>
    </row>
    <row r="2413" spans="15:47" x14ac:dyDescent="0.25">
      <c r="O2413" s="1"/>
      <c r="P2413" s="1"/>
      <c r="Q2413" s="1"/>
      <c r="R2413" s="98"/>
      <c r="S2413" s="107"/>
      <c r="T2413" s="1"/>
      <c r="U2413" s="47"/>
      <c r="V2413" s="107"/>
      <c r="W2413" s="1"/>
      <c r="X2413" s="47"/>
      <c r="Y2413" s="107"/>
      <c r="Z2413" s="1"/>
      <c r="AA2413" s="47"/>
      <c r="AB2413" s="107"/>
      <c r="AC2413" s="1"/>
      <c r="AD2413" s="47"/>
      <c r="AE2413" s="107"/>
      <c r="AF2413" s="1"/>
      <c r="AG2413" s="47"/>
      <c r="AH2413" s="107"/>
      <c r="AI2413" s="1"/>
      <c r="AJ2413" s="47"/>
      <c r="AK2413" s="107"/>
      <c r="AL2413" s="1"/>
      <c r="AM2413" s="47"/>
      <c r="AN2413" s="107"/>
      <c r="AO2413" s="1"/>
      <c r="AP2413" s="47"/>
      <c r="AQ2413" s="107"/>
      <c r="AR2413" s="1"/>
      <c r="AS2413" s="47"/>
      <c r="AT2413" s="107"/>
      <c r="AU2413" s="1"/>
    </row>
    <row r="2414" spans="15:47" x14ac:dyDescent="0.25">
      <c r="O2414" s="8" t="s">
        <v>132</v>
      </c>
      <c r="P2414" s="8"/>
      <c r="Q2414" s="8"/>
      <c r="R2414" s="96">
        <f>P_1_minQ-(R2412^2*R_up)+dpup_minQ</f>
        <v>90.169505029252647</v>
      </c>
      <c r="S2414" s="106"/>
      <c r="T2414" s="22"/>
      <c r="U2414" s="96">
        <f ca="1">P_1_minQ-(U2412^2*R_up)+dpup_minQ</f>
        <v>89.448839413799192</v>
      </c>
      <c r="V2414" s="107"/>
      <c r="W2414" s="1"/>
      <c r="X2414" s="96">
        <f ca="1">P_1_minQ-(X2412^2*R_up)+dpup_minQ</f>
        <v>85.770924421947086</v>
      </c>
      <c r="Y2414" s="107"/>
      <c r="Z2414" s="1"/>
      <c r="AA2414" s="96">
        <f ca="1">P_1_minQ-(AA2412^2*R_up)+dpup_minQ</f>
        <v>73.439165746554195</v>
      </c>
      <c r="AB2414" s="107"/>
      <c r="AC2414" s="1"/>
      <c r="AD2414" s="96">
        <f ca="1">P_1_minQ-(AD2412^2*R_up)+dpup_minQ</f>
        <v>43.051429566450274</v>
      </c>
      <c r="AE2414" s="107"/>
      <c r="AF2414" s="1"/>
      <c r="AG2414" s="96">
        <f ca="1">P_1_minQ-(AG2412^2*R_up)+dpup_minQ</f>
        <v>-10.21990857692815</v>
      </c>
      <c r="AH2414" s="107"/>
      <c r="AI2414" s="1"/>
      <c r="AJ2414" s="96">
        <f ca="1">P_1_minQ-(AJ2412^2*R_up)+dpup_minQ</f>
        <v>-88.626193233606983</v>
      </c>
      <c r="AK2414" s="107"/>
      <c r="AL2414" s="1"/>
      <c r="AM2414" s="96">
        <f ca="1">P_1_minQ-(AM2412^2*R_up)+dpup_minQ</f>
        <v>-176.04052057892505</v>
      </c>
      <c r="AN2414" s="107"/>
      <c r="AO2414" s="1"/>
      <c r="AP2414" s="96">
        <f ca="1">P_1_minQ-(AP2412^2*R_up)+dpup_minQ</f>
        <v>-268.64679324464788</v>
      </c>
      <c r="AQ2414" s="107"/>
      <c r="AR2414" s="1"/>
      <c r="AS2414" s="96">
        <f ca="1">P_1_minQ-(AS2412^2*R_up)+dpup_minQ</f>
        <v>-403.18744447876804</v>
      </c>
      <c r="AT2414" s="107"/>
      <c r="AU2414" s="1"/>
    </row>
    <row r="2415" spans="15:47" x14ac:dyDescent="0.25">
      <c r="O2415" s="8" t="s">
        <v>134</v>
      </c>
      <c r="P2415" s="1"/>
      <c r="Q2415" s="8"/>
      <c r="R2415" s="97">
        <f>P_2_minQ+(R2412^2*R_dn)-dpdn_minQ</f>
        <v>60</v>
      </c>
      <c r="S2415" s="106"/>
      <c r="T2415" s="22"/>
      <c r="U2415" s="97">
        <f ca="1">P_2_minQ+(U2412^2*R_dn)-dpdn_minQ</f>
        <v>60</v>
      </c>
      <c r="V2415" s="107"/>
      <c r="W2415" s="1"/>
      <c r="X2415" s="97">
        <f ca="1">P_2_minQ+(X2412^2*R_dn)-dpdn_minQ</f>
        <v>60</v>
      </c>
      <c r="Y2415" s="107"/>
      <c r="Z2415" s="1"/>
      <c r="AA2415" s="97">
        <f ca="1">P_2_minQ+(AA2412^2*R_dn)-dpdn_minQ</f>
        <v>60</v>
      </c>
      <c r="AB2415" s="107"/>
      <c r="AC2415" s="1"/>
      <c r="AD2415" s="97">
        <f ca="1">P_2_minQ+(AD2412^2*R_dn)-dpdn_minQ</f>
        <v>60</v>
      </c>
      <c r="AE2415" s="107"/>
      <c r="AF2415" s="1"/>
      <c r="AG2415" s="97">
        <f ca="1">P_2_minQ+(AG2412^2*R_dn)-dpdn_minQ</f>
        <v>60</v>
      </c>
      <c r="AH2415" s="107"/>
      <c r="AI2415" s="1"/>
      <c r="AJ2415" s="97">
        <f ca="1">P_2_minQ+(AJ2412^2*R_dn)-dpdn_minQ</f>
        <v>60</v>
      </c>
      <c r="AK2415" s="107"/>
      <c r="AL2415" s="1"/>
      <c r="AM2415" s="97">
        <f ca="1">P_2_minQ+(AM2412^2*R_dn)-dpdn_minQ</f>
        <v>60</v>
      </c>
      <c r="AN2415" s="107"/>
      <c r="AO2415" s="1"/>
      <c r="AP2415" s="97">
        <f ca="1">P_2_minQ+(AP2412^2*R_dn)-dpdn_minQ</f>
        <v>60</v>
      </c>
      <c r="AQ2415" s="107"/>
      <c r="AR2415" s="1"/>
      <c r="AS2415" s="97">
        <f ca="1">P_2_minQ+(AS2412^2*R_dn)-dpdn_minQ</f>
        <v>60</v>
      </c>
      <c r="AT2415" s="107"/>
      <c r="AU2415" s="1"/>
    </row>
    <row r="2416" spans="15:47" x14ac:dyDescent="0.25">
      <c r="O2416" s="8" t="s">
        <v>138</v>
      </c>
      <c r="P2416" s="1"/>
      <c r="Q2416" s="8"/>
      <c r="R2416" s="97">
        <f>R2414-R2415</f>
        <v>30.169505029252647</v>
      </c>
      <c r="S2416" s="106"/>
      <c r="T2416" s="22"/>
      <c r="U2416" s="97">
        <f ca="1">U2414-U2415</f>
        <v>29.448839413799192</v>
      </c>
      <c r="V2416" s="110"/>
      <c r="W2416" s="25"/>
      <c r="X2416" s="97">
        <f ca="1">X2414-X2415</f>
        <v>25.770924421947086</v>
      </c>
      <c r="Y2416" s="110"/>
      <c r="Z2416" s="25"/>
      <c r="AA2416" s="97">
        <f ca="1">AA2414-AA2415</f>
        <v>13.439165746554195</v>
      </c>
      <c r="AB2416" s="110"/>
      <c r="AC2416" s="25"/>
      <c r="AD2416" s="97">
        <f ca="1">AD2414-AD2415</f>
        <v>-16.948570433549726</v>
      </c>
      <c r="AE2416" s="110"/>
      <c r="AF2416" s="25"/>
      <c r="AG2416" s="97">
        <f ca="1">AG2414-AG2415</f>
        <v>-70.219908576928148</v>
      </c>
      <c r="AH2416" s="110"/>
      <c r="AI2416" s="25"/>
      <c r="AJ2416" s="97">
        <f ca="1">AJ2414-AJ2415</f>
        <v>-148.62619323360698</v>
      </c>
      <c r="AK2416" s="110"/>
      <c r="AL2416" s="25"/>
      <c r="AM2416" s="97">
        <f ca="1">AM2414-AM2415</f>
        <v>-236.04052057892505</v>
      </c>
      <c r="AN2416" s="110"/>
      <c r="AO2416" s="25"/>
      <c r="AP2416" s="97">
        <f ca="1">AP2414-AP2415</f>
        <v>-328.64679324464788</v>
      </c>
      <c r="AQ2416" s="110"/>
      <c r="AR2416" s="25"/>
      <c r="AS2416" s="97">
        <f ca="1">AS2414-AS2415</f>
        <v>-463.18744447876804</v>
      </c>
      <c r="AT2416" s="110"/>
      <c r="AU2416" s="25"/>
    </row>
    <row r="2417" spans="15:47" ht="14.4" x14ac:dyDescent="0.3">
      <c r="O2417" s="2" t="s">
        <v>140</v>
      </c>
      <c r="P2417" s="11"/>
      <c r="Q2417" s="2"/>
      <c r="R2417" s="96">
        <f>R2416/R2414</f>
        <v>0.33458656581806795</v>
      </c>
      <c r="S2417" s="106"/>
      <c r="T2417" s="22"/>
      <c r="U2417" s="96">
        <f ca="1">U2416/U2414</f>
        <v>0.32922550596286604</v>
      </c>
      <c r="V2417" s="111"/>
      <c r="W2417" s="28"/>
      <c r="X2417" s="96">
        <f ca="1">X2416/X2414</f>
        <v>0.30046224400203403</v>
      </c>
      <c r="Y2417" s="111"/>
      <c r="Z2417" s="28"/>
      <c r="AA2417" s="96">
        <f ca="1">AA2416/AA2414</f>
        <v>0.18299725507413961</v>
      </c>
      <c r="AB2417" s="111"/>
      <c r="AC2417" s="28"/>
      <c r="AD2417" s="96">
        <f ca="1">AD2416/AD2414</f>
        <v>-0.39368194283512592</v>
      </c>
      <c r="AE2417" s="111"/>
      <c r="AF2417" s="28"/>
      <c r="AG2417" s="96">
        <f ca="1">AG2416/AG2414</f>
        <v>6.8708940053976981</v>
      </c>
      <c r="AH2417" s="111"/>
      <c r="AI2417" s="28"/>
      <c r="AJ2417" s="96">
        <f ca="1">AJ2416/AJ2414</f>
        <v>1.6770007580247512</v>
      </c>
      <c r="AK2417" s="111"/>
      <c r="AL2417" s="28"/>
      <c r="AM2417" s="96">
        <f ca="1">AM2416/AM2414</f>
        <v>1.3408306212835808</v>
      </c>
      <c r="AN2417" s="111"/>
      <c r="AO2417" s="28"/>
      <c r="AP2417" s="96">
        <f ca="1">AP2416/AP2414</f>
        <v>1.2233415827352161</v>
      </c>
      <c r="AQ2417" s="111"/>
      <c r="AR2417" s="28"/>
      <c r="AS2417" s="96">
        <f ca="1">AS2416/AS2414</f>
        <v>1.1488141578356108</v>
      </c>
      <c r="AT2417" s="111"/>
      <c r="AU2417" s="28"/>
    </row>
    <row r="2418" spans="15:47" x14ac:dyDescent="0.25">
      <c r="O2418" s="2" t="s">
        <v>21</v>
      </c>
      <c r="P2418" s="8">
        <v>12</v>
      </c>
      <c r="Q2418" s="2"/>
      <c r="R2418" s="96">
        <f ca="1">1-R2417/(3*F_GAMMA*R$29)</f>
        <v>0.8257442495153956</v>
      </c>
      <c r="S2418" s="106"/>
      <c r="T2418" s="22"/>
      <c r="U2418" s="96">
        <f ca="1">1-U2417/(3*F_GAMMA*U$29)</f>
        <v>0.82857617221744384</v>
      </c>
      <c r="V2418" s="111"/>
      <c r="W2418" s="28"/>
      <c r="X2418" s="96">
        <f ca="1">1-X2417/(3*F_GAMMA*X$29)</f>
        <v>0.8420628240304483</v>
      </c>
      <c r="Y2418" s="111"/>
      <c r="Z2418" s="28"/>
      <c r="AA2418" s="96">
        <f ca="1">1-AA2417/(3*F_GAMMA*AA$29)</f>
        <v>0.90245205115674221</v>
      </c>
      <c r="AB2418" s="111"/>
      <c r="AC2418" s="28"/>
      <c r="AD2418" s="96">
        <f ca="1">1-AD2417/(3*F_GAMMA*AD$29)</f>
        <v>1.2163633516881029</v>
      </c>
      <c r="AE2418" s="111"/>
      <c r="AF2418" s="28"/>
      <c r="AG2418" s="96">
        <f ca="1">1-AG2417/(3*F_GAMMA*AG$29)</f>
        <v>-3.0027627596008548</v>
      </c>
      <c r="AH2418" s="111"/>
      <c r="AI2418" s="28"/>
      <c r="AJ2418" s="96">
        <f ca="1">1-AJ2417/(3*F_GAMMA*AJ$29)</f>
        <v>-5.1082655028334978E-2</v>
      </c>
      <c r="AK2418" s="111"/>
      <c r="AL2418" s="28"/>
      <c r="AM2418" s="96">
        <f ca="1">1-AM2417/(3*F_GAMMA*AM$29)</f>
        <v>6.0381943286708761E-2</v>
      </c>
      <c r="AN2418" s="111"/>
      <c r="AO2418" s="28"/>
      <c r="AP2418" s="96">
        <f ca="1">1-AP2417/(3*F_GAMMA*AP$29)</f>
        <v>0.3094804166980567</v>
      </c>
      <c r="AQ2418" s="111"/>
      <c r="AR2418" s="28"/>
      <c r="AS2418" s="96">
        <f ca="1">1-AS2417/(3*F_GAMMA*AS$29)</f>
        <v>-1.6586843136733309E-2</v>
      </c>
      <c r="AT2418" s="111"/>
      <c r="AU2418" s="28"/>
    </row>
    <row r="2419" spans="15:47" x14ac:dyDescent="0.25">
      <c r="O2419" s="2" t="s">
        <v>57</v>
      </c>
      <c r="P2419" s="143">
        <v>7</v>
      </c>
      <c r="Q2419" s="2"/>
      <c r="R2419" s="96">
        <f ca="1">(R2412/(N_9*R$27*R2414*R2418))*SQRT(M*'Valve Sizing'!$W$6*'Valve Sizing'!$G$8/R2417)</f>
        <v>3.729429518896263</v>
      </c>
      <c r="S2419" s="107"/>
      <c r="T2419" s="22"/>
      <c r="U2419" s="96">
        <f ca="1">(U2412/(N_9*U$27*U2414*U2418))*SQRT(M*'Valve Sizing'!$W$6*'Valve Sizing'!$G$8/U2417)</f>
        <v>26.017674650592657</v>
      </c>
      <c r="V2419" s="111"/>
      <c r="W2419" s="28"/>
      <c r="X2419" s="96">
        <f ca="1">(X2412/(N_9*X$27*X2414*X2418))*SQRT(M*'Valve Sizing'!$W$6*'Valve Sizing'!$G$8/X2417)</f>
        <v>68.590673556663333</v>
      </c>
      <c r="Y2419" s="111"/>
      <c r="Z2419" s="28"/>
      <c r="AA2419" s="96">
        <f ca="1">(AA2412/(N_9*AA$27*AA2414*AA2418))*SQRT(M*'Valve Sizing'!$W$6*'Valve Sizing'!$G$8/AA2417)</f>
        <v>187.66017176660728</v>
      </c>
      <c r="AB2419" s="111"/>
      <c r="AC2419" s="28"/>
      <c r="AD2419" s="96" t="e">
        <f ca="1">(AD2412/(N_9*AD$27*AD2414*AD2418))*SQRT(M*'Valve Sizing'!$W$6*'Valve Sizing'!$G$8/AD2417)</f>
        <v>#NUM!</v>
      </c>
      <c r="AE2419" s="111"/>
      <c r="AF2419" s="28"/>
      <c r="AG2419" s="96">
        <f ca="1">(AG2412/(N_9*AG$27*AG2414*AG2418))*SQRT(M*'Valve Sizing'!$W$6*'Valve Sizing'!$G$8/AG2417)</f>
        <v>167.65151213833761</v>
      </c>
      <c r="AH2419" s="111"/>
      <c r="AI2419" s="28"/>
      <c r="AJ2419" s="96">
        <f ca="1">(AJ2412/(N_9*AJ$27*AJ2414*AJ2418))*SQRT(M*'Valve Sizing'!$W$6*'Valve Sizing'!$G$8/AJ2417)</f>
        <v>3180.7008394343766</v>
      </c>
      <c r="AK2419" s="111"/>
      <c r="AL2419" s="28"/>
      <c r="AM2419" s="96">
        <f ca="1">(AM2412/(N_9*AM$27*AM2414*AM2418))*SQRT(M*'Valve Sizing'!$W$6*'Valve Sizing'!$G$8/AM2417)</f>
        <v>-1961.3924005322424</v>
      </c>
      <c r="AN2419" s="111"/>
      <c r="AO2419" s="28"/>
      <c r="AP2419" s="96">
        <f ca="1">(AP2412/(N_9*AP$27*AP2414*AP2418))*SQRT(M*'Valve Sizing'!$W$6*'Valve Sizing'!$G$8/AP2417)</f>
        <v>-346.91217984980642</v>
      </c>
      <c r="AQ2419" s="111"/>
      <c r="AR2419" s="28"/>
      <c r="AS2419" s="96">
        <f ca="1">(AS2412/(N_9*AS$27*AS2414*AS2418))*SQRT(M*'Valve Sizing'!$W$6*'Valve Sizing'!$G$8/AS2417)</f>
        <v>6989.7497070911122</v>
      </c>
      <c r="AT2419" s="111"/>
      <c r="AU2419" s="28"/>
    </row>
    <row r="2420" spans="15:47" x14ac:dyDescent="0.25">
      <c r="O2420" s="2" t="s">
        <v>59</v>
      </c>
      <c r="P2420" s="143">
        <v>7</v>
      </c>
      <c r="Q2420" s="2"/>
      <c r="R2420" s="96">
        <f ca="1">(R2412/(N_9*R$27*R2414*0.667))*SQRT(M*'Valve Sizing'!$W$6*'Valve Sizing'!$G$8/R2421)</f>
        <v>3.3382304540118244</v>
      </c>
      <c r="S2420" s="107"/>
      <c r="T2420" s="22"/>
      <c r="U2420" s="96">
        <f ca="1">(U2412/(N_9*U$27*U2414*0.667))*SQRT(M*'Valve Sizing'!$W$6*'Valve Sizing'!$G$8/U2421)</f>
        <v>23.177751705204816</v>
      </c>
      <c r="V2420" s="111"/>
      <c r="W2420" s="28"/>
      <c r="X2420" s="96">
        <f ca="1">(X2412/(N_9*X$27*X2414*0.667))*SQRT(M*'Valve Sizing'!$W$6*'Valve Sizing'!$G$8/X2421)</f>
        <v>59.60552800359941</v>
      </c>
      <c r="Y2420" s="111"/>
      <c r="Z2420" s="28"/>
      <c r="AA2420" s="96">
        <f ca="1">(AA2412/(N_9*AA$27*AA2414*0.667))*SQRT(M*'Valve Sizing'!$W$6*'Valve Sizing'!$G$8/AA2421)</f>
        <v>137.35362011318665</v>
      </c>
      <c r="AB2420" s="111"/>
      <c r="AC2420" s="28"/>
      <c r="AD2420" s="96">
        <f ca="1">(AD2412/(N_9*AD$27*AD2414*0.667))*SQRT(M*'Valve Sizing'!$W$6*'Valve Sizing'!$G$8/AD2421)</f>
        <v>404.08332839411099</v>
      </c>
      <c r="AE2420" s="111"/>
      <c r="AF2420" s="28"/>
      <c r="AG2420" s="96">
        <f ca="1">(AG2412/(N_9*AG$27*AG2414*0.667))*SQRT(M*'Valve Sizing'!$W$6*'Valve Sizing'!$G$8/AG2421)</f>
        <v>-2615.4306852672844</v>
      </c>
      <c r="AH2420" s="111"/>
      <c r="AI2420" s="28"/>
      <c r="AJ2420" s="96">
        <f ca="1">(AJ2412/(N_9*AJ$27*AJ2414*0.667))*SQRT(M*'Valve Sizing'!$W$6*'Valve Sizing'!$G$8/AJ2421)</f>
        <v>-432.56314417916855</v>
      </c>
      <c r="AK2420" s="111"/>
      <c r="AL2420" s="28"/>
      <c r="AM2420" s="96">
        <f ca="1">(AM2412/(N_9*AM$27*AM2414*0.667))*SQRT(M*'Valve Sizing'!$W$6*'Valve Sizing'!$G$8/AM2421)</f>
        <v>-298.11377544312273</v>
      </c>
      <c r="AN2420" s="111"/>
      <c r="AO2420" s="28"/>
      <c r="AP2420" s="96">
        <f ca="1">(AP2412/(N_9*AP$27*AP2414*0.667))*SQRT(M*'Valve Sizing'!$W$6*'Valve Sizing'!$G$8/AP2421)</f>
        <v>-231.67304889616236</v>
      </c>
      <c r="AQ2420" s="111"/>
      <c r="AR2420" s="28"/>
      <c r="AS2420" s="96">
        <f ca="1">(AS2412/(N_9*AS$27*AS2414*0.667))*SQRT(M*'Valve Sizing'!$W$6*'Valve Sizing'!$G$8/AS2421)</f>
        <v>-303.55151019081052</v>
      </c>
      <c r="AT2420" s="111"/>
      <c r="AU2420" s="28"/>
    </row>
    <row r="2421" spans="15:47" ht="15.6" x14ac:dyDescent="0.35">
      <c r="O2421" s="2" t="s">
        <v>68</v>
      </c>
      <c r="P2421" s="143">
        <v>10</v>
      </c>
      <c r="Q2421" s="2"/>
      <c r="R2421" s="96">
        <f ca="1">F_GAMMA*R$29</f>
        <v>0.64002969751372984</v>
      </c>
      <c r="S2421" s="107"/>
      <c r="T2421" s="1"/>
      <c r="U2421" s="96">
        <f ca="1">F_GAMMA*U$29</f>
        <v>0.64017842058782071</v>
      </c>
      <c r="V2421" s="111"/>
      <c r="W2421" s="28"/>
      <c r="X2421" s="96">
        <f ca="1">F_GAMMA*X$29</f>
        <v>0.63413873724904268</v>
      </c>
      <c r="Y2421" s="111"/>
      <c r="Z2421" s="28"/>
      <c r="AA2421" s="96">
        <f ca="1">F_GAMMA*AA$29</f>
        <v>0.62532411750377137</v>
      </c>
      <c r="AB2421" s="111"/>
      <c r="AC2421" s="28"/>
      <c r="AD2421" s="96">
        <f ca="1">F_GAMMA*AD$29</f>
        <v>0.60651359509139569</v>
      </c>
      <c r="AE2421" s="111"/>
      <c r="AF2421" s="28"/>
      <c r="AG2421" s="96">
        <f ca="1">F_GAMMA*AG$29</f>
        <v>0.57217930198481592</v>
      </c>
      <c r="AH2421" s="111"/>
      <c r="AI2421" s="28"/>
      <c r="AJ2421" s="96">
        <f ca="1">F_GAMMA*AJ$29</f>
        <v>0.53183282018848232</v>
      </c>
      <c r="AK2421" s="111"/>
      <c r="AL2421" s="28"/>
      <c r="AM2421" s="96">
        <f ca="1">F_GAMMA*AM$29</f>
        <v>0.47566512503094399</v>
      </c>
      <c r="AN2421" s="111"/>
      <c r="AO2421" s="28"/>
      <c r="AP2421" s="96">
        <f ca="1">F_GAMMA*AP$29</f>
        <v>0.59054158265645496</v>
      </c>
      <c r="AQ2421" s="111"/>
      <c r="AR2421" s="28"/>
      <c r="AS2421" s="96">
        <f ca="1">F_GAMMA*AS$29</f>
        <v>0.3766899554102966</v>
      </c>
      <c r="AT2421" s="111"/>
      <c r="AU2421" s="28"/>
    </row>
    <row r="2422" spans="15:47" x14ac:dyDescent="0.25">
      <c r="O2422" s="2" t="s">
        <v>145</v>
      </c>
      <c r="P2422" s="12"/>
      <c r="Q2422" s="2"/>
      <c r="R2422" s="96">
        <f ca="1">IF(R2417&lt;R2421,R2419,R2420)</f>
        <v>3.729429518896263</v>
      </c>
      <c r="S2422" s="116"/>
      <c r="T2422" s="1"/>
      <c r="U2422" s="96">
        <f ca="1">IF(U2417&lt;U2421,U2419,U2420)</f>
        <v>26.017674650592657</v>
      </c>
      <c r="V2422" s="111"/>
      <c r="W2422" s="28"/>
      <c r="X2422" s="96">
        <f ca="1">IF(X2417&lt;X2421,X2419,X2420)</f>
        <v>68.590673556663333</v>
      </c>
      <c r="Y2422" s="111"/>
      <c r="Z2422" s="28"/>
      <c r="AA2422" s="96">
        <f ca="1">IF(AA2417&lt;AA2421,AA2419,AA2420)</f>
        <v>187.66017176660728</v>
      </c>
      <c r="AB2422" s="111"/>
      <c r="AC2422" s="28"/>
      <c r="AD2422" s="96" t="e">
        <f ca="1">IF(AD2417&lt;AD2421,AD2419,AD2420)</f>
        <v>#NUM!</v>
      </c>
      <c r="AE2422" s="111"/>
      <c r="AF2422" s="28"/>
      <c r="AG2422" s="96">
        <f ca="1">IF(AG2417&lt;AG2421,AG2419,AG2420)</f>
        <v>-2615.4306852672844</v>
      </c>
      <c r="AH2422" s="111"/>
      <c r="AI2422" s="28"/>
      <c r="AJ2422" s="96">
        <f ca="1">IF(AJ2417&lt;AJ2421,AJ2419,AJ2420)</f>
        <v>-432.56314417916855</v>
      </c>
      <c r="AK2422" s="111"/>
      <c r="AL2422" s="28"/>
      <c r="AM2422" s="96">
        <f ca="1">IF(AM2417&lt;AM2421,AM2419,AM2420)</f>
        <v>-298.11377544312273</v>
      </c>
      <c r="AN2422" s="111"/>
      <c r="AO2422" s="28"/>
      <c r="AP2422" s="96">
        <f ca="1">IF(AP2417&lt;AP2421,AP2419,AP2420)</f>
        <v>-231.67304889616236</v>
      </c>
      <c r="AQ2422" s="111"/>
      <c r="AR2422" s="28"/>
      <c r="AS2422" s="96">
        <f ca="1">IF(AS2417&lt;AS2421,AS2419,AS2420)</f>
        <v>-303.55151019081052</v>
      </c>
      <c r="AT2422" s="111"/>
      <c r="AU2422" s="28"/>
    </row>
    <row r="2423" spans="15:47" x14ac:dyDescent="0.25">
      <c r="O2423" s="13" t="s">
        <v>143</v>
      </c>
      <c r="P2423" s="1"/>
      <c r="Q2423" s="1"/>
      <c r="R2423" s="113"/>
      <c r="S2423" s="106">
        <f ca="1">IF(R2416&lt;=0,Q_max,ABS(R$23-R2422))</f>
        <v>1.0005704811037375</v>
      </c>
      <c r="T2423" s="7">
        <f>R2412</f>
        <v>9232.4265892258099</v>
      </c>
      <c r="U2423" s="98"/>
      <c r="V2423" s="106">
        <f ca="1">IF(U2416&lt;=0,Q_max,ABS(U$23-U2422))</f>
        <v>14.417674650592657</v>
      </c>
      <c r="W2423" s="9">
        <f ca="1">U2412</f>
        <v>63555.255251125265</v>
      </c>
      <c r="X2423" s="98"/>
      <c r="Y2423" s="106">
        <f ca="1">IF(X2416&lt;=0,Q_max,ABS(X$23-X2422))</f>
        <v>45.590673556663333</v>
      </c>
      <c r="Z2423" s="9">
        <f ca="1">X2412</f>
        <v>155623.47465352982</v>
      </c>
      <c r="AA2423" s="98"/>
      <c r="AB2423" s="106">
        <f ca="1">IF(AA2416&lt;=0,Q_max,ABS(AA$23-AA2422))</f>
        <v>148.26017176660727</v>
      </c>
      <c r="AC2423" s="9">
        <f ca="1">AA2412</f>
        <v>303114.80644696194</v>
      </c>
      <c r="AD2423" s="98"/>
      <c r="AE2423" s="106">
        <f ca="1">IF(AD2416&lt;=0,Q_max,ABS(AD$23-AD2422))</f>
        <v>236393</v>
      </c>
      <c r="AF2423" s="9">
        <f ca="1">AD2412</f>
        <v>508532.35270745266</v>
      </c>
      <c r="AG2423" s="98"/>
      <c r="AH2423" s="106">
        <f ca="1">IF(AG2416&lt;=0,Q_max,ABS(AG$23-AG2422))</f>
        <v>236393</v>
      </c>
      <c r="AI2423" s="9">
        <f ca="1">AG2412</f>
        <v>742216.81923578097</v>
      </c>
      <c r="AJ2423" s="98"/>
      <c r="AK2423" s="106">
        <f ca="1">IF(AJ2416&lt;=0,Q_max,ABS(AJ$23-AJ2422))</f>
        <v>236393</v>
      </c>
      <c r="AL2423" s="9">
        <f ca="1">AJ2412</f>
        <v>990491.22252355132</v>
      </c>
      <c r="AM2423" s="98"/>
      <c r="AN2423" s="106">
        <f ca="1">IF(AM2416&lt;=0,Q_max,ABS(AM$23-AM2422))</f>
        <v>236393</v>
      </c>
      <c r="AO2423" s="9">
        <f ca="1">AM2412</f>
        <v>1208587.5243791228</v>
      </c>
      <c r="AP2423" s="98"/>
      <c r="AQ2423" s="106">
        <f ca="1">IF(AP2416&lt;=0,Q_max,ABS(AP$23-AP2422))</f>
        <v>236393</v>
      </c>
      <c r="AR2423" s="9">
        <f ca="1">AP2412</f>
        <v>1403132.5956516431</v>
      </c>
      <c r="AS2423" s="98"/>
      <c r="AT2423" s="106">
        <f ca="1">IF(AS2416&lt;=0,Q_max,ABS(AS$23-AS2422))</f>
        <v>236393</v>
      </c>
      <c r="AU2423" s="9">
        <f ca="1">AS2412</f>
        <v>1645283.3176574756</v>
      </c>
    </row>
    <row r="2424" spans="15:47" x14ac:dyDescent="0.25">
      <c r="O2424" s="21"/>
      <c r="P2424" s="14"/>
      <c r="Q2424" s="21"/>
      <c r="R2424" s="97"/>
      <c r="S2424" s="106"/>
      <c r="T2424" s="28"/>
      <c r="U2424" s="97"/>
      <c r="V2424" s="111"/>
      <c r="W2424" s="28"/>
      <c r="X2424" s="97"/>
      <c r="Y2424" s="111"/>
      <c r="Z2424" s="28"/>
      <c r="AA2424" s="97"/>
      <c r="AB2424" s="111"/>
      <c r="AC2424" s="28"/>
      <c r="AD2424" s="97"/>
      <c r="AE2424" s="111"/>
      <c r="AF2424" s="28"/>
      <c r="AG2424" s="97"/>
      <c r="AH2424" s="111"/>
      <c r="AI2424" s="28"/>
      <c r="AJ2424" s="97"/>
      <c r="AK2424" s="111"/>
      <c r="AL2424" s="28"/>
      <c r="AM2424" s="97"/>
      <c r="AN2424" s="111"/>
      <c r="AO2424" s="28"/>
      <c r="AP2424" s="97"/>
      <c r="AQ2424" s="111"/>
      <c r="AR2424" s="28"/>
      <c r="AS2424" s="97"/>
      <c r="AT2424" s="111"/>
      <c r="AU2424" s="28"/>
    </row>
    <row r="2425" spans="15:47" x14ac:dyDescent="0.25">
      <c r="O2425" s="1"/>
      <c r="P2425" s="1"/>
      <c r="Q2425" s="1"/>
      <c r="R2425" s="98"/>
      <c r="S2425" s="108" t="s">
        <v>137</v>
      </c>
      <c r="T2425" s="26" t="s">
        <v>146</v>
      </c>
      <c r="U2425" s="98"/>
      <c r="V2425" s="108" t="s">
        <v>137</v>
      </c>
      <c r="W2425" s="26" t="s">
        <v>146</v>
      </c>
      <c r="X2425" s="98"/>
      <c r="Y2425" s="108" t="s">
        <v>137</v>
      </c>
      <c r="Z2425" s="26" t="s">
        <v>146</v>
      </c>
      <c r="AA2425" s="98"/>
      <c r="AB2425" s="108" t="s">
        <v>137</v>
      </c>
      <c r="AC2425" s="26" t="s">
        <v>146</v>
      </c>
      <c r="AD2425" s="98"/>
      <c r="AE2425" s="108" t="s">
        <v>137</v>
      </c>
      <c r="AF2425" s="26" t="s">
        <v>146</v>
      </c>
      <c r="AG2425" s="98"/>
      <c r="AH2425" s="108" t="s">
        <v>137</v>
      </c>
      <c r="AI2425" s="26" t="s">
        <v>146</v>
      </c>
      <c r="AJ2425" s="98"/>
      <c r="AK2425" s="108" t="s">
        <v>137</v>
      </c>
      <c r="AL2425" s="26" t="s">
        <v>146</v>
      </c>
      <c r="AM2425" s="98"/>
      <c r="AN2425" s="108" t="s">
        <v>137</v>
      </c>
      <c r="AO2425" s="26" t="s">
        <v>146</v>
      </c>
      <c r="AP2425" s="98"/>
      <c r="AQ2425" s="108" t="s">
        <v>137</v>
      </c>
      <c r="AR2425" s="26" t="s">
        <v>146</v>
      </c>
      <c r="AS2425" s="98"/>
      <c r="AT2425" s="108" t="s">
        <v>137</v>
      </c>
      <c r="AU2425" s="26" t="s">
        <v>146</v>
      </c>
    </row>
    <row r="2426" spans="15:47" ht="13.8" x14ac:dyDescent="0.25">
      <c r="O2426" s="20" t="s">
        <v>136</v>
      </c>
      <c r="P2426" s="1"/>
      <c r="Q2426" s="1"/>
      <c r="R2426" s="96">
        <f>R2412*1.02</f>
        <v>9417.0751210103263</v>
      </c>
      <c r="S2426" s="109" t="s">
        <v>144</v>
      </c>
      <c r="T2426" s="23" t="s">
        <v>147</v>
      </c>
      <c r="U2426" s="96">
        <f ca="1">U2412*1.01</f>
        <v>64190.807803636519</v>
      </c>
      <c r="V2426" s="109" t="s">
        <v>144</v>
      </c>
      <c r="W2426" s="23" t="s">
        <v>147</v>
      </c>
      <c r="X2426" s="96">
        <f ca="1">X2412*1.01</f>
        <v>157179.70940006513</v>
      </c>
      <c r="Y2426" s="109" t="s">
        <v>144</v>
      </c>
      <c r="Z2426" s="23" t="s">
        <v>147</v>
      </c>
      <c r="AA2426" s="96">
        <f ca="1">AA2412*1.01</f>
        <v>306145.95451143157</v>
      </c>
      <c r="AB2426" s="109" t="s">
        <v>144</v>
      </c>
      <c r="AC2426" s="23" t="s">
        <v>147</v>
      </c>
      <c r="AD2426" s="96">
        <f ca="1">AD2412*1.01</f>
        <v>513617.6762345272</v>
      </c>
      <c r="AE2426" s="109" t="s">
        <v>144</v>
      </c>
      <c r="AF2426" s="23" t="s">
        <v>147</v>
      </c>
      <c r="AG2426" s="96">
        <f ca="1">AG2412*1.01</f>
        <v>749638.98742813885</v>
      </c>
      <c r="AH2426" s="109" t="s">
        <v>144</v>
      </c>
      <c r="AI2426" s="23" t="s">
        <v>147</v>
      </c>
      <c r="AJ2426" s="96">
        <f ca="1">AJ2412*1.01</f>
        <v>1000396.1347487868</v>
      </c>
      <c r="AK2426" s="109" t="s">
        <v>144</v>
      </c>
      <c r="AL2426" s="23" t="s">
        <v>147</v>
      </c>
      <c r="AM2426" s="96">
        <f ca="1">AM2412*1.01</f>
        <v>1220673.3996229139</v>
      </c>
      <c r="AN2426" s="109" t="s">
        <v>144</v>
      </c>
      <c r="AO2426" s="23" t="s">
        <v>147</v>
      </c>
      <c r="AP2426" s="96">
        <f ca="1">AP2412*1.01</f>
        <v>1417163.9216081596</v>
      </c>
      <c r="AQ2426" s="109" t="s">
        <v>144</v>
      </c>
      <c r="AR2426" s="23" t="s">
        <v>147</v>
      </c>
      <c r="AS2426" s="96">
        <f ca="1">AS2412*1.01</f>
        <v>1661736.1508340503</v>
      </c>
      <c r="AT2426" s="109" t="s">
        <v>144</v>
      </c>
      <c r="AU2426" s="23" t="s">
        <v>147</v>
      </c>
    </row>
    <row r="2427" spans="15:47" x14ac:dyDescent="0.25">
      <c r="O2427" s="1"/>
      <c r="P2427" s="1"/>
      <c r="Q2427" s="1"/>
      <c r="R2427" s="98"/>
      <c r="S2427" s="107"/>
      <c r="T2427" s="1"/>
      <c r="U2427" s="47"/>
      <c r="V2427" s="107"/>
      <c r="W2427" s="1"/>
      <c r="X2427" s="47"/>
      <c r="Y2427" s="107"/>
      <c r="Z2427" s="1"/>
      <c r="AA2427" s="47"/>
      <c r="AB2427" s="107"/>
      <c r="AC2427" s="1"/>
      <c r="AD2427" s="47"/>
      <c r="AE2427" s="107"/>
      <c r="AF2427" s="1"/>
      <c r="AG2427" s="47"/>
      <c r="AH2427" s="107"/>
      <c r="AI2427" s="1"/>
      <c r="AJ2427" s="47"/>
      <c r="AK2427" s="107"/>
      <c r="AL2427" s="1"/>
      <c r="AM2427" s="47"/>
      <c r="AN2427" s="107"/>
      <c r="AO2427" s="1"/>
      <c r="AP2427" s="47"/>
      <c r="AQ2427" s="107"/>
      <c r="AR2427" s="1"/>
      <c r="AS2427" s="47"/>
      <c r="AT2427" s="107"/>
      <c r="AU2427" s="1"/>
    </row>
    <row r="2428" spans="15:47" x14ac:dyDescent="0.25">
      <c r="O2428" s="8" t="s">
        <v>132</v>
      </c>
      <c r="P2428" s="8"/>
      <c r="Q2428" s="8"/>
      <c r="R2428" s="96">
        <f>P_1_minQ-(R2426^2*R_up)+dpup_minQ</f>
        <v>90.168877395012132</v>
      </c>
      <c r="S2428" s="106"/>
      <c r="T2428" s="22"/>
      <c r="U2428" s="96">
        <f ca="1">P_1_minQ-(U2426^2*R_up)+dpup_minQ</f>
        <v>89.434041771358423</v>
      </c>
      <c r="V2428" s="107"/>
      <c r="W2428" s="1"/>
      <c r="X2428" s="96">
        <f ca="1">P_1_minQ-(X2426^2*R_up)+dpup_minQ</f>
        <v>85.682200688170084</v>
      </c>
      <c r="Y2428" s="107"/>
      <c r="Z2428" s="1"/>
      <c r="AA2428" s="96">
        <f ca="1">P_1_minQ-(AA2426^2*R_up)+dpup_minQ</f>
        <v>73.102573663401799</v>
      </c>
      <c r="AB2428" s="107"/>
      <c r="AC2428" s="1"/>
      <c r="AD2428" s="96">
        <f ca="1">P_1_minQ-(AD2426^2*R_up)+dpup_minQ</f>
        <v>42.104043986077784</v>
      </c>
      <c r="AE2428" s="107"/>
      <c r="AF2428" s="1"/>
      <c r="AG2428" s="96">
        <f ca="1">P_1_minQ-(AG2426^2*R_up)+dpup_minQ</f>
        <v>-12.238048053982554</v>
      </c>
      <c r="AH2428" s="107"/>
      <c r="AI2428" s="1"/>
      <c r="AJ2428" s="96">
        <f ca="1">P_1_minQ-(AJ2426^2*R_up)+dpup_minQ</f>
        <v>-92.220299032260613</v>
      </c>
      <c r="AK2428" s="107"/>
      <c r="AL2428" s="1"/>
      <c r="AM2428" s="96">
        <f ca="1">P_1_minQ-(AM2426^2*R_up)+dpup_minQ</f>
        <v>-181.39165435721952</v>
      </c>
      <c r="AN2428" s="107"/>
      <c r="AO2428" s="1"/>
      <c r="AP2428" s="96">
        <f ca="1">P_1_minQ-(AP2426^2*R_up)+dpup_minQ</f>
        <v>-275.85931310352345</v>
      </c>
      <c r="AQ2428" s="107"/>
      <c r="AR2428" s="1"/>
      <c r="AS2428" s="96">
        <f ca="1">P_1_minQ-(AS2426^2*R_up)+dpup_minQ</f>
        <v>-413.10423142744941</v>
      </c>
      <c r="AT2428" s="107"/>
      <c r="AU2428" s="1"/>
    </row>
    <row r="2429" spans="15:47" x14ac:dyDescent="0.25">
      <c r="O2429" s="8" t="s">
        <v>134</v>
      </c>
      <c r="P2429" s="1"/>
      <c r="Q2429" s="8"/>
      <c r="R2429" s="97">
        <f>P_2_minQ+(R2426^2*R_dn)-dpdn_minQ</f>
        <v>60</v>
      </c>
      <c r="S2429" s="106"/>
      <c r="T2429" s="22"/>
      <c r="U2429" s="97">
        <f ca="1">P_2_minQ+(U2426^2*R_dn)-dpdn_minQ</f>
        <v>60</v>
      </c>
      <c r="V2429" s="107"/>
      <c r="W2429" s="1"/>
      <c r="X2429" s="97">
        <f ca="1">P_2_minQ+(X2426^2*R_dn)-dpdn_minQ</f>
        <v>60</v>
      </c>
      <c r="Y2429" s="107"/>
      <c r="Z2429" s="1"/>
      <c r="AA2429" s="97">
        <f ca="1">P_2_minQ+(AA2426^2*R_dn)-dpdn_minQ</f>
        <v>60</v>
      </c>
      <c r="AB2429" s="107"/>
      <c r="AC2429" s="1"/>
      <c r="AD2429" s="97">
        <f ca="1">P_2_minQ+(AD2426^2*R_dn)-dpdn_minQ</f>
        <v>60</v>
      </c>
      <c r="AE2429" s="107"/>
      <c r="AF2429" s="1"/>
      <c r="AG2429" s="97">
        <f ca="1">P_2_minQ+(AG2426^2*R_dn)-dpdn_minQ</f>
        <v>60</v>
      </c>
      <c r="AH2429" s="107"/>
      <c r="AI2429" s="1"/>
      <c r="AJ2429" s="97">
        <f ca="1">P_2_minQ+(AJ2426^2*R_dn)-dpdn_minQ</f>
        <v>60</v>
      </c>
      <c r="AK2429" s="107"/>
      <c r="AL2429" s="1"/>
      <c r="AM2429" s="97">
        <f ca="1">P_2_minQ+(AM2426^2*R_dn)-dpdn_minQ</f>
        <v>60</v>
      </c>
      <c r="AN2429" s="107"/>
      <c r="AO2429" s="1"/>
      <c r="AP2429" s="97">
        <f ca="1">P_2_minQ+(AP2426^2*R_dn)-dpdn_minQ</f>
        <v>60</v>
      </c>
      <c r="AQ2429" s="107"/>
      <c r="AR2429" s="1"/>
      <c r="AS2429" s="97">
        <f ca="1">P_2_minQ+(AS2426^2*R_dn)-dpdn_minQ</f>
        <v>60</v>
      </c>
      <c r="AT2429" s="107"/>
      <c r="AU2429" s="1"/>
    </row>
    <row r="2430" spans="15:47" x14ac:dyDescent="0.25">
      <c r="O2430" s="8" t="s">
        <v>138</v>
      </c>
      <c r="P2430" s="1"/>
      <c r="Q2430" s="8"/>
      <c r="R2430" s="97">
        <f>R2428-R2429</f>
        <v>30.168877395012132</v>
      </c>
      <c r="S2430" s="106"/>
      <c r="T2430" s="22"/>
      <c r="U2430" s="97">
        <f ca="1">U2428-U2429</f>
        <v>29.434041771358423</v>
      </c>
      <c r="V2430" s="110"/>
      <c r="W2430" s="25"/>
      <c r="X2430" s="97">
        <f ca="1">X2428-X2429</f>
        <v>25.682200688170084</v>
      </c>
      <c r="Y2430" s="110"/>
      <c r="Z2430" s="25"/>
      <c r="AA2430" s="97">
        <f ca="1">AA2428-AA2429</f>
        <v>13.102573663401799</v>
      </c>
      <c r="AB2430" s="110"/>
      <c r="AC2430" s="25"/>
      <c r="AD2430" s="97">
        <f ca="1">AD2428-AD2429</f>
        <v>-17.895956013922216</v>
      </c>
      <c r="AE2430" s="110"/>
      <c r="AF2430" s="25"/>
      <c r="AG2430" s="97">
        <f ca="1">AG2428-AG2429</f>
        <v>-72.238048053982553</v>
      </c>
      <c r="AH2430" s="110"/>
      <c r="AI2430" s="25"/>
      <c r="AJ2430" s="97">
        <f ca="1">AJ2428-AJ2429</f>
        <v>-152.22029903226061</v>
      </c>
      <c r="AK2430" s="110"/>
      <c r="AL2430" s="25"/>
      <c r="AM2430" s="97">
        <f ca="1">AM2428-AM2429</f>
        <v>-241.39165435721952</v>
      </c>
      <c r="AN2430" s="110"/>
      <c r="AO2430" s="25"/>
      <c r="AP2430" s="97">
        <f ca="1">AP2428-AP2429</f>
        <v>-335.85931310352345</v>
      </c>
      <c r="AQ2430" s="110"/>
      <c r="AR2430" s="25"/>
      <c r="AS2430" s="97">
        <f ca="1">AS2428-AS2429</f>
        <v>-473.10423142744941</v>
      </c>
      <c r="AT2430" s="110"/>
      <c r="AU2430" s="25"/>
    </row>
    <row r="2431" spans="15:47" ht="14.4" x14ac:dyDescent="0.3">
      <c r="O2431" s="2" t="s">
        <v>140</v>
      </c>
      <c r="P2431" s="11"/>
      <c r="Q2431" s="2"/>
      <c r="R2431" s="96">
        <f>R2430/R2428</f>
        <v>0.33458193410624609</v>
      </c>
      <c r="S2431" s="106"/>
      <c r="T2431" s="22"/>
      <c r="U2431" s="96">
        <f ca="1">U2430/U2428</f>
        <v>0.32911452047093753</v>
      </c>
      <c r="V2431" s="111"/>
      <c r="W2431" s="28"/>
      <c r="X2431" s="96">
        <f ca="1">X2430/X2428</f>
        <v>0.29973787416638981</v>
      </c>
      <c r="Y2431" s="111"/>
      <c r="Z2431" s="28"/>
      <c r="AA2431" s="96">
        <f ca="1">AA2430/AA2428</f>
        <v>0.17923546336045751</v>
      </c>
      <c r="AB2431" s="111"/>
      <c r="AC2431" s="28"/>
      <c r="AD2431" s="96">
        <f ca="1">AD2430/AD2428</f>
        <v>-0.42504126254095054</v>
      </c>
      <c r="AE2431" s="111"/>
      <c r="AF2431" s="28"/>
      <c r="AG2431" s="96">
        <f ca="1">AG2430/AG2428</f>
        <v>5.9027426379874814</v>
      </c>
      <c r="AH2431" s="111"/>
      <c r="AI2431" s="28"/>
      <c r="AJ2431" s="96">
        <f ca="1">AJ2430/AJ2428</f>
        <v>1.6506159774976519</v>
      </c>
      <c r="AK2431" s="111"/>
      <c r="AL2431" s="28"/>
      <c r="AM2431" s="96">
        <f ca="1">AM2430/AM2428</f>
        <v>1.3307759676850424</v>
      </c>
      <c r="AN2431" s="111"/>
      <c r="AO2431" s="28"/>
      <c r="AP2431" s="96">
        <f ca="1">AP2430/AP2428</f>
        <v>1.2175021728466475</v>
      </c>
      <c r="AQ2431" s="111"/>
      <c r="AR2431" s="28"/>
      <c r="AS2431" s="96">
        <f ca="1">AS2430/AS2428</f>
        <v>1.1452417947709581</v>
      </c>
      <c r="AT2431" s="111"/>
      <c r="AU2431" s="28"/>
    </row>
    <row r="2432" spans="15:47" x14ac:dyDescent="0.25">
      <c r="O2432" s="2" t="s">
        <v>21</v>
      </c>
      <c r="P2432" s="8">
        <v>12</v>
      </c>
      <c r="Q2432" s="2"/>
      <c r="R2432" s="96">
        <f ca="1">1-R2431/(3*F_GAMMA*R$29)</f>
        <v>0.8257466617533693</v>
      </c>
      <c r="S2432" s="106"/>
      <c r="T2432" s="22"/>
      <c r="U2432" s="96">
        <f ca="1">1-U2431/(3*F_GAMMA*U$29)</f>
        <v>0.82863396105066045</v>
      </c>
      <c r="V2432" s="111"/>
      <c r="W2432" s="28"/>
      <c r="X2432" s="96">
        <f ca="1">1-X2431/(3*F_GAMMA*X$29)</f>
        <v>0.84244358709962919</v>
      </c>
      <c r="Y2432" s="111"/>
      <c r="Z2432" s="28"/>
      <c r="AA2432" s="96">
        <f ca="1">1-AA2431/(3*F_GAMMA*AA$29)</f>
        <v>0.90445730017261727</v>
      </c>
      <c r="AB2432" s="111"/>
      <c r="AC2432" s="28"/>
      <c r="AD2432" s="96">
        <f ca="1">1-AD2431/(3*F_GAMMA*AD$29)</f>
        <v>1.2335980957288082</v>
      </c>
      <c r="AE2432" s="111"/>
      <c r="AF2432" s="28"/>
      <c r="AG2432" s="96">
        <f ca="1">1-AG2431/(3*F_GAMMA*AG$29)</f>
        <v>-2.4387487846971698</v>
      </c>
      <c r="AH2432" s="111"/>
      <c r="AI2432" s="28"/>
      <c r="AJ2432" s="96">
        <f ca="1">1-AJ2431/(3*F_GAMMA*AJ$29)</f>
        <v>-3.4545640935730537E-2</v>
      </c>
      <c r="AK2432" s="111"/>
      <c r="AL2432" s="28"/>
      <c r="AM2432" s="96">
        <f ca="1">1-AM2431/(3*F_GAMMA*AM$29)</f>
        <v>6.7427974250813594E-2</v>
      </c>
      <c r="AN2432" s="111"/>
      <c r="AO2432" s="28"/>
      <c r="AP2432" s="96">
        <f ca="1">1-AP2431/(3*F_GAMMA*AP$29)</f>
        <v>0.31277649274083141</v>
      </c>
      <c r="AQ2432" s="111"/>
      <c r="AR2432" s="28"/>
      <c r="AS2432" s="96">
        <f ca="1">1-AS2431/(3*F_GAMMA*AS$29)</f>
        <v>-1.3425655345249643E-2</v>
      </c>
      <c r="AT2432" s="111"/>
      <c r="AU2432" s="28"/>
    </row>
    <row r="2433" spans="15:47" x14ac:dyDescent="0.25">
      <c r="O2433" s="2" t="s">
        <v>57</v>
      </c>
      <c r="P2433" s="143">
        <v>7</v>
      </c>
      <c r="Q2433" s="2"/>
      <c r="R2433" s="96">
        <f ca="1">(R2426/(N_9*R$27*R2428*R2432))*SQRT(M*'Valve Sizing'!$W$6*'Valve Sizing'!$G$8/R2431)</f>
        <v>3.8040598051017924</v>
      </c>
      <c r="S2433" s="107"/>
      <c r="T2433" s="22"/>
      <c r="U2433" s="96">
        <f ca="1">(U2426/(N_9*U$27*U2428*U2432))*SQRT(M*'Valve Sizing'!$W$6*'Valve Sizing'!$G$8/U2431)</f>
        <v>26.284797198114802</v>
      </c>
      <c r="V2433" s="111"/>
      <c r="W2433" s="28"/>
      <c r="X2433" s="96">
        <f ca="1">(X2426/(N_9*X$27*X2428*X2432))*SQRT(M*'Valve Sizing'!$W$6*'Valve Sizing'!$G$8/X2431)</f>
        <v>69.400680214311819</v>
      </c>
      <c r="Y2433" s="111"/>
      <c r="Z2433" s="28"/>
      <c r="AA2433" s="96">
        <f ca="1">(AA2426/(N_9*AA$27*AA2428*AA2432))*SQRT(M*'Valve Sizing'!$W$6*'Valve Sizing'!$G$8/AA2431)</f>
        <v>191.97069408268959</v>
      </c>
      <c r="AB2433" s="111"/>
      <c r="AC2433" s="28"/>
      <c r="AD2433" s="96" t="e">
        <f ca="1">(AD2426/(N_9*AD$27*AD2428*AD2432))*SQRT(M*'Valve Sizing'!$W$6*'Valve Sizing'!$G$8/AD2431)</f>
        <v>#NUM!</v>
      </c>
      <c r="AE2433" s="111"/>
      <c r="AF2433" s="28"/>
      <c r="AG2433" s="96">
        <f ca="1">(AG2426/(N_9*AG$27*AG2428*AG2432))*SQRT(M*'Valve Sizing'!$W$6*'Valve Sizing'!$G$8/AG2431)</f>
        <v>187.84401433018061</v>
      </c>
      <c r="AH2433" s="111"/>
      <c r="AI2433" s="28"/>
      <c r="AJ2433" s="96">
        <f ca="1">(AJ2426/(N_9*AJ$27*AJ2428*AJ2432))*SQRT(M*'Valve Sizing'!$W$6*'Valve Sizing'!$G$8/AJ2431)</f>
        <v>4601.5440170792772</v>
      </c>
      <c r="AK2433" s="111"/>
      <c r="AL2433" s="28"/>
      <c r="AM2433" s="96">
        <f ca="1">(AM2426/(N_9*AM$27*AM2428*AM2432))*SQRT(M*'Valve Sizing'!$W$6*'Valve Sizing'!$G$8/AM2431)</f>
        <v>-1728.1548846545516</v>
      </c>
      <c r="AN2433" s="111"/>
      <c r="AO2433" s="28"/>
      <c r="AP2433" s="96">
        <f ca="1">(AP2426/(N_9*AP$27*AP2428*AP2432))*SQRT(M*'Valve Sizing'!$W$6*'Valve Sizing'!$G$8/AP2431)</f>
        <v>-338.43322789851334</v>
      </c>
      <c r="AQ2433" s="111"/>
      <c r="AR2433" s="28"/>
      <c r="AS2433" s="96">
        <f ca="1">(AS2426/(N_9*AS$27*AS2428*AS2432))*SQRT(M*'Valve Sizing'!$W$6*'Valve Sizing'!$G$8/AS2431)</f>
        <v>8525.795135335542</v>
      </c>
      <c r="AT2433" s="111"/>
      <c r="AU2433" s="28"/>
    </row>
    <row r="2434" spans="15:47" x14ac:dyDescent="0.25">
      <c r="O2434" s="2" t="s">
        <v>59</v>
      </c>
      <c r="P2434" s="143">
        <v>7</v>
      </c>
      <c r="Q2434" s="2"/>
      <c r="R2434" s="96">
        <f ca="1">(R2426/(N_9*R$27*R2428*0.667))*SQRT(M*'Valve Sizing'!$W$6*'Valve Sizing'!$G$8/R2435)</f>
        <v>3.4050187640801646</v>
      </c>
      <c r="S2434" s="107"/>
      <c r="T2434" s="22"/>
      <c r="U2434" s="96">
        <f ca="1">(U2426/(N_9*U$27*U2428*0.667))*SQRT(M*'Valve Sizing'!$W$6*'Valve Sizing'!$G$8/U2435)</f>
        <v>23.413402533093279</v>
      </c>
      <c r="V2434" s="111"/>
      <c r="W2434" s="28"/>
      <c r="X2434" s="96">
        <f ca="1">(X2426/(N_9*X$27*X2428*0.667))*SQRT(M*'Valve Sizing'!$W$6*'Valve Sizing'!$G$8/X2435)</f>
        <v>60.263921893116859</v>
      </c>
      <c r="Y2434" s="111"/>
      <c r="Z2434" s="28"/>
      <c r="AA2434" s="96">
        <f ca="1">(AA2426/(N_9*AA$27*AA2428*0.667))*SQRT(M*'Valve Sizing'!$W$6*'Valve Sizing'!$G$8/AA2435)</f>
        <v>139.3659089627362</v>
      </c>
      <c r="AB2434" s="111"/>
      <c r="AC2434" s="28"/>
      <c r="AD2434" s="96">
        <f ca="1">(AD2426/(N_9*AD$27*AD2428*0.667))*SQRT(M*'Valve Sizing'!$W$6*'Valve Sizing'!$G$8/AD2435)</f>
        <v>417.30738754355917</v>
      </c>
      <c r="AE2434" s="111"/>
      <c r="AF2434" s="28"/>
      <c r="AG2434" s="96">
        <f ca="1">(AG2426/(N_9*AG$27*AG2428*0.667))*SQRT(M*'Valve Sizing'!$W$6*'Valve Sizing'!$G$8/AG2435)</f>
        <v>-2205.9692034683621</v>
      </c>
      <c r="AH2434" s="111"/>
      <c r="AI2434" s="28"/>
      <c r="AJ2434" s="96">
        <f ca="1">(AJ2426/(N_9*AJ$27*AJ2428*0.667))*SQRT(M*'Valve Sizing'!$W$6*'Valve Sizing'!$G$8/AJ2435)</f>
        <v>-419.86189001872771</v>
      </c>
      <c r="AK2434" s="111"/>
      <c r="AL2434" s="28"/>
      <c r="AM2434" s="96">
        <f ca="1">(AM2426/(N_9*AM$27*AM2428*0.667))*SQRT(M*'Valve Sizing'!$W$6*'Valve Sizing'!$G$8/AM2435)</f>
        <v>-292.21248050684653</v>
      </c>
      <c r="AN2434" s="111"/>
      <c r="AO2434" s="28"/>
      <c r="AP2434" s="96">
        <f ca="1">(AP2426/(N_9*AP$27*AP2428*0.667))*SQRT(M*'Valve Sizing'!$W$6*'Valve Sizing'!$G$8/AP2435)</f>
        <v>-227.87196551977959</v>
      </c>
      <c r="AQ2434" s="111"/>
      <c r="AR2434" s="28"/>
      <c r="AS2434" s="96">
        <f ca="1">(AS2426/(N_9*AS$27*AS2428*0.667))*SQRT(M*'Valve Sizing'!$W$6*'Valve Sizing'!$G$8/AS2435)</f>
        <v>-299.22724057070752</v>
      </c>
      <c r="AT2434" s="111"/>
      <c r="AU2434" s="28"/>
    </row>
    <row r="2435" spans="15:47" ht="15.6" x14ac:dyDescent="0.35">
      <c r="O2435" s="2" t="s">
        <v>68</v>
      </c>
      <c r="P2435" s="143">
        <v>10</v>
      </c>
      <c r="Q2435" s="2"/>
      <c r="R2435" s="96">
        <f ca="1">F_GAMMA*R$29</f>
        <v>0.64002969751372984</v>
      </c>
      <c r="S2435" s="107"/>
      <c r="T2435" s="1"/>
      <c r="U2435" s="96">
        <f ca="1">F_GAMMA*U$29</f>
        <v>0.64017842058782071</v>
      </c>
      <c r="V2435" s="111"/>
      <c r="W2435" s="28"/>
      <c r="X2435" s="96">
        <f ca="1">F_GAMMA*X$29</f>
        <v>0.63413873724904268</v>
      </c>
      <c r="Y2435" s="111"/>
      <c r="Z2435" s="28"/>
      <c r="AA2435" s="96">
        <f ca="1">F_GAMMA*AA$29</f>
        <v>0.62532411750377137</v>
      </c>
      <c r="AB2435" s="111"/>
      <c r="AC2435" s="28"/>
      <c r="AD2435" s="96">
        <f ca="1">F_GAMMA*AD$29</f>
        <v>0.60651359509139569</v>
      </c>
      <c r="AE2435" s="111"/>
      <c r="AF2435" s="28"/>
      <c r="AG2435" s="96">
        <f ca="1">F_GAMMA*AG$29</f>
        <v>0.57217930198481592</v>
      </c>
      <c r="AH2435" s="111"/>
      <c r="AI2435" s="28"/>
      <c r="AJ2435" s="96">
        <f ca="1">F_GAMMA*AJ$29</f>
        <v>0.53183282018848232</v>
      </c>
      <c r="AK2435" s="111"/>
      <c r="AL2435" s="28"/>
      <c r="AM2435" s="96">
        <f ca="1">F_GAMMA*AM$29</f>
        <v>0.47566512503094399</v>
      </c>
      <c r="AN2435" s="111"/>
      <c r="AO2435" s="28"/>
      <c r="AP2435" s="96">
        <f ca="1">F_GAMMA*AP$29</f>
        <v>0.59054158265645496</v>
      </c>
      <c r="AQ2435" s="111"/>
      <c r="AR2435" s="28"/>
      <c r="AS2435" s="96">
        <f ca="1">F_GAMMA*AS$29</f>
        <v>0.3766899554102966</v>
      </c>
      <c r="AT2435" s="111"/>
      <c r="AU2435" s="28"/>
    </row>
    <row r="2436" spans="15:47" x14ac:dyDescent="0.25">
      <c r="O2436" s="2" t="s">
        <v>145</v>
      </c>
      <c r="P2436" s="12"/>
      <c r="Q2436" s="2"/>
      <c r="R2436" s="96">
        <f ca="1">IF(R2431&lt;R2435,R2433,R2434)</f>
        <v>3.8040598051017924</v>
      </c>
      <c r="S2436" s="116"/>
      <c r="T2436" s="1"/>
      <c r="U2436" s="96">
        <f ca="1">IF(U2431&lt;U2435,U2433,U2434)</f>
        <v>26.284797198114802</v>
      </c>
      <c r="V2436" s="111"/>
      <c r="W2436" s="28"/>
      <c r="X2436" s="96">
        <f ca="1">IF(X2431&lt;X2435,X2433,X2434)</f>
        <v>69.400680214311819</v>
      </c>
      <c r="Y2436" s="111"/>
      <c r="Z2436" s="28"/>
      <c r="AA2436" s="96">
        <f ca="1">IF(AA2431&lt;AA2435,AA2433,AA2434)</f>
        <v>191.97069408268959</v>
      </c>
      <c r="AB2436" s="111"/>
      <c r="AC2436" s="28"/>
      <c r="AD2436" s="96" t="e">
        <f ca="1">IF(AD2431&lt;AD2435,AD2433,AD2434)</f>
        <v>#NUM!</v>
      </c>
      <c r="AE2436" s="111"/>
      <c r="AF2436" s="28"/>
      <c r="AG2436" s="96">
        <f ca="1">IF(AG2431&lt;AG2435,AG2433,AG2434)</f>
        <v>-2205.9692034683621</v>
      </c>
      <c r="AH2436" s="111"/>
      <c r="AI2436" s="28"/>
      <c r="AJ2436" s="96">
        <f ca="1">IF(AJ2431&lt;AJ2435,AJ2433,AJ2434)</f>
        <v>-419.86189001872771</v>
      </c>
      <c r="AK2436" s="111"/>
      <c r="AL2436" s="28"/>
      <c r="AM2436" s="96">
        <f ca="1">IF(AM2431&lt;AM2435,AM2433,AM2434)</f>
        <v>-292.21248050684653</v>
      </c>
      <c r="AN2436" s="111"/>
      <c r="AO2436" s="28"/>
      <c r="AP2436" s="96">
        <f ca="1">IF(AP2431&lt;AP2435,AP2433,AP2434)</f>
        <v>-227.87196551977959</v>
      </c>
      <c r="AQ2436" s="111"/>
      <c r="AR2436" s="28"/>
      <c r="AS2436" s="96">
        <f ca="1">IF(AS2431&lt;AS2435,AS2433,AS2434)</f>
        <v>-299.22724057070752</v>
      </c>
      <c r="AT2436" s="111"/>
      <c r="AU2436" s="28"/>
    </row>
    <row r="2437" spans="15:47" x14ac:dyDescent="0.25">
      <c r="O2437" s="13" t="s">
        <v>143</v>
      </c>
      <c r="P2437" s="1"/>
      <c r="Q2437" s="1"/>
      <c r="R2437" s="113"/>
      <c r="S2437" s="106">
        <f ca="1">IF(R2430&lt;=0,Q_max,ABS(R$23-R2436))</f>
        <v>0.925940194898208</v>
      </c>
      <c r="T2437" s="7">
        <f>R2426</f>
        <v>9417.0751210103263</v>
      </c>
      <c r="U2437" s="98"/>
      <c r="V2437" s="106">
        <f ca="1">IF(U2430&lt;=0,Q_max,ABS(U$23-U2436))</f>
        <v>14.684797198114802</v>
      </c>
      <c r="W2437" s="9">
        <f ca="1">U2426</f>
        <v>64190.807803636519</v>
      </c>
      <c r="X2437" s="98"/>
      <c r="Y2437" s="106">
        <f ca="1">IF(X2430&lt;=0,Q_max,ABS(X$23-X2436))</f>
        <v>46.400680214311819</v>
      </c>
      <c r="Z2437" s="9">
        <f ca="1">X2426</f>
        <v>157179.70940006513</v>
      </c>
      <c r="AA2437" s="98"/>
      <c r="AB2437" s="106">
        <f ca="1">IF(AA2430&lt;=0,Q_max,ABS(AA$23-AA2436))</f>
        <v>152.57069408268958</v>
      </c>
      <c r="AC2437" s="9">
        <f ca="1">AA2426</f>
        <v>306145.95451143157</v>
      </c>
      <c r="AD2437" s="98"/>
      <c r="AE2437" s="106">
        <f ca="1">IF(AD2430&lt;=0,Q_max,ABS(AD$23-AD2436))</f>
        <v>236393</v>
      </c>
      <c r="AF2437" s="9">
        <f ca="1">AD2426</f>
        <v>513617.6762345272</v>
      </c>
      <c r="AG2437" s="98"/>
      <c r="AH2437" s="106">
        <f ca="1">IF(AG2430&lt;=0,Q_max,ABS(AG$23-AG2436))</f>
        <v>236393</v>
      </c>
      <c r="AI2437" s="9">
        <f ca="1">AG2426</f>
        <v>749638.98742813885</v>
      </c>
      <c r="AJ2437" s="98"/>
      <c r="AK2437" s="106">
        <f ca="1">IF(AJ2430&lt;=0,Q_max,ABS(AJ$23-AJ2436))</f>
        <v>236393</v>
      </c>
      <c r="AL2437" s="9">
        <f ca="1">AJ2426</f>
        <v>1000396.1347487868</v>
      </c>
      <c r="AM2437" s="98"/>
      <c r="AN2437" s="106">
        <f ca="1">IF(AM2430&lt;=0,Q_max,ABS(AM$23-AM2436))</f>
        <v>236393</v>
      </c>
      <c r="AO2437" s="9">
        <f ca="1">AM2426</f>
        <v>1220673.3996229139</v>
      </c>
      <c r="AP2437" s="98"/>
      <c r="AQ2437" s="106">
        <f ca="1">IF(AP2430&lt;=0,Q_max,ABS(AP$23-AP2436))</f>
        <v>236393</v>
      </c>
      <c r="AR2437" s="9">
        <f ca="1">AP2426</f>
        <v>1417163.9216081596</v>
      </c>
      <c r="AS2437" s="98"/>
      <c r="AT2437" s="106">
        <f ca="1">IF(AS2430&lt;=0,Q_max,ABS(AS$23-AS2436))</f>
        <v>236393</v>
      </c>
      <c r="AU2437" s="9">
        <f ca="1">AS2426</f>
        <v>1661736.1508340503</v>
      </c>
    </row>
    <row r="2438" spans="15:47" x14ac:dyDescent="0.25">
      <c r="O2438" s="21"/>
      <c r="P2438" s="14"/>
      <c r="Q2438" s="21"/>
      <c r="R2438" s="97"/>
      <c r="S2438" s="106"/>
      <c r="T2438" s="28"/>
      <c r="U2438" s="97"/>
      <c r="V2438" s="111"/>
      <c r="W2438" s="28"/>
      <c r="X2438" s="97"/>
      <c r="Y2438" s="111"/>
      <c r="Z2438" s="28"/>
      <c r="AA2438" s="97"/>
      <c r="AB2438" s="111"/>
      <c r="AC2438" s="28"/>
      <c r="AD2438" s="97"/>
      <c r="AE2438" s="111"/>
      <c r="AF2438" s="28"/>
      <c r="AG2438" s="97"/>
      <c r="AH2438" s="111"/>
      <c r="AI2438" s="28"/>
      <c r="AJ2438" s="97"/>
      <c r="AK2438" s="111"/>
      <c r="AL2438" s="28"/>
      <c r="AM2438" s="97"/>
      <c r="AN2438" s="111"/>
      <c r="AO2438" s="28"/>
      <c r="AP2438" s="97"/>
      <c r="AQ2438" s="111"/>
      <c r="AR2438" s="28"/>
      <c r="AS2438" s="97"/>
      <c r="AT2438" s="111"/>
      <c r="AU2438" s="28"/>
    </row>
    <row r="2439" spans="15:47" x14ac:dyDescent="0.25">
      <c r="O2439" s="1"/>
      <c r="P2439" s="1"/>
      <c r="Q2439" s="1"/>
      <c r="R2439" s="98"/>
      <c r="S2439" s="108" t="s">
        <v>137</v>
      </c>
      <c r="T2439" s="26" t="s">
        <v>146</v>
      </c>
      <c r="U2439" s="98"/>
      <c r="V2439" s="108" t="s">
        <v>137</v>
      </c>
      <c r="W2439" s="26" t="s">
        <v>146</v>
      </c>
      <c r="X2439" s="98"/>
      <c r="Y2439" s="108" t="s">
        <v>137</v>
      </c>
      <c r="Z2439" s="26" t="s">
        <v>146</v>
      </c>
      <c r="AA2439" s="98"/>
      <c r="AB2439" s="108" t="s">
        <v>137</v>
      </c>
      <c r="AC2439" s="26" t="s">
        <v>146</v>
      </c>
      <c r="AD2439" s="98"/>
      <c r="AE2439" s="108" t="s">
        <v>137</v>
      </c>
      <c r="AF2439" s="26" t="s">
        <v>146</v>
      </c>
      <c r="AG2439" s="98"/>
      <c r="AH2439" s="108" t="s">
        <v>137</v>
      </c>
      <c r="AI2439" s="26" t="s">
        <v>146</v>
      </c>
      <c r="AJ2439" s="98"/>
      <c r="AK2439" s="108" t="s">
        <v>137</v>
      </c>
      <c r="AL2439" s="26" t="s">
        <v>146</v>
      </c>
      <c r="AM2439" s="98"/>
      <c r="AN2439" s="108" t="s">
        <v>137</v>
      </c>
      <c r="AO2439" s="26" t="s">
        <v>146</v>
      </c>
      <c r="AP2439" s="98"/>
      <c r="AQ2439" s="108" t="s">
        <v>137</v>
      </c>
      <c r="AR2439" s="26" t="s">
        <v>146</v>
      </c>
      <c r="AS2439" s="98"/>
      <c r="AT2439" s="108" t="s">
        <v>137</v>
      </c>
      <c r="AU2439" s="26" t="s">
        <v>146</v>
      </c>
    </row>
    <row r="2440" spans="15:47" ht="13.8" x14ac:dyDescent="0.25">
      <c r="O2440" s="20" t="s">
        <v>136</v>
      </c>
      <c r="P2440" s="1"/>
      <c r="Q2440" s="1"/>
      <c r="R2440" s="96">
        <f>R2426*1.02</f>
        <v>9605.4166234305321</v>
      </c>
      <c r="S2440" s="109" t="s">
        <v>144</v>
      </c>
      <c r="T2440" s="23" t="s">
        <v>147</v>
      </c>
      <c r="U2440" s="96">
        <f ca="1">U2426*1.01</f>
        <v>64832.715881672884</v>
      </c>
      <c r="V2440" s="109" t="s">
        <v>144</v>
      </c>
      <c r="W2440" s="23" t="s">
        <v>147</v>
      </c>
      <c r="X2440" s="96">
        <f ca="1">X2426*1.01</f>
        <v>158751.50649406578</v>
      </c>
      <c r="Y2440" s="109" t="s">
        <v>144</v>
      </c>
      <c r="Z2440" s="23" t="s">
        <v>147</v>
      </c>
      <c r="AA2440" s="96">
        <f ca="1">AA2426*1.01</f>
        <v>309207.41405654588</v>
      </c>
      <c r="AB2440" s="109" t="s">
        <v>144</v>
      </c>
      <c r="AC2440" s="23" t="s">
        <v>147</v>
      </c>
      <c r="AD2440" s="96">
        <f ca="1">AD2426*1.01</f>
        <v>518753.85299687251</v>
      </c>
      <c r="AE2440" s="109" t="s">
        <v>144</v>
      </c>
      <c r="AF2440" s="23" t="s">
        <v>147</v>
      </c>
      <c r="AG2440" s="96">
        <f ca="1">AG2426*1.01</f>
        <v>757135.37730242021</v>
      </c>
      <c r="AH2440" s="109" t="s">
        <v>144</v>
      </c>
      <c r="AI2440" s="23" t="s">
        <v>147</v>
      </c>
      <c r="AJ2440" s="96">
        <f ca="1">AJ2426*1.01</f>
        <v>1010400.0960962747</v>
      </c>
      <c r="AK2440" s="109" t="s">
        <v>144</v>
      </c>
      <c r="AL2440" s="23" t="s">
        <v>147</v>
      </c>
      <c r="AM2440" s="96">
        <f ca="1">AM2426*1.01</f>
        <v>1232880.1336191432</v>
      </c>
      <c r="AN2440" s="109" t="s">
        <v>144</v>
      </c>
      <c r="AO2440" s="23" t="s">
        <v>147</v>
      </c>
      <c r="AP2440" s="96">
        <f ca="1">AP2426*1.01</f>
        <v>1431335.5608242413</v>
      </c>
      <c r="AQ2440" s="109" t="s">
        <v>144</v>
      </c>
      <c r="AR2440" s="23" t="s">
        <v>147</v>
      </c>
      <c r="AS2440" s="96">
        <f ca="1">AS2426*1.01</f>
        <v>1678353.5123423908</v>
      </c>
      <c r="AT2440" s="109" t="s">
        <v>144</v>
      </c>
      <c r="AU2440" s="23" t="s">
        <v>147</v>
      </c>
    </row>
    <row r="2441" spans="15:47" x14ac:dyDescent="0.25">
      <c r="O2441" s="1"/>
      <c r="P2441" s="1"/>
      <c r="Q2441" s="1"/>
      <c r="R2441" s="98"/>
      <c r="S2441" s="107"/>
      <c r="T2441" s="1"/>
      <c r="U2441" s="47"/>
      <c r="V2441" s="107"/>
      <c r="W2441" s="1"/>
      <c r="X2441" s="47"/>
      <c r="Y2441" s="107"/>
      <c r="Z2441" s="1"/>
      <c r="AA2441" s="47"/>
      <c r="AB2441" s="107"/>
      <c r="AC2441" s="1"/>
      <c r="AD2441" s="47"/>
      <c r="AE2441" s="107"/>
      <c r="AF2441" s="1"/>
      <c r="AG2441" s="47"/>
      <c r="AH2441" s="107"/>
      <c r="AI2441" s="1"/>
      <c r="AJ2441" s="47"/>
      <c r="AK2441" s="107"/>
      <c r="AL2441" s="1"/>
      <c r="AM2441" s="47"/>
      <c r="AN2441" s="107"/>
      <c r="AO2441" s="1"/>
      <c r="AP2441" s="47"/>
      <c r="AQ2441" s="107"/>
      <c r="AR2441" s="1"/>
      <c r="AS2441" s="47"/>
      <c r="AT2441" s="107"/>
      <c r="AU2441" s="1"/>
    </row>
    <row r="2442" spans="15:47" x14ac:dyDescent="0.25">
      <c r="O2442" s="8" t="s">
        <v>132</v>
      </c>
      <c r="P2442" s="8"/>
      <c r="Q2442" s="8"/>
      <c r="R2442" s="96">
        <f>P_1_minQ-(R2440^2*R_up)+dpup_minQ</f>
        <v>90.168224404348294</v>
      </c>
      <c r="S2442" s="106"/>
      <c r="T2442" s="22"/>
      <c r="U2442" s="96">
        <f ca="1">P_1_minQ-(U2440^2*R_up)+dpup_minQ</f>
        <v>89.418946696304587</v>
      </c>
      <c r="V2442" s="107"/>
      <c r="W2442" s="1"/>
      <c r="X2442" s="96">
        <f ca="1">P_1_minQ-(X2440^2*R_up)+dpup_minQ</f>
        <v>85.591693607344169</v>
      </c>
      <c r="Y2442" s="107"/>
      <c r="Z2442" s="1"/>
      <c r="AA2442" s="96">
        <f ca="1">P_1_minQ-(AA2440^2*R_up)+dpup_minQ</f>
        <v>72.759216079378035</v>
      </c>
      <c r="AB2442" s="107"/>
      <c r="AC2442" s="1"/>
      <c r="AD2442" s="96">
        <f ca="1">P_1_minQ-(AD2440^2*R_up)+dpup_minQ</f>
        <v>41.137615955539808</v>
      </c>
      <c r="AE2442" s="107"/>
      <c r="AF2442" s="1"/>
      <c r="AG2442" s="96">
        <f ca="1">P_1_minQ-(AG2440^2*R_up)+dpup_minQ</f>
        <v>-14.296752134525734</v>
      </c>
      <c r="AH2442" s="107"/>
      <c r="AI2442" s="1"/>
      <c r="AJ2442" s="96">
        <f ca="1">P_1_minQ-(AJ2440^2*R_up)+dpup_minQ</f>
        <v>-95.886646357467185</v>
      </c>
      <c r="AK2442" s="107"/>
      <c r="AL2442" s="1"/>
      <c r="AM2442" s="96">
        <f ca="1">P_1_minQ-(AM2440^2*R_up)+dpup_minQ</f>
        <v>-186.85034592445783</v>
      </c>
      <c r="AN2442" s="107"/>
      <c r="AO2442" s="1"/>
      <c r="AP2442" s="96">
        <f ca="1">P_1_minQ-(AP2440^2*R_up)+dpup_minQ</f>
        <v>-283.21680461156245</v>
      </c>
      <c r="AQ2442" s="107"/>
      <c r="AR2442" s="1"/>
      <c r="AS2442" s="96">
        <f ca="1">P_1_minQ-(AS2440^2*R_up)+dpup_minQ</f>
        <v>-423.22034579379937</v>
      </c>
      <c r="AT2442" s="107"/>
      <c r="AU2442" s="1"/>
    </row>
    <row r="2443" spans="15:47" x14ac:dyDescent="0.25">
      <c r="O2443" s="8" t="s">
        <v>134</v>
      </c>
      <c r="P2443" s="1"/>
      <c r="Q2443" s="8"/>
      <c r="R2443" s="97">
        <f>P_2_minQ+(R2440^2*R_dn)-dpdn_minQ</f>
        <v>60</v>
      </c>
      <c r="S2443" s="106"/>
      <c r="T2443" s="22"/>
      <c r="U2443" s="97">
        <f ca="1">P_2_minQ+(U2440^2*R_dn)-dpdn_minQ</f>
        <v>60</v>
      </c>
      <c r="V2443" s="107"/>
      <c r="W2443" s="1"/>
      <c r="X2443" s="97">
        <f ca="1">P_2_minQ+(X2440^2*R_dn)-dpdn_minQ</f>
        <v>60</v>
      </c>
      <c r="Y2443" s="107"/>
      <c r="Z2443" s="1"/>
      <c r="AA2443" s="97">
        <f ca="1">P_2_minQ+(AA2440^2*R_dn)-dpdn_minQ</f>
        <v>60</v>
      </c>
      <c r="AB2443" s="107"/>
      <c r="AC2443" s="1"/>
      <c r="AD2443" s="97">
        <f ca="1">P_2_minQ+(AD2440^2*R_dn)-dpdn_minQ</f>
        <v>60</v>
      </c>
      <c r="AE2443" s="107"/>
      <c r="AF2443" s="1"/>
      <c r="AG2443" s="97">
        <f ca="1">P_2_minQ+(AG2440^2*R_dn)-dpdn_minQ</f>
        <v>60</v>
      </c>
      <c r="AH2443" s="107"/>
      <c r="AI2443" s="1"/>
      <c r="AJ2443" s="97">
        <f ca="1">P_2_minQ+(AJ2440^2*R_dn)-dpdn_minQ</f>
        <v>60</v>
      </c>
      <c r="AK2443" s="107"/>
      <c r="AL2443" s="1"/>
      <c r="AM2443" s="97">
        <f ca="1">P_2_minQ+(AM2440^2*R_dn)-dpdn_minQ</f>
        <v>60</v>
      </c>
      <c r="AN2443" s="107"/>
      <c r="AO2443" s="1"/>
      <c r="AP2443" s="97">
        <f ca="1">P_2_minQ+(AP2440^2*R_dn)-dpdn_minQ</f>
        <v>60</v>
      </c>
      <c r="AQ2443" s="107"/>
      <c r="AR2443" s="1"/>
      <c r="AS2443" s="97">
        <f ca="1">P_2_minQ+(AS2440^2*R_dn)-dpdn_minQ</f>
        <v>60</v>
      </c>
      <c r="AT2443" s="107"/>
      <c r="AU2443" s="1"/>
    </row>
    <row r="2444" spans="15:47" x14ac:dyDescent="0.25">
      <c r="O2444" s="8" t="s">
        <v>138</v>
      </c>
      <c r="P2444" s="1"/>
      <c r="Q2444" s="8"/>
      <c r="R2444" s="97">
        <f>R2442-R2443</f>
        <v>30.168224404348294</v>
      </c>
      <c r="S2444" s="106"/>
      <c r="T2444" s="22"/>
      <c r="U2444" s="97">
        <f ca="1">U2442-U2443</f>
        <v>29.418946696304587</v>
      </c>
      <c r="V2444" s="110"/>
      <c r="W2444" s="25"/>
      <c r="X2444" s="97">
        <f ca="1">X2442-X2443</f>
        <v>25.591693607344169</v>
      </c>
      <c r="Y2444" s="110"/>
      <c r="Z2444" s="25"/>
      <c r="AA2444" s="97">
        <f ca="1">AA2442-AA2443</f>
        <v>12.759216079378035</v>
      </c>
      <c r="AB2444" s="110"/>
      <c r="AC2444" s="25"/>
      <c r="AD2444" s="97">
        <f ca="1">AD2442-AD2443</f>
        <v>-18.862384044460192</v>
      </c>
      <c r="AE2444" s="110"/>
      <c r="AF2444" s="25"/>
      <c r="AG2444" s="97">
        <f ca="1">AG2442-AG2443</f>
        <v>-74.296752134525732</v>
      </c>
      <c r="AH2444" s="110"/>
      <c r="AI2444" s="25"/>
      <c r="AJ2444" s="97">
        <f ca="1">AJ2442-AJ2443</f>
        <v>-155.88664635746719</v>
      </c>
      <c r="AK2444" s="110"/>
      <c r="AL2444" s="25"/>
      <c r="AM2444" s="97">
        <f ca="1">AM2442-AM2443</f>
        <v>-246.85034592445783</v>
      </c>
      <c r="AN2444" s="110"/>
      <c r="AO2444" s="25"/>
      <c r="AP2444" s="97">
        <f ca="1">AP2442-AP2443</f>
        <v>-343.21680461156245</v>
      </c>
      <c r="AQ2444" s="110"/>
      <c r="AR2444" s="25"/>
      <c r="AS2444" s="97">
        <f ca="1">AS2442-AS2443</f>
        <v>-483.22034579379937</v>
      </c>
      <c r="AT2444" s="110"/>
      <c r="AU2444" s="25"/>
    </row>
    <row r="2445" spans="15:47" ht="14.4" x14ac:dyDescent="0.3">
      <c r="O2445" s="2" t="s">
        <v>140</v>
      </c>
      <c r="P2445" s="11"/>
      <c r="Q2445" s="2"/>
      <c r="R2445" s="96">
        <f>R2444/R2442</f>
        <v>0.33457711520482658</v>
      </c>
      <c r="S2445" s="106"/>
      <c r="T2445" s="22"/>
      <c r="U2445" s="96">
        <f ca="1">U2444/U2442</f>
        <v>0.32900126632245807</v>
      </c>
      <c r="V2445" s="111"/>
      <c r="W2445" s="28"/>
      <c r="X2445" s="96">
        <f ca="1">X2444/X2442</f>
        <v>0.29899739716271112</v>
      </c>
      <c r="Y2445" s="111"/>
      <c r="Z2445" s="28"/>
      <c r="AA2445" s="96">
        <f ca="1">AA2444/AA2442</f>
        <v>0.17536219831530522</v>
      </c>
      <c r="AB2445" s="111"/>
      <c r="AC2445" s="28"/>
      <c r="AD2445" s="96">
        <f ca="1">AD2444/AD2442</f>
        <v>-0.45851913404136113</v>
      </c>
      <c r="AE2445" s="111"/>
      <c r="AF2445" s="28"/>
      <c r="AG2445" s="96">
        <f ca="1">AG2444/AG2442</f>
        <v>5.19675737785954</v>
      </c>
      <c r="AH2445" s="111"/>
      <c r="AI2445" s="28"/>
      <c r="AJ2445" s="96">
        <f ca="1">AJ2444/AJ2442</f>
        <v>1.6257388518555429</v>
      </c>
      <c r="AK2445" s="111"/>
      <c r="AL2445" s="28"/>
      <c r="AM2445" s="96">
        <f ca="1">AM2444/AM2442</f>
        <v>1.3211125979090108</v>
      </c>
      <c r="AN2445" s="111"/>
      <c r="AO2445" s="28"/>
      <c r="AP2445" s="96">
        <f ca="1">AP2444/AP2442</f>
        <v>1.2118518358481278</v>
      </c>
      <c r="AQ2445" s="111"/>
      <c r="AR2445" s="28"/>
      <c r="AS2445" s="96">
        <f ca="1">AS2444/AS2442</f>
        <v>1.1417701218675178</v>
      </c>
      <c r="AT2445" s="111"/>
      <c r="AU2445" s="28"/>
    </row>
    <row r="2446" spans="15:47" x14ac:dyDescent="0.25">
      <c r="O2446" s="2" t="s">
        <v>21</v>
      </c>
      <c r="P2446" s="8">
        <v>12</v>
      </c>
      <c r="Q2446" s="2"/>
      <c r="R2446" s="96">
        <f ca="1">1-R2445/(3*F_GAMMA*R$29)</f>
        <v>0.82574917148140137</v>
      </c>
      <c r="S2446" s="106"/>
      <c r="T2446" s="22"/>
      <c r="U2446" s="96">
        <f ca="1">1-U2445/(3*F_GAMMA*U$29)</f>
        <v>0.82869293114651565</v>
      </c>
      <c r="V2446" s="111"/>
      <c r="W2446" s="28"/>
      <c r="X2446" s="96">
        <f ca="1">1-X2445/(3*F_GAMMA*X$29)</f>
        <v>0.84283281685866207</v>
      </c>
      <c r="Y2446" s="111"/>
      <c r="Z2446" s="28"/>
      <c r="AA2446" s="96">
        <f ca="1">1-AA2445/(3*F_GAMMA*AA$29)</f>
        <v>0.90652197081659946</v>
      </c>
      <c r="AB2446" s="111"/>
      <c r="AC2446" s="28"/>
      <c r="AD2446" s="96">
        <f ca="1">1-AD2445/(3*F_GAMMA*AD$29)</f>
        <v>1.2519971729967387</v>
      </c>
      <c r="AE2446" s="111"/>
      <c r="AF2446" s="28"/>
      <c r="AG2446" s="96">
        <f ca="1">1-AG2445/(3*F_GAMMA*AG$29)</f>
        <v>-2.0274643862117241</v>
      </c>
      <c r="AH2446" s="111"/>
      <c r="AI2446" s="28"/>
      <c r="AJ2446" s="96">
        <f ca="1">1-AJ2445/(3*F_GAMMA*AJ$29)</f>
        <v>-1.8953569707224061E-2</v>
      </c>
      <c r="AK2446" s="111"/>
      <c r="AL2446" s="28"/>
      <c r="AM2446" s="96">
        <f ca="1">1-AM2445/(3*F_GAMMA*AM$29)</f>
        <v>7.4199804030151806E-2</v>
      </c>
      <c r="AN2446" s="111"/>
      <c r="AO2446" s="28"/>
      <c r="AP2446" s="96">
        <f ca="1">1-AP2445/(3*F_GAMMA*AP$29)</f>
        <v>0.31596584590661669</v>
      </c>
      <c r="AQ2446" s="111"/>
      <c r="AR2446" s="28"/>
      <c r="AS2446" s="96">
        <f ca="1">1-AS2445/(3*F_GAMMA*AS$29)</f>
        <v>-1.0353568382149403E-2</v>
      </c>
      <c r="AT2446" s="111"/>
      <c r="AU2446" s="28"/>
    </row>
    <row r="2447" spans="15:47" x14ac:dyDescent="0.25">
      <c r="O2447" s="2" t="s">
        <v>57</v>
      </c>
      <c r="P2447" s="143">
        <v>7</v>
      </c>
      <c r="Q2447" s="2"/>
      <c r="R2447" s="96">
        <f ca="1">(R2440/(N_9*R$27*R2442*R2446))*SQRT(M*'Valve Sizing'!$W$6*'Valve Sizing'!$G$8/R2445)</f>
        <v>3.8801852505031316</v>
      </c>
      <c r="S2447" s="107"/>
      <c r="T2447" s="22"/>
      <c r="U2447" s="96">
        <f ca="1">(U2440/(N_9*U$27*U2442*U2446))*SQRT(M*'Valve Sizing'!$W$6*'Valve Sizing'!$G$8/U2445)</f>
        <v>26.554806680193192</v>
      </c>
      <c r="V2447" s="111"/>
      <c r="W2447" s="28"/>
      <c r="X2447" s="96">
        <f ca="1">(X2440/(N_9*X$27*X2442*X2446))*SQRT(M*'Valve Sizing'!$W$6*'Valve Sizing'!$G$8/X2445)</f>
        <v>70.223196235686885</v>
      </c>
      <c r="Y2447" s="111"/>
      <c r="Z2447" s="28"/>
      <c r="AA2447" s="96">
        <f ca="1">(AA2440/(N_9*AA$27*AA2442*AA2446))*SQRT(M*'Valve Sizing'!$W$6*'Valve Sizing'!$G$8/AA2445)</f>
        <v>196.49643696663514</v>
      </c>
      <c r="AB2447" s="111"/>
      <c r="AC2447" s="28"/>
      <c r="AD2447" s="96" t="e">
        <f ca="1">(AD2440/(N_9*AD$27*AD2442*AD2446))*SQRT(M*'Valve Sizing'!$W$6*'Valve Sizing'!$G$8/AD2445)</f>
        <v>#NUM!</v>
      </c>
      <c r="AE2447" s="111"/>
      <c r="AF2447" s="28"/>
      <c r="AG2447" s="96">
        <f ca="1">(AG2440/(N_9*AG$27*AG2442*AG2446))*SQRT(M*'Valve Sizing'!$W$6*'Valve Sizing'!$G$8/AG2445)</f>
        <v>208.19391696920212</v>
      </c>
      <c r="AH2447" s="111"/>
      <c r="AI2447" s="28"/>
      <c r="AJ2447" s="96">
        <f ca="1">(AJ2440/(N_9*AJ$27*AJ2442*AJ2446))*SQRT(M*'Valve Sizing'!$W$6*'Valve Sizing'!$G$8/AJ2445)</f>
        <v>8209.0560143553321</v>
      </c>
      <c r="AK2447" s="111"/>
      <c r="AL2447" s="28"/>
      <c r="AM2447" s="96">
        <f ca="1">(AM2440/(N_9*AM$27*AM2442*AM2446))*SQRT(M*'Valve Sizing'!$W$6*'Valve Sizing'!$G$8/AM2445)</f>
        <v>-1545.4229035039912</v>
      </c>
      <c r="AN2447" s="111"/>
      <c r="AO2447" s="28"/>
      <c r="AP2447" s="96">
        <f ca="1">(AP2440/(N_9*AP$27*AP2442*AP2446))*SQRT(M*'Valve Sizing'!$W$6*'Valve Sizing'!$G$8/AP2445)</f>
        <v>-330.34449720193794</v>
      </c>
      <c r="AQ2447" s="111"/>
      <c r="AR2447" s="28"/>
      <c r="AS2447" s="96">
        <f ca="1">(AS2440/(N_9*AS$27*AS2442*AS2446))*SQRT(M*'Valve Sizing'!$W$6*'Valve Sizing'!$G$8/AS2445)</f>
        <v>10915.762242110561</v>
      </c>
      <c r="AT2447" s="111"/>
      <c r="AU2447" s="28"/>
    </row>
    <row r="2448" spans="15:47" x14ac:dyDescent="0.25">
      <c r="O2448" s="2" t="s">
        <v>59</v>
      </c>
      <c r="P2448" s="143">
        <v>7</v>
      </c>
      <c r="Q2448" s="2"/>
      <c r="R2448" s="96">
        <f ca="1">(R2440/(N_9*R$27*R2442*0.667))*SQRT(M*'Valve Sizing'!$W$6*'Valve Sizing'!$G$8/R2449)</f>
        <v>3.47314429139717</v>
      </c>
      <c r="S2448" s="107"/>
      <c r="T2448" s="22"/>
      <c r="U2448" s="96">
        <f ca="1">(U2440/(N_9*U$27*U2442*0.667))*SQRT(M*'Valve Sizing'!$W$6*'Valve Sizing'!$G$8/U2449)</f>
        <v>23.651528568533656</v>
      </c>
      <c r="V2448" s="111"/>
      <c r="W2448" s="28"/>
      <c r="X2448" s="96">
        <f ca="1">(X2440/(N_9*X$27*X2442*0.667))*SQRT(M*'Valve Sizing'!$W$6*'Valve Sizing'!$G$8/X2449)</f>
        <v>60.93092313754358</v>
      </c>
      <c r="Y2448" s="111"/>
      <c r="Z2448" s="28"/>
      <c r="AA2448" s="96">
        <f ca="1">(AA2440/(N_9*AA$27*AA2442*0.667))*SQRT(M*'Valve Sizing'!$W$6*'Valve Sizing'!$G$8/AA2449)</f>
        <v>141.42382569309956</v>
      </c>
      <c r="AB2448" s="111"/>
      <c r="AC2448" s="28"/>
      <c r="AD2448" s="96">
        <f ca="1">(AD2440/(N_9*AD$27*AD2442*0.667))*SQRT(M*'Valve Sizing'!$W$6*'Valve Sizing'!$G$8/AD2449)</f>
        <v>431.38211767150159</v>
      </c>
      <c r="AE2448" s="111"/>
      <c r="AF2448" s="28"/>
      <c r="AG2448" s="96">
        <f ca="1">(AG2440/(N_9*AG$27*AG2442*0.667))*SQRT(M*'Valve Sizing'!$W$6*'Valve Sizing'!$G$8/AG2449)</f>
        <v>-1907.1971334650596</v>
      </c>
      <c r="AH2448" s="111"/>
      <c r="AI2448" s="28"/>
      <c r="AJ2448" s="96">
        <f ca="1">(AJ2440/(N_9*AJ$27*AJ2442*0.667))*SQRT(M*'Valve Sizing'!$W$6*'Valve Sizing'!$G$8/AJ2449)</f>
        <v>-407.84601845895611</v>
      </c>
      <c r="AK2448" s="111"/>
      <c r="AL2448" s="28"/>
      <c r="AM2448" s="96">
        <f ca="1">(AM2440/(N_9*AM$27*AM2442*0.667))*SQRT(M*'Valve Sizing'!$W$6*'Valve Sizing'!$G$8/AM2449)</f>
        <v>-286.51247098700611</v>
      </c>
      <c r="AN2448" s="111"/>
      <c r="AO2448" s="28"/>
      <c r="AP2448" s="96">
        <f ca="1">(AP2440/(N_9*AP$27*AP2442*0.667))*SQRT(M*'Valve Sizing'!$W$6*'Valve Sizing'!$G$8/AP2449)</f>
        <v>-224.17176131109619</v>
      </c>
      <c r="AQ2448" s="111"/>
      <c r="AR2448" s="28"/>
      <c r="AS2448" s="96">
        <f ca="1">(AS2440/(N_9*AS$27*AS2442*0.667))*SQRT(M*'Valve Sizing'!$W$6*'Valve Sizing'!$G$8/AS2449)</f>
        <v>-294.99564676252146</v>
      </c>
      <c r="AT2448" s="111"/>
      <c r="AU2448" s="28"/>
    </row>
    <row r="2449" spans="15:47" ht="15.6" x14ac:dyDescent="0.35">
      <c r="O2449" s="2" t="s">
        <v>68</v>
      </c>
      <c r="P2449" s="143">
        <v>10</v>
      </c>
      <c r="Q2449" s="2"/>
      <c r="R2449" s="96">
        <f ca="1">F_GAMMA*R$29</f>
        <v>0.64002969751372984</v>
      </c>
      <c r="S2449" s="107"/>
      <c r="T2449" s="1"/>
      <c r="U2449" s="96">
        <f ca="1">F_GAMMA*U$29</f>
        <v>0.64017842058782071</v>
      </c>
      <c r="V2449" s="111"/>
      <c r="W2449" s="28"/>
      <c r="X2449" s="96">
        <f ca="1">F_GAMMA*X$29</f>
        <v>0.63413873724904268</v>
      </c>
      <c r="Y2449" s="111"/>
      <c r="Z2449" s="28"/>
      <c r="AA2449" s="96">
        <f ca="1">F_GAMMA*AA$29</f>
        <v>0.62532411750377137</v>
      </c>
      <c r="AB2449" s="111"/>
      <c r="AC2449" s="28"/>
      <c r="AD2449" s="96">
        <f ca="1">F_GAMMA*AD$29</f>
        <v>0.60651359509139569</v>
      </c>
      <c r="AE2449" s="111"/>
      <c r="AF2449" s="28"/>
      <c r="AG2449" s="96">
        <f ca="1">F_GAMMA*AG$29</f>
        <v>0.57217930198481592</v>
      </c>
      <c r="AH2449" s="111"/>
      <c r="AI2449" s="28"/>
      <c r="AJ2449" s="96">
        <f ca="1">F_GAMMA*AJ$29</f>
        <v>0.53183282018848232</v>
      </c>
      <c r="AK2449" s="111"/>
      <c r="AL2449" s="28"/>
      <c r="AM2449" s="96">
        <f ca="1">F_GAMMA*AM$29</f>
        <v>0.47566512503094399</v>
      </c>
      <c r="AN2449" s="111"/>
      <c r="AO2449" s="28"/>
      <c r="AP2449" s="96">
        <f ca="1">F_GAMMA*AP$29</f>
        <v>0.59054158265645496</v>
      </c>
      <c r="AQ2449" s="111"/>
      <c r="AR2449" s="28"/>
      <c r="AS2449" s="96">
        <f ca="1">F_GAMMA*AS$29</f>
        <v>0.3766899554102966</v>
      </c>
      <c r="AT2449" s="111"/>
      <c r="AU2449" s="28"/>
    </row>
    <row r="2450" spans="15:47" x14ac:dyDescent="0.25">
      <c r="O2450" s="2" t="s">
        <v>145</v>
      </c>
      <c r="P2450" s="12"/>
      <c r="Q2450" s="2"/>
      <c r="R2450" s="96">
        <f ca="1">IF(R2445&lt;R2449,R2447,R2448)</f>
        <v>3.8801852505031316</v>
      </c>
      <c r="S2450" s="116"/>
      <c r="T2450" s="1"/>
      <c r="U2450" s="96">
        <f ca="1">IF(U2445&lt;U2449,U2447,U2448)</f>
        <v>26.554806680193192</v>
      </c>
      <c r="V2450" s="111"/>
      <c r="W2450" s="28"/>
      <c r="X2450" s="96">
        <f ca="1">IF(X2445&lt;X2449,X2447,X2448)</f>
        <v>70.223196235686885</v>
      </c>
      <c r="Y2450" s="111"/>
      <c r="Z2450" s="28"/>
      <c r="AA2450" s="96">
        <f ca="1">IF(AA2445&lt;AA2449,AA2447,AA2448)</f>
        <v>196.49643696663514</v>
      </c>
      <c r="AB2450" s="111"/>
      <c r="AC2450" s="28"/>
      <c r="AD2450" s="96" t="e">
        <f ca="1">IF(AD2445&lt;AD2449,AD2447,AD2448)</f>
        <v>#NUM!</v>
      </c>
      <c r="AE2450" s="111"/>
      <c r="AF2450" s="28"/>
      <c r="AG2450" s="96">
        <f ca="1">IF(AG2445&lt;AG2449,AG2447,AG2448)</f>
        <v>-1907.1971334650596</v>
      </c>
      <c r="AH2450" s="111"/>
      <c r="AI2450" s="28"/>
      <c r="AJ2450" s="96">
        <f ca="1">IF(AJ2445&lt;AJ2449,AJ2447,AJ2448)</f>
        <v>-407.84601845895611</v>
      </c>
      <c r="AK2450" s="111"/>
      <c r="AL2450" s="28"/>
      <c r="AM2450" s="96">
        <f ca="1">IF(AM2445&lt;AM2449,AM2447,AM2448)</f>
        <v>-286.51247098700611</v>
      </c>
      <c r="AN2450" s="111"/>
      <c r="AO2450" s="28"/>
      <c r="AP2450" s="96">
        <f ca="1">IF(AP2445&lt;AP2449,AP2447,AP2448)</f>
        <v>-224.17176131109619</v>
      </c>
      <c r="AQ2450" s="111"/>
      <c r="AR2450" s="28"/>
      <c r="AS2450" s="96">
        <f ca="1">IF(AS2445&lt;AS2449,AS2447,AS2448)</f>
        <v>-294.99564676252146</v>
      </c>
      <c r="AT2450" s="111"/>
      <c r="AU2450" s="28"/>
    </row>
    <row r="2451" spans="15:47" x14ac:dyDescent="0.25">
      <c r="O2451" s="13" t="s">
        <v>143</v>
      </c>
      <c r="P2451" s="1"/>
      <c r="Q2451" s="1"/>
      <c r="R2451" s="113"/>
      <c r="S2451" s="106">
        <f ca="1">IF(R2444&lt;=0,Q_max,ABS(R$23-R2450))</f>
        <v>0.84981474949686886</v>
      </c>
      <c r="T2451" s="7">
        <f>R2440</f>
        <v>9605.4166234305321</v>
      </c>
      <c r="U2451" s="98"/>
      <c r="V2451" s="106">
        <f ca="1">IF(U2444&lt;=0,Q_max,ABS(U$23-U2450))</f>
        <v>14.954806680193192</v>
      </c>
      <c r="W2451" s="9">
        <f ca="1">U2440</f>
        <v>64832.715881672884</v>
      </c>
      <c r="X2451" s="98"/>
      <c r="Y2451" s="106">
        <f ca="1">IF(X2444&lt;=0,Q_max,ABS(X$23-X2450))</f>
        <v>47.223196235686885</v>
      </c>
      <c r="Z2451" s="9">
        <f ca="1">X2440</f>
        <v>158751.50649406578</v>
      </c>
      <c r="AA2451" s="98"/>
      <c r="AB2451" s="106">
        <f ca="1">IF(AA2444&lt;=0,Q_max,ABS(AA$23-AA2450))</f>
        <v>157.09643696663514</v>
      </c>
      <c r="AC2451" s="9">
        <f ca="1">AA2440</f>
        <v>309207.41405654588</v>
      </c>
      <c r="AD2451" s="98"/>
      <c r="AE2451" s="106">
        <f ca="1">IF(AD2444&lt;=0,Q_max,ABS(AD$23-AD2450))</f>
        <v>236393</v>
      </c>
      <c r="AF2451" s="9">
        <f ca="1">AD2440</f>
        <v>518753.85299687251</v>
      </c>
      <c r="AG2451" s="98"/>
      <c r="AH2451" s="106">
        <f ca="1">IF(AG2444&lt;=0,Q_max,ABS(AG$23-AG2450))</f>
        <v>236393</v>
      </c>
      <c r="AI2451" s="9">
        <f ca="1">AG2440</f>
        <v>757135.37730242021</v>
      </c>
      <c r="AJ2451" s="98"/>
      <c r="AK2451" s="106">
        <f ca="1">IF(AJ2444&lt;=0,Q_max,ABS(AJ$23-AJ2450))</f>
        <v>236393</v>
      </c>
      <c r="AL2451" s="9">
        <f ca="1">AJ2440</f>
        <v>1010400.0960962747</v>
      </c>
      <c r="AM2451" s="98"/>
      <c r="AN2451" s="106">
        <f ca="1">IF(AM2444&lt;=0,Q_max,ABS(AM$23-AM2450))</f>
        <v>236393</v>
      </c>
      <c r="AO2451" s="9">
        <f ca="1">AM2440</f>
        <v>1232880.1336191432</v>
      </c>
      <c r="AP2451" s="98"/>
      <c r="AQ2451" s="106">
        <f ca="1">IF(AP2444&lt;=0,Q_max,ABS(AP$23-AP2450))</f>
        <v>236393</v>
      </c>
      <c r="AR2451" s="9">
        <f ca="1">AP2440</f>
        <v>1431335.5608242413</v>
      </c>
      <c r="AS2451" s="98"/>
      <c r="AT2451" s="106">
        <f ca="1">IF(AS2444&lt;=0,Q_max,ABS(AS$23-AS2450))</f>
        <v>236393</v>
      </c>
      <c r="AU2451" s="9">
        <f ca="1">AS2440</f>
        <v>1678353.5123423908</v>
      </c>
    </row>
    <row r="2452" spans="15:47" x14ac:dyDescent="0.25">
      <c r="O2452" s="21"/>
      <c r="P2452" s="14"/>
      <c r="Q2452" s="21"/>
      <c r="R2452" s="97"/>
      <c r="S2452" s="106"/>
      <c r="T2452" s="28"/>
      <c r="U2452" s="97"/>
      <c r="V2452" s="111"/>
      <c r="W2452" s="28"/>
      <c r="X2452" s="97"/>
      <c r="Y2452" s="111"/>
      <c r="Z2452" s="28"/>
      <c r="AA2452" s="97"/>
      <c r="AB2452" s="111"/>
      <c r="AC2452" s="28"/>
      <c r="AD2452" s="97"/>
      <c r="AE2452" s="111"/>
      <c r="AF2452" s="28"/>
      <c r="AG2452" s="97"/>
      <c r="AH2452" s="111"/>
      <c r="AI2452" s="28"/>
      <c r="AJ2452" s="97"/>
      <c r="AK2452" s="111"/>
      <c r="AL2452" s="28"/>
      <c r="AM2452" s="97"/>
      <c r="AN2452" s="111"/>
      <c r="AO2452" s="28"/>
      <c r="AP2452" s="97"/>
      <c r="AQ2452" s="111"/>
      <c r="AR2452" s="28"/>
      <c r="AS2452" s="97"/>
      <c r="AT2452" s="111"/>
      <c r="AU2452" s="28"/>
    </row>
    <row r="2453" spans="15:47" x14ac:dyDescent="0.25">
      <c r="O2453" s="1"/>
      <c r="P2453" s="1"/>
      <c r="Q2453" s="1"/>
      <c r="R2453" s="98"/>
      <c r="S2453" s="108" t="s">
        <v>137</v>
      </c>
      <c r="T2453" s="26" t="s">
        <v>146</v>
      </c>
      <c r="U2453" s="98"/>
      <c r="V2453" s="108" t="s">
        <v>137</v>
      </c>
      <c r="W2453" s="26" t="s">
        <v>146</v>
      </c>
      <c r="X2453" s="98"/>
      <c r="Y2453" s="108" t="s">
        <v>137</v>
      </c>
      <c r="Z2453" s="26" t="s">
        <v>146</v>
      </c>
      <c r="AA2453" s="98"/>
      <c r="AB2453" s="108" t="s">
        <v>137</v>
      </c>
      <c r="AC2453" s="26" t="s">
        <v>146</v>
      </c>
      <c r="AD2453" s="98"/>
      <c r="AE2453" s="108" t="s">
        <v>137</v>
      </c>
      <c r="AF2453" s="26" t="s">
        <v>146</v>
      </c>
      <c r="AG2453" s="98"/>
      <c r="AH2453" s="108" t="s">
        <v>137</v>
      </c>
      <c r="AI2453" s="26" t="s">
        <v>146</v>
      </c>
      <c r="AJ2453" s="98"/>
      <c r="AK2453" s="108" t="s">
        <v>137</v>
      </c>
      <c r="AL2453" s="26" t="s">
        <v>146</v>
      </c>
      <c r="AM2453" s="98"/>
      <c r="AN2453" s="108" t="s">
        <v>137</v>
      </c>
      <c r="AO2453" s="26" t="s">
        <v>146</v>
      </c>
      <c r="AP2453" s="98"/>
      <c r="AQ2453" s="108" t="s">
        <v>137</v>
      </c>
      <c r="AR2453" s="26" t="s">
        <v>146</v>
      </c>
      <c r="AS2453" s="98"/>
      <c r="AT2453" s="108" t="s">
        <v>137</v>
      </c>
      <c r="AU2453" s="26" t="s">
        <v>146</v>
      </c>
    </row>
    <row r="2454" spans="15:47" ht="13.8" x14ac:dyDescent="0.25">
      <c r="O2454" s="20" t="s">
        <v>136</v>
      </c>
      <c r="P2454" s="1"/>
      <c r="Q2454" s="1"/>
      <c r="R2454" s="96">
        <f>R2440*1.02</f>
        <v>9797.5249558991436</v>
      </c>
      <c r="S2454" s="109" t="s">
        <v>144</v>
      </c>
      <c r="T2454" s="23" t="s">
        <v>147</v>
      </c>
      <c r="U2454" s="96">
        <f ca="1">U2440*1.01</f>
        <v>65481.043040489611</v>
      </c>
      <c r="V2454" s="109" t="s">
        <v>144</v>
      </c>
      <c r="W2454" s="23" t="s">
        <v>147</v>
      </c>
      <c r="X2454" s="96">
        <f ca="1">X2440*1.01</f>
        <v>160339.02155900645</v>
      </c>
      <c r="Y2454" s="109" t="s">
        <v>144</v>
      </c>
      <c r="Z2454" s="23" t="s">
        <v>147</v>
      </c>
      <c r="AA2454" s="96">
        <f ca="1">AA2440*1.01</f>
        <v>312299.48819711135</v>
      </c>
      <c r="AB2454" s="109" t="s">
        <v>144</v>
      </c>
      <c r="AC2454" s="23" t="s">
        <v>147</v>
      </c>
      <c r="AD2454" s="96">
        <f ca="1">AD2440*1.01</f>
        <v>523941.39152684121</v>
      </c>
      <c r="AE2454" s="109" t="s">
        <v>144</v>
      </c>
      <c r="AF2454" s="23" t="s">
        <v>147</v>
      </c>
      <c r="AG2454" s="96">
        <f ca="1">AG2440*1.01</f>
        <v>764706.73107544438</v>
      </c>
      <c r="AH2454" s="109" t="s">
        <v>144</v>
      </c>
      <c r="AI2454" s="23" t="s">
        <v>147</v>
      </c>
      <c r="AJ2454" s="96">
        <f ca="1">AJ2440*1.01</f>
        <v>1020504.0970572374</v>
      </c>
      <c r="AK2454" s="109" t="s">
        <v>144</v>
      </c>
      <c r="AL2454" s="23" t="s">
        <v>147</v>
      </c>
      <c r="AM2454" s="96">
        <f ca="1">AM2440*1.01</f>
        <v>1245208.9349553345</v>
      </c>
      <c r="AN2454" s="109" t="s">
        <v>144</v>
      </c>
      <c r="AO2454" s="23" t="s">
        <v>147</v>
      </c>
      <c r="AP2454" s="96">
        <f ca="1">AP2440*1.01</f>
        <v>1445648.9164324836</v>
      </c>
      <c r="AQ2454" s="109" t="s">
        <v>144</v>
      </c>
      <c r="AR2454" s="23" t="s">
        <v>147</v>
      </c>
      <c r="AS2454" s="96">
        <f ca="1">AS2440*1.01</f>
        <v>1695137.0474658147</v>
      </c>
      <c r="AT2454" s="109" t="s">
        <v>144</v>
      </c>
      <c r="AU2454" s="23" t="s">
        <v>147</v>
      </c>
    </row>
    <row r="2455" spans="15:47" x14ac:dyDescent="0.25">
      <c r="O2455" s="1"/>
      <c r="P2455" s="1"/>
      <c r="Q2455" s="1"/>
      <c r="R2455" s="98"/>
      <c r="S2455" s="107"/>
      <c r="T2455" s="1"/>
      <c r="U2455" s="47"/>
      <c r="V2455" s="107"/>
      <c r="W2455" s="1"/>
      <c r="X2455" s="47"/>
      <c r="Y2455" s="107"/>
      <c r="Z2455" s="1"/>
      <c r="AA2455" s="47"/>
      <c r="AB2455" s="107"/>
      <c r="AC2455" s="1"/>
      <c r="AD2455" s="47"/>
      <c r="AE2455" s="107"/>
      <c r="AF2455" s="1"/>
      <c r="AG2455" s="47"/>
      <c r="AH2455" s="107"/>
      <c r="AI2455" s="1"/>
      <c r="AJ2455" s="47"/>
      <c r="AK2455" s="107"/>
      <c r="AL2455" s="1"/>
      <c r="AM2455" s="47"/>
      <c r="AN2455" s="107"/>
      <c r="AO2455" s="1"/>
      <c r="AP2455" s="47"/>
      <c r="AQ2455" s="107"/>
      <c r="AR2455" s="1"/>
      <c r="AS2455" s="47"/>
      <c r="AT2455" s="107"/>
      <c r="AU2455" s="1"/>
    </row>
    <row r="2456" spans="15:47" x14ac:dyDescent="0.25">
      <c r="O2456" s="8" t="s">
        <v>132</v>
      </c>
      <c r="P2456" s="8"/>
      <c r="Q2456" s="8"/>
      <c r="R2456" s="96">
        <f>P_1_minQ-(R2454^2*R_up)+dpup_minQ</f>
        <v>90.167545032861639</v>
      </c>
      <c r="S2456" s="106"/>
      <c r="T2456" s="22"/>
      <c r="U2456" s="96">
        <f ca="1">P_1_minQ-(U2454^2*R_up)+dpup_minQ</f>
        <v>89.403548210242164</v>
      </c>
      <c r="V2456" s="107"/>
      <c r="W2456" s="1"/>
      <c r="X2456" s="96">
        <f ca="1">P_1_minQ-(X2454^2*R_up)+dpup_minQ</f>
        <v>85.49936733419365</v>
      </c>
      <c r="Y2456" s="107"/>
      <c r="Z2456" s="1"/>
      <c r="AA2456" s="96">
        <f ca="1">P_1_minQ-(AA2454^2*R_up)+dpup_minQ</f>
        <v>72.408957007915404</v>
      </c>
      <c r="AB2456" s="107"/>
      <c r="AC2456" s="1"/>
      <c r="AD2456" s="96">
        <f ca="1">P_1_minQ-(AD2454^2*R_up)+dpup_minQ</f>
        <v>40.151762721588021</v>
      </c>
      <c r="AE2456" s="107"/>
      <c r="AF2456" s="1"/>
      <c r="AG2456" s="96">
        <f ca="1">P_1_minQ-(AG2454^2*R_up)+dpup_minQ</f>
        <v>-16.396836167087827</v>
      </c>
      <c r="AH2456" s="107"/>
      <c r="AI2456" s="1"/>
      <c r="AJ2456" s="96">
        <f ca="1">P_1_minQ-(AJ2454^2*R_up)+dpup_minQ</f>
        <v>-99.626687263910412</v>
      </c>
      <c r="AK2456" s="107"/>
      <c r="AL2456" s="1"/>
      <c r="AM2456" s="96">
        <f ca="1">P_1_minQ-(AM2454^2*R_up)+dpup_minQ</f>
        <v>-192.41875719219757</v>
      </c>
      <c r="AN2456" s="107"/>
      <c r="AO2456" s="1"/>
      <c r="AP2456" s="96">
        <f ca="1">P_1_minQ-(AP2454^2*R_up)+dpup_minQ</f>
        <v>-290.72218169891295</v>
      </c>
      <c r="AQ2456" s="107"/>
      <c r="AR2456" s="1"/>
      <c r="AS2456" s="96">
        <f ca="1">P_1_minQ-(AS2454^2*R_up)+dpup_minQ</f>
        <v>-433.53979405891272</v>
      </c>
      <c r="AT2456" s="107"/>
      <c r="AU2456" s="1"/>
    </row>
    <row r="2457" spans="15:47" x14ac:dyDescent="0.25">
      <c r="O2457" s="8" t="s">
        <v>134</v>
      </c>
      <c r="P2457" s="1"/>
      <c r="Q2457" s="8"/>
      <c r="R2457" s="97">
        <f>P_2_minQ+(R2454^2*R_dn)-dpdn_minQ</f>
        <v>60</v>
      </c>
      <c r="S2457" s="106"/>
      <c r="T2457" s="22"/>
      <c r="U2457" s="97">
        <f ca="1">P_2_minQ+(U2454^2*R_dn)-dpdn_minQ</f>
        <v>60</v>
      </c>
      <c r="V2457" s="107"/>
      <c r="W2457" s="1"/>
      <c r="X2457" s="97">
        <f ca="1">P_2_minQ+(X2454^2*R_dn)-dpdn_minQ</f>
        <v>60</v>
      </c>
      <c r="Y2457" s="107"/>
      <c r="Z2457" s="1"/>
      <c r="AA2457" s="97">
        <f ca="1">P_2_minQ+(AA2454^2*R_dn)-dpdn_minQ</f>
        <v>60</v>
      </c>
      <c r="AB2457" s="107"/>
      <c r="AC2457" s="1"/>
      <c r="AD2457" s="97">
        <f ca="1">P_2_minQ+(AD2454^2*R_dn)-dpdn_minQ</f>
        <v>60</v>
      </c>
      <c r="AE2457" s="107"/>
      <c r="AF2457" s="1"/>
      <c r="AG2457" s="97">
        <f ca="1">P_2_minQ+(AG2454^2*R_dn)-dpdn_minQ</f>
        <v>60</v>
      </c>
      <c r="AH2457" s="107"/>
      <c r="AI2457" s="1"/>
      <c r="AJ2457" s="97">
        <f ca="1">P_2_minQ+(AJ2454^2*R_dn)-dpdn_minQ</f>
        <v>60</v>
      </c>
      <c r="AK2457" s="107"/>
      <c r="AL2457" s="1"/>
      <c r="AM2457" s="97">
        <f ca="1">P_2_minQ+(AM2454^2*R_dn)-dpdn_minQ</f>
        <v>60</v>
      </c>
      <c r="AN2457" s="107"/>
      <c r="AO2457" s="1"/>
      <c r="AP2457" s="97">
        <f ca="1">P_2_minQ+(AP2454^2*R_dn)-dpdn_minQ</f>
        <v>60</v>
      </c>
      <c r="AQ2457" s="107"/>
      <c r="AR2457" s="1"/>
      <c r="AS2457" s="97">
        <f ca="1">P_2_minQ+(AS2454^2*R_dn)-dpdn_minQ</f>
        <v>60</v>
      </c>
      <c r="AT2457" s="107"/>
      <c r="AU2457" s="1"/>
    </row>
    <row r="2458" spans="15:47" x14ac:dyDescent="0.25">
      <c r="O2458" s="8" t="s">
        <v>138</v>
      </c>
      <c r="P2458" s="1"/>
      <c r="Q2458" s="8"/>
      <c r="R2458" s="97">
        <f>R2456-R2457</f>
        <v>30.167545032861639</v>
      </c>
      <c r="S2458" s="106"/>
      <c r="T2458" s="22"/>
      <c r="U2458" s="97">
        <f ca="1">U2456-U2457</f>
        <v>29.403548210242164</v>
      </c>
      <c r="V2458" s="110"/>
      <c r="W2458" s="25"/>
      <c r="X2458" s="97">
        <f ca="1">X2456-X2457</f>
        <v>25.49936733419365</v>
      </c>
      <c r="Y2458" s="110"/>
      <c r="Z2458" s="25"/>
      <c r="AA2458" s="97">
        <f ca="1">AA2456-AA2457</f>
        <v>12.408957007915404</v>
      </c>
      <c r="AB2458" s="110"/>
      <c r="AC2458" s="25"/>
      <c r="AD2458" s="97">
        <f ca="1">AD2456-AD2457</f>
        <v>-19.848237278411979</v>
      </c>
      <c r="AE2458" s="110"/>
      <c r="AF2458" s="25"/>
      <c r="AG2458" s="97">
        <f ca="1">AG2456-AG2457</f>
        <v>-76.396836167087827</v>
      </c>
      <c r="AH2458" s="110"/>
      <c r="AI2458" s="25"/>
      <c r="AJ2458" s="97">
        <f ca="1">AJ2456-AJ2457</f>
        <v>-159.62668726391041</v>
      </c>
      <c r="AK2458" s="110"/>
      <c r="AL2458" s="25"/>
      <c r="AM2458" s="97">
        <f ca="1">AM2456-AM2457</f>
        <v>-252.41875719219757</v>
      </c>
      <c r="AN2458" s="110"/>
      <c r="AO2458" s="25"/>
      <c r="AP2458" s="97">
        <f ca="1">AP2456-AP2457</f>
        <v>-350.72218169891295</v>
      </c>
      <c r="AQ2458" s="110"/>
      <c r="AR2458" s="25"/>
      <c r="AS2458" s="97">
        <f ca="1">AS2456-AS2457</f>
        <v>-493.53979405891272</v>
      </c>
      <c r="AT2458" s="110"/>
      <c r="AU2458" s="25"/>
    </row>
    <row r="2459" spans="15:47" ht="14.4" x14ac:dyDescent="0.3">
      <c r="O2459" s="2" t="s">
        <v>140</v>
      </c>
      <c r="P2459" s="11"/>
      <c r="Q2459" s="2"/>
      <c r="R2459" s="96">
        <f>R2458/R2456</f>
        <v>0.33457210154570638</v>
      </c>
      <c r="S2459" s="106"/>
      <c r="T2459" s="22"/>
      <c r="U2459" s="96">
        <f ca="1">U2458/U2456</f>
        <v>0.32888569636069165</v>
      </c>
      <c r="V2459" s="111"/>
      <c r="W2459" s="28"/>
      <c r="X2459" s="96">
        <f ca="1">X2458/X2456</f>
        <v>0.29824042129485701</v>
      </c>
      <c r="Y2459" s="111"/>
      <c r="Z2459" s="28"/>
      <c r="AA2459" s="96">
        <f ca="1">AA2458/AA2456</f>
        <v>0.1713732322723405</v>
      </c>
      <c r="AB2459" s="111"/>
      <c r="AC2459" s="28"/>
      <c r="AD2459" s="96">
        <f ca="1">AD2458/AD2456</f>
        <v>-0.49433040875538858</v>
      </c>
      <c r="AE2459" s="111"/>
      <c r="AF2459" s="28"/>
      <c r="AG2459" s="96">
        <f ca="1">AG2458/AG2456</f>
        <v>4.6592425141402352</v>
      </c>
      <c r="AH2459" s="111"/>
      <c r="AI2459" s="28"/>
      <c r="AJ2459" s="96">
        <f ca="1">AJ2458/AJ2456</f>
        <v>1.6022482694928961</v>
      </c>
      <c r="AK2459" s="111"/>
      <c r="AL2459" s="28"/>
      <c r="AM2459" s="96">
        <f ca="1">AM2458/AM2456</f>
        <v>1.3118199123387382</v>
      </c>
      <c r="AN2459" s="111"/>
      <c r="AO2459" s="28"/>
      <c r="AP2459" s="96">
        <f ca="1">AP2458/AP2456</f>
        <v>1.2063826009056959</v>
      </c>
      <c r="AQ2459" s="111"/>
      <c r="AR2459" s="28"/>
      <c r="AS2459" s="96">
        <f ca="1">AS2458/AS2456</f>
        <v>1.1383956001783928</v>
      </c>
      <c r="AT2459" s="111"/>
      <c r="AU2459" s="28"/>
    </row>
    <row r="2460" spans="15:47" x14ac:dyDescent="0.25">
      <c r="O2460" s="2" t="s">
        <v>21</v>
      </c>
      <c r="P2460" s="8">
        <v>12</v>
      </c>
      <c r="Q2460" s="2"/>
      <c r="R2460" s="96">
        <f ca="1">1-R2459/(3*F_GAMMA*R$29)</f>
        <v>0.82575178264102911</v>
      </c>
      <c r="S2460" s="106"/>
      <c r="T2460" s="22"/>
      <c r="U2460" s="96">
        <f ca="1">1-U2459/(3*F_GAMMA*U$29)</f>
        <v>0.82875310705896421</v>
      </c>
      <c r="V2460" s="111"/>
      <c r="W2460" s="28"/>
      <c r="X2460" s="96">
        <f ca="1">1-X2459/(3*F_GAMMA*X$29)</f>
        <v>0.84323071920157733</v>
      </c>
      <c r="Y2460" s="111"/>
      <c r="Z2460" s="28"/>
      <c r="AA2460" s="96">
        <f ca="1">1-AA2459/(3*F_GAMMA*AA$29)</f>
        <v>0.90864831667538826</v>
      </c>
      <c r="AB2460" s="111"/>
      <c r="AC2460" s="28"/>
      <c r="AD2460" s="96">
        <f ca="1">1-AD2459/(3*F_GAMMA*AD$29)</f>
        <v>1.2716786635155848</v>
      </c>
      <c r="AE2460" s="111"/>
      <c r="AF2460" s="28"/>
      <c r="AG2460" s="96">
        <f ca="1">1-AG2459/(3*F_GAMMA*AG$29)</f>
        <v>-1.7143254442432796</v>
      </c>
      <c r="AH2460" s="111"/>
      <c r="AI2460" s="28"/>
      <c r="AJ2460" s="96">
        <f ca="1">1-AJ2459/(3*F_GAMMA*AJ$29)</f>
        <v>-4.230533024179195E-3</v>
      </c>
      <c r="AK2460" s="111"/>
      <c r="AL2460" s="28"/>
      <c r="AM2460" s="96">
        <f ca="1">1-AM2459/(3*F_GAMMA*AM$29)</f>
        <v>8.0711868282404953E-2</v>
      </c>
      <c r="AN2460" s="111"/>
      <c r="AO2460" s="28"/>
      <c r="AP2460" s="96">
        <f ca="1">1-AP2459/(3*F_GAMMA*AP$29)</f>
        <v>0.31905297536148614</v>
      </c>
      <c r="AQ2460" s="111"/>
      <c r="AR2460" s="28"/>
      <c r="AS2460" s="96">
        <f ca="1">1-AS2459/(3*F_GAMMA*AS$29)</f>
        <v>-7.3674506296426134E-3</v>
      </c>
      <c r="AT2460" s="111"/>
      <c r="AU2460" s="28"/>
    </row>
    <row r="2461" spans="15:47" x14ac:dyDescent="0.25">
      <c r="O2461" s="2" t="s">
        <v>57</v>
      </c>
      <c r="P2461" s="143">
        <v>7</v>
      </c>
      <c r="Q2461" s="2"/>
      <c r="R2461" s="96">
        <f ca="1">(R2454/(N_9*R$27*R2456*R2460))*SQRT(M*'Valve Sizing'!$W$6*'Valve Sizing'!$G$8/R2459)</f>
        <v>3.957835914718046</v>
      </c>
      <c r="S2461" s="107"/>
      <c r="T2461" s="22"/>
      <c r="U2461" s="96">
        <f ca="1">(U2454/(N_9*U$27*U2456*U2460))*SQRT(M*'Valve Sizing'!$W$6*'Valve Sizing'!$G$8/U2459)</f>
        <v>26.827738776917389</v>
      </c>
      <c r="V2461" s="111"/>
      <c r="W2461" s="28"/>
      <c r="X2461" s="96">
        <f ca="1">(X2454/(N_9*X$27*X2456*X2460))*SQRT(M*'Valve Sizing'!$W$6*'Valve Sizing'!$G$8/X2459)</f>
        <v>71.058519448760563</v>
      </c>
      <c r="Y2461" s="111"/>
      <c r="Z2461" s="28"/>
      <c r="AA2461" s="96">
        <f ca="1">(AA2454/(N_9*AA$27*AA2456*AA2460))*SQRT(M*'Valve Sizing'!$W$6*'Valve Sizing'!$G$8/AA2459)</f>
        <v>201.25689932019759</v>
      </c>
      <c r="AB2461" s="111"/>
      <c r="AC2461" s="28"/>
      <c r="AD2461" s="96" t="e">
        <f ca="1">(AD2454/(N_9*AD$27*AD2456*AD2460))*SQRT(M*'Valve Sizing'!$W$6*'Valve Sizing'!$G$8/AD2459)</f>
        <v>#NUM!</v>
      </c>
      <c r="AE2461" s="111"/>
      <c r="AF2461" s="28"/>
      <c r="AG2461" s="96">
        <f ca="1">(AG2454/(N_9*AG$27*AG2456*AG2460))*SQRT(M*'Valve Sizing'!$W$6*'Valve Sizing'!$G$8/AG2459)</f>
        <v>228.99988601332862</v>
      </c>
      <c r="AH2461" s="111"/>
      <c r="AI2461" s="28"/>
      <c r="AJ2461" s="96">
        <f ca="1">(AJ2454/(N_9*AJ$27*AJ2456*AJ2460))*SQRT(M*'Valve Sizing'!$W$6*'Valve Sizing'!$G$8/AJ2459)</f>
        <v>36012.514540292665</v>
      </c>
      <c r="AK2461" s="111"/>
      <c r="AL2461" s="28"/>
      <c r="AM2461" s="96">
        <f ca="1">(AM2454/(N_9*AM$27*AM2456*AM2460))*SQRT(M*'Valve Sizing'!$W$6*'Valve Sizing'!$G$8/AM2459)</f>
        <v>-1398.3419433984004</v>
      </c>
      <c r="AN2461" s="111"/>
      <c r="AO2461" s="28"/>
      <c r="AP2461" s="96">
        <f ca="1">(AP2454/(N_9*AP$27*AP2456*AP2460))*SQRT(M*'Valve Sizing'!$W$6*'Valve Sizing'!$G$8/AP2459)</f>
        <v>-322.61820575484541</v>
      </c>
      <c r="AQ2461" s="111"/>
      <c r="AR2461" s="28"/>
      <c r="AS2461" s="96">
        <f ca="1">(AS2454/(N_9*AS$27*AS2456*AS2460))*SQRT(M*'Valve Sizing'!$W$6*'Valve Sizing'!$G$8/AS2459)</f>
        <v>15147.067713970826</v>
      </c>
      <c r="AT2461" s="111"/>
      <c r="AU2461" s="28"/>
    </row>
    <row r="2462" spans="15:47" x14ac:dyDescent="0.25">
      <c r="O2462" s="2" t="s">
        <v>59</v>
      </c>
      <c r="P2462" s="143">
        <v>7</v>
      </c>
      <c r="Q2462" s="2"/>
      <c r="R2462" s="96">
        <f ca="1">(R2454/(N_9*R$27*R2456*0.667))*SQRT(M*'Valve Sizing'!$W$6*'Valve Sizing'!$G$8/R2463)</f>
        <v>3.5426338691607069</v>
      </c>
      <c r="S2462" s="107"/>
      <c r="T2462" s="22"/>
      <c r="U2462" s="96">
        <f ca="1">(U2454/(N_9*U$27*U2456*0.667))*SQRT(M*'Valve Sizing'!$W$6*'Valve Sizing'!$G$8/U2463)</f>
        <v>23.892158229070013</v>
      </c>
      <c r="V2462" s="111"/>
      <c r="W2462" s="28"/>
      <c r="X2462" s="96">
        <f ca="1">(X2454/(N_9*X$27*X2456*0.667))*SQRT(M*'Valve Sizing'!$W$6*'Valve Sizing'!$G$8/X2463)</f>
        <v>61.606686431452971</v>
      </c>
      <c r="Y2462" s="111"/>
      <c r="Z2462" s="28"/>
      <c r="AA2462" s="96">
        <f ca="1">(AA2454/(N_9*AA$27*AA2456*0.667))*SQRT(M*'Valve Sizing'!$W$6*'Valve Sizing'!$G$8/AA2463)</f>
        <v>143.52900509482828</v>
      </c>
      <c r="AB2462" s="111"/>
      <c r="AC2462" s="28"/>
      <c r="AD2462" s="96">
        <f ca="1">(AD2454/(N_9*AD$27*AD2456*0.667))*SQRT(M*'Valve Sizing'!$W$6*'Valve Sizing'!$G$8/AD2463)</f>
        <v>446.39365723511662</v>
      </c>
      <c r="AE2462" s="111"/>
      <c r="AF2462" s="28"/>
      <c r="AG2462" s="96">
        <f ca="1">(AG2454/(N_9*AG$27*AG2456*0.667))*SQRT(M*'Valve Sizing'!$W$6*'Valve Sizing'!$G$8/AG2463)</f>
        <v>-1679.5552297457261</v>
      </c>
      <c r="AH2462" s="111"/>
      <c r="AI2462" s="28"/>
      <c r="AJ2462" s="96">
        <f ca="1">(AJ2454/(N_9*AJ$27*AJ2456*0.667))*SQRT(M*'Valve Sizing'!$W$6*'Valve Sizing'!$G$8/AJ2463)</f>
        <v>-396.46060603267495</v>
      </c>
      <c r="AK2462" s="111"/>
      <c r="AL2462" s="28"/>
      <c r="AM2462" s="96">
        <f ca="1">(AM2454/(N_9*AM$27*AM2456*0.667))*SQRT(M*'Valve Sizing'!$W$6*'Valve Sizing'!$G$8/AM2463)</f>
        <v>-281.00329015606866</v>
      </c>
      <c r="AN2462" s="111"/>
      <c r="AO2462" s="28"/>
      <c r="AP2462" s="96">
        <f ca="1">(AP2454/(N_9*AP$27*AP2456*0.667))*SQRT(M*'Valve Sizing'!$W$6*'Valve Sizing'!$G$8/AP2463)</f>
        <v>-220.56831593370316</v>
      </c>
      <c r="AQ2462" s="111"/>
      <c r="AR2462" s="28"/>
      <c r="AS2462" s="96">
        <f ca="1">(AS2454/(N_9*AS$27*AS2456*0.667))*SQRT(M*'Valve Sizing'!$W$6*'Valve Sizing'!$G$8/AS2463)</f>
        <v>-290.85367238438516</v>
      </c>
      <c r="AT2462" s="111"/>
      <c r="AU2462" s="28"/>
    </row>
    <row r="2463" spans="15:47" ht="15.6" x14ac:dyDescent="0.35">
      <c r="O2463" s="2" t="s">
        <v>68</v>
      </c>
      <c r="P2463" s="143">
        <v>10</v>
      </c>
      <c r="Q2463" s="2"/>
      <c r="R2463" s="96">
        <f ca="1">F_GAMMA*R$29</f>
        <v>0.64002969751372984</v>
      </c>
      <c r="S2463" s="107"/>
      <c r="T2463" s="1"/>
      <c r="U2463" s="96">
        <f ca="1">F_GAMMA*U$29</f>
        <v>0.64017842058782071</v>
      </c>
      <c r="V2463" s="111"/>
      <c r="W2463" s="28"/>
      <c r="X2463" s="96">
        <f ca="1">F_GAMMA*X$29</f>
        <v>0.63413873724904268</v>
      </c>
      <c r="Y2463" s="111"/>
      <c r="Z2463" s="28"/>
      <c r="AA2463" s="96">
        <f ca="1">F_GAMMA*AA$29</f>
        <v>0.62532411750377137</v>
      </c>
      <c r="AB2463" s="111"/>
      <c r="AC2463" s="28"/>
      <c r="AD2463" s="96">
        <f ca="1">F_GAMMA*AD$29</f>
        <v>0.60651359509139569</v>
      </c>
      <c r="AE2463" s="111"/>
      <c r="AF2463" s="28"/>
      <c r="AG2463" s="96">
        <f ca="1">F_GAMMA*AG$29</f>
        <v>0.57217930198481592</v>
      </c>
      <c r="AH2463" s="111"/>
      <c r="AI2463" s="28"/>
      <c r="AJ2463" s="96">
        <f ca="1">F_GAMMA*AJ$29</f>
        <v>0.53183282018848232</v>
      </c>
      <c r="AK2463" s="111"/>
      <c r="AL2463" s="28"/>
      <c r="AM2463" s="96">
        <f ca="1">F_GAMMA*AM$29</f>
        <v>0.47566512503094399</v>
      </c>
      <c r="AN2463" s="111"/>
      <c r="AO2463" s="28"/>
      <c r="AP2463" s="96">
        <f ca="1">F_GAMMA*AP$29</f>
        <v>0.59054158265645496</v>
      </c>
      <c r="AQ2463" s="111"/>
      <c r="AR2463" s="28"/>
      <c r="AS2463" s="96">
        <f ca="1">F_GAMMA*AS$29</f>
        <v>0.3766899554102966</v>
      </c>
      <c r="AT2463" s="111"/>
      <c r="AU2463" s="28"/>
    </row>
    <row r="2464" spans="15:47" x14ac:dyDescent="0.25">
      <c r="O2464" s="2" t="s">
        <v>145</v>
      </c>
      <c r="P2464" s="12"/>
      <c r="Q2464" s="2"/>
      <c r="R2464" s="96">
        <f ca="1">IF(R2459&lt;R2463,R2461,R2462)</f>
        <v>3.957835914718046</v>
      </c>
      <c r="S2464" s="116"/>
      <c r="T2464" s="1"/>
      <c r="U2464" s="96">
        <f ca="1">IF(U2459&lt;U2463,U2461,U2462)</f>
        <v>26.827738776917389</v>
      </c>
      <c r="V2464" s="111"/>
      <c r="W2464" s="28"/>
      <c r="X2464" s="96">
        <f ca="1">IF(X2459&lt;X2463,X2461,X2462)</f>
        <v>71.058519448760563</v>
      </c>
      <c r="Y2464" s="111"/>
      <c r="Z2464" s="28"/>
      <c r="AA2464" s="96">
        <f ca="1">IF(AA2459&lt;AA2463,AA2461,AA2462)</f>
        <v>201.25689932019759</v>
      </c>
      <c r="AB2464" s="111"/>
      <c r="AC2464" s="28"/>
      <c r="AD2464" s="96" t="e">
        <f ca="1">IF(AD2459&lt;AD2463,AD2461,AD2462)</f>
        <v>#NUM!</v>
      </c>
      <c r="AE2464" s="111"/>
      <c r="AF2464" s="28"/>
      <c r="AG2464" s="96">
        <f ca="1">IF(AG2459&lt;AG2463,AG2461,AG2462)</f>
        <v>-1679.5552297457261</v>
      </c>
      <c r="AH2464" s="111"/>
      <c r="AI2464" s="28"/>
      <c r="AJ2464" s="96">
        <f ca="1">IF(AJ2459&lt;AJ2463,AJ2461,AJ2462)</f>
        <v>-396.46060603267495</v>
      </c>
      <c r="AK2464" s="111"/>
      <c r="AL2464" s="28"/>
      <c r="AM2464" s="96">
        <f ca="1">IF(AM2459&lt;AM2463,AM2461,AM2462)</f>
        <v>-281.00329015606866</v>
      </c>
      <c r="AN2464" s="111"/>
      <c r="AO2464" s="28"/>
      <c r="AP2464" s="96">
        <f ca="1">IF(AP2459&lt;AP2463,AP2461,AP2462)</f>
        <v>-220.56831593370316</v>
      </c>
      <c r="AQ2464" s="111"/>
      <c r="AR2464" s="28"/>
      <c r="AS2464" s="96">
        <f ca="1">IF(AS2459&lt;AS2463,AS2461,AS2462)</f>
        <v>-290.85367238438516</v>
      </c>
      <c r="AT2464" s="111"/>
      <c r="AU2464" s="28"/>
    </row>
    <row r="2465" spans="15:47" x14ac:dyDescent="0.25">
      <c r="O2465" s="13" t="s">
        <v>143</v>
      </c>
      <c r="P2465" s="1"/>
      <c r="Q2465" s="1"/>
      <c r="R2465" s="113"/>
      <c r="S2465" s="106">
        <f ca="1">IF(R2458&lt;=0,Q_max,ABS(R$23-R2464))</f>
        <v>0.77216408528195446</v>
      </c>
      <c r="T2465" s="7">
        <f>R2454</f>
        <v>9797.5249558991436</v>
      </c>
      <c r="U2465" s="98"/>
      <c r="V2465" s="106">
        <f ca="1">IF(U2458&lt;=0,Q_max,ABS(U$23-U2464))</f>
        <v>15.22773877691739</v>
      </c>
      <c r="W2465" s="9">
        <f ca="1">U2454</f>
        <v>65481.043040489611</v>
      </c>
      <c r="X2465" s="98"/>
      <c r="Y2465" s="106">
        <f ca="1">IF(X2458&lt;=0,Q_max,ABS(X$23-X2464))</f>
        <v>48.058519448760563</v>
      </c>
      <c r="Z2465" s="9">
        <f ca="1">X2454</f>
        <v>160339.02155900645</v>
      </c>
      <c r="AA2465" s="98"/>
      <c r="AB2465" s="106">
        <f ca="1">IF(AA2458&lt;=0,Q_max,ABS(AA$23-AA2464))</f>
        <v>161.85689932019758</v>
      </c>
      <c r="AC2465" s="9">
        <f ca="1">AA2454</f>
        <v>312299.48819711135</v>
      </c>
      <c r="AD2465" s="98"/>
      <c r="AE2465" s="106">
        <f ca="1">IF(AD2458&lt;=0,Q_max,ABS(AD$23-AD2464))</f>
        <v>236393</v>
      </c>
      <c r="AF2465" s="9">
        <f ca="1">AD2454</f>
        <v>523941.39152684121</v>
      </c>
      <c r="AG2465" s="98"/>
      <c r="AH2465" s="106">
        <f ca="1">IF(AG2458&lt;=0,Q_max,ABS(AG$23-AG2464))</f>
        <v>236393</v>
      </c>
      <c r="AI2465" s="9">
        <f ca="1">AG2454</f>
        <v>764706.73107544438</v>
      </c>
      <c r="AJ2465" s="98"/>
      <c r="AK2465" s="106">
        <f ca="1">IF(AJ2458&lt;=0,Q_max,ABS(AJ$23-AJ2464))</f>
        <v>236393</v>
      </c>
      <c r="AL2465" s="9">
        <f ca="1">AJ2454</f>
        <v>1020504.0970572374</v>
      </c>
      <c r="AM2465" s="98"/>
      <c r="AN2465" s="106">
        <f ca="1">IF(AM2458&lt;=0,Q_max,ABS(AM$23-AM2464))</f>
        <v>236393</v>
      </c>
      <c r="AO2465" s="9">
        <f ca="1">AM2454</f>
        <v>1245208.9349553345</v>
      </c>
      <c r="AP2465" s="98"/>
      <c r="AQ2465" s="106">
        <f ca="1">IF(AP2458&lt;=0,Q_max,ABS(AP$23-AP2464))</f>
        <v>236393</v>
      </c>
      <c r="AR2465" s="9">
        <f ca="1">AP2454</f>
        <v>1445648.9164324836</v>
      </c>
      <c r="AS2465" s="98"/>
      <c r="AT2465" s="106">
        <f ca="1">IF(AS2458&lt;=0,Q_max,ABS(AS$23-AS2464))</f>
        <v>236393</v>
      </c>
      <c r="AU2465" s="9">
        <f ca="1">AS2454</f>
        <v>1695137.0474658147</v>
      </c>
    </row>
    <row r="2466" spans="15:47" ht="13.8" x14ac:dyDescent="0.25">
      <c r="O2466" s="21"/>
      <c r="P2466" s="21"/>
      <c r="Q2466" s="21"/>
      <c r="R2466" s="114"/>
      <c r="S2466" s="117"/>
      <c r="T2466" s="25"/>
      <c r="U2466" s="99"/>
      <c r="V2466" s="111"/>
      <c r="W2466" s="28"/>
      <c r="X2466" s="99"/>
      <c r="Y2466" s="111"/>
      <c r="Z2466" s="28"/>
      <c r="AA2466" s="99"/>
      <c r="AB2466" s="111"/>
      <c r="AC2466" s="28"/>
      <c r="AD2466" s="99"/>
      <c r="AE2466" s="111"/>
      <c r="AF2466" s="28"/>
      <c r="AG2466" s="99"/>
      <c r="AH2466" s="111"/>
      <c r="AI2466" s="28"/>
      <c r="AJ2466" s="99"/>
      <c r="AK2466" s="111"/>
      <c r="AL2466" s="28"/>
      <c r="AM2466" s="99"/>
      <c r="AN2466" s="111"/>
      <c r="AO2466" s="28"/>
      <c r="AP2466" s="99"/>
      <c r="AQ2466" s="111"/>
      <c r="AR2466" s="28"/>
      <c r="AS2466" s="99"/>
      <c r="AT2466" s="111"/>
      <c r="AU2466" s="28"/>
    </row>
    <row r="2467" spans="15:47" x14ac:dyDescent="0.25">
      <c r="O2467" s="1"/>
      <c r="P2467" s="1"/>
      <c r="Q2467" s="1"/>
      <c r="R2467" s="98"/>
      <c r="S2467" s="108" t="s">
        <v>137</v>
      </c>
      <c r="T2467" s="26" t="s">
        <v>146</v>
      </c>
      <c r="U2467" s="98"/>
      <c r="V2467" s="108" t="s">
        <v>137</v>
      </c>
      <c r="W2467" s="26" t="s">
        <v>146</v>
      </c>
      <c r="X2467" s="98"/>
      <c r="Y2467" s="108" t="s">
        <v>137</v>
      </c>
      <c r="Z2467" s="26" t="s">
        <v>146</v>
      </c>
      <c r="AA2467" s="98"/>
      <c r="AB2467" s="108" t="s">
        <v>137</v>
      </c>
      <c r="AC2467" s="26" t="s">
        <v>146</v>
      </c>
      <c r="AD2467" s="98"/>
      <c r="AE2467" s="108" t="s">
        <v>137</v>
      </c>
      <c r="AF2467" s="26" t="s">
        <v>146</v>
      </c>
      <c r="AG2467" s="98"/>
      <c r="AH2467" s="108" t="s">
        <v>137</v>
      </c>
      <c r="AI2467" s="26" t="s">
        <v>146</v>
      </c>
      <c r="AJ2467" s="98"/>
      <c r="AK2467" s="108" t="s">
        <v>137</v>
      </c>
      <c r="AL2467" s="26" t="s">
        <v>146</v>
      </c>
      <c r="AM2467" s="98"/>
      <c r="AN2467" s="108" t="s">
        <v>137</v>
      </c>
      <c r="AO2467" s="26" t="s">
        <v>146</v>
      </c>
      <c r="AP2467" s="98"/>
      <c r="AQ2467" s="108" t="s">
        <v>137</v>
      </c>
      <c r="AR2467" s="26" t="s">
        <v>146</v>
      </c>
      <c r="AS2467" s="98"/>
      <c r="AT2467" s="108" t="s">
        <v>137</v>
      </c>
      <c r="AU2467" s="26" t="s">
        <v>146</v>
      </c>
    </row>
    <row r="2468" spans="15:47" ht="13.8" x14ac:dyDescent="0.25">
      <c r="O2468" s="20" t="s">
        <v>136</v>
      </c>
      <c r="P2468" s="1"/>
      <c r="Q2468" s="1"/>
      <c r="R2468" s="96">
        <f>R2454*1.02</f>
        <v>9993.4754550171274</v>
      </c>
      <c r="S2468" s="109" t="s">
        <v>144</v>
      </c>
      <c r="T2468" s="23" t="s">
        <v>147</v>
      </c>
      <c r="U2468" s="96">
        <f ca="1">U2454*1.01</f>
        <v>66135.853470894508</v>
      </c>
      <c r="V2468" s="109" t="s">
        <v>144</v>
      </c>
      <c r="W2468" s="23" t="s">
        <v>147</v>
      </c>
      <c r="X2468" s="96">
        <f ca="1">X2454*1.01</f>
        <v>161942.41177459652</v>
      </c>
      <c r="Y2468" s="109" t="s">
        <v>144</v>
      </c>
      <c r="Z2468" s="23" t="s">
        <v>147</v>
      </c>
      <c r="AA2468" s="96">
        <f ca="1">AA2454*1.01</f>
        <v>315422.48307908245</v>
      </c>
      <c r="AB2468" s="109" t="s">
        <v>144</v>
      </c>
      <c r="AC2468" s="23" t="s">
        <v>147</v>
      </c>
      <c r="AD2468" s="96">
        <f ca="1">AD2454*1.01</f>
        <v>529180.80544210959</v>
      </c>
      <c r="AE2468" s="109" t="s">
        <v>144</v>
      </c>
      <c r="AF2468" s="23" t="s">
        <v>147</v>
      </c>
      <c r="AG2468" s="96">
        <f ca="1">AG2454*1.01</f>
        <v>772353.79838619882</v>
      </c>
      <c r="AH2468" s="109" t="s">
        <v>144</v>
      </c>
      <c r="AI2468" s="23" t="s">
        <v>147</v>
      </c>
      <c r="AJ2468" s="96">
        <f ca="1">AJ2454*1.01</f>
        <v>1030709.1380278098</v>
      </c>
      <c r="AK2468" s="109" t="s">
        <v>144</v>
      </c>
      <c r="AL2468" s="23" t="s">
        <v>147</v>
      </c>
      <c r="AM2468" s="96">
        <f ca="1">AM2454*1.01</f>
        <v>1257661.024304888</v>
      </c>
      <c r="AN2468" s="109" t="s">
        <v>144</v>
      </c>
      <c r="AO2468" s="23" t="s">
        <v>147</v>
      </c>
      <c r="AP2468" s="96">
        <f ca="1">AP2454*1.01</f>
        <v>1460105.4055968085</v>
      </c>
      <c r="AQ2468" s="109" t="s">
        <v>144</v>
      </c>
      <c r="AR2468" s="23" t="s">
        <v>147</v>
      </c>
      <c r="AS2468" s="96">
        <f ca="1">AS2454*1.01</f>
        <v>1712088.417940473</v>
      </c>
      <c r="AT2468" s="109" t="s">
        <v>144</v>
      </c>
      <c r="AU2468" s="23" t="s">
        <v>147</v>
      </c>
    </row>
    <row r="2469" spans="15:47" x14ac:dyDescent="0.25">
      <c r="O2469" s="1"/>
      <c r="P2469" s="1"/>
      <c r="Q2469" s="1"/>
      <c r="R2469" s="98"/>
      <c r="S2469" s="107"/>
      <c r="T2469" s="1"/>
      <c r="U2469" s="47"/>
      <c r="V2469" s="107"/>
      <c r="W2469" s="1"/>
      <c r="X2469" s="47"/>
      <c r="Y2469" s="107"/>
      <c r="Z2469" s="1"/>
      <c r="AA2469" s="47"/>
      <c r="AB2469" s="107"/>
      <c r="AC2469" s="1"/>
      <c r="AD2469" s="47"/>
      <c r="AE2469" s="107"/>
      <c r="AF2469" s="1"/>
      <c r="AG2469" s="47"/>
      <c r="AH2469" s="107"/>
      <c r="AI2469" s="1"/>
      <c r="AJ2469" s="47"/>
      <c r="AK2469" s="107"/>
      <c r="AL2469" s="1"/>
      <c r="AM2469" s="47"/>
      <c r="AN2469" s="107"/>
      <c r="AO2469" s="1"/>
      <c r="AP2469" s="47"/>
      <c r="AQ2469" s="107"/>
      <c r="AR2469" s="1"/>
      <c r="AS2469" s="47"/>
      <c r="AT2469" s="107"/>
      <c r="AU2469" s="1"/>
    </row>
    <row r="2470" spans="15:47" x14ac:dyDescent="0.25">
      <c r="O2470" s="8" t="s">
        <v>132</v>
      </c>
      <c r="P2470" s="8"/>
      <c r="Q2470" s="8"/>
      <c r="R2470" s="96">
        <f>P_1_minQ-(R2468^2*R_up)+dpup_minQ</f>
        <v>90.166838214766926</v>
      </c>
      <c r="S2470" s="106"/>
      <c r="T2470" s="22"/>
      <c r="U2470" s="96">
        <f ca="1">P_1_minQ-(U2468^2*R_up)+dpup_minQ</f>
        <v>89.387840214609895</v>
      </c>
      <c r="V2470" s="107"/>
      <c r="W2470" s="1"/>
      <c r="X2470" s="96">
        <f ca="1">P_1_minQ-(X2468^2*R_up)+dpup_minQ</f>
        <v>85.405185302952802</v>
      </c>
      <c r="Y2470" s="107"/>
      <c r="Z2470" s="1"/>
      <c r="AA2470" s="96">
        <f ca="1">P_1_minQ-(AA2468^2*R_up)+dpup_minQ</f>
        <v>72.051657729116357</v>
      </c>
      <c r="AB2470" s="107"/>
      <c r="AC2470" s="1"/>
      <c r="AD2470" s="96">
        <f ca="1">P_1_minQ-(AD2468^2*R_up)+dpup_minQ</f>
        <v>39.146093837633806</v>
      </c>
      <c r="AE2470" s="107"/>
      <c r="AF2470" s="1"/>
      <c r="AG2470" s="96">
        <f ca="1">P_1_minQ-(AG2468^2*R_up)+dpup_minQ</f>
        <v>-18.539131888704432</v>
      </c>
      <c r="AH2470" s="107"/>
      <c r="AI2470" s="1"/>
      <c r="AJ2470" s="96">
        <f ca="1">P_1_minQ-(AJ2468^2*R_up)+dpup_minQ</f>
        <v>-103.44190299257315</v>
      </c>
      <c r="AK2470" s="107"/>
      <c r="AL2470" s="1"/>
      <c r="AM2470" s="96">
        <f ca="1">P_1_minQ-(AM2468^2*R_up)+dpup_minQ</f>
        <v>-198.09909352641893</v>
      </c>
      <c r="AN2470" s="107"/>
      <c r="AO2470" s="1"/>
      <c r="AP2470" s="96">
        <f ca="1">P_1_minQ-(AP2468^2*R_up)+dpup_minQ</f>
        <v>-298.37841686571926</v>
      </c>
      <c r="AQ2470" s="107"/>
      <c r="AR2470" s="1"/>
      <c r="AS2470" s="96">
        <f ca="1">P_1_minQ-(AS2468^2*R_up)+dpup_minQ</f>
        <v>-444.0666632341551</v>
      </c>
      <c r="AT2470" s="107"/>
      <c r="AU2470" s="1"/>
    </row>
    <row r="2471" spans="15:47" x14ac:dyDescent="0.25">
      <c r="O2471" s="8" t="s">
        <v>134</v>
      </c>
      <c r="P2471" s="1"/>
      <c r="Q2471" s="8"/>
      <c r="R2471" s="97">
        <f>P_2_minQ+(R2468^2*R_dn)-dpdn_minQ</f>
        <v>60</v>
      </c>
      <c r="S2471" s="106"/>
      <c r="T2471" s="22"/>
      <c r="U2471" s="97">
        <f ca="1">P_2_minQ+(U2468^2*R_dn)-dpdn_minQ</f>
        <v>60</v>
      </c>
      <c r="V2471" s="107"/>
      <c r="W2471" s="1"/>
      <c r="X2471" s="97">
        <f ca="1">P_2_minQ+(X2468^2*R_dn)-dpdn_minQ</f>
        <v>60</v>
      </c>
      <c r="Y2471" s="107"/>
      <c r="Z2471" s="1"/>
      <c r="AA2471" s="97">
        <f ca="1">P_2_minQ+(AA2468^2*R_dn)-dpdn_minQ</f>
        <v>60</v>
      </c>
      <c r="AB2471" s="107"/>
      <c r="AC2471" s="1"/>
      <c r="AD2471" s="97">
        <f ca="1">P_2_minQ+(AD2468^2*R_dn)-dpdn_minQ</f>
        <v>60</v>
      </c>
      <c r="AE2471" s="107"/>
      <c r="AF2471" s="1"/>
      <c r="AG2471" s="97">
        <f ca="1">P_2_minQ+(AG2468^2*R_dn)-dpdn_minQ</f>
        <v>60</v>
      </c>
      <c r="AH2471" s="107"/>
      <c r="AI2471" s="1"/>
      <c r="AJ2471" s="97">
        <f ca="1">P_2_minQ+(AJ2468^2*R_dn)-dpdn_minQ</f>
        <v>60</v>
      </c>
      <c r="AK2471" s="107"/>
      <c r="AL2471" s="1"/>
      <c r="AM2471" s="97">
        <f ca="1">P_2_minQ+(AM2468^2*R_dn)-dpdn_minQ</f>
        <v>60</v>
      </c>
      <c r="AN2471" s="107"/>
      <c r="AO2471" s="1"/>
      <c r="AP2471" s="97">
        <f ca="1">P_2_minQ+(AP2468^2*R_dn)-dpdn_minQ</f>
        <v>60</v>
      </c>
      <c r="AQ2471" s="107"/>
      <c r="AR2471" s="1"/>
      <c r="AS2471" s="97">
        <f ca="1">P_2_minQ+(AS2468^2*R_dn)-dpdn_minQ</f>
        <v>60</v>
      </c>
      <c r="AT2471" s="107"/>
      <c r="AU2471" s="1"/>
    </row>
    <row r="2472" spans="15:47" x14ac:dyDescent="0.25">
      <c r="O2472" s="8" t="s">
        <v>138</v>
      </c>
      <c r="P2472" s="1"/>
      <c r="Q2472" s="8"/>
      <c r="R2472" s="97">
        <f>R2470-R2471</f>
        <v>30.166838214766926</v>
      </c>
      <c r="S2472" s="106"/>
      <c r="T2472" s="22"/>
      <c r="U2472" s="97">
        <f ca="1">U2470-U2471</f>
        <v>29.387840214609895</v>
      </c>
      <c r="V2472" s="110"/>
      <c r="W2472" s="25"/>
      <c r="X2472" s="97">
        <f ca="1">X2470-X2471</f>
        <v>25.405185302952802</v>
      </c>
      <c r="Y2472" s="110"/>
      <c r="Z2472" s="25"/>
      <c r="AA2472" s="97">
        <f ca="1">AA2470-AA2471</f>
        <v>12.051657729116357</v>
      </c>
      <c r="AB2472" s="110"/>
      <c r="AC2472" s="25"/>
      <c r="AD2472" s="97">
        <f ca="1">AD2470-AD2471</f>
        <v>-20.853906162366194</v>
      </c>
      <c r="AE2472" s="110"/>
      <c r="AF2472" s="25"/>
      <c r="AG2472" s="97">
        <f ca="1">AG2470-AG2471</f>
        <v>-78.539131888704432</v>
      </c>
      <c r="AH2472" s="110"/>
      <c r="AI2472" s="25"/>
      <c r="AJ2472" s="97">
        <f ca="1">AJ2470-AJ2471</f>
        <v>-163.44190299257315</v>
      </c>
      <c r="AK2472" s="110"/>
      <c r="AL2472" s="25"/>
      <c r="AM2472" s="97">
        <f ca="1">AM2470-AM2471</f>
        <v>-258.09909352641893</v>
      </c>
      <c r="AN2472" s="110"/>
      <c r="AO2472" s="25"/>
      <c r="AP2472" s="97">
        <f ca="1">AP2470-AP2471</f>
        <v>-358.37841686571926</v>
      </c>
      <c r="AQ2472" s="110"/>
      <c r="AR2472" s="25"/>
      <c r="AS2472" s="97">
        <f ca="1">AS2470-AS2471</f>
        <v>-504.0666632341551</v>
      </c>
      <c r="AT2472" s="110"/>
      <c r="AU2472" s="25"/>
    </row>
    <row r="2473" spans="15:47" ht="14.4" x14ac:dyDescent="0.3">
      <c r="O2473" s="2" t="s">
        <v>140</v>
      </c>
      <c r="P2473" s="11"/>
      <c r="Q2473" s="2"/>
      <c r="R2473" s="96">
        <f>R2472/R2470</f>
        <v>0.33456688525456579</v>
      </c>
      <c r="S2473" s="106"/>
      <c r="T2473" s="22"/>
      <c r="U2473" s="96">
        <f ca="1">U2472/U2470</f>
        <v>0.32876776241660027</v>
      </c>
      <c r="V2473" s="111"/>
      <c r="W2473" s="28"/>
      <c r="X2473" s="96">
        <f ca="1">X2472/X2470</f>
        <v>0.29746654389700672</v>
      </c>
      <c r="Y2473" s="111"/>
      <c r="Z2473" s="28"/>
      <c r="AA2473" s="96">
        <f ca="1">AA2472/AA2470</f>
        <v>0.16726412839001531</v>
      </c>
      <c r="AB2473" s="111"/>
      <c r="AC2473" s="28"/>
      <c r="AD2473" s="96">
        <f ca="1">AD2472/AD2470</f>
        <v>-0.53271997581321673</v>
      </c>
      <c r="AE2473" s="111"/>
      <c r="AF2473" s="28"/>
      <c r="AG2473" s="96">
        <f ca="1">AG2472/AG2470</f>
        <v>4.2363974947800518</v>
      </c>
      <c r="AH2473" s="111"/>
      <c r="AI2473" s="28"/>
      <c r="AJ2473" s="96">
        <f ca="1">AJ2472/AJ2470</f>
        <v>1.5800357327562684</v>
      </c>
      <c r="AK2473" s="111"/>
      <c r="AL2473" s="28"/>
      <c r="AM2473" s="96">
        <f ca="1">AM2472/AM2470</f>
        <v>1.3028787206035259</v>
      </c>
      <c r="AN2473" s="111"/>
      <c r="AO2473" s="28"/>
      <c r="AP2473" s="96">
        <f ca="1">AP2472/AP2470</f>
        <v>1.2010869305838636</v>
      </c>
      <c r="AQ2473" s="111"/>
      <c r="AR2473" s="28"/>
      <c r="AS2473" s="96">
        <f ca="1">AS2472/AS2470</f>
        <v>1.1351148486648774</v>
      </c>
      <c r="AT2473" s="111"/>
      <c r="AU2473" s="28"/>
    </row>
    <row r="2474" spans="15:47" x14ac:dyDescent="0.25">
      <c r="O2474" s="2" t="s">
        <v>21</v>
      </c>
      <c r="P2474" s="8">
        <v>12</v>
      </c>
      <c r="Q2474" s="2"/>
      <c r="R2474" s="96">
        <f ca="1">1-R2473/(3*F_GAMMA*R$29)</f>
        <v>0.82575449933327061</v>
      </c>
      <c r="S2474" s="106"/>
      <c r="T2474" s="22"/>
      <c r="U2474" s="96">
        <f ca="1">1-U2473/(3*F_GAMMA*U$29)</f>
        <v>0.8288145138690548</v>
      </c>
      <c r="V2474" s="111"/>
      <c r="W2474" s="28"/>
      <c r="X2474" s="96">
        <f ca="1">1-X2473/(3*F_GAMMA*X$29)</f>
        <v>0.84363750578858798</v>
      </c>
      <c r="Y2474" s="111"/>
      <c r="Z2474" s="28"/>
      <c r="AA2474" s="96">
        <f ca="1">1-AA2473/(3*F_GAMMA*AA$29)</f>
        <v>0.91083870283796919</v>
      </c>
      <c r="AB2474" s="111"/>
      <c r="AC2474" s="28"/>
      <c r="AD2474" s="96">
        <f ca="1">1-AD2473/(3*F_GAMMA*AD$29)</f>
        <v>1.2927771557112644</v>
      </c>
      <c r="AE2474" s="111"/>
      <c r="AF2474" s="28"/>
      <c r="AG2474" s="96">
        <f ca="1">1-AG2473/(3*F_GAMMA*AG$29)</f>
        <v>-1.467989480502899</v>
      </c>
      <c r="AH2474" s="111"/>
      <c r="AI2474" s="28"/>
      <c r="AJ2474" s="96">
        <f ca="1">1-AJ2473/(3*F_GAMMA*AJ$29)</f>
        <v>9.6914714688590697E-3</v>
      </c>
      <c r="AK2474" s="111"/>
      <c r="AL2474" s="28"/>
      <c r="AM2474" s="96">
        <f ca="1">1-AM2473/(3*F_GAMMA*AM$29)</f>
        <v>8.6977615103504879E-2</v>
      </c>
      <c r="AN2474" s="111"/>
      <c r="AO2474" s="28"/>
      <c r="AP2474" s="96">
        <f ca="1">1-AP2473/(3*F_GAMMA*AP$29)</f>
        <v>0.32204213563817685</v>
      </c>
      <c r="AQ2474" s="111"/>
      <c r="AR2474" s="28"/>
      <c r="AS2474" s="96">
        <f ca="1">1-AS2473/(3*F_GAMMA*AS$29)</f>
        <v>-4.4643102030621495E-3</v>
      </c>
      <c r="AT2474" s="111"/>
      <c r="AU2474" s="28"/>
    </row>
    <row r="2475" spans="15:47" x14ac:dyDescent="0.25">
      <c r="O2475" s="2" t="s">
        <v>57</v>
      </c>
      <c r="P2475" s="143">
        <v>7</v>
      </c>
      <c r="Q2475" s="2"/>
      <c r="R2475" s="96">
        <f ca="1">(R2468/(N_9*R$27*R2470*R2474))*SQRT(M*'Valve Sizing'!$W$6*'Valve Sizing'!$G$8/R2473)</f>
        <v>4.0370424681463382</v>
      </c>
      <c r="S2475" s="107"/>
      <c r="T2475" s="22"/>
      <c r="U2475" s="96">
        <f ca="1">(U2468/(N_9*U$27*U2470*U2474))*SQRT(M*'Valve Sizing'!$W$6*'Valve Sizing'!$G$8/U2473)</f>
        <v>27.10362974607531</v>
      </c>
      <c r="V2475" s="111"/>
      <c r="W2475" s="28"/>
      <c r="X2475" s="96">
        <f ca="1">(X2468/(N_9*X$27*X2470*X2474))*SQRT(M*'Valve Sizing'!$W$6*'Valve Sizing'!$G$8/X2473)</f>
        <v>71.906958405848684</v>
      </c>
      <c r="Y2475" s="111"/>
      <c r="Z2475" s="28"/>
      <c r="AA2475" s="96">
        <f ca="1">(AA2468/(N_9*AA$27*AA2470*AA2474))*SQRT(M*'Valve Sizing'!$W$6*'Valve Sizing'!$G$8/AA2473)</f>
        <v>206.27419652533158</v>
      </c>
      <c r="AB2475" s="111"/>
      <c r="AC2475" s="28"/>
      <c r="AD2475" s="96" t="e">
        <f ca="1">(AD2468/(N_9*AD$27*AD2470*AD2474))*SQRT(M*'Valve Sizing'!$W$6*'Valve Sizing'!$G$8/AD2473)</f>
        <v>#NUM!</v>
      </c>
      <c r="AE2475" s="111"/>
      <c r="AF2475" s="28"/>
      <c r="AG2475" s="96">
        <f ca="1">(AG2468/(N_9*AG$27*AG2470*AG2474))*SQRT(M*'Valve Sizing'!$W$6*'Valve Sizing'!$G$8/AG2473)</f>
        <v>250.52838430289896</v>
      </c>
      <c r="AH2475" s="111"/>
      <c r="AI2475" s="28"/>
      <c r="AJ2475" s="96">
        <f ca="1">(AJ2468/(N_9*AJ$27*AJ2470*AJ2474))*SQRT(M*'Valve Sizing'!$W$6*'Valve Sizing'!$G$8/AJ2473)</f>
        <v>-15398.940033318806</v>
      </c>
      <c r="AK2475" s="111"/>
      <c r="AL2475" s="28"/>
      <c r="AM2475" s="96">
        <f ca="1">(AM2468/(N_9*AM$27*AM2470*AM2474))*SQRT(M*'Valve Sizing'!$W$6*'Valve Sizing'!$G$8/AM2473)</f>
        <v>-1277.3640647120292</v>
      </c>
      <c r="AN2475" s="111"/>
      <c r="AO2475" s="28"/>
      <c r="AP2475" s="96">
        <f ca="1">(AP2468/(N_9*AP$27*AP2470*AP2474))*SQRT(M*'Valve Sizing'!$W$6*'Valve Sizing'!$G$8/AP2473)</f>
        <v>-315.22918699800988</v>
      </c>
      <c r="AQ2475" s="111"/>
      <c r="AR2475" s="28"/>
      <c r="AS2475" s="96">
        <f ca="1">(AS2468/(N_9*AS$27*AS2470*AS2474))*SQRT(M*'Valve Sizing'!$W$6*'Valve Sizing'!$G$8/AS2473)</f>
        <v>24684.271161587174</v>
      </c>
      <c r="AT2475" s="111"/>
      <c r="AU2475" s="28"/>
    </row>
    <row r="2476" spans="15:47" x14ac:dyDescent="0.25">
      <c r="O2476" s="2" t="s">
        <v>59</v>
      </c>
      <c r="P2476" s="143">
        <v>7</v>
      </c>
      <c r="Q2476" s="2"/>
      <c r="R2476" s="96">
        <f ca="1">(R2468/(N_9*R$27*R2470*0.667))*SQRT(M*'Valve Sizing'!$W$6*'Valve Sizing'!$G$8/R2477)</f>
        <v>3.6135148726749762</v>
      </c>
      <c r="S2476" s="107"/>
      <c r="T2476" s="22"/>
      <c r="U2476" s="96">
        <f ca="1">(U2468/(N_9*U$27*U2470*0.667))*SQRT(M*'Valve Sizing'!$W$6*'Valve Sizing'!$G$8/U2477)</f>
        <v>24.135320331048501</v>
      </c>
      <c r="V2476" s="111"/>
      <c r="W2476" s="28"/>
      <c r="X2476" s="96">
        <f ca="1">(X2468/(N_9*X$27*X2470*0.667))*SQRT(M*'Valve Sizing'!$W$6*'Valve Sizing'!$G$8/X2477)</f>
        <v>62.291370502954699</v>
      </c>
      <c r="Y2476" s="111"/>
      <c r="Z2476" s="28"/>
      <c r="AA2476" s="96">
        <f ca="1">(AA2468/(N_9*AA$27*AA2470*0.667))*SQRT(M*'Valve Sizing'!$W$6*'Valve Sizing'!$G$8/AA2477)</f>
        <v>145.68316324318974</v>
      </c>
      <c r="AB2476" s="111"/>
      <c r="AC2476" s="28"/>
      <c r="AD2476" s="96">
        <f ca="1">(AD2468/(N_9*AD$27*AD2470*0.667))*SQRT(M*'Valve Sizing'!$W$6*'Valve Sizing'!$G$8/AD2477)</f>
        <v>462.44019142416118</v>
      </c>
      <c r="AE2476" s="111"/>
      <c r="AF2476" s="28"/>
      <c r="AG2476" s="96">
        <f ca="1">(AG2468/(N_9*AG$27*AG2470*0.667))*SQRT(M*'Valve Sizing'!$W$6*'Valve Sizing'!$G$8/AG2477)</f>
        <v>-1500.3283876533856</v>
      </c>
      <c r="AH2476" s="111"/>
      <c r="AI2476" s="28"/>
      <c r="AJ2476" s="96">
        <f ca="1">(AJ2468/(N_9*AJ$27*AJ2470*0.667))*SQRT(M*'Valve Sizing'!$W$6*'Valve Sizing'!$G$8/AJ2477)</f>
        <v>-385.65645278817709</v>
      </c>
      <c r="AK2476" s="111"/>
      <c r="AL2476" s="28"/>
      <c r="AM2476" s="96">
        <f ca="1">(AM2468/(N_9*AM$27*AM2470*0.667))*SQRT(M*'Valve Sizing'!$W$6*'Valve Sizing'!$G$8/AM2477)</f>
        <v>-275.67519833226129</v>
      </c>
      <c r="AN2476" s="111"/>
      <c r="AO2476" s="28"/>
      <c r="AP2476" s="96">
        <f ca="1">(AP2468/(N_9*AP$27*AP2470*0.667))*SQRT(M*'Valve Sizing'!$W$6*'Valve Sizing'!$G$8/AP2477)</f>
        <v>-217.05773400918261</v>
      </c>
      <c r="AQ2476" s="111"/>
      <c r="AR2476" s="28"/>
      <c r="AS2476" s="96">
        <f ca="1">(AS2468/(N_9*AS$27*AS2470*0.667))*SQRT(M*'Valve Sizing'!$W$6*'Valve Sizing'!$G$8/AS2477)</f>
        <v>-286.7983980412364</v>
      </c>
      <c r="AT2476" s="111"/>
      <c r="AU2476" s="28"/>
    </row>
    <row r="2477" spans="15:47" ht="15.6" x14ac:dyDescent="0.35">
      <c r="O2477" s="2" t="s">
        <v>68</v>
      </c>
      <c r="P2477" s="143">
        <v>10</v>
      </c>
      <c r="Q2477" s="2"/>
      <c r="R2477" s="96">
        <f ca="1">F_GAMMA*R$29</f>
        <v>0.64002969751372984</v>
      </c>
      <c r="S2477" s="107"/>
      <c r="T2477" s="1"/>
      <c r="U2477" s="96">
        <f ca="1">F_GAMMA*U$29</f>
        <v>0.64017842058782071</v>
      </c>
      <c r="V2477" s="111"/>
      <c r="W2477" s="28"/>
      <c r="X2477" s="96">
        <f ca="1">F_GAMMA*X$29</f>
        <v>0.63413873724904268</v>
      </c>
      <c r="Y2477" s="111"/>
      <c r="Z2477" s="28"/>
      <c r="AA2477" s="96">
        <f ca="1">F_GAMMA*AA$29</f>
        <v>0.62532411750377137</v>
      </c>
      <c r="AB2477" s="111"/>
      <c r="AC2477" s="28"/>
      <c r="AD2477" s="96">
        <f ca="1">F_GAMMA*AD$29</f>
        <v>0.60651359509139569</v>
      </c>
      <c r="AE2477" s="111"/>
      <c r="AF2477" s="28"/>
      <c r="AG2477" s="96">
        <f ca="1">F_GAMMA*AG$29</f>
        <v>0.57217930198481592</v>
      </c>
      <c r="AH2477" s="111"/>
      <c r="AI2477" s="28"/>
      <c r="AJ2477" s="96">
        <f ca="1">F_GAMMA*AJ$29</f>
        <v>0.53183282018848232</v>
      </c>
      <c r="AK2477" s="111"/>
      <c r="AL2477" s="28"/>
      <c r="AM2477" s="96">
        <f ca="1">F_GAMMA*AM$29</f>
        <v>0.47566512503094399</v>
      </c>
      <c r="AN2477" s="111"/>
      <c r="AO2477" s="28"/>
      <c r="AP2477" s="96">
        <f ca="1">F_GAMMA*AP$29</f>
        <v>0.59054158265645496</v>
      </c>
      <c r="AQ2477" s="111"/>
      <c r="AR2477" s="28"/>
      <c r="AS2477" s="96">
        <f ca="1">F_GAMMA*AS$29</f>
        <v>0.3766899554102966</v>
      </c>
      <c r="AT2477" s="111"/>
      <c r="AU2477" s="28"/>
    </row>
    <row r="2478" spans="15:47" x14ac:dyDescent="0.25">
      <c r="O2478" s="2" t="s">
        <v>145</v>
      </c>
      <c r="P2478" s="12"/>
      <c r="Q2478" s="2"/>
      <c r="R2478" s="96">
        <f ca="1">IF(R2473&lt;R2477,R2475,R2476)</f>
        <v>4.0370424681463382</v>
      </c>
      <c r="S2478" s="116"/>
      <c r="T2478" s="1"/>
      <c r="U2478" s="96">
        <f ca="1">IF(U2473&lt;U2477,U2475,U2476)</f>
        <v>27.10362974607531</v>
      </c>
      <c r="V2478" s="111"/>
      <c r="W2478" s="28"/>
      <c r="X2478" s="96">
        <f ca="1">IF(X2473&lt;X2477,X2475,X2476)</f>
        <v>71.906958405848684</v>
      </c>
      <c r="Y2478" s="111"/>
      <c r="Z2478" s="28"/>
      <c r="AA2478" s="96">
        <f ca="1">IF(AA2473&lt;AA2477,AA2475,AA2476)</f>
        <v>206.27419652533158</v>
      </c>
      <c r="AB2478" s="111"/>
      <c r="AC2478" s="28"/>
      <c r="AD2478" s="96" t="e">
        <f ca="1">IF(AD2473&lt;AD2477,AD2475,AD2476)</f>
        <v>#NUM!</v>
      </c>
      <c r="AE2478" s="111"/>
      <c r="AF2478" s="28"/>
      <c r="AG2478" s="96">
        <f ca="1">IF(AG2473&lt;AG2477,AG2475,AG2476)</f>
        <v>-1500.3283876533856</v>
      </c>
      <c r="AH2478" s="111"/>
      <c r="AI2478" s="28"/>
      <c r="AJ2478" s="96">
        <f ca="1">IF(AJ2473&lt;AJ2477,AJ2475,AJ2476)</f>
        <v>-385.65645278817709</v>
      </c>
      <c r="AK2478" s="111"/>
      <c r="AL2478" s="28"/>
      <c r="AM2478" s="96">
        <f ca="1">IF(AM2473&lt;AM2477,AM2475,AM2476)</f>
        <v>-275.67519833226129</v>
      </c>
      <c r="AN2478" s="111"/>
      <c r="AO2478" s="28"/>
      <c r="AP2478" s="96">
        <f ca="1">IF(AP2473&lt;AP2477,AP2475,AP2476)</f>
        <v>-217.05773400918261</v>
      </c>
      <c r="AQ2478" s="111"/>
      <c r="AR2478" s="28"/>
      <c r="AS2478" s="96">
        <f ca="1">IF(AS2473&lt;AS2477,AS2475,AS2476)</f>
        <v>-286.7983980412364</v>
      </c>
      <c r="AT2478" s="111"/>
      <c r="AU2478" s="28"/>
    </row>
    <row r="2479" spans="15:47" x14ac:dyDescent="0.25">
      <c r="O2479" s="13" t="s">
        <v>143</v>
      </c>
      <c r="P2479" s="1"/>
      <c r="Q2479" s="1"/>
      <c r="R2479" s="113"/>
      <c r="S2479" s="106">
        <f ca="1">IF(R2472&lt;=0,Q_max,ABS(R$23-R2478))</f>
        <v>0.69295753185366227</v>
      </c>
      <c r="T2479" s="7">
        <f>R2468</f>
        <v>9993.4754550171274</v>
      </c>
      <c r="U2479" s="98"/>
      <c r="V2479" s="106">
        <f ca="1">IF(U2472&lt;=0,Q_max,ABS(U$23-U2478))</f>
        <v>15.50362974607531</v>
      </c>
      <c r="W2479" s="9">
        <f ca="1">U2468</f>
        <v>66135.853470894508</v>
      </c>
      <c r="X2479" s="98"/>
      <c r="Y2479" s="106">
        <f ca="1">IF(X2472&lt;=0,Q_max,ABS(X$23-X2478))</f>
        <v>48.906958405848684</v>
      </c>
      <c r="Z2479" s="9">
        <f ca="1">X2468</f>
        <v>161942.41177459652</v>
      </c>
      <c r="AA2479" s="98"/>
      <c r="AB2479" s="106">
        <f ca="1">IF(AA2472&lt;=0,Q_max,ABS(AA$23-AA2478))</f>
        <v>166.87419652533157</v>
      </c>
      <c r="AC2479" s="9">
        <f ca="1">AA2468</f>
        <v>315422.48307908245</v>
      </c>
      <c r="AD2479" s="98"/>
      <c r="AE2479" s="106">
        <f ca="1">IF(AD2472&lt;=0,Q_max,ABS(AD$23-AD2478))</f>
        <v>236393</v>
      </c>
      <c r="AF2479" s="9">
        <f ca="1">AD2468</f>
        <v>529180.80544210959</v>
      </c>
      <c r="AG2479" s="98"/>
      <c r="AH2479" s="106">
        <f ca="1">IF(AG2472&lt;=0,Q_max,ABS(AG$23-AG2478))</f>
        <v>236393</v>
      </c>
      <c r="AI2479" s="9">
        <f ca="1">AG2468</f>
        <v>772353.79838619882</v>
      </c>
      <c r="AJ2479" s="98"/>
      <c r="AK2479" s="106">
        <f ca="1">IF(AJ2472&lt;=0,Q_max,ABS(AJ$23-AJ2478))</f>
        <v>236393</v>
      </c>
      <c r="AL2479" s="9">
        <f ca="1">AJ2468</f>
        <v>1030709.1380278098</v>
      </c>
      <c r="AM2479" s="98"/>
      <c r="AN2479" s="106">
        <f ca="1">IF(AM2472&lt;=0,Q_max,ABS(AM$23-AM2478))</f>
        <v>236393</v>
      </c>
      <c r="AO2479" s="9">
        <f ca="1">AM2468</f>
        <v>1257661.024304888</v>
      </c>
      <c r="AP2479" s="98"/>
      <c r="AQ2479" s="106">
        <f ca="1">IF(AP2472&lt;=0,Q_max,ABS(AP$23-AP2478))</f>
        <v>236393</v>
      </c>
      <c r="AR2479" s="9">
        <f ca="1">AP2468</f>
        <v>1460105.4055968085</v>
      </c>
      <c r="AS2479" s="98"/>
      <c r="AT2479" s="106">
        <f ca="1">IF(AS2472&lt;=0,Q_max,ABS(AS$23-AS2478))</f>
        <v>236393</v>
      </c>
      <c r="AU2479" s="9">
        <f ca="1">AS2468</f>
        <v>1712088.417940473</v>
      </c>
    </row>
    <row r="2480" spans="15:47" x14ac:dyDescent="0.25">
      <c r="O2480" s="21"/>
      <c r="P2480" s="14"/>
      <c r="Q2480" s="21"/>
      <c r="R2480" s="97"/>
      <c r="S2480" s="106"/>
      <c r="T2480" s="28"/>
      <c r="U2480" s="97"/>
      <c r="V2480" s="111"/>
      <c r="W2480" s="28"/>
      <c r="X2480" s="97"/>
      <c r="Y2480" s="111"/>
      <c r="Z2480" s="28"/>
      <c r="AA2480" s="97"/>
      <c r="AB2480" s="111"/>
      <c r="AC2480" s="28"/>
      <c r="AD2480" s="97"/>
      <c r="AE2480" s="111"/>
      <c r="AF2480" s="28"/>
      <c r="AG2480" s="97"/>
      <c r="AH2480" s="111"/>
      <c r="AI2480" s="28"/>
      <c r="AJ2480" s="97"/>
      <c r="AK2480" s="111"/>
      <c r="AL2480" s="28"/>
      <c r="AM2480" s="97"/>
      <c r="AN2480" s="111"/>
      <c r="AO2480" s="28"/>
      <c r="AP2480" s="97"/>
      <c r="AQ2480" s="111"/>
      <c r="AR2480" s="28"/>
      <c r="AS2480" s="97"/>
      <c r="AT2480" s="111"/>
      <c r="AU2480" s="28"/>
    </row>
    <row r="2481" spans="15:47" x14ac:dyDescent="0.25">
      <c r="O2481" s="1"/>
      <c r="P2481" s="1"/>
      <c r="Q2481" s="1"/>
      <c r="R2481" s="98"/>
      <c r="S2481" s="108" t="s">
        <v>137</v>
      </c>
      <c r="T2481" s="26" t="s">
        <v>146</v>
      </c>
      <c r="U2481" s="98"/>
      <c r="V2481" s="108" t="s">
        <v>137</v>
      </c>
      <c r="W2481" s="26" t="s">
        <v>146</v>
      </c>
      <c r="X2481" s="98"/>
      <c r="Y2481" s="108" t="s">
        <v>137</v>
      </c>
      <c r="Z2481" s="26" t="s">
        <v>146</v>
      </c>
      <c r="AA2481" s="98"/>
      <c r="AB2481" s="108" t="s">
        <v>137</v>
      </c>
      <c r="AC2481" s="26" t="s">
        <v>146</v>
      </c>
      <c r="AD2481" s="98"/>
      <c r="AE2481" s="108" t="s">
        <v>137</v>
      </c>
      <c r="AF2481" s="26" t="s">
        <v>146</v>
      </c>
      <c r="AG2481" s="98"/>
      <c r="AH2481" s="108" t="s">
        <v>137</v>
      </c>
      <c r="AI2481" s="26" t="s">
        <v>146</v>
      </c>
      <c r="AJ2481" s="98"/>
      <c r="AK2481" s="108" t="s">
        <v>137</v>
      </c>
      <c r="AL2481" s="26" t="s">
        <v>146</v>
      </c>
      <c r="AM2481" s="98"/>
      <c r="AN2481" s="108" t="s">
        <v>137</v>
      </c>
      <c r="AO2481" s="26" t="s">
        <v>146</v>
      </c>
      <c r="AP2481" s="98"/>
      <c r="AQ2481" s="108" t="s">
        <v>137</v>
      </c>
      <c r="AR2481" s="26" t="s">
        <v>146</v>
      </c>
      <c r="AS2481" s="98"/>
      <c r="AT2481" s="108" t="s">
        <v>137</v>
      </c>
      <c r="AU2481" s="26" t="s">
        <v>146</v>
      </c>
    </row>
    <row r="2482" spans="15:47" ht="13.8" x14ac:dyDescent="0.25">
      <c r="O2482" s="20" t="s">
        <v>136</v>
      </c>
      <c r="P2482" s="1"/>
      <c r="Q2482" s="1"/>
      <c r="R2482" s="96">
        <f>R2468*1.02</f>
        <v>10193.34496411747</v>
      </c>
      <c r="S2482" s="109" t="s">
        <v>144</v>
      </c>
      <c r="T2482" s="23" t="s">
        <v>147</v>
      </c>
      <c r="U2482" s="96">
        <f ca="1">U2468*1.01</f>
        <v>66797.212005603447</v>
      </c>
      <c r="V2482" s="109" t="s">
        <v>144</v>
      </c>
      <c r="W2482" s="23" t="s">
        <v>147</v>
      </c>
      <c r="X2482" s="96">
        <f ca="1">X2468*1.01</f>
        <v>163561.8358923425</v>
      </c>
      <c r="Y2482" s="109" t="s">
        <v>144</v>
      </c>
      <c r="Z2482" s="23" t="s">
        <v>147</v>
      </c>
      <c r="AA2482" s="96">
        <f ca="1">AA2468*1.01</f>
        <v>318576.70790987328</v>
      </c>
      <c r="AB2482" s="109" t="s">
        <v>144</v>
      </c>
      <c r="AC2482" s="23" t="s">
        <v>147</v>
      </c>
      <c r="AD2482" s="96">
        <f ca="1">AD2468*1.01</f>
        <v>534472.61349653068</v>
      </c>
      <c r="AE2482" s="109" t="s">
        <v>144</v>
      </c>
      <c r="AF2482" s="23" t="s">
        <v>147</v>
      </c>
      <c r="AG2482" s="96">
        <f ca="1">AG2468*1.01</f>
        <v>780077.3363700608</v>
      </c>
      <c r="AH2482" s="109" t="s">
        <v>144</v>
      </c>
      <c r="AI2482" s="23" t="s">
        <v>147</v>
      </c>
      <c r="AJ2482" s="96">
        <f ca="1">AJ2468*1.01</f>
        <v>1041016.2294080879</v>
      </c>
      <c r="AK2482" s="109" t="s">
        <v>144</v>
      </c>
      <c r="AL2482" s="23" t="s">
        <v>147</v>
      </c>
      <c r="AM2482" s="96">
        <f ca="1">AM2468*1.01</f>
        <v>1270237.634547937</v>
      </c>
      <c r="AN2482" s="109" t="s">
        <v>144</v>
      </c>
      <c r="AO2482" s="23" t="s">
        <v>147</v>
      </c>
      <c r="AP2482" s="96">
        <f ca="1">AP2468*1.01</f>
        <v>1474706.4596527766</v>
      </c>
      <c r="AQ2482" s="109" t="s">
        <v>144</v>
      </c>
      <c r="AR2482" s="23" t="s">
        <v>147</v>
      </c>
      <c r="AS2482" s="96">
        <f ca="1">AS2468*1.01</f>
        <v>1729209.3021198777</v>
      </c>
      <c r="AT2482" s="109" t="s">
        <v>144</v>
      </c>
      <c r="AU2482" s="23" t="s">
        <v>147</v>
      </c>
    </row>
    <row r="2483" spans="15:47" x14ac:dyDescent="0.25">
      <c r="O2483" s="1"/>
      <c r="P2483" s="1"/>
      <c r="Q2483" s="1"/>
      <c r="R2483" s="98"/>
      <c r="S2483" s="107"/>
      <c r="T2483" s="1"/>
      <c r="U2483" s="47"/>
      <c r="V2483" s="107"/>
      <c r="W2483" s="1"/>
      <c r="X2483" s="47"/>
      <c r="Y2483" s="107"/>
      <c r="Z2483" s="1"/>
      <c r="AA2483" s="47"/>
      <c r="AB2483" s="107"/>
      <c r="AC2483" s="1"/>
      <c r="AD2483" s="47"/>
      <c r="AE2483" s="107"/>
      <c r="AF2483" s="1"/>
      <c r="AG2483" s="47"/>
      <c r="AH2483" s="107"/>
      <c r="AI2483" s="1"/>
      <c r="AJ2483" s="47"/>
      <c r="AK2483" s="107"/>
      <c r="AL2483" s="1"/>
      <c r="AM2483" s="47"/>
      <c r="AN2483" s="107"/>
      <c r="AO2483" s="1"/>
      <c r="AP2483" s="47"/>
      <c r="AQ2483" s="107"/>
      <c r="AR2483" s="1"/>
      <c r="AS2483" s="47"/>
      <c r="AT2483" s="107"/>
      <c r="AU2483" s="1"/>
    </row>
    <row r="2484" spans="15:47" x14ac:dyDescent="0.25">
      <c r="O2484" s="8" t="s">
        <v>132</v>
      </c>
      <c r="P2484" s="8"/>
      <c r="Q2484" s="8"/>
      <c r="R2484" s="96">
        <f>P_1_minQ-(R2482^2*R_up)+dpup_minQ</f>
        <v>90.166102841221189</v>
      </c>
      <c r="S2484" s="106"/>
      <c r="T2484" s="22"/>
      <c r="U2484" s="96">
        <f ca="1">P_1_minQ-(U2482^2*R_up)+dpup_minQ</f>
        <v>89.371816488265424</v>
      </c>
      <c r="V2484" s="107"/>
      <c r="W2484" s="1"/>
      <c r="X2484" s="96">
        <f ca="1">P_1_minQ-(X2482^2*R_up)+dpup_minQ</f>
        <v>85.309110212884022</v>
      </c>
      <c r="Y2484" s="107"/>
      <c r="Z2484" s="1"/>
      <c r="AA2484" s="96">
        <f ca="1">P_1_minQ-(AA2482^2*R_up)+dpup_minQ</f>
        <v>71.687176734813463</v>
      </c>
      <c r="AB2484" s="107"/>
      <c r="AC2484" s="1"/>
      <c r="AD2484" s="96">
        <f ca="1">P_1_minQ-(AD2482^2*R_up)+dpup_minQ</f>
        <v>38.120211009112111</v>
      </c>
      <c r="AE2484" s="107"/>
      <c r="AF2484" s="1"/>
      <c r="AG2484" s="96">
        <f ca="1">P_1_minQ-(AG2482^2*R_up)+dpup_minQ</f>
        <v>-20.724487754325523</v>
      </c>
      <c r="AH2484" s="107"/>
      <c r="AI2484" s="1"/>
      <c r="AJ2484" s="96">
        <f ca="1">P_1_minQ-(AJ2482^2*R_up)+dpup_minQ</f>
        <v>-107.33380455738202</v>
      </c>
      <c r="AK2484" s="107"/>
      <c r="AL2484" s="1"/>
      <c r="AM2484" s="96">
        <f ca="1">P_1_minQ-(AM2482^2*R_up)+dpup_minQ</f>
        <v>-203.89360462095811</v>
      </c>
      <c r="AN2484" s="107"/>
      <c r="AO2484" s="1"/>
      <c r="AP2484" s="96">
        <f ca="1">P_1_minQ-(AP2482^2*R_up)+dpup_minQ</f>
        <v>-306.1885423593784</v>
      </c>
      <c r="AQ2484" s="107"/>
      <c r="AR2484" s="1"/>
      <c r="AS2484" s="96">
        <f ca="1">P_1_minQ-(AS2482^2*R_up)+dpup_minQ</f>
        <v>-454.80512247981977</v>
      </c>
      <c r="AT2484" s="107"/>
      <c r="AU2484" s="1"/>
    </row>
    <row r="2485" spans="15:47" x14ac:dyDescent="0.25">
      <c r="O2485" s="8" t="s">
        <v>134</v>
      </c>
      <c r="P2485" s="1"/>
      <c r="Q2485" s="8"/>
      <c r="R2485" s="97">
        <f>P_2_minQ+(R2482^2*R_dn)-dpdn_minQ</f>
        <v>60</v>
      </c>
      <c r="S2485" s="106"/>
      <c r="T2485" s="22"/>
      <c r="U2485" s="97">
        <f ca="1">P_2_minQ+(U2482^2*R_dn)-dpdn_minQ</f>
        <v>60</v>
      </c>
      <c r="V2485" s="107"/>
      <c r="W2485" s="1"/>
      <c r="X2485" s="97">
        <f ca="1">P_2_minQ+(X2482^2*R_dn)-dpdn_minQ</f>
        <v>60</v>
      </c>
      <c r="Y2485" s="107"/>
      <c r="Z2485" s="1"/>
      <c r="AA2485" s="97">
        <f ca="1">P_2_minQ+(AA2482^2*R_dn)-dpdn_minQ</f>
        <v>60</v>
      </c>
      <c r="AB2485" s="107"/>
      <c r="AC2485" s="1"/>
      <c r="AD2485" s="97">
        <f ca="1">P_2_minQ+(AD2482^2*R_dn)-dpdn_minQ</f>
        <v>60</v>
      </c>
      <c r="AE2485" s="107"/>
      <c r="AF2485" s="1"/>
      <c r="AG2485" s="97">
        <f ca="1">P_2_minQ+(AG2482^2*R_dn)-dpdn_minQ</f>
        <v>60</v>
      </c>
      <c r="AH2485" s="107"/>
      <c r="AI2485" s="1"/>
      <c r="AJ2485" s="97">
        <f ca="1">P_2_minQ+(AJ2482^2*R_dn)-dpdn_minQ</f>
        <v>60</v>
      </c>
      <c r="AK2485" s="107"/>
      <c r="AL2485" s="1"/>
      <c r="AM2485" s="97">
        <f ca="1">P_2_minQ+(AM2482^2*R_dn)-dpdn_minQ</f>
        <v>60</v>
      </c>
      <c r="AN2485" s="107"/>
      <c r="AO2485" s="1"/>
      <c r="AP2485" s="97">
        <f ca="1">P_2_minQ+(AP2482^2*R_dn)-dpdn_minQ</f>
        <v>60</v>
      </c>
      <c r="AQ2485" s="107"/>
      <c r="AR2485" s="1"/>
      <c r="AS2485" s="97">
        <f ca="1">P_2_minQ+(AS2482^2*R_dn)-dpdn_minQ</f>
        <v>60</v>
      </c>
      <c r="AT2485" s="107"/>
      <c r="AU2485" s="1"/>
    </row>
    <row r="2486" spans="15:47" x14ac:dyDescent="0.25">
      <c r="O2486" s="8" t="s">
        <v>138</v>
      </c>
      <c r="P2486" s="1"/>
      <c r="Q2486" s="8"/>
      <c r="R2486" s="97">
        <f>R2484-R2485</f>
        <v>30.166102841221189</v>
      </c>
      <c r="S2486" s="106"/>
      <c r="T2486" s="22"/>
      <c r="U2486" s="97">
        <f ca="1">U2484-U2485</f>
        <v>29.371816488265424</v>
      </c>
      <c r="V2486" s="110"/>
      <c r="W2486" s="25"/>
      <c r="X2486" s="97">
        <f ca="1">X2484-X2485</f>
        <v>25.309110212884022</v>
      </c>
      <c r="Y2486" s="110"/>
      <c r="Z2486" s="25"/>
      <c r="AA2486" s="97">
        <f ca="1">AA2484-AA2485</f>
        <v>11.687176734813463</v>
      </c>
      <c r="AB2486" s="110"/>
      <c r="AC2486" s="25"/>
      <c r="AD2486" s="97">
        <f ca="1">AD2484-AD2485</f>
        <v>-21.879788990887889</v>
      </c>
      <c r="AE2486" s="110"/>
      <c r="AF2486" s="25"/>
      <c r="AG2486" s="97">
        <f ca="1">AG2484-AG2485</f>
        <v>-80.724487754325523</v>
      </c>
      <c r="AH2486" s="110"/>
      <c r="AI2486" s="25"/>
      <c r="AJ2486" s="97">
        <f ca="1">AJ2484-AJ2485</f>
        <v>-167.33380455738202</v>
      </c>
      <c r="AK2486" s="110"/>
      <c r="AL2486" s="25"/>
      <c r="AM2486" s="97">
        <f ca="1">AM2484-AM2485</f>
        <v>-263.89360462095811</v>
      </c>
      <c r="AN2486" s="110"/>
      <c r="AO2486" s="25"/>
      <c r="AP2486" s="97">
        <f ca="1">AP2484-AP2485</f>
        <v>-366.1885423593784</v>
      </c>
      <c r="AQ2486" s="110"/>
      <c r="AR2486" s="25"/>
      <c r="AS2486" s="97">
        <f ca="1">AS2484-AS2485</f>
        <v>-514.80512247981983</v>
      </c>
      <c r="AT2486" s="110"/>
      <c r="AU2486" s="25"/>
    </row>
    <row r="2487" spans="15:47" ht="14.4" x14ac:dyDescent="0.3">
      <c r="O2487" s="2" t="s">
        <v>140</v>
      </c>
      <c r="P2487" s="11"/>
      <c r="Q2487" s="2"/>
      <c r="R2487" s="96">
        <f>R2486/R2484</f>
        <v>0.33456145813845872</v>
      </c>
      <c r="S2487" s="106"/>
      <c r="T2487" s="22"/>
      <c r="U2487" s="96">
        <f ca="1">U2486/U2484</f>
        <v>0.32864741528580166</v>
      </c>
      <c r="V2487" s="111"/>
      <c r="W2487" s="28"/>
      <c r="X2487" s="96">
        <f ca="1">X2486/X2484</f>
        <v>0.29667535096458725</v>
      </c>
      <c r="Y2487" s="111"/>
      <c r="Z2487" s="28"/>
      <c r="AA2487" s="96">
        <f ca="1">AA2486/AA2484</f>
        <v>0.16303022754051097</v>
      </c>
      <c r="AB2487" s="111"/>
      <c r="AC2487" s="28"/>
      <c r="AD2487" s="96">
        <f ca="1">AD2486/AD2484</f>
        <v>-0.57396820247552738</v>
      </c>
      <c r="AE2487" s="111"/>
      <c r="AF2487" s="28"/>
      <c r="AG2487" s="96">
        <f ca="1">AG2486/AG2484</f>
        <v>3.8951258391164369</v>
      </c>
      <c r="AH2487" s="111"/>
      <c r="AI2487" s="28"/>
      <c r="AJ2487" s="96">
        <f ca="1">AJ2486/AJ2484</f>
        <v>1.5590037569936621</v>
      </c>
      <c r="AK2487" s="111"/>
      <c r="AL2487" s="28"/>
      <c r="AM2487" s="96">
        <f ca="1">AM2486/AM2484</f>
        <v>1.2942711229787764</v>
      </c>
      <c r="AN2487" s="111"/>
      <c r="AO2487" s="28"/>
      <c r="AP2487" s="96">
        <f ca="1">AP2486/AP2484</f>
        <v>1.1959576917466004</v>
      </c>
      <c r="AQ2487" s="111"/>
      <c r="AR2487" s="28"/>
      <c r="AS2487" s="96">
        <f ca="1">AS2486/AS2484</f>
        <v>1.1319246354853056</v>
      </c>
      <c r="AT2487" s="111"/>
      <c r="AU2487" s="28"/>
    </row>
    <row r="2488" spans="15:47" x14ac:dyDescent="0.25">
      <c r="O2488" s="2" t="s">
        <v>21</v>
      </c>
      <c r="P2488" s="8">
        <v>12</v>
      </c>
      <c r="Q2488" s="2"/>
      <c r="R2488" s="96">
        <f ca="1">1-R2487/(3*F_GAMMA*R$29)</f>
        <v>0.8257573258250871</v>
      </c>
      <c r="S2488" s="106"/>
      <c r="T2488" s="22"/>
      <c r="U2488" s="96">
        <f ca="1">1-U2487/(3*F_GAMMA*U$29)</f>
        <v>0.82887717719692733</v>
      </c>
      <c r="V2488" s="111"/>
      <c r="W2488" s="28"/>
      <c r="X2488" s="96">
        <f ca="1">1-X2487/(3*F_GAMMA*X$29)</f>
        <v>0.84405339424009185</v>
      </c>
      <c r="Y2488" s="111"/>
      <c r="Z2488" s="28"/>
      <c r="AA2488" s="96">
        <f ca="1">1-AA2487/(3*F_GAMMA*AA$29)</f>
        <v>0.91309561288455732</v>
      </c>
      <c r="AB2488" s="111"/>
      <c r="AC2488" s="28"/>
      <c r="AD2488" s="96">
        <f ca="1">1-AD2487/(3*F_GAMMA*AD$29)</f>
        <v>1.3154467364077447</v>
      </c>
      <c r="AE2488" s="111"/>
      <c r="AF2488" s="28"/>
      <c r="AG2488" s="96">
        <f ca="1">1-AG2487/(3*F_GAMMA*AG$29)</f>
        <v>-1.269175545500481</v>
      </c>
      <c r="AH2488" s="111"/>
      <c r="AI2488" s="28"/>
      <c r="AJ2488" s="96">
        <f ca="1">1-AJ2487/(3*F_GAMMA*AJ$29)</f>
        <v>2.2873543581390265E-2</v>
      </c>
      <c r="AK2488" s="111"/>
      <c r="AL2488" s="28"/>
      <c r="AM2488" s="96">
        <f ca="1">1-AM2487/(3*F_GAMMA*AM$29)</f>
        <v>9.3009588139289723E-2</v>
      </c>
      <c r="AN2488" s="111"/>
      <c r="AO2488" s="28"/>
      <c r="AP2488" s="96">
        <f ca="1">1-AP2487/(3*F_GAMMA*AP$29)</f>
        <v>0.32493735306113425</v>
      </c>
      <c r="AQ2488" s="111"/>
      <c r="AR2488" s="28"/>
      <c r="AS2488" s="96">
        <f ca="1">1-AS2487/(3*F_GAMMA*AS$29)</f>
        <v>-1.6412872423561264E-3</v>
      </c>
      <c r="AT2488" s="111"/>
      <c r="AU2488" s="28"/>
    </row>
    <row r="2489" spans="15:47" x14ac:dyDescent="0.25">
      <c r="O2489" s="2" t="s">
        <v>57</v>
      </c>
      <c r="P2489" s="143">
        <v>7</v>
      </c>
      <c r="Q2489" s="2"/>
      <c r="R2489" s="96">
        <f ca="1">(R2482/(N_9*R$27*R2484*R2488))*SQRT(M*'Valve Sizing'!$W$6*'Valve Sizing'!$G$8/R2487)</f>
        <v>4.1178362047739894</v>
      </c>
      <c r="S2489" s="107"/>
      <c r="T2489" s="22"/>
      <c r="U2489" s="96">
        <f ca="1">(U2482/(N_9*U$27*U2484*U2488))*SQRT(M*'Valve Sizing'!$W$6*'Valve Sizing'!$G$8/U2487)</f>
        <v>27.382516436403478</v>
      </c>
      <c r="V2489" s="111"/>
      <c r="W2489" s="28"/>
      <c r="X2489" s="96">
        <f ca="1">(X2482/(N_9*X$27*X2484*X2488))*SQRT(M*'Valve Sizing'!$W$6*'Valve Sizing'!$G$8/X2487)</f>
        <v>72.768832900032606</v>
      </c>
      <c r="Y2489" s="111"/>
      <c r="Z2489" s="28"/>
      <c r="AA2489" s="96">
        <f ca="1">(AA2482/(N_9*AA$27*AA2484*AA2488))*SQRT(M*'Valve Sizing'!$W$6*'Valve Sizing'!$G$8/AA2487)</f>
        <v>211.57353233201334</v>
      </c>
      <c r="AB2489" s="111"/>
      <c r="AC2489" s="28"/>
      <c r="AD2489" s="96" t="e">
        <f ca="1">(AD2482/(N_9*AD$27*AD2484*AD2488))*SQRT(M*'Valve Sizing'!$W$6*'Valve Sizing'!$G$8/AD2487)</f>
        <v>#NUM!</v>
      </c>
      <c r="AE2489" s="111"/>
      <c r="AF2489" s="28"/>
      <c r="AG2489" s="96">
        <f ca="1">(AG2482/(N_9*AG$27*AG2484*AG2488))*SQRT(M*'Valve Sizing'!$W$6*'Valve Sizing'!$G$8/AG2487)</f>
        <v>273.03778573325815</v>
      </c>
      <c r="AH2489" s="111"/>
      <c r="AI2489" s="28"/>
      <c r="AJ2489" s="96">
        <f ca="1">(AJ2482/(N_9*AJ$27*AJ2484*AJ2488))*SQRT(M*'Valve Sizing'!$W$6*'Valve Sizing'!$G$8/AJ2487)</f>
        <v>-6393.4949061345296</v>
      </c>
      <c r="AK2489" s="111"/>
      <c r="AL2489" s="28"/>
      <c r="AM2489" s="96">
        <f ca="1">(AM2482/(N_9*AM$27*AM2484*AM2488))*SQRT(M*'Valve Sizing'!$W$6*'Valve Sizing'!$G$8/AM2487)</f>
        <v>-1176.0724897999212</v>
      </c>
      <c r="AN2489" s="111"/>
      <c r="AO2489" s="28"/>
      <c r="AP2489" s="96">
        <f ca="1">(AP2482/(N_9*AP$27*AP2484*AP2488))*SQRT(M*'Valve Sizing'!$W$6*'Valve Sizing'!$G$8/AP2487)</f>
        <v>-308.15458780780125</v>
      </c>
      <c r="AQ2489" s="111"/>
      <c r="AR2489" s="28"/>
      <c r="AS2489" s="96">
        <f ca="1">(AS2482/(N_9*AS$27*AS2484*AS2488))*SQRT(M*'Valve Sizing'!$W$6*'Valve Sizing'!$G$8/AS2487)</f>
        <v>66304.869199302964</v>
      </c>
      <c r="AT2489" s="111"/>
      <c r="AU2489" s="28"/>
    </row>
    <row r="2490" spans="15:47" x14ac:dyDescent="0.25">
      <c r="O2490" s="2" t="s">
        <v>59</v>
      </c>
      <c r="P2490" s="143">
        <v>7</v>
      </c>
      <c r="Q2490" s="2"/>
      <c r="R2490" s="96">
        <f ca="1">(R2482/(N_9*R$27*R2484*0.667))*SQRT(M*'Valve Sizing'!$W$6*'Valve Sizing'!$G$8/R2491)</f>
        <v>3.6858152305261647</v>
      </c>
      <c r="S2490" s="107"/>
      <c r="T2490" s="22"/>
      <c r="U2490" s="96">
        <f ca="1">(U2482/(N_9*U$27*U2484*0.667))*SQRT(M*'Valve Sizing'!$W$6*'Valve Sizing'!$G$8/U2491)</f>
        <v>24.381044097264059</v>
      </c>
      <c r="V2490" s="111"/>
      <c r="W2490" s="28"/>
      <c r="X2490" s="96">
        <f ca="1">(X2482/(N_9*X$27*X2484*0.667))*SQRT(M*'Valve Sizing'!$W$6*'Valve Sizing'!$G$8/X2491)</f>
        <v>62.985138252843129</v>
      </c>
      <c r="Y2490" s="111"/>
      <c r="Z2490" s="28"/>
      <c r="AA2490" s="96">
        <f ca="1">(AA2482/(N_9*AA$27*AA2484*0.667))*SQRT(M*'Valve Sizing'!$W$6*'Valve Sizing'!$G$8/AA2491)</f>
        <v>147.88810261366771</v>
      </c>
      <c r="AB2490" s="111"/>
      <c r="AC2490" s="28"/>
      <c r="AD2490" s="96">
        <f ca="1">(AD2482/(N_9*AD$27*AD2484*0.667))*SQRT(M*'Valve Sizing'!$W$6*'Valve Sizing'!$G$8/AD2491)</f>
        <v>479.63413409991125</v>
      </c>
      <c r="AE2490" s="111"/>
      <c r="AF2490" s="28"/>
      <c r="AG2490" s="96">
        <f ca="1">(AG2482/(N_9*AG$27*AG2484*0.667))*SQRT(M*'Valve Sizing'!$W$6*'Valve Sizing'!$G$8/AG2491)</f>
        <v>-1355.5429715149744</v>
      </c>
      <c r="AH2490" s="111"/>
      <c r="AI2490" s="28"/>
      <c r="AJ2490" s="96">
        <f ca="1">(AJ2482/(N_9*AJ$27*AJ2484*0.667))*SQRT(M*'Valve Sizing'!$W$6*'Valve Sizing'!$G$8/AJ2491)</f>
        <v>-375.38935582975284</v>
      </c>
      <c r="AK2490" s="111"/>
      <c r="AL2490" s="28"/>
      <c r="AM2490" s="96">
        <f ca="1">(AM2482/(N_9*AM$27*AM2484*0.667))*SQRT(M*'Valve Sizing'!$W$6*'Valve Sizing'!$G$8/AM2491)</f>
        <v>-270.5191124991299</v>
      </c>
      <c r="AN2490" s="111"/>
      <c r="AO2490" s="28"/>
      <c r="AP2490" s="96">
        <f ca="1">(AP2482/(N_9*AP$27*AP2484*0.667))*SQRT(M*'Valve Sizing'!$W$6*'Valve Sizing'!$G$8/AP2491)</f>
        <v>-213.6363299831292</v>
      </c>
      <c r="AQ2490" s="111"/>
      <c r="AR2490" s="28"/>
      <c r="AS2490" s="96">
        <f ca="1">(AS2482/(N_9*AS$27*AS2484*0.667))*SQRT(M*'Valve Sizing'!$W$6*'Valve Sizing'!$G$8/AS2491)</f>
        <v>-282.82703372843196</v>
      </c>
      <c r="AT2490" s="111"/>
      <c r="AU2490" s="28"/>
    </row>
    <row r="2491" spans="15:47" ht="15.6" x14ac:dyDescent="0.35">
      <c r="O2491" s="2" t="s">
        <v>68</v>
      </c>
      <c r="P2491" s="143">
        <v>10</v>
      </c>
      <c r="Q2491" s="2"/>
      <c r="R2491" s="96">
        <f ca="1">F_GAMMA*R$29</f>
        <v>0.64002969751372984</v>
      </c>
      <c r="S2491" s="107"/>
      <c r="T2491" s="1"/>
      <c r="U2491" s="96">
        <f ca="1">F_GAMMA*U$29</f>
        <v>0.64017842058782071</v>
      </c>
      <c r="V2491" s="111"/>
      <c r="W2491" s="28"/>
      <c r="X2491" s="96">
        <f ca="1">F_GAMMA*X$29</f>
        <v>0.63413873724904268</v>
      </c>
      <c r="Y2491" s="111"/>
      <c r="Z2491" s="28"/>
      <c r="AA2491" s="96">
        <f ca="1">F_GAMMA*AA$29</f>
        <v>0.62532411750377137</v>
      </c>
      <c r="AB2491" s="111"/>
      <c r="AC2491" s="28"/>
      <c r="AD2491" s="96">
        <f ca="1">F_GAMMA*AD$29</f>
        <v>0.60651359509139569</v>
      </c>
      <c r="AE2491" s="111"/>
      <c r="AF2491" s="28"/>
      <c r="AG2491" s="96">
        <f ca="1">F_GAMMA*AG$29</f>
        <v>0.57217930198481592</v>
      </c>
      <c r="AH2491" s="111"/>
      <c r="AI2491" s="28"/>
      <c r="AJ2491" s="96">
        <f ca="1">F_GAMMA*AJ$29</f>
        <v>0.53183282018848232</v>
      </c>
      <c r="AK2491" s="111"/>
      <c r="AL2491" s="28"/>
      <c r="AM2491" s="96">
        <f ca="1">F_GAMMA*AM$29</f>
        <v>0.47566512503094399</v>
      </c>
      <c r="AN2491" s="111"/>
      <c r="AO2491" s="28"/>
      <c r="AP2491" s="96">
        <f ca="1">F_GAMMA*AP$29</f>
        <v>0.59054158265645496</v>
      </c>
      <c r="AQ2491" s="111"/>
      <c r="AR2491" s="28"/>
      <c r="AS2491" s="96">
        <f ca="1">F_GAMMA*AS$29</f>
        <v>0.3766899554102966</v>
      </c>
      <c r="AT2491" s="111"/>
      <c r="AU2491" s="28"/>
    </row>
    <row r="2492" spans="15:47" x14ac:dyDescent="0.25">
      <c r="O2492" s="2" t="s">
        <v>145</v>
      </c>
      <c r="P2492" s="12"/>
      <c r="Q2492" s="2"/>
      <c r="R2492" s="96">
        <f ca="1">IF(R2487&lt;R2491,R2489,R2490)</f>
        <v>4.1178362047739894</v>
      </c>
      <c r="S2492" s="116"/>
      <c r="T2492" s="1"/>
      <c r="U2492" s="96">
        <f ca="1">IF(U2487&lt;U2491,U2489,U2490)</f>
        <v>27.382516436403478</v>
      </c>
      <c r="V2492" s="111"/>
      <c r="W2492" s="28"/>
      <c r="X2492" s="96">
        <f ca="1">IF(X2487&lt;X2491,X2489,X2490)</f>
        <v>72.768832900032606</v>
      </c>
      <c r="Y2492" s="111"/>
      <c r="Z2492" s="28"/>
      <c r="AA2492" s="96">
        <f ca="1">IF(AA2487&lt;AA2491,AA2489,AA2490)</f>
        <v>211.57353233201334</v>
      </c>
      <c r="AB2492" s="111"/>
      <c r="AC2492" s="28"/>
      <c r="AD2492" s="96" t="e">
        <f ca="1">IF(AD2487&lt;AD2491,AD2489,AD2490)</f>
        <v>#NUM!</v>
      </c>
      <c r="AE2492" s="111"/>
      <c r="AF2492" s="28"/>
      <c r="AG2492" s="96">
        <f ca="1">IF(AG2487&lt;AG2491,AG2489,AG2490)</f>
        <v>-1355.5429715149744</v>
      </c>
      <c r="AH2492" s="111"/>
      <c r="AI2492" s="28"/>
      <c r="AJ2492" s="96">
        <f ca="1">IF(AJ2487&lt;AJ2491,AJ2489,AJ2490)</f>
        <v>-375.38935582975284</v>
      </c>
      <c r="AK2492" s="111"/>
      <c r="AL2492" s="28"/>
      <c r="AM2492" s="96">
        <f ca="1">IF(AM2487&lt;AM2491,AM2489,AM2490)</f>
        <v>-270.5191124991299</v>
      </c>
      <c r="AN2492" s="111"/>
      <c r="AO2492" s="28"/>
      <c r="AP2492" s="96">
        <f ca="1">IF(AP2487&lt;AP2491,AP2489,AP2490)</f>
        <v>-213.6363299831292</v>
      </c>
      <c r="AQ2492" s="111"/>
      <c r="AR2492" s="28"/>
      <c r="AS2492" s="96">
        <f ca="1">IF(AS2487&lt;AS2491,AS2489,AS2490)</f>
        <v>-282.82703372843196</v>
      </c>
      <c r="AT2492" s="111"/>
      <c r="AU2492" s="28"/>
    </row>
    <row r="2493" spans="15:47" x14ac:dyDescent="0.25">
      <c r="O2493" s="13" t="s">
        <v>143</v>
      </c>
      <c r="P2493" s="1"/>
      <c r="Q2493" s="1"/>
      <c r="R2493" s="113"/>
      <c r="S2493" s="106">
        <f ca="1">IF(R2486&lt;=0,Q_max,ABS(R$23-R2492))</f>
        <v>0.61216379522601105</v>
      </c>
      <c r="T2493" s="7">
        <f>R2482</f>
        <v>10193.34496411747</v>
      </c>
      <c r="U2493" s="98"/>
      <c r="V2493" s="106">
        <f ca="1">IF(U2486&lt;=0,Q_max,ABS(U$23-U2492))</f>
        <v>15.782516436403478</v>
      </c>
      <c r="W2493" s="9">
        <f ca="1">U2482</f>
        <v>66797.212005603447</v>
      </c>
      <c r="X2493" s="98"/>
      <c r="Y2493" s="106">
        <f ca="1">IF(X2486&lt;=0,Q_max,ABS(X$23-X2492))</f>
        <v>49.768832900032606</v>
      </c>
      <c r="Z2493" s="9">
        <f ca="1">X2482</f>
        <v>163561.8358923425</v>
      </c>
      <c r="AA2493" s="98"/>
      <c r="AB2493" s="106">
        <f ca="1">IF(AA2486&lt;=0,Q_max,ABS(AA$23-AA2492))</f>
        <v>172.17353233201334</v>
      </c>
      <c r="AC2493" s="9">
        <f ca="1">AA2482</f>
        <v>318576.70790987328</v>
      </c>
      <c r="AD2493" s="98"/>
      <c r="AE2493" s="106">
        <f ca="1">IF(AD2486&lt;=0,Q_max,ABS(AD$23-AD2492))</f>
        <v>236393</v>
      </c>
      <c r="AF2493" s="9">
        <f ca="1">AD2482</f>
        <v>534472.61349653068</v>
      </c>
      <c r="AG2493" s="98"/>
      <c r="AH2493" s="106">
        <f ca="1">IF(AG2486&lt;=0,Q_max,ABS(AG$23-AG2492))</f>
        <v>236393</v>
      </c>
      <c r="AI2493" s="9">
        <f ca="1">AG2482</f>
        <v>780077.3363700608</v>
      </c>
      <c r="AJ2493" s="98"/>
      <c r="AK2493" s="106">
        <f ca="1">IF(AJ2486&lt;=0,Q_max,ABS(AJ$23-AJ2492))</f>
        <v>236393</v>
      </c>
      <c r="AL2493" s="9">
        <f ca="1">AJ2482</f>
        <v>1041016.2294080879</v>
      </c>
      <c r="AM2493" s="98"/>
      <c r="AN2493" s="106">
        <f ca="1">IF(AM2486&lt;=0,Q_max,ABS(AM$23-AM2492))</f>
        <v>236393</v>
      </c>
      <c r="AO2493" s="9">
        <f ca="1">AM2482</f>
        <v>1270237.634547937</v>
      </c>
      <c r="AP2493" s="98"/>
      <c r="AQ2493" s="106">
        <f ca="1">IF(AP2486&lt;=0,Q_max,ABS(AP$23-AP2492))</f>
        <v>236393</v>
      </c>
      <c r="AR2493" s="9">
        <f ca="1">AP2482</f>
        <v>1474706.4596527766</v>
      </c>
      <c r="AS2493" s="98"/>
      <c r="AT2493" s="106">
        <f ca="1">IF(AS2486&lt;=0,Q_max,ABS(AS$23-AS2492))</f>
        <v>236393</v>
      </c>
      <c r="AU2493" s="9">
        <f ca="1">AS2482</f>
        <v>1729209.3021198777</v>
      </c>
    </row>
    <row r="2494" spans="15:47" x14ac:dyDescent="0.25">
      <c r="O2494" s="21"/>
      <c r="P2494" s="14"/>
      <c r="Q2494" s="21"/>
      <c r="R2494" s="97"/>
      <c r="S2494" s="106"/>
      <c r="T2494" s="28"/>
      <c r="U2494" s="97"/>
      <c r="V2494" s="111"/>
      <c r="W2494" s="28"/>
      <c r="X2494" s="97"/>
      <c r="Y2494" s="111"/>
      <c r="Z2494" s="28"/>
      <c r="AA2494" s="97"/>
      <c r="AB2494" s="111"/>
      <c r="AC2494" s="28"/>
      <c r="AD2494" s="97"/>
      <c r="AE2494" s="111"/>
      <c r="AF2494" s="28"/>
      <c r="AG2494" s="97"/>
      <c r="AH2494" s="111"/>
      <c r="AI2494" s="28"/>
      <c r="AJ2494" s="97"/>
      <c r="AK2494" s="111"/>
      <c r="AL2494" s="28"/>
      <c r="AM2494" s="97"/>
      <c r="AN2494" s="111"/>
      <c r="AO2494" s="28"/>
      <c r="AP2494" s="97"/>
      <c r="AQ2494" s="111"/>
      <c r="AR2494" s="28"/>
      <c r="AS2494" s="97"/>
      <c r="AT2494" s="111"/>
      <c r="AU2494" s="28"/>
    </row>
    <row r="2495" spans="15:47" x14ac:dyDescent="0.25">
      <c r="O2495" s="1"/>
      <c r="P2495" s="1"/>
      <c r="Q2495" s="1"/>
      <c r="R2495" s="98"/>
      <c r="S2495" s="108" t="s">
        <v>137</v>
      </c>
      <c r="T2495" s="26" t="s">
        <v>146</v>
      </c>
      <c r="U2495" s="98"/>
      <c r="V2495" s="108" t="s">
        <v>137</v>
      </c>
      <c r="W2495" s="26" t="s">
        <v>146</v>
      </c>
      <c r="X2495" s="98"/>
      <c r="Y2495" s="108" t="s">
        <v>137</v>
      </c>
      <c r="Z2495" s="26" t="s">
        <v>146</v>
      </c>
      <c r="AA2495" s="98"/>
      <c r="AB2495" s="108" t="s">
        <v>137</v>
      </c>
      <c r="AC2495" s="26" t="s">
        <v>146</v>
      </c>
      <c r="AD2495" s="98"/>
      <c r="AE2495" s="108" t="s">
        <v>137</v>
      </c>
      <c r="AF2495" s="26" t="s">
        <v>146</v>
      </c>
      <c r="AG2495" s="98"/>
      <c r="AH2495" s="108" t="s">
        <v>137</v>
      </c>
      <c r="AI2495" s="26" t="s">
        <v>146</v>
      </c>
      <c r="AJ2495" s="98"/>
      <c r="AK2495" s="108" t="s">
        <v>137</v>
      </c>
      <c r="AL2495" s="26" t="s">
        <v>146</v>
      </c>
      <c r="AM2495" s="98"/>
      <c r="AN2495" s="108" t="s">
        <v>137</v>
      </c>
      <c r="AO2495" s="26" t="s">
        <v>146</v>
      </c>
      <c r="AP2495" s="98"/>
      <c r="AQ2495" s="108" t="s">
        <v>137</v>
      </c>
      <c r="AR2495" s="26" t="s">
        <v>146</v>
      </c>
      <c r="AS2495" s="98"/>
      <c r="AT2495" s="108" t="s">
        <v>137</v>
      </c>
      <c r="AU2495" s="26" t="s">
        <v>146</v>
      </c>
    </row>
    <row r="2496" spans="15:47" ht="13.8" x14ac:dyDescent="0.25">
      <c r="O2496" s="20" t="s">
        <v>136</v>
      </c>
      <c r="P2496" s="1"/>
      <c r="Q2496" s="1"/>
      <c r="R2496" s="96">
        <f>R2482*1.02</f>
        <v>10397.21186339982</v>
      </c>
      <c r="S2496" s="109" t="s">
        <v>144</v>
      </c>
      <c r="T2496" s="23" t="s">
        <v>147</v>
      </c>
      <c r="U2496" s="96">
        <f ca="1">U2482*1.01</f>
        <v>67465.184125659478</v>
      </c>
      <c r="V2496" s="109" t="s">
        <v>144</v>
      </c>
      <c r="W2496" s="23" t="s">
        <v>147</v>
      </c>
      <c r="X2496" s="96">
        <f ca="1">X2482*1.01</f>
        <v>165197.45425126591</v>
      </c>
      <c r="Y2496" s="109" t="s">
        <v>144</v>
      </c>
      <c r="Z2496" s="23" t="s">
        <v>147</v>
      </c>
      <c r="AA2496" s="96">
        <f ca="1">AA2482*1.01</f>
        <v>321762.47498897201</v>
      </c>
      <c r="AB2496" s="109" t="s">
        <v>144</v>
      </c>
      <c r="AC2496" s="23" t="s">
        <v>147</v>
      </c>
      <c r="AD2496" s="96">
        <f ca="1">AD2482*1.01</f>
        <v>539817.339631496</v>
      </c>
      <c r="AE2496" s="109" t="s">
        <v>144</v>
      </c>
      <c r="AF2496" s="23" t="s">
        <v>147</v>
      </c>
      <c r="AG2496" s="96">
        <f ca="1">AG2482*1.01</f>
        <v>787878.1097337614</v>
      </c>
      <c r="AH2496" s="109" t="s">
        <v>144</v>
      </c>
      <c r="AI2496" s="23" t="s">
        <v>147</v>
      </c>
      <c r="AJ2496" s="96">
        <f ca="1">AJ2482*1.01</f>
        <v>1051426.3917021689</v>
      </c>
      <c r="AK2496" s="109" t="s">
        <v>144</v>
      </c>
      <c r="AL2496" s="23" t="s">
        <v>147</v>
      </c>
      <c r="AM2496" s="96">
        <f ca="1">AM2482*1.01</f>
        <v>1282940.0108934164</v>
      </c>
      <c r="AN2496" s="109" t="s">
        <v>144</v>
      </c>
      <c r="AO2496" s="23" t="s">
        <v>147</v>
      </c>
      <c r="AP2496" s="96">
        <f ca="1">AP2482*1.01</f>
        <v>1489453.5242493043</v>
      </c>
      <c r="AQ2496" s="109" t="s">
        <v>144</v>
      </c>
      <c r="AR2496" s="23" t="s">
        <v>147</v>
      </c>
      <c r="AS2496" s="96">
        <f ca="1">AS2482*1.01</f>
        <v>1746501.3951410765</v>
      </c>
      <c r="AT2496" s="109" t="s">
        <v>144</v>
      </c>
      <c r="AU2496" s="23" t="s">
        <v>147</v>
      </c>
    </row>
    <row r="2497" spans="15:47" x14ac:dyDescent="0.25">
      <c r="O2497" s="1"/>
      <c r="P2497" s="1"/>
      <c r="Q2497" s="1"/>
      <c r="R2497" s="98"/>
      <c r="S2497" s="107"/>
      <c r="T2497" s="1"/>
      <c r="U2497" s="47"/>
      <c r="V2497" s="107"/>
      <c r="W2497" s="1"/>
      <c r="X2497" s="47"/>
      <c r="Y2497" s="107"/>
      <c r="Z2497" s="1"/>
      <c r="AA2497" s="47"/>
      <c r="AB2497" s="107"/>
      <c r="AC2497" s="1"/>
      <c r="AD2497" s="47"/>
      <c r="AE2497" s="107"/>
      <c r="AF2497" s="1"/>
      <c r="AG2497" s="47"/>
      <c r="AH2497" s="107"/>
      <c r="AI2497" s="1"/>
      <c r="AJ2497" s="47"/>
      <c r="AK2497" s="107"/>
      <c r="AL2497" s="1"/>
      <c r="AM2497" s="47"/>
      <c r="AN2497" s="107"/>
      <c r="AO2497" s="1"/>
      <c r="AP2497" s="47"/>
      <c r="AQ2497" s="107"/>
      <c r="AR2497" s="1"/>
      <c r="AS2497" s="47"/>
      <c r="AT2497" s="107"/>
      <c r="AU2497" s="1"/>
    </row>
    <row r="2498" spans="15:47" x14ac:dyDescent="0.25">
      <c r="O2498" s="8" t="s">
        <v>132</v>
      </c>
      <c r="P2498" s="8"/>
      <c r="Q2498" s="8"/>
      <c r="R2498" s="96">
        <f>P_1_minQ-(R2496^2*R_up)+dpup_minQ</f>
        <v>90.165337758584201</v>
      </c>
      <c r="S2498" s="106"/>
      <c r="T2498" s="22"/>
      <c r="U2498" s="96">
        <f ca="1">P_1_minQ-(U2496^2*R_up)+dpup_minQ</f>
        <v>89.355470685021416</v>
      </c>
      <c r="V2498" s="107"/>
      <c r="W2498" s="1"/>
      <c r="X2498" s="96">
        <f ca="1">P_1_minQ-(X2496^2*R_up)+dpup_minQ</f>
        <v>85.211104013504851</v>
      </c>
      <c r="Y2498" s="107"/>
      <c r="Z2498" s="1"/>
      <c r="AA2498" s="96">
        <f ca="1">P_1_minQ-(AA2496^2*R_up)+dpup_minQ</f>
        <v>71.31536967252508</v>
      </c>
      <c r="AB2498" s="107"/>
      <c r="AC2498" s="1"/>
      <c r="AD2498" s="96">
        <f ca="1">P_1_minQ-(AD2496^2*R_up)+dpup_minQ</f>
        <v>37.073707935737126</v>
      </c>
      <c r="AE2498" s="107"/>
      <c r="AF2498" s="1"/>
      <c r="AG2498" s="96">
        <f ca="1">P_1_minQ-(AG2496^2*R_up)+dpup_minQ</f>
        <v>-22.953769272845605</v>
      </c>
      <c r="AH2498" s="107"/>
      <c r="AI2498" s="1"/>
      <c r="AJ2498" s="96">
        <f ca="1">P_1_minQ-(AJ2496^2*R_up)+dpup_minQ</f>
        <v>-111.30393334364354</v>
      </c>
      <c r="AK2498" s="107"/>
      <c r="AL2498" s="1"/>
      <c r="AM2498" s="96">
        <f ca="1">P_1_minQ-(AM2496^2*R_up)+dpup_minQ</f>
        <v>-209.80458538849751</v>
      </c>
      <c r="AN2498" s="107"/>
      <c r="AO2498" s="1"/>
      <c r="AP2498" s="96">
        <f ca="1">P_1_minQ-(AP2496^2*R_up)+dpup_minQ</f>
        <v>-314.15565137545997</v>
      </c>
      <c r="AQ2498" s="107"/>
      <c r="AR2498" s="1"/>
      <c r="AS2498" s="96">
        <f ca="1">P_1_minQ-(AS2496^2*R_up)+dpup_minQ</f>
        <v>-465.75942475632229</v>
      </c>
      <c r="AT2498" s="107"/>
      <c r="AU2498" s="1"/>
    </row>
    <row r="2499" spans="15:47" x14ac:dyDescent="0.25">
      <c r="O2499" s="8" t="s">
        <v>134</v>
      </c>
      <c r="P2499" s="1"/>
      <c r="Q2499" s="8"/>
      <c r="R2499" s="97">
        <f>P_2_minQ+(R2496^2*R_dn)-dpdn_minQ</f>
        <v>60</v>
      </c>
      <c r="S2499" s="106"/>
      <c r="T2499" s="22"/>
      <c r="U2499" s="97">
        <f ca="1">P_2_minQ+(U2496^2*R_dn)-dpdn_minQ</f>
        <v>60</v>
      </c>
      <c r="V2499" s="107"/>
      <c r="W2499" s="1"/>
      <c r="X2499" s="97">
        <f ca="1">P_2_minQ+(X2496^2*R_dn)-dpdn_minQ</f>
        <v>60</v>
      </c>
      <c r="Y2499" s="107"/>
      <c r="Z2499" s="1"/>
      <c r="AA2499" s="97">
        <f ca="1">P_2_minQ+(AA2496^2*R_dn)-dpdn_minQ</f>
        <v>60</v>
      </c>
      <c r="AB2499" s="107"/>
      <c r="AC2499" s="1"/>
      <c r="AD2499" s="97">
        <f ca="1">P_2_minQ+(AD2496^2*R_dn)-dpdn_minQ</f>
        <v>60</v>
      </c>
      <c r="AE2499" s="107"/>
      <c r="AF2499" s="1"/>
      <c r="AG2499" s="97">
        <f ca="1">P_2_minQ+(AG2496^2*R_dn)-dpdn_minQ</f>
        <v>60</v>
      </c>
      <c r="AH2499" s="107"/>
      <c r="AI2499" s="1"/>
      <c r="AJ2499" s="97">
        <f ca="1">P_2_minQ+(AJ2496^2*R_dn)-dpdn_minQ</f>
        <v>60</v>
      </c>
      <c r="AK2499" s="107"/>
      <c r="AL2499" s="1"/>
      <c r="AM2499" s="97">
        <f ca="1">P_2_minQ+(AM2496^2*R_dn)-dpdn_minQ</f>
        <v>60</v>
      </c>
      <c r="AN2499" s="107"/>
      <c r="AO2499" s="1"/>
      <c r="AP2499" s="97">
        <f ca="1">P_2_minQ+(AP2496^2*R_dn)-dpdn_minQ</f>
        <v>60</v>
      </c>
      <c r="AQ2499" s="107"/>
      <c r="AR2499" s="1"/>
      <c r="AS2499" s="97">
        <f ca="1">P_2_minQ+(AS2496^2*R_dn)-dpdn_minQ</f>
        <v>60</v>
      </c>
      <c r="AT2499" s="107"/>
      <c r="AU2499" s="1"/>
    </row>
    <row r="2500" spans="15:47" x14ac:dyDescent="0.25">
      <c r="O2500" s="8" t="s">
        <v>138</v>
      </c>
      <c r="P2500" s="1"/>
      <c r="Q2500" s="8"/>
      <c r="R2500" s="97">
        <f>R2498-R2499</f>
        <v>30.165337758584201</v>
      </c>
      <c r="S2500" s="106"/>
      <c r="T2500" s="22"/>
      <c r="U2500" s="97">
        <f ca="1">U2498-U2499</f>
        <v>29.355470685021416</v>
      </c>
      <c r="V2500" s="110"/>
      <c r="W2500" s="25"/>
      <c r="X2500" s="97">
        <f ca="1">X2498-X2499</f>
        <v>25.211104013504851</v>
      </c>
      <c r="Y2500" s="110"/>
      <c r="Z2500" s="25"/>
      <c r="AA2500" s="97">
        <f ca="1">AA2498-AA2499</f>
        <v>11.31536967252508</v>
      </c>
      <c r="AB2500" s="110"/>
      <c r="AC2500" s="25"/>
      <c r="AD2500" s="97">
        <f ca="1">AD2498-AD2499</f>
        <v>-22.926292064262874</v>
      </c>
      <c r="AE2500" s="110"/>
      <c r="AF2500" s="25"/>
      <c r="AG2500" s="97">
        <f ca="1">AG2498-AG2499</f>
        <v>-82.953769272845605</v>
      </c>
      <c r="AH2500" s="110"/>
      <c r="AI2500" s="25"/>
      <c r="AJ2500" s="97">
        <f ca="1">AJ2498-AJ2499</f>
        <v>-171.30393334364354</v>
      </c>
      <c r="AK2500" s="110"/>
      <c r="AL2500" s="25"/>
      <c r="AM2500" s="97">
        <f ca="1">AM2498-AM2499</f>
        <v>-269.80458538849751</v>
      </c>
      <c r="AN2500" s="110"/>
      <c r="AO2500" s="25"/>
      <c r="AP2500" s="97">
        <f ca="1">AP2498-AP2499</f>
        <v>-374.15565137545997</v>
      </c>
      <c r="AQ2500" s="110"/>
      <c r="AR2500" s="25"/>
      <c r="AS2500" s="97">
        <f ca="1">AS2498-AS2499</f>
        <v>-525.75942475632223</v>
      </c>
      <c r="AT2500" s="110"/>
      <c r="AU2500" s="25"/>
    </row>
    <row r="2501" spans="15:47" ht="14.4" x14ac:dyDescent="0.3">
      <c r="O2501" s="2" t="s">
        <v>140</v>
      </c>
      <c r="P2501" s="11"/>
      <c r="Q2501" s="2"/>
      <c r="R2501" s="96">
        <f>R2500/R2498</f>
        <v>0.33455581167289872</v>
      </c>
      <c r="S2501" s="106"/>
      <c r="T2501" s="22"/>
      <c r="U2501" s="96">
        <f ca="1">U2500/U2498</f>
        <v>0.3285246047049501</v>
      </c>
      <c r="V2501" s="111"/>
      <c r="W2501" s="28"/>
      <c r="X2501" s="96">
        <f ca="1">X2500/X2498</f>
        <v>0.29586641677015729</v>
      </c>
      <c r="Y2501" s="111"/>
      <c r="Z2501" s="28"/>
      <c r="AA2501" s="96">
        <f ca="1">AA2500/AA2498</f>
        <v>0.1586666341979916</v>
      </c>
      <c r="AB2501" s="111"/>
      <c r="AC2501" s="28"/>
      <c r="AD2501" s="96">
        <f ca="1">AD2500/AD2498</f>
        <v>-0.61839760144852196</v>
      </c>
      <c r="AE2501" s="111"/>
      <c r="AF2501" s="28"/>
      <c r="AG2501" s="96">
        <f ca="1">AG2500/AG2498</f>
        <v>3.6139497738604622</v>
      </c>
      <c r="AH2501" s="111"/>
      <c r="AI2501" s="28"/>
      <c r="AJ2501" s="96">
        <f ca="1">AJ2500/AJ2498</f>
        <v>1.5390645074038307</v>
      </c>
      <c r="AK2501" s="111"/>
      <c r="AL2501" s="28"/>
      <c r="AM2501" s="96">
        <f ca="1">AM2500/AM2498</f>
        <v>1.2859804035688607</v>
      </c>
      <c r="AN2501" s="111"/>
      <c r="AO2501" s="28"/>
      <c r="AP2501" s="96">
        <f ca="1">AP2500/AP2498</f>
        <v>1.1909881287740758</v>
      </c>
      <c r="AQ2501" s="111"/>
      <c r="AR2501" s="28"/>
      <c r="AS2501" s="96">
        <f ca="1">AS2500/AS2498</f>
        <v>1.1288218698556469</v>
      </c>
      <c r="AT2501" s="111"/>
      <c r="AU2501" s="28"/>
    </row>
    <row r="2502" spans="15:47" x14ac:dyDescent="0.25">
      <c r="O2502" s="2" t="s">
        <v>21</v>
      </c>
      <c r="P2502" s="8">
        <v>12</v>
      </c>
      <c r="Q2502" s="2"/>
      <c r="R2502" s="96">
        <f ca="1">1-R2501/(3*F_GAMMA*R$29)</f>
        <v>0.82576026655610935</v>
      </c>
      <c r="S2502" s="106"/>
      <c r="T2502" s="22"/>
      <c r="U2502" s="96">
        <f ca="1">1-U2501/(3*F_GAMMA*U$29)</f>
        <v>0.82894112321411151</v>
      </c>
      <c r="V2502" s="111"/>
      <c r="W2502" s="28"/>
      <c r="X2502" s="96">
        <f ca="1">1-X2501/(3*F_GAMMA*X$29)</f>
        <v>0.84447860833858146</v>
      </c>
      <c r="Y2502" s="111"/>
      <c r="Z2502" s="28"/>
      <c r="AA2502" s="96">
        <f ca="1">1-AA2501/(3*F_GAMMA*AA$29)</f>
        <v>0.915421656408961</v>
      </c>
      <c r="AB2502" s="111"/>
      <c r="AC2502" s="28"/>
      <c r="AD2502" s="96">
        <f ca="1">1-AD2501/(3*F_GAMMA*AD$29)</f>
        <v>1.3398646551115014</v>
      </c>
      <c r="AE2502" s="111"/>
      <c r="AF2502" s="28"/>
      <c r="AG2502" s="96">
        <f ca="1">1-AG2501/(3*F_GAMMA*AG$29)</f>
        <v>-1.105371376492263</v>
      </c>
      <c r="AH2502" s="111"/>
      <c r="AI2502" s="28"/>
      <c r="AJ2502" s="96">
        <f ca="1">1-AJ2501/(3*F_GAMMA*AJ$29)</f>
        <v>3.537073494988896E-2</v>
      </c>
      <c r="AK2502" s="111"/>
      <c r="AL2502" s="28"/>
      <c r="AM2502" s="96">
        <f ca="1">1-AM2501/(3*F_GAMMA*AM$29)</f>
        <v>9.8819501440078339E-2</v>
      </c>
      <c r="AN2502" s="111"/>
      <c r="AO2502" s="28"/>
      <c r="AP2502" s="96">
        <f ca="1">1-AP2501/(3*F_GAMMA*AP$29)</f>
        <v>0.32774244086441795</v>
      </c>
      <c r="AQ2502" s="111"/>
      <c r="AR2502" s="28"/>
      <c r="AS2502" s="96">
        <f ca="1">1-AS2501/(3*F_GAMMA*AS$29)</f>
        <v>1.1043532904787545E-3</v>
      </c>
      <c r="AT2502" s="111"/>
      <c r="AU2502" s="28"/>
    </row>
    <row r="2503" spans="15:47" x14ac:dyDescent="0.25">
      <c r="O2503" s="2" t="s">
        <v>57</v>
      </c>
      <c r="P2503" s="143">
        <v>7</v>
      </c>
      <c r="Q2503" s="2"/>
      <c r="R2503" s="96">
        <f ca="1">(R2496/(N_9*R$27*R2498*R2502))*SQRT(M*'Valve Sizing'!$W$6*'Valve Sizing'!$G$8/R2501)</f>
        <v>4.2002490552695582</v>
      </c>
      <c r="S2503" s="107"/>
      <c r="T2503" s="22"/>
      <c r="U2503" s="96">
        <f ca="1">(U2496/(N_9*U$27*U2498*U2502))*SQRT(M*'Valve Sizing'!$W$6*'Valve Sizing'!$G$8/U2501)</f>
        <v>27.664436301238847</v>
      </c>
      <c r="V2503" s="111"/>
      <c r="W2503" s="28"/>
      <c r="X2503" s="96">
        <f ca="1">(X2496/(N_9*X$27*X2498*X2502))*SQRT(M*'Valve Sizing'!$W$6*'Valve Sizing'!$G$8/X2501)</f>
        <v>73.64447451243916</v>
      </c>
      <c r="Y2503" s="111"/>
      <c r="Z2503" s="28"/>
      <c r="AA2503" s="96">
        <f ca="1">(AA2496/(N_9*AA$27*AA2498*AA2502))*SQRT(M*'Valve Sizing'!$W$6*'Valve Sizing'!$G$8/AA2501)</f>
        <v>217.18377932313138</v>
      </c>
      <c r="AB2503" s="111"/>
      <c r="AC2503" s="28"/>
      <c r="AD2503" s="96" t="e">
        <f ca="1">(AD2496/(N_9*AD$27*AD2498*AD2502))*SQRT(M*'Valve Sizing'!$W$6*'Valve Sizing'!$G$8/AD2501)</f>
        <v>#NUM!</v>
      </c>
      <c r="AE2503" s="111"/>
      <c r="AF2503" s="28"/>
      <c r="AG2503" s="96">
        <f ca="1">(AG2496/(N_9*AG$27*AG2498*AG2502))*SQRT(M*'Valve Sizing'!$W$6*'Valve Sizing'!$G$8/AG2501)</f>
        <v>296.7953493418737</v>
      </c>
      <c r="AH2503" s="111"/>
      <c r="AI2503" s="28"/>
      <c r="AJ2503" s="96">
        <f ca="1">(AJ2496/(N_9*AJ$27*AJ2498*AJ2502))*SQRT(M*'Valve Sizing'!$W$6*'Valve Sizing'!$G$8/AJ2501)</f>
        <v>-4052.9406616722481</v>
      </c>
      <c r="AK2503" s="111"/>
      <c r="AL2503" s="28"/>
      <c r="AM2503" s="96">
        <f ca="1">(AM2496/(N_9*AM$27*AM2498*AM2502))*SQRT(M*'Valve Sizing'!$W$6*'Valve Sizing'!$G$8/AM2501)</f>
        <v>-1089.995265102991</v>
      </c>
      <c r="AN2503" s="111"/>
      <c r="AO2503" s="28"/>
      <c r="AP2503" s="96">
        <f ca="1">(AP2496/(N_9*AP$27*AP2498*AP2502))*SQRT(M*'Valve Sizing'!$W$6*'Valve Sizing'!$G$8/AP2501)</f>
        <v>-301.37360746459706</v>
      </c>
      <c r="AQ2503" s="111"/>
      <c r="AR2503" s="28"/>
      <c r="AS2503" s="96">
        <f ca="1">(AS2496/(N_9*AS$27*AS2498*AS2502))*SQRT(M*'Valve Sizing'!$W$6*'Valve Sizing'!$G$8/AS2501)</f>
        <v>-97320.225172838516</v>
      </c>
      <c r="AT2503" s="111"/>
      <c r="AU2503" s="28"/>
    </row>
    <row r="2504" spans="15:47" x14ac:dyDescent="0.25">
      <c r="O2504" s="2" t="s">
        <v>59</v>
      </c>
      <c r="P2504" s="143">
        <v>7</v>
      </c>
      <c r="Q2504" s="2"/>
      <c r="R2504" s="96">
        <f ca="1">(R2496/(N_9*R$27*R2498*0.667))*SQRT(M*'Valve Sizing'!$W$6*'Valve Sizing'!$G$8/R2505)</f>
        <v>3.7595634360020553</v>
      </c>
      <c r="S2504" s="107"/>
      <c r="T2504" s="22"/>
      <c r="U2504" s="96">
        <f ca="1">(U2496/(N_9*U$27*U2498*0.667))*SQRT(M*'Valve Sizing'!$W$6*'Valve Sizing'!$G$8/U2505)</f>
        <v>24.629359164804146</v>
      </c>
      <c r="V2504" s="111"/>
      <c r="W2504" s="28"/>
      <c r="X2504" s="96">
        <f ca="1">(X2496/(N_9*X$27*X2498*0.667))*SQRT(M*'Valve Sizing'!$W$6*'Valve Sizing'!$G$8/X2505)</f>
        <v>63.688156899543138</v>
      </c>
      <c r="Y2504" s="111"/>
      <c r="Z2504" s="28"/>
      <c r="AA2504" s="96">
        <f ca="1">(AA2496/(N_9*AA$27*AA2498*0.667))*SQRT(M*'Valve Sizing'!$W$6*'Valve Sizing'!$G$8/AA2505)</f>
        <v>150.14571758797027</v>
      </c>
      <c r="AB2504" s="111"/>
      <c r="AC2504" s="28"/>
      <c r="AD2504" s="96">
        <f ca="1">(AD2496/(N_9*AD$27*AD2498*0.667))*SQRT(M*'Valve Sizing'!$W$6*'Valve Sizing'!$G$8/AD2505)</f>
        <v>498.10480179273276</v>
      </c>
      <c r="AE2504" s="111"/>
      <c r="AF2504" s="28"/>
      <c r="AG2504" s="96">
        <f ca="1">(AG2496/(N_9*AG$27*AG2498*0.667))*SQRT(M*'Valve Sizing'!$W$6*'Valve Sizing'!$G$8/AG2505)</f>
        <v>-1236.1308817513795</v>
      </c>
      <c r="AH2504" s="111"/>
      <c r="AI2504" s="28"/>
      <c r="AJ2504" s="96">
        <f ca="1">(AJ2496/(N_9*AJ$27*AJ2498*0.667))*SQRT(M*'Valve Sizing'!$W$6*'Valve Sizing'!$G$8/AJ2505)</f>
        <v>-365.61949076341244</v>
      </c>
      <c r="AK2504" s="111"/>
      <c r="AL2504" s="28"/>
      <c r="AM2504" s="96">
        <f ca="1">(AM2496/(N_9*AM$27*AM2498*0.667))*SQRT(M*'Valve Sizing'!$W$6*'Valve Sizing'!$G$8/AM2505)</f>
        <v>-265.52655192362351</v>
      </c>
      <c r="AN2504" s="111"/>
      <c r="AO2504" s="28"/>
      <c r="AP2504" s="96">
        <f ca="1">(AP2496/(N_9*AP$27*AP2498*0.667))*SQRT(M*'Valve Sizing'!$W$6*'Valve Sizing'!$G$8/AP2505)</f>
        <v>-210.30061419556466</v>
      </c>
      <c r="AQ2504" s="111"/>
      <c r="AR2504" s="28"/>
      <c r="AS2504" s="96">
        <f ca="1">(AS2496/(N_9*AS$27*AS2498*0.667))*SQRT(M*'Valve Sizing'!$W$6*'Valve Sizing'!$G$8/AS2505)</f>
        <v>-278.9369117341833</v>
      </c>
      <c r="AT2504" s="111"/>
      <c r="AU2504" s="28"/>
    </row>
    <row r="2505" spans="15:47" ht="15.6" x14ac:dyDescent="0.35">
      <c r="O2505" s="2" t="s">
        <v>68</v>
      </c>
      <c r="P2505" s="143">
        <v>10</v>
      </c>
      <c r="Q2505" s="2"/>
      <c r="R2505" s="96">
        <f ca="1">F_GAMMA*R$29</f>
        <v>0.64002969751372984</v>
      </c>
      <c r="S2505" s="107"/>
      <c r="T2505" s="1"/>
      <c r="U2505" s="96">
        <f ca="1">F_GAMMA*U$29</f>
        <v>0.64017842058782071</v>
      </c>
      <c r="V2505" s="111"/>
      <c r="W2505" s="28"/>
      <c r="X2505" s="96">
        <f ca="1">F_GAMMA*X$29</f>
        <v>0.63413873724904268</v>
      </c>
      <c r="Y2505" s="111"/>
      <c r="Z2505" s="28"/>
      <c r="AA2505" s="96">
        <f ca="1">F_GAMMA*AA$29</f>
        <v>0.62532411750377137</v>
      </c>
      <c r="AB2505" s="111"/>
      <c r="AC2505" s="28"/>
      <c r="AD2505" s="96">
        <f ca="1">F_GAMMA*AD$29</f>
        <v>0.60651359509139569</v>
      </c>
      <c r="AE2505" s="111"/>
      <c r="AF2505" s="28"/>
      <c r="AG2505" s="96">
        <f ca="1">F_GAMMA*AG$29</f>
        <v>0.57217930198481592</v>
      </c>
      <c r="AH2505" s="111"/>
      <c r="AI2505" s="28"/>
      <c r="AJ2505" s="96">
        <f ca="1">F_GAMMA*AJ$29</f>
        <v>0.53183282018848232</v>
      </c>
      <c r="AK2505" s="111"/>
      <c r="AL2505" s="28"/>
      <c r="AM2505" s="96">
        <f ca="1">F_GAMMA*AM$29</f>
        <v>0.47566512503094399</v>
      </c>
      <c r="AN2505" s="111"/>
      <c r="AO2505" s="28"/>
      <c r="AP2505" s="96">
        <f ca="1">F_GAMMA*AP$29</f>
        <v>0.59054158265645496</v>
      </c>
      <c r="AQ2505" s="111"/>
      <c r="AR2505" s="28"/>
      <c r="AS2505" s="96">
        <f ca="1">F_GAMMA*AS$29</f>
        <v>0.3766899554102966</v>
      </c>
      <c r="AT2505" s="111"/>
      <c r="AU2505" s="28"/>
    </row>
    <row r="2506" spans="15:47" x14ac:dyDescent="0.25">
      <c r="O2506" s="2" t="s">
        <v>145</v>
      </c>
      <c r="P2506" s="12"/>
      <c r="Q2506" s="2"/>
      <c r="R2506" s="96">
        <f ca="1">IF(R2501&lt;R2505,R2503,R2504)</f>
        <v>4.2002490552695582</v>
      </c>
      <c r="S2506" s="116"/>
      <c r="T2506" s="1"/>
      <c r="U2506" s="96">
        <f ca="1">IF(U2501&lt;U2505,U2503,U2504)</f>
        <v>27.664436301238847</v>
      </c>
      <c r="V2506" s="111"/>
      <c r="W2506" s="28"/>
      <c r="X2506" s="96">
        <f ca="1">IF(X2501&lt;X2505,X2503,X2504)</f>
        <v>73.64447451243916</v>
      </c>
      <c r="Y2506" s="111"/>
      <c r="Z2506" s="28"/>
      <c r="AA2506" s="96">
        <f ca="1">IF(AA2501&lt;AA2505,AA2503,AA2504)</f>
        <v>217.18377932313138</v>
      </c>
      <c r="AB2506" s="111"/>
      <c r="AC2506" s="28"/>
      <c r="AD2506" s="96" t="e">
        <f ca="1">IF(AD2501&lt;AD2505,AD2503,AD2504)</f>
        <v>#NUM!</v>
      </c>
      <c r="AE2506" s="111"/>
      <c r="AF2506" s="28"/>
      <c r="AG2506" s="96">
        <f ca="1">IF(AG2501&lt;AG2505,AG2503,AG2504)</f>
        <v>-1236.1308817513795</v>
      </c>
      <c r="AH2506" s="111"/>
      <c r="AI2506" s="28"/>
      <c r="AJ2506" s="96">
        <f ca="1">IF(AJ2501&lt;AJ2505,AJ2503,AJ2504)</f>
        <v>-365.61949076341244</v>
      </c>
      <c r="AK2506" s="111"/>
      <c r="AL2506" s="28"/>
      <c r="AM2506" s="96">
        <f ca="1">IF(AM2501&lt;AM2505,AM2503,AM2504)</f>
        <v>-265.52655192362351</v>
      </c>
      <c r="AN2506" s="111"/>
      <c r="AO2506" s="28"/>
      <c r="AP2506" s="96">
        <f ca="1">IF(AP2501&lt;AP2505,AP2503,AP2504)</f>
        <v>-210.30061419556466</v>
      </c>
      <c r="AQ2506" s="111"/>
      <c r="AR2506" s="28"/>
      <c r="AS2506" s="96">
        <f ca="1">IF(AS2501&lt;AS2505,AS2503,AS2504)</f>
        <v>-278.9369117341833</v>
      </c>
      <c r="AT2506" s="111"/>
      <c r="AU2506" s="28"/>
    </row>
    <row r="2507" spans="15:47" x14ac:dyDescent="0.25">
      <c r="O2507" s="13" t="s">
        <v>143</v>
      </c>
      <c r="P2507" s="1"/>
      <c r="Q2507" s="1"/>
      <c r="R2507" s="113"/>
      <c r="S2507" s="106">
        <f ca="1">IF(R2500&lt;=0,Q_max,ABS(R$23-R2506))</f>
        <v>0.52975094473044226</v>
      </c>
      <c r="T2507" s="7">
        <f>R2496</f>
        <v>10397.21186339982</v>
      </c>
      <c r="U2507" s="98"/>
      <c r="V2507" s="106">
        <f ca="1">IF(U2500&lt;=0,Q_max,ABS(U$23-U2506))</f>
        <v>16.06443630123885</v>
      </c>
      <c r="W2507" s="9">
        <f ca="1">U2496</f>
        <v>67465.184125659478</v>
      </c>
      <c r="X2507" s="98"/>
      <c r="Y2507" s="106">
        <f ca="1">IF(X2500&lt;=0,Q_max,ABS(X$23-X2506))</f>
        <v>50.64447451243916</v>
      </c>
      <c r="Z2507" s="9">
        <f ca="1">X2496</f>
        <v>165197.45425126591</v>
      </c>
      <c r="AA2507" s="98"/>
      <c r="AB2507" s="106">
        <f ca="1">IF(AA2500&lt;=0,Q_max,ABS(AA$23-AA2506))</f>
        <v>177.78377932313137</v>
      </c>
      <c r="AC2507" s="9">
        <f ca="1">AA2496</f>
        <v>321762.47498897201</v>
      </c>
      <c r="AD2507" s="98"/>
      <c r="AE2507" s="106">
        <f ca="1">IF(AD2500&lt;=0,Q_max,ABS(AD$23-AD2506))</f>
        <v>236393</v>
      </c>
      <c r="AF2507" s="9">
        <f ca="1">AD2496</f>
        <v>539817.339631496</v>
      </c>
      <c r="AG2507" s="98"/>
      <c r="AH2507" s="106">
        <f ca="1">IF(AG2500&lt;=0,Q_max,ABS(AG$23-AG2506))</f>
        <v>236393</v>
      </c>
      <c r="AI2507" s="9">
        <f ca="1">AG2496</f>
        <v>787878.1097337614</v>
      </c>
      <c r="AJ2507" s="98"/>
      <c r="AK2507" s="106">
        <f ca="1">IF(AJ2500&lt;=0,Q_max,ABS(AJ$23-AJ2506))</f>
        <v>236393</v>
      </c>
      <c r="AL2507" s="9">
        <f ca="1">AJ2496</f>
        <v>1051426.3917021689</v>
      </c>
      <c r="AM2507" s="98"/>
      <c r="AN2507" s="106">
        <f ca="1">IF(AM2500&lt;=0,Q_max,ABS(AM$23-AM2506))</f>
        <v>236393</v>
      </c>
      <c r="AO2507" s="9">
        <f ca="1">AM2496</f>
        <v>1282940.0108934164</v>
      </c>
      <c r="AP2507" s="98"/>
      <c r="AQ2507" s="106">
        <f ca="1">IF(AP2500&lt;=0,Q_max,ABS(AP$23-AP2506))</f>
        <v>236393</v>
      </c>
      <c r="AR2507" s="9">
        <f ca="1">AP2496</f>
        <v>1489453.5242493043</v>
      </c>
      <c r="AS2507" s="98"/>
      <c r="AT2507" s="106">
        <f ca="1">IF(AS2500&lt;=0,Q_max,ABS(AS$23-AS2506))</f>
        <v>236393</v>
      </c>
      <c r="AU2507" s="9">
        <f ca="1">AS2496</f>
        <v>1746501.3951410765</v>
      </c>
    </row>
    <row r="2508" spans="15:47" x14ac:dyDescent="0.25">
      <c r="O2508" s="21"/>
      <c r="P2508" s="14"/>
      <c r="Q2508" s="21"/>
      <c r="R2508" s="97"/>
      <c r="S2508" s="106"/>
      <c r="T2508" s="28"/>
      <c r="U2508" s="97"/>
      <c r="V2508" s="111"/>
      <c r="W2508" s="28"/>
      <c r="X2508" s="97"/>
      <c r="Y2508" s="111"/>
      <c r="Z2508" s="28"/>
      <c r="AA2508" s="97"/>
      <c r="AB2508" s="111"/>
      <c r="AC2508" s="28"/>
      <c r="AD2508" s="97"/>
      <c r="AE2508" s="111"/>
      <c r="AF2508" s="28"/>
      <c r="AG2508" s="97"/>
      <c r="AH2508" s="111"/>
      <c r="AI2508" s="28"/>
      <c r="AJ2508" s="97"/>
      <c r="AK2508" s="111"/>
      <c r="AL2508" s="28"/>
      <c r="AM2508" s="97"/>
      <c r="AN2508" s="111"/>
      <c r="AO2508" s="28"/>
      <c r="AP2508" s="97"/>
      <c r="AQ2508" s="111"/>
      <c r="AR2508" s="28"/>
      <c r="AS2508" s="97"/>
      <c r="AT2508" s="111"/>
      <c r="AU2508" s="28"/>
    </row>
    <row r="2509" spans="15:47" x14ac:dyDescent="0.25">
      <c r="O2509" s="1"/>
      <c r="P2509" s="1"/>
      <c r="Q2509" s="1"/>
      <c r="R2509" s="98"/>
      <c r="S2509" s="108" t="s">
        <v>137</v>
      </c>
      <c r="T2509" s="26" t="s">
        <v>146</v>
      </c>
      <c r="U2509" s="98"/>
      <c r="V2509" s="108" t="s">
        <v>137</v>
      </c>
      <c r="W2509" s="26" t="s">
        <v>146</v>
      </c>
      <c r="X2509" s="98"/>
      <c r="Y2509" s="108" t="s">
        <v>137</v>
      </c>
      <c r="Z2509" s="26" t="s">
        <v>146</v>
      </c>
      <c r="AA2509" s="98"/>
      <c r="AB2509" s="108" t="s">
        <v>137</v>
      </c>
      <c r="AC2509" s="26" t="s">
        <v>146</v>
      </c>
      <c r="AD2509" s="98"/>
      <c r="AE2509" s="108" t="s">
        <v>137</v>
      </c>
      <c r="AF2509" s="26" t="s">
        <v>146</v>
      </c>
      <c r="AG2509" s="98"/>
      <c r="AH2509" s="108" t="s">
        <v>137</v>
      </c>
      <c r="AI2509" s="26" t="s">
        <v>146</v>
      </c>
      <c r="AJ2509" s="98"/>
      <c r="AK2509" s="108" t="s">
        <v>137</v>
      </c>
      <c r="AL2509" s="26" t="s">
        <v>146</v>
      </c>
      <c r="AM2509" s="98"/>
      <c r="AN2509" s="108" t="s">
        <v>137</v>
      </c>
      <c r="AO2509" s="26" t="s">
        <v>146</v>
      </c>
      <c r="AP2509" s="98"/>
      <c r="AQ2509" s="108" t="s">
        <v>137</v>
      </c>
      <c r="AR2509" s="26" t="s">
        <v>146</v>
      </c>
      <c r="AS2509" s="98"/>
      <c r="AT2509" s="108" t="s">
        <v>137</v>
      </c>
      <c r="AU2509" s="26" t="s">
        <v>146</v>
      </c>
    </row>
    <row r="2510" spans="15:47" ht="13.8" x14ac:dyDescent="0.25">
      <c r="O2510" s="20" t="s">
        <v>136</v>
      </c>
      <c r="P2510" s="1"/>
      <c r="Q2510" s="1"/>
      <c r="R2510" s="96">
        <f>R2496*1.02</f>
        <v>10605.156100667817</v>
      </c>
      <c r="S2510" s="109" t="s">
        <v>144</v>
      </c>
      <c r="T2510" s="23" t="s">
        <v>147</v>
      </c>
      <c r="U2510" s="96">
        <f ca="1">U2496*1.01</f>
        <v>68139.835966916071</v>
      </c>
      <c r="V2510" s="109" t="s">
        <v>144</v>
      </c>
      <c r="W2510" s="23" t="s">
        <v>147</v>
      </c>
      <c r="X2510" s="96">
        <f ca="1">X2496*1.01</f>
        <v>166849.42879377858</v>
      </c>
      <c r="Y2510" s="109" t="s">
        <v>144</v>
      </c>
      <c r="Z2510" s="23" t="s">
        <v>147</v>
      </c>
      <c r="AA2510" s="96">
        <f ca="1">AA2496*1.01</f>
        <v>324980.09973886173</v>
      </c>
      <c r="AB2510" s="109" t="s">
        <v>144</v>
      </c>
      <c r="AC2510" s="23" t="s">
        <v>147</v>
      </c>
      <c r="AD2510" s="96">
        <f ca="1">AD2496*1.01</f>
        <v>545215.51302781096</v>
      </c>
      <c r="AE2510" s="109" t="s">
        <v>144</v>
      </c>
      <c r="AF2510" s="23" t="s">
        <v>147</v>
      </c>
      <c r="AG2510" s="96">
        <f ca="1">AG2496*1.01</f>
        <v>795756.89083109901</v>
      </c>
      <c r="AH2510" s="109" t="s">
        <v>144</v>
      </c>
      <c r="AI2510" s="23" t="s">
        <v>147</v>
      </c>
      <c r="AJ2510" s="96">
        <f ca="1">AJ2496*1.01</f>
        <v>1061940.6556191905</v>
      </c>
      <c r="AK2510" s="109" t="s">
        <v>144</v>
      </c>
      <c r="AL2510" s="23" t="s">
        <v>147</v>
      </c>
      <c r="AM2510" s="96">
        <f ca="1">AM2496*1.01</f>
        <v>1295769.4110023505</v>
      </c>
      <c r="AN2510" s="109" t="s">
        <v>144</v>
      </c>
      <c r="AO2510" s="23" t="s">
        <v>147</v>
      </c>
      <c r="AP2510" s="96">
        <f ca="1">AP2496*1.01</f>
        <v>1504348.0594917974</v>
      </c>
      <c r="AQ2510" s="109" t="s">
        <v>144</v>
      </c>
      <c r="AR2510" s="23" t="s">
        <v>147</v>
      </c>
      <c r="AS2510" s="96">
        <f ca="1">AS2496*1.01</f>
        <v>1763966.4090924873</v>
      </c>
      <c r="AT2510" s="109" t="s">
        <v>144</v>
      </c>
      <c r="AU2510" s="23" t="s">
        <v>147</v>
      </c>
    </row>
    <row r="2511" spans="15:47" x14ac:dyDescent="0.25">
      <c r="O2511" s="1"/>
      <c r="P2511" s="1"/>
      <c r="Q2511" s="1"/>
      <c r="R2511" s="98"/>
      <c r="S2511" s="107"/>
      <c r="T2511" s="1"/>
      <c r="U2511" s="47"/>
      <c r="V2511" s="107"/>
      <c r="W2511" s="1"/>
      <c r="X2511" s="47"/>
      <c r="Y2511" s="107"/>
      <c r="Z2511" s="1"/>
      <c r="AA2511" s="47"/>
      <c r="AB2511" s="107"/>
      <c r="AC2511" s="1"/>
      <c r="AD2511" s="47"/>
      <c r="AE2511" s="107"/>
      <c r="AF2511" s="1"/>
      <c r="AG2511" s="47"/>
      <c r="AH2511" s="107"/>
      <c r="AI2511" s="1"/>
      <c r="AJ2511" s="47"/>
      <c r="AK2511" s="107"/>
      <c r="AL2511" s="1"/>
      <c r="AM2511" s="47"/>
      <c r="AN2511" s="107"/>
      <c r="AO2511" s="1"/>
      <c r="AP2511" s="47"/>
      <c r="AQ2511" s="107"/>
      <c r="AR2511" s="1"/>
      <c r="AS2511" s="47"/>
      <c r="AT2511" s="107"/>
      <c r="AU2511" s="1"/>
    </row>
    <row r="2512" spans="15:47" x14ac:dyDescent="0.25">
      <c r="O2512" s="8" t="s">
        <v>132</v>
      </c>
      <c r="P2512" s="8"/>
      <c r="Q2512" s="8"/>
      <c r="R2512" s="96">
        <f>P_1_minQ-(R2510^2*R_up)+dpup_minQ</f>
        <v>90.164541766608679</v>
      </c>
      <c r="S2512" s="106"/>
      <c r="T2512" s="22"/>
      <c r="U2512" s="96">
        <f ca="1">P_1_minQ-(U2510^2*R_up)+dpup_minQ</f>
        <v>89.338796331132215</v>
      </c>
      <c r="V2512" s="107"/>
      <c r="W2512" s="1"/>
      <c r="X2512" s="96">
        <f ca="1">P_1_minQ-(X2510^2*R_up)+dpup_minQ</f>
        <v>85.111127889518158</v>
      </c>
      <c r="Y2512" s="107"/>
      <c r="Z2512" s="1"/>
      <c r="AA2512" s="96">
        <f ca="1">P_1_minQ-(AA2510^2*R_up)+dpup_minQ</f>
        <v>70.936089288284705</v>
      </c>
      <c r="AB2512" s="107"/>
      <c r="AC2512" s="1"/>
      <c r="AD2512" s="96">
        <f ca="1">P_1_minQ-(AD2510^2*R_up)+dpup_minQ</f>
        <v>36.006170150587316</v>
      </c>
      <c r="AE2512" s="107"/>
      <c r="AF2512" s="1"/>
      <c r="AG2512" s="96">
        <f ca="1">P_1_minQ-(AG2510^2*R_up)+dpup_minQ</f>
        <v>-25.227859349887922</v>
      </c>
      <c r="AH2512" s="107"/>
      <c r="AI2512" s="1"/>
      <c r="AJ2512" s="96">
        <f ca="1">P_1_minQ-(AJ2510^2*R_up)+dpup_minQ</f>
        <v>-115.35386171850894</v>
      </c>
      <c r="AK2512" s="107"/>
      <c r="AL2512" s="1"/>
      <c r="AM2512" s="96">
        <f ca="1">P_1_minQ-(AM2510^2*R_up)+dpup_minQ</f>
        <v>-215.83437686946445</v>
      </c>
      <c r="AN2512" s="107"/>
      <c r="AO2512" s="1"/>
      <c r="AP2512" s="96">
        <f ca="1">P_1_minQ-(AP2510^2*R_up)+dpup_minQ</f>
        <v>-322.2828992827649</v>
      </c>
      <c r="AQ2512" s="107"/>
      <c r="AR2512" s="1"/>
      <c r="AS2512" s="96">
        <f ca="1">P_1_minQ-(AS2510^2*R_up)+dpup_minQ</f>
        <v>-476.93390850858253</v>
      </c>
      <c r="AT2512" s="107"/>
      <c r="AU2512" s="1"/>
    </row>
    <row r="2513" spans="15:47" x14ac:dyDescent="0.25">
      <c r="O2513" s="8" t="s">
        <v>134</v>
      </c>
      <c r="P2513" s="1"/>
      <c r="Q2513" s="8"/>
      <c r="R2513" s="97">
        <f>P_2_minQ+(R2510^2*R_dn)-dpdn_minQ</f>
        <v>60</v>
      </c>
      <c r="S2513" s="106"/>
      <c r="T2513" s="22"/>
      <c r="U2513" s="97">
        <f ca="1">P_2_minQ+(U2510^2*R_dn)-dpdn_minQ</f>
        <v>60</v>
      </c>
      <c r="V2513" s="107"/>
      <c r="W2513" s="1"/>
      <c r="X2513" s="97">
        <f ca="1">P_2_minQ+(X2510^2*R_dn)-dpdn_minQ</f>
        <v>60</v>
      </c>
      <c r="Y2513" s="107"/>
      <c r="Z2513" s="1"/>
      <c r="AA2513" s="97">
        <f ca="1">P_2_minQ+(AA2510^2*R_dn)-dpdn_minQ</f>
        <v>60</v>
      </c>
      <c r="AB2513" s="107"/>
      <c r="AC2513" s="1"/>
      <c r="AD2513" s="97">
        <f ca="1">P_2_minQ+(AD2510^2*R_dn)-dpdn_minQ</f>
        <v>60</v>
      </c>
      <c r="AE2513" s="107"/>
      <c r="AF2513" s="1"/>
      <c r="AG2513" s="97">
        <f ca="1">P_2_minQ+(AG2510^2*R_dn)-dpdn_minQ</f>
        <v>60</v>
      </c>
      <c r="AH2513" s="107"/>
      <c r="AI2513" s="1"/>
      <c r="AJ2513" s="97">
        <f ca="1">P_2_minQ+(AJ2510^2*R_dn)-dpdn_minQ</f>
        <v>60</v>
      </c>
      <c r="AK2513" s="107"/>
      <c r="AL2513" s="1"/>
      <c r="AM2513" s="97">
        <f ca="1">P_2_minQ+(AM2510^2*R_dn)-dpdn_minQ</f>
        <v>60</v>
      </c>
      <c r="AN2513" s="107"/>
      <c r="AO2513" s="1"/>
      <c r="AP2513" s="97">
        <f ca="1">P_2_minQ+(AP2510^2*R_dn)-dpdn_minQ</f>
        <v>60</v>
      </c>
      <c r="AQ2513" s="107"/>
      <c r="AR2513" s="1"/>
      <c r="AS2513" s="97">
        <f ca="1">P_2_minQ+(AS2510^2*R_dn)-dpdn_minQ</f>
        <v>60</v>
      </c>
      <c r="AT2513" s="107"/>
      <c r="AU2513" s="1"/>
    </row>
    <row r="2514" spans="15:47" x14ac:dyDescent="0.25">
      <c r="O2514" s="8" t="s">
        <v>138</v>
      </c>
      <c r="P2514" s="1"/>
      <c r="Q2514" s="8"/>
      <c r="R2514" s="97">
        <f>R2512-R2513</f>
        <v>30.164541766608679</v>
      </c>
      <c r="S2514" s="106"/>
      <c r="T2514" s="22"/>
      <c r="U2514" s="97">
        <f ca="1">U2512-U2513</f>
        <v>29.338796331132215</v>
      </c>
      <c r="V2514" s="110"/>
      <c r="W2514" s="25"/>
      <c r="X2514" s="97">
        <f ca="1">X2512-X2513</f>
        <v>25.111127889518158</v>
      </c>
      <c r="Y2514" s="110"/>
      <c r="Z2514" s="25"/>
      <c r="AA2514" s="97">
        <f ca="1">AA2512-AA2513</f>
        <v>10.936089288284705</v>
      </c>
      <c r="AB2514" s="110"/>
      <c r="AC2514" s="25"/>
      <c r="AD2514" s="97">
        <f ca="1">AD2512-AD2513</f>
        <v>-23.993829849412684</v>
      </c>
      <c r="AE2514" s="110"/>
      <c r="AF2514" s="25"/>
      <c r="AG2514" s="97">
        <f ca="1">AG2512-AG2513</f>
        <v>-85.227859349887922</v>
      </c>
      <c r="AH2514" s="110"/>
      <c r="AI2514" s="25"/>
      <c r="AJ2514" s="97">
        <f ca="1">AJ2512-AJ2513</f>
        <v>-175.35386171850894</v>
      </c>
      <c r="AK2514" s="110"/>
      <c r="AL2514" s="25"/>
      <c r="AM2514" s="97">
        <f ca="1">AM2512-AM2513</f>
        <v>-275.83437686946445</v>
      </c>
      <c r="AN2514" s="110"/>
      <c r="AO2514" s="25"/>
      <c r="AP2514" s="97">
        <f ca="1">AP2512-AP2513</f>
        <v>-382.2828992827649</v>
      </c>
      <c r="AQ2514" s="110"/>
      <c r="AR2514" s="25"/>
      <c r="AS2514" s="97">
        <f ca="1">AS2512-AS2513</f>
        <v>-536.93390850858259</v>
      </c>
      <c r="AT2514" s="110"/>
      <c r="AU2514" s="25"/>
    </row>
    <row r="2515" spans="15:47" ht="14.4" x14ac:dyDescent="0.3">
      <c r="O2515" s="2" t="s">
        <v>140</v>
      </c>
      <c r="P2515" s="11"/>
      <c r="Q2515" s="2"/>
      <c r="R2515" s="96">
        <f>R2514/R2512</f>
        <v>0.33454993698841978</v>
      </c>
      <c r="S2515" s="106"/>
      <c r="T2515" s="22"/>
      <c r="U2515" s="96">
        <f ca="1">U2514/U2512</f>
        <v>0.32839927932752344</v>
      </c>
      <c r="V2515" s="111"/>
      <c r="W2515" s="28"/>
      <c r="X2515" s="96">
        <f ca="1">X2514/X2512</f>
        <v>0.29503930346352175</v>
      </c>
      <c r="Y2515" s="111"/>
      <c r="Z2515" s="28"/>
      <c r="AA2515" s="96">
        <f ca="1">AA2514/AA2512</f>
        <v>0.1541682012359093</v>
      </c>
      <c r="AB2515" s="111"/>
      <c r="AC2515" s="28"/>
      <c r="AD2515" s="96">
        <f ca="1">AD2514/AD2512</f>
        <v>-0.6663810604978021</v>
      </c>
      <c r="AE2515" s="111"/>
      <c r="AF2515" s="28"/>
      <c r="AG2515" s="96">
        <f ca="1">AG2514/AG2512</f>
        <v>3.3783230740212034</v>
      </c>
      <c r="AH2515" s="111"/>
      <c r="AI2515" s="28"/>
      <c r="AJ2515" s="96">
        <f ca="1">AJ2514/AJ2512</f>
        <v>1.5201386334721447</v>
      </c>
      <c r="AK2515" s="111"/>
      <c r="AL2515" s="28"/>
      <c r="AM2515" s="96">
        <f ca="1">AM2514/AM2512</f>
        <v>1.277990933929342</v>
      </c>
      <c r="AN2515" s="111"/>
      <c r="AO2515" s="28"/>
      <c r="AP2515" s="96">
        <f ca="1">AP2514/AP2512</f>
        <v>1.1861718388829472</v>
      </c>
      <c r="AQ2515" s="111"/>
      <c r="AR2515" s="28"/>
      <c r="AS2515" s="96">
        <f ca="1">AS2514/AS2512</f>
        <v>1.1258035944385372</v>
      </c>
      <c r="AT2515" s="111"/>
      <c r="AU2515" s="28"/>
    </row>
    <row r="2516" spans="15:47" x14ac:dyDescent="0.25">
      <c r="O2516" s="2" t="s">
        <v>21</v>
      </c>
      <c r="P2516" s="8">
        <v>12</v>
      </c>
      <c r="Q2516" s="2"/>
      <c r="R2516" s="96">
        <f ca="1">1-R2515/(3*F_GAMMA*R$29)</f>
        <v>0.82576332614563663</v>
      </c>
      <c r="S2516" s="106"/>
      <c r="T2516" s="22"/>
      <c r="U2516" s="96">
        <f ca="1">1-U2515/(3*F_GAMMA*U$29)</f>
        <v>0.82900637865613436</v>
      </c>
      <c r="V2516" s="111"/>
      <c r="W2516" s="28"/>
      <c r="X2516" s="96">
        <f ca="1">1-X2515/(3*F_GAMMA*X$29)</f>
        <v>0.84491337823884205</v>
      </c>
      <c r="Y2516" s="111"/>
      <c r="Z2516" s="28"/>
      <c r="AA2516" s="96">
        <f ca="1">1-AA2515/(3*F_GAMMA*AA$29)</f>
        <v>0.91781957712248352</v>
      </c>
      <c r="AB2516" s="111"/>
      <c r="AC2516" s="28"/>
      <c r="AD2516" s="96">
        <f ca="1">1-AD2515/(3*F_GAMMA*AD$29)</f>
        <v>1.3662358469185867</v>
      </c>
      <c r="AE2516" s="111"/>
      <c r="AF2516" s="28"/>
      <c r="AG2516" s="96">
        <f ca="1">1-AG2515/(3*F_GAMMA*AG$29)</f>
        <v>-0.96810280874208376</v>
      </c>
      <c r="AH2516" s="111"/>
      <c r="AI2516" s="28"/>
      <c r="AJ2516" s="96">
        <f ca="1">1-AJ2515/(3*F_GAMMA*AJ$29)</f>
        <v>4.7232779570714589E-2</v>
      </c>
      <c r="AK2516" s="111"/>
      <c r="AL2516" s="28"/>
      <c r="AM2516" s="96">
        <f ca="1">1-AM2515/(3*F_GAMMA*AM$29)</f>
        <v>0.10441830699962606</v>
      </c>
      <c r="AN2516" s="111"/>
      <c r="AO2516" s="28"/>
      <c r="AP2516" s="96">
        <f ca="1">1-AP2515/(3*F_GAMMA*AP$29)</f>
        <v>0.33046101312225595</v>
      </c>
      <c r="AQ2516" s="111"/>
      <c r="AR2516" s="28"/>
      <c r="AS2516" s="96">
        <f ca="1">1-AS2515/(3*F_GAMMA*AS$29)</f>
        <v>3.7752283463516889E-3</v>
      </c>
      <c r="AT2516" s="111"/>
      <c r="AU2516" s="28"/>
    </row>
    <row r="2517" spans="15:47" x14ac:dyDescent="0.25">
      <c r="O2517" s="2" t="s">
        <v>57</v>
      </c>
      <c r="P2517" s="143">
        <v>7</v>
      </c>
      <c r="Q2517" s="2"/>
      <c r="R2517" s="96">
        <f ca="1">(R2510/(N_9*R$27*R2512*R2516))*SQRT(M*'Valve Sizing'!$W$6*'Valve Sizing'!$G$8/R2515)</f>
        <v>4.2843136003809166</v>
      </c>
      <c r="S2517" s="107"/>
      <c r="T2517" s="22"/>
      <c r="U2517" s="96">
        <f ca="1">(U2510/(N_9*U$27*U2512*U2516))*SQRT(M*'Valve Sizing'!$W$6*'Valve Sizing'!$G$8/U2515)</f>
        <v>27.949427412586864</v>
      </c>
      <c r="V2517" s="111"/>
      <c r="W2517" s="28"/>
      <c r="X2517" s="96">
        <f ca="1">(X2510/(N_9*X$27*X2512*X2516))*SQRT(M*'Valve Sizing'!$W$6*'Valve Sizing'!$G$8/X2515)</f>
        <v>74.534227192589611</v>
      </c>
      <c r="Y2517" s="111"/>
      <c r="Z2517" s="28"/>
      <c r="AA2517" s="96">
        <f ca="1">(AA2510/(N_9*AA$27*AA2512*AA2516))*SQRT(M*'Valve Sizing'!$W$6*'Valve Sizing'!$G$8/AA2515)</f>
        <v>223.13819879898278</v>
      </c>
      <c r="AB2517" s="111"/>
      <c r="AC2517" s="28"/>
      <c r="AD2517" s="96" t="e">
        <f ca="1">(AD2510/(N_9*AD$27*AD2512*AD2516))*SQRT(M*'Valve Sizing'!$W$6*'Valve Sizing'!$G$8/AD2515)</f>
        <v>#NUM!</v>
      </c>
      <c r="AE2517" s="111"/>
      <c r="AF2517" s="28"/>
      <c r="AG2517" s="96">
        <f ca="1">(AG2510/(N_9*AG$27*AG2512*AG2516))*SQRT(M*'Valve Sizing'!$W$6*'Valve Sizing'!$G$8/AG2515)</f>
        <v>322.09150955617042</v>
      </c>
      <c r="AH2517" s="111"/>
      <c r="AI2517" s="28"/>
      <c r="AJ2517" s="96">
        <f ca="1">(AJ2510/(N_9*AJ$27*AJ2512*AJ2516))*SQRT(M*'Valve Sizing'!$W$6*'Valve Sizing'!$G$8/AJ2515)</f>
        <v>-2976.1676136067904</v>
      </c>
      <c r="AK2517" s="111"/>
      <c r="AL2517" s="28"/>
      <c r="AM2517" s="96">
        <f ca="1">(AM2510/(N_9*AM$27*AM2512*AM2516))*SQRT(M*'Valve Sizing'!$W$6*'Valve Sizing'!$G$8/AM2515)</f>
        <v>-1015.9203105360151</v>
      </c>
      <c r="AN2517" s="111"/>
      <c r="AO2517" s="28"/>
      <c r="AP2517" s="96">
        <f ca="1">(AP2510/(N_9*AP$27*AP2512*AP2516))*SQRT(M*'Valve Sizing'!$W$6*'Valve Sizing'!$G$8/AP2515)</f>
        <v>-294.86727125131608</v>
      </c>
      <c r="AQ2517" s="111"/>
      <c r="AR2517" s="28"/>
      <c r="AS2517" s="96">
        <f ca="1">(AS2510/(N_9*AS$27*AS2512*AS2516))*SQRT(M*'Valve Sizing'!$W$6*'Valve Sizing'!$G$8/AS2515)</f>
        <v>-28117.33312603434</v>
      </c>
      <c r="AT2517" s="111"/>
      <c r="AU2517" s="28"/>
    </row>
    <row r="2518" spans="15:47" x14ac:dyDescent="0.25">
      <c r="O2518" s="2" t="s">
        <v>59</v>
      </c>
      <c r="P2518" s="143">
        <v>7</v>
      </c>
      <c r="Q2518" s="2"/>
      <c r="R2518" s="96">
        <f ca="1">(R2510/(N_9*R$27*R2512*0.667))*SQRT(M*'Valve Sizing'!$W$6*'Valve Sizing'!$G$8/R2519)</f>
        <v>3.8347885587617596</v>
      </c>
      <c r="S2518" s="107"/>
      <c r="T2518" s="22"/>
      <c r="U2518" s="96">
        <f ca="1">(U2510/(N_9*U$27*U2512*0.667))*SQRT(M*'Valve Sizing'!$W$6*'Valve Sizing'!$G$8/U2519)</f>
        <v>24.880295593095614</v>
      </c>
      <c r="V2518" s="111"/>
      <c r="W2518" s="28"/>
      <c r="X2518" s="96">
        <f ca="1">(X2510/(N_9*X$27*X2512*0.667))*SQRT(M*'Valve Sizing'!$W$6*'Valve Sizing'!$G$8/X2519)</f>
        <v>64.400598130134497</v>
      </c>
      <c r="Y2518" s="111"/>
      <c r="Z2518" s="28"/>
      <c r="AA2518" s="96">
        <f ca="1">(AA2510/(N_9*AA$27*AA2512*0.667))*SQRT(M*'Valve Sizing'!$W$6*'Valve Sizing'!$G$8/AA2519)</f>
        <v>152.45800038576508</v>
      </c>
      <c r="AB2518" s="111"/>
      <c r="AC2518" s="28"/>
      <c r="AD2518" s="96">
        <f ca="1">(AD2510/(N_9*AD$27*AD2512*0.667))*SQRT(M*'Valve Sizing'!$W$6*'Valve Sizing'!$G$8/AD2519)</f>
        <v>518.00171427502664</v>
      </c>
      <c r="AE2518" s="111"/>
      <c r="AF2518" s="28"/>
      <c r="AG2518" s="96">
        <f ca="1">(AG2510/(N_9*AG$27*AG2512*0.667))*SQRT(M*'Valve Sizing'!$W$6*'Valve Sizing'!$G$8/AG2519)</f>
        <v>-1135.9505887444739</v>
      </c>
      <c r="AH2518" s="111"/>
      <c r="AI2518" s="28"/>
      <c r="AJ2518" s="96">
        <f ca="1">(AJ2510/(N_9*AJ$27*AJ2512*0.667))*SQRT(M*'Valve Sizing'!$W$6*'Valve Sizing'!$G$8/AJ2519)</f>
        <v>-356.31088280041075</v>
      </c>
      <c r="AK2518" s="111"/>
      <c r="AL2518" s="28"/>
      <c r="AM2518" s="96">
        <f ca="1">(AM2510/(N_9*AM$27*AM2512*0.667))*SQRT(M*'Valve Sizing'!$W$6*'Valve Sizing'!$G$8/AM2519)</f>
        <v>-260.68958908877698</v>
      </c>
      <c r="AN2518" s="111"/>
      <c r="AO2518" s="28"/>
      <c r="AP2518" s="96">
        <f ca="1">(AP2510/(N_9*AP$27*AP2512*0.667))*SQRT(M*'Valve Sizing'!$W$6*'Valve Sizing'!$G$8/AP2519)</f>
        <v>-207.04728004539228</v>
      </c>
      <c r="AQ2518" s="111"/>
      <c r="AR2518" s="28"/>
      <c r="AS2518" s="96">
        <f ca="1">(AS2510/(N_9*AS$27*AS2512*0.667))*SQRT(M*'Valve Sizing'!$W$6*'Valve Sizing'!$G$8/AS2519)</f>
        <v>-275.12548000302894</v>
      </c>
      <c r="AT2518" s="111"/>
      <c r="AU2518" s="28"/>
    </row>
    <row r="2519" spans="15:47" ht="15.6" x14ac:dyDescent="0.35">
      <c r="O2519" s="2" t="s">
        <v>68</v>
      </c>
      <c r="P2519" s="143">
        <v>10</v>
      </c>
      <c r="Q2519" s="2"/>
      <c r="R2519" s="96">
        <f ca="1">F_GAMMA*R$29</f>
        <v>0.64002969751372984</v>
      </c>
      <c r="S2519" s="107"/>
      <c r="T2519" s="1"/>
      <c r="U2519" s="96">
        <f ca="1">F_GAMMA*U$29</f>
        <v>0.64017842058782071</v>
      </c>
      <c r="V2519" s="111"/>
      <c r="W2519" s="28"/>
      <c r="X2519" s="96">
        <f ca="1">F_GAMMA*X$29</f>
        <v>0.63413873724904268</v>
      </c>
      <c r="Y2519" s="111"/>
      <c r="Z2519" s="28"/>
      <c r="AA2519" s="96">
        <f ca="1">F_GAMMA*AA$29</f>
        <v>0.62532411750377137</v>
      </c>
      <c r="AB2519" s="111"/>
      <c r="AC2519" s="28"/>
      <c r="AD2519" s="96">
        <f ca="1">F_GAMMA*AD$29</f>
        <v>0.60651359509139569</v>
      </c>
      <c r="AE2519" s="111"/>
      <c r="AF2519" s="28"/>
      <c r="AG2519" s="96">
        <f ca="1">F_GAMMA*AG$29</f>
        <v>0.57217930198481592</v>
      </c>
      <c r="AH2519" s="111"/>
      <c r="AI2519" s="28"/>
      <c r="AJ2519" s="96">
        <f ca="1">F_GAMMA*AJ$29</f>
        <v>0.53183282018848232</v>
      </c>
      <c r="AK2519" s="111"/>
      <c r="AL2519" s="28"/>
      <c r="AM2519" s="96">
        <f ca="1">F_GAMMA*AM$29</f>
        <v>0.47566512503094399</v>
      </c>
      <c r="AN2519" s="111"/>
      <c r="AO2519" s="28"/>
      <c r="AP2519" s="96">
        <f ca="1">F_GAMMA*AP$29</f>
        <v>0.59054158265645496</v>
      </c>
      <c r="AQ2519" s="111"/>
      <c r="AR2519" s="28"/>
      <c r="AS2519" s="96">
        <f ca="1">F_GAMMA*AS$29</f>
        <v>0.3766899554102966</v>
      </c>
      <c r="AT2519" s="111"/>
      <c r="AU2519" s="28"/>
    </row>
    <row r="2520" spans="15:47" x14ac:dyDescent="0.25">
      <c r="O2520" s="2" t="s">
        <v>145</v>
      </c>
      <c r="P2520" s="12"/>
      <c r="Q2520" s="2"/>
      <c r="R2520" s="96">
        <f ca="1">IF(R2515&lt;R2519,R2517,R2518)</f>
        <v>4.2843136003809166</v>
      </c>
      <c r="S2520" s="116"/>
      <c r="T2520" s="1"/>
      <c r="U2520" s="96">
        <f ca="1">IF(U2515&lt;U2519,U2517,U2518)</f>
        <v>27.949427412586864</v>
      </c>
      <c r="V2520" s="111"/>
      <c r="W2520" s="28"/>
      <c r="X2520" s="96">
        <f ca="1">IF(X2515&lt;X2519,X2517,X2518)</f>
        <v>74.534227192589611</v>
      </c>
      <c r="Y2520" s="111"/>
      <c r="Z2520" s="28"/>
      <c r="AA2520" s="96">
        <f ca="1">IF(AA2515&lt;AA2519,AA2517,AA2518)</f>
        <v>223.13819879898278</v>
      </c>
      <c r="AB2520" s="111"/>
      <c r="AC2520" s="28"/>
      <c r="AD2520" s="96" t="e">
        <f ca="1">IF(AD2515&lt;AD2519,AD2517,AD2518)</f>
        <v>#NUM!</v>
      </c>
      <c r="AE2520" s="111"/>
      <c r="AF2520" s="28"/>
      <c r="AG2520" s="96">
        <f ca="1">IF(AG2515&lt;AG2519,AG2517,AG2518)</f>
        <v>-1135.9505887444739</v>
      </c>
      <c r="AH2520" s="111"/>
      <c r="AI2520" s="28"/>
      <c r="AJ2520" s="96">
        <f ca="1">IF(AJ2515&lt;AJ2519,AJ2517,AJ2518)</f>
        <v>-356.31088280041075</v>
      </c>
      <c r="AK2520" s="111"/>
      <c r="AL2520" s="28"/>
      <c r="AM2520" s="96">
        <f ca="1">IF(AM2515&lt;AM2519,AM2517,AM2518)</f>
        <v>-260.68958908877698</v>
      </c>
      <c r="AN2520" s="111"/>
      <c r="AO2520" s="28"/>
      <c r="AP2520" s="96">
        <f ca="1">IF(AP2515&lt;AP2519,AP2517,AP2518)</f>
        <v>-207.04728004539228</v>
      </c>
      <c r="AQ2520" s="111"/>
      <c r="AR2520" s="28"/>
      <c r="AS2520" s="96">
        <f ca="1">IF(AS2515&lt;AS2519,AS2517,AS2518)</f>
        <v>-275.12548000302894</v>
      </c>
      <c r="AT2520" s="111"/>
      <c r="AU2520" s="28"/>
    </row>
    <row r="2521" spans="15:47" x14ac:dyDescent="0.25">
      <c r="O2521" s="13" t="s">
        <v>143</v>
      </c>
      <c r="P2521" s="1"/>
      <c r="Q2521" s="1"/>
      <c r="R2521" s="113"/>
      <c r="S2521" s="106">
        <f ca="1">IF(R2514&lt;=0,Q_max,ABS(R$23-R2520))</f>
        <v>0.44568639961908385</v>
      </c>
      <c r="T2521" s="7">
        <f>R2510</f>
        <v>10605.156100667817</v>
      </c>
      <c r="U2521" s="98"/>
      <c r="V2521" s="106">
        <f ca="1">IF(U2514&lt;=0,Q_max,ABS(U$23-U2520))</f>
        <v>16.349427412586863</v>
      </c>
      <c r="W2521" s="9">
        <f ca="1">U2510</f>
        <v>68139.835966916071</v>
      </c>
      <c r="X2521" s="98"/>
      <c r="Y2521" s="106">
        <f ca="1">IF(X2514&lt;=0,Q_max,ABS(X$23-X2520))</f>
        <v>51.534227192589611</v>
      </c>
      <c r="Z2521" s="9">
        <f ca="1">X2510</f>
        <v>166849.42879377858</v>
      </c>
      <c r="AA2521" s="98"/>
      <c r="AB2521" s="106">
        <f ca="1">IF(AA2514&lt;=0,Q_max,ABS(AA$23-AA2520))</f>
        <v>183.73819879898278</v>
      </c>
      <c r="AC2521" s="9">
        <f ca="1">AA2510</f>
        <v>324980.09973886173</v>
      </c>
      <c r="AD2521" s="98"/>
      <c r="AE2521" s="106">
        <f ca="1">IF(AD2514&lt;=0,Q_max,ABS(AD$23-AD2520))</f>
        <v>236393</v>
      </c>
      <c r="AF2521" s="9">
        <f ca="1">AD2510</f>
        <v>545215.51302781096</v>
      </c>
      <c r="AG2521" s="98"/>
      <c r="AH2521" s="106">
        <f ca="1">IF(AG2514&lt;=0,Q_max,ABS(AG$23-AG2520))</f>
        <v>236393</v>
      </c>
      <c r="AI2521" s="9">
        <f ca="1">AG2510</f>
        <v>795756.89083109901</v>
      </c>
      <c r="AJ2521" s="98"/>
      <c r="AK2521" s="106">
        <f ca="1">IF(AJ2514&lt;=0,Q_max,ABS(AJ$23-AJ2520))</f>
        <v>236393</v>
      </c>
      <c r="AL2521" s="9">
        <f ca="1">AJ2510</f>
        <v>1061940.6556191905</v>
      </c>
      <c r="AM2521" s="98"/>
      <c r="AN2521" s="106">
        <f ca="1">IF(AM2514&lt;=0,Q_max,ABS(AM$23-AM2520))</f>
        <v>236393</v>
      </c>
      <c r="AO2521" s="9">
        <f ca="1">AM2510</f>
        <v>1295769.4110023505</v>
      </c>
      <c r="AP2521" s="98"/>
      <c r="AQ2521" s="106">
        <f ca="1">IF(AP2514&lt;=0,Q_max,ABS(AP$23-AP2520))</f>
        <v>236393</v>
      </c>
      <c r="AR2521" s="9">
        <f ca="1">AP2510</f>
        <v>1504348.0594917974</v>
      </c>
      <c r="AS2521" s="98"/>
      <c r="AT2521" s="106">
        <f ca="1">IF(AS2514&lt;=0,Q_max,ABS(AS$23-AS2520))</f>
        <v>236393</v>
      </c>
      <c r="AU2521" s="9">
        <f ca="1">AS2510</f>
        <v>1763966.4090924873</v>
      </c>
    </row>
    <row r="2522" spans="15:47" x14ac:dyDescent="0.25">
      <c r="O2522" s="21"/>
      <c r="P2522" s="14"/>
      <c r="Q2522" s="21"/>
      <c r="R2522" s="97"/>
      <c r="S2522" s="106"/>
      <c r="T2522" s="28"/>
      <c r="U2522" s="97"/>
      <c r="V2522" s="111"/>
      <c r="W2522" s="28"/>
      <c r="X2522" s="97"/>
      <c r="Y2522" s="111"/>
      <c r="Z2522" s="28"/>
      <c r="AA2522" s="97"/>
      <c r="AB2522" s="111"/>
      <c r="AC2522" s="28"/>
      <c r="AD2522" s="97"/>
      <c r="AE2522" s="111"/>
      <c r="AF2522" s="28"/>
      <c r="AG2522" s="97"/>
      <c r="AH2522" s="111"/>
      <c r="AI2522" s="28"/>
      <c r="AJ2522" s="97"/>
      <c r="AK2522" s="111"/>
      <c r="AL2522" s="28"/>
      <c r="AM2522" s="97"/>
      <c r="AN2522" s="111"/>
      <c r="AO2522" s="28"/>
      <c r="AP2522" s="97"/>
      <c r="AQ2522" s="111"/>
      <c r="AR2522" s="28"/>
      <c r="AS2522" s="97"/>
      <c r="AT2522" s="111"/>
      <c r="AU2522" s="28"/>
    </row>
    <row r="2523" spans="15:47" x14ac:dyDescent="0.25">
      <c r="O2523" s="1"/>
      <c r="P2523" s="1"/>
      <c r="Q2523" s="1"/>
      <c r="R2523" s="98"/>
      <c r="S2523" s="108" t="s">
        <v>137</v>
      </c>
      <c r="T2523" s="26" t="s">
        <v>146</v>
      </c>
      <c r="U2523" s="98"/>
      <c r="V2523" s="108" t="s">
        <v>137</v>
      </c>
      <c r="W2523" s="26" t="s">
        <v>146</v>
      </c>
      <c r="X2523" s="98"/>
      <c r="Y2523" s="108" t="s">
        <v>137</v>
      </c>
      <c r="Z2523" s="26" t="s">
        <v>146</v>
      </c>
      <c r="AA2523" s="98"/>
      <c r="AB2523" s="108" t="s">
        <v>137</v>
      </c>
      <c r="AC2523" s="26" t="s">
        <v>146</v>
      </c>
      <c r="AD2523" s="98"/>
      <c r="AE2523" s="108" t="s">
        <v>137</v>
      </c>
      <c r="AF2523" s="26" t="s">
        <v>146</v>
      </c>
      <c r="AG2523" s="98"/>
      <c r="AH2523" s="108" t="s">
        <v>137</v>
      </c>
      <c r="AI2523" s="26" t="s">
        <v>146</v>
      </c>
      <c r="AJ2523" s="98"/>
      <c r="AK2523" s="108" t="s">
        <v>137</v>
      </c>
      <c r="AL2523" s="26" t="s">
        <v>146</v>
      </c>
      <c r="AM2523" s="98"/>
      <c r="AN2523" s="108" t="s">
        <v>137</v>
      </c>
      <c r="AO2523" s="26" t="s">
        <v>146</v>
      </c>
      <c r="AP2523" s="98"/>
      <c r="AQ2523" s="108" t="s">
        <v>137</v>
      </c>
      <c r="AR2523" s="26" t="s">
        <v>146</v>
      </c>
      <c r="AS2523" s="98"/>
      <c r="AT2523" s="108" t="s">
        <v>137</v>
      </c>
      <c r="AU2523" s="26" t="s">
        <v>146</v>
      </c>
    </row>
    <row r="2524" spans="15:47" ht="13.8" x14ac:dyDescent="0.25">
      <c r="O2524" s="20" t="s">
        <v>136</v>
      </c>
      <c r="P2524" s="1"/>
      <c r="Q2524" s="1"/>
      <c r="R2524" s="96">
        <f>R2510*1.02</f>
        <v>10817.259222681174</v>
      </c>
      <c r="S2524" s="109" t="s">
        <v>144</v>
      </c>
      <c r="T2524" s="23" t="s">
        <v>147</v>
      </c>
      <c r="U2524" s="96">
        <f ca="1">U2510*1.01</f>
        <v>68821.234326585225</v>
      </c>
      <c r="V2524" s="109" t="s">
        <v>144</v>
      </c>
      <c r="W2524" s="23" t="s">
        <v>147</v>
      </c>
      <c r="X2524" s="96">
        <f ca="1">X2510*1.01</f>
        <v>168517.92308171638</v>
      </c>
      <c r="Y2524" s="109" t="s">
        <v>144</v>
      </c>
      <c r="Z2524" s="23" t="s">
        <v>147</v>
      </c>
      <c r="AA2524" s="96">
        <f ca="1">AA2510*1.01</f>
        <v>328229.90073625033</v>
      </c>
      <c r="AB2524" s="109" t="s">
        <v>144</v>
      </c>
      <c r="AC2524" s="23" t="s">
        <v>147</v>
      </c>
      <c r="AD2524" s="96">
        <f ca="1">AD2510*1.01</f>
        <v>550667.66815808904</v>
      </c>
      <c r="AE2524" s="109" t="s">
        <v>144</v>
      </c>
      <c r="AF2524" s="23" t="s">
        <v>147</v>
      </c>
      <c r="AG2524" s="96">
        <f ca="1">AG2510*1.01</f>
        <v>803714.45973940997</v>
      </c>
      <c r="AH2524" s="109" t="s">
        <v>144</v>
      </c>
      <c r="AI2524" s="23" t="s">
        <v>147</v>
      </c>
      <c r="AJ2524" s="96">
        <f ca="1">AJ2510*1.01</f>
        <v>1072560.0621753824</v>
      </c>
      <c r="AK2524" s="109" t="s">
        <v>144</v>
      </c>
      <c r="AL2524" s="23" t="s">
        <v>147</v>
      </c>
      <c r="AM2524" s="96">
        <f ca="1">AM2510*1.01</f>
        <v>1308727.1051123741</v>
      </c>
      <c r="AN2524" s="109" t="s">
        <v>144</v>
      </c>
      <c r="AO2524" s="23" t="s">
        <v>147</v>
      </c>
      <c r="AP2524" s="96">
        <f ca="1">AP2510*1.01</f>
        <v>1519391.5400867152</v>
      </c>
      <c r="AQ2524" s="109" t="s">
        <v>144</v>
      </c>
      <c r="AR2524" s="23" t="s">
        <v>147</v>
      </c>
      <c r="AS2524" s="96">
        <f ca="1">AS2510*1.01</f>
        <v>1781606.0731834122</v>
      </c>
      <c r="AT2524" s="109" t="s">
        <v>144</v>
      </c>
      <c r="AU2524" s="23" t="s">
        <v>147</v>
      </c>
    </row>
    <row r="2525" spans="15:47" x14ac:dyDescent="0.25">
      <c r="O2525" s="1"/>
      <c r="P2525" s="1"/>
      <c r="Q2525" s="1"/>
      <c r="R2525" s="98"/>
      <c r="S2525" s="107"/>
      <c r="T2525" s="1"/>
      <c r="U2525" s="47"/>
      <c r="V2525" s="107"/>
      <c r="W2525" s="1"/>
      <c r="X2525" s="47"/>
      <c r="Y2525" s="107"/>
      <c r="Z2525" s="1"/>
      <c r="AA2525" s="47"/>
      <c r="AB2525" s="107"/>
      <c r="AC2525" s="1"/>
      <c r="AD2525" s="47"/>
      <c r="AE2525" s="107"/>
      <c r="AF2525" s="1"/>
      <c r="AG2525" s="47"/>
      <c r="AH2525" s="107"/>
      <c r="AI2525" s="1"/>
      <c r="AJ2525" s="47"/>
      <c r="AK2525" s="107"/>
      <c r="AL2525" s="1"/>
      <c r="AM2525" s="47"/>
      <c r="AN2525" s="107"/>
      <c r="AO2525" s="1"/>
      <c r="AP2525" s="47"/>
      <c r="AQ2525" s="107"/>
      <c r="AR2525" s="1"/>
      <c r="AS2525" s="47"/>
      <c r="AT2525" s="107"/>
      <c r="AU2525" s="1"/>
    </row>
    <row r="2526" spans="15:47" x14ac:dyDescent="0.25">
      <c r="O2526" s="8" t="s">
        <v>132</v>
      </c>
      <c r="P2526" s="8"/>
      <c r="Q2526" s="8"/>
      <c r="R2526" s="96">
        <f>P_1_minQ-(R2524^2*R_up)+dpup_minQ</f>
        <v>90.163713616557345</v>
      </c>
      <c r="S2526" s="106"/>
      <c r="T2526" s="22"/>
      <c r="U2526" s="96">
        <f ca="1">P_1_minQ-(U2524^2*R_up)+dpup_minQ</f>
        <v>89.321786822729834</v>
      </c>
      <c r="V2526" s="107"/>
      <c r="W2526" s="1"/>
      <c r="X2526" s="96">
        <f ca="1">P_1_minQ-(X2524^2*R_up)+dpup_minQ</f>
        <v>85.009142245439335</v>
      </c>
      <c r="Y2526" s="107"/>
      <c r="Z2526" s="1"/>
      <c r="AA2526" s="96">
        <f ca="1">P_1_minQ-(AA2524^2*R_up)+dpup_minQ</f>
        <v>70.549185368321076</v>
      </c>
      <c r="AB2526" s="107"/>
      <c r="AC2526" s="1"/>
      <c r="AD2526" s="96">
        <f ca="1">P_1_minQ-(AD2524^2*R_up)+dpup_minQ</f>
        <v>34.917174855955977</v>
      </c>
      <c r="AE2526" s="107"/>
      <c r="AF2526" s="1"/>
      <c r="AG2526" s="96">
        <f ca="1">P_1_minQ-(AG2524^2*R_up)+dpup_minQ</f>
        <v>-27.547658637478804</v>
      </c>
      <c r="AH2526" s="107"/>
      <c r="AI2526" s="1"/>
      <c r="AJ2526" s="96">
        <f ca="1">P_1_minQ-(AJ2524^2*R_up)+dpup_minQ</f>
        <v>-119.48519365370908</v>
      </c>
      <c r="AK2526" s="107"/>
      <c r="AL2526" s="1"/>
      <c r="AM2526" s="96">
        <f ca="1">P_1_minQ-(AM2524^2*R_up)+dpup_minQ</f>
        <v>-221.9853671591988</v>
      </c>
      <c r="AN2526" s="107"/>
      <c r="AO2526" s="1"/>
      <c r="AP2526" s="96">
        <f ca="1">P_1_minQ-(AP2524^2*R_up)+dpup_minQ</f>
        <v>-330.57350487300653</v>
      </c>
      <c r="AQ2526" s="107"/>
      <c r="AR2526" s="1"/>
      <c r="AS2526" s="96">
        <f ca="1">P_1_minQ-(AS2524^2*R_up)+dpup_minQ</f>
        <v>-488.33299938426325</v>
      </c>
      <c r="AT2526" s="107"/>
      <c r="AU2526" s="1"/>
    </row>
    <row r="2527" spans="15:47" x14ac:dyDescent="0.25">
      <c r="O2527" s="8" t="s">
        <v>134</v>
      </c>
      <c r="P2527" s="1"/>
      <c r="Q2527" s="8"/>
      <c r="R2527" s="97">
        <f>P_2_minQ+(R2524^2*R_dn)-dpdn_minQ</f>
        <v>60</v>
      </c>
      <c r="S2527" s="106"/>
      <c r="T2527" s="22"/>
      <c r="U2527" s="97">
        <f ca="1">P_2_minQ+(U2524^2*R_dn)-dpdn_minQ</f>
        <v>60</v>
      </c>
      <c r="V2527" s="107"/>
      <c r="W2527" s="1"/>
      <c r="X2527" s="97">
        <f ca="1">P_2_minQ+(X2524^2*R_dn)-dpdn_minQ</f>
        <v>60</v>
      </c>
      <c r="Y2527" s="107"/>
      <c r="Z2527" s="1"/>
      <c r="AA2527" s="97">
        <f ca="1">P_2_minQ+(AA2524^2*R_dn)-dpdn_minQ</f>
        <v>60</v>
      </c>
      <c r="AB2527" s="107"/>
      <c r="AC2527" s="1"/>
      <c r="AD2527" s="97">
        <f ca="1">P_2_minQ+(AD2524^2*R_dn)-dpdn_minQ</f>
        <v>60</v>
      </c>
      <c r="AE2527" s="107"/>
      <c r="AF2527" s="1"/>
      <c r="AG2527" s="97">
        <f ca="1">P_2_minQ+(AG2524^2*R_dn)-dpdn_minQ</f>
        <v>60</v>
      </c>
      <c r="AH2527" s="107"/>
      <c r="AI2527" s="1"/>
      <c r="AJ2527" s="97">
        <f ca="1">P_2_minQ+(AJ2524^2*R_dn)-dpdn_minQ</f>
        <v>60</v>
      </c>
      <c r="AK2527" s="107"/>
      <c r="AL2527" s="1"/>
      <c r="AM2527" s="97">
        <f ca="1">P_2_minQ+(AM2524^2*R_dn)-dpdn_minQ</f>
        <v>60</v>
      </c>
      <c r="AN2527" s="107"/>
      <c r="AO2527" s="1"/>
      <c r="AP2527" s="97">
        <f ca="1">P_2_minQ+(AP2524^2*R_dn)-dpdn_minQ</f>
        <v>60</v>
      </c>
      <c r="AQ2527" s="107"/>
      <c r="AR2527" s="1"/>
      <c r="AS2527" s="97">
        <f ca="1">P_2_minQ+(AS2524^2*R_dn)-dpdn_minQ</f>
        <v>60</v>
      </c>
      <c r="AT2527" s="107"/>
      <c r="AU2527" s="1"/>
    </row>
    <row r="2528" spans="15:47" x14ac:dyDescent="0.25">
      <c r="O2528" s="8" t="s">
        <v>138</v>
      </c>
      <c r="P2528" s="1"/>
      <c r="Q2528" s="8"/>
      <c r="R2528" s="97">
        <f>R2526-R2527</f>
        <v>30.163713616557345</v>
      </c>
      <c r="S2528" s="106"/>
      <c r="T2528" s="22"/>
      <c r="U2528" s="97">
        <f ca="1">U2526-U2527</f>
        <v>29.321786822729834</v>
      </c>
      <c r="V2528" s="110"/>
      <c r="W2528" s="25"/>
      <c r="X2528" s="97">
        <f ca="1">X2526-X2527</f>
        <v>25.009142245439335</v>
      </c>
      <c r="Y2528" s="110"/>
      <c r="Z2528" s="25"/>
      <c r="AA2528" s="97">
        <f ca="1">AA2526-AA2527</f>
        <v>10.549185368321076</v>
      </c>
      <c r="AB2528" s="110"/>
      <c r="AC2528" s="25"/>
      <c r="AD2528" s="97">
        <f ca="1">AD2526-AD2527</f>
        <v>-25.082825144044023</v>
      </c>
      <c r="AE2528" s="110"/>
      <c r="AF2528" s="25"/>
      <c r="AG2528" s="97">
        <f ca="1">AG2526-AG2527</f>
        <v>-87.547658637478804</v>
      </c>
      <c r="AH2528" s="110"/>
      <c r="AI2528" s="25"/>
      <c r="AJ2528" s="97">
        <f ca="1">AJ2526-AJ2527</f>
        <v>-179.48519365370908</v>
      </c>
      <c r="AK2528" s="110"/>
      <c r="AL2528" s="25"/>
      <c r="AM2528" s="97">
        <f ca="1">AM2526-AM2527</f>
        <v>-281.9853671591988</v>
      </c>
      <c r="AN2528" s="110"/>
      <c r="AO2528" s="25"/>
      <c r="AP2528" s="97">
        <f ca="1">AP2526-AP2527</f>
        <v>-390.57350487300653</v>
      </c>
      <c r="AQ2528" s="110"/>
      <c r="AR2528" s="25"/>
      <c r="AS2528" s="97">
        <f ca="1">AS2526-AS2527</f>
        <v>-548.3329993842633</v>
      </c>
      <c r="AT2528" s="110"/>
      <c r="AU2528" s="25"/>
    </row>
    <row r="2529" spans="15:47" ht="14.4" x14ac:dyDescent="0.3">
      <c r="O2529" s="2" t="s">
        <v>140</v>
      </c>
      <c r="P2529" s="11"/>
      <c r="Q2529" s="2"/>
      <c r="R2529" s="96">
        <f>R2528/R2526</f>
        <v>0.33454382485659051</v>
      </c>
      <c r="S2529" s="106"/>
      <c r="T2529" s="22"/>
      <c r="U2529" s="96">
        <f ca="1">U2528/U2526</f>
        <v>0.3282713866989983</v>
      </c>
      <c r="V2529" s="111"/>
      <c r="W2529" s="28"/>
      <c r="X2529" s="96">
        <f ca="1">X2528/X2526</f>
        <v>0.29419356065530766</v>
      </c>
      <c r="Y2529" s="111"/>
      <c r="Z2529" s="28"/>
      <c r="AA2529" s="96">
        <f ca="1">AA2528/AA2526</f>
        <v>0.14952951353366031</v>
      </c>
      <c r="AB2529" s="111"/>
      <c r="AC2529" s="28"/>
      <c r="AD2529" s="96">
        <f ca="1">AD2528/AD2526</f>
        <v>-0.71835207881274321</v>
      </c>
      <c r="AE2529" s="111"/>
      <c r="AF2529" s="28"/>
      <c r="AG2529" s="96">
        <f ca="1">AG2528/AG2526</f>
        <v>3.178043542269307</v>
      </c>
      <c r="AH2529" s="111"/>
      <c r="AI2529" s="28"/>
      <c r="AJ2529" s="96">
        <f ca="1">AJ2528/AJ2526</f>
        <v>1.5021542683681082</v>
      </c>
      <c r="AK2529" s="111"/>
      <c r="AL2529" s="28"/>
      <c r="AM2529" s="96">
        <f ca="1">AM2528/AM2526</f>
        <v>1.2702880859573527</v>
      </c>
      <c r="AN2529" s="111"/>
      <c r="AO2529" s="28"/>
      <c r="AP2529" s="96">
        <f ca="1">AP2528/AP2526</f>
        <v>1.1815027493599333</v>
      </c>
      <c r="AQ2529" s="111"/>
      <c r="AR2529" s="28"/>
      <c r="AS2529" s="96">
        <f ca="1">AS2528/AS2526</f>
        <v>1.1228669782211191</v>
      </c>
      <c r="AT2529" s="111"/>
      <c r="AU2529" s="28"/>
    </row>
    <row r="2530" spans="15:47" x14ac:dyDescent="0.25">
      <c r="O2530" s="2" t="s">
        <v>21</v>
      </c>
      <c r="P2530" s="8">
        <v>12</v>
      </c>
      <c r="Q2530" s="2"/>
      <c r="R2530" s="96">
        <f ca="1">1-R2529/(3*F_GAMMA*R$29)</f>
        <v>0.82576650939992047</v>
      </c>
      <c r="S2530" s="106"/>
      <c r="T2530" s="22"/>
      <c r="U2530" s="96">
        <f ca="1">1-U2529/(3*F_GAMMA*U$29)</f>
        <v>0.82907297083544562</v>
      </c>
      <c r="V2530" s="111"/>
      <c r="W2530" s="28"/>
      <c r="X2530" s="96">
        <f ca="1">1-X2529/(3*F_GAMMA*X$29)</f>
        <v>0.84535794068684467</v>
      </c>
      <c r="Y2530" s="111"/>
      <c r="Z2530" s="28"/>
      <c r="AA2530" s="96">
        <f ca="1">1-AA2529/(3*F_GAMMA*AA$29)</f>
        <v>0.92029226159250743</v>
      </c>
      <c r="AB2530" s="111"/>
      <c r="AC2530" s="28"/>
      <c r="AD2530" s="96">
        <f ca="1">1-AD2529/(3*F_GAMMA*AD$29)</f>
        <v>1.3947985583101368</v>
      </c>
      <c r="AE2530" s="111"/>
      <c r="AF2530" s="28"/>
      <c r="AG2530" s="96">
        <f ca="1">1-AG2529/(3*F_GAMMA*AG$29)</f>
        <v>-0.85142636888185552</v>
      </c>
      <c r="AH2530" s="111"/>
      <c r="AI2530" s="28"/>
      <c r="AJ2530" s="96">
        <f ca="1">1-AJ2529/(3*F_GAMMA*AJ$29)</f>
        <v>5.8504720941101707E-2</v>
      </c>
      <c r="AK2530" s="111"/>
      <c r="AL2530" s="28"/>
      <c r="AM2530" s="96">
        <f ca="1">1-AM2529/(3*F_GAMMA*AM$29)</f>
        <v>0.10981625579920662</v>
      </c>
      <c r="AN2530" s="111"/>
      <c r="AO2530" s="28"/>
      <c r="AP2530" s="96">
        <f ca="1">1-AP2529/(3*F_GAMMA*AP$29)</f>
        <v>0.333096497599635</v>
      </c>
      <c r="AQ2530" s="111"/>
      <c r="AR2530" s="28"/>
      <c r="AS2530" s="96">
        <f ca="1">1-AS2529/(3*F_GAMMA*AS$29)</f>
        <v>6.3738430914846989E-3</v>
      </c>
      <c r="AT2530" s="111"/>
      <c r="AU2530" s="28"/>
    </row>
    <row r="2531" spans="15:47" x14ac:dyDescent="0.25">
      <c r="O2531" s="2" t="s">
        <v>57</v>
      </c>
      <c r="P2531" s="143">
        <v>7</v>
      </c>
      <c r="Q2531" s="2"/>
      <c r="R2531" s="96">
        <f ca="1">(R2524/(N_9*R$27*R2526*R2530))*SQRT(M*'Valve Sizing'!$W$6*'Valve Sizing'!$G$8/R2529)</f>
        <v>4.3700630846407007</v>
      </c>
      <c r="S2531" s="107"/>
      <c r="T2531" s="22"/>
      <c r="U2531" s="96">
        <f ca="1">(U2524/(N_9*U$27*U2526*U2530))*SQRT(M*'Valve Sizing'!$W$6*'Valve Sizing'!$G$8/U2529)</f>
        <v>28.237528475621033</v>
      </c>
      <c r="V2531" s="111"/>
      <c r="W2531" s="28"/>
      <c r="X2531" s="96">
        <f ca="1">(X2524/(N_9*X$27*X2526*X2530))*SQRT(M*'Valve Sizing'!$W$6*'Valve Sizing'!$G$8/X2529)</f>
        <v>75.438447874213011</v>
      </c>
      <c r="Y2531" s="111"/>
      <c r="Z2531" s="28"/>
      <c r="AA2531" s="96">
        <f ca="1">(AA2524/(N_9*AA$27*AA2526*AA2530))*SQRT(M*'Valve Sizing'!$W$6*'Valve Sizing'!$G$8/AA2529)</f>
        <v>229.47534150086437</v>
      </c>
      <c r="AB2531" s="111"/>
      <c r="AC2531" s="28"/>
      <c r="AD2531" s="96" t="e">
        <f ca="1">(AD2524/(N_9*AD$27*AD2526*AD2530))*SQRT(M*'Valve Sizing'!$W$6*'Valve Sizing'!$G$8/AD2529)</f>
        <v>#NUM!</v>
      </c>
      <c r="AE2531" s="111"/>
      <c r="AF2531" s="28"/>
      <c r="AG2531" s="96">
        <f ca="1">(AG2524/(N_9*AG$27*AG2526*AG2530))*SQRT(M*'Valve Sizing'!$W$6*'Valve Sizing'!$G$8/AG2529)</f>
        <v>349.25401784981227</v>
      </c>
      <c r="AH2531" s="111"/>
      <c r="AI2531" s="28"/>
      <c r="AJ2531" s="96">
        <f ca="1">(AJ2524/(N_9*AJ$27*AJ2526*AJ2530))*SQRT(M*'Valve Sizing'!$W$6*'Valve Sizing'!$G$8/AJ2529)</f>
        <v>-2356.8596882903839</v>
      </c>
      <c r="AK2531" s="111"/>
      <c r="AL2531" s="28"/>
      <c r="AM2531" s="96">
        <f ca="1">(AM2524/(N_9*AM$27*AM2526*AM2530))*SQRT(M*'Valve Sizing'!$W$6*'Valve Sizing'!$G$8/AM2529)</f>
        <v>-951.48090321635391</v>
      </c>
      <c r="AN2531" s="111"/>
      <c r="AO2531" s="28"/>
      <c r="AP2531" s="96">
        <f ca="1">(AP2524/(N_9*AP$27*AP2526*AP2530))*SQRT(M*'Valve Sizing'!$W$6*'Valve Sizing'!$G$8/AP2529)</f>
        <v>-288.61823343353251</v>
      </c>
      <c r="AQ2531" s="111"/>
      <c r="AR2531" s="28"/>
      <c r="AS2531" s="96">
        <f ca="1">(AS2524/(N_9*AS$27*AS2526*AS2530))*SQRT(M*'Valve Sizing'!$W$6*'Valve Sizing'!$G$8/AS2529)</f>
        <v>-16449.270609722687</v>
      </c>
      <c r="AT2531" s="111"/>
      <c r="AU2531" s="28"/>
    </row>
    <row r="2532" spans="15:47" x14ac:dyDescent="0.25">
      <c r="O2532" s="2" t="s">
        <v>59</v>
      </c>
      <c r="P2532" s="143">
        <v>7</v>
      </c>
      <c r="Q2532" s="2"/>
      <c r="R2532" s="96">
        <f ca="1">(R2524/(N_9*R$27*R2526*0.667))*SQRT(M*'Valve Sizing'!$W$6*'Valve Sizing'!$G$8/R2533)</f>
        <v>3.9115202567618637</v>
      </c>
      <c r="S2532" s="107"/>
      <c r="T2532" s="22"/>
      <c r="U2532" s="96">
        <f ca="1">(U2524/(N_9*U$27*U2526*0.667))*SQRT(M*'Valve Sizing'!$W$6*'Valve Sizing'!$G$8/U2533)</f>
        <v>25.133883872161249</v>
      </c>
      <c r="V2532" s="111"/>
      <c r="W2532" s="28"/>
      <c r="X2532" s="96">
        <f ca="1">(X2524/(N_9*X$27*X2526*0.667))*SQRT(M*'Valve Sizing'!$W$6*'Valve Sizing'!$G$8/X2533)</f>
        <v>65.122638257751589</v>
      </c>
      <c r="Y2532" s="111"/>
      <c r="Z2532" s="28"/>
      <c r="AA2532" s="96">
        <f ca="1">(AA2524/(N_9*AA$27*AA2526*0.667))*SQRT(M*'Valve Sizing'!$W$6*'Valve Sizing'!$G$8/AA2533)</f>
        <v>154.82704746104</v>
      </c>
      <c r="AB2532" s="111"/>
      <c r="AC2532" s="28"/>
      <c r="AD2532" s="96">
        <f ca="1">(AD2524/(N_9*AD$27*AD2526*0.667))*SQRT(M*'Valve Sizing'!$W$6*'Valve Sizing'!$G$8/AD2533)</f>
        <v>539.49869996123437</v>
      </c>
      <c r="AE2532" s="111"/>
      <c r="AF2532" s="28"/>
      <c r="AG2532" s="96">
        <f ca="1">(AG2524/(N_9*AG$27*AG2526*0.667))*SQRT(M*'Valve Sizing'!$W$6*'Valve Sizing'!$G$8/AG2533)</f>
        <v>-1050.6946553599971</v>
      </c>
      <c r="AH2532" s="111"/>
      <c r="AI2532" s="28"/>
      <c r="AJ2532" s="96">
        <f ca="1">(AJ2524/(N_9*AJ$27*AJ2526*0.667))*SQRT(M*'Valve Sizing'!$W$6*'Valve Sizing'!$G$8/AJ2533)</f>
        <v>-347.43095271456139</v>
      </c>
      <c r="AK2532" s="111"/>
      <c r="AL2532" s="28"/>
      <c r="AM2532" s="96">
        <f ca="1">(AM2524/(N_9*AM$27*AM2526*0.667))*SQRT(M*'Valve Sizing'!$W$6*'Valve Sizing'!$G$8/AM2533)</f>
        <v>-256.00080534475603</v>
      </c>
      <c r="AN2532" s="111"/>
      <c r="AO2532" s="28"/>
      <c r="AP2532" s="96">
        <f ca="1">(AP2524/(N_9*AP$27*AP2526*0.667))*SQRT(M*'Valve Sizing'!$W$6*'Valve Sizing'!$G$8/AP2533)</f>
        <v>-203.87319214994724</v>
      </c>
      <c r="AQ2532" s="111"/>
      <c r="AR2532" s="28"/>
      <c r="AS2532" s="96">
        <f ca="1">(AS2524/(N_9*AS$27*AS2526*0.667))*SQRT(M*'Valve Sizing'!$W$6*'Valve Sizing'!$G$8/AS2533)</f>
        <v>-271.39029592579419</v>
      </c>
      <c r="AT2532" s="111"/>
      <c r="AU2532" s="28"/>
    </row>
    <row r="2533" spans="15:47" ht="15.6" x14ac:dyDescent="0.35">
      <c r="O2533" s="2" t="s">
        <v>68</v>
      </c>
      <c r="P2533" s="143">
        <v>10</v>
      </c>
      <c r="Q2533" s="2"/>
      <c r="R2533" s="96">
        <f ca="1">F_GAMMA*R$29</f>
        <v>0.64002969751372984</v>
      </c>
      <c r="S2533" s="107"/>
      <c r="T2533" s="1"/>
      <c r="U2533" s="96">
        <f ca="1">F_GAMMA*U$29</f>
        <v>0.64017842058782071</v>
      </c>
      <c r="V2533" s="111"/>
      <c r="W2533" s="28"/>
      <c r="X2533" s="96">
        <f ca="1">F_GAMMA*X$29</f>
        <v>0.63413873724904268</v>
      </c>
      <c r="Y2533" s="111"/>
      <c r="Z2533" s="28"/>
      <c r="AA2533" s="96">
        <f ca="1">F_GAMMA*AA$29</f>
        <v>0.62532411750377137</v>
      </c>
      <c r="AB2533" s="111"/>
      <c r="AC2533" s="28"/>
      <c r="AD2533" s="96">
        <f ca="1">F_GAMMA*AD$29</f>
        <v>0.60651359509139569</v>
      </c>
      <c r="AE2533" s="111"/>
      <c r="AF2533" s="28"/>
      <c r="AG2533" s="96">
        <f ca="1">F_GAMMA*AG$29</f>
        <v>0.57217930198481592</v>
      </c>
      <c r="AH2533" s="111"/>
      <c r="AI2533" s="28"/>
      <c r="AJ2533" s="96">
        <f ca="1">F_GAMMA*AJ$29</f>
        <v>0.53183282018848232</v>
      </c>
      <c r="AK2533" s="111"/>
      <c r="AL2533" s="28"/>
      <c r="AM2533" s="96">
        <f ca="1">F_GAMMA*AM$29</f>
        <v>0.47566512503094399</v>
      </c>
      <c r="AN2533" s="111"/>
      <c r="AO2533" s="28"/>
      <c r="AP2533" s="96">
        <f ca="1">F_GAMMA*AP$29</f>
        <v>0.59054158265645496</v>
      </c>
      <c r="AQ2533" s="111"/>
      <c r="AR2533" s="28"/>
      <c r="AS2533" s="96">
        <f ca="1">F_GAMMA*AS$29</f>
        <v>0.3766899554102966</v>
      </c>
      <c r="AT2533" s="111"/>
      <c r="AU2533" s="28"/>
    </row>
    <row r="2534" spans="15:47" x14ac:dyDescent="0.25">
      <c r="O2534" s="2" t="s">
        <v>145</v>
      </c>
      <c r="P2534" s="12"/>
      <c r="Q2534" s="2"/>
      <c r="R2534" s="96">
        <f ca="1">IF(R2529&lt;R2533,R2531,R2532)</f>
        <v>4.3700630846407007</v>
      </c>
      <c r="S2534" s="116"/>
      <c r="T2534" s="1"/>
      <c r="U2534" s="96">
        <f ca="1">IF(U2529&lt;U2533,U2531,U2532)</f>
        <v>28.237528475621033</v>
      </c>
      <c r="V2534" s="111"/>
      <c r="W2534" s="28"/>
      <c r="X2534" s="96">
        <f ca="1">IF(X2529&lt;X2533,X2531,X2532)</f>
        <v>75.438447874213011</v>
      </c>
      <c r="Y2534" s="111"/>
      <c r="Z2534" s="28"/>
      <c r="AA2534" s="96">
        <f ca="1">IF(AA2529&lt;AA2533,AA2531,AA2532)</f>
        <v>229.47534150086437</v>
      </c>
      <c r="AB2534" s="111"/>
      <c r="AC2534" s="28"/>
      <c r="AD2534" s="96" t="e">
        <f ca="1">IF(AD2529&lt;AD2533,AD2531,AD2532)</f>
        <v>#NUM!</v>
      </c>
      <c r="AE2534" s="111"/>
      <c r="AF2534" s="28"/>
      <c r="AG2534" s="96">
        <f ca="1">IF(AG2529&lt;AG2533,AG2531,AG2532)</f>
        <v>-1050.6946553599971</v>
      </c>
      <c r="AH2534" s="111"/>
      <c r="AI2534" s="28"/>
      <c r="AJ2534" s="96">
        <f ca="1">IF(AJ2529&lt;AJ2533,AJ2531,AJ2532)</f>
        <v>-347.43095271456139</v>
      </c>
      <c r="AK2534" s="111"/>
      <c r="AL2534" s="28"/>
      <c r="AM2534" s="96">
        <f ca="1">IF(AM2529&lt;AM2533,AM2531,AM2532)</f>
        <v>-256.00080534475603</v>
      </c>
      <c r="AN2534" s="111"/>
      <c r="AO2534" s="28"/>
      <c r="AP2534" s="96">
        <f ca="1">IF(AP2529&lt;AP2533,AP2531,AP2532)</f>
        <v>-203.87319214994724</v>
      </c>
      <c r="AQ2534" s="111"/>
      <c r="AR2534" s="28"/>
      <c r="AS2534" s="96">
        <f ca="1">IF(AS2529&lt;AS2533,AS2531,AS2532)</f>
        <v>-271.39029592579419</v>
      </c>
      <c r="AT2534" s="111"/>
      <c r="AU2534" s="28"/>
    </row>
    <row r="2535" spans="15:47" x14ac:dyDescent="0.25">
      <c r="O2535" s="13" t="s">
        <v>143</v>
      </c>
      <c r="P2535" s="1"/>
      <c r="Q2535" s="1"/>
      <c r="R2535" s="113"/>
      <c r="S2535" s="106">
        <f ca="1">IF(R2528&lt;=0,Q_max,ABS(R$23-R2534))</f>
        <v>0.35993691535929973</v>
      </c>
      <c r="T2535" s="7">
        <f>R2524</f>
        <v>10817.259222681174</v>
      </c>
      <c r="U2535" s="98"/>
      <c r="V2535" s="106">
        <f ca="1">IF(U2528&lt;=0,Q_max,ABS(U$23-U2534))</f>
        <v>16.637528475621032</v>
      </c>
      <c r="W2535" s="9">
        <f ca="1">U2524</f>
        <v>68821.234326585225</v>
      </c>
      <c r="X2535" s="98"/>
      <c r="Y2535" s="106">
        <f ca="1">IF(X2528&lt;=0,Q_max,ABS(X$23-X2534))</f>
        <v>52.438447874213011</v>
      </c>
      <c r="Z2535" s="9">
        <f ca="1">X2524</f>
        <v>168517.92308171638</v>
      </c>
      <c r="AA2535" s="98"/>
      <c r="AB2535" s="106">
        <f ca="1">IF(AA2528&lt;=0,Q_max,ABS(AA$23-AA2534))</f>
        <v>190.07534150086437</v>
      </c>
      <c r="AC2535" s="9">
        <f ca="1">AA2524</f>
        <v>328229.90073625033</v>
      </c>
      <c r="AD2535" s="98"/>
      <c r="AE2535" s="106">
        <f ca="1">IF(AD2528&lt;=0,Q_max,ABS(AD$23-AD2534))</f>
        <v>236393</v>
      </c>
      <c r="AF2535" s="9">
        <f ca="1">AD2524</f>
        <v>550667.66815808904</v>
      </c>
      <c r="AG2535" s="98"/>
      <c r="AH2535" s="106">
        <f ca="1">IF(AG2528&lt;=0,Q_max,ABS(AG$23-AG2534))</f>
        <v>236393</v>
      </c>
      <c r="AI2535" s="9">
        <f ca="1">AG2524</f>
        <v>803714.45973940997</v>
      </c>
      <c r="AJ2535" s="98"/>
      <c r="AK2535" s="106">
        <f ca="1">IF(AJ2528&lt;=0,Q_max,ABS(AJ$23-AJ2534))</f>
        <v>236393</v>
      </c>
      <c r="AL2535" s="9">
        <f ca="1">AJ2524</f>
        <v>1072560.0621753824</v>
      </c>
      <c r="AM2535" s="98"/>
      <c r="AN2535" s="106">
        <f ca="1">IF(AM2528&lt;=0,Q_max,ABS(AM$23-AM2534))</f>
        <v>236393</v>
      </c>
      <c r="AO2535" s="9">
        <f ca="1">AM2524</f>
        <v>1308727.1051123741</v>
      </c>
      <c r="AP2535" s="98"/>
      <c r="AQ2535" s="106">
        <f ca="1">IF(AP2528&lt;=0,Q_max,ABS(AP$23-AP2534))</f>
        <v>236393</v>
      </c>
      <c r="AR2535" s="9">
        <f ca="1">AP2524</f>
        <v>1519391.5400867152</v>
      </c>
      <c r="AS2535" s="98"/>
      <c r="AT2535" s="106">
        <f ca="1">IF(AS2528&lt;=0,Q_max,ABS(AS$23-AS2534))</f>
        <v>236393</v>
      </c>
      <c r="AU2535" s="9">
        <f ca="1">AS2524</f>
        <v>1781606.0731834122</v>
      </c>
    </row>
    <row r="2536" spans="15:47" x14ac:dyDescent="0.25">
      <c r="O2536" s="21"/>
      <c r="P2536" s="14"/>
      <c r="Q2536" s="21"/>
      <c r="R2536" s="97"/>
      <c r="S2536" s="106"/>
      <c r="T2536" s="28"/>
      <c r="U2536" s="99"/>
      <c r="V2536" s="110"/>
      <c r="W2536" s="25"/>
      <c r="X2536" s="99"/>
      <c r="Y2536" s="110"/>
      <c r="Z2536" s="25"/>
      <c r="AA2536" s="99"/>
      <c r="AB2536" s="110"/>
      <c r="AC2536" s="25"/>
      <c r="AD2536" s="99"/>
      <c r="AE2536" s="110"/>
      <c r="AF2536" s="25"/>
      <c r="AG2536" s="99"/>
      <c r="AH2536" s="110"/>
      <c r="AI2536" s="25"/>
      <c r="AJ2536" s="99"/>
      <c r="AK2536" s="110"/>
      <c r="AL2536" s="25"/>
      <c r="AM2536" s="99"/>
      <c r="AN2536" s="110"/>
      <c r="AO2536" s="25"/>
      <c r="AP2536" s="99"/>
      <c r="AQ2536" s="110"/>
      <c r="AR2536" s="25"/>
      <c r="AS2536" s="99"/>
      <c r="AT2536" s="110"/>
      <c r="AU2536" s="25"/>
    </row>
    <row r="2537" spans="15:47" x14ac:dyDescent="0.25">
      <c r="O2537" s="1"/>
      <c r="P2537" s="1"/>
      <c r="Q2537" s="1"/>
      <c r="R2537" s="98"/>
      <c r="S2537" s="108" t="s">
        <v>137</v>
      </c>
      <c r="T2537" s="26" t="s">
        <v>146</v>
      </c>
      <c r="U2537" s="98"/>
      <c r="V2537" s="108" t="s">
        <v>137</v>
      </c>
      <c r="W2537" s="26" t="s">
        <v>146</v>
      </c>
      <c r="X2537" s="98"/>
      <c r="Y2537" s="108" t="s">
        <v>137</v>
      </c>
      <c r="Z2537" s="26" t="s">
        <v>146</v>
      </c>
      <c r="AA2537" s="98"/>
      <c r="AB2537" s="108" t="s">
        <v>137</v>
      </c>
      <c r="AC2537" s="26" t="s">
        <v>146</v>
      </c>
      <c r="AD2537" s="98"/>
      <c r="AE2537" s="108" t="s">
        <v>137</v>
      </c>
      <c r="AF2537" s="26" t="s">
        <v>146</v>
      </c>
      <c r="AG2537" s="98"/>
      <c r="AH2537" s="108" t="s">
        <v>137</v>
      </c>
      <c r="AI2537" s="26" t="s">
        <v>146</v>
      </c>
      <c r="AJ2537" s="98"/>
      <c r="AK2537" s="108" t="s">
        <v>137</v>
      </c>
      <c r="AL2537" s="26" t="s">
        <v>146</v>
      </c>
      <c r="AM2537" s="98"/>
      <c r="AN2537" s="108" t="s">
        <v>137</v>
      </c>
      <c r="AO2537" s="26" t="s">
        <v>146</v>
      </c>
      <c r="AP2537" s="98"/>
      <c r="AQ2537" s="108" t="s">
        <v>137</v>
      </c>
      <c r="AR2537" s="26" t="s">
        <v>146</v>
      </c>
      <c r="AS2537" s="98"/>
      <c r="AT2537" s="108" t="s">
        <v>137</v>
      </c>
      <c r="AU2537" s="26" t="s">
        <v>146</v>
      </c>
    </row>
    <row r="2538" spans="15:47" ht="13.8" x14ac:dyDescent="0.25">
      <c r="O2538" s="20" t="s">
        <v>136</v>
      </c>
      <c r="P2538" s="1"/>
      <c r="Q2538" s="1"/>
      <c r="R2538" s="96">
        <f>R2524*1.02</f>
        <v>11033.604407134797</v>
      </c>
      <c r="S2538" s="109" t="s">
        <v>144</v>
      </c>
      <c r="T2538" s="23" t="s">
        <v>147</v>
      </c>
      <c r="U2538" s="96">
        <f ca="1">U2524*1.01</f>
        <v>69509.446669851081</v>
      </c>
      <c r="V2538" s="109" t="s">
        <v>144</v>
      </c>
      <c r="W2538" s="23" t="s">
        <v>147</v>
      </c>
      <c r="X2538" s="96">
        <f ca="1">X2524*1.01</f>
        <v>170203.10231253353</v>
      </c>
      <c r="Y2538" s="109" t="s">
        <v>144</v>
      </c>
      <c r="Z2538" s="23" t="s">
        <v>147</v>
      </c>
      <c r="AA2538" s="96">
        <f ca="1">AA2524*1.01</f>
        <v>331512.19974361284</v>
      </c>
      <c r="AB2538" s="109" t="s">
        <v>144</v>
      </c>
      <c r="AC2538" s="23" t="s">
        <v>147</v>
      </c>
      <c r="AD2538" s="96">
        <f ca="1">AD2524*1.01</f>
        <v>556174.34483967</v>
      </c>
      <c r="AE2538" s="109" t="s">
        <v>144</v>
      </c>
      <c r="AF2538" s="23" t="s">
        <v>147</v>
      </c>
      <c r="AG2538" s="96">
        <f ca="1">AG2524*1.01</f>
        <v>811751.60433680413</v>
      </c>
      <c r="AH2538" s="109" t="s">
        <v>144</v>
      </c>
      <c r="AI2538" s="23" t="s">
        <v>147</v>
      </c>
      <c r="AJ2538" s="96">
        <f ca="1">AJ2524*1.01</f>
        <v>1083285.6627971362</v>
      </c>
      <c r="AK2538" s="109" t="s">
        <v>144</v>
      </c>
      <c r="AL2538" s="23" t="s">
        <v>147</v>
      </c>
      <c r="AM2538" s="96">
        <f ca="1">AM2524*1.01</f>
        <v>1321814.3761634978</v>
      </c>
      <c r="AN2538" s="109" t="s">
        <v>144</v>
      </c>
      <c r="AO2538" s="23" t="s">
        <v>147</v>
      </c>
      <c r="AP2538" s="96">
        <f ca="1">AP2524*1.01</f>
        <v>1534585.4554875824</v>
      </c>
      <c r="AQ2538" s="109" t="s">
        <v>144</v>
      </c>
      <c r="AR2538" s="23" t="s">
        <v>147</v>
      </c>
      <c r="AS2538" s="96">
        <f ca="1">AS2524*1.01</f>
        <v>1799422.1339152462</v>
      </c>
      <c r="AT2538" s="109" t="s">
        <v>144</v>
      </c>
      <c r="AU2538" s="23" t="s">
        <v>147</v>
      </c>
    </row>
    <row r="2539" spans="15:47" x14ac:dyDescent="0.25">
      <c r="O2539" s="1"/>
      <c r="P2539" s="1"/>
      <c r="Q2539" s="1"/>
      <c r="R2539" s="98"/>
      <c r="S2539" s="107"/>
      <c r="T2539" s="1"/>
      <c r="U2539" s="47"/>
      <c r="V2539" s="107"/>
      <c r="W2539" s="1"/>
      <c r="X2539" s="47"/>
      <c r="Y2539" s="107"/>
      <c r="Z2539" s="1"/>
      <c r="AA2539" s="47"/>
      <c r="AB2539" s="107"/>
      <c r="AC2539" s="1"/>
      <c r="AD2539" s="47"/>
      <c r="AE2539" s="107"/>
      <c r="AF2539" s="1"/>
      <c r="AG2539" s="47"/>
      <c r="AH2539" s="107"/>
      <c r="AI2539" s="1"/>
      <c r="AJ2539" s="47"/>
      <c r="AK2539" s="107"/>
      <c r="AL2539" s="1"/>
      <c r="AM2539" s="47"/>
      <c r="AN2539" s="107"/>
      <c r="AO2539" s="1"/>
      <c r="AP2539" s="47"/>
      <c r="AQ2539" s="107"/>
      <c r="AR2539" s="1"/>
      <c r="AS2539" s="47"/>
      <c r="AT2539" s="107"/>
      <c r="AU2539" s="1"/>
    </row>
    <row r="2540" spans="15:47" x14ac:dyDescent="0.25">
      <c r="O2540" s="8" t="s">
        <v>132</v>
      </c>
      <c r="P2540" s="8"/>
      <c r="Q2540" s="8"/>
      <c r="R2540" s="96">
        <f>P_1_minQ-(R2538^2*R_up)+dpup_minQ</f>
        <v>90.162852009243935</v>
      </c>
      <c r="S2540" s="106"/>
      <c r="T2540" s="22"/>
      <c r="U2540" s="96">
        <f ca="1">P_1_minQ-(U2538^2*R_up)+dpup_minQ</f>
        <v>89.304435423208574</v>
      </c>
      <c r="V2540" s="107"/>
      <c r="W2540" s="1"/>
      <c r="X2540" s="96">
        <f ca="1">P_1_minQ-(X2538^2*R_up)+dpup_minQ</f>
        <v>84.905106689914533</v>
      </c>
      <c r="Y2540" s="107"/>
      <c r="Z2540" s="1"/>
      <c r="AA2540" s="96">
        <f ca="1">P_1_minQ-(AA2538^2*R_up)+dpup_minQ</f>
        <v>70.154504679566202</v>
      </c>
      <c r="AB2540" s="107"/>
      <c r="AC2540" s="1"/>
      <c r="AD2540" s="96">
        <f ca="1">P_1_minQ-(AD2538^2*R_up)+dpup_minQ</f>
        <v>33.806290755902545</v>
      </c>
      <c r="AE2540" s="107"/>
      <c r="AF2540" s="1"/>
      <c r="AG2540" s="96">
        <f ca="1">P_1_minQ-(AG2538^2*R_up)+dpup_minQ</f>
        <v>-29.914085890750272</v>
      </c>
      <c r="AH2540" s="107"/>
      <c r="AI2540" s="1"/>
      <c r="AJ2540" s="96">
        <f ca="1">P_1_minQ-(AJ2538^2*R_up)+dpup_minQ</f>
        <v>-123.69956536080679</v>
      </c>
      <c r="AK2540" s="107"/>
      <c r="AL2540" s="1"/>
      <c r="AM2540" s="96">
        <f ca="1">P_1_minQ-(AM2538^2*R_up)+dpup_minQ</f>
        <v>-228.25999235375684</v>
      </c>
      <c r="AN2540" s="107"/>
      <c r="AO2540" s="1"/>
      <c r="AP2540" s="96">
        <f ca="1">P_1_minQ-(AP2538^2*R_up)+dpup_minQ</f>
        <v>-339.03075163561209</v>
      </c>
      <c r="AQ2540" s="107"/>
      <c r="AR2540" s="1"/>
      <c r="AS2540" s="96">
        <f ca="1">P_1_minQ-(AS2538^2*R_up)+dpup_minQ</f>
        <v>-499.96121198654492</v>
      </c>
      <c r="AT2540" s="107"/>
      <c r="AU2540" s="1"/>
    </row>
    <row r="2541" spans="15:47" x14ac:dyDescent="0.25">
      <c r="O2541" s="8" t="s">
        <v>134</v>
      </c>
      <c r="P2541" s="1"/>
      <c r="Q2541" s="8"/>
      <c r="R2541" s="97">
        <f>P_2_minQ+(R2538^2*R_dn)-dpdn_minQ</f>
        <v>60</v>
      </c>
      <c r="S2541" s="106"/>
      <c r="T2541" s="22"/>
      <c r="U2541" s="97">
        <f ca="1">P_2_minQ+(U2538^2*R_dn)-dpdn_minQ</f>
        <v>60</v>
      </c>
      <c r="V2541" s="107"/>
      <c r="W2541" s="1"/>
      <c r="X2541" s="97">
        <f ca="1">P_2_minQ+(X2538^2*R_dn)-dpdn_minQ</f>
        <v>60</v>
      </c>
      <c r="Y2541" s="107"/>
      <c r="Z2541" s="1"/>
      <c r="AA2541" s="97">
        <f ca="1">P_2_minQ+(AA2538^2*R_dn)-dpdn_minQ</f>
        <v>60</v>
      </c>
      <c r="AB2541" s="107"/>
      <c r="AC2541" s="1"/>
      <c r="AD2541" s="97">
        <f ca="1">P_2_minQ+(AD2538^2*R_dn)-dpdn_minQ</f>
        <v>60</v>
      </c>
      <c r="AE2541" s="107"/>
      <c r="AF2541" s="1"/>
      <c r="AG2541" s="97">
        <f ca="1">P_2_minQ+(AG2538^2*R_dn)-dpdn_minQ</f>
        <v>60</v>
      </c>
      <c r="AH2541" s="107"/>
      <c r="AI2541" s="1"/>
      <c r="AJ2541" s="97">
        <f ca="1">P_2_minQ+(AJ2538^2*R_dn)-dpdn_minQ</f>
        <v>60</v>
      </c>
      <c r="AK2541" s="107"/>
      <c r="AL2541" s="1"/>
      <c r="AM2541" s="97">
        <f ca="1">P_2_minQ+(AM2538^2*R_dn)-dpdn_minQ</f>
        <v>60</v>
      </c>
      <c r="AN2541" s="107"/>
      <c r="AO2541" s="1"/>
      <c r="AP2541" s="97">
        <f ca="1">P_2_minQ+(AP2538^2*R_dn)-dpdn_minQ</f>
        <v>60</v>
      </c>
      <c r="AQ2541" s="107"/>
      <c r="AR2541" s="1"/>
      <c r="AS2541" s="97">
        <f ca="1">P_2_minQ+(AS2538^2*R_dn)-dpdn_minQ</f>
        <v>60</v>
      </c>
      <c r="AT2541" s="107"/>
      <c r="AU2541" s="1"/>
    </row>
    <row r="2542" spans="15:47" x14ac:dyDescent="0.25">
      <c r="O2542" s="8" t="s">
        <v>138</v>
      </c>
      <c r="P2542" s="1"/>
      <c r="Q2542" s="8"/>
      <c r="R2542" s="97">
        <f>R2540-R2541</f>
        <v>30.162852009243935</v>
      </c>
      <c r="S2542" s="106"/>
      <c r="T2542" s="22"/>
      <c r="U2542" s="97">
        <f ca="1">U2540-U2541</f>
        <v>29.304435423208574</v>
      </c>
      <c r="V2542" s="110"/>
      <c r="W2542" s="25"/>
      <c r="X2542" s="97">
        <f ca="1">X2540-X2541</f>
        <v>24.905106689914533</v>
      </c>
      <c r="Y2542" s="110"/>
      <c r="Z2542" s="25"/>
      <c r="AA2542" s="97">
        <f ca="1">AA2540-AA2541</f>
        <v>10.154504679566202</v>
      </c>
      <c r="AB2542" s="110"/>
      <c r="AC2542" s="25"/>
      <c r="AD2542" s="97">
        <f ca="1">AD2540-AD2541</f>
        <v>-26.193709244097455</v>
      </c>
      <c r="AE2542" s="110"/>
      <c r="AF2542" s="25"/>
      <c r="AG2542" s="97">
        <f ca="1">AG2540-AG2541</f>
        <v>-89.914085890750272</v>
      </c>
      <c r="AH2542" s="110"/>
      <c r="AI2542" s="25"/>
      <c r="AJ2542" s="97">
        <f ca="1">AJ2540-AJ2541</f>
        <v>-183.69956536080679</v>
      </c>
      <c r="AK2542" s="110"/>
      <c r="AL2542" s="25"/>
      <c r="AM2542" s="97">
        <f ca="1">AM2540-AM2541</f>
        <v>-288.25999235375684</v>
      </c>
      <c r="AN2542" s="110"/>
      <c r="AO2542" s="25"/>
      <c r="AP2542" s="97">
        <f ca="1">AP2540-AP2541</f>
        <v>-399.03075163561209</v>
      </c>
      <c r="AQ2542" s="110"/>
      <c r="AR2542" s="25"/>
      <c r="AS2542" s="97">
        <f ca="1">AS2540-AS2541</f>
        <v>-559.96121198654487</v>
      </c>
      <c r="AT2542" s="110"/>
      <c r="AU2542" s="25"/>
    </row>
    <row r="2543" spans="15:47" ht="14.4" x14ac:dyDescent="0.3">
      <c r="O2543" s="2" t="s">
        <v>140</v>
      </c>
      <c r="P2543" s="11"/>
      <c r="Q2543" s="2"/>
      <c r="R2543" s="96">
        <f>R2542/R2540</f>
        <v>0.334537465675459</v>
      </c>
      <c r="S2543" s="106"/>
      <c r="T2543" s="22"/>
      <c r="U2543" s="96">
        <f ca="1">U2542/U2540</f>
        <v>0.32814087323139712</v>
      </c>
      <c r="V2543" s="111"/>
      <c r="W2543" s="28"/>
      <c r="X2543" s="96">
        <f ca="1">X2542/X2540</f>
        <v>0.29332872498319218</v>
      </c>
      <c r="Y2543" s="111"/>
      <c r="Z2543" s="28"/>
      <c r="AA2543" s="96">
        <f ca="1">AA2542/AA2540</f>
        <v>0.14474487028234823</v>
      </c>
      <c r="AB2543" s="111"/>
      <c r="AC2543" s="28"/>
      <c r="AD2543" s="96">
        <f ca="1">AD2542/AD2540</f>
        <v>-0.77481760519746046</v>
      </c>
      <c r="AE2543" s="111"/>
      <c r="AF2543" s="28"/>
      <c r="AG2543" s="96">
        <f ca="1">AG2542/AG2540</f>
        <v>3.0057440571350567</v>
      </c>
      <c r="AH2543" s="111"/>
      <c r="AI2543" s="28"/>
      <c r="AJ2543" s="96">
        <f ca="1">AJ2542/AJ2540</f>
        <v>1.4850461666942163</v>
      </c>
      <c r="AK2543" s="111"/>
      <c r="AL2543" s="28"/>
      <c r="AM2543" s="96">
        <f ca="1">AM2542/AM2540</f>
        <v>1.2628581530267122</v>
      </c>
      <c r="AN2543" s="111"/>
      <c r="AO2543" s="28"/>
      <c r="AP2543" s="96">
        <f ca="1">AP2542/AP2540</f>
        <v>1.1769750965378136</v>
      </c>
      <c r="AQ2543" s="111"/>
      <c r="AR2543" s="28"/>
      <c r="AS2543" s="96">
        <f ca="1">AS2542/AS2540</f>
        <v>1.12000930984545</v>
      </c>
      <c r="AT2543" s="111"/>
      <c r="AU2543" s="28"/>
    </row>
    <row r="2544" spans="15:47" x14ac:dyDescent="0.25">
      <c r="O2544" s="2" t="s">
        <v>21</v>
      </c>
      <c r="P2544" s="8">
        <v>12</v>
      </c>
      <c r="Q2544" s="2"/>
      <c r="R2544" s="96">
        <f ca="1">1-R2543/(3*F_GAMMA*R$29)</f>
        <v>0.82576982131974552</v>
      </c>
      <c r="S2544" s="106"/>
      <c r="T2544" s="22"/>
      <c r="U2544" s="96">
        <f ca="1">1-U2543/(3*F_GAMMA*U$29)</f>
        <v>0.82914092765467184</v>
      </c>
      <c r="V2544" s="111"/>
      <c r="W2544" s="28"/>
      <c r="X2544" s="96">
        <f ca="1">1-X2543/(3*F_GAMMA*X$29)</f>
        <v>0.84581253924775646</v>
      </c>
      <c r="Y2544" s="111"/>
      <c r="Z2544" s="28"/>
      <c r="AA2544" s="96">
        <f ca="1">1-AA2543/(3*F_GAMMA*AA$29)</f>
        <v>0.9228427486745302</v>
      </c>
      <c r="AB2544" s="111"/>
      <c r="AC2544" s="28"/>
      <c r="AD2544" s="96">
        <f ca="1">1-AD2543/(3*F_GAMMA*AD$29)</f>
        <v>1.4258314028837242</v>
      </c>
      <c r="AE2544" s="111"/>
      <c r="AF2544" s="28"/>
      <c r="AG2544" s="96">
        <f ca="1">1-AG2543/(3*F_GAMMA*AG$29)</f>
        <v>-0.75105020792638477</v>
      </c>
      <c r="AH2544" s="111"/>
      <c r="AI2544" s="28"/>
      <c r="AJ2544" s="96">
        <f ca="1">1-AJ2543/(3*F_GAMMA*AJ$29)</f>
        <v>6.9227452486595453E-2</v>
      </c>
      <c r="AK2544" s="111"/>
      <c r="AL2544" s="28"/>
      <c r="AM2544" s="96">
        <f ca="1">1-AM2543/(3*F_GAMMA*AM$29)</f>
        <v>0.11502295307400134</v>
      </c>
      <c r="AN2544" s="111"/>
      <c r="AO2544" s="28"/>
      <c r="AP2544" s="96">
        <f ca="1">1-AP2543/(3*F_GAMMA*AP$29)</f>
        <v>0.3356521476193749</v>
      </c>
      <c r="AQ2544" s="111"/>
      <c r="AR2544" s="28"/>
      <c r="AS2544" s="96">
        <f ca="1">1-AS2543/(3*F_GAMMA*AS$29)</f>
        <v>8.9025968093413566E-3</v>
      </c>
      <c r="AT2544" s="111"/>
      <c r="AU2544" s="28"/>
    </row>
    <row r="2545" spans="15:47" x14ac:dyDescent="0.25">
      <c r="O2545" s="2" t="s">
        <v>57</v>
      </c>
      <c r="P2545" s="143">
        <v>7</v>
      </c>
      <c r="Q2545" s="2"/>
      <c r="R2545" s="96">
        <f ca="1">(R2538/(N_9*R$27*R2540*R2544))*SQRT(M*'Valve Sizing'!$W$6*'Valve Sizing'!$G$8/R2543)</f>
        <v>4.4575314303891789</v>
      </c>
      <c r="S2545" s="107"/>
      <c r="T2545" s="22"/>
      <c r="U2545" s="96">
        <f ca="1">(U2538/(N_9*U$27*U2540*U2544))*SQRT(M*'Valve Sizing'!$W$6*'Valve Sizing'!$G$8/U2543)</f>
        <v>28.52877884362962</v>
      </c>
      <c r="V2545" s="111"/>
      <c r="W2545" s="28"/>
      <c r="X2545" s="96">
        <f ca="1">(X2538/(N_9*X$27*X2540*X2544))*SQRT(M*'Valve Sizing'!$W$6*'Valve Sizing'!$G$8/X2543)</f>
        <v>76.357507129123007</v>
      </c>
      <c r="Y2545" s="111"/>
      <c r="Z2545" s="28"/>
      <c r="AA2545" s="96">
        <f ca="1">(AA2538/(N_9*AA$27*AA2540*AA2544))*SQRT(M*'Valve Sizing'!$W$6*'Valve Sizing'!$G$8/AA2543)</f>
        <v>236.24018547977306</v>
      </c>
      <c r="AB2545" s="111"/>
      <c r="AC2545" s="28"/>
      <c r="AD2545" s="96" t="e">
        <f ca="1">(AD2538/(N_9*AD$27*AD2540*AD2544))*SQRT(M*'Valve Sizing'!$W$6*'Valve Sizing'!$G$8/AD2543)</f>
        <v>#NUM!</v>
      </c>
      <c r="AE2545" s="111"/>
      <c r="AF2545" s="28"/>
      <c r="AG2545" s="96">
        <f ca="1">(AG2538/(N_9*AG$27*AG2540*AG2544))*SQRT(M*'Valve Sizing'!$W$6*'Valve Sizing'!$G$8/AG2543)</f>
        <v>378.66380079835909</v>
      </c>
      <c r="AH2545" s="111"/>
      <c r="AI2545" s="28"/>
      <c r="AJ2545" s="96">
        <f ca="1">(AJ2538/(N_9*AJ$27*AJ2540*AJ2544))*SQRT(M*'Valve Sizing'!$W$6*'Valve Sizing'!$G$8/AJ2543)</f>
        <v>-1954.3433828881177</v>
      </c>
      <c r="AK2545" s="111"/>
      <c r="AL2545" s="28"/>
      <c r="AM2545" s="96">
        <f ca="1">(AM2538/(N_9*AM$27*AM2540*AM2544))*SQRT(M*'Valve Sizing'!$W$6*'Valve Sizing'!$G$8/AM2543)</f>
        <v>-894.89471703786955</v>
      </c>
      <c r="AN2545" s="111"/>
      <c r="AO2545" s="28"/>
      <c r="AP2545" s="96">
        <f ca="1">(AP2538/(N_9*AP$27*AP2540*AP2544))*SQRT(M*'Valve Sizing'!$W$6*'Valve Sizing'!$G$8/AP2543)</f>
        <v>-282.61060526279533</v>
      </c>
      <c r="AQ2545" s="111"/>
      <c r="AR2545" s="28"/>
      <c r="AS2545" s="96">
        <f ca="1">(AS2538/(N_9*AS$27*AS2540*AS2544))*SQRT(M*'Valve Sizing'!$W$6*'Valve Sizing'!$G$8/AS2543)</f>
        <v>-11632.840717935469</v>
      </c>
      <c r="AT2545" s="111"/>
      <c r="AU2545" s="28"/>
    </row>
    <row r="2546" spans="15:47" x14ac:dyDescent="0.25">
      <c r="O2546" s="2" t="s">
        <v>59</v>
      </c>
      <c r="P2546" s="143">
        <v>7</v>
      </c>
      <c r="Q2546" s="2"/>
      <c r="R2546" s="96">
        <f ca="1">(R2538/(N_9*R$27*R2540*0.667))*SQRT(M*'Valve Sizing'!$W$6*'Valve Sizing'!$G$8/R2547)</f>
        <v>3.9897887884455892</v>
      </c>
      <c r="S2546" s="107"/>
      <c r="T2546" s="22"/>
      <c r="U2546" s="96">
        <f ca="1">(U2538/(N_9*U$27*U2540*0.667))*SQRT(M*'Valve Sizing'!$W$6*'Valve Sizing'!$G$8/U2547)</f>
        <v>25.390154931092368</v>
      </c>
      <c r="V2546" s="111"/>
      <c r="W2546" s="28"/>
      <c r="X2546" s="96">
        <f ca="1">(X2538/(N_9*X$27*X2540*0.667))*SQRT(M*'Valve Sizing'!$W$6*'Valve Sizing'!$G$8/X2547)</f>
        <v>65.854458385671904</v>
      </c>
      <c r="Y2546" s="111"/>
      <c r="Z2546" s="28"/>
      <c r="AA2546" s="96">
        <f ca="1">(AA2538/(N_9*AA$27*AA2540*0.667))*SQRT(M*'Valve Sizing'!$W$6*'Valve Sizing'!$G$8/AA2547)</f>
        <v>157.25506640610152</v>
      </c>
      <c r="AB2546" s="111"/>
      <c r="AC2546" s="28"/>
      <c r="AD2546" s="96">
        <f ca="1">(AD2538/(N_9*AD$27*AD2540*0.667))*SQRT(M*'Valve Sizing'!$W$6*'Valve Sizing'!$G$8/AD2547)</f>
        <v>562.79904479601862</v>
      </c>
      <c r="AE2546" s="111"/>
      <c r="AF2546" s="28"/>
      <c r="AG2546" s="96">
        <f ca="1">(AG2538/(N_9*AG$27*AG2540*0.667))*SQRT(M*'Valve Sizing'!$W$6*'Valve Sizing'!$G$8/AG2547)</f>
        <v>-977.25264217753602</v>
      </c>
      <c r="AH2546" s="111"/>
      <c r="AI2546" s="28"/>
      <c r="AJ2546" s="96">
        <f ca="1">(AJ2538/(N_9*AJ$27*AJ2540*0.667))*SQRT(M*'Valve Sizing'!$W$6*'Valve Sizing'!$G$8/AJ2547)</f>
        <v>-338.95012557853715</v>
      </c>
      <c r="AK2546" s="111"/>
      <c r="AL2546" s="28"/>
      <c r="AM2546" s="96">
        <f ca="1">(AM2538/(N_9*AM$27*AM2540*0.667))*SQRT(M*'Valve Sizing'!$W$6*'Valve Sizing'!$G$8/AM2547)</f>
        <v>-251.45325075726808</v>
      </c>
      <c r="AN2546" s="111"/>
      <c r="AO2546" s="28"/>
      <c r="AP2546" s="96">
        <f ca="1">(AP2538/(N_9*AP$27*AP2540*0.667))*SQRT(M*'Valve Sizing'!$W$6*'Valve Sizing'!$G$8/AP2547)</f>
        <v>-200.77537541079062</v>
      </c>
      <c r="AQ2546" s="111"/>
      <c r="AR2546" s="28"/>
      <c r="AS2546" s="96">
        <f ca="1">(AS2538/(N_9*AS$27*AS2540*0.667))*SQRT(M*'Valve Sizing'!$W$6*'Valve Sizing'!$G$8/AS2547)</f>
        <v>-267.72902052441714</v>
      </c>
      <c r="AT2546" s="111"/>
      <c r="AU2546" s="28"/>
    </row>
    <row r="2547" spans="15:47" ht="15.6" x14ac:dyDescent="0.35">
      <c r="O2547" s="2" t="s">
        <v>68</v>
      </c>
      <c r="P2547" s="143">
        <v>10</v>
      </c>
      <c r="Q2547" s="2"/>
      <c r="R2547" s="96">
        <f ca="1">F_GAMMA*R$29</f>
        <v>0.64002969751372984</v>
      </c>
      <c r="S2547" s="107"/>
      <c r="T2547" s="1"/>
      <c r="U2547" s="96">
        <f ca="1">F_GAMMA*U$29</f>
        <v>0.64017842058782071</v>
      </c>
      <c r="V2547" s="111"/>
      <c r="W2547" s="28"/>
      <c r="X2547" s="96">
        <f ca="1">F_GAMMA*X$29</f>
        <v>0.63413873724904268</v>
      </c>
      <c r="Y2547" s="111"/>
      <c r="Z2547" s="28"/>
      <c r="AA2547" s="96">
        <f ca="1">F_GAMMA*AA$29</f>
        <v>0.62532411750377137</v>
      </c>
      <c r="AB2547" s="111"/>
      <c r="AC2547" s="28"/>
      <c r="AD2547" s="96">
        <f ca="1">F_GAMMA*AD$29</f>
        <v>0.60651359509139569</v>
      </c>
      <c r="AE2547" s="111"/>
      <c r="AF2547" s="28"/>
      <c r="AG2547" s="96">
        <f ca="1">F_GAMMA*AG$29</f>
        <v>0.57217930198481592</v>
      </c>
      <c r="AH2547" s="111"/>
      <c r="AI2547" s="28"/>
      <c r="AJ2547" s="96">
        <f ca="1">F_GAMMA*AJ$29</f>
        <v>0.53183282018848232</v>
      </c>
      <c r="AK2547" s="111"/>
      <c r="AL2547" s="28"/>
      <c r="AM2547" s="96">
        <f ca="1">F_GAMMA*AM$29</f>
        <v>0.47566512503094399</v>
      </c>
      <c r="AN2547" s="111"/>
      <c r="AO2547" s="28"/>
      <c r="AP2547" s="96">
        <f ca="1">F_GAMMA*AP$29</f>
        <v>0.59054158265645496</v>
      </c>
      <c r="AQ2547" s="111"/>
      <c r="AR2547" s="28"/>
      <c r="AS2547" s="96">
        <f ca="1">F_GAMMA*AS$29</f>
        <v>0.3766899554102966</v>
      </c>
      <c r="AT2547" s="111"/>
      <c r="AU2547" s="28"/>
    </row>
    <row r="2548" spans="15:47" x14ac:dyDescent="0.25">
      <c r="O2548" s="2" t="s">
        <v>145</v>
      </c>
      <c r="P2548" s="12"/>
      <c r="Q2548" s="2"/>
      <c r="R2548" s="96">
        <f ca="1">IF(R2543&lt;R2547,R2545,R2546)</f>
        <v>4.4575314303891789</v>
      </c>
      <c r="S2548" s="116"/>
      <c r="T2548" s="1"/>
      <c r="U2548" s="96">
        <f ca="1">IF(U2543&lt;U2547,U2545,U2546)</f>
        <v>28.52877884362962</v>
      </c>
      <c r="V2548" s="111"/>
      <c r="W2548" s="28"/>
      <c r="X2548" s="96">
        <f ca="1">IF(X2543&lt;X2547,X2545,X2546)</f>
        <v>76.357507129123007</v>
      </c>
      <c r="Y2548" s="111"/>
      <c r="Z2548" s="28"/>
      <c r="AA2548" s="96">
        <f ca="1">IF(AA2543&lt;AA2547,AA2545,AA2546)</f>
        <v>236.24018547977306</v>
      </c>
      <c r="AB2548" s="111"/>
      <c r="AC2548" s="28"/>
      <c r="AD2548" s="96" t="e">
        <f ca="1">IF(AD2543&lt;AD2547,AD2545,AD2546)</f>
        <v>#NUM!</v>
      </c>
      <c r="AE2548" s="111"/>
      <c r="AF2548" s="28"/>
      <c r="AG2548" s="96">
        <f ca="1">IF(AG2543&lt;AG2547,AG2545,AG2546)</f>
        <v>-977.25264217753602</v>
      </c>
      <c r="AH2548" s="111"/>
      <c r="AI2548" s="28"/>
      <c r="AJ2548" s="96">
        <f ca="1">IF(AJ2543&lt;AJ2547,AJ2545,AJ2546)</f>
        <v>-338.95012557853715</v>
      </c>
      <c r="AK2548" s="111"/>
      <c r="AL2548" s="28"/>
      <c r="AM2548" s="96">
        <f ca="1">IF(AM2543&lt;AM2547,AM2545,AM2546)</f>
        <v>-251.45325075726808</v>
      </c>
      <c r="AN2548" s="111"/>
      <c r="AO2548" s="28"/>
      <c r="AP2548" s="96">
        <f ca="1">IF(AP2543&lt;AP2547,AP2545,AP2546)</f>
        <v>-200.77537541079062</v>
      </c>
      <c r="AQ2548" s="111"/>
      <c r="AR2548" s="28"/>
      <c r="AS2548" s="96">
        <f ca="1">IF(AS2543&lt;AS2547,AS2545,AS2546)</f>
        <v>-267.72902052441714</v>
      </c>
      <c r="AT2548" s="111"/>
      <c r="AU2548" s="28"/>
    </row>
    <row r="2549" spans="15:47" x14ac:dyDescent="0.25">
      <c r="O2549" s="13" t="s">
        <v>143</v>
      </c>
      <c r="P2549" s="1"/>
      <c r="Q2549" s="1"/>
      <c r="R2549" s="113"/>
      <c r="S2549" s="106">
        <f ca="1">IF(R2542&lt;=0,Q_max,ABS(R$23-R2548))</f>
        <v>0.27246856961082155</v>
      </c>
      <c r="T2549" s="7">
        <f>R2538</f>
        <v>11033.604407134797</v>
      </c>
      <c r="U2549" s="98"/>
      <c r="V2549" s="106">
        <f ca="1">IF(U2542&lt;=0,Q_max,ABS(U$23-U2548))</f>
        <v>16.928778843629622</v>
      </c>
      <c r="W2549" s="9">
        <f ca="1">U2538</f>
        <v>69509.446669851081</v>
      </c>
      <c r="X2549" s="98"/>
      <c r="Y2549" s="106">
        <f ca="1">IF(X2542&lt;=0,Q_max,ABS(X$23-X2548))</f>
        <v>53.357507129123007</v>
      </c>
      <c r="Z2549" s="9">
        <f ca="1">X2538</f>
        <v>170203.10231253353</v>
      </c>
      <c r="AA2549" s="98"/>
      <c r="AB2549" s="106">
        <f ca="1">IF(AA2542&lt;=0,Q_max,ABS(AA$23-AA2548))</f>
        <v>196.84018547977306</v>
      </c>
      <c r="AC2549" s="9">
        <f ca="1">AA2538</f>
        <v>331512.19974361284</v>
      </c>
      <c r="AD2549" s="98"/>
      <c r="AE2549" s="106">
        <f ca="1">IF(AD2542&lt;=0,Q_max,ABS(AD$23-AD2548))</f>
        <v>236393</v>
      </c>
      <c r="AF2549" s="9">
        <f ca="1">AD2538</f>
        <v>556174.34483967</v>
      </c>
      <c r="AG2549" s="98"/>
      <c r="AH2549" s="106">
        <f ca="1">IF(AG2542&lt;=0,Q_max,ABS(AG$23-AG2548))</f>
        <v>236393</v>
      </c>
      <c r="AI2549" s="9">
        <f ca="1">AG2538</f>
        <v>811751.60433680413</v>
      </c>
      <c r="AJ2549" s="98"/>
      <c r="AK2549" s="106">
        <f ca="1">IF(AJ2542&lt;=0,Q_max,ABS(AJ$23-AJ2548))</f>
        <v>236393</v>
      </c>
      <c r="AL2549" s="9">
        <f ca="1">AJ2538</f>
        <v>1083285.6627971362</v>
      </c>
      <c r="AM2549" s="98"/>
      <c r="AN2549" s="106">
        <f ca="1">IF(AM2542&lt;=0,Q_max,ABS(AM$23-AM2548))</f>
        <v>236393</v>
      </c>
      <c r="AO2549" s="9">
        <f ca="1">AM2538</f>
        <v>1321814.3761634978</v>
      </c>
      <c r="AP2549" s="98"/>
      <c r="AQ2549" s="106">
        <f ca="1">IF(AP2542&lt;=0,Q_max,ABS(AP$23-AP2548))</f>
        <v>236393</v>
      </c>
      <c r="AR2549" s="9">
        <f ca="1">AP2538</f>
        <v>1534585.4554875824</v>
      </c>
      <c r="AS2549" s="98"/>
      <c r="AT2549" s="106">
        <f ca="1">IF(AS2542&lt;=0,Q_max,ABS(AS$23-AS2548))</f>
        <v>236393</v>
      </c>
      <c r="AU2549" s="9">
        <f ca="1">AS2538</f>
        <v>1799422.1339152462</v>
      </c>
    </row>
    <row r="2550" spans="15:47" x14ac:dyDescent="0.25">
      <c r="O2550" s="21"/>
      <c r="P2550" s="14"/>
      <c r="Q2550" s="21"/>
      <c r="R2550" s="97"/>
      <c r="S2550" s="106"/>
      <c r="T2550" s="28"/>
      <c r="U2550" s="97"/>
      <c r="V2550" s="111"/>
      <c r="W2550" s="28"/>
      <c r="X2550" s="97"/>
      <c r="Y2550" s="111"/>
      <c r="Z2550" s="28"/>
      <c r="AA2550" s="97"/>
      <c r="AB2550" s="111"/>
      <c r="AC2550" s="28"/>
      <c r="AD2550" s="97"/>
      <c r="AE2550" s="111"/>
      <c r="AF2550" s="28"/>
      <c r="AG2550" s="97"/>
      <c r="AH2550" s="111"/>
      <c r="AI2550" s="28"/>
      <c r="AJ2550" s="97"/>
      <c r="AK2550" s="111"/>
      <c r="AL2550" s="28"/>
      <c r="AM2550" s="97"/>
      <c r="AN2550" s="111"/>
      <c r="AO2550" s="28"/>
      <c r="AP2550" s="97"/>
      <c r="AQ2550" s="111"/>
      <c r="AR2550" s="28"/>
      <c r="AS2550" s="97"/>
      <c r="AT2550" s="111"/>
      <c r="AU2550" s="28"/>
    </row>
    <row r="2551" spans="15:47" x14ac:dyDescent="0.25">
      <c r="O2551" s="1"/>
      <c r="P2551" s="1"/>
      <c r="Q2551" s="1"/>
      <c r="R2551" s="98"/>
      <c r="S2551" s="108" t="s">
        <v>137</v>
      </c>
      <c r="T2551" s="26" t="s">
        <v>146</v>
      </c>
      <c r="U2551" s="98"/>
      <c r="V2551" s="108" t="s">
        <v>137</v>
      </c>
      <c r="W2551" s="26" t="s">
        <v>146</v>
      </c>
      <c r="X2551" s="98"/>
      <c r="Y2551" s="108" t="s">
        <v>137</v>
      </c>
      <c r="Z2551" s="26" t="s">
        <v>146</v>
      </c>
      <c r="AA2551" s="98"/>
      <c r="AB2551" s="108" t="s">
        <v>137</v>
      </c>
      <c r="AC2551" s="26" t="s">
        <v>146</v>
      </c>
      <c r="AD2551" s="98"/>
      <c r="AE2551" s="108" t="s">
        <v>137</v>
      </c>
      <c r="AF2551" s="26" t="s">
        <v>146</v>
      </c>
      <c r="AG2551" s="98"/>
      <c r="AH2551" s="108" t="s">
        <v>137</v>
      </c>
      <c r="AI2551" s="26" t="s">
        <v>146</v>
      </c>
      <c r="AJ2551" s="98"/>
      <c r="AK2551" s="108" t="s">
        <v>137</v>
      </c>
      <c r="AL2551" s="26" t="s">
        <v>146</v>
      </c>
      <c r="AM2551" s="98"/>
      <c r="AN2551" s="108" t="s">
        <v>137</v>
      </c>
      <c r="AO2551" s="26" t="s">
        <v>146</v>
      </c>
      <c r="AP2551" s="98"/>
      <c r="AQ2551" s="108" t="s">
        <v>137</v>
      </c>
      <c r="AR2551" s="26" t="s">
        <v>146</v>
      </c>
      <c r="AS2551" s="98"/>
      <c r="AT2551" s="108" t="s">
        <v>137</v>
      </c>
      <c r="AU2551" s="26" t="s">
        <v>146</v>
      </c>
    </row>
    <row r="2552" spans="15:47" ht="13.8" x14ac:dyDescent="0.25">
      <c r="O2552" s="20" t="s">
        <v>136</v>
      </c>
      <c r="P2552" s="1"/>
      <c r="Q2552" s="1"/>
      <c r="R2552" s="96">
        <f>R2538*1.02</f>
        <v>11254.276495277492</v>
      </c>
      <c r="S2552" s="109" t="s">
        <v>144</v>
      </c>
      <c r="T2552" s="23" t="s">
        <v>147</v>
      </c>
      <c r="U2552" s="96">
        <f ca="1">U2538*1.01</f>
        <v>70204.541136549597</v>
      </c>
      <c r="V2552" s="109" t="s">
        <v>144</v>
      </c>
      <c r="W2552" s="23" t="s">
        <v>147</v>
      </c>
      <c r="X2552" s="96">
        <f ca="1">X2538*1.01</f>
        <v>171905.13333565887</v>
      </c>
      <c r="Y2552" s="109" t="s">
        <v>144</v>
      </c>
      <c r="Z2552" s="23" t="s">
        <v>147</v>
      </c>
      <c r="AA2552" s="96">
        <f ca="1">AA2538*1.01</f>
        <v>334827.321741049</v>
      </c>
      <c r="AB2552" s="109" t="s">
        <v>144</v>
      </c>
      <c r="AC2552" s="23" t="s">
        <v>147</v>
      </c>
      <c r="AD2552" s="96">
        <f ca="1">AD2538*1.01</f>
        <v>561736.08828806668</v>
      </c>
      <c r="AE2552" s="109" t="s">
        <v>144</v>
      </c>
      <c r="AF2552" s="23" t="s">
        <v>147</v>
      </c>
      <c r="AG2552" s="96">
        <f ca="1">AG2538*1.01</f>
        <v>819869.12038017216</v>
      </c>
      <c r="AH2552" s="109" t="s">
        <v>144</v>
      </c>
      <c r="AI2552" s="23" t="s">
        <v>147</v>
      </c>
      <c r="AJ2552" s="96">
        <f ca="1">AJ2538*1.01</f>
        <v>1094118.5194251076</v>
      </c>
      <c r="AK2552" s="109" t="s">
        <v>144</v>
      </c>
      <c r="AL2552" s="23" t="s">
        <v>147</v>
      </c>
      <c r="AM2552" s="96">
        <f ca="1">AM2538*1.01</f>
        <v>1335032.5199251329</v>
      </c>
      <c r="AN2552" s="109" t="s">
        <v>144</v>
      </c>
      <c r="AO2552" s="23" t="s">
        <v>147</v>
      </c>
      <c r="AP2552" s="96">
        <f ca="1">AP2538*1.01</f>
        <v>1549931.3100424581</v>
      </c>
      <c r="AQ2552" s="109" t="s">
        <v>144</v>
      </c>
      <c r="AR2552" s="23" t="s">
        <v>147</v>
      </c>
      <c r="AS2552" s="96">
        <f ca="1">AS2538*1.01</f>
        <v>1817416.3552543987</v>
      </c>
      <c r="AT2552" s="109" t="s">
        <v>144</v>
      </c>
      <c r="AU2552" s="23" t="s">
        <v>147</v>
      </c>
    </row>
    <row r="2553" spans="15:47" x14ac:dyDescent="0.25">
      <c r="O2553" s="1"/>
      <c r="P2553" s="1"/>
      <c r="Q2553" s="1"/>
      <c r="R2553" s="98"/>
      <c r="S2553" s="107"/>
      <c r="T2553" s="1"/>
      <c r="U2553" s="47"/>
      <c r="V2553" s="107"/>
      <c r="W2553" s="1"/>
      <c r="X2553" s="47"/>
      <c r="Y2553" s="107"/>
      <c r="Z2553" s="1"/>
      <c r="AA2553" s="47"/>
      <c r="AB2553" s="107"/>
      <c r="AC2553" s="1"/>
      <c r="AD2553" s="47"/>
      <c r="AE2553" s="107"/>
      <c r="AF2553" s="1"/>
      <c r="AG2553" s="47"/>
      <c r="AH2553" s="107"/>
      <c r="AI2553" s="1"/>
      <c r="AJ2553" s="47"/>
      <c r="AK2553" s="107"/>
      <c r="AL2553" s="1"/>
      <c r="AM2553" s="47"/>
      <c r="AN2553" s="107"/>
      <c r="AO2553" s="1"/>
      <c r="AP2553" s="47"/>
      <c r="AQ2553" s="107"/>
      <c r="AR2553" s="1"/>
      <c r="AS2553" s="47"/>
      <c r="AT2553" s="107"/>
      <c r="AU2553" s="1"/>
    </row>
    <row r="2554" spans="15:47" x14ac:dyDescent="0.25">
      <c r="O2554" s="8" t="s">
        <v>132</v>
      </c>
      <c r="P2554" s="8"/>
      <c r="Q2554" s="8"/>
      <c r="R2554" s="96">
        <f>P_1_minQ-(R2552^2*R_up)+dpup_minQ</f>
        <v>90.161955592995056</v>
      </c>
      <c r="S2554" s="106"/>
      <c r="T2554" s="22"/>
      <c r="U2554" s="96">
        <f ca="1">P_1_minQ-(U2552^2*R_up)+dpup_minQ</f>
        <v>89.286735260556924</v>
      </c>
      <c r="V2554" s="107"/>
      <c r="W2554" s="1"/>
      <c r="X2554" s="96">
        <f ca="1">P_1_minQ-(X2552^2*R_up)+dpup_minQ</f>
        <v>84.798980019723672</v>
      </c>
      <c r="Y2554" s="107"/>
      <c r="Z2554" s="1"/>
      <c r="AA2554" s="96">
        <f ca="1">P_1_minQ-(AA2552^2*R_up)+dpup_minQ</f>
        <v>69.75189090896734</v>
      </c>
      <c r="AB2554" s="107"/>
      <c r="AC2554" s="1"/>
      <c r="AD2554" s="96">
        <f ca="1">P_1_minQ-(AD2552^2*R_up)+dpup_minQ</f>
        <v>32.673077885438055</v>
      </c>
      <c r="AE2554" s="107"/>
      <c r="AF2554" s="1"/>
      <c r="AG2554" s="96">
        <f ca="1">P_1_minQ-(AG2552^2*R_up)+dpup_minQ</f>
        <v>-32.328078331812506</v>
      </c>
      <c r="AH2554" s="107"/>
      <c r="AI2554" s="1"/>
      <c r="AJ2554" s="96">
        <f ca="1">P_1_minQ-(AJ2552^2*R_up)+dpup_minQ</f>
        <v>-127.99864593921714</v>
      </c>
      <c r="AK2554" s="107"/>
      <c r="AL2554" s="1"/>
      <c r="AM2554" s="96">
        <f ca="1">P_1_minQ-(AM2552^2*R_up)+dpup_minQ</f>
        <v>-234.66073751472555</v>
      </c>
      <c r="AN2554" s="107"/>
      <c r="AO2554" s="1"/>
      <c r="AP2554" s="96">
        <f ca="1">P_1_minQ-(AP2552^2*R_up)+dpup_minQ</f>
        <v>-347.65798905814603</v>
      </c>
      <c r="AQ2554" s="107"/>
      <c r="AR2554" s="1"/>
      <c r="AS2554" s="96">
        <f ca="1">P_1_minQ-(AS2552^2*R_up)+dpup_minQ</f>
        <v>-511.8231516621326</v>
      </c>
      <c r="AT2554" s="107"/>
      <c r="AU2554" s="1"/>
    </row>
    <row r="2555" spans="15:47" x14ac:dyDescent="0.25">
      <c r="O2555" s="8" t="s">
        <v>134</v>
      </c>
      <c r="P2555" s="1"/>
      <c r="Q2555" s="8"/>
      <c r="R2555" s="97">
        <f>P_2_minQ+(R2552^2*R_dn)-dpdn_minQ</f>
        <v>60</v>
      </c>
      <c r="S2555" s="106"/>
      <c r="T2555" s="22"/>
      <c r="U2555" s="97">
        <f ca="1">P_2_minQ+(U2552^2*R_dn)-dpdn_minQ</f>
        <v>60</v>
      </c>
      <c r="V2555" s="107"/>
      <c r="W2555" s="1"/>
      <c r="X2555" s="97">
        <f ca="1">P_2_minQ+(X2552^2*R_dn)-dpdn_minQ</f>
        <v>60</v>
      </c>
      <c r="Y2555" s="107"/>
      <c r="Z2555" s="1"/>
      <c r="AA2555" s="97">
        <f ca="1">P_2_minQ+(AA2552^2*R_dn)-dpdn_minQ</f>
        <v>60</v>
      </c>
      <c r="AB2555" s="107"/>
      <c r="AC2555" s="1"/>
      <c r="AD2555" s="97">
        <f ca="1">P_2_minQ+(AD2552^2*R_dn)-dpdn_minQ</f>
        <v>60</v>
      </c>
      <c r="AE2555" s="107"/>
      <c r="AF2555" s="1"/>
      <c r="AG2555" s="97">
        <f ca="1">P_2_minQ+(AG2552^2*R_dn)-dpdn_minQ</f>
        <v>60</v>
      </c>
      <c r="AH2555" s="107"/>
      <c r="AI2555" s="1"/>
      <c r="AJ2555" s="97">
        <f ca="1">P_2_minQ+(AJ2552^2*R_dn)-dpdn_minQ</f>
        <v>60</v>
      </c>
      <c r="AK2555" s="107"/>
      <c r="AL2555" s="1"/>
      <c r="AM2555" s="97">
        <f ca="1">P_2_minQ+(AM2552^2*R_dn)-dpdn_minQ</f>
        <v>60</v>
      </c>
      <c r="AN2555" s="107"/>
      <c r="AO2555" s="1"/>
      <c r="AP2555" s="97">
        <f ca="1">P_2_minQ+(AP2552^2*R_dn)-dpdn_minQ</f>
        <v>60</v>
      </c>
      <c r="AQ2555" s="107"/>
      <c r="AR2555" s="1"/>
      <c r="AS2555" s="97">
        <f ca="1">P_2_minQ+(AS2552^2*R_dn)-dpdn_minQ</f>
        <v>60</v>
      </c>
      <c r="AT2555" s="107"/>
      <c r="AU2555" s="1"/>
    </row>
    <row r="2556" spans="15:47" x14ac:dyDescent="0.25">
      <c r="O2556" s="8" t="s">
        <v>138</v>
      </c>
      <c r="P2556" s="1"/>
      <c r="Q2556" s="8"/>
      <c r="R2556" s="97">
        <f>R2554-R2555</f>
        <v>30.161955592995056</v>
      </c>
      <c r="S2556" s="106"/>
      <c r="T2556" s="22"/>
      <c r="U2556" s="97">
        <f ca="1">U2554-U2555</f>
        <v>29.286735260556924</v>
      </c>
      <c r="V2556" s="110"/>
      <c r="W2556" s="25"/>
      <c r="X2556" s="97">
        <f ca="1">X2554-X2555</f>
        <v>24.798980019723672</v>
      </c>
      <c r="Y2556" s="110"/>
      <c r="Z2556" s="25"/>
      <c r="AA2556" s="97">
        <f ca="1">AA2554-AA2555</f>
        <v>9.75189090896734</v>
      </c>
      <c r="AB2556" s="110"/>
      <c r="AC2556" s="25"/>
      <c r="AD2556" s="97">
        <f ca="1">AD2554-AD2555</f>
        <v>-27.326922114561945</v>
      </c>
      <c r="AE2556" s="110"/>
      <c r="AF2556" s="25"/>
      <c r="AG2556" s="97">
        <f ca="1">AG2554-AG2555</f>
        <v>-92.328078331812506</v>
      </c>
      <c r="AH2556" s="110"/>
      <c r="AI2556" s="25"/>
      <c r="AJ2556" s="97">
        <f ca="1">AJ2554-AJ2555</f>
        <v>-187.99864593921714</v>
      </c>
      <c r="AK2556" s="110"/>
      <c r="AL2556" s="25"/>
      <c r="AM2556" s="97">
        <f ca="1">AM2554-AM2555</f>
        <v>-294.66073751472555</v>
      </c>
      <c r="AN2556" s="110"/>
      <c r="AO2556" s="25"/>
      <c r="AP2556" s="97">
        <f ca="1">AP2554-AP2555</f>
        <v>-407.65798905814603</v>
      </c>
      <c r="AQ2556" s="110"/>
      <c r="AR2556" s="25"/>
      <c r="AS2556" s="97">
        <f ca="1">AS2554-AS2555</f>
        <v>-571.82315166213266</v>
      </c>
      <c r="AT2556" s="110"/>
      <c r="AU2556" s="25"/>
    </row>
    <row r="2557" spans="15:47" ht="14.4" x14ac:dyDescent="0.3">
      <c r="O2557" s="2" t="s">
        <v>140</v>
      </c>
      <c r="P2557" s="11"/>
      <c r="Q2557" s="2"/>
      <c r="R2557" s="96">
        <f>R2556/R2554</f>
        <v>0.33453084945440587</v>
      </c>
      <c r="S2557" s="106"/>
      <c r="T2557" s="22"/>
      <c r="U2557" s="96">
        <f ca="1">U2556/U2554</f>
        <v>0.32800768417718768</v>
      </c>
      <c r="V2557" s="111"/>
      <c r="W2557" s="28"/>
      <c r="X2557" s="96">
        <f ca="1">X2556/X2554</f>
        <v>0.29244431965992512</v>
      </c>
      <c r="Y2557" s="111"/>
      <c r="Z2557" s="28"/>
      <c r="AA2557" s="96">
        <f ca="1">AA2556/AA2554</f>
        <v>0.13980826586757997</v>
      </c>
      <c r="AB2557" s="111"/>
      <c r="AC2557" s="28"/>
      <c r="AD2557" s="96">
        <f ca="1">AD2556/AD2554</f>
        <v>-0.8363742837567556</v>
      </c>
      <c r="AE2557" s="111"/>
      <c r="AF2557" s="28"/>
      <c r="AG2557" s="96">
        <f ca="1">AG2556/AG2554</f>
        <v>2.8559717464231977</v>
      </c>
      <c r="AH2557" s="111"/>
      <c r="AI2557" s="28"/>
      <c r="AJ2557" s="96">
        <f ca="1">AJ2556/AJ2554</f>
        <v>1.4687549587711441</v>
      </c>
      <c r="AK2557" s="111"/>
      <c r="AL2557" s="28"/>
      <c r="AM2557" s="96">
        <f ca="1">AM2556/AM2554</f>
        <v>1.2556882784715311</v>
      </c>
      <c r="AN2557" s="111"/>
      <c r="AO2557" s="28"/>
      <c r="AP2557" s="96">
        <f ca="1">AP2556/AP2554</f>
        <v>1.172583406360223</v>
      </c>
      <c r="AQ2557" s="111"/>
      <c r="AR2557" s="28"/>
      <c r="AS2557" s="96">
        <f ca="1">AS2556/AS2554</f>
        <v>1.1172279913582486</v>
      </c>
      <c r="AT2557" s="111"/>
      <c r="AU2557" s="28"/>
    </row>
    <row r="2558" spans="15:47" x14ac:dyDescent="0.25">
      <c r="O2558" s="2" t="s">
        <v>21</v>
      </c>
      <c r="P2558" s="8">
        <v>12</v>
      </c>
      <c r="Q2558" s="2"/>
      <c r="R2558" s="96">
        <f ca="1">1-R2557/(3*F_GAMMA*R$29)</f>
        <v>0.825773267108318</v>
      </c>
      <c r="S2558" s="106"/>
      <c r="T2558" s="22"/>
      <c r="U2558" s="96">
        <f ca="1">1-U2557/(3*F_GAMMA*U$29)</f>
        <v>0.82921027762020549</v>
      </c>
      <c r="V2558" s="111"/>
      <c r="W2558" s="28"/>
      <c r="X2558" s="96">
        <f ca="1">1-X2557/(3*F_GAMMA*X$29)</f>
        <v>0.84627742454352184</v>
      </c>
      <c r="Y2558" s="111"/>
      <c r="Z2558" s="28"/>
      <c r="AA2558" s="96">
        <f ca="1">1-AA2557/(3*F_GAMMA*AA$29)</f>
        <v>0.92547423970272147</v>
      </c>
      <c r="AB2558" s="111"/>
      <c r="AC2558" s="28"/>
      <c r="AD2558" s="96">
        <f ca="1">1-AD2557/(3*F_GAMMA*AD$29)</f>
        <v>1.4596622898072176</v>
      </c>
      <c r="AE2558" s="111"/>
      <c r="AF2558" s="28"/>
      <c r="AG2558" s="96">
        <f ca="1">1-AG2557/(3*F_GAMMA*AG$29)</f>
        <v>-0.66379765720069539</v>
      </c>
      <c r="AH2558" s="111"/>
      <c r="AI2558" s="28"/>
      <c r="AJ2558" s="96">
        <f ca="1">1-AJ2557/(3*F_GAMMA*AJ$29)</f>
        <v>7.9438184947784096E-2</v>
      </c>
      <c r="AK2558" s="111"/>
      <c r="AL2558" s="28"/>
      <c r="AM2558" s="96">
        <f ca="1">1-AM2557/(3*F_GAMMA*AM$29)</f>
        <v>0.12004740842986728</v>
      </c>
      <c r="AN2558" s="111"/>
      <c r="AO2558" s="28"/>
      <c r="AP2558" s="96">
        <f ca="1">1-AP2557/(3*F_GAMMA*AP$29)</f>
        <v>0.3381310530324001</v>
      </c>
      <c r="AQ2558" s="111"/>
      <c r="AR2558" s="28"/>
      <c r="AS2558" s="96">
        <f ca="1">1-AS2557/(3*F_GAMMA*AS$29)</f>
        <v>1.1363788431482336E-2</v>
      </c>
      <c r="AT2558" s="111"/>
      <c r="AU2558" s="28"/>
    </row>
    <row r="2559" spans="15:47" x14ac:dyDescent="0.25">
      <c r="O2559" s="2" t="s">
        <v>57</v>
      </c>
      <c r="P2559" s="143">
        <v>7</v>
      </c>
      <c r="Q2559" s="2"/>
      <c r="R2559" s="96">
        <f ca="1">(R2552/(N_9*R$27*R2554*R2558))*SQRT(M*'Valve Sizing'!$W$6*'Valve Sizing'!$G$8/R2557)</f>
        <v>4.5467532521235334</v>
      </c>
      <c r="S2559" s="107"/>
      <c r="T2559" s="22"/>
      <c r="U2559" s="96">
        <f ca="1">(U2552/(N_9*U$27*U2554*U2558))*SQRT(M*'Valve Sizing'!$W$6*'Valve Sizing'!$G$8/U2557)</f>
        <v>28.823218533426108</v>
      </c>
      <c r="V2559" s="111"/>
      <c r="W2559" s="28"/>
      <c r="X2559" s="96">
        <f ca="1">(X2552/(N_9*X$27*X2554*X2558))*SQRT(M*'Valve Sizing'!$W$6*'Valve Sizing'!$G$8/X2557)</f>
        <v>77.29178986197978</v>
      </c>
      <c r="Y2559" s="111"/>
      <c r="Z2559" s="28"/>
      <c r="AA2559" s="96">
        <f ca="1">(AA2552/(N_9*AA$27*AA2554*AA2558))*SQRT(M*'Valve Sizing'!$W$6*'Valve Sizing'!$G$8/AA2557)</f>
        <v>243.48558867439533</v>
      </c>
      <c r="AB2559" s="111"/>
      <c r="AC2559" s="28"/>
      <c r="AD2559" s="96" t="e">
        <f ca="1">(AD2552/(N_9*AD$27*AD2554*AD2558))*SQRT(M*'Valve Sizing'!$W$6*'Valve Sizing'!$G$8/AD2557)</f>
        <v>#NUM!</v>
      </c>
      <c r="AE2559" s="111"/>
      <c r="AF2559" s="28"/>
      <c r="AG2559" s="96">
        <f ca="1">(AG2552/(N_9*AG$27*AG2554*AG2558))*SQRT(M*'Valve Sizing'!$W$6*'Valve Sizing'!$G$8/AG2557)</f>
        <v>410.7743439305645</v>
      </c>
      <c r="AH2559" s="111"/>
      <c r="AI2559" s="28"/>
      <c r="AJ2559" s="96">
        <f ca="1">(AJ2552/(N_9*AJ$27*AJ2554*AJ2558))*SQRT(M*'Valve Sizing'!$W$6*'Valve Sizing'!$G$8/AJ2557)</f>
        <v>-1671.5885474230724</v>
      </c>
      <c r="AK2559" s="111"/>
      <c r="AL2559" s="28"/>
      <c r="AM2559" s="96">
        <f ca="1">(AM2552/(N_9*AM$27*AM2554*AM2558))*SQRT(M*'Valve Sizing'!$W$6*'Valve Sizing'!$G$8/AM2557)</f>
        <v>-844.79391228329496</v>
      </c>
      <c r="AN2559" s="111"/>
      <c r="AO2559" s="28"/>
      <c r="AP2559" s="96">
        <f ca="1">(AP2552/(N_9*AP$27*AP2554*AP2558))*SQRT(M*'Valve Sizing'!$W$6*'Valve Sizing'!$G$8/AP2557)</f>
        <v>-276.82980436863198</v>
      </c>
      <c r="AQ2559" s="111"/>
      <c r="AR2559" s="28"/>
      <c r="AS2559" s="96">
        <f ca="1">(AS2552/(N_9*AS$27*AS2554*AS2558))*SQRT(M*'Valve Sizing'!$W$6*'Valve Sizing'!$G$8/AS2557)</f>
        <v>-9002.3733160038973</v>
      </c>
      <c r="AT2559" s="111"/>
      <c r="AU2559" s="28"/>
    </row>
    <row r="2560" spans="15:47" x14ac:dyDescent="0.25">
      <c r="O2560" s="2" t="s">
        <v>59</v>
      </c>
      <c r="P2560" s="143">
        <v>7</v>
      </c>
      <c r="Q2560" s="2"/>
      <c r="R2560" s="96">
        <f ca="1">(R2552/(N_9*R$27*R2554*0.667))*SQRT(M*'Valve Sizing'!$W$6*'Valve Sizing'!$G$8/R2561)</f>
        <v>4.0696250252016828</v>
      </c>
      <c r="S2560" s="107"/>
      <c r="T2560" s="22"/>
      <c r="U2560" s="96">
        <f ca="1">(U2552/(N_9*U$27*U2554*0.667))*SQRT(M*'Valve Sizing'!$W$6*'Valve Sizing'!$G$8/U2561)</f>
        <v>25.649140146744397</v>
      </c>
      <c r="V2560" s="111"/>
      <c r="W2560" s="28"/>
      <c r="X2560" s="96">
        <f ca="1">(X2552/(N_9*X$27*X2554*0.667))*SQRT(M*'Valve Sizing'!$W$6*'Valve Sizing'!$G$8/X2561)</f>
        <v>66.596244578424262</v>
      </c>
      <c r="Y2560" s="111"/>
      <c r="Z2560" s="28"/>
      <c r="AA2560" s="96">
        <f ca="1">(AA2552/(N_9*AA$27*AA2554*0.667))*SQRT(M*'Valve Sizing'!$W$6*'Valve Sizing'!$G$8/AA2561)</f>
        <v>159.74438341083859</v>
      </c>
      <c r="AB2560" s="111"/>
      <c r="AC2560" s="28"/>
      <c r="AD2560" s="96">
        <f ca="1">(AD2552/(N_9*AD$27*AD2554*0.667))*SQRT(M*'Valve Sizing'!$W$6*'Valve Sizing'!$G$8/AD2561)</f>
        <v>588.14200775183463</v>
      </c>
      <c r="AE2560" s="111"/>
      <c r="AF2560" s="28"/>
      <c r="AG2560" s="96">
        <f ca="1">(AG2552/(N_9*AG$27*AG2554*0.667))*SQRT(M*'Valve Sizing'!$W$6*'Valve Sizing'!$G$8/AG2561)</f>
        <v>-913.32232515525038</v>
      </c>
      <c r="AH2560" s="111"/>
      <c r="AI2560" s="28"/>
      <c r="AJ2560" s="96">
        <f ca="1">(AJ2552/(N_9*AJ$27*AJ2554*0.667))*SQRT(M*'Valve Sizing'!$W$6*'Valve Sizing'!$G$8/AJ2561)</f>
        <v>-330.84149238028647</v>
      </c>
      <c r="AK2560" s="111"/>
      <c r="AL2560" s="28"/>
      <c r="AM2560" s="96">
        <f ca="1">(AM2552/(N_9*AM$27*AM2554*0.667))*SQRT(M*'Valve Sizing'!$W$6*'Valve Sizing'!$G$8/AM2561)</f>
        <v>-247.04040769707092</v>
      </c>
      <c r="AN2560" s="111"/>
      <c r="AO2560" s="28"/>
      <c r="AP2560" s="96">
        <f ca="1">(AP2552/(N_9*AP$27*AP2554*0.667))*SQRT(M*'Valve Sizing'!$W$6*'Valve Sizing'!$G$8/AP2561)</f>
        <v>-197.75100490585453</v>
      </c>
      <c r="AQ2560" s="111"/>
      <c r="AR2560" s="28"/>
      <c r="AS2560" s="96">
        <f ca="1">(AS2552/(N_9*AS$27*AS2554*0.667))*SQRT(M*'Valve Sizing'!$W$6*'Valve Sizing'!$G$8/AS2561)</f>
        <v>-264.13941300266896</v>
      </c>
      <c r="AT2560" s="111"/>
      <c r="AU2560" s="28"/>
    </row>
    <row r="2561" spans="15:47" ht="15.6" x14ac:dyDescent="0.35">
      <c r="O2561" s="2" t="s">
        <v>68</v>
      </c>
      <c r="P2561" s="143">
        <v>10</v>
      </c>
      <c r="Q2561" s="2"/>
      <c r="R2561" s="96">
        <f ca="1">F_GAMMA*R$29</f>
        <v>0.64002969751372984</v>
      </c>
      <c r="S2561" s="107"/>
      <c r="T2561" s="1"/>
      <c r="U2561" s="96">
        <f ca="1">F_GAMMA*U$29</f>
        <v>0.64017842058782071</v>
      </c>
      <c r="V2561" s="111"/>
      <c r="W2561" s="28"/>
      <c r="X2561" s="96">
        <f ca="1">F_GAMMA*X$29</f>
        <v>0.63413873724904268</v>
      </c>
      <c r="Y2561" s="111"/>
      <c r="Z2561" s="28"/>
      <c r="AA2561" s="96">
        <f ca="1">F_GAMMA*AA$29</f>
        <v>0.62532411750377137</v>
      </c>
      <c r="AB2561" s="111"/>
      <c r="AC2561" s="28"/>
      <c r="AD2561" s="96">
        <f ca="1">F_GAMMA*AD$29</f>
        <v>0.60651359509139569</v>
      </c>
      <c r="AE2561" s="111"/>
      <c r="AF2561" s="28"/>
      <c r="AG2561" s="96">
        <f ca="1">F_GAMMA*AG$29</f>
        <v>0.57217930198481592</v>
      </c>
      <c r="AH2561" s="111"/>
      <c r="AI2561" s="28"/>
      <c r="AJ2561" s="96">
        <f ca="1">F_GAMMA*AJ$29</f>
        <v>0.53183282018848232</v>
      </c>
      <c r="AK2561" s="111"/>
      <c r="AL2561" s="28"/>
      <c r="AM2561" s="96">
        <f ca="1">F_GAMMA*AM$29</f>
        <v>0.47566512503094399</v>
      </c>
      <c r="AN2561" s="111"/>
      <c r="AO2561" s="28"/>
      <c r="AP2561" s="96">
        <f ca="1">F_GAMMA*AP$29</f>
        <v>0.59054158265645496</v>
      </c>
      <c r="AQ2561" s="111"/>
      <c r="AR2561" s="28"/>
      <c r="AS2561" s="96">
        <f ca="1">F_GAMMA*AS$29</f>
        <v>0.3766899554102966</v>
      </c>
      <c r="AT2561" s="111"/>
      <c r="AU2561" s="28"/>
    </row>
    <row r="2562" spans="15:47" x14ac:dyDescent="0.25">
      <c r="O2562" s="2" t="s">
        <v>145</v>
      </c>
      <c r="P2562" s="12"/>
      <c r="Q2562" s="2"/>
      <c r="R2562" s="96">
        <f ca="1">IF(R2557&lt;R2561,R2559,R2560)</f>
        <v>4.5467532521235334</v>
      </c>
      <c r="S2562" s="116"/>
      <c r="T2562" s="1"/>
      <c r="U2562" s="96">
        <f ca="1">IF(U2557&lt;U2561,U2559,U2560)</f>
        <v>28.823218533426108</v>
      </c>
      <c r="V2562" s="111"/>
      <c r="W2562" s="28"/>
      <c r="X2562" s="96">
        <f ca="1">IF(X2557&lt;X2561,X2559,X2560)</f>
        <v>77.29178986197978</v>
      </c>
      <c r="Y2562" s="111"/>
      <c r="Z2562" s="28"/>
      <c r="AA2562" s="96">
        <f ca="1">IF(AA2557&lt;AA2561,AA2559,AA2560)</f>
        <v>243.48558867439533</v>
      </c>
      <c r="AB2562" s="111"/>
      <c r="AC2562" s="28"/>
      <c r="AD2562" s="96" t="e">
        <f ca="1">IF(AD2557&lt;AD2561,AD2559,AD2560)</f>
        <v>#NUM!</v>
      </c>
      <c r="AE2562" s="111"/>
      <c r="AF2562" s="28"/>
      <c r="AG2562" s="96">
        <f ca="1">IF(AG2557&lt;AG2561,AG2559,AG2560)</f>
        <v>-913.32232515525038</v>
      </c>
      <c r="AH2562" s="111"/>
      <c r="AI2562" s="28"/>
      <c r="AJ2562" s="96">
        <f ca="1">IF(AJ2557&lt;AJ2561,AJ2559,AJ2560)</f>
        <v>-330.84149238028647</v>
      </c>
      <c r="AK2562" s="111"/>
      <c r="AL2562" s="28"/>
      <c r="AM2562" s="96">
        <f ca="1">IF(AM2557&lt;AM2561,AM2559,AM2560)</f>
        <v>-247.04040769707092</v>
      </c>
      <c r="AN2562" s="111"/>
      <c r="AO2562" s="28"/>
      <c r="AP2562" s="96">
        <f ca="1">IF(AP2557&lt;AP2561,AP2559,AP2560)</f>
        <v>-197.75100490585453</v>
      </c>
      <c r="AQ2562" s="111"/>
      <c r="AR2562" s="28"/>
      <c r="AS2562" s="96">
        <f ca="1">IF(AS2557&lt;AS2561,AS2559,AS2560)</f>
        <v>-264.13941300266896</v>
      </c>
      <c r="AT2562" s="111"/>
      <c r="AU2562" s="28"/>
    </row>
    <row r="2563" spans="15:47" x14ac:dyDescent="0.25">
      <c r="O2563" s="13" t="s">
        <v>143</v>
      </c>
      <c r="P2563" s="1"/>
      <c r="Q2563" s="1"/>
      <c r="R2563" s="113"/>
      <c r="S2563" s="106">
        <f ca="1">IF(R2556&lt;=0,Q_max,ABS(R$23-R2562))</f>
        <v>0.183246747876467</v>
      </c>
      <c r="T2563" s="7">
        <f>R2552</f>
        <v>11254.276495277492</v>
      </c>
      <c r="U2563" s="98"/>
      <c r="V2563" s="106">
        <f ca="1">IF(U2556&lt;=0,Q_max,ABS(U$23-U2562))</f>
        <v>17.223218533426106</v>
      </c>
      <c r="W2563" s="9">
        <f ca="1">U2552</f>
        <v>70204.541136549597</v>
      </c>
      <c r="X2563" s="98"/>
      <c r="Y2563" s="106">
        <f ca="1">IF(X2556&lt;=0,Q_max,ABS(X$23-X2562))</f>
        <v>54.29178986197978</v>
      </c>
      <c r="Z2563" s="9">
        <f ca="1">X2552</f>
        <v>171905.13333565887</v>
      </c>
      <c r="AA2563" s="98"/>
      <c r="AB2563" s="106">
        <f ca="1">IF(AA2556&lt;=0,Q_max,ABS(AA$23-AA2562))</f>
        <v>204.08558867439532</v>
      </c>
      <c r="AC2563" s="9">
        <f ca="1">AA2552</f>
        <v>334827.321741049</v>
      </c>
      <c r="AD2563" s="98"/>
      <c r="AE2563" s="106">
        <f ca="1">IF(AD2556&lt;=0,Q_max,ABS(AD$23-AD2562))</f>
        <v>236393</v>
      </c>
      <c r="AF2563" s="9">
        <f ca="1">AD2552</f>
        <v>561736.08828806668</v>
      </c>
      <c r="AG2563" s="98"/>
      <c r="AH2563" s="106">
        <f ca="1">IF(AG2556&lt;=0,Q_max,ABS(AG$23-AG2562))</f>
        <v>236393</v>
      </c>
      <c r="AI2563" s="9">
        <f ca="1">AG2552</f>
        <v>819869.12038017216</v>
      </c>
      <c r="AJ2563" s="98"/>
      <c r="AK2563" s="106">
        <f ca="1">IF(AJ2556&lt;=0,Q_max,ABS(AJ$23-AJ2562))</f>
        <v>236393</v>
      </c>
      <c r="AL2563" s="9">
        <f ca="1">AJ2552</f>
        <v>1094118.5194251076</v>
      </c>
      <c r="AM2563" s="98"/>
      <c r="AN2563" s="106">
        <f ca="1">IF(AM2556&lt;=0,Q_max,ABS(AM$23-AM2562))</f>
        <v>236393</v>
      </c>
      <c r="AO2563" s="9">
        <f ca="1">AM2552</f>
        <v>1335032.5199251329</v>
      </c>
      <c r="AP2563" s="98"/>
      <c r="AQ2563" s="106">
        <f ca="1">IF(AP2556&lt;=0,Q_max,ABS(AP$23-AP2562))</f>
        <v>236393</v>
      </c>
      <c r="AR2563" s="9">
        <f ca="1">AP2552</f>
        <v>1549931.3100424581</v>
      </c>
      <c r="AS2563" s="98"/>
      <c r="AT2563" s="106">
        <f ca="1">IF(AS2556&lt;=0,Q_max,ABS(AS$23-AS2562))</f>
        <v>236393</v>
      </c>
      <c r="AU2563" s="9">
        <f ca="1">AS2552</f>
        <v>1817416.3552543987</v>
      </c>
    </row>
    <row r="2564" spans="15:47" x14ac:dyDescent="0.25">
      <c r="O2564" s="21"/>
      <c r="P2564" s="14"/>
      <c r="Q2564" s="21"/>
      <c r="R2564" s="97"/>
      <c r="S2564" s="106"/>
      <c r="T2564" s="28"/>
      <c r="U2564" s="97"/>
      <c r="V2564" s="111"/>
      <c r="W2564" s="28"/>
      <c r="X2564" s="97"/>
      <c r="Y2564" s="111"/>
      <c r="Z2564" s="28"/>
      <c r="AA2564" s="97"/>
      <c r="AB2564" s="111"/>
      <c r="AC2564" s="28"/>
      <c r="AD2564" s="97"/>
      <c r="AE2564" s="111"/>
      <c r="AF2564" s="28"/>
      <c r="AG2564" s="97"/>
      <c r="AH2564" s="111"/>
      <c r="AI2564" s="28"/>
      <c r="AJ2564" s="97"/>
      <c r="AK2564" s="111"/>
      <c r="AL2564" s="28"/>
      <c r="AM2564" s="97"/>
      <c r="AN2564" s="111"/>
      <c r="AO2564" s="28"/>
      <c r="AP2564" s="97"/>
      <c r="AQ2564" s="111"/>
      <c r="AR2564" s="28"/>
      <c r="AS2564" s="97"/>
      <c r="AT2564" s="111"/>
      <c r="AU2564" s="28"/>
    </row>
    <row r="2565" spans="15:47" x14ac:dyDescent="0.25">
      <c r="O2565" s="1"/>
      <c r="P2565" s="1"/>
      <c r="Q2565" s="1"/>
      <c r="R2565" s="98"/>
      <c r="S2565" s="108" t="s">
        <v>137</v>
      </c>
      <c r="T2565" s="26" t="s">
        <v>146</v>
      </c>
      <c r="U2565" s="98"/>
      <c r="V2565" s="108" t="s">
        <v>137</v>
      </c>
      <c r="W2565" s="26" t="s">
        <v>146</v>
      </c>
      <c r="X2565" s="98"/>
      <c r="Y2565" s="108" t="s">
        <v>137</v>
      </c>
      <c r="Z2565" s="26" t="s">
        <v>146</v>
      </c>
      <c r="AA2565" s="98"/>
      <c r="AB2565" s="108" t="s">
        <v>137</v>
      </c>
      <c r="AC2565" s="26" t="s">
        <v>146</v>
      </c>
      <c r="AD2565" s="98"/>
      <c r="AE2565" s="108" t="s">
        <v>137</v>
      </c>
      <c r="AF2565" s="26" t="s">
        <v>146</v>
      </c>
      <c r="AG2565" s="98"/>
      <c r="AH2565" s="108" t="s">
        <v>137</v>
      </c>
      <c r="AI2565" s="26" t="s">
        <v>146</v>
      </c>
      <c r="AJ2565" s="98"/>
      <c r="AK2565" s="108" t="s">
        <v>137</v>
      </c>
      <c r="AL2565" s="26" t="s">
        <v>146</v>
      </c>
      <c r="AM2565" s="98"/>
      <c r="AN2565" s="108" t="s">
        <v>137</v>
      </c>
      <c r="AO2565" s="26" t="s">
        <v>146</v>
      </c>
      <c r="AP2565" s="98"/>
      <c r="AQ2565" s="108" t="s">
        <v>137</v>
      </c>
      <c r="AR2565" s="26" t="s">
        <v>146</v>
      </c>
      <c r="AS2565" s="98"/>
      <c r="AT2565" s="108" t="s">
        <v>137</v>
      </c>
      <c r="AU2565" s="26" t="s">
        <v>146</v>
      </c>
    </row>
    <row r="2566" spans="15:47" ht="13.8" x14ac:dyDescent="0.25">
      <c r="O2566" s="20" t="s">
        <v>136</v>
      </c>
      <c r="P2566" s="1"/>
      <c r="Q2566" s="1"/>
      <c r="R2566" s="96">
        <f>R2552*1.02</f>
        <v>11479.362025183042</v>
      </c>
      <c r="S2566" s="109" t="s">
        <v>144</v>
      </c>
      <c r="T2566" s="23" t="s">
        <v>147</v>
      </c>
      <c r="U2566" s="96">
        <f ca="1">U2552*1.01</f>
        <v>70906.586547915096</v>
      </c>
      <c r="V2566" s="109" t="s">
        <v>144</v>
      </c>
      <c r="W2566" s="23" t="s">
        <v>147</v>
      </c>
      <c r="X2566" s="96">
        <f ca="1">X2552*1.01</f>
        <v>173624.18466901546</v>
      </c>
      <c r="Y2566" s="109" t="s">
        <v>144</v>
      </c>
      <c r="Z2566" s="23" t="s">
        <v>147</v>
      </c>
      <c r="AA2566" s="96">
        <f ca="1">AA2552*1.01</f>
        <v>338175.59495845949</v>
      </c>
      <c r="AB2566" s="109" t="s">
        <v>144</v>
      </c>
      <c r="AC2566" s="23" t="s">
        <v>147</v>
      </c>
      <c r="AD2566" s="96">
        <f ca="1">AD2552*1.01</f>
        <v>567353.44917094731</v>
      </c>
      <c r="AE2566" s="109" t="s">
        <v>144</v>
      </c>
      <c r="AF2566" s="23" t="s">
        <v>147</v>
      </c>
      <c r="AG2566" s="96">
        <f ca="1">AG2552*1.01</f>
        <v>828067.81158397393</v>
      </c>
      <c r="AH2566" s="109" t="s">
        <v>144</v>
      </c>
      <c r="AI2566" s="23" t="s">
        <v>147</v>
      </c>
      <c r="AJ2566" s="96">
        <f ca="1">AJ2552*1.01</f>
        <v>1105059.7046193588</v>
      </c>
      <c r="AK2566" s="109" t="s">
        <v>144</v>
      </c>
      <c r="AL2566" s="23" t="s">
        <v>147</v>
      </c>
      <c r="AM2566" s="96">
        <f ca="1">AM2552*1.01</f>
        <v>1348382.8451243842</v>
      </c>
      <c r="AN2566" s="109" t="s">
        <v>144</v>
      </c>
      <c r="AO2566" s="23" t="s">
        <v>147</v>
      </c>
      <c r="AP2566" s="96">
        <f ca="1">AP2552*1.01</f>
        <v>1565430.6231428827</v>
      </c>
      <c r="AQ2566" s="109" t="s">
        <v>144</v>
      </c>
      <c r="AR2566" s="23" t="s">
        <v>147</v>
      </c>
      <c r="AS2566" s="96">
        <f ca="1">AS2552*1.01</f>
        <v>1835590.5188069427</v>
      </c>
      <c r="AT2566" s="109" t="s">
        <v>144</v>
      </c>
      <c r="AU2566" s="23" t="s">
        <v>147</v>
      </c>
    </row>
    <row r="2567" spans="15:47" x14ac:dyDescent="0.25">
      <c r="O2567" s="1"/>
      <c r="P2567" s="1"/>
      <c r="Q2567" s="1"/>
      <c r="R2567" s="98"/>
      <c r="S2567" s="107"/>
      <c r="T2567" s="1"/>
      <c r="U2567" s="47"/>
      <c r="V2567" s="107"/>
      <c r="W2567" s="1"/>
      <c r="X2567" s="47"/>
      <c r="Y2567" s="107"/>
      <c r="Z2567" s="1"/>
      <c r="AA2567" s="47"/>
      <c r="AB2567" s="107"/>
      <c r="AC2567" s="1"/>
      <c r="AD2567" s="47"/>
      <c r="AE2567" s="107"/>
      <c r="AF2567" s="1"/>
      <c r="AG2567" s="47"/>
      <c r="AH2567" s="107"/>
      <c r="AI2567" s="1"/>
      <c r="AJ2567" s="47"/>
      <c r="AK2567" s="107"/>
      <c r="AL2567" s="1"/>
      <c r="AM2567" s="47"/>
      <c r="AN2567" s="107"/>
      <c r="AO2567" s="1"/>
      <c r="AP2567" s="47"/>
      <c r="AQ2567" s="107"/>
      <c r="AR2567" s="1"/>
      <c r="AS2567" s="47"/>
      <c r="AT2567" s="107"/>
      <c r="AU2567" s="1"/>
    </row>
    <row r="2568" spans="15:47" x14ac:dyDescent="0.25">
      <c r="O2568" s="8" t="s">
        <v>132</v>
      </c>
      <c r="P2568" s="8"/>
      <c r="Q2568" s="8"/>
      <c r="R2568" s="96">
        <f>P_1_minQ-(R2566^2*R_up)+dpup_minQ</f>
        <v>90.161022961529738</v>
      </c>
      <c r="S2568" s="106"/>
      <c r="T2568" s="22"/>
      <c r="U2568" s="96">
        <f ca="1">P_1_minQ-(U2566^2*R_up)+dpup_minQ</f>
        <v>89.268679324635983</v>
      </c>
      <c r="V2568" s="107"/>
      <c r="W2568" s="1"/>
      <c r="X2568" s="96">
        <f ca="1">P_1_minQ-(X2566^2*R_up)+dpup_minQ</f>
        <v>84.690720203461979</v>
      </c>
      <c r="Y2568" s="107"/>
      <c r="Z2568" s="1"/>
      <c r="AA2568" s="96">
        <f ca="1">P_1_minQ-(AA2566^2*R_up)+dpup_minQ</f>
        <v>69.341184601579442</v>
      </c>
      <c r="AB2568" s="107"/>
      <c r="AC2568" s="1"/>
      <c r="AD2568" s="96">
        <f ca="1">P_1_minQ-(AD2566^2*R_up)+dpup_minQ</f>
        <v>31.51708743627723</v>
      </c>
      <c r="AE2568" s="107"/>
      <c r="AF2568" s="1"/>
      <c r="AG2568" s="96">
        <f ca="1">P_1_minQ-(AG2566^2*R_up)+dpup_minQ</f>
        <v>-34.790592020940096</v>
      </c>
      <c r="AH2568" s="107"/>
      <c r="AI2568" s="1"/>
      <c r="AJ2568" s="96">
        <f ca="1">P_1_minQ-(AJ2566^2*R_up)+dpup_minQ</f>
        <v>-132.38413803725354</v>
      </c>
      <c r="AK2568" s="107"/>
      <c r="AL2568" s="1"/>
      <c r="AM2568" s="96">
        <f ca="1">P_1_minQ-(AM2566^2*R_up)+dpup_minQ</f>
        <v>-241.19013765342964</v>
      </c>
      <c r="AN2568" s="107"/>
      <c r="AO2568" s="1"/>
      <c r="AP2568" s="96">
        <f ca="1">P_1_minQ-(AP2566^2*R_up)+dpup_minQ</f>
        <v>-356.45863395287284</v>
      </c>
      <c r="AQ2568" s="107"/>
      <c r="AR2568" s="1"/>
      <c r="AS2568" s="96">
        <f ca="1">P_1_minQ-(AS2566^2*R_up)+dpup_minQ</f>
        <v>-523.92351632519978</v>
      </c>
      <c r="AT2568" s="107"/>
      <c r="AU2568" s="1"/>
    </row>
    <row r="2569" spans="15:47" x14ac:dyDescent="0.25">
      <c r="O2569" s="8" t="s">
        <v>134</v>
      </c>
      <c r="P2569" s="1"/>
      <c r="Q2569" s="8"/>
      <c r="R2569" s="97">
        <f>P_2_minQ+(R2566^2*R_dn)-dpdn_minQ</f>
        <v>60</v>
      </c>
      <c r="S2569" s="106"/>
      <c r="T2569" s="22"/>
      <c r="U2569" s="97">
        <f ca="1">P_2_minQ+(U2566^2*R_dn)-dpdn_minQ</f>
        <v>60</v>
      </c>
      <c r="V2569" s="107"/>
      <c r="W2569" s="1"/>
      <c r="X2569" s="97">
        <f ca="1">P_2_minQ+(X2566^2*R_dn)-dpdn_minQ</f>
        <v>60</v>
      </c>
      <c r="Y2569" s="107"/>
      <c r="Z2569" s="1"/>
      <c r="AA2569" s="97">
        <f ca="1">P_2_minQ+(AA2566^2*R_dn)-dpdn_minQ</f>
        <v>60</v>
      </c>
      <c r="AB2569" s="107"/>
      <c r="AC2569" s="1"/>
      <c r="AD2569" s="97">
        <f ca="1">P_2_minQ+(AD2566^2*R_dn)-dpdn_minQ</f>
        <v>60</v>
      </c>
      <c r="AE2569" s="107"/>
      <c r="AF2569" s="1"/>
      <c r="AG2569" s="97">
        <f ca="1">P_2_minQ+(AG2566^2*R_dn)-dpdn_minQ</f>
        <v>60</v>
      </c>
      <c r="AH2569" s="107"/>
      <c r="AI2569" s="1"/>
      <c r="AJ2569" s="97">
        <f ca="1">P_2_minQ+(AJ2566^2*R_dn)-dpdn_minQ</f>
        <v>60</v>
      </c>
      <c r="AK2569" s="107"/>
      <c r="AL2569" s="1"/>
      <c r="AM2569" s="97">
        <f ca="1">P_2_minQ+(AM2566^2*R_dn)-dpdn_minQ</f>
        <v>60</v>
      </c>
      <c r="AN2569" s="107"/>
      <c r="AO2569" s="1"/>
      <c r="AP2569" s="97">
        <f ca="1">P_2_minQ+(AP2566^2*R_dn)-dpdn_minQ</f>
        <v>60</v>
      </c>
      <c r="AQ2569" s="107"/>
      <c r="AR2569" s="1"/>
      <c r="AS2569" s="97">
        <f ca="1">P_2_minQ+(AS2566^2*R_dn)-dpdn_minQ</f>
        <v>60</v>
      </c>
      <c r="AT2569" s="107"/>
      <c r="AU2569" s="1"/>
    </row>
    <row r="2570" spans="15:47" x14ac:dyDescent="0.25">
      <c r="O2570" s="8" t="s">
        <v>138</v>
      </c>
      <c r="P2570" s="1"/>
      <c r="Q2570" s="8"/>
      <c r="R2570" s="97">
        <f>R2568-R2569</f>
        <v>30.161022961529738</v>
      </c>
      <c r="S2570" s="106"/>
      <c r="T2570" s="22"/>
      <c r="U2570" s="97">
        <f ca="1">U2568-U2569</f>
        <v>29.268679324635983</v>
      </c>
      <c r="V2570" s="110"/>
      <c r="W2570" s="25"/>
      <c r="X2570" s="97">
        <f ca="1">X2568-X2569</f>
        <v>24.690720203461979</v>
      </c>
      <c r="Y2570" s="110"/>
      <c r="Z2570" s="25"/>
      <c r="AA2570" s="97">
        <f ca="1">AA2568-AA2569</f>
        <v>9.3411846015794424</v>
      </c>
      <c r="AB2570" s="110"/>
      <c r="AC2570" s="25"/>
      <c r="AD2570" s="97">
        <f ca="1">AD2568-AD2569</f>
        <v>-28.48291256372277</v>
      </c>
      <c r="AE2570" s="110"/>
      <c r="AF2570" s="25"/>
      <c r="AG2570" s="97">
        <f ca="1">AG2568-AG2569</f>
        <v>-94.790592020940096</v>
      </c>
      <c r="AH2570" s="110"/>
      <c r="AI2570" s="25"/>
      <c r="AJ2570" s="97">
        <f ca="1">AJ2568-AJ2569</f>
        <v>-192.38413803725354</v>
      </c>
      <c r="AK2570" s="110"/>
      <c r="AL2570" s="25"/>
      <c r="AM2570" s="97">
        <f ca="1">AM2568-AM2569</f>
        <v>-301.19013765342964</v>
      </c>
      <c r="AN2570" s="110"/>
      <c r="AO2570" s="25"/>
      <c r="AP2570" s="97">
        <f ca="1">AP2568-AP2569</f>
        <v>-416.45863395287284</v>
      </c>
      <c r="AQ2570" s="110"/>
      <c r="AR2570" s="25"/>
      <c r="AS2570" s="97">
        <f ca="1">AS2568-AS2569</f>
        <v>-583.92351632519978</v>
      </c>
      <c r="AT2570" s="110"/>
      <c r="AU2570" s="25"/>
    </row>
    <row r="2571" spans="15:47" ht="14.4" x14ac:dyDescent="0.3">
      <c r="O2571" s="2" t="s">
        <v>140</v>
      </c>
      <c r="P2571" s="11"/>
      <c r="Q2571" s="2"/>
      <c r="R2571" s="96">
        <f>R2570/R2568</f>
        <v>0.33452396579838012</v>
      </c>
      <c r="S2571" s="106"/>
      <c r="T2571" s="22"/>
      <c r="U2571" s="96">
        <f ca="1">U2570/U2568</f>
        <v>0.32787176360251741</v>
      </c>
      <c r="V2571" s="111"/>
      <c r="W2571" s="28"/>
      <c r="X2571" s="96">
        <f ca="1">X2570/X2568</f>
        <v>0.29153985400224136</v>
      </c>
      <c r="Y2571" s="111"/>
      <c r="Z2571" s="28"/>
      <c r="AA2571" s="96">
        <f ca="1">AA2570/AA2568</f>
        <v>0.13471336919396487</v>
      </c>
      <c r="AB2571" s="111"/>
      <c r="AC2571" s="28"/>
      <c r="AD2571" s="96">
        <f ca="1">AD2570/AD2568</f>
        <v>-0.90372921106085391</v>
      </c>
      <c r="AE2571" s="111"/>
      <c r="AF2571" s="28"/>
      <c r="AG2571" s="96">
        <f ca="1">AG2570/AG2568</f>
        <v>2.7246041678131441</v>
      </c>
      <c r="AH2571" s="111"/>
      <c r="AI2571" s="28"/>
      <c r="AJ2571" s="96">
        <f ca="1">AJ2570/AJ2568</f>
        <v>1.4532265034887768</v>
      </c>
      <c r="AK2571" s="111"/>
      <c r="AL2571" s="28"/>
      <c r="AM2571" s="96">
        <f ca="1">AM2570/AM2568</f>
        <v>1.2487663906316728</v>
      </c>
      <c r="AN2571" s="111"/>
      <c r="AO2571" s="28"/>
      <c r="AP2571" s="96">
        <f ca="1">AP2570/AP2568</f>
        <v>1.1683224763968898</v>
      </c>
      <c r="AQ2571" s="111"/>
      <c r="AR2571" s="28"/>
      <c r="AS2571" s="96">
        <f ca="1">AS2570/AS2568</f>
        <v>1.1145205323495309</v>
      </c>
      <c r="AT2571" s="111"/>
      <c r="AU2571" s="28"/>
    </row>
    <row r="2572" spans="15:47" x14ac:dyDescent="0.25">
      <c r="O2572" s="2" t="s">
        <v>21</v>
      </c>
      <c r="P2572" s="8">
        <v>12</v>
      </c>
      <c r="Q2572" s="2"/>
      <c r="R2572" s="96">
        <f ca="1">1-R2571/(3*F_GAMMA*R$29)</f>
        <v>0.82577685217947572</v>
      </c>
      <c r="S2572" s="106"/>
      <c r="T2572" s="22"/>
      <c r="U2572" s="96">
        <f ca="1">1-U2571/(3*F_GAMMA*U$29)</f>
        <v>0.82928104985614215</v>
      </c>
      <c r="V2572" s="111"/>
      <c r="W2572" s="28"/>
      <c r="X2572" s="96">
        <f ca="1">1-X2571/(3*F_GAMMA*X$29)</f>
        <v>0.84675285450048865</v>
      </c>
      <c r="Y2572" s="111"/>
      <c r="Z2572" s="28"/>
      <c r="AA2572" s="96">
        <f ca="1">1-AA2571/(3*F_GAMMA*AA$29)</f>
        <v>0.92819010951114089</v>
      </c>
      <c r="AB2572" s="111"/>
      <c r="AC2572" s="28"/>
      <c r="AD2572" s="96">
        <f ca="1">1-AD2571/(3*F_GAMMA*AD$29)</f>
        <v>1.4966798317327472</v>
      </c>
      <c r="AE2572" s="111"/>
      <c r="AF2572" s="28"/>
      <c r="AG2572" s="96">
        <f ca="1">1-AG2571/(3*F_GAMMA*AG$29)</f>
        <v>-0.58726711385856678</v>
      </c>
      <c r="AH2572" s="111"/>
      <c r="AI2572" s="28"/>
      <c r="AJ2572" s="96">
        <f ca="1">1-AJ2571/(3*F_GAMMA*AJ$29)</f>
        <v>8.9170851989571198E-2</v>
      </c>
      <c r="AK2572" s="111"/>
      <c r="AL2572" s="28"/>
      <c r="AM2572" s="96">
        <f ca="1">1-AM2571/(3*F_GAMMA*AM$29)</f>
        <v>0.12489808136173153</v>
      </c>
      <c r="AN2572" s="111"/>
      <c r="AO2572" s="28"/>
      <c r="AP2572" s="96">
        <f ca="1">1-AP2571/(3*F_GAMMA*AP$29)</f>
        <v>0.34053615036930351</v>
      </c>
      <c r="AQ2572" s="111"/>
      <c r="AR2572" s="28"/>
      <c r="AS2572" s="96">
        <f ca="1">1-AS2571/(3*F_GAMMA*AS$29)</f>
        <v>1.3759621724292681E-2</v>
      </c>
      <c r="AT2572" s="111"/>
      <c r="AU2572" s="28"/>
    </row>
    <row r="2573" spans="15:47" x14ac:dyDescent="0.25">
      <c r="O2573" s="2" t="s">
        <v>57</v>
      </c>
      <c r="P2573" s="143">
        <v>7</v>
      </c>
      <c r="Q2573" s="2"/>
      <c r="R2573" s="96">
        <f ca="1">(R2566/(N_9*R$27*R2568*R2572))*SQRT(M*'Valve Sizing'!$W$6*'Valve Sizing'!$G$8/R2571)</f>
        <v>4.6377638711829414</v>
      </c>
      <c r="S2573" s="107"/>
      <c r="T2573" s="22"/>
      <c r="U2573" s="96">
        <f ca="1">(U2566/(N_9*U$27*U2568*U2572))*SQRT(M*'Valve Sizing'!$W$6*'Valve Sizing'!$G$8/U2571)</f>
        <v>29.120888241240458</v>
      </c>
      <c r="V2573" s="111"/>
      <c r="W2573" s="28"/>
      <c r="X2573" s="96">
        <f ca="1">(X2566/(N_9*X$27*X2568*X2572))*SQRT(M*'Valve Sizing'!$W$6*'Valve Sizing'!$G$8/X2571)</f>
        <v>78.241696049004318</v>
      </c>
      <c r="Y2573" s="111"/>
      <c r="Z2573" s="28"/>
      <c r="AA2573" s="96">
        <f ca="1">(AA2566/(N_9*AA$27*AA2568*AA2572))*SQRT(M*'Valve Sizing'!$W$6*'Valve Sizing'!$G$8/AA2571)</f>
        <v>251.27416460304659</v>
      </c>
      <c r="AB2573" s="111"/>
      <c r="AC2573" s="28"/>
      <c r="AD2573" s="96" t="e">
        <f ca="1">(AD2566/(N_9*AD$27*AD2568*AD2572))*SQRT(M*'Valve Sizing'!$W$6*'Valve Sizing'!$G$8/AD2571)</f>
        <v>#NUM!</v>
      </c>
      <c r="AE2573" s="111"/>
      <c r="AF2573" s="28"/>
      <c r="AG2573" s="96">
        <f ca="1">(AG2566/(N_9*AG$27*AG2568*AG2572))*SQRT(M*'Valve Sizing'!$W$6*'Valve Sizing'!$G$8/AG2571)</f>
        <v>446.13678556655333</v>
      </c>
      <c r="AH2573" s="111"/>
      <c r="AI2573" s="28"/>
      <c r="AJ2573" s="96">
        <f ca="1">(AJ2566/(N_9*AJ$27*AJ2568*AJ2572))*SQRT(M*'Valve Sizing'!$W$6*'Valve Sizing'!$G$8/AJ2571)</f>
        <v>-1461.9569983360175</v>
      </c>
      <c r="AK2573" s="111"/>
      <c r="AL2573" s="28"/>
      <c r="AM2573" s="96">
        <f ca="1">(AM2566/(N_9*AM$27*AM2568*AM2572))*SQRT(M*'Valve Sizing'!$W$6*'Valve Sizing'!$G$8/AM2571)</f>
        <v>-800.1112496083806</v>
      </c>
      <c r="AN2573" s="111"/>
      <c r="AO2573" s="28"/>
      <c r="AP2573" s="96">
        <f ca="1">(AP2566/(N_9*AP$27*AP2568*AP2572))*SQRT(M*'Valve Sizing'!$W$6*'Valve Sizing'!$G$8/AP2571)</f>
        <v>-271.26242249601029</v>
      </c>
      <c r="AQ2573" s="111"/>
      <c r="AR2573" s="28"/>
      <c r="AS2573" s="96">
        <f ca="1">(AS2566/(N_9*AS$27*AS2568*AS2572))*SQRT(M*'Valve Sizing'!$W$6*'Valve Sizing'!$G$8/AS2571)</f>
        <v>-7344.6979310314582</v>
      </c>
      <c r="AT2573" s="111"/>
      <c r="AU2573" s="28"/>
    </row>
    <row r="2574" spans="15:47" x14ac:dyDescent="0.25">
      <c r="O2574" s="2" t="s">
        <v>59</v>
      </c>
      <c r="P2574" s="143">
        <v>7</v>
      </c>
      <c r="Q2574" s="2"/>
      <c r="R2574" s="96">
        <f ca="1">(R2566/(N_9*R$27*R2568*0.667))*SQRT(M*'Valve Sizing'!$W$6*'Valve Sizing'!$G$8/R2575)</f>
        <v>4.151060464100051</v>
      </c>
      <c r="S2574" s="107"/>
      <c r="T2574" s="22"/>
      <c r="U2574" s="96">
        <f ca="1">(U2566/(N_9*U$27*U2568*0.667))*SQRT(M*'Valve Sizing'!$W$6*'Valve Sizing'!$G$8/U2575)</f>
        <v>25.910871352662461</v>
      </c>
      <c r="V2574" s="111"/>
      <c r="W2574" s="28"/>
      <c r="X2574" s="96">
        <f ca="1">(X2566/(N_9*X$27*X2568*0.667))*SQRT(M*'Valve Sizing'!$W$6*'Valve Sizing'!$G$8/X2575)</f>
        <v>67.348188040266734</v>
      </c>
      <c r="Y2574" s="111"/>
      <c r="Z2574" s="28"/>
      <c r="AA2574" s="96">
        <f ca="1">(AA2566/(N_9*AA$27*AA2568*0.667))*SQRT(M*'Valve Sizing'!$W$6*'Valve Sizing'!$G$8/AA2575)</f>
        <v>162.29745133005213</v>
      </c>
      <c r="AB2574" s="111"/>
      <c r="AC2574" s="28"/>
      <c r="AD2574" s="96">
        <f ca="1">(AD2566/(N_9*AD$27*AD2568*0.667))*SQRT(M*'Valve Sizing'!$W$6*'Valve Sizing'!$G$8/AD2575)</f>
        <v>615.81114569944111</v>
      </c>
      <c r="AE2574" s="111"/>
      <c r="AF2574" s="28"/>
      <c r="AG2574" s="96">
        <f ca="1">(AG2566/(N_9*AG$27*AG2568*0.667))*SQRT(M*'Valve Sizing'!$W$6*'Valve Sizing'!$G$8/AG2575)</f>
        <v>-857.16320114820439</v>
      </c>
      <c r="AH2574" s="111"/>
      <c r="AI2574" s="28"/>
      <c r="AJ2574" s="96">
        <f ca="1">(AJ2566/(N_9*AJ$27*AJ2568*0.667))*SQRT(M*'Valve Sizing'!$W$6*'Valve Sizing'!$G$8/AJ2575)</f>
        <v>-323.08051636520435</v>
      </c>
      <c r="AK2574" s="111"/>
      <c r="AL2574" s="28"/>
      <c r="AM2574" s="96">
        <f ca="1">(AM2566/(N_9*AM$27*AM2568*0.667))*SQRT(M*'Valve Sizing'!$W$6*'Valve Sizing'!$G$8/AM2575)</f>
        <v>-242.75615777012641</v>
      </c>
      <c r="AN2574" s="111"/>
      <c r="AO2574" s="28"/>
      <c r="AP2574" s="96">
        <f ca="1">(AP2566/(N_9*AP$27*AP2568*0.667))*SQRT(M*'Valve Sizing'!$W$6*'Valve Sizing'!$G$8/AP2575)</f>
        <v>-194.79739653598955</v>
      </c>
      <c r="AQ2574" s="111"/>
      <c r="AR2574" s="28"/>
      <c r="AS2574" s="96">
        <f ca="1">(AS2566/(N_9*AS$27*AS2568*0.667))*SQRT(M*'Valve Sizing'!$W$6*'Valve Sizing'!$G$8/AS2575)</f>
        <v>-260.61932563620701</v>
      </c>
      <c r="AT2574" s="111"/>
      <c r="AU2574" s="28"/>
    </row>
    <row r="2575" spans="15:47" ht="15.6" x14ac:dyDescent="0.35">
      <c r="O2575" s="2" t="s">
        <v>68</v>
      </c>
      <c r="P2575" s="143">
        <v>10</v>
      </c>
      <c r="Q2575" s="2"/>
      <c r="R2575" s="96">
        <f ca="1">F_GAMMA*R$29</f>
        <v>0.64002969751372984</v>
      </c>
      <c r="S2575" s="107"/>
      <c r="T2575" s="1"/>
      <c r="U2575" s="96">
        <f ca="1">F_GAMMA*U$29</f>
        <v>0.64017842058782071</v>
      </c>
      <c r="V2575" s="111"/>
      <c r="W2575" s="28"/>
      <c r="X2575" s="96">
        <f ca="1">F_GAMMA*X$29</f>
        <v>0.63413873724904268</v>
      </c>
      <c r="Y2575" s="111"/>
      <c r="Z2575" s="28"/>
      <c r="AA2575" s="96">
        <f ca="1">F_GAMMA*AA$29</f>
        <v>0.62532411750377137</v>
      </c>
      <c r="AB2575" s="111"/>
      <c r="AC2575" s="28"/>
      <c r="AD2575" s="96">
        <f ca="1">F_GAMMA*AD$29</f>
        <v>0.60651359509139569</v>
      </c>
      <c r="AE2575" s="111"/>
      <c r="AF2575" s="28"/>
      <c r="AG2575" s="96">
        <f ca="1">F_GAMMA*AG$29</f>
        <v>0.57217930198481592</v>
      </c>
      <c r="AH2575" s="111"/>
      <c r="AI2575" s="28"/>
      <c r="AJ2575" s="96">
        <f ca="1">F_GAMMA*AJ$29</f>
        <v>0.53183282018848232</v>
      </c>
      <c r="AK2575" s="111"/>
      <c r="AL2575" s="28"/>
      <c r="AM2575" s="96">
        <f ca="1">F_GAMMA*AM$29</f>
        <v>0.47566512503094399</v>
      </c>
      <c r="AN2575" s="111"/>
      <c r="AO2575" s="28"/>
      <c r="AP2575" s="96">
        <f ca="1">F_GAMMA*AP$29</f>
        <v>0.59054158265645496</v>
      </c>
      <c r="AQ2575" s="111"/>
      <c r="AR2575" s="28"/>
      <c r="AS2575" s="96">
        <f ca="1">F_GAMMA*AS$29</f>
        <v>0.3766899554102966</v>
      </c>
      <c r="AT2575" s="111"/>
      <c r="AU2575" s="28"/>
    </row>
    <row r="2576" spans="15:47" x14ac:dyDescent="0.25">
      <c r="O2576" s="2" t="s">
        <v>145</v>
      </c>
      <c r="P2576" s="12"/>
      <c r="Q2576" s="2"/>
      <c r="R2576" s="96">
        <f ca="1">IF(R2571&lt;R2575,R2573,R2574)</f>
        <v>4.6377638711829414</v>
      </c>
      <c r="S2576" s="116"/>
      <c r="T2576" s="1"/>
      <c r="U2576" s="96">
        <f ca="1">IF(U2571&lt;U2575,U2573,U2574)</f>
        <v>29.120888241240458</v>
      </c>
      <c r="V2576" s="111"/>
      <c r="W2576" s="28"/>
      <c r="X2576" s="96">
        <f ca="1">IF(X2571&lt;X2575,X2573,X2574)</f>
        <v>78.241696049004318</v>
      </c>
      <c r="Y2576" s="111"/>
      <c r="Z2576" s="28"/>
      <c r="AA2576" s="96">
        <f ca="1">IF(AA2571&lt;AA2575,AA2573,AA2574)</f>
        <v>251.27416460304659</v>
      </c>
      <c r="AB2576" s="111"/>
      <c r="AC2576" s="28"/>
      <c r="AD2576" s="96" t="e">
        <f ca="1">IF(AD2571&lt;AD2575,AD2573,AD2574)</f>
        <v>#NUM!</v>
      </c>
      <c r="AE2576" s="111"/>
      <c r="AF2576" s="28"/>
      <c r="AG2576" s="96">
        <f ca="1">IF(AG2571&lt;AG2575,AG2573,AG2574)</f>
        <v>-857.16320114820439</v>
      </c>
      <c r="AH2576" s="111"/>
      <c r="AI2576" s="28"/>
      <c r="AJ2576" s="96">
        <f ca="1">IF(AJ2571&lt;AJ2575,AJ2573,AJ2574)</f>
        <v>-323.08051636520435</v>
      </c>
      <c r="AK2576" s="111"/>
      <c r="AL2576" s="28"/>
      <c r="AM2576" s="96">
        <f ca="1">IF(AM2571&lt;AM2575,AM2573,AM2574)</f>
        <v>-242.75615777012641</v>
      </c>
      <c r="AN2576" s="111"/>
      <c r="AO2576" s="28"/>
      <c r="AP2576" s="96">
        <f ca="1">IF(AP2571&lt;AP2575,AP2573,AP2574)</f>
        <v>-194.79739653598955</v>
      </c>
      <c r="AQ2576" s="111"/>
      <c r="AR2576" s="28"/>
      <c r="AS2576" s="96">
        <f ca="1">IF(AS2571&lt;AS2575,AS2573,AS2574)</f>
        <v>-260.61932563620701</v>
      </c>
      <c r="AT2576" s="111"/>
      <c r="AU2576" s="28"/>
    </row>
    <row r="2577" spans="15:47" x14ac:dyDescent="0.25">
      <c r="O2577" s="13" t="s">
        <v>143</v>
      </c>
      <c r="P2577" s="1"/>
      <c r="Q2577" s="1"/>
      <c r="R2577" s="113"/>
      <c r="S2577" s="106">
        <f ca="1">IF(R2570&lt;=0,Q_max,ABS(R$23-R2576))</f>
        <v>9.2236128817059004E-2</v>
      </c>
      <c r="T2577" s="7">
        <f>R2566</f>
        <v>11479.362025183042</v>
      </c>
      <c r="U2577" s="98"/>
      <c r="V2577" s="106">
        <f ca="1">IF(U2570&lt;=0,Q_max,ABS(U$23-U2576))</f>
        <v>17.520888241240456</v>
      </c>
      <c r="W2577" s="9">
        <f ca="1">U2566</f>
        <v>70906.586547915096</v>
      </c>
      <c r="X2577" s="98"/>
      <c r="Y2577" s="106">
        <f ca="1">IF(X2570&lt;=0,Q_max,ABS(X$23-X2576))</f>
        <v>55.241696049004318</v>
      </c>
      <c r="Z2577" s="9">
        <f ca="1">X2566</f>
        <v>173624.18466901546</v>
      </c>
      <c r="AA2577" s="98"/>
      <c r="AB2577" s="106">
        <f ca="1">IF(AA2570&lt;=0,Q_max,ABS(AA$23-AA2576))</f>
        <v>211.87416460304658</v>
      </c>
      <c r="AC2577" s="9">
        <f ca="1">AA2566</f>
        <v>338175.59495845949</v>
      </c>
      <c r="AD2577" s="98"/>
      <c r="AE2577" s="106">
        <f ca="1">IF(AD2570&lt;=0,Q_max,ABS(AD$23-AD2576))</f>
        <v>236393</v>
      </c>
      <c r="AF2577" s="9">
        <f ca="1">AD2566</f>
        <v>567353.44917094731</v>
      </c>
      <c r="AG2577" s="98"/>
      <c r="AH2577" s="106">
        <f ca="1">IF(AG2570&lt;=0,Q_max,ABS(AG$23-AG2576))</f>
        <v>236393</v>
      </c>
      <c r="AI2577" s="9">
        <f ca="1">AG2566</f>
        <v>828067.81158397393</v>
      </c>
      <c r="AJ2577" s="98"/>
      <c r="AK2577" s="106">
        <f ca="1">IF(AJ2570&lt;=0,Q_max,ABS(AJ$23-AJ2576))</f>
        <v>236393</v>
      </c>
      <c r="AL2577" s="9">
        <f ca="1">AJ2566</f>
        <v>1105059.7046193588</v>
      </c>
      <c r="AM2577" s="98"/>
      <c r="AN2577" s="106">
        <f ca="1">IF(AM2570&lt;=0,Q_max,ABS(AM$23-AM2576))</f>
        <v>236393</v>
      </c>
      <c r="AO2577" s="9">
        <f ca="1">AM2566</f>
        <v>1348382.8451243842</v>
      </c>
      <c r="AP2577" s="98"/>
      <c r="AQ2577" s="106">
        <f ca="1">IF(AP2570&lt;=0,Q_max,ABS(AP$23-AP2576))</f>
        <v>236393</v>
      </c>
      <c r="AR2577" s="9">
        <f ca="1">AP2566</f>
        <v>1565430.6231428827</v>
      </c>
      <c r="AS2577" s="98"/>
      <c r="AT2577" s="106">
        <f ca="1">IF(AS2570&lt;=0,Q_max,ABS(AS$23-AS2576))</f>
        <v>236393</v>
      </c>
      <c r="AU2577" s="9">
        <f ca="1">AS2566</f>
        <v>1835590.5188069427</v>
      </c>
    </row>
    <row r="2578" spans="15:47" x14ac:dyDescent="0.25">
      <c r="O2578" s="21"/>
      <c r="P2578" s="14"/>
      <c r="Q2578" s="21"/>
      <c r="R2578" s="97"/>
      <c r="S2578" s="106"/>
      <c r="T2578" s="28"/>
      <c r="U2578" s="97"/>
      <c r="V2578" s="111"/>
      <c r="W2578" s="28"/>
      <c r="X2578" s="97"/>
      <c r="Y2578" s="111"/>
      <c r="Z2578" s="28"/>
      <c r="AA2578" s="97"/>
      <c r="AB2578" s="111"/>
      <c r="AC2578" s="28"/>
      <c r="AD2578" s="97"/>
      <c r="AE2578" s="111"/>
      <c r="AF2578" s="28"/>
      <c r="AG2578" s="97"/>
      <c r="AH2578" s="111"/>
      <c r="AI2578" s="28"/>
      <c r="AJ2578" s="97"/>
      <c r="AK2578" s="111"/>
      <c r="AL2578" s="28"/>
      <c r="AM2578" s="97"/>
      <c r="AN2578" s="111"/>
      <c r="AO2578" s="28"/>
      <c r="AP2578" s="97"/>
      <c r="AQ2578" s="111"/>
      <c r="AR2578" s="28"/>
      <c r="AS2578" s="97"/>
      <c r="AT2578" s="111"/>
      <c r="AU2578" s="28"/>
    </row>
    <row r="2579" spans="15:47" x14ac:dyDescent="0.25">
      <c r="O2579" s="1"/>
      <c r="P2579" s="1"/>
      <c r="Q2579" s="1"/>
      <c r="R2579" s="98"/>
      <c r="S2579" s="108" t="s">
        <v>137</v>
      </c>
      <c r="T2579" s="26" t="s">
        <v>146</v>
      </c>
      <c r="U2579" s="98"/>
      <c r="V2579" s="108" t="s">
        <v>137</v>
      </c>
      <c r="W2579" s="26" t="s">
        <v>146</v>
      </c>
      <c r="X2579" s="98"/>
      <c r="Y2579" s="108" t="s">
        <v>137</v>
      </c>
      <c r="Z2579" s="26" t="s">
        <v>146</v>
      </c>
      <c r="AA2579" s="98"/>
      <c r="AB2579" s="108" t="s">
        <v>137</v>
      </c>
      <c r="AC2579" s="26" t="s">
        <v>146</v>
      </c>
      <c r="AD2579" s="98"/>
      <c r="AE2579" s="108" t="s">
        <v>137</v>
      </c>
      <c r="AF2579" s="26" t="s">
        <v>146</v>
      </c>
      <c r="AG2579" s="98"/>
      <c r="AH2579" s="108" t="s">
        <v>137</v>
      </c>
      <c r="AI2579" s="26" t="s">
        <v>146</v>
      </c>
      <c r="AJ2579" s="98"/>
      <c r="AK2579" s="108" t="s">
        <v>137</v>
      </c>
      <c r="AL2579" s="26" t="s">
        <v>146</v>
      </c>
      <c r="AM2579" s="98"/>
      <c r="AN2579" s="108" t="s">
        <v>137</v>
      </c>
      <c r="AO2579" s="26" t="s">
        <v>146</v>
      </c>
      <c r="AP2579" s="98"/>
      <c r="AQ2579" s="108" t="s">
        <v>137</v>
      </c>
      <c r="AR2579" s="26" t="s">
        <v>146</v>
      </c>
      <c r="AS2579" s="98"/>
      <c r="AT2579" s="108" t="s">
        <v>137</v>
      </c>
      <c r="AU2579" s="26" t="s">
        <v>146</v>
      </c>
    </row>
    <row r="2580" spans="15:47" ht="13.8" x14ac:dyDescent="0.25">
      <c r="O2580" s="20" t="s">
        <v>136</v>
      </c>
      <c r="P2580" s="1"/>
      <c r="Q2580" s="1"/>
      <c r="R2580" s="96">
        <f>R2566*1.02</f>
        <v>11708.949265686702</v>
      </c>
      <c r="S2580" s="109" t="s">
        <v>144</v>
      </c>
      <c r="T2580" s="23" t="s">
        <v>147</v>
      </c>
      <c r="U2580" s="96">
        <f ca="1">U2566*1.01</f>
        <v>71615.652413394244</v>
      </c>
      <c r="V2580" s="109" t="s">
        <v>144</v>
      </c>
      <c r="W2580" s="23" t="s">
        <v>147</v>
      </c>
      <c r="X2580" s="96">
        <f ca="1">X2566*1.01</f>
        <v>175360.42651570562</v>
      </c>
      <c r="Y2580" s="109" t="s">
        <v>144</v>
      </c>
      <c r="Z2580" s="23" t="s">
        <v>147</v>
      </c>
      <c r="AA2580" s="96">
        <f ca="1">AA2566*1.01</f>
        <v>341557.35090804409</v>
      </c>
      <c r="AB2580" s="109" t="s">
        <v>144</v>
      </c>
      <c r="AC2580" s="23" t="s">
        <v>147</v>
      </c>
      <c r="AD2580" s="96">
        <f ca="1">AD2566*1.01</f>
        <v>573026.98366265674</v>
      </c>
      <c r="AE2580" s="109" t="s">
        <v>144</v>
      </c>
      <c r="AF2580" s="23" t="s">
        <v>147</v>
      </c>
      <c r="AG2580" s="96">
        <f ca="1">AG2566*1.01</f>
        <v>836348.48969981365</v>
      </c>
      <c r="AH2580" s="109" t="s">
        <v>144</v>
      </c>
      <c r="AI2580" s="23" t="s">
        <v>147</v>
      </c>
      <c r="AJ2580" s="96">
        <f ca="1">AJ2566*1.01</f>
        <v>1116110.3016655524</v>
      </c>
      <c r="AK2580" s="109" t="s">
        <v>144</v>
      </c>
      <c r="AL2580" s="23" t="s">
        <v>147</v>
      </c>
      <c r="AM2580" s="96">
        <f ca="1">AM2566*1.01</f>
        <v>1361866.6735756281</v>
      </c>
      <c r="AN2580" s="109" t="s">
        <v>144</v>
      </c>
      <c r="AO2580" s="23" t="s">
        <v>147</v>
      </c>
      <c r="AP2580" s="96">
        <f ca="1">AP2566*1.01</f>
        <v>1581084.9293743116</v>
      </c>
      <c r="AQ2580" s="109" t="s">
        <v>144</v>
      </c>
      <c r="AR2580" s="23" t="s">
        <v>147</v>
      </c>
      <c r="AS2580" s="96">
        <f ca="1">AS2566*1.01</f>
        <v>1853946.4239950122</v>
      </c>
      <c r="AT2580" s="109" t="s">
        <v>144</v>
      </c>
      <c r="AU2580" s="23" t="s">
        <v>147</v>
      </c>
    </row>
    <row r="2581" spans="15:47" x14ac:dyDescent="0.25">
      <c r="O2581" s="1"/>
      <c r="P2581" s="1"/>
      <c r="Q2581" s="1"/>
      <c r="R2581" s="98"/>
      <c r="S2581" s="107"/>
      <c r="T2581" s="1"/>
      <c r="U2581" s="47"/>
      <c r="V2581" s="107"/>
      <c r="W2581" s="1"/>
      <c r="X2581" s="47"/>
      <c r="Y2581" s="107"/>
      <c r="Z2581" s="1"/>
      <c r="AA2581" s="47"/>
      <c r="AB2581" s="107"/>
      <c r="AC2581" s="1"/>
      <c r="AD2581" s="47"/>
      <c r="AE2581" s="107"/>
      <c r="AF2581" s="1"/>
      <c r="AG2581" s="47"/>
      <c r="AH2581" s="107"/>
      <c r="AI2581" s="1"/>
      <c r="AJ2581" s="47"/>
      <c r="AK2581" s="107"/>
      <c r="AL2581" s="1"/>
      <c r="AM2581" s="47"/>
      <c r="AN2581" s="107"/>
      <c r="AO2581" s="1"/>
      <c r="AP2581" s="47"/>
      <c r="AQ2581" s="107"/>
      <c r="AR2581" s="1"/>
      <c r="AS2581" s="47"/>
      <c r="AT2581" s="107"/>
      <c r="AU2581" s="1"/>
    </row>
    <row r="2582" spans="15:47" x14ac:dyDescent="0.25">
      <c r="O2582" s="8" t="s">
        <v>132</v>
      </c>
      <c r="P2582" s="8"/>
      <c r="Q2582" s="8"/>
      <c r="R2582" s="96">
        <f>P_1_minQ-(R2580^2*R_up)+dpup_minQ</f>
        <v>90.160052651753219</v>
      </c>
      <c r="S2582" s="106"/>
      <c r="T2582" s="22"/>
      <c r="U2582" s="96">
        <f ca="1">P_1_minQ-(U2580^2*R_up)+dpup_minQ</f>
        <v>89.250260464403027</v>
      </c>
      <c r="V2582" s="107"/>
      <c r="W2582" s="1"/>
      <c r="X2582" s="96">
        <f ca="1">P_1_minQ-(X2580^2*R_up)+dpup_minQ</f>
        <v>84.58028436489343</v>
      </c>
      <c r="Y2582" s="107"/>
      <c r="Z2582" s="1"/>
      <c r="AA2582" s="96">
        <f ca="1">P_1_minQ-(AA2580^2*R_up)+dpup_minQ</f>
        <v>68.922223097413053</v>
      </c>
      <c r="AB2582" s="107"/>
      <c r="AC2582" s="1"/>
      <c r="AD2582" s="96">
        <f ca="1">P_1_minQ-(AD2580^2*R_up)+dpup_minQ</f>
        <v>30.337861579088269</v>
      </c>
      <c r="AE2582" s="107"/>
      <c r="AF2582" s="1"/>
      <c r="AG2582" s="96">
        <f ca="1">P_1_minQ-(AG2580^2*R_up)+dpup_minQ</f>
        <v>-37.302602235219112</v>
      </c>
      <c r="AH2582" s="107"/>
      <c r="AI2582" s="1"/>
      <c r="AJ2582" s="96">
        <f ca="1">P_1_minQ-(AJ2580^2*R_up)+dpup_minQ</f>
        <v>-136.85777852646052</v>
      </c>
      <c r="AK2582" s="107"/>
      <c r="AL2582" s="1"/>
      <c r="AM2582" s="96">
        <f ca="1">P_1_minQ-(AM2580^2*R_up)+dpup_minQ</f>
        <v>-247.85077873492179</v>
      </c>
      <c r="AN2582" s="107"/>
      <c r="AO2582" s="1"/>
      <c r="AP2582" s="96">
        <f ca="1">P_1_minQ-(AP2580^2*R_up)+dpup_minQ</f>
        <v>-365.43617180998376</v>
      </c>
      <c r="AQ2582" s="107"/>
      <c r="AR2582" s="1"/>
      <c r="AS2582" s="96">
        <f ca="1">P_1_minQ-(AS2580^2*R_up)+dpup_minQ</f>
        <v>-536.2670983179944</v>
      </c>
      <c r="AT2582" s="107"/>
      <c r="AU2582" s="1"/>
    </row>
    <row r="2583" spans="15:47" x14ac:dyDescent="0.25">
      <c r="O2583" s="8" t="s">
        <v>134</v>
      </c>
      <c r="P2583" s="1"/>
      <c r="Q2583" s="8"/>
      <c r="R2583" s="97">
        <f>P_2_minQ+(R2580^2*R_dn)-dpdn_minQ</f>
        <v>60</v>
      </c>
      <c r="S2583" s="106"/>
      <c r="T2583" s="22"/>
      <c r="U2583" s="97">
        <f ca="1">P_2_minQ+(U2580^2*R_dn)-dpdn_minQ</f>
        <v>60</v>
      </c>
      <c r="V2583" s="107"/>
      <c r="W2583" s="1"/>
      <c r="X2583" s="97">
        <f ca="1">P_2_minQ+(X2580^2*R_dn)-dpdn_minQ</f>
        <v>60</v>
      </c>
      <c r="Y2583" s="107"/>
      <c r="Z2583" s="1"/>
      <c r="AA2583" s="97">
        <f ca="1">P_2_minQ+(AA2580^2*R_dn)-dpdn_minQ</f>
        <v>60</v>
      </c>
      <c r="AB2583" s="107"/>
      <c r="AC2583" s="1"/>
      <c r="AD2583" s="97">
        <f ca="1">P_2_minQ+(AD2580^2*R_dn)-dpdn_minQ</f>
        <v>60</v>
      </c>
      <c r="AE2583" s="107"/>
      <c r="AF2583" s="1"/>
      <c r="AG2583" s="97">
        <f ca="1">P_2_minQ+(AG2580^2*R_dn)-dpdn_minQ</f>
        <v>60</v>
      </c>
      <c r="AH2583" s="107"/>
      <c r="AI2583" s="1"/>
      <c r="AJ2583" s="97">
        <f ca="1">P_2_minQ+(AJ2580^2*R_dn)-dpdn_minQ</f>
        <v>60</v>
      </c>
      <c r="AK2583" s="107"/>
      <c r="AL2583" s="1"/>
      <c r="AM2583" s="97">
        <f ca="1">P_2_minQ+(AM2580^2*R_dn)-dpdn_minQ</f>
        <v>60</v>
      </c>
      <c r="AN2583" s="107"/>
      <c r="AO2583" s="1"/>
      <c r="AP2583" s="97">
        <f ca="1">P_2_minQ+(AP2580^2*R_dn)-dpdn_minQ</f>
        <v>60</v>
      </c>
      <c r="AQ2583" s="107"/>
      <c r="AR2583" s="1"/>
      <c r="AS2583" s="97">
        <f ca="1">P_2_minQ+(AS2580^2*R_dn)-dpdn_minQ</f>
        <v>60</v>
      </c>
      <c r="AT2583" s="107"/>
      <c r="AU2583" s="1"/>
    </row>
    <row r="2584" spans="15:47" x14ac:dyDescent="0.25">
      <c r="O2584" s="8" t="s">
        <v>138</v>
      </c>
      <c r="P2584" s="1"/>
      <c r="Q2584" s="8"/>
      <c r="R2584" s="97">
        <f>R2582-R2583</f>
        <v>30.160052651753219</v>
      </c>
      <c r="S2584" s="106"/>
      <c r="T2584" s="22"/>
      <c r="U2584" s="97">
        <f ca="1">U2582-U2583</f>
        <v>29.250260464403027</v>
      </c>
      <c r="V2584" s="110"/>
      <c r="W2584" s="25"/>
      <c r="X2584" s="97">
        <f ca="1">X2582-X2583</f>
        <v>24.58028436489343</v>
      </c>
      <c r="Y2584" s="110"/>
      <c r="Z2584" s="25"/>
      <c r="AA2584" s="97">
        <f ca="1">AA2582-AA2583</f>
        <v>8.9222230974130525</v>
      </c>
      <c r="AB2584" s="110"/>
      <c r="AC2584" s="25"/>
      <c r="AD2584" s="97">
        <f ca="1">AD2582-AD2583</f>
        <v>-29.662138420911731</v>
      </c>
      <c r="AE2584" s="110"/>
      <c r="AF2584" s="25"/>
      <c r="AG2584" s="97">
        <f ca="1">AG2582-AG2583</f>
        <v>-97.302602235219112</v>
      </c>
      <c r="AH2584" s="110"/>
      <c r="AI2584" s="25"/>
      <c r="AJ2584" s="97">
        <f ca="1">AJ2582-AJ2583</f>
        <v>-196.85777852646052</v>
      </c>
      <c r="AK2584" s="110"/>
      <c r="AL2584" s="25"/>
      <c r="AM2584" s="97">
        <f ca="1">AM2582-AM2583</f>
        <v>-307.85077873492179</v>
      </c>
      <c r="AN2584" s="110"/>
      <c r="AO2584" s="25"/>
      <c r="AP2584" s="97">
        <f ca="1">AP2582-AP2583</f>
        <v>-425.43617180998376</v>
      </c>
      <c r="AQ2584" s="110"/>
      <c r="AR2584" s="25"/>
      <c r="AS2584" s="97">
        <f ca="1">AS2582-AS2583</f>
        <v>-596.2670983179944</v>
      </c>
      <c r="AT2584" s="110"/>
      <c r="AU2584" s="25"/>
    </row>
    <row r="2585" spans="15:47" ht="14.4" x14ac:dyDescent="0.3">
      <c r="O2585" s="2" t="s">
        <v>140</v>
      </c>
      <c r="P2585" s="11"/>
      <c r="Q2585" s="2"/>
      <c r="R2585" s="96">
        <f>R2584/R2582</f>
        <v>0.33451680389149302</v>
      </c>
      <c r="S2585" s="106"/>
      <c r="T2585" s="22"/>
      <c r="U2585" s="96">
        <f ca="1">U2584/U2582</f>
        <v>0.32773305435976102</v>
      </c>
      <c r="V2585" s="111"/>
      <c r="W2585" s="28"/>
      <c r="X2585" s="96">
        <f ca="1">X2584/X2582</f>
        <v>0.29061482293970531</v>
      </c>
      <c r="Y2585" s="111"/>
      <c r="Z2585" s="28"/>
      <c r="AA2585" s="96">
        <f ca="1">AA2584/AA2582</f>
        <v>0.12945350130106209</v>
      </c>
      <c r="AB2585" s="111"/>
      <c r="AC2585" s="28"/>
      <c r="AD2585" s="96">
        <f ca="1">AD2584/AD2582</f>
        <v>-0.97772673738341831</v>
      </c>
      <c r="AE2585" s="111"/>
      <c r="AF2585" s="28"/>
      <c r="AG2585" s="96">
        <f ca="1">AG2584/AG2582</f>
        <v>2.6084668737493928</v>
      </c>
      <c r="AH2585" s="111"/>
      <c r="AI2585" s="28"/>
      <c r="AJ2585" s="96">
        <f ca="1">AJ2584/AJ2582</f>
        <v>1.4384113248513632</v>
      </c>
      <c r="AK2585" s="111"/>
      <c r="AL2585" s="28"/>
      <c r="AM2585" s="96">
        <f ca="1">AM2584/AM2582</f>
        <v>1.2420811437682446</v>
      </c>
      <c r="AN2585" s="111"/>
      <c r="AO2585" s="28"/>
      <c r="AP2585" s="96">
        <f ca="1">AP2584/AP2582</f>
        <v>1.1641873591845699</v>
      </c>
      <c r="AQ2585" s="111"/>
      <c r="AR2585" s="28"/>
      <c r="AS2585" s="96">
        <f ca="1">AS2584/AS2582</f>
        <v>1.1118845444521777</v>
      </c>
      <c r="AT2585" s="111"/>
      <c r="AU2585" s="28"/>
    </row>
    <row r="2586" spans="15:47" x14ac:dyDescent="0.25">
      <c r="O2586" s="2" t="s">
        <v>21</v>
      </c>
      <c r="P2586" s="8">
        <v>12</v>
      </c>
      <c r="Q2586" s="2"/>
      <c r="R2586" s="96">
        <f ca="1">1-R2585/(3*F_GAMMA*R$29)</f>
        <v>0.82578058216623251</v>
      </c>
      <c r="S2586" s="106"/>
      <c r="T2586" s="22"/>
      <c r="U2586" s="96">
        <f ca="1">1-U2585/(3*F_GAMMA*U$29)</f>
        <v>0.82935327411857462</v>
      </c>
      <c r="V2586" s="111"/>
      <c r="W2586" s="28"/>
      <c r="X2586" s="96">
        <f ca="1">1-X2585/(3*F_GAMMA*X$29)</f>
        <v>0.84723909460758196</v>
      </c>
      <c r="Y2586" s="111"/>
      <c r="Z2586" s="28"/>
      <c r="AA2586" s="96">
        <f ca="1">1-AA2585/(3*F_GAMMA*AA$29)</f>
        <v>0.93099391836571255</v>
      </c>
      <c r="AB2586" s="111"/>
      <c r="AC2586" s="28"/>
      <c r="AD2586" s="96">
        <f ca="1">1-AD2585/(3*F_GAMMA*AD$29)</f>
        <v>1.5373480744681876</v>
      </c>
      <c r="AE2586" s="111"/>
      <c r="AF2586" s="28"/>
      <c r="AG2586" s="96">
        <f ca="1">1-AG2585/(3*F_GAMMA*AG$29)</f>
        <v>-0.51960924643782058</v>
      </c>
      <c r="AH2586" s="111"/>
      <c r="AI2586" s="28"/>
      <c r="AJ2586" s="96">
        <f ca="1">1-AJ2585/(3*F_GAMMA*AJ$29)</f>
        <v>9.8456463354036572E-2</v>
      </c>
      <c r="AK2586" s="111"/>
      <c r="AL2586" s="28"/>
      <c r="AM2586" s="96">
        <f ca="1">1-AM2585/(3*F_GAMMA*AM$29)</f>
        <v>0.12958292265842686</v>
      </c>
      <c r="AN2586" s="111"/>
      <c r="AO2586" s="28"/>
      <c r="AP2586" s="96">
        <f ca="1">1-AP2585/(3*F_GAMMA*AP$29)</f>
        <v>0.34287023224361657</v>
      </c>
      <c r="AQ2586" s="111"/>
      <c r="AR2586" s="28"/>
      <c r="AS2586" s="96">
        <f ca="1">1-AS2585/(3*F_GAMMA*AS$29)</f>
        <v>1.6092210156320341E-2</v>
      </c>
      <c r="AT2586" s="111"/>
      <c r="AU2586" s="28"/>
    </row>
    <row r="2587" spans="15:47" x14ac:dyDescent="0.25">
      <c r="O2587" s="2" t="s">
        <v>57</v>
      </c>
      <c r="P2587" s="143">
        <v>7</v>
      </c>
      <c r="Q2587" s="2"/>
      <c r="R2587" s="96">
        <f ca="1">(R2580/(N_9*R$27*R2582*R2586))*SQRT(M*'Valve Sizing'!$W$6*'Valve Sizing'!$G$8/R2585)</f>
        <v>4.7305993307791843</v>
      </c>
      <c r="S2587" s="107"/>
      <c r="T2587" s="22"/>
      <c r="U2587" s="96">
        <f ca="1">(U2580/(N_9*U$27*U2582*U2586))*SQRT(M*'Valve Sizing'!$W$6*'Valve Sizing'!$G$8/U2585)</f>
        <v>29.421829359109346</v>
      </c>
      <c r="V2587" s="111"/>
      <c r="W2587" s="28"/>
      <c r="X2587" s="96">
        <f ca="1">(X2580/(N_9*X$27*X2582*X2586))*SQRT(M*'Valve Sizing'!$W$6*'Valve Sizing'!$G$8/X2585)</f>
        <v>79.207641523981252</v>
      </c>
      <c r="Y2587" s="111"/>
      <c r="Z2587" s="28"/>
      <c r="AA2587" s="96">
        <f ca="1">(AA2580/(N_9*AA$27*AA2582*AA2586))*SQRT(M*'Valve Sizing'!$W$6*'Valve Sizing'!$G$8/AA2585)</f>
        <v>259.68073509674815</v>
      </c>
      <c r="AB2587" s="111"/>
      <c r="AC2587" s="28"/>
      <c r="AD2587" s="96" t="e">
        <f ca="1">(AD2580/(N_9*AD$27*AD2582*AD2586))*SQRT(M*'Valve Sizing'!$W$6*'Valve Sizing'!$G$8/AD2585)</f>
        <v>#NUM!</v>
      </c>
      <c r="AE2587" s="111"/>
      <c r="AF2587" s="28"/>
      <c r="AG2587" s="96">
        <f ca="1">(AG2580/(N_9*AG$27*AG2582*AG2586))*SQRT(M*'Valve Sizing'!$W$6*'Valve Sizing'!$G$8/AG2585)</f>
        <v>485.43373451667708</v>
      </c>
      <c r="AH2587" s="111"/>
      <c r="AI2587" s="28"/>
      <c r="AJ2587" s="96">
        <f ca="1">(AJ2580/(N_9*AJ$27*AJ2582*AJ2586))*SQRT(M*'Valve Sizing'!$W$6*'Valve Sizing'!$G$8/AJ2585)</f>
        <v>-1300.2481092202033</v>
      </c>
      <c r="AK2587" s="111"/>
      <c r="AL2587" s="28"/>
      <c r="AM2587" s="96">
        <f ca="1">(AM2580/(N_9*AM$27*AM2582*AM2586))*SQRT(M*'Valve Sizing'!$W$6*'Valve Sizing'!$G$8/AM2585)</f>
        <v>-760.00179930564923</v>
      </c>
      <c r="AN2587" s="111"/>
      <c r="AO2587" s="28"/>
      <c r="AP2587" s="96">
        <f ca="1">(AP2580/(N_9*AP$27*AP2582*AP2586))*SQRT(M*'Valve Sizing'!$W$6*'Valve Sizing'!$G$8/AP2585)</f>
        <v>-265.8961090302696</v>
      </c>
      <c r="AQ2587" s="111"/>
      <c r="AR2587" s="28"/>
      <c r="AS2587" s="96">
        <f ca="1">(AS2580/(N_9*AS$27*AS2582*AS2586))*SQRT(M*'Valve Sizing'!$W$6*'Valve Sizing'!$G$8/AS2585)</f>
        <v>-6204.2178901528323</v>
      </c>
      <c r="AT2587" s="111"/>
      <c r="AU2587" s="28"/>
    </row>
    <row r="2588" spans="15:47" x14ac:dyDescent="0.25">
      <c r="O2588" s="2" t="s">
        <v>59</v>
      </c>
      <c r="P2588" s="143">
        <v>7</v>
      </c>
      <c r="Q2588" s="2"/>
      <c r="R2588" s="96">
        <f ca="1">(R2580/(N_9*R$27*R2582*0.667))*SQRT(M*'Valve Sizing'!$W$6*'Valve Sizing'!$G$8/R2589)</f>
        <v>4.2341272409113673</v>
      </c>
      <c r="S2588" s="107"/>
      <c r="T2588" s="22"/>
      <c r="U2588" s="96">
        <f ca="1">(U2580/(N_9*U$27*U2582*0.667))*SQRT(M*'Valve Sizing'!$W$6*'Valve Sizing'!$G$8/U2589)</f>
        <v>26.175380848244291</v>
      </c>
      <c r="V2588" s="111"/>
      <c r="W2588" s="28"/>
      <c r="X2588" s="96">
        <f ca="1">(X2580/(N_9*X$27*X2582*0.667))*SQRT(M*'Valve Sizing'!$W$6*'Valve Sizing'!$G$8/X2589)</f>
        <v>68.110485301404168</v>
      </c>
      <c r="Y2588" s="111"/>
      <c r="Z2588" s="28"/>
      <c r="AA2588" s="96">
        <f ca="1">(AA2580/(N_9*AA$27*AA2582*0.667))*SQRT(M*'Valve Sizing'!$W$6*'Valve Sizing'!$G$8/AA2589)</f>
        <v>164.91685841747116</v>
      </c>
      <c r="AB2588" s="111"/>
      <c r="AC2588" s="28"/>
      <c r="AD2588" s="96">
        <f ca="1">(AD2580/(N_9*AD$27*AD2582*0.667))*SQRT(M*'Valve Sizing'!$W$6*'Valve Sizing'!$G$8/AD2589)</f>
        <v>646.14506231341579</v>
      </c>
      <c r="AE2588" s="111"/>
      <c r="AF2588" s="28"/>
      <c r="AG2588" s="96">
        <f ca="1">(AG2580/(N_9*AG$27*AG2582*0.667))*SQRT(M*'Valve Sizing'!$W$6*'Valve Sizing'!$G$8/AG2589)</f>
        <v>-807.43501991767607</v>
      </c>
      <c r="AH2588" s="111"/>
      <c r="AI2588" s="28"/>
      <c r="AJ2588" s="96">
        <f ca="1">(AJ2580/(N_9*AJ$27*AJ2582*0.667))*SQRT(M*'Valve Sizing'!$W$6*'Valve Sizing'!$G$8/AJ2589)</f>
        <v>-315.64477735580533</v>
      </c>
      <c r="AK2588" s="111"/>
      <c r="AL2588" s="28"/>
      <c r="AM2588" s="96">
        <f ca="1">(AM2580/(N_9*AM$27*AM2582*0.667))*SQRT(M*'Valve Sizing'!$W$6*'Valve Sizing'!$G$8/AM2589)</f>
        <v>-238.59475173619964</v>
      </c>
      <c r="AN2588" s="111"/>
      <c r="AO2588" s="28"/>
      <c r="AP2588" s="96">
        <f ca="1">(AP2580/(N_9*AP$27*AP2582*0.667))*SQRT(M*'Valve Sizing'!$W$6*'Valve Sizing'!$G$8/AP2589)</f>
        <v>-191.9119983610415</v>
      </c>
      <c r="AQ2588" s="111"/>
      <c r="AR2588" s="28"/>
      <c r="AS2588" s="96">
        <f ca="1">(AS2580/(N_9*AS$27*AS2582*0.667))*SQRT(M*'Valve Sizing'!$W$6*'Valve Sizing'!$G$8/AS2589)</f>
        <v>-257.16669897757276</v>
      </c>
      <c r="AT2588" s="111"/>
      <c r="AU2588" s="28"/>
    </row>
    <row r="2589" spans="15:47" ht="15.6" x14ac:dyDescent="0.35">
      <c r="O2589" s="2" t="s">
        <v>68</v>
      </c>
      <c r="P2589" s="143">
        <v>10</v>
      </c>
      <c r="Q2589" s="2"/>
      <c r="R2589" s="96">
        <f ca="1">F_GAMMA*R$29</f>
        <v>0.64002969751372984</v>
      </c>
      <c r="S2589" s="107"/>
      <c r="T2589" s="1"/>
      <c r="U2589" s="96">
        <f ca="1">F_GAMMA*U$29</f>
        <v>0.64017842058782071</v>
      </c>
      <c r="V2589" s="111"/>
      <c r="W2589" s="28"/>
      <c r="X2589" s="96">
        <f ca="1">F_GAMMA*X$29</f>
        <v>0.63413873724904268</v>
      </c>
      <c r="Y2589" s="111"/>
      <c r="Z2589" s="28"/>
      <c r="AA2589" s="96">
        <f ca="1">F_GAMMA*AA$29</f>
        <v>0.62532411750377137</v>
      </c>
      <c r="AB2589" s="111"/>
      <c r="AC2589" s="28"/>
      <c r="AD2589" s="96">
        <f ca="1">F_GAMMA*AD$29</f>
        <v>0.60651359509139569</v>
      </c>
      <c r="AE2589" s="111"/>
      <c r="AF2589" s="28"/>
      <c r="AG2589" s="96">
        <f ca="1">F_GAMMA*AG$29</f>
        <v>0.57217930198481592</v>
      </c>
      <c r="AH2589" s="111"/>
      <c r="AI2589" s="28"/>
      <c r="AJ2589" s="96">
        <f ca="1">F_GAMMA*AJ$29</f>
        <v>0.53183282018848232</v>
      </c>
      <c r="AK2589" s="111"/>
      <c r="AL2589" s="28"/>
      <c r="AM2589" s="96">
        <f ca="1">F_GAMMA*AM$29</f>
        <v>0.47566512503094399</v>
      </c>
      <c r="AN2589" s="111"/>
      <c r="AO2589" s="28"/>
      <c r="AP2589" s="96">
        <f ca="1">F_GAMMA*AP$29</f>
        <v>0.59054158265645496</v>
      </c>
      <c r="AQ2589" s="111"/>
      <c r="AR2589" s="28"/>
      <c r="AS2589" s="96">
        <f ca="1">F_GAMMA*AS$29</f>
        <v>0.3766899554102966</v>
      </c>
      <c r="AT2589" s="111"/>
      <c r="AU2589" s="28"/>
    </row>
    <row r="2590" spans="15:47" x14ac:dyDescent="0.25">
      <c r="O2590" s="2" t="s">
        <v>145</v>
      </c>
      <c r="P2590" s="12"/>
      <c r="Q2590" s="2"/>
      <c r="R2590" s="96">
        <f ca="1">IF(R2585&lt;R2589,R2587,R2588)</f>
        <v>4.7305993307791843</v>
      </c>
      <c r="S2590" s="116"/>
      <c r="T2590" s="1"/>
      <c r="U2590" s="96">
        <f ca="1">IF(U2585&lt;U2589,U2587,U2588)</f>
        <v>29.421829359109346</v>
      </c>
      <c r="V2590" s="111"/>
      <c r="W2590" s="28"/>
      <c r="X2590" s="96">
        <f ca="1">IF(X2585&lt;X2589,X2587,X2588)</f>
        <v>79.207641523981252</v>
      </c>
      <c r="Y2590" s="111"/>
      <c r="Z2590" s="28"/>
      <c r="AA2590" s="96">
        <f ca="1">IF(AA2585&lt;AA2589,AA2587,AA2588)</f>
        <v>259.68073509674815</v>
      </c>
      <c r="AB2590" s="111"/>
      <c r="AC2590" s="28"/>
      <c r="AD2590" s="96" t="e">
        <f ca="1">IF(AD2585&lt;AD2589,AD2587,AD2588)</f>
        <v>#NUM!</v>
      </c>
      <c r="AE2590" s="111"/>
      <c r="AF2590" s="28"/>
      <c r="AG2590" s="96">
        <f ca="1">IF(AG2585&lt;AG2589,AG2587,AG2588)</f>
        <v>-807.43501991767607</v>
      </c>
      <c r="AH2590" s="111"/>
      <c r="AI2590" s="28"/>
      <c r="AJ2590" s="96">
        <f ca="1">IF(AJ2585&lt;AJ2589,AJ2587,AJ2588)</f>
        <v>-315.64477735580533</v>
      </c>
      <c r="AK2590" s="111"/>
      <c r="AL2590" s="28"/>
      <c r="AM2590" s="96">
        <f ca="1">IF(AM2585&lt;AM2589,AM2587,AM2588)</f>
        <v>-238.59475173619964</v>
      </c>
      <c r="AN2590" s="111"/>
      <c r="AO2590" s="28"/>
      <c r="AP2590" s="96">
        <f ca="1">IF(AP2585&lt;AP2589,AP2587,AP2588)</f>
        <v>-191.9119983610415</v>
      </c>
      <c r="AQ2590" s="111"/>
      <c r="AR2590" s="28"/>
      <c r="AS2590" s="96">
        <f ca="1">IF(AS2585&lt;AS2589,AS2587,AS2588)</f>
        <v>-257.16669897757276</v>
      </c>
      <c r="AT2590" s="111"/>
      <c r="AU2590" s="28"/>
    </row>
    <row r="2591" spans="15:47" x14ac:dyDescent="0.25">
      <c r="O2591" s="13" t="s">
        <v>143</v>
      </c>
      <c r="P2591" s="1"/>
      <c r="Q2591" s="1"/>
      <c r="R2591" s="113"/>
      <c r="S2591" s="106">
        <f ca="1">IF(R2584&lt;=0,Q_max,ABS(R$23-R2590))</f>
        <v>5.9933077918383759E-4</v>
      </c>
      <c r="T2591" s="7">
        <f>R2580</f>
        <v>11708.949265686702</v>
      </c>
      <c r="U2591" s="98"/>
      <c r="V2591" s="106">
        <f ca="1">IF(U2584&lt;=0,Q_max,ABS(U$23-U2590))</f>
        <v>17.821829359109344</v>
      </c>
      <c r="W2591" s="9">
        <f ca="1">U2580</f>
        <v>71615.652413394244</v>
      </c>
      <c r="X2591" s="98"/>
      <c r="Y2591" s="106">
        <f ca="1">IF(X2584&lt;=0,Q_max,ABS(X$23-X2590))</f>
        <v>56.207641523981252</v>
      </c>
      <c r="Z2591" s="9">
        <f ca="1">X2580</f>
        <v>175360.42651570562</v>
      </c>
      <c r="AA2591" s="98"/>
      <c r="AB2591" s="106">
        <f ca="1">IF(AA2584&lt;=0,Q_max,ABS(AA$23-AA2590))</f>
        <v>220.28073509674815</v>
      </c>
      <c r="AC2591" s="9">
        <f ca="1">AA2580</f>
        <v>341557.35090804409</v>
      </c>
      <c r="AD2591" s="98"/>
      <c r="AE2591" s="106">
        <f ca="1">IF(AD2584&lt;=0,Q_max,ABS(AD$23-AD2590))</f>
        <v>236393</v>
      </c>
      <c r="AF2591" s="9">
        <f ca="1">AD2580</f>
        <v>573026.98366265674</v>
      </c>
      <c r="AG2591" s="98"/>
      <c r="AH2591" s="106">
        <f ca="1">IF(AG2584&lt;=0,Q_max,ABS(AG$23-AG2590))</f>
        <v>236393</v>
      </c>
      <c r="AI2591" s="9">
        <f ca="1">AG2580</f>
        <v>836348.48969981365</v>
      </c>
      <c r="AJ2591" s="98"/>
      <c r="AK2591" s="106">
        <f ca="1">IF(AJ2584&lt;=0,Q_max,ABS(AJ$23-AJ2590))</f>
        <v>236393</v>
      </c>
      <c r="AL2591" s="9">
        <f ca="1">AJ2580</f>
        <v>1116110.3016655524</v>
      </c>
      <c r="AM2591" s="98"/>
      <c r="AN2591" s="106">
        <f ca="1">IF(AM2584&lt;=0,Q_max,ABS(AM$23-AM2590))</f>
        <v>236393</v>
      </c>
      <c r="AO2591" s="9">
        <f ca="1">AM2580</f>
        <v>1361866.6735756281</v>
      </c>
      <c r="AP2591" s="98"/>
      <c r="AQ2591" s="106">
        <f ca="1">IF(AP2584&lt;=0,Q_max,ABS(AP$23-AP2590))</f>
        <v>236393</v>
      </c>
      <c r="AR2591" s="9">
        <f ca="1">AP2580</f>
        <v>1581084.9293743116</v>
      </c>
      <c r="AS2591" s="98"/>
      <c r="AT2591" s="106">
        <f ca="1">IF(AS2584&lt;=0,Q_max,ABS(AS$23-AS2590))</f>
        <v>236393</v>
      </c>
      <c r="AU2591" s="9">
        <f ca="1">AS2580</f>
        <v>1853946.4239950122</v>
      </c>
    </row>
    <row r="2592" spans="15:47" x14ac:dyDescent="0.25">
      <c r="O2592" s="21"/>
      <c r="P2592" s="14"/>
      <c r="Q2592" s="21"/>
      <c r="R2592" s="97"/>
      <c r="S2592" s="106"/>
      <c r="T2592" s="28"/>
      <c r="U2592" s="97"/>
      <c r="V2592" s="111"/>
      <c r="W2592" s="28"/>
      <c r="X2592" s="97"/>
      <c r="Y2592" s="111"/>
      <c r="Z2592" s="28"/>
      <c r="AA2592" s="97"/>
      <c r="AB2592" s="111"/>
      <c r="AC2592" s="28"/>
      <c r="AD2592" s="97"/>
      <c r="AE2592" s="111"/>
      <c r="AF2592" s="28"/>
      <c r="AG2592" s="97"/>
      <c r="AH2592" s="111"/>
      <c r="AI2592" s="28"/>
      <c r="AJ2592" s="97"/>
      <c r="AK2592" s="111"/>
      <c r="AL2592" s="28"/>
      <c r="AM2592" s="97"/>
      <c r="AN2592" s="111"/>
      <c r="AO2592" s="28"/>
      <c r="AP2592" s="97"/>
      <c r="AQ2592" s="111"/>
      <c r="AR2592" s="28"/>
      <c r="AS2592" s="97"/>
      <c r="AT2592" s="111"/>
      <c r="AU2592" s="28"/>
    </row>
    <row r="2593" spans="15:47" x14ac:dyDescent="0.25">
      <c r="O2593" s="1"/>
      <c r="P2593" s="1"/>
      <c r="Q2593" s="1"/>
      <c r="R2593" s="98"/>
      <c r="S2593" s="108" t="s">
        <v>137</v>
      </c>
      <c r="T2593" s="26" t="s">
        <v>146</v>
      </c>
      <c r="U2593" s="98"/>
      <c r="V2593" s="108" t="s">
        <v>137</v>
      </c>
      <c r="W2593" s="26" t="s">
        <v>146</v>
      </c>
      <c r="X2593" s="98"/>
      <c r="Y2593" s="108" t="s">
        <v>137</v>
      </c>
      <c r="Z2593" s="26" t="s">
        <v>146</v>
      </c>
      <c r="AA2593" s="98"/>
      <c r="AB2593" s="108" t="s">
        <v>137</v>
      </c>
      <c r="AC2593" s="26" t="s">
        <v>146</v>
      </c>
      <c r="AD2593" s="98"/>
      <c r="AE2593" s="108" t="s">
        <v>137</v>
      </c>
      <c r="AF2593" s="26" t="s">
        <v>146</v>
      </c>
      <c r="AG2593" s="98"/>
      <c r="AH2593" s="108" t="s">
        <v>137</v>
      </c>
      <c r="AI2593" s="26" t="s">
        <v>146</v>
      </c>
      <c r="AJ2593" s="98"/>
      <c r="AK2593" s="108" t="s">
        <v>137</v>
      </c>
      <c r="AL2593" s="26" t="s">
        <v>146</v>
      </c>
      <c r="AM2593" s="98"/>
      <c r="AN2593" s="108" t="s">
        <v>137</v>
      </c>
      <c r="AO2593" s="26" t="s">
        <v>146</v>
      </c>
      <c r="AP2593" s="98"/>
      <c r="AQ2593" s="108" t="s">
        <v>137</v>
      </c>
      <c r="AR2593" s="26" t="s">
        <v>146</v>
      </c>
      <c r="AS2593" s="98"/>
      <c r="AT2593" s="108" t="s">
        <v>137</v>
      </c>
      <c r="AU2593" s="26" t="s">
        <v>146</v>
      </c>
    </row>
    <row r="2594" spans="15:47" ht="13.8" x14ac:dyDescent="0.25">
      <c r="O2594" s="20" t="s">
        <v>136</v>
      </c>
      <c r="P2594" s="1"/>
      <c r="Q2594" s="1"/>
      <c r="R2594" s="96">
        <f>R2580*1.02</f>
        <v>11943.128251000437</v>
      </c>
      <c r="S2594" s="109" t="s">
        <v>144</v>
      </c>
      <c r="T2594" s="23" t="s">
        <v>147</v>
      </c>
      <c r="U2594" s="96">
        <f ca="1">U2580*1.01</f>
        <v>72331.808937528185</v>
      </c>
      <c r="V2594" s="109" t="s">
        <v>144</v>
      </c>
      <c r="W2594" s="23" t="s">
        <v>147</v>
      </c>
      <c r="X2594" s="96">
        <f ca="1">X2580*1.01</f>
        <v>177114.03078086267</v>
      </c>
      <c r="Y2594" s="109" t="s">
        <v>144</v>
      </c>
      <c r="Z2594" s="23" t="s">
        <v>147</v>
      </c>
      <c r="AA2594" s="96">
        <f ca="1">AA2580*1.01</f>
        <v>344972.92441712454</v>
      </c>
      <c r="AB2594" s="109" t="s">
        <v>144</v>
      </c>
      <c r="AC2594" s="23" t="s">
        <v>147</v>
      </c>
      <c r="AD2594" s="96">
        <f ca="1">AD2580*1.01</f>
        <v>578757.25349928334</v>
      </c>
      <c r="AE2594" s="109" t="s">
        <v>144</v>
      </c>
      <c r="AF2594" s="23" t="s">
        <v>147</v>
      </c>
      <c r="AG2594" s="96">
        <f ca="1">AG2580*1.01</f>
        <v>844711.97459681181</v>
      </c>
      <c r="AH2594" s="109" t="s">
        <v>144</v>
      </c>
      <c r="AI2594" s="23" t="s">
        <v>147</v>
      </c>
      <c r="AJ2594" s="96">
        <f ca="1">AJ2580*1.01</f>
        <v>1127271.4046822079</v>
      </c>
      <c r="AK2594" s="109" t="s">
        <v>144</v>
      </c>
      <c r="AL2594" s="23" t="s">
        <v>147</v>
      </c>
      <c r="AM2594" s="96">
        <f ca="1">AM2580*1.01</f>
        <v>1375485.3403113843</v>
      </c>
      <c r="AN2594" s="109" t="s">
        <v>144</v>
      </c>
      <c r="AO2594" s="23" t="s">
        <v>147</v>
      </c>
      <c r="AP2594" s="96">
        <f ca="1">AP2580*1.01</f>
        <v>1596895.7786680546</v>
      </c>
      <c r="AQ2594" s="109" t="s">
        <v>144</v>
      </c>
      <c r="AR2594" s="23" t="s">
        <v>147</v>
      </c>
      <c r="AS2594" s="96">
        <f ca="1">AS2580*1.01</f>
        <v>1872485.8882349622</v>
      </c>
      <c r="AT2594" s="109" t="s">
        <v>144</v>
      </c>
      <c r="AU2594" s="23" t="s">
        <v>147</v>
      </c>
    </row>
    <row r="2595" spans="15:47" x14ac:dyDescent="0.25">
      <c r="O2595" s="1"/>
      <c r="P2595" s="1"/>
      <c r="Q2595" s="1"/>
      <c r="R2595" s="98"/>
      <c r="S2595" s="107"/>
      <c r="T2595" s="1"/>
      <c r="U2595" s="47"/>
      <c r="V2595" s="107"/>
      <c r="W2595" s="1"/>
      <c r="X2595" s="47"/>
      <c r="Y2595" s="107"/>
      <c r="Z2595" s="1"/>
      <c r="AA2595" s="47"/>
      <c r="AB2595" s="107"/>
      <c r="AC2595" s="1"/>
      <c r="AD2595" s="47"/>
      <c r="AE2595" s="107"/>
      <c r="AF2595" s="1"/>
      <c r="AG2595" s="47"/>
      <c r="AH2595" s="107"/>
      <c r="AI2595" s="1"/>
      <c r="AJ2595" s="47"/>
      <c r="AK2595" s="107"/>
      <c r="AL2595" s="1"/>
      <c r="AM2595" s="47"/>
      <c r="AN2595" s="107"/>
      <c r="AO2595" s="1"/>
      <c r="AP2595" s="47"/>
      <c r="AQ2595" s="107"/>
      <c r="AR2595" s="1"/>
      <c r="AS2595" s="47"/>
      <c r="AT2595" s="107"/>
      <c r="AU2595" s="1"/>
    </row>
    <row r="2596" spans="15:47" x14ac:dyDescent="0.25">
      <c r="O2596" s="8" t="s">
        <v>132</v>
      </c>
      <c r="P2596" s="8"/>
      <c r="Q2596" s="8"/>
      <c r="R2596" s="96">
        <f>P_1_minQ-(R2594^2*R_up)+dpup_minQ</f>
        <v>90.159043141461723</v>
      </c>
      <c r="S2596" s="106"/>
      <c r="T2596" s="22"/>
      <c r="U2596" s="96">
        <f ca="1">P_1_minQ-(U2594^2*R_up)+dpup_minQ</f>
        <v>89.231471385079388</v>
      </c>
      <c r="V2596" s="107"/>
      <c r="W2596" s="1"/>
      <c r="X2596" s="96">
        <f ca="1">P_1_minQ-(X2594^2*R_up)+dpup_minQ</f>
        <v>84.467628765969664</v>
      </c>
      <c r="Y2596" s="107"/>
      <c r="Z2596" s="1"/>
      <c r="AA2596" s="96">
        <f ca="1">P_1_minQ-(AA2594^2*R_up)+dpup_minQ</f>
        <v>68.494840467012921</v>
      </c>
      <c r="AB2596" s="107"/>
      <c r="AC2596" s="1"/>
      <c r="AD2596" s="96">
        <f ca="1">P_1_minQ-(AD2594^2*R_up)+dpup_minQ</f>
        <v>29.134933282169811</v>
      </c>
      <c r="AE2596" s="107"/>
      <c r="AF2596" s="1"/>
      <c r="AG2596" s="96">
        <f ca="1">P_1_minQ-(AG2594^2*R_up)+dpup_minQ</f>
        <v>-39.86510385480517</v>
      </c>
      <c r="AH2596" s="107"/>
      <c r="AI2596" s="1"/>
      <c r="AJ2596" s="96">
        <f ca="1">P_1_minQ-(AJ2594^2*R_up)+dpup_minQ</f>
        <v>-141.42133918950046</v>
      </c>
      <c r="AK2596" s="107"/>
      <c r="AL2596" s="1"/>
      <c r="AM2596" s="96">
        <f ca="1">P_1_minQ-(AM2594^2*R_up)+dpup_minQ</f>
        <v>-254.64529870215182</v>
      </c>
      <c r="AN2596" s="107"/>
      <c r="AO2596" s="1"/>
      <c r="AP2596" s="96">
        <f ca="1">P_1_minQ-(AP2594^2*R_up)+dpup_minQ</f>
        <v>-374.59415817802255</v>
      </c>
      <c r="AQ2596" s="107"/>
      <c r="AR2596" s="1"/>
      <c r="AS2596" s="96">
        <f ca="1">P_1_minQ-(AS2594^2*R_up)+dpup_minQ</f>
        <v>-548.85878630884417</v>
      </c>
      <c r="AT2596" s="107"/>
      <c r="AU2596" s="1"/>
    </row>
    <row r="2597" spans="15:47" x14ac:dyDescent="0.25">
      <c r="O2597" s="8" t="s">
        <v>134</v>
      </c>
      <c r="P2597" s="1"/>
      <c r="Q2597" s="8"/>
      <c r="R2597" s="97">
        <f>P_2_minQ+(R2594^2*R_dn)-dpdn_minQ</f>
        <v>60</v>
      </c>
      <c r="S2597" s="106"/>
      <c r="T2597" s="22"/>
      <c r="U2597" s="97">
        <f ca="1">P_2_minQ+(U2594^2*R_dn)-dpdn_minQ</f>
        <v>60</v>
      </c>
      <c r="V2597" s="107"/>
      <c r="W2597" s="1"/>
      <c r="X2597" s="97">
        <f ca="1">P_2_minQ+(X2594^2*R_dn)-dpdn_minQ</f>
        <v>60</v>
      </c>
      <c r="Y2597" s="107"/>
      <c r="Z2597" s="1"/>
      <c r="AA2597" s="97">
        <f ca="1">P_2_minQ+(AA2594^2*R_dn)-dpdn_minQ</f>
        <v>60</v>
      </c>
      <c r="AB2597" s="107"/>
      <c r="AC2597" s="1"/>
      <c r="AD2597" s="97">
        <f ca="1">P_2_minQ+(AD2594^2*R_dn)-dpdn_minQ</f>
        <v>60</v>
      </c>
      <c r="AE2597" s="107"/>
      <c r="AF2597" s="1"/>
      <c r="AG2597" s="97">
        <f ca="1">P_2_minQ+(AG2594^2*R_dn)-dpdn_minQ</f>
        <v>60</v>
      </c>
      <c r="AH2597" s="107"/>
      <c r="AI2597" s="1"/>
      <c r="AJ2597" s="97">
        <f ca="1">P_2_minQ+(AJ2594^2*R_dn)-dpdn_minQ</f>
        <v>60</v>
      </c>
      <c r="AK2597" s="107"/>
      <c r="AL2597" s="1"/>
      <c r="AM2597" s="97">
        <f ca="1">P_2_minQ+(AM2594^2*R_dn)-dpdn_minQ</f>
        <v>60</v>
      </c>
      <c r="AN2597" s="107"/>
      <c r="AO2597" s="1"/>
      <c r="AP2597" s="97">
        <f ca="1">P_2_minQ+(AP2594^2*R_dn)-dpdn_minQ</f>
        <v>60</v>
      </c>
      <c r="AQ2597" s="107"/>
      <c r="AR2597" s="1"/>
      <c r="AS2597" s="97">
        <f ca="1">P_2_minQ+(AS2594^2*R_dn)-dpdn_minQ</f>
        <v>60</v>
      </c>
      <c r="AT2597" s="107"/>
      <c r="AU2597" s="1"/>
    </row>
    <row r="2598" spans="15:47" x14ac:dyDescent="0.25">
      <c r="O2598" s="8" t="s">
        <v>138</v>
      </c>
      <c r="P2598" s="1"/>
      <c r="Q2598" s="8"/>
      <c r="R2598" s="97">
        <f>R2596-R2597</f>
        <v>30.159043141461723</v>
      </c>
      <c r="S2598" s="106"/>
      <c r="T2598" s="22"/>
      <c r="U2598" s="97">
        <f ca="1">U2596-U2597</f>
        <v>29.231471385079388</v>
      </c>
      <c r="V2598" s="110"/>
      <c r="W2598" s="25"/>
      <c r="X2598" s="97">
        <f ca="1">X2596-X2597</f>
        <v>24.467628765969664</v>
      </c>
      <c r="Y2598" s="110"/>
      <c r="Z2598" s="25"/>
      <c r="AA2598" s="97">
        <f ca="1">AA2596-AA2597</f>
        <v>8.4948404670129207</v>
      </c>
      <c r="AB2598" s="110"/>
      <c r="AC2598" s="25"/>
      <c r="AD2598" s="97">
        <f ca="1">AD2596-AD2597</f>
        <v>-30.865066717830189</v>
      </c>
      <c r="AE2598" s="110"/>
      <c r="AF2598" s="25"/>
      <c r="AG2598" s="97">
        <f ca="1">AG2596-AG2597</f>
        <v>-99.86510385480517</v>
      </c>
      <c r="AH2598" s="110"/>
      <c r="AI2598" s="25"/>
      <c r="AJ2598" s="97">
        <f ca="1">AJ2596-AJ2597</f>
        <v>-201.42133918950046</v>
      </c>
      <c r="AK2598" s="110"/>
      <c r="AL2598" s="25"/>
      <c r="AM2598" s="97">
        <f ca="1">AM2596-AM2597</f>
        <v>-314.64529870215182</v>
      </c>
      <c r="AN2598" s="110"/>
      <c r="AO2598" s="25"/>
      <c r="AP2598" s="97">
        <f ca="1">AP2596-AP2597</f>
        <v>-434.59415817802255</v>
      </c>
      <c r="AQ2598" s="110"/>
      <c r="AR2598" s="25"/>
      <c r="AS2598" s="97">
        <f ca="1">AS2596-AS2597</f>
        <v>-608.85878630884417</v>
      </c>
      <c r="AT2598" s="110"/>
      <c r="AU2598" s="25"/>
    </row>
    <row r="2599" spans="15:47" ht="14.4" x14ac:dyDescent="0.3">
      <c r="O2599" s="2" t="s">
        <v>140</v>
      </c>
      <c r="P2599" s="11"/>
      <c r="Q2599" s="2"/>
      <c r="R2599" s="96">
        <f>R2598/R2596</f>
        <v>0.33450935247994429</v>
      </c>
      <c r="S2599" s="106"/>
      <c r="T2599" s="22"/>
      <c r="U2599" s="96">
        <f ca="1">U2598/U2596</f>
        <v>0.32759149805936355</v>
      </c>
      <c r="V2599" s="111"/>
      <c r="W2599" s="28"/>
      <c r="X2599" s="96">
        <f ca="1">X2598/X2596</f>
        <v>0.28966870650247478</v>
      </c>
      <c r="Y2599" s="111"/>
      <c r="Z2599" s="28"/>
      <c r="AA2599" s="96">
        <f ca="1">AA2598/AA2596</f>
        <v>0.12402161110374484</v>
      </c>
      <c r="AB2599" s="111"/>
      <c r="AC2599" s="28"/>
      <c r="AD2599" s="96">
        <f ca="1">AD2598/AD2596</f>
        <v>-1.0593834699707103</v>
      </c>
      <c r="AE2599" s="111"/>
      <c r="AF2599" s="28"/>
      <c r="AG2599" s="96">
        <f ca="1">AG2598/AG2596</f>
        <v>2.5050757228309051</v>
      </c>
      <c r="AH2599" s="111"/>
      <c r="AI2599" s="28"/>
      <c r="AJ2599" s="96">
        <f ca="1">AJ2598/AJ2596</f>
        <v>1.4242641198553618</v>
      </c>
      <c r="AK2599" s="111"/>
      <c r="AL2599" s="28"/>
      <c r="AM2599" s="96">
        <f ca="1">AM2598/AM2596</f>
        <v>1.2356218642394006</v>
      </c>
      <c r="AN2599" s="111"/>
      <c r="AO2599" s="28"/>
      <c r="AP2599" s="96">
        <f ca="1">AP2598/AP2596</f>
        <v>1.1601733467810396</v>
      </c>
      <c r="AQ2599" s="111"/>
      <c r="AR2599" s="28"/>
      <c r="AS2599" s="96">
        <f ca="1">AS2598/AS2596</f>
        <v>1.1093177361767474</v>
      </c>
      <c r="AT2599" s="111"/>
      <c r="AU2599" s="28"/>
    </row>
    <row r="2600" spans="15:47" x14ac:dyDescent="0.25">
      <c r="O2600" s="2" t="s">
        <v>21</v>
      </c>
      <c r="P2600" s="8">
        <v>12</v>
      </c>
      <c r="Q2600" s="2"/>
      <c r="R2600" s="96">
        <f ca="1">1-R2599/(3*F_GAMMA*R$29)</f>
        <v>0.82578446292967089</v>
      </c>
      <c r="S2600" s="106"/>
      <c r="T2600" s="22"/>
      <c r="U2600" s="96">
        <f ca="1">1-U2599/(3*F_GAMMA*U$29)</f>
        <v>0.82942698081025368</v>
      </c>
      <c r="V2600" s="111"/>
      <c r="W2600" s="28"/>
      <c r="X2600" s="96">
        <f ca="1">1-X2599/(3*F_GAMMA*X$29)</f>
        <v>0.84773641818556056</v>
      </c>
      <c r="Y2600" s="111"/>
      <c r="Z2600" s="28"/>
      <c r="AA2600" s="96">
        <f ca="1">1-AA2599/(3*F_GAMMA*AA$29)</f>
        <v>0.93388942489599036</v>
      </c>
      <c r="AB2600" s="111"/>
      <c r="AC2600" s="28"/>
      <c r="AD2600" s="96">
        <f ca="1">1-AD2599/(3*F_GAMMA*AD$29)</f>
        <v>1.5822257343965345</v>
      </c>
      <c r="AE2600" s="111"/>
      <c r="AF2600" s="28"/>
      <c r="AG2600" s="96">
        <f ca="1">1-AG2599/(3*F_GAMMA*AG$29)</f>
        <v>-0.45937687373003633</v>
      </c>
      <c r="AH2600" s="111"/>
      <c r="AI2600" s="28"/>
      <c r="AJ2600" s="96">
        <f ca="1">1-AJ2599/(3*F_GAMMA*AJ$29)</f>
        <v>0.10732341330457906</v>
      </c>
      <c r="AK2600" s="111"/>
      <c r="AL2600" s="28"/>
      <c r="AM2600" s="96">
        <f ca="1">1-AM2599/(3*F_GAMMA*AM$29)</f>
        <v>0.13410941212124228</v>
      </c>
      <c r="AN2600" s="111"/>
      <c r="AO2600" s="28"/>
      <c r="AP2600" s="96">
        <f ca="1">1-AP2599/(3*F_GAMMA*AP$29)</f>
        <v>0.34513595607036451</v>
      </c>
      <c r="AQ2600" s="111"/>
      <c r="AR2600" s="28"/>
      <c r="AS2600" s="96">
        <f ca="1">1-AS2599/(3*F_GAMMA*AS$29)</f>
        <v>1.8363581468955337E-2</v>
      </c>
      <c r="AT2600" s="111"/>
      <c r="AU2600" s="28"/>
    </row>
    <row r="2601" spans="15:47" x14ac:dyDescent="0.25">
      <c r="O2601" s="2" t="s">
        <v>57</v>
      </c>
      <c r="P2601" s="143">
        <v>7</v>
      </c>
      <c r="Q2601" s="2"/>
      <c r="R2601" s="96">
        <f ca="1">(R2594/(N_9*R$27*R2596*R2600))*SQRT(M*'Valve Sizing'!$W$6*'Valve Sizing'!$G$8/R2599)</f>
        <v>4.8252964113828813</v>
      </c>
      <c r="S2601" s="107"/>
      <c r="T2601" s="22"/>
      <c r="U2601" s="96">
        <f ca="1">(U2594/(N_9*U$27*U2596*U2600))*SQRT(M*'Valve Sizing'!$W$6*'Valve Sizing'!$G$8/U2599)</f>
        <v>29.726083991783604</v>
      </c>
      <c r="V2601" s="111"/>
      <c r="W2601" s="28"/>
      <c r="X2601" s="96">
        <f ca="1">(X2594/(N_9*X$27*X2596*X2600))*SQRT(M*'Valve Sizing'!$W$6*'Valve Sizing'!$G$8/X2599)</f>
        <v>80.190058815183335</v>
      </c>
      <c r="Y2601" s="111"/>
      <c r="Z2601" s="28"/>
      <c r="AA2601" s="96">
        <f ca="1">(AA2594/(N_9*AA$27*AA2596*AA2600))*SQRT(M*'Valve Sizing'!$W$6*'Valve Sizing'!$G$8/AA2599)</f>
        <v>268.79558248359103</v>
      </c>
      <c r="AB2601" s="111"/>
      <c r="AC2601" s="28"/>
      <c r="AD2601" s="96" t="e">
        <f ca="1">(AD2594/(N_9*AD$27*AD2596*AD2600))*SQRT(M*'Valve Sizing'!$W$6*'Valve Sizing'!$G$8/AD2599)</f>
        <v>#NUM!</v>
      </c>
      <c r="AE2601" s="111"/>
      <c r="AF2601" s="28"/>
      <c r="AG2601" s="96">
        <f ca="1">(AG2594/(N_9*AG$27*AG2596*AG2600))*SQRT(M*'Valve Sizing'!$W$6*'Valve Sizing'!$G$8/AG2599)</f>
        <v>529.52629824762187</v>
      </c>
      <c r="AH2601" s="111"/>
      <c r="AI2601" s="28"/>
      <c r="AJ2601" s="96">
        <f ca="1">(AJ2594/(N_9*AJ$27*AJ2596*AJ2600))*SQRT(M*'Valve Sizing'!$W$6*'Valve Sizing'!$G$8/AJ2599)</f>
        <v>-1171.6507650952601</v>
      </c>
      <c r="AK2601" s="111"/>
      <c r="AL2601" s="28"/>
      <c r="AM2601" s="96">
        <f ca="1">(AM2594/(N_9*AM$27*AM2596*AM2600))*SQRT(M*'Valve Sizing'!$W$6*'Valve Sizing'!$G$8/AM2599)</f>
        <v>-723.78790882604051</v>
      </c>
      <c r="AN2601" s="111"/>
      <c r="AO2601" s="28"/>
      <c r="AP2601" s="96">
        <f ca="1">(AP2594/(N_9*AP$27*AP2596*AP2600))*SQRT(M*'Valve Sizing'!$W$6*'Valve Sizing'!$G$8/AP2599)</f>
        <v>-260.71946815139285</v>
      </c>
      <c r="AQ2601" s="111"/>
      <c r="AR2601" s="28"/>
      <c r="AS2601" s="96">
        <f ca="1">(AS2594/(N_9*AS$27*AS2596*AS2600))*SQRT(M*'Valve Sizing'!$W$6*'Valve Sizing'!$G$8/AS2599)</f>
        <v>-5371.420161227572</v>
      </c>
      <c r="AT2601" s="111"/>
      <c r="AU2601" s="28"/>
    </row>
    <row r="2602" spans="15:47" x14ac:dyDescent="0.25">
      <c r="O2602" s="2" t="s">
        <v>59</v>
      </c>
      <c r="P2602" s="143">
        <v>7</v>
      </c>
      <c r="Q2602" s="2"/>
      <c r="R2602" s="96">
        <f ca="1">(R2594/(N_9*R$27*R2596*0.667))*SQRT(M*'Valve Sizing'!$W$6*'Valve Sizing'!$G$8/R2603)</f>
        <v>4.3188581434181161</v>
      </c>
      <c r="S2602" s="107"/>
      <c r="T2602" s="22"/>
      <c r="U2602" s="96">
        <f ca="1">(U2594/(N_9*U$27*U2596*0.667))*SQRT(M*'Valve Sizing'!$W$6*'Valve Sizing'!$G$8/U2603)</f>
        <v>26.442701408148004</v>
      </c>
      <c r="V2602" s="111"/>
      <c r="W2602" s="28"/>
      <c r="X2602" s="96">
        <f ca="1">(X2594/(N_9*X$27*X2596*0.667))*SQRT(M*'Valve Sizing'!$W$6*'Valve Sizing'!$G$8/X2603)</f>
        <v>68.883338412336457</v>
      </c>
      <c r="Y2602" s="111"/>
      <c r="Z2602" s="28"/>
      <c r="AA2602" s="96">
        <f ca="1">(AA2594/(N_9*AA$27*AA2596*0.667))*SQRT(M*'Valve Sizing'!$W$6*'Valve Sizing'!$G$8/AA2603)</f>
        <v>167.60533779162498</v>
      </c>
      <c r="AB2602" s="111"/>
      <c r="AC2602" s="28"/>
      <c r="AD2602" s="96">
        <f ca="1">(AD2594/(N_9*AD$27*AD2596*0.667))*SQRT(M*'Valve Sizing'!$W$6*'Valve Sizing'!$G$8/AD2603)</f>
        <v>679.55144648287433</v>
      </c>
      <c r="AE2602" s="111"/>
      <c r="AF2602" s="28"/>
      <c r="AG2602" s="96">
        <f ca="1">(AG2594/(N_9*AG$27*AG2596*0.667))*SQRT(M*'Valve Sizing'!$W$6*'Valve Sizing'!$G$8/AG2603)</f>
        <v>-763.0889853782802</v>
      </c>
      <c r="AH2602" s="111"/>
      <c r="AI2602" s="28"/>
      <c r="AJ2602" s="96">
        <f ca="1">(AJ2594/(N_9*AJ$27*AJ2596*0.667))*SQRT(M*'Valve Sizing'!$W$6*'Valve Sizing'!$G$8/AJ2603)</f>
        <v>-308.51374843972587</v>
      </c>
      <c r="AK2602" s="111"/>
      <c r="AL2602" s="28"/>
      <c r="AM2602" s="96">
        <f ca="1">(AM2594/(N_9*AM$27*AM2596*0.667))*SQRT(M*'Valve Sizing'!$W$6*'Valve Sizing'!$G$8/AM2603)</f>
        <v>-234.55078210551122</v>
      </c>
      <c r="AN2602" s="111"/>
      <c r="AO2602" s="28"/>
      <c r="AP2602" s="96">
        <f ca="1">(AP2594/(N_9*AP$27*AP2596*0.667))*SQRT(M*'Valve Sizing'!$W$6*'Valve Sizing'!$G$8/AP2603)</f>
        <v>-189.09238256688133</v>
      </c>
      <c r="AQ2602" s="111"/>
      <c r="AR2602" s="28"/>
      <c r="AS2602" s="96">
        <f ca="1">(AS2594/(N_9*AS$27*AS2596*0.667))*SQRT(M*'Valve Sizing'!$W$6*'Valve Sizing'!$G$8/AS2603)</f>
        <v>-253.77955735373607</v>
      </c>
      <c r="AT2602" s="111"/>
      <c r="AU2602" s="28"/>
    </row>
    <row r="2603" spans="15:47" ht="15.6" x14ac:dyDescent="0.35">
      <c r="O2603" s="2" t="s">
        <v>68</v>
      </c>
      <c r="P2603" s="143">
        <v>10</v>
      </c>
      <c r="Q2603" s="2"/>
      <c r="R2603" s="96">
        <f ca="1">F_GAMMA*R$29</f>
        <v>0.64002969751372984</v>
      </c>
      <c r="S2603" s="107"/>
      <c r="T2603" s="1"/>
      <c r="U2603" s="96">
        <f ca="1">F_GAMMA*U$29</f>
        <v>0.64017842058782071</v>
      </c>
      <c r="V2603" s="111"/>
      <c r="W2603" s="28"/>
      <c r="X2603" s="96">
        <f ca="1">F_GAMMA*X$29</f>
        <v>0.63413873724904268</v>
      </c>
      <c r="Y2603" s="111"/>
      <c r="Z2603" s="28"/>
      <c r="AA2603" s="96">
        <f ca="1">F_GAMMA*AA$29</f>
        <v>0.62532411750377137</v>
      </c>
      <c r="AB2603" s="111"/>
      <c r="AC2603" s="28"/>
      <c r="AD2603" s="96">
        <f ca="1">F_GAMMA*AD$29</f>
        <v>0.60651359509139569</v>
      </c>
      <c r="AE2603" s="111"/>
      <c r="AF2603" s="28"/>
      <c r="AG2603" s="96">
        <f ca="1">F_GAMMA*AG$29</f>
        <v>0.57217930198481592</v>
      </c>
      <c r="AH2603" s="111"/>
      <c r="AI2603" s="28"/>
      <c r="AJ2603" s="96">
        <f ca="1">F_GAMMA*AJ$29</f>
        <v>0.53183282018848232</v>
      </c>
      <c r="AK2603" s="111"/>
      <c r="AL2603" s="28"/>
      <c r="AM2603" s="96">
        <f ca="1">F_GAMMA*AM$29</f>
        <v>0.47566512503094399</v>
      </c>
      <c r="AN2603" s="111"/>
      <c r="AO2603" s="28"/>
      <c r="AP2603" s="96">
        <f ca="1">F_GAMMA*AP$29</f>
        <v>0.59054158265645496</v>
      </c>
      <c r="AQ2603" s="111"/>
      <c r="AR2603" s="28"/>
      <c r="AS2603" s="96">
        <f ca="1">F_GAMMA*AS$29</f>
        <v>0.3766899554102966</v>
      </c>
      <c r="AT2603" s="111"/>
      <c r="AU2603" s="28"/>
    </row>
    <row r="2604" spans="15:47" x14ac:dyDescent="0.25">
      <c r="O2604" s="2" t="s">
        <v>145</v>
      </c>
      <c r="P2604" s="12"/>
      <c r="Q2604" s="2"/>
      <c r="R2604" s="96">
        <f ca="1">IF(R2599&lt;R2603,R2601,R2602)</f>
        <v>4.8252964113828813</v>
      </c>
      <c r="S2604" s="116"/>
      <c r="T2604" s="1"/>
      <c r="U2604" s="96">
        <f ca="1">IF(U2599&lt;U2603,U2601,U2602)</f>
        <v>29.726083991783604</v>
      </c>
      <c r="V2604" s="111"/>
      <c r="W2604" s="28"/>
      <c r="X2604" s="96">
        <f ca="1">IF(X2599&lt;X2603,X2601,X2602)</f>
        <v>80.190058815183335</v>
      </c>
      <c r="Y2604" s="111"/>
      <c r="Z2604" s="28"/>
      <c r="AA2604" s="96">
        <f ca="1">IF(AA2599&lt;AA2603,AA2601,AA2602)</f>
        <v>268.79558248359103</v>
      </c>
      <c r="AB2604" s="111"/>
      <c r="AC2604" s="28"/>
      <c r="AD2604" s="96" t="e">
        <f ca="1">IF(AD2599&lt;AD2603,AD2601,AD2602)</f>
        <v>#NUM!</v>
      </c>
      <c r="AE2604" s="111"/>
      <c r="AF2604" s="28"/>
      <c r="AG2604" s="96">
        <f ca="1">IF(AG2599&lt;AG2603,AG2601,AG2602)</f>
        <v>-763.0889853782802</v>
      </c>
      <c r="AH2604" s="111"/>
      <c r="AI2604" s="28"/>
      <c r="AJ2604" s="96">
        <f ca="1">IF(AJ2599&lt;AJ2603,AJ2601,AJ2602)</f>
        <v>-308.51374843972587</v>
      </c>
      <c r="AK2604" s="111"/>
      <c r="AL2604" s="28"/>
      <c r="AM2604" s="96">
        <f ca="1">IF(AM2599&lt;AM2603,AM2601,AM2602)</f>
        <v>-234.55078210551122</v>
      </c>
      <c r="AN2604" s="111"/>
      <c r="AO2604" s="28"/>
      <c r="AP2604" s="96">
        <f ca="1">IF(AP2599&lt;AP2603,AP2601,AP2602)</f>
        <v>-189.09238256688133</v>
      </c>
      <c r="AQ2604" s="111"/>
      <c r="AR2604" s="28"/>
      <c r="AS2604" s="96">
        <f ca="1">IF(AS2599&lt;AS2603,AS2601,AS2602)</f>
        <v>-253.77955735373607</v>
      </c>
      <c r="AT2604" s="111"/>
      <c r="AU2604" s="28"/>
    </row>
    <row r="2605" spans="15:47" x14ac:dyDescent="0.25">
      <c r="O2605" s="13" t="s">
        <v>143</v>
      </c>
      <c r="P2605" s="1"/>
      <c r="Q2605" s="1"/>
      <c r="R2605" s="113"/>
      <c r="S2605" s="106">
        <f ca="1">IF(R2598&lt;=0,Q_max,ABS(R$23-R2604))</f>
        <v>9.5296411382880919E-2</v>
      </c>
      <c r="T2605" s="7">
        <f>R2594</f>
        <v>11943.128251000437</v>
      </c>
      <c r="U2605" s="98"/>
      <c r="V2605" s="106">
        <f ca="1">IF(U2598&lt;=0,Q_max,ABS(U$23-U2604))</f>
        <v>18.126083991783602</v>
      </c>
      <c r="W2605" s="9">
        <f ca="1">U2594</f>
        <v>72331.808937528185</v>
      </c>
      <c r="X2605" s="98"/>
      <c r="Y2605" s="106">
        <f ca="1">IF(X2598&lt;=0,Q_max,ABS(X$23-X2604))</f>
        <v>57.190058815183335</v>
      </c>
      <c r="Z2605" s="9">
        <f ca="1">X2594</f>
        <v>177114.03078086267</v>
      </c>
      <c r="AA2605" s="98"/>
      <c r="AB2605" s="106">
        <f ca="1">IF(AA2598&lt;=0,Q_max,ABS(AA$23-AA2604))</f>
        <v>229.39558248359103</v>
      </c>
      <c r="AC2605" s="9">
        <f ca="1">AA2594</f>
        <v>344972.92441712454</v>
      </c>
      <c r="AD2605" s="98"/>
      <c r="AE2605" s="106">
        <f ca="1">IF(AD2598&lt;=0,Q_max,ABS(AD$23-AD2604))</f>
        <v>236393</v>
      </c>
      <c r="AF2605" s="9">
        <f ca="1">AD2594</f>
        <v>578757.25349928334</v>
      </c>
      <c r="AG2605" s="98"/>
      <c r="AH2605" s="106">
        <f ca="1">IF(AG2598&lt;=0,Q_max,ABS(AG$23-AG2604))</f>
        <v>236393</v>
      </c>
      <c r="AI2605" s="9">
        <f ca="1">AG2594</f>
        <v>844711.97459681181</v>
      </c>
      <c r="AJ2605" s="98"/>
      <c r="AK2605" s="106">
        <f ca="1">IF(AJ2598&lt;=0,Q_max,ABS(AJ$23-AJ2604))</f>
        <v>236393</v>
      </c>
      <c r="AL2605" s="9">
        <f ca="1">AJ2594</f>
        <v>1127271.4046822079</v>
      </c>
      <c r="AM2605" s="98"/>
      <c r="AN2605" s="106">
        <f ca="1">IF(AM2598&lt;=0,Q_max,ABS(AM$23-AM2604))</f>
        <v>236393</v>
      </c>
      <c r="AO2605" s="9">
        <f ca="1">AM2594</f>
        <v>1375485.3403113843</v>
      </c>
      <c r="AP2605" s="98"/>
      <c r="AQ2605" s="106">
        <f ca="1">IF(AP2598&lt;=0,Q_max,ABS(AP$23-AP2604))</f>
        <v>236393</v>
      </c>
      <c r="AR2605" s="9">
        <f ca="1">AP2594</f>
        <v>1596895.7786680546</v>
      </c>
      <c r="AS2605" s="98"/>
      <c r="AT2605" s="106">
        <f ca="1">IF(AS2598&lt;=0,Q_max,ABS(AS$23-AS2604))</f>
        <v>236393</v>
      </c>
      <c r="AU2605" s="9">
        <f ca="1">AS2594</f>
        <v>1872485.8882349622</v>
      </c>
    </row>
    <row r="2606" spans="15:47" x14ac:dyDescent="0.25">
      <c r="O2606" s="21"/>
      <c r="P2606" s="14"/>
      <c r="Q2606" s="21"/>
      <c r="R2606" s="97"/>
      <c r="S2606" s="106"/>
      <c r="T2606" s="28"/>
      <c r="U2606" s="97"/>
      <c r="V2606" s="111"/>
      <c r="W2606" s="28"/>
      <c r="X2606" s="97"/>
      <c r="Y2606" s="111"/>
      <c r="Z2606" s="28"/>
      <c r="AA2606" s="97"/>
      <c r="AB2606" s="111"/>
      <c r="AC2606" s="28"/>
      <c r="AD2606" s="97"/>
      <c r="AE2606" s="111"/>
      <c r="AF2606" s="28"/>
      <c r="AG2606" s="97"/>
      <c r="AH2606" s="111"/>
      <c r="AI2606" s="28"/>
      <c r="AJ2606" s="97"/>
      <c r="AK2606" s="111"/>
      <c r="AL2606" s="28"/>
      <c r="AM2606" s="97"/>
      <c r="AN2606" s="111"/>
      <c r="AO2606" s="28"/>
      <c r="AP2606" s="97"/>
      <c r="AQ2606" s="111"/>
      <c r="AR2606" s="28"/>
      <c r="AS2606" s="97"/>
      <c r="AT2606" s="111"/>
      <c r="AU2606" s="28"/>
    </row>
    <row r="2607" spans="15:47" x14ac:dyDescent="0.25">
      <c r="O2607" s="1"/>
      <c r="P2607" s="1"/>
      <c r="Q2607" s="1"/>
      <c r="R2607" s="98"/>
      <c r="S2607" s="108" t="s">
        <v>137</v>
      </c>
      <c r="T2607" s="26" t="s">
        <v>146</v>
      </c>
      <c r="U2607" s="98"/>
      <c r="V2607" s="108" t="s">
        <v>137</v>
      </c>
      <c r="W2607" s="26" t="s">
        <v>146</v>
      </c>
      <c r="X2607" s="98"/>
      <c r="Y2607" s="108" t="s">
        <v>137</v>
      </c>
      <c r="Z2607" s="26" t="s">
        <v>146</v>
      </c>
      <c r="AA2607" s="98"/>
      <c r="AB2607" s="108" t="s">
        <v>137</v>
      </c>
      <c r="AC2607" s="26" t="s">
        <v>146</v>
      </c>
      <c r="AD2607" s="98"/>
      <c r="AE2607" s="108" t="s">
        <v>137</v>
      </c>
      <c r="AF2607" s="26" t="s">
        <v>146</v>
      </c>
      <c r="AG2607" s="98"/>
      <c r="AH2607" s="108" t="s">
        <v>137</v>
      </c>
      <c r="AI2607" s="26" t="s">
        <v>146</v>
      </c>
      <c r="AJ2607" s="98"/>
      <c r="AK2607" s="108" t="s">
        <v>137</v>
      </c>
      <c r="AL2607" s="26" t="s">
        <v>146</v>
      </c>
      <c r="AM2607" s="98"/>
      <c r="AN2607" s="108" t="s">
        <v>137</v>
      </c>
      <c r="AO2607" s="26" t="s">
        <v>146</v>
      </c>
      <c r="AP2607" s="98"/>
      <c r="AQ2607" s="108" t="s">
        <v>137</v>
      </c>
      <c r="AR2607" s="26" t="s">
        <v>146</v>
      </c>
      <c r="AS2607" s="98"/>
      <c r="AT2607" s="108" t="s">
        <v>137</v>
      </c>
      <c r="AU2607" s="26" t="s">
        <v>146</v>
      </c>
    </row>
    <row r="2608" spans="15:47" ht="13.8" x14ac:dyDescent="0.25">
      <c r="O2608" s="20" t="s">
        <v>136</v>
      </c>
      <c r="P2608" s="1"/>
      <c r="Q2608" s="1"/>
      <c r="R2608" s="96">
        <f>R2594*1.02</f>
        <v>12181.990816020445</v>
      </c>
      <c r="S2608" s="109" t="s">
        <v>144</v>
      </c>
      <c r="T2608" s="23" t="s">
        <v>147</v>
      </c>
      <c r="U2608" s="96">
        <f ca="1">U2594*1.01</f>
        <v>73055.127026903472</v>
      </c>
      <c r="V2608" s="109" t="s">
        <v>144</v>
      </c>
      <c r="W2608" s="23" t="s">
        <v>147</v>
      </c>
      <c r="X2608" s="96">
        <f ca="1">X2594*1.01</f>
        <v>178885.17108867128</v>
      </c>
      <c r="Y2608" s="109" t="s">
        <v>144</v>
      </c>
      <c r="Z2608" s="23" t="s">
        <v>147</v>
      </c>
      <c r="AA2608" s="96">
        <f ca="1">AA2594*1.01</f>
        <v>348422.65366129577</v>
      </c>
      <c r="AB2608" s="109" t="s">
        <v>144</v>
      </c>
      <c r="AC2608" s="23" t="s">
        <v>147</v>
      </c>
      <c r="AD2608" s="96">
        <f ca="1">AD2594*1.01</f>
        <v>584544.82603427616</v>
      </c>
      <c r="AE2608" s="109" t="s">
        <v>144</v>
      </c>
      <c r="AF2608" s="23" t="s">
        <v>147</v>
      </c>
      <c r="AG2608" s="96">
        <f ca="1">AG2594*1.01</f>
        <v>853159.09434277995</v>
      </c>
      <c r="AH2608" s="109" t="s">
        <v>144</v>
      </c>
      <c r="AI2608" s="23" t="s">
        <v>147</v>
      </c>
      <c r="AJ2608" s="96">
        <f ca="1">AJ2594*1.01</f>
        <v>1138544.11872903</v>
      </c>
      <c r="AK2608" s="109" t="s">
        <v>144</v>
      </c>
      <c r="AL2608" s="23" t="s">
        <v>147</v>
      </c>
      <c r="AM2608" s="96">
        <f ca="1">AM2594*1.01</f>
        <v>1389240.1937144981</v>
      </c>
      <c r="AN2608" s="109" t="s">
        <v>144</v>
      </c>
      <c r="AO2608" s="23" t="s">
        <v>147</v>
      </c>
      <c r="AP2608" s="96">
        <f ca="1">AP2594*1.01</f>
        <v>1612864.7364547353</v>
      </c>
      <c r="AQ2608" s="109" t="s">
        <v>144</v>
      </c>
      <c r="AR2608" s="23" t="s">
        <v>147</v>
      </c>
      <c r="AS2608" s="96">
        <f ca="1">AS2594*1.01</f>
        <v>1891210.7471173119</v>
      </c>
      <c r="AT2608" s="109" t="s">
        <v>144</v>
      </c>
      <c r="AU2608" s="23" t="s">
        <v>147</v>
      </c>
    </row>
    <row r="2609" spans="15:47" x14ac:dyDescent="0.25">
      <c r="O2609" s="1"/>
      <c r="P2609" s="1"/>
      <c r="Q2609" s="1"/>
      <c r="R2609" s="98"/>
      <c r="S2609" s="107"/>
      <c r="T2609" s="1"/>
      <c r="U2609" s="47"/>
      <c r="V2609" s="107"/>
      <c r="W2609" s="1"/>
      <c r="X2609" s="47"/>
      <c r="Y2609" s="107"/>
      <c r="Z2609" s="1"/>
      <c r="AA2609" s="47"/>
      <c r="AB2609" s="107"/>
      <c r="AC2609" s="1"/>
      <c r="AD2609" s="47"/>
      <c r="AE2609" s="107"/>
      <c r="AF2609" s="1"/>
      <c r="AG2609" s="47"/>
      <c r="AH2609" s="107"/>
      <c r="AI2609" s="1"/>
      <c r="AJ2609" s="47"/>
      <c r="AK2609" s="107"/>
      <c r="AL2609" s="1"/>
      <c r="AM2609" s="47"/>
      <c r="AN2609" s="107"/>
      <c r="AO2609" s="1"/>
      <c r="AP2609" s="47"/>
      <c r="AQ2609" s="107"/>
      <c r="AR2609" s="1"/>
      <c r="AS2609" s="47"/>
      <c r="AT2609" s="107"/>
      <c r="AU2609" s="1"/>
    </row>
    <row r="2610" spans="15:47" x14ac:dyDescent="0.25">
      <c r="O2610" s="8" t="s">
        <v>132</v>
      </c>
      <c r="P2610" s="8"/>
      <c r="Q2610" s="8"/>
      <c r="R2610" s="96">
        <f>P_1_minQ-(R2608^2*R_up)+dpup_minQ</f>
        <v>90.157992846954457</v>
      </c>
      <c r="S2610" s="106"/>
      <c r="T2610" s="22"/>
      <c r="U2610" s="96">
        <f ca="1">P_1_minQ-(U2608^2*R_up)+dpup_minQ</f>
        <v>89.212304645261355</v>
      </c>
      <c r="V2610" s="107"/>
      <c r="W2610" s="1"/>
      <c r="X2610" s="96">
        <f ca="1">P_1_minQ-(X2608^2*R_up)+dpup_minQ</f>
        <v>84.352708789507517</v>
      </c>
      <c r="Y2610" s="107"/>
      <c r="Z2610" s="1"/>
      <c r="AA2610" s="96">
        <f ca="1">P_1_minQ-(AA2608^2*R_up)+dpup_minQ</f>
        <v>68.058867445741754</v>
      </c>
      <c r="AB2610" s="107"/>
      <c r="AC2610" s="1"/>
      <c r="AD2610" s="96">
        <f ca="1">P_1_minQ-(AD2608^2*R_up)+dpup_minQ</f>
        <v>27.907826126483286</v>
      </c>
      <c r="AE2610" s="107"/>
      <c r="AF2610" s="1"/>
      <c r="AG2610" s="96">
        <f ca="1">P_1_minQ-(AG2608^2*R_up)+dpup_minQ</f>
        <v>-42.479111756944889</v>
      </c>
      <c r="AH2610" s="107"/>
      <c r="AI2610" s="1"/>
      <c r="AJ2610" s="96">
        <f ca="1">P_1_minQ-(AJ2608^2*R_up)+dpup_minQ</f>
        <v>-146.07662742186761</v>
      </c>
      <c r="AK2610" s="107"/>
      <c r="AL2610" s="1"/>
      <c r="AM2610" s="96">
        <f ca="1">P_1_minQ-(AM2608^2*R_up)+dpup_minQ</f>
        <v>-261.57638852072319</v>
      </c>
      <c r="AN2610" s="107"/>
      <c r="AO2610" s="1"/>
      <c r="AP2610" s="96">
        <f ca="1">P_1_minQ-(AP2608^2*R_up)+dpup_minQ</f>
        <v>-383.93622007205897</v>
      </c>
      <c r="AQ2610" s="107"/>
      <c r="AR2610" s="1"/>
      <c r="AS2610" s="96">
        <f ca="1">P_1_minQ-(AS2608^2*R_up)+dpup_minQ</f>
        <v>-561.70356722831013</v>
      </c>
      <c r="AT2610" s="107"/>
      <c r="AU2610" s="1"/>
    </row>
    <row r="2611" spans="15:47" x14ac:dyDescent="0.25">
      <c r="O2611" s="8" t="s">
        <v>134</v>
      </c>
      <c r="P2611" s="1"/>
      <c r="Q2611" s="8"/>
      <c r="R2611" s="97">
        <f>P_2_minQ+(R2608^2*R_dn)-dpdn_minQ</f>
        <v>60</v>
      </c>
      <c r="S2611" s="106"/>
      <c r="T2611" s="22"/>
      <c r="U2611" s="97">
        <f ca="1">P_2_minQ+(U2608^2*R_dn)-dpdn_minQ</f>
        <v>60</v>
      </c>
      <c r="V2611" s="107"/>
      <c r="W2611" s="1"/>
      <c r="X2611" s="97">
        <f ca="1">P_2_minQ+(X2608^2*R_dn)-dpdn_minQ</f>
        <v>60</v>
      </c>
      <c r="Y2611" s="107"/>
      <c r="Z2611" s="1"/>
      <c r="AA2611" s="97">
        <f ca="1">P_2_minQ+(AA2608^2*R_dn)-dpdn_minQ</f>
        <v>60</v>
      </c>
      <c r="AB2611" s="107"/>
      <c r="AC2611" s="1"/>
      <c r="AD2611" s="97">
        <f ca="1">P_2_minQ+(AD2608^2*R_dn)-dpdn_minQ</f>
        <v>60</v>
      </c>
      <c r="AE2611" s="107"/>
      <c r="AF2611" s="1"/>
      <c r="AG2611" s="97">
        <f ca="1">P_2_minQ+(AG2608^2*R_dn)-dpdn_minQ</f>
        <v>60</v>
      </c>
      <c r="AH2611" s="107"/>
      <c r="AI2611" s="1"/>
      <c r="AJ2611" s="97">
        <f ca="1">P_2_minQ+(AJ2608^2*R_dn)-dpdn_minQ</f>
        <v>60</v>
      </c>
      <c r="AK2611" s="107"/>
      <c r="AL2611" s="1"/>
      <c r="AM2611" s="97">
        <f ca="1">P_2_minQ+(AM2608^2*R_dn)-dpdn_minQ</f>
        <v>60</v>
      </c>
      <c r="AN2611" s="107"/>
      <c r="AO2611" s="1"/>
      <c r="AP2611" s="97">
        <f ca="1">P_2_minQ+(AP2608^2*R_dn)-dpdn_minQ</f>
        <v>60</v>
      </c>
      <c r="AQ2611" s="107"/>
      <c r="AR2611" s="1"/>
      <c r="AS2611" s="97">
        <f ca="1">P_2_minQ+(AS2608^2*R_dn)-dpdn_minQ</f>
        <v>60</v>
      </c>
      <c r="AT2611" s="107"/>
      <c r="AU2611" s="1"/>
    </row>
    <row r="2612" spans="15:47" x14ac:dyDescent="0.25">
      <c r="O2612" s="8" t="s">
        <v>138</v>
      </c>
      <c r="P2612" s="1"/>
      <c r="Q2612" s="8"/>
      <c r="R2612" s="97">
        <f>R2610-R2611</f>
        <v>30.157992846954457</v>
      </c>
      <c r="S2612" s="106"/>
      <c r="T2612" s="22"/>
      <c r="U2612" s="97">
        <f ca="1">U2610-U2611</f>
        <v>29.212304645261355</v>
      </c>
      <c r="V2612" s="110"/>
      <c r="W2612" s="25"/>
      <c r="X2612" s="97">
        <f ca="1">X2610-X2611</f>
        <v>24.352708789507517</v>
      </c>
      <c r="Y2612" s="110"/>
      <c r="Z2612" s="25"/>
      <c r="AA2612" s="97">
        <f ca="1">AA2610-AA2611</f>
        <v>8.058867445741754</v>
      </c>
      <c r="AB2612" s="110"/>
      <c r="AC2612" s="25"/>
      <c r="AD2612" s="97">
        <f ca="1">AD2610-AD2611</f>
        <v>-32.092173873516714</v>
      </c>
      <c r="AE2612" s="110"/>
      <c r="AF2612" s="25"/>
      <c r="AG2612" s="97">
        <f ca="1">AG2610-AG2611</f>
        <v>-102.47911175694489</v>
      </c>
      <c r="AH2612" s="110"/>
      <c r="AI2612" s="25"/>
      <c r="AJ2612" s="97">
        <f ca="1">AJ2610-AJ2611</f>
        <v>-206.07662742186761</v>
      </c>
      <c r="AK2612" s="110"/>
      <c r="AL2612" s="25"/>
      <c r="AM2612" s="97">
        <f ca="1">AM2610-AM2611</f>
        <v>-321.57638852072319</v>
      </c>
      <c r="AN2612" s="110"/>
      <c r="AO2612" s="25"/>
      <c r="AP2612" s="97">
        <f ca="1">AP2610-AP2611</f>
        <v>-443.93622007205897</v>
      </c>
      <c r="AQ2612" s="110"/>
      <c r="AR2612" s="25"/>
      <c r="AS2612" s="97">
        <f ca="1">AS2610-AS2611</f>
        <v>-621.70356722831013</v>
      </c>
      <c r="AT2612" s="110"/>
      <c r="AU2612" s="25"/>
    </row>
    <row r="2613" spans="15:47" ht="14.4" x14ac:dyDescent="0.3">
      <c r="O2613" s="2" t="s">
        <v>140</v>
      </c>
      <c r="P2613" s="11"/>
      <c r="Q2613" s="2"/>
      <c r="R2613" s="96">
        <f>R2612/R2610</f>
        <v>0.33450159985425182</v>
      </c>
      <c r="S2613" s="106"/>
      <c r="T2613" s="22"/>
      <c r="U2613" s="96">
        <f ca="1">U2612/U2610</f>
        <v>0.32744703504095618</v>
      </c>
      <c r="V2613" s="111"/>
      <c r="W2613" s="28"/>
      <c r="X2613" s="96">
        <f ca="1">X2612/X2610</f>
        <v>0.28870096928691291</v>
      </c>
      <c r="Y2613" s="111"/>
      <c r="Z2613" s="28"/>
      <c r="AA2613" s="96">
        <f ca="1">AA2612/AA2610</f>
        <v>0.11841024907101909</v>
      </c>
      <c r="AB2613" s="111"/>
      <c r="AC2613" s="28"/>
      <c r="AD2613" s="96">
        <f ca="1">AD2612/AD2610</f>
        <v>-1.1499345641638017</v>
      </c>
      <c r="AE2613" s="111"/>
      <c r="AF2613" s="28"/>
      <c r="AG2613" s="96">
        <f ca="1">AG2612/AG2610</f>
        <v>2.4124589125899183</v>
      </c>
      <c r="AH2613" s="111"/>
      <c r="AI2613" s="28"/>
      <c r="AJ2613" s="96">
        <f ca="1">AJ2612/AJ2610</f>
        <v>1.4107433273820096</v>
      </c>
      <c r="AK2613" s="111"/>
      <c r="AL2613" s="28"/>
      <c r="AM2613" s="96">
        <f ca="1">AM2612/AM2610</f>
        <v>1.2293785013980594</v>
      </c>
      <c r="AN2613" s="111"/>
      <c r="AO2613" s="28"/>
      <c r="AP2613" s="96">
        <f ca="1">AP2612/AP2610</f>
        <v>1.1562759564303127</v>
      </c>
      <c r="AQ2613" s="111"/>
      <c r="AR2613" s="28"/>
      <c r="AS2613" s="96">
        <f ca="1">AS2612/AS2610</f>
        <v>1.1068179080579212</v>
      </c>
      <c r="AT2613" s="111"/>
      <c r="AU2613" s="28"/>
    </row>
    <row r="2614" spans="15:47" x14ac:dyDescent="0.25">
      <c r="O2614" s="2" t="s">
        <v>21</v>
      </c>
      <c r="P2614" s="8">
        <v>12</v>
      </c>
      <c r="Q2614" s="2"/>
      <c r="R2614" s="96">
        <f ca="1">1-R2613/(3*F_GAMMA*R$29)</f>
        <v>0.82578850056819642</v>
      </c>
      <c r="S2614" s="106"/>
      <c r="T2614" s="22"/>
      <c r="U2614" s="96">
        <f ca="1">1-U2613/(3*F_GAMMA*U$29)</f>
        <v>0.82950220099562777</v>
      </c>
      <c r="V2614" s="111"/>
      <c r="W2614" s="28"/>
      <c r="X2614" s="96">
        <f ca="1">1-X2613/(3*F_GAMMA*X$29)</f>
        <v>0.84824510666791597</v>
      </c>
      <c r="Y2614" s="111"/>
      <c r="Z2614" s="28"/>
      <c r="AA2614" s="96">
        <f ca="1">1-AA2613/(3*F_GAMMA*AA$29)</f>
        <v>0.93688060012584595</v>
      </c>
      <c r="AB2614" s="111"/>
      <c r="AC2614" s="28"/>
      <c r="AD2614" s="96">
        <f ca="1">1-AD2613/(3*F_GAMMA*AD$29)</f>
        <v>1.6319916395776299</v>
      </c>
      <c r="AE2614" s="111"/>
      <c r="AF2614" s="28"/>
      <c r="AG2614" s="96">
        <f ca="1">1-AG2613/(3*F_GAMMA*AG$29)</f>
        <v>-0.40542128677811928</v>
      </c>
      <c r="AH2614" s="111"/>
      <c r="AI2614" s="28"/>
      <c r="AJ2614" s="96">
        <f ca="1">1-AJ2613/(3*F_GAMMA*AJ$29)</f>
        <v>0.1157977508282646</v>
      </c>
      <c r="AK2614" s="111"/>
      <c r="AL2614" s="28"/>
      <c r="AM2614" s="96">
        <f ca="1">1-AM2613/(3*F_GAMMA*AM$29)</f>
        <v>0.13848459297348226</v>
      </c>
      <c r="AN2614" s="111"/>
      <c r="AO2614" s="28"/>
      <c r="AP2614" s="96">
        <f ca="1">1-AP2613/(3*F_GAMMA*AP$29)</f>
        <v>0.34733585215738516</v>
      </c>
      <c r="AQ2614" s="111"/>
      <c r="AR2614" s="28"/>
      <c r="AS2614" s="96">
        <f ca="1">1-AS2613/(3*F_GAMMA*AS$29)</f>
        <v>2.0575681971346294E-2</v>
      </c>
      <c r="AT2614" s="111"/>
      <c r="AU2614" s="28"/>
    </row>
    <row r="2615" spans="15:47" x14ac:dyDescent="0.25">
      <c r="O2615" s="2" t="s">
        <v>57</v>
      </c>
      <c r="P2615" s="143">
        <v>7</v>
      </c>
      <c r="Q2615" s="2"/>
      <c r="R2615" s="96">
        <f ca="1">(R2608/(N_9*R$27*R2610*R2614))*SQRT(M*'Valve Sizing'!$W$6*'Valve Sizing'!$G$8/R2613)</f>
        <v>4.9218926464758956</v>
      </c>
      <c r="S2615" s="107"/>
      <c r="T2615" s="22"/>
      <c r="U2615" s="96">
        <f ca="1">(U2608/(N_9*U$27*U2610*U2614))*SQRT(M*'Valve Sizing'!$W$6*'Valve Sizing'!$G$8/U2613)</f>
        <v>30.033694974172739</v>
      </c>
      <c r="V2615" s="111"/>
      <c r="W2615" s="28"/>
      <c r="X2615" s="96">
        <f ca="1">(X2608/(N_9*X$27*X2610*X2614))*SQRT(M*'Valve Sizing'!$W$6*'Valve Sizing'!$G$8/X2613)</f>
        <v>81.189398037178293</v>
      </c>
      <c r="Y2615" s="111"/>
      <c r="Z2615" s="28"/>
      <c r="AA2615" s="96">
        <f ca="1">(AA2608/(N_9*AA$27*AA2610*AA2614))*SQRT(M*'Valve Sizing'!$W$6*'Valve Sizing'!$G$8/AA2613)</f>
        <v>278.72882884292517</v>
      </c>
      <c r="AB2615" s="111"/>
      <c r="AC2615" s="28"/>
      <c r="AD2615" s="96" t="e">
        <f ca="1">(AD2608/(N_9*AD$27*AD2610*AD2614))*SQRT(M*'Valve Sizing'!$W$6*'Valve Sizing'!$G$8/AD2613)</f>
        <v>#NUM!</v>
      </c>
      <c r="AE2615" s="111"/>
      <c r="AF2615" s="28"/>
      <c r="AG2615" s="96">
        <f ca="1">(AG2608/(N_9*AG$27*AG2610*AG2614))*SQRT(M*'Valve Sizing'!$W$6*'Valve Sizing'!$G$8/AG2613)</f>
        <v>579.52133185006369</v>
      </c>
      <c r="AH2615" s="111"/>
      <c r="AI2615" s="28"/>
      <c r="AJ2615" s="96">
        <f ca="1">(AJ2608/(N_9*AJ$27*AJ2610*AJ2614))*SQRT(M*'Valve Sizing'!$W$6*'Valve Sizing'!$G$8/AJ2613)</f>
        <v>-1066.8893579959074</v>
      </c>
      <c r="AK2615" s="111"/>
      <c r="AL2615" s="28"/>
      <c r="AM2615" s="96">
        <f ca="1">(AM2608/(N_9*AM$27*AM2610*AM2614))*SQRT(M*'Valve Sizing'!$W$6*'Valve Sizing'!$G$8/AM2613)</f>
        <v>-690.91974775104404</v>
      </c>
      <c r="AN2615" s="111"/>
      <c r="AO2615" s="28"/>
      <c r="AP2615" s="96">
        <f ca="1">(AP2608/(N_9*AP$27*AP2610*AP2614))*SQRT(M*'Valve Sizing'!$W$6*'Valve Sizing'!$G$8/AP2613)</f>
        <v>-255.7219677903694</v>
      </c>
      <c r="AQ2615" s="111"/>
      <c r="AR2615" s="28"/>
      <c r="AS2615" s="96">
        <f ca="1">(AS2608/(N_9*AS$27*AS2610*AS2614))*SQRT(M*'Valve Sizing'!$W$6*'Valve Sizing'!$G$8/AS2613)</f>
        <v>-4736.4938178167895</v>
      </c>
      <c r="AT2615" s="111"/>
      <c r="AU2615" s="28"/>
    </row>
    <row r="2616" spans="15:47" x14ac:dyDescent="0.25">
      <c r="O2616" s="2" t="s">
        <v>59</v>
      </c>
      <c r="P2616" s="143">
        <v>7</v>
      </c>
      <c r="Q2616" s="2"/>
      <c r="R2616" s="96">
        <f ca="1">(R2608/(N_9*R$27*R2610*0.667))*SQRT(M*'Valve Sizing'!$W$6*'Valve Sizing'!$G$8/R2617)</f>
        <v>4.4052866250248321</v>
      </c>
      <c r="S2616" s="107"/>
      <c r="T2616" s="22"/>
      <c r="U2616" s="96">
        <f ca="1">(U2608/(N_9*U$27*U2610*0.667))*SQRT(M*'Valve Sizing'!$W$6*'Valve Sizing'!$G$8/U2617)</f>
        <v>26.712866291952626</v>
      </c>
      <c r="V2616" s="111"/>
      <c r="W2616" s="28"/>
      <c r="X2616" s="96">
        <f ca="1">(X2608/(N_9*X$27*X2610*0.667))*SQRT(M*'Valve Sizing'!$W$6*'Valve Sizing'!$G$8/X2617)</f>
        <v>69.666955146751746</v>
      </c>
      <c r="Y2616" s="111"/>
      <c r="Z2616" s="28"/>
      <c r="AA2616" s="96">
        <f ca="1">(AA2608/(N_9*AA$27*AA2610*0.667))*SQRT(M*'Valve Sizing'!$W$6*'Valve Sizing'!$G$8/AA2617)</f>
        <v>170.36577770612305</v>
      </c>
      <c r="AB2616" s="111"/>
      <c r="AC2616" s="28"/>
      <c r="AD2616" s="96">
        <f ca="1">(AD2608/(N_9*AD$27*AD2610*0.667))*SQRT(M*'Valve Sizing'!$W$6*'Valve Sizing'!$G$8/AD2617)</f>
        <v>716.52563782656603</v>
      </c>
      <c r="AE2616" s="111"/>
      <c r="AF2616" s="28"/>
      <c r="AG2616" s="96">
        <f ca="1">(AG2608/(N_9*AG$27*AG2610*0.667))*SQRT(M*'Valve Sizing'!$W$6*'Valve Sizing'!$G$8/AG2617)</f>
        <v>-723.29261602475685</v>
      </c>
      <c r="AH2616" s="111"/>
      <c r="AI2616" s="28"/>
      <c r="AJ2616" s="96">
        <f ca="1">(AJ2608/(N_9*AJ$27*AJ2610*0.667))*SQRT(M*'Valve Sizing'!$W$6*'Valve Sizing'!$G$8/AJ2617)</f>
        <v>-301.66860034413082</v>
      </c>
      <c r="AK2616" s="111"/>
      <c r="AL2616" s="28"/>
      <c r="AM2616" s="96">
        <f ca="1">(AM2608/(N_9*AM$27*AM2610*0.667))*SQRT(M*'Valve Sizing'!$W$6*'Valve Sizing'!$G$8/AM2617)</f>
        <v>-230.61915813935511</v>
      </c>
      <c r="AN2616" s="111"/>
      <c r="AO2616" s="28"/>
      <c r="AP2616" s="96">
        <f ca="1">(AP2608/(N_9*AP$27*AP2610*0.667))*SQRT(M*'Valve Sizing'!$W$6*'Valve Sizing'!$G$8/AP2617)</f>
        <v>-186.33623801043174</v>
      </c>
      <c r="AQ2616" s="111"/>
      <c r="AR2616" s="28"/>
      <c r="AS2616" s="96">
        <f ca="1">(AS2608/(N_9*AS$27*AS2610*0.667))*SQRT(M*'Valve Sizing'!$W$6*'Valve Sizing'!$G$8/AS2617)</f>
        <v>-250.45600463558625</v>
      </c>
      <c r="AT2616" s="111"/>
      <c r="AU2616" s="28"/>
    </row>
    <row r="2617" spans="15:47" ht="15.6" x14ac:dyDescent="0.35">
      <c r="O2617" s="2" t="s">
        <v>68</v>
      </c>
      <c r="P2617" s="143">
        <v>10</v>
      </c>
      <c r="Q2617" s="2"/>
      <c r="R2617" s="96">
        <f ca="1">F_GAMMA*R$29</f>
        <v>0.64002969751372984</v>
      </c>
      <c r="S2617" s="107"/>
      <c r="T2617" s="1"/>
      <c r="U2617" s="96">
        <f ca="1">F_GAMMA*U$29</f>
        <v>0.64017842058782071</v>
      </c>
      <c r="V2617" s="111"/>
      <c r="W2617" s="28"/>
      <c r="X2617" s="96">
        <f ca="1">F_GAMMA*X$29</f>
        <v>0.63413873724904268</v>
      </c>
      <c r="Y2617" s="111"/>
      <c r="Z2617" s="28"/>
      <c r="AA2617" s="96">
        <f ca="1">F_GAMMA*AA$29</f>
        <v>0.62532411750377137</v>
      </c>
      <c r="AB2617" s="111"/>
      <c r="AC2617" s="28"/>
      <c r="AD2617" s="96">
        <f ca="1">F_GAMMA*AD$29</f>
        <v>0.60651359509139569</v>
      </c>
      <c r="AE2617" s="111"/>
      <c r="AF2617" s="28"/>
      <c r="AG2617" s="96">
        <f ca="1">F_GAMMA*AG$29</f>
        <v>0.57217930198481592</v>
      </c>
      <c r="AH2617" s="111"/>
      <c r="AI2617" s="28"/>
      <c r="AJ2617" s="96">
        <f ca="1">F_GAMMA*AJ$29</f>
        <v>0.53183282018848232</v>
      </c>
      <c r="AK2617" s="111"/>
      <c r="AL2617" s="28"/>
      <c r="AM2617" s="96">
        <f ca="1">F_GAMMA*AM$29</f>
        <v>0.47566512503094399</v>
      </c>
      <c r="AN2617" s="111"/>
      <c r="AO2617" s="28"/>
      <c r="AP2617" s="96">
        <f ca="1">F_GAMMA*AP$29</f>
        <v>0.59054158265645496</v>
      </c>
      <c r="AQ2617" s="111"/>
      <c r="AR2617" s="28"/>
      <c r="AS2617" s="96">
        <f ca="1">F_GAMMA*AS$29</f>
        <v>0.3766899554102966</v>
      </c>
      <c r="AT2617" s="111"/>
      <c r="AU2617" s="28"/>
    </row>
    <row r="2618" spans="15:47" x14ac:dyDescent="0.25">
      <c r="O2618" s="2" t="s">
        <v>145</v>
      </c>
      <c r="P2618" s="12"/>
      <c r="Q2618" s="2"/>
      <c r="R2618" s="96">
        <f ca="1">IF(R2613&lt;R2617,R2615,R2616)</f>
        <v>4.9218926464758956</v>
      </c>
      <c r="S2618" s="116"/>
      <c r="T2618" s="1"/>
      <c r="U2618" s="96">
        <f ca="1">IF(U2613&lt;U2617,U2615,U2616)</f>
        <v>30.033694974172739</v>
      </c>
      <c r="V2618" s="111"/>
      <c r="W2618" s="28"/>
      <c r="X2618" s="96">
        <f ca="1">IF(X2613&lt;X2617,X2615,X2616)</f>
        <v>81.189398037178293</v>
      </c>
      <c r="Y2618" s="111"/>
      <c r="Z2618" s="28"/>
      <c r="AA2618" s="96">
        <f ca="1">IF(AA2613&lt;AA2617,AA2615,AA2616)</f>
        <v>278.72882884292517</v>
      </c>
      <c r="AB2618" s="111"/>
      <c r="AC2618" s="28"/>
      <c r="AD2618" s="96" t="e">
        <f ca="1">IF(AD2613&lt;AD2617,AD2615,AD2616)</f>
        <v>#NUM!</v>
      </c>
      <c r="AE2618" s="111"/>
      <c r="AF2618" s="28"/>
      <c r="AG2618" s="96">
        <f ca="1">IF(AG2613&lt;AG2617,AG2615,AG2616)</f>
        <v>-723.29261602475685</v>
      </c>
      <c r="AH2618" s="111"/>
      <c r="AI2618" s="28"/>
      <c r="AJ2618" s="96">
        <f ca="1">IF(AJ2613&lt;AJ2617,AJ2615,AJ2616)</f>
        <v>-301.66860034413082</v>
      </c>
      <c r="AK2618" s="111"/>
      <c r="AL2618" s="28"/>
      <c r="AM2618" s="96">
        <f ca="1">IF(AM2613&lt;AM2617,AM2615,AM2616)</f>
        <v>-230.61915813935511</v>
      </c>
      <c r="AN2618" s="111"/>
      <c r="AO2618" s="28"/>
      <c r="AP2618" s="96">
        <f ca="1">IF(AP2613&lt;AP2617,AP2615,AP2616)</f>
        <v>-186.33623801043174</v>
      </c>
      <c r="AQ2618" s="111"/>
      <c r="AR2618" s="28"/>
      <c r="AS2618" s="96">
        <f ca="1">IF(AS2613&lt;AS2617,AS2615,AS2616)</f>
        <v>-250.45600463558625</v>
      </c>
      <c r="AT2618" s="111"/>
      <c r="AU2618" s="28"/>
    </row>
    <row r="2619" spans="15:47" x14ac:dyDescent="0.25">
      <c r="O2619" s="13" t="s">
        <v>143</v>
      </c>
      <c r="P2619" s="1"/>
      <c r="Q2619" s="1"/>
      <c r="R2619" s="113"/>
      <c r="S2619" s="106">
        <f ca="1">IF(R2612&lt;=0,Q_max,ABS(R$23-R2618))</f>
        <v>0.19189264647589521</v>
      </c>
      <c r="T2619" s="7">
        <f>R2608</f>
        <v>12181.990816020445</v>
      </c>
      <c r="U2619" s="98"/>
      <c r="V2619" s="106">
        <f ca="1">IF(U2612&lt;=0,Q_max,ABS(U$23-U2618))</f>
        <v>18.433694974172738</v>
      </c>
      <c r="W2619" s="9">
        <f ca="1">U2608</f>
        <v>73055.127026903472</v>
      </c>
      <c r="X2619" s="98"/>
      <c r="Y2619" s="106">
        <f ca="1">IF(X2612&lt;=0,Q_max,ABS(X$23-X2618))</f>
        <v>58.189398037178293</v>
      </c>
      <c r="Z2619" s="9">
        <f ca="1">X2608</f>
        <v>178885.17108867128</v>
      </c>
      <c r="AA2619" s="98"/>
      <c r="AB2619" s="106">
        <f ca="1">IF(AA2612&lt;=0,Q_max,ABS(AA$23-AA2618))</f>
        <v>239.32882884292516</v>
      </c>
      <c r="AC2619" s="9">
        <f ca="1">AA2608</f>
        <v>348422.65366129577</v>
      </c>
      <c r="AD2619" s="98"/>
      <c r="AE2619" s="106">
        <f ca="1">IF(AD2612&lt;=0,Q_max,ABS(AD$23-AD2618))</f>
        <v>236393</v>
      </c>
      <c r="AF2619" s="9">
        <f ca="1">AD2608</f>
        <v>584544.82603427616</v>
      </c>
      <c r="AG2619" s="98"/>
      <c r="AH2619" s="106">
        <f ca="1">IF(AG2612&lt;=0,Q_max,ABS(AG$23-AG2618))</f>
        <v>236393</v>
      </c>
      <c r="AI2619" s="9">
        <f ca="1">AG2608</f>
        <v>853159.09434277995</v>
      </c>
      <c r="AJ2619" s="98"/>
      <c r="AK2619" s="106">
        <f ca="1">IF(AJ2612&lt;=0,Q_max,ABS(AJ$23-AJ2618))</f>
        <v>236393</v>
      </c>
      <c r="AL2619" s="9">
        <f ca="1">AJ2608</f>
        <v>1138544.11872903</v>
      </c>
      <c r="AM2619" s="98"/>
      <c r="AN2619" s="106">
        <f ca="1">IF(AM2612&lt;=0,Q_max,ABS(AM$23-AM2618))</f>
        <v>236393</v>
      </c>
      <c r="AO2619" s="9">
        <f ca="1">AM2608</f>
        <v>1389240.1937144981</v>
      </c>
      <c r="AP2619" s="98"/>
      <c r="AQ2619" s="106">
        <f ca="1">IF(AP2612&lt;=0,Q_max,ABS(AP$23-AP2618))</f>
        <v>236393</v>
      </c>
      <c r="AR2619" s="9">
        <f ca="1">AP2608</f>
        <v>1612864.7364547353</v>
      </c>
      <c r="AS2619" s="98"/>
      <c r="AT2619" s="106">
        <f ca="1">IF(AS2612&lt;=0,Q_max,ABS(AS$23-AS2618))</f>
        <v>236393</v>
      </c>
      <c r="AU2619" s="9">
        <f ca="1">AS2608</f>
        <v>1891210.7471173119</v>
      </c>
    </row>
    <row r="2620" spans="15:47" x14ac:dyDescent="0.25">
      <c r="O2620" s="21"/>
      <c r="P2620" s="14"/>
      <c r="Q2620" s="21"/>
      <c r="R2620" s="97"/>
      <c r="S2620" s="106"/>
      <c r="T2620" s="28"/>
      <c r="U2620" s="97"/>
      <c r="V2620" s="111"/>
      <c r="W2620" s="28"/>
      <c r="X2620" s="97"/>
      <c r="Y2620" s="111"/>
      <c r="Z2620" s="28"/>
      <c r="AA2620" s="97"/>
      <c r="AB2620" s="111"/>
      <c r="AC2620" s="28"/>
      <c r="AD2620" s="97"/>
      <c r="AE2620" s="111"/>
      <c r="AF2620" s="28"/>
      <c r="AG2620" s="97"/>
      <c r="AH2620" s="111"/>
      <c r="AI2620" s="28"/>
      <c r="AJ2620" s="97"/>
      <c r="AK2620" s="111"/>
      <c r="AL2620" s="28"/>
      <c r="AM2620" s="97"/>
      <c r="AN2620" s="111"/>
      <c r="AO2620" s="28"/>
      <c r="AP2620" s="97"/>
      <c r="AQ2620" s="111"/>
      <c r="AR2620" s="28"/>
      <c r="AS2620" s="97"/>
      <c r="AT2620" s="111"/>
      <c r="AU2620" s="28"/>
    </row>
    <row r="2621" spans="15:47" x14ac:dyDescent="0.25">
      <c r="O2621" s="1"/>
      <c r="P2621" s="1"/>
      <c r="Q2621" s="1"/>
      <c r="R2621" s="98"/>
      <c r="S2621" s="108" t="s">
        <v>137</v>
      </c>
      <c r="T2621" s="26" t="s">
        <v>146</v>
      </c>
      <c r="U2621" s="98"/>
      <c r="V2621" s="108" t="s">
        <v>137</v>
      </c>
      <c r="W2621" s="26" t="s">
        <v>146</v>
      </c>
      <c r="X2621" s="98"/>
      <c r="Y2621" s="108" t="s">
        <v>137</v>
      </c>
      <c r="Z2621" s="26" t="s">
        <v>146</v>
      </c>
      <c r="AA2621" s="98"/>
      <c r="AB2621" s="108" t="s">
        <v>137</v>
      </c>
      <c r="AC2621" s="26" t="s">
        <v>146</v>
      </c>
      <c r="AD2621" s="98"/>
      <c r="AE2621" s="108" t="s">
        <v>137</v>
      </c>
      <c r="AF2621" s="26" t="s">
        <v>146</v>
      </c>
      <c r="AG2621" s="98"/>
      <c r="AH2621" s="108" t="s">
        <v>137</v>
      </c>
      <c r="AI2621" s="26" t="s">
        <v>146</v>
      </c>
      <c r="AJ2621" s="98"/>
      <c r="AK2621" s="108" t="s">
        <v>137</v>
      </c>
      <c r="AL2621" s="26" t="s">
        <v>146</v>
      </c>
      <c r="AM2621" s="98"/>
      <c r="AN2621" s="108" t="s">
        <v>137</v>
      </c>
      <c r="AO2621" s="26" t="s">
        <v>146</v>
      </c>
      <c r="AP2621" s="98"/>
      <c r="AQ2621" s="108" t="s">
        <v>137</v>
      </c>
      <c r="AR2621" s="26" t="s">
        <v>146</v>
      </c>
      <c r="AS2621" s="98"/>
      <c r="AT2621" s="108" t="s">
        <v>137</v>
      </c>
      <c r="AU2621" s="26" t="s">
        <v>146</v>
      </c>
    </row>
    <row r="2622" spans="15:47" ht="13.8" x14ac:dyDescent="0.25">
      <c r="O2622" s="20" t="s">
        <v>136</v>
      </c>
      <c r="P2622" s="1"/>
      <c r="Q2622" s="1"/>
      <c r="R2622" s="96">
        <f>R2608*1.02</f>
        <v>12425.630632340853</v>
      </c>
      <c r="S2622" s="109" t="s">
        <v>144</v>
      </c>
      <c r="T2622" s="23" t="s">
        <v>147</v>
      </c>
      <c r="U2622" s="96">
        <f ca="1">U2608*1.01</f>
        <v>73785.678297172504</v>
      </c>
      <c r="V2622" s="109" t="s">
        <v>144</v>
      </c>
      <c r="W2622" s="23" t="s">
        <v>147</v>
      </c>
      <c r="X2622" s="96">
        <f ca="1">X2608*1.01</f>
        <v>180674.02279955801</v>
      </c>
      <c r="Y2622" s="109" t="s">
        <v>144</v>
      </c>
      <c r="Z2622" s="23" t="s">
        <v>147</v>
      </c>
      <c r="AA2622" s="96">
        <f ca="1">AA2608*1.01</f>
        <v>351906.88019790873</v>
      </c>
      <c r="AB2622" s="109" t="s">
        <v>144</v>
      </c>
      <c r="AC2622" s="23" t="s">
        <v>147</v>
      </c>
      <c r="AD2622" s="96">
        <f ca="1">AD2608*1.01</f>
        <v>590390.27429461898</v>
      </c>
      <c r="AE2622" s="109" t="s">
        <v>144</v>
      </c>
      <c r="AF2622" s="23" t="s">
        <v>147</v>
      </c>
      <c r="AG2622" s="96">
        <f ca="1">AG2608*1.01</f>
        <v>861690.68528620771</v>
      </c>
      <c r="AH2622" s="109" t="s">
        <v>144</v>
      </c>
      <c r="AI2622" s="23" t="s">
        <v>147</v>
      </c>
      <c r="AJ2622" s="96">
        <f ca="1">AJ2608*1.01</f>
        <v>1149929.5599163203</v>
      </c>
      <c r="AK2622" s="109" t="s">
        <v>144</v>
      </c>
      <c r="AL2622" s="23" t="s">
        <v>147</v>
      </c>
      <c r="AM2622" s="96">
        <f ca="1">AM2608*1.01</f>
        <v>1403132.5956516431</v>
      </c>
      <c r="AN2622" s="109" t="s">
        <v>144</v>
      </c>
      <c r="AO2622" s="23" t="s">
        <v>147</v>
      </c>
      <c r="AP2622" s="96">
        <f ca="1">AP2608*1.01</f>
        <v>1628993.3838192828</v>
      </c>
      <c r="AQ2622" s="109" t="s">
        <v>144</v>
      </c>
      <c r="AR2622" s="23" t="s">
        <v>147</v>
      </c>
      <c r="AS2622" s="96">
        <f ca="1">AS2608*1.01</f>
        <v>1910122.8545884851</v>
      </c>
      <c r="AT2622" s="109" t="s">
        <v>144</v>
      </c>
      <c r="AU2622" s="23" t="s">
        <v>147</v>
      </c>
    </row>
    <row r="2623" spans="15:47" x14ac:dyDescent="0.25">
      <c r="O2623" s="1"/>
      <c r="P2623" s="1"/>
      <c r="Q2623" s="1"/>
      <c r="R2623" s="98"/>
      <c r="S2623" s="107"/>
      <c r="T2623" s="1"/>
      <c r="U2623" s="47"/>
      <c r="V2623" s="107"/>
      <c r="W2623" s="1"/>
      <c r="X2623" s="47"/>
      <c r="Y2623" s="107"/>
      <c r="Z2623" s="1"/>
      <c r="AA2623" s="47"/>
      <c r="AB2623" s="107"/>
      <c r="AC2623" s="1"/>
      <c r="AD2623" s="47"/>
      <c r="AE2623" s="107"/>
      <c r="AF2623" s="1"/>
      <c r="AG2623" s="47"/>
      <c r="AH2623" s="107"/>
      <c r="AI2623" s="1"/>
      <c r="AJ2623" s="47"/>
      <c r="AK2623" s="107"/>
      <c r="AL2623" s="1"/>
      <c r="AM2623" s="47"/>
      <c r="AN2623" s="107"/>
      <c r="AO2623" s="1"/>
      <c r="AP2623" s="47"/>
      <c r="AQ2623" s="107"/>
      <c r="AR2623" s="1"/>
      <c r="AS2623" s="47"/>
      <c r="AT2623" s="107"/>
      <c r="AU2623" s="1"/>
    </row>
    <row r="2624" spans="15:47" x14ac:dyDescent="0.25">
      <c r="O2624" s="8" t="s">
        <v>132</v>
      </c>
      <c r="P2624" s="8"/>
      <c r="Q2624" s="8"/>
      <c r="R2624" s="96">
        <f>P_1_minQ-(R2622^2*R_up)+dpup_minQ</f>
        <v>90.156900120549082</v>
      </c>
      <c r="S2624" s="106"/>
      <c r="T2624" s="22"/>
      <c r="U2624" s="96">
        <f ca="1">P_1_minQ-(U2622^2*R_up)+dpup_minQ</f>
        <v>89.192752653972974</v>
      </c>
      <c r="V2624" s="107"/>
      <c r="W2624" s="1"/>
      <c r="X2624" s="96">
        <f ca="1">P_1_minQ-(X2622^2*R_up)+dpup_minQ</f>
        <v>84.235478921518478</v>
      </c>
      <c r="Y2624" s="107"/>
      <c r="Z2624" s="1"/>
      <c r="AA2624" s="96">
        <f ca="1">P_1_minQ-(AA2622^2*R_up)+dpup_minQ</f>
        <v>67.614131366743024</v>
      </c>
      <c r="AB2624" s="107"/>
      <c r="AC2624" s="1"/>
      <c r="AD2624" s="96">
        <f ca="1">P_1_minQ-(AD2622^2*R_up)+dpup_minQ</f>
        <v>26.656054116967454</v>
      </c>
      <c r="AE2624" s="107"/>
      <c r="AF2624" s="1"/>
      <c r="AG2624" s="96">
        <f ca="1">P_1_minQ-(AG2622^2*R_up)+dpup_minQ</f>
        <v>-45.145661217917592</v>
      </c>
      <c r="AH2624" s="107"/>
      <c r="AI2624" s="1"/>
      <c r="AJ2624" s="96">
        <f ca="1">P_1_minQ-(AJ2622^2*R_up)+dpup_minQ</f>
        <v>-150.82548694770526</v>
      </c>
      <c r="AK2624" s="107"/>
      <c r="AL2624" s="1"/>
      <c r="AM2624" s="96">
        <f ca="1">P_1_minQ-(AM2622^2*R_up)+dpup_minQ</f>
        <v>-268.64679324464788</v>
      </c>
      <c r="AN2624" s="107"/>
      <c r="AO2624" s="1"/>
      <c r="AP2624" s="96">
        <f ca="1">P_1_minQ-(AP2622^2*R_up)+dpup_minQ</f>
        <v>-393.4660574101656</v>
      </c>
      <c r="AQ2624" s="107"/>
      <c r="AR2624" s="1"/>
      <c r="AS2624" s="96">
        <f ca="1">P_1_minQ-(AS2622^2*R_up)+dpup_minQ</f>
        <v>-574.80652824425738</v>
      </c>
      <c r="AT2624" s="107"/>
      <c r="AU2624" s="1"/>
    </row>
    <row r="2625" spans="15:47" x14ac:dyDescent="0.25">
      <c r="O2625" s="8" t="s">
        <v>134</v>
      </c>
      <c r="P2625" s="1"/>
      <c r="Q2625" s="8"/>
      <c r="R2625" s="97">
        <f>P_2_minQ+(R2622^2*R_dn)-dpdn_minQ</f>
        <v>60</v>
      </c>
      <c r="S2625" s="106"/>
      <c r="T2625" s="22"/>
      <c r="U2625" s="97">
        <f ca="1">P_2_minQ+(U2622^2*R_dn)-dpdn_minQ</f>
        <v>60</v>
      </c>
      <c r="V2625" s="107"/>
      <c r="W2625" s="1"/>
      <c r="X2625" s="97">
        <f ca="1">P_2_minQ+(X2622^2*R_dn)-dpdn_minQ</f>
        <v>60</v>
      </c>
      <c r="Y2625" s="107"/>
      <c r="Z2625" s="1"/>
      <c r="AA2625" s="97">
        <f ca="1">P_2_minQ+(AA2622^2*R_dn)-dpdn_minQ</f>
        <v>60</v>
      </c>
      <c r="AB2625" s="107"/>
      <c r="AC2625" s="1"/>
      <c r="AD2625" s="97">
        <f ca="1">P_2_minQ+(AD2622^2*R_dn)-dpdn_minQ</f>
        <v>60</v>
      </c>
      <c r="AE2625" s="107"/>
      <c r="AF2625" s="1"/>
      <c r="AG2625" s="97">
        <f ca="1">P_2_minQ+(AG2622^2*R_dn)-dpdn_minQ</f>
        <v>60</v>
      </c>
      <c r="AH2625" s="107"/>
      <c r="AI2625" s="1"/>
      <c r="AJ2625" s="97">
        <f ca="1">P_2_minQ+(AJ2622^2*R_dn)-dpdn_minQ</f>
        <v>60</v>
      </c>
      <c r="AK2625" s="107"/>
      <c r="AL2625" s="1"/>
      <c r="AM2625" s="97">
        <f ca="1">P_2_minQ+(AM2622^2*R_dn)-dpdn_minQ</f>
        <v>60</v>
      </c>
      <c r="AN2625" s="107"/>
      <c r="AO2625" s="1"/>
      <c r="AP2625" s="97">
        <f ca="1">P_2_minQ+(AP2622^2*R_dn)-dpdn_minQ</f>
        <v>60</v>
      </c>
      <c r="AQ2625" s="107"/>
      <c r="AR2625" s="1"/>
      <c r="AS2625" s="97">
        <f ca="1">P_2_minQ+(AS2622^2*R_dn)-dpdn_minQ</f>
        <v>60</v>
      </c>
      <c r="AT2625" s="107"/>
      <c r="AU2625" s="1"/>
    </row>
    <row r="2626" spans="15:47" x14ac:dyDescent="0.25">
      <c r="O2626" s="8" t="s">
        <v>138</v>
      </c>
      <c r="P2626" s="1"/>
      <c r="Q2626" s="8"/>
      <c r="R2626" s="97">
        <f>R2624-R2625</f>
        <v>30.156900120549082</v>
      </c>
      <c r="S2626" s="106"/>
      <c r="T2626" s="22"/>
      <c r="U2626" s="97">
        <f ca="1">U2624-U2625</f>
        <v>29.192752653972974</v>
      </c>
      <c r="V2626" s="110"/>
      <c r="W2626" s="25"/>
      <c r="X2626" s="97">
        <f ca="1">X2624-X2625</f>
        <v>24.235478921518478</v>
      </c>
      <c r="Y2626" s="110"/>
      <c r="Z2626" s="25"/>
      <c r="AA2626" s="97">
        <f ca="1">AA2624-AA2625</f>
        <v>7.6141313667430239</v>
      </c>
      <c r="AB2626" s="110"/>
      <c r="AC2626" s="25"/>
      <c r="AD2626" s="97">
        <f ca="1">AD2624-AD2625</f>
        <v>-33.343945883032546</v>
      </c>
      <c r="AE2626" s="110"/>
      <c r="AF2626" s="25"/>
      <c r="AG2626" s="97">
        <f ca="1">AG2624-AG2625</f>
        <v>-105.14566121791759</v>
      </c>
      <c r="AH2626" s="110"/>
      <c r="AI2626" s="25"/>
      <c r="AJ2626" s="97">
        <f ca="1">AJ2624-AJ2625</f>
        <v>-210.82548694770526</v>
      </c>
      <c r="AK2626" s="110"/>
      <c r="AL2626" s="25"/>
      <c r="AM2626" s="97">
        <f ca="1">AM2624-AM2625</f>
        <v>-328.64679324464788</v>
      </c>
      <c r="AN2626" s="110"/>
      <c r="AO2626" s="25"/>
      <c r="AP2626" s="97">
        <f ca="1">AP2624-AP2625</f>
        <v>-453.4660574101656</v>
      </c>
      <c r="AQ2626" s="110"/>
      <c r="AR2626" s="25"/>
      <c r="AS2626" s="97">
        <f ca="1">AS2624-AS2625</f>
        <v>-634.80652824425738</v>
      </c>
      <c r="AT2626" s="110"/>
      <c r="AU2626" s="25"/>
    </row>
    <row r="2627" spans="15:47" ht="14.4" x14ac:dyDescent="0.3">
      <c r="O2627" s="2" t="s">
        <v>140</v>
      </c>
      <c r="P2627" s="11"/>
      <c r="Q2627" s="2"/>
      <c r="R2627" s="96">
        <f>R2626/R2624</f>
        <v>0.33449353383075719</v>
      </c>
      <c r="S2627" s="106"/>
      <c r="T2627" s="22"/>
      <c r="U2627" s="96">
        <f ca="1">U2626/U2624</f>
        <v>0.32729960434372379</v>
      </c>
      <c r="V2627" s="111"/>
      <c r="W2627" s="28"/>
      <c r="X2627" s="96">
        <f ca="1">X2626/X2624</f>
        <v>0.28771105989791401</v>
      </c>
      <c r="Y2627" s="111"/>
      <c r="Z2627" s="28"/>
      <c r="AA2627" s="96">
        <f ca="1">AA2626/AA2624</f>
        <v>0.11261153863596247</v>
      </c>
      <c r="AB2627" s="111"/>
      <c r="AC2627" s="28"/>
      <c r="AD2627" s="96">
        <f ca="1">AD2626/AD2624</f>
        <v>-1.250895790379118</v>
      </c>
      <c r="AE2627" s="111"/>
      <c r="AF2627" s="28"/>
      <c r="AG2627" s="96">
        <f ca="1">AG2626/AG2624</f>
        <v>2.3290313704872032</v>
      </c>
      <c r="AH2627" s="111"/>
      <c r="AI2627" s="28"/>
      <c r="AJ2627" s="96">
        <f ca="1">AJ2626/AJ2624</f>
        <v>1.3978107494577718</v>
      </c>
      <c r="AK2627" s="111"/>
      <c r="AL2627" s="28"/>
      <c r="AM2627" s="96">
        <f ca="1">AM2626/AM2624</f>
        <v>1.2233415827352161</v>
      </c>
      <c r="AN2627" s="111"/>
      <c r="AO2627" s="28"/>
      <c r="AP2627" s="96">
        <f ca="1">AP2626/AP2624</f>
        <v>1.1524909172469062</v>
      </c>
      <c r="AQ2627" s="111"/>
      <c r="AR2627" s="28"/>
      <c r="AS2627" s="96">
        <f ca="1">AS2626/AS2624</f>
        <v>1.1043829480908465</v>
      </c>
      <c r="AT2627" s="111"/>
      <c r="AU2627" s="28"/>
    </row>
    <row r="2628" spans="15:47" x14ac:dyDescent="0.25">
      <c r="O2628" s="2" t="s">
        <v>21</v>
      </c>
      <c r="P2628" s="8">
        <v>12</v>
      </c>
      <c r="Q2628" s="2"/>
      <c r="R2628" s="96">
        <f ca="1">1-R2627/(3*F_GAMMA*R$29)</f>
        <v>0.82579270142716998</v>
      </c>
      <c r="S2628" s="106"/>
      <c r="T2628" s="22"/>
      <c r="U2628" s="96">
        <f ca="1">1-U2627/(3*F_GAMMA*U$29)</f>
        <v>0.82957896641627249</v>
      </c>
      <c r="V2628" s="111"/>
      <c r="W2628" s="28"/>
      <c r="X2628" s="96">
        <f ca="1">1-X2627/(3*F_GAMMA*X$29)</f>
        <v>0.84876544989401248</v>
      </c>
      <c r="Y2628" s="111"/>
      <c r="Z2628" s="28"/>
      <c r="AA2628" s="96">
        <f ca="1">1-AA2627/(3*F_GAMMA*AA$29)</f>
        <v>0.93997164271359734</v>
      </c>
      <c r="AB2628" s="111"/>
      <c r="AC2628" s="28"/>
      <c r="AD2628" s="96">
        <f ca="1">1-AD2627/(3*F_GAMMA*AD$29)</f>
        <v>1.687478841091556</v>
      </c>
      <c r="AE2628" s="111"/>
      <c r="AF2628" s="28"/>
      <c r="AG2628" s="96">
        <f ca="1">1-AG2627/(3*F_GAMMA*AG$29)</f>
        <v>-0.35681907309363514</v>
      </c>
      <c r="AH2628" s="111"/>
      <c r="AI2628" s="28"/>
      <c r="AJ2628" s="96">
        <f ca="1">1-AJ2627/(3*F_GAMMA*AJ$29)</f>
        <v>0.12390341701590502</v>
      </c>
      <c r="AK2628" s="111"/>
      <c r="AL2628" s="28"/>
      <c r="AM2628" s="96">
        <f ca="1">1-AM2627/(3*F_GAMMA*AM$29)</f>
        <v>0.14271510329482839</v>
      </c>
      <c r="AN2628" s="111"/>
      <c r="AO2628" s="28"/>
      <c r="AP2628" s="96">
        <f ca="1">1-AP2627/(3*F_GAMMA*AP$29)</f>
        <v>0.34947233122144483</v>
      </c>
      <c r="AQ2628" s="111"/>
      <c r="AR2628" s="28"/>
      <c r="AS2628" s="96">
        <f ca="1">1-AS2627/(3*F_GAMMA*AS$29)</f>
        <v>2.2730380578783849E-2</v>
      </c>
      <c r="AT2628" s="111"/>
      <c r="AU2628" s="28"/>
    </row>
    <row r="2629" spans="15:47" x14ac:dyDescent="0.25">
      <c r="O2629" s="2" t="s">
        <v>57</v>
      </c>
      <c r="P2629" s="143">
        <v>7</v>
      </c>
      <c r="Q2629" s="2"/>
      <c r="R2629" s="96">
        <f ca="1">(R2622/(N_9*R$27*R2624*R2628))*SQRT(M*'Valve Sizing'!$W$6*'Valve Sizing'!$G$8/R2627)</f>
        <v>5.0204263386808075</v>
      </c>
      <c r="S2629" s="107"/>
      <c r="T2629" s="22"/>
      <c r="U2629" s="96">
        <f ca="1">(U2622/(N_9*U$27*U2624*U2628))*SQRT(M*'Valve Sizing'!$W$6*'Valve Sizing'!$G$8/U2627)</f>
        <v>30.344705889346717</v>
      </c>
      <c r="V2629" s="111"/>
      <c r="W2629" s="28"/>
      <c r="X2629" s="96">
        <f ca="1">(X2622/(N_9*X$27*X2624*X2628))*SQRT(M*'Valve Sizing'!$W$6*'Valve Sizing'!$G$8/X2627)</f>
        <v>82.206127841838295</v>
      </c>
      <c r="Y2629" s="111"/>
      <c r="Z2629" s="28"/>
      <c r="AA2629" s="96">
        <f ca="1">(AA2622/(N_9*AA$27*AA2624*AA2628))*SQRT(M*'Valve Sizing'!$W$6*'Valve Sizing'!$G$8/AA2627)</f>
        <v>289.61643538535134</v>
      </c>
      <c r="AB2629" s="111"/>
      <c r="AC2629" s="28"/>
      <c r="AD2629" s="96" t="e">
        <f ca="1">(AD2622/(N_9*AD$27*AD2624*AD2628))*SQRT(M*'Valve Sizing'!$W$6*'Valve Sizing'!$G$8/AD2627)</f>
        <v>#NUM!</v>
      </c>
      <c r="AE2629" s="111"/>
      <c r="AF2629" s="28"/>
      <c r="AG2629" s="96">
        <f ca="1">(AG2622/(N_9*AG$27*AG2624*AG2628))*SQRT(M*'Valve Sizing'!$W$6*'Valve Sizing'!$G$8/AG2627)</f>
        <v>636.87029060622103</v>
      </c>
      <c r="AH2629" s="111"/>
      <c r="AI2629" s="28"/>
      <c r="AJ2629" s="96">
        <f ca="1">(AJ2622/(N_9*AJ$27*AJ2624*AJ2628))*SQRT(M*'Valve Sizing'!$W$6*'Valve Sizing'!$G$8/AJ2627)</f>
        <v>-979.85860107417398</v>
      </c>
      <c r="AK2629" s="111"/>
      <c r="AL2629" s="28"/>
      <c r="AM2629" s="96">
        <f ca="1">(AM2622/(N_9*AM$27*AM2624*AM2628))*SQRT(M*'Valve Sizing'!$W$6*'Valve Sizing'!$G$8/AM2627)</f>
        <v>-660.9465176828071</v>
      </c>
      <c r="AN2629" s="111"/>
      <c r="AO2629" s="28"/>
      <c r="AP2629" s="96">
        <f ca="1">(AP2622/(N_9*AP$27*AP2624*AP2628))*SQRT(M*'Valve Sizing'!$W$6*'Valve Sizing'!$G$8/AP2627)</f>
        <v>-250.89385883526634</v>
      </c>
      <c r="AQ2629" s="111"/>
      <c r="AR2629" s="28"/>
      <c r="AS2629" s="96">
        <f ca="1">(AS2622/(N_9*AS$27*AS2624*AS2628))*SQRT(M*'Valve Sizing'!$W$6*'Valve Sizing'!$G$8/AS2627)</f>
        <v>-4236.328333832259</v>
      </c>
      <c r="AT2629" s="111"/>
      <c r="AU2629" s="28"/>
    </row>
    <row r="2630" spans="15:47" x14ac:dyDescent="0.25">
      <c r="O2630" s="2" t="s">
        <v>59</v>
      </c>
      <c r="P2630" s="143">
        <v>7</v>
      </c>
      <c r="Q2630" s="2"/>
      <c r="R2630" s="96">
        <f ca="1">(R2622/(N_9*R$27*R2624*0.667))*SQRT(M*'Valve Sizing'!$W$6*'Valve Sizing'!$G$8/R2631)</f>
        <v>4.4934468186755261</v>
      </c>
      <c r="S2630" s="107"/>
      <c r="T2630" s="22"/>
      <c r="U2630" s="96">
        <f ca="1">(U2622/(N_9*U$27*U2624*0.667))*SQRT(M*'Valve Sizing'!$W$6*'Valve Sizing'!$G$8/U2631)</f>
        <v>26.985909254079449</v>
      </c>
      <c r="V2630" s="111"/>
      <c r="W2630" s="28"/>
      <c r="X2630" s="96">
        <f ca="1">(X2622/(N_9*X$27*X2624*0.667))*SQRT(M*'Valve Sizing'!$W$6*'Valve Sizing'!$G$8/X2631)</f>
        <v>70.461549213402336</v>
      </c>
      <c r="Y2630" s="111"/>
      <c r="Z2630" s="28"/>
      <c r="AA2630" s="96">
        <f ca="1">(AA2622/(N_9*AA$27*AA2624*0.667))*SQRT(M*'Valve Sizing'!$W$6*'Valve Sizing'!$G$8/AA2631)</f>
        <v>173.20123270523598</v>
      </c>
      <c r="AB2630" s="111"/>
      <c r="AC2630" s="28"/>
      <c r="AD2630" s="96">
        <f ca="1">(AD2622/(N_9*AD$27*AD2624*0.667))*SQRT(M*'Valve Sizing'!$W$6*'Valve Sizing'!$G$8/AD2631)</f>
        <v>757.67551927094235</v>
      </c>
      <c r="AE2630" s="111"/>
      <c r="AF2630" s="28"/>
      <c r="AG2630" s="96">
        <f ca="1">(AG2622/(N_9*AG$27*AG2624*0.667))*SQRT(M*'Valve Sizing'!$W$6*'Valve Sizing'!$G$8/AG2631)</f>
        <v>-687.37671152911207</v>
      </c>
      <c r="AH2630" s="111"/>
      <c r="AI2630" s="28"/>
      <c r="AJ2630" s="96">
        <f ca="1">(AJ2622/(N_9*AJ$27*AJ2624*0.667))*SQRT(M*'Valve Sizing'!$W$6*'Valve Sizing'!$G$8/AJ2631)</f>
        <v>-295.09202957290034</v>
      </c>
      <c r="AK2630" s="111"/>
      <c r="AL2630" s="28"/>
      <c r="AM2630" s="96">
        <f ca="1">(AM2622/(N_9*AM$27*AM2624*0.667))*SQRT(M*'Valve Sizing'!$W$6*'Valve Sizing'!$G$8/AM2631)</f>
        <v>-226.79508301219485</v>
      </c>
      <c r="AN2630" s="111"/>
      <c r="AO2630" s="28"/>
      <c r="AP2630" s="96">
        <f ca="1">(AP2622/(N_9*AP$27*AP2624*0.667))*SQRT(M*'Valve Sizing'!$W$6*'Valve Sizing'!$G$8/AP2631)</f>
        <v>-183.64136329475312</v>
      </c>
      <c r="AQ2630" s="111"/>
      <c r="AR2630" s="28"/>
      <c r="AS2630" s="96">
        <f ca="1">(AS2622/(N_9*AS$27*AS2624*0.667))*SQRT(M*'Valve Sizing'!$W$6*'Valve Sizing'!$G$8/AS2631)</f>
        <v>-247.19422026041346</v>
      </c>
      <c r="AT2630" s="111"/>
      <c r="AU2630" s="28"/>
    </row>
    <row r="2631" spans="15:47" ht="15.6" x14ac:dyDescent="0.35">
      <c r="O2631" s="2" t="s">
        <v>68</v>
      </c>
      <c r="P2631" s="143">
        <v>10</v>
      </c>
      <c r="Q2631" s="2"/>
      <c r="R2631" s="96">
        <f ca="1">F_GAMMA*R$29</f>
        <v>0.64002969751372984</v>
      </c>
      <c r="S2631" s="107"/>
      <c r="T2631" s="1"/>
      <c r="U2631" s="96">
        <f ca="1">F_GAMMA*U$29</f>
        <v>0.64017842058782071</v>
      </c>
      <c r="V2631" s="111"/>
      <c r="W2631" s="28"/>
      <c r="X2631" s="96">
        <f ca="1">F_GAMMA*X$29</f>
        <v>0.63413873724904268</v>
      </c>
      <c r="Y2631" s="111"/>
      <c r="Z2631" s="28"/>
      <c r="AA2631" s="96">
        <f ca="1">F_GAMMA*AA$29</f>
        <v>0.62532411750377137</v>
      </c>
      <c r="AB2631" s="111"/>
      <c r="AC2631" s="28"/>
      <c r="AD2631" s="96">
        <f ca="1">F_GAMMA*AD$29</f>
        <v>0.60651359509139569</v>
      </c>
      <c r="AE2631" s="111"/>
      <c r="AF2631" s="28"/>
      <c r="AG2631" s="96">
        <f ca="1">F_GAMMA*AG$29</f>
        <v>0.57217930198481592</v>
      </c>
      <c r="AH2631" s="111"/>
      <c r="AI2631" s="28"/>
      <c r="AJ2631" s="96">
        <f ca="1">F_GAMMA*AJ$29</f>
        <v>0.53183282018848232</v>
      </c>
      <c r="AK2631" s="111"/>
      <c r="AL2631" s="28"/>
      <c r="AM2631" s="96">
        <f ca="1">F_GAMMA*AM$29</f>
        <v>0.47566512503094399</v>
      </c>
      <c r="AN2631" s="111"/>
      <c r="AO2631" s="28"/>
      <c r="AP2631" s="96">
        <f ca="1">F_GAMMA*AP$29</f>
        <v>0.59054158265645496</v>
      </c>
      <c r="AQ2631" s="111"/>
      <c r="AR2631" s="28"/>
      <c r="AS2631" s="96">
        <f ca="1">F_GAMMA*AS$29</f>
        <v>0.3766899554102966</v>
      </c>
      <c r="AT2631" s="111"/>
      <c r="AU2631" s="28"/>
    </row>
    <row r="2632" spans="15:47" x14ac:dyDescent="0.25">
      <c r="O2632" s="2" t="s">
        <v>145</v>
      </c>
      <c r="P2632" s="12"/>
      <c r="Q2632" s="2"/>
      <c r="R2632" s="96">
        <f ca="1">IF(R2627&lt;R2631,R2629,R2630)</f>
        <v>5.0204263386808075</v>
      </c>
      <c r="S2632" s="116"/>
      <c r="T2632" s="1"/>
      <c r="U2632" s="96">
        <f ca="1">IF(U2627&lt;U2631,U2629,U2630)</f>
        <v>30.344705889346717</v>
      </c>
      <c r="V2632" s="111"/>
      <c r="W2632" s="28"/>
      <c r="X2632" s="96">
        <f ca="1">IF(X2627&lt;X2631,X2629,X2630)</f>
        <v>82.206127841838295</v>
      </c>
      <c r="Y2632" s="111"/>
      <c r="Z2632" s="28"/>
      <c r="AA2632" s="96">
        <f ca="1">IF(AA2627&lt;AA2631,AA2629,AA2630)</f>
        <v>289.61643538535134</v>
      </c>
      <c r="AB2632" s="111"/>
      <c r="AC2632" s="28"/>
      <c r="AD2632" s="96" t="e">
        <f ca="1">IF(AD2627&lt;AD2631,AD2629,AD2630)</f>
        <v>#NUM!</v>
      </c>
      <c r="AE2632" s="111"/>
      <c r="AF2632" s="28"/>
      <c r="AG2632" s="96">
        <f ca="1">IF(AG2627&lt;AG2631,AG2629,AG2630)</f>
        <v>-687.37671152911207</v>
      </c>
      <c r="AH2632" s="111"/>
      <c r="AI2632" s="28"/>
      <c r="AJ2632" s="96">
        <f ca="1">IF(AJ2627&lt;AJ2631,AJ2629,AJ2630)</f>
        <v>-295.09202957290034</v>
      </c>
      <c r="AK2632" s="111"/>
      <c r="AL2632" s="28"/>
      <c r="AM2632" s="96">
        <f ca="1">IF(AM2627&lt;AM2631,AM2629,AM2630)</f>
        <v>-226.79508301219485</v>
      </c>
      <c r="AN2632" s="111"/>
      <c r="AO2632" s="28"/>
      <c r="AP2632" s="96">
        <f ca="1">IF(AP2627&lt;AP2631,AP2629,AP2630)</f>
        <v>-183.64136329475312</v>
      </c>
      <c r="AQ2632" s="111"/>
      <c r="AR2632" s="28"/>
      <c r="AS2632" s="96">
        <f ca="1">IF(AS2627&lt;AS2631,AS2629,AS2630)</f>
        <v>-247.19422026041346</v>
      </c>
      <c r="AT2632" s="111"/>
      <c r="AU2632" s="28"/>
    </row>
    <row r="2633" spans="15:47" x14ac:dyDescent="0.25">
      <c r="O2633" s="13" t="s">
        <v>143</v>
      </c>
      <c r="P2633" s="1"/>
      <c r="Q2633" s="1"/>
      <c r="R2633" s="113"/>
      <c r="S2633" s="106">
        <f ca="1">IF(R2626&lt;=0,Q_max,ABS(R$23-R2632))</f>
        <v>0.29042633868080703</v>
      </c>
      <c r="T2633" s="7">
        <f>R2622</f>
        <v>12425.630632340853</v>
      </c>
      <c r="U2633" s="98"/>
      <c r="V2633" s="106">
        <f ca="1">IF(U2626&lt;=0,Q_max,ABS(U$23-U2632))</f>
        <v>18.744705889346719</v>
      </c>
      <c r="W2633" s="9">
        <f ca="1">U2622</f>
        <v>73785.678297172504</v>
      </c>
      <c r="X2633" s="98"/>
      <c r="Y2633" s="106">
        <f ca="1">IF(X2626&lt;=0,Q_max,ABS(X$23-X2632))</f>
        <v>59.206127841838295</v>
      </c>
      <c r="Z2633" s="9">
        <f ca="1">X2622</f>
        <v>180674.02279955801</v>
      </c>
      <c r="AA2633" s="98"/>
      <c r="AB2633" s="106">
        <f ca="1">IF(AA2626&lt;=0,Q_max,ABS(AA$23-AA2632))</f>
        <v>250.21643538535133</v>
      </c>
      <c r="AC2633" s="9">
        <f ca="1">AA2622</f>
        <v>351906.88019790873</v>
      </c>
      <c r="AD2633" s="98"/>
      <c r="AE2633" s="106">
        <f ca="1">IF(AD2626&lt;=0,Q_max,ABS(AD$23-AD2632))</f>
        <v>236393</v>
      </c>
      <c r="AF2633" s="9">
        <f ca="1">AD2622</f>
        <v>590390.27429461898</v>
      </c>
      <c r="AG2633" s="98"/>
      <c r="AH2633" s="106">
        <f ca="1">IF(AG2626&lt;=0,Q_max,ABS(AG$23-AG2632))</f>
        <v>236393</v>
      </c>
      <c r="AI2633" s="9">
        <f ca="1">AG2622</f>
        <v>861690.68528620771</v>
      </c>
      <c r="AJ2633" s="98"/>
      <c r="AK2633" s="106">
        <f ca="1">IF(AJ2626&lt;=0,Q_max,ABS(AJ$23-AJ2632))</f>
        <v>236393</v>
      </c>
      <c r="AL2633" s="9">
        <f ca="1">AJ2622</f>
        <v>1149929.5599163203</v>
      </c>
      <c r="AM2633" s="98"/>
      <c r="AN2633" s="106">
        <f ca="1">IF(AM2626&lt;=0,Q_max,ABS(AM$23-AM2632))</f>
        <v>236393</v>
      </c>
      <c r="AO2633" s="9">
        <f ca="1">AM2622</f>
        <v>1403132.5956516431</v>
      </c>
      <c r="AP2633" s="98"/>
      <c r="AQ2633" s="106">
        <f ca="1">IF(AP2626&lt;=0,Q_max,ABS(AP$23-AP2632))</f>
        <v>236393</v>
      </c>
      <c r="AR2633" s="9">
        <f ca="1">AP2622</f>
        <v>1628993.3838192828</v>
      </c>
      <c r="AS2633" s="98"/>
      <c r="AT2633" s="106">
        <f ca="1">IF(AS2626&lt;=0,Q_max,ABS(AS$23-AS2632))</f>
        <v>236393</v>
      </c>
      <c r="AU2633" s="9">
        <f ca="1">AS2622</f>
        <v>1910122.8545884851</v>
      </c>
    </row>
    <row r="2634" spans="15:47" x14ac:dyDescent="0.25">
      <c r="O2634" s="21"/>
      <c r="P2634" s="14"/>
      <c r="Q2634" s="21"/>
      <c r="R2634" s="97"/>
      <c r="S2634" s="106"/>
      <c r="T2634" s="28"/>
      <c r="U2634" s="97"/>
      <c r="V2634" s="111"/>
      <c r="W2634" s="28"/>
      <c r="X2634" s="97"/>
      <c r="Y2634" s="111"/>
      <c r="Z2634" s="28"/>
      <c r="AA2634" s="97"/>
      <c r="AB2634" s="111"/>
      <c r="AC2634" s="28"/>
      <c r="AD2634" s="97"/>
      <c r="AE2634" s="111"/>
      <c r="AF2634" s="28"/>
      <c r="AG2634" s="97"/>
      <c r="AH2634" s="111"/>
      <c r="AI2634" s="28"/>
      <c r="AJ2634" s="97"/>
      <c r="AK2634" s="111"/>
      <c r="AL2634" s="28"/>
      <c r="AM2634" s="97"/>
      <c r="AN2634" s="111"/>
      <c r="AO2634" s="28"/>
      <c r="AP2634" s="97"/>
      <c r="AQ2634" s="111"/>
      <c r="AR2634" s="28"/>
      <c r="AS2634" s="97"/>
      <c r="AT2634" s="111"/>
      <c r="AU2634" s="28"/>
    </row>
    <row r="2635" spans="15:47" x14ac:dyDescent="0.25">
      <c r="O2635" s="1"/>
      <c r="P2635" s="1"/>
      <c r="Q2635" s="1"/>
      <c r="R2635" s="98"/>
      <c r="S2635" s="108" t="s">
        <v>137</v>
      </c>
      <c r="T2635" s="26" t="s">
        <v>146</v>
      </c>
      <c r="U2635" s="98"/>
      <c r="V2635" s="108" t="s">
        <v>137</v>
      </c>
      <c r="W2635" s="26" t="s">
        <v>146</v>
      </c>
      <c r="X2635" s="98"/>
      <c r="Y2635" s="108" t="s">
        <v>137</v>
      </c>
      <c r="Z2635" s="26" t="s">
        <v>146</v>
      </c>
      <c r="AA2635" s="98"/>
      <c r="AB2635" s="108" t="s">
        <v>137</v>
      </c>
      <c r="AC2635" s="26" t="s">
        <v>146</v>
      </c>
      <c r="AD2635" s="98"/>
      <c r="AE2635" s="108" t="s">
        <v>137</v>
      </c>
      <c r="AF2635" s="26" t="s">
        <v>146</v>
      </c>
      <c r="AG2635" s="98"/>
      <c r="AH2635" s="108" t="s">
        <v>137</v>
      </c>
      <c r="AI2635" s="26" t="s">
        <v>146</v>
      </c>
      <c r="AJ2635" s="98"/>
      <c r="AK2635" s="108" t="s">
        <v>137</v>
      </c>
      <c r="AL2635" s="26" t="s">
        <v>146</v>
      </c>
      <c r="AM2635" s="98"/>
      <c r="AN2635" s="108" t="s">
        <v>137</v>
      </c>
      <c r="AO2635" s="26" t="s">
        <v>146</v>
      </c>
      <c r="AP2635" s="98"/>
      <c r="AQ2635" s="108" t="s">
        <v>137</v>
      </c>
      <c r="AR2635" s="26" t="s">
        <v>146</v>
      </c>
      <c r="AS2635" s="98"/>
      <c r="AT2635" s="108" t="s">
        <v>137</v>
      </c>
      <c r="AU2635" s="26" t="s">
        <v>146</v>
      </c>
    </row>
    <row r="2636" spans="15:47" ht="13.8" x14ac:dyDescent="0.25">
      <c r="O2636" s="20" t="s">
        <v>136</v>
      </c>
      <c r="P2636" s="1"/>
      <c r="Q2636" s="1"/>
      <c r="R2636" s="96">
        <f>R2622*1.02</f>
        <v>12674.14324498767</v>
      </c>
      <c r="S2636" s="109" t="s">
        <v>144</v>
      </c>
      <c r="T2636" s="23" t="s">
        <v>147</v>
      </c>
      <c r="U2636" s="96">
        <f ca="1">U2622*1.01</f>
        <v>74523.535080144226</v>
      </c>
      <c r="V2636" s="109" t="s">
        <v>144</v>
      </c>
      <c r="W2636" s="23" t="s">
        <v>147</v>
      </c>
      <c r="X2636" s="96">
        <f ca="1">X2622*1.01</f>
        <v>182480.76302755359</v>
      </c>
      <c r="Y2636" s="109" t="s">
        <v>144</v>
      </c>
      <c r="Z2636" s="23" t="s">
        <v>147</v>
      </c>
      <c r="AA2636" s="96">
        <f ca="1">AA2622*1.01</f>
        <v>355425.9489998878</v>
      </c>
      <c r="AB2636" s="109" t="s">
        <v>144</v>
      </c>
      <c r="AC2636" s="23" t="s">
        <v>147</v>
      </c>
      <c r="AD2636" s="96">
        <f ca="1">AD2622*1.01</f>
        <v>596294.17703756515</v>
      </c>
      <c r="AE2636" s="109" t="s">
        <v>144</v>
      </c>
      <c r="AF2636" s="23" t="s">
        <v>147</v>
      </c>
      <c r="AG2636" s="96">
        <f ca="1">AG2622*1.01</f>
        <v>870307.59213906981</v>
      </c>
      <c r="AH2636" s="109" t="s">
        <v>144</v>
      </c>
      <c r="AI2636" s="23" t="s">
        <v>147</v>
      </c>
      <c r="AJ2636" s="96">
        <f ca="1">AJ2622*1.01</f>
        <v>1161428.8555154835</v>
      </c>
      <c r="AK2636" s="109" t="s">
        <v>144</v>
      </c>
      <c r="AL2636" s="23" t="s">
        <v>147</v>
      </c>
      <c r="AM2636" s="96">
        <f ca="1">AM2622*1.01</f>
        <v>1417163.9216081596</v>
      </c>
      <c r="AN2636" s="109" t="s">
        <v>144</v>
      </c>
      <c r="AO2636" s="23" t="s">
        <v>147</v>
      </c>
      <c r="AP2636" s="96">
        <f ca="1">AP2622*1.01</f>
        <v>1645283.3176574756</v>
      </c>
      <c r="AQ2636" s="109" t="s">
        <v>144</v>
      </c>
      <c r="AR2636" s="23" t="s">
        <v>147</v>
      </c>
      <c r="AS2636" s="96">
        <f ca="1">AS2622*1.01</f>
        <v>1929224.0831343699</v>
      </c>
      <c r="AT2636" s="109" t="s">
        <v>144</v>
      </c>
      <c r="AU2636" s="23" t="s">
        <v>147</v>
      </c>
    </row>
    <row r="2637" spans="15:47" x14ac:dyDescent="0.25">
      <c r="O2637" s="1"/>
      <c r="P2637" s="1"/>
      <c r="Q2637" s="1"/>
      <c r="R2637" s="98"/>
      <c r="S2637" s="107"/>
      <c r="T2637" s="1"/>
      <c r="U2637" s="47"/>
      <c r="V2637" s="107"/>
      <c r="W2637" s="1"/>
      <c r="X2637" s="47"/>
      <c r="Y2637" s="107"/>
      <c r="Z2637" s="1"/>
      <c r="AA2637" s="47"/>
      <c r="AB2637" s="107"/>
      <c r="AC2637" s="1"/>
      <c r="AD2637" s="47"/>
      <c r="AE2637" s="107"/>
      <c r="AF2637" s="1"/>
      <c r="AG2637" s="47"/>
      <c r="AH2637" s="107"/>
      <c r="AI2637" s="1"/>
      <c r="AJ2637" s="47"/>
      <c r="AK2637" s="107"/>
      <c r="AL2637" s="1"/>
      <c r="AM2637" s="47"/>
      <c r="AN2637" s="107"/>
      <c r="AO2637" s="1"/>
      <c r="AP2637" s="47"/>
      <c r="AQ2637" s="107"/>
      <c r="AR2637" s="1"/>
      <c r="AS2637" s="47"/>
      <c r="AT2637" s="107"/>
      <c r="AU2637" s="1"/>
    </row>
    <row r="2638" spans="15:47" x14ac:dyDescent="0.25">
      <c r="O2638" s="8" t="s">
        <v>132</v>
      </c>
      <c r="P2638" s="8"/>
      <c r="Q2638" s="8"/>
      <c r="R2638" s="96">
        <f>P_1_minQ-(R2636^2*R_up)+dpup_minQ</f>
        <v>90.155763247996944</v>
      </c>
      <c r="S2638" s="106"/>
      <c r="T2638" s="22"/>
      <c r="U2638" s="96">
        <f ca="1">P_1_minQ-(U2636^2*R_up)+dpup_minQ</f>
        <v>89.172807667659697</v>
      </c>
      <c r="V2638" s="107"/>
      <c r="W2638" s="1"/>
      <c r="X2638" s="96">
        <f ca="1">P_1_minQ-(X2636^2*R_up)+dpup_minQ</f>
        <v>84.115892733182861</v>
      </c>
      <c r="Y2638" s="107"/>
      <c r="Z2638" s="1"/>
      <c r="AA2638" s="96">
        <f ca="1">P_1_minQ-(AA2636^2*R_up)+dpup_minQ</f>
        <v>67.160456092556416</v>
      </c>
      <c r="AB2638" s="107"/>
      <c r="AC2638" s="1"/>
      <c r="AD2638" s="96">
        <f ca="1">P_1_minQ-(AD2636^2*R_up)+dpup_minQ</f>
        <v>25.379121490060371</v>
      </c>
      <c r="AE2638" s="107"/>
      <c r="AF2638" s="1"/>
      <c r="AG2638" s="96">
        <f ca="1">P_1_minQ-(AG2636^2*R_up)+dpup_minQ</f>
        <v>-47.865808323055887</v>
      </c>
      <c r="AH2638" s="107"/>
      <c r="AI2638" s="1"/>
      <c r="AJ2638" s="96">
        <f ca="1">P_1_minQ-(AJ2636^2*R_up)+dpup_minQ</f>
        <v>-155.66979855001227</v>
      </c>
      <c r="AK2638" s="107"/>
      <c r="AL2638" s="1"/>
      <c r="AM2638" s="96">
        <f ca="1">P_1_minQ-(AM2636^2*R_up)+dpup_minQ</f>
        <v>-275.85931310352345</v>
      </c>
      <c r="AN2638" s="107"/>
      <c r="AO2638" s="1"/>
      <c r="AP2638" s="96">
        <f ca="1">P_1_minQ-(AP2636^2*R_up)+dpup_minQ</f>
        <v>-403.18744447876804</v>
      </c>
      <c r="AQ2638" s="107"/>
      <c r="AR2638" s="1"/>
      <c r="AS2638" s="96">
        <f ca="1">P_1_minQ-(AS2636^2*R_up)+dpup_minQ</f>
        <v>-588.17285877662505</v>
      </c>
      <c r="AT2638" s="107"/>
      <c r="AU2638" s="1"/>
    </row>
    <row r="2639" spans="15:47" x14ac:dyDescent="0.25">
      <c r="O2639" s="8" t="s">
        <v>134</v>
      </c>
      <c r="P2639" s="1"/>
      <c r="Q2639" s="8"/>
      <c r="R2639" s="97">
        <f>P_2_minQ+(R2636^2*R_dn)-dpdn_minQ</f>
        <v>60</v>
      </c>
      <c r="S2639" s="106"/>
      <c r="T2639" s="22"/>
      <c r="U2639" s="97">
        <f ca="1">P_2_minQ+(U2636^2*R_dn)-dpdn_minQ</f>
        <v>60</v>
      </c>
      <c r="V2639" s="107"/>
      <c r="W2639" s="1"/>
      <c r="X2639" s="97">
        <f ca="1">P_2_minQ+(X2636^2*R_dn)-dpdn_minQ</f>
        <v>60</v>
      </c>
      <c r="Y2639" s="107"/>
      <c r="Z2639" s="1"/>
      <c r="AA2639" s="97">
        <f ca="1">P_2_minQ+(AA2636^2*R_dn)-dpdn_minQ</f>
        <v>60</v>
      </c>
      <c r="AB2639" s="107"/>
      <c r="AC2639" s="1"/>
      <c r="AD2639" s="97">
        <f ca="1">P_2_minQ+(AD2636^2*R_dn)-dpdn_minQ</f>
        <v>60</v>
      </c>
      <c r="AE2639" s="107"/>
      <c r="AF2639" s="1"/>
      <c r="AG2639" s="97">
        <f ca="1">P_2_minQ+(AG2636^2*R_dn)-dpdn_minQ</f>
        <v>60</v>
      </c>
      <c r="AH2639" s="107"/>
      <c r="AI2639" s="1"/>
      <c r="AJ2639" s="97">
        <f ca="1">P_2_minQ+(AJ2636^2*R_dn)-dpdn_minQ</f>
        <v>60</v>
      </c>
      <c r="AK2639" s="107"/>
      <c r="AL2639" s="1"/>
      <c r="AM2639" s="97">
        <f ca="1">P_2_minQ+(AM2636^2*R_dn)-dpdn_minQ</f>
        <v>60</v>
      </c>
      <c r="AN2639" s="107"/>
      <c r="AO2639" s="1"/>
      <c r="AP2639" s="97">
        <f ca="1">P_2_minQ+(AP2636^2*R_dn)-dpdn_minQ</f>
        <v>60</v>
      </c>
      <c r="AQ2639" s="107"/>
      <c r="AR2639" s="1"/>
      <c r="AS2639" s="97">
        <f ca="1">P_2_minQ+(AS2636^2*R_dn)-dpdn_minQ</f>
        <v>60</v>
      </c>
      <c r="AT2639" s="107"/>
      <c r="AU2639" s="1"/>
    </row>
    <row r="2640" spans="15:47" x14ac:dyDescent="0.25">
      <c r="O2640" s="8" t="s">
        <v>138</v>
      </c>
      <c r="P2640" s="1"/>
      <c r="Q2640" s="8"/>
      <c r="R2640" s="97">
        <f>R2638-R2639</f>
        <v>30.155763247996944</v>
      </c>
      <c r="S2640" s="106"/>
      <c r="T2640" s="22"/>
      <c r="U2640" s="97">
        <f ca="1">U2638-U2639</f>
        <v>29.172807667659697</v>
      </c>
      <c r="V2640" s="110"/>
      <c r="W2640" s="25"/>
      <c r="X2640" s="97">
        <f ca="1">X2638-X2639</f>
        <v>24.115892733182861</v>
      </c>
      <c r="Y2640" s="110"/>
      <c r="Z2640" s="25"/>
      <c r="AA2640" s="97">
        <f ca="1">AA2638-AA2639</f>
        <v>7.1604560925564158</v>
      </c>
      <c r="AB2640" s="110"/>
      <c r="AC2640" s="25"/>
      <c r="AD2640" s="97">
        <f ca="1">AD2638-AD2639</f>
        <v>-34.620878509939629</v>
      </c>
      <c r="AE2640" s="110"/>
      <c r="AF2640" s="25"/>
      <c r="AG2640" s="97">
        <f ca="1">AG2638-AG2639</f>
        <v>-107.86580832305589</v>
      </c>
      <c r="AH2640" s="110"/>
      <c r="AI2640" s="25"/>
      <c r="AJ2640" s="97">
        <f ca="1">AJ2638-AJ2639</f>
        <v>-215.66979855001227</v>
      </c>
      <c r="AK2640" s="110"/>
      <c r="AL2640" s="25"/>
      <c r="AM2640" s="97">
        <f ca="1">AM2638-AM2639</f>
        <v>-335.85931310352345</v>
      </c>
      <c r="AN2640" s="110"/>
      <c r="AO2640" s="25"/>
      <c r="AP2640" s="97">
        <f ca="1">AP2638-AP2639</f>
        <v>-463.18744447876804</v>
      </c>
      <c r="AQ2640" s="110"/>
      <c r="AR2640" s="25"/>
      <c r="AS2640" s="97">
        <f ca="1">AS2638-AS2639</f>
        <v>-648.17285877662505</v>
      </c>
      <c r="AT2640" s="110"/>
      <c r="AU2640" s="25"/>
    </row>
    <row r="2641" spans="15:47" ht="14.4" x14ac:dyDescent="0.3">
      <c r="O2641" s="2" t="s">
        <v>140</v>
      </c>
      <c r="P2641" s="11"/>
      <c r="Q2641" s="2"/>
      <c r="R2641" s="96">
        <f>R2640/R2638</f>
        <v>0.3344851417323777</v>
      </c>
      <c r="S2641" s="106"/>
      <c r="T2641" s="22"/>
      <c r="U2641" s="96">
        <f ca="1">U2640/U2638</f>
        <v>0.32714914367600201</v>
      </c>
      <c r="V2641" s="111"/>
      <c r="W2641" s="28"/>
      <c r="X2641" s="96">
        <f ca="1">X2640/X2638</f>
        <v>0.28669841036674137</v>
      </c>
      <c r="Y2641" s="111"/>
      <c r="Z2641" s="28"/>
      <c r="AA2641" s="96">
        <f ca="1">AA2640/AA2638</f>
        <v>0.10661714510527319</v>
      </c>
      <c r="AB2641" s="111"/>
      <c r="AC2641" s="28"/>
      <c r="AD2641" s="96">
        <f ca="1">AD2640/AD2638</f>
        <v>-1.3641480270898563</v>
      </c>
      <c r="AE2641" s="111"/>
      <c r="AF2641" s="28"/>
      <c r="AG2641" s="96">
        <f ca="1">AG2640/AG2638</f>
        <v>2.2535043719526899</v>
      </c>
      <c r="AH2641" s="111"/>
      <c r="AI2641" s="28"/>
      <c r="AJ2641" s="96">
        <f ca="1">AJ2640/AJ2638</f>
        <v>1.3854312176084926</v>
      </c>
      <c r="AK2641" s="111"/>
      <c r="AL2641" s="28"/>
      <c r="AM2641" s="96">
        <f ca="1">AM2640/AM2638</f>
        <v>1.2175021728466475</v>
      </c>
      <c r="AN2641" s="111"/>
      <c r="AO2641" s="28"/>
      <c r="AP2641" s="96">
        <f ca="1">AP2640/AP2638</f>
        <v>1.1488141578356108</v>
      </c>
      <c r="AQ2641" s="111"/>
      <c r="AR2641" s="28"/>
      <c r="AS2641" s="96">
        <f ca="1">AS2640/AS2638</f>
        <v>1.1020108274373583</v>
      </c>
      <c r="AT2641" s="111"/>
      <c r="AU2641" s="28"/>
    </row>
    <row r="2642" spans="15:47" x14ac:dyDescent="0.25">
      <c r="O2642" s="2" t="s">
        <v>21</v>
      </c>
      <c r="P2642" s="8">
        <v>12</v>
      </c>
      <c r="Q2642" s="2"/>
      <c r="R2642" s="96">
        <f ca="1">1-R2641/(3*F_GAMMA*R$29)</f>
        <v>0.82579707210893272</v>
      </c>
      <c r="S2642" s="106"/>
      <c r="T2642" s="22"/>
      <c r="U2642" s="96">
        <f ca="1">1-U2641/(3*F_GAMMA*U$29)</f>
        <v>0.82965730950672101</v>
      </c>
      <c r="V2642" s="111"/>
      <c r="W2642" s="28"/>
      <c r="X2642" s="96">
        <f ca="1">1-X2641/(3*F_GAMMA*X$29)</f>
        <v>0.84929774641509947</v>
      </c>
      <c r="Y2642" s="111"/>
      <c r="Z2642" s="28"/>
      <c r="AA2642" s="96">
        <f ca="1">1-AA2641/(3*F_GAMMA*AA$29)</f>
        <v>0.94316699552498862</v>
      </c>
      <c r="AB2642" s="111"/>
      <c r="AC2642" s="28"/>
      <c r="AD2642" s="96">
        <f ca="1">1-AD2641/(3*F_GAMMA*AD$29)</f>
        <v>1.7497210494703435</v>
      </c>
      <c r="AE2642" s="111"/>
      <c r="AF2642" s="28"/>
      <c r="AG2642" s="96">
        <f ca="1">1-AG2641/(3*F_GAMMA*AG$29)</f>
        <v>-0.31281946302238661</v>
      </c>
      <c r="AH2642" s="111"/>
      <c r="AI2642" s="28"/>
      <c r="AJ2642" s="96">
        <f ca="1">1-AJ2641/(3*F_GAMMA*AJ$29)</f>
        <v>0.13166245417905709</v>
      </c>
      <c r="AK2642" s="111"/>
      <c r="AL2642" s="28"/>
      <c r="AM2642" s="96">
        <f ca="1">1-AM2641/(3*F_GAMMA*AM$29)</f>
        <v>0.14680720477636866</v>
      </c>
      <c r="AN2642" s="111"/>
      <c r="AO2642" s="28"/>
      <c r="AP2642" s="96">
        <f ca="1">1-AP2641/(3*F_GAMMA*AP$29)</f>
        <v>0.35154769137630248</v>
      </c>
      <c r="AQ2642" s="111"/>
      <c r="AR2642" s="28"/>
      <c r="AS2642" s="96">
        <f ca="1">1-AS2641/(3*F_GAMMA*AS$29)</f>
        <v>2.4829472612270087E-2</v>
      </c>
      <c r="AT2642" s="111"/>
      <c r="AU2642" s="28"/>
    </row>
    <row r="2643" spans="15:47" x14ac:dyDescent="0.25">
      <c r="O2643" s="2" t="s">
        <v>57</v>
      </c>
      <c r="P2643" s="143">
        <v>7</v>
      </c>
      <c r="Q2643" s="2"/>
      <c r="R2643" s="96">
        <f ca="1">(R2636/(N_9*R$27*R2638*R2642))*SQRT(M*'Valve Sizing'!$W$6*'Valve Sizing'!$G$8/R2641)</f>
        <v>5.1209365762788597</v>
      </c>
      <c r="S2643" s="107"/>
      <c r="T2643" s="22"/>
      <c r="U2643" s="96">
        <f ca="1">(U2636/(N_9*U$27*U2638*U2642))*SQRT(M*'Valve Sizing'!$W$6*'Valve Sizing'!$G$8/U2641)</f>
        <v>30.659161087115979</v>
      </c>
      <c r="V2643" s="111"/>
      <c r="W2643" s="28"/>
      <c r="X2643" s="96">
        <f ca="1">(X2636/(N_9*X$27*X2638*X2642))*SQRT(M*'Valve Sizing'!$W$6*'Valve Sizing'!$G$8/X2641)</f>
        <v>83.24073643327219</v>
      </c>
      <c r="Y2643" s="111"/>
      <c r="Z2643" s="28"/>
      <c r="AA2643" s="96">
        <f ca="1">(AA2636/(N_9*AA$27*AA2638*AA2642))*SQRT(M*'Valve Sizing'!$W$6*'Valve Sizing'!$G$8/AA2641)</f>
        <v>301.62858201765715</v>
      </c>
      <c r="AB2643" s="111"/>
      <c r="AC2643" s="28"/>
      <c r="AD2643" s="96" t="e">
        <f ca="1">(AD2636/(N_9*AD$27*AD2638*AD2642))*SQRT(M*'Valve Sizing'!$W$6*'Valve Sizing'!$G$8/AD2641)</f>
        <v>#NUM!</v>
      </c>
      <c r="AE2643" s="111"/>
      <c r="AF2643" s="28"/>
      <c r="AG2643" s="96">
        <f ca="1">(AG2636/(N_9*AG$27*AG2638*AG2642))*SQRT(M*'Valve Sizing'!$W$6*'Valve Sizing'!$G$8/AG2641)</f>
        <v>703.51886194760289</v>
      </c>
      <c r="AH2643" s="111"/>
      <c r="AI2643" s="28"/>
      <c r="AJ2643" s="96">
        <f ca="1">(AJ2636/(N_9*AJ$27*AJ2638*AJ2642))*SQRT(M*'Valve Sizing'!$W$6*'Valve Sizing'!$G$8/AJ2641)</f>
        <v>-906.37558096954854</v>
      </c>
      <c r="AK2643" s="111"/>
      <c r="AL2643" s="28"/>
      <c r="AM2643" s="96">
        <f ca="1">(AM2636/(N_9*AM$27*AM2638*AM2642))*SQRT(M*'Valve Sizing'!$W$6*'Valve Sizing'!$G$8/AM2641)</f>
        <v>-633.49510873971133</v>
      </c>
      <c r="AN2643" s="111"/>
      <c r="AO2643" s="28"/>
      <c r="AP2643" s="96">
        <f ca="1">(AP2636/(N_9*AP$27*AP2638*AP2642))*SQRT(M*'Valve Sizing'!$W$6*'Valve Sizing'!$G$8/AP2641)</f>
        <v>-246.22610326382357</v>
      </c>
      <c r="AQ2643" s="111"/>
      <c r="AR2643" s="28"/>
      <c r="AS2643" s="96">
        <f ca="1">(AS2636/(N_9*AS$27*AS2638*AS2642))*SQRT(M*'Valve Sizing'!$W$6*'Valve Sizing'!$G$8/AS2641)</f>
        <v>-3832.0734583250587</v>
      </c>
      <c r="AT2643" s="111"/>
      <c r="AU2643" s="28"/>
    </row>
    <row r="2644" spans="15:47" x14ac:dyDescent="0.25">
      <c r="O2644" s="2" t="s">
        <v>59</v>
      </c>
      <c r="P2644" s="143">
        <v>7</v>
      </c>
      <c r="Q2644" s="2"/>
      <c r="R2644" s="96">
        <f ca="1">(R2636/(N_9*R$27*R2638*0.667))*SQRT(M*'Valve Sizing'!$W$6*'Valve Sizing'!$G$8/R2645)</f>
        <v>4.5833735510866056</v>
      </c>
      <c r="S2644" s="107"/>
      <c r="T2644" s="22"/>
      <c r="U2644" s="96">
        <f ca="1">(U2636/(N_9*U$27*U2638*0.667))*SQRT(M*'Valve Sizing'!$W$6*'Valve Sizing'!$G$8/U2645)</f>
        <v>27.261864553982662</v>
      </c>
      <c r="V2644" s="111"/>
      <c r="W2644" s="28"/>
      <c r="X2644" s="96">
        <f ca="1">(X2636/(N_9*X$27*X2638*0.667))*SQRT(M*'Valve Sizing'!$W$6*'Valve Sizing'!$G$8/X2645)</f>
        <v>71.267340477427581</v>
      </c>
      <c r="Y2644" s="111"/>
      <c r="Z2644" s="28"/>
      <c r="AA2644" s="96">
        <f ca="1">(AA2636/(N_9*AA$27*AA2638*0.667))*SQRT(M*'Valve Sizing'!$W$6*'Valve Sizing'!$G$8/AA2645)</f>
        <v>176.11493575509996</v>
      </c>
      <c r="AB2644" s="111"/>
      <c r="AC2644" s="28"/>
      <c r="AD2644" s="96">
        <f ca="1">(AD2636/(N_9*AD$27*AD2638*0.667))*SQRT(M*'Valve Sizing'!$W$6*'Valve Sizing'!$G$8/AD2645)</f>
        <v>803.75540379616996</v>
      </c>
      <c r="AE2644" s="111"/>
      <c r="AF2644" s="28"/>
      <c r="AG2644" s="96">
        <f ca="1">(AG2636/(N_9*AG$27*AG2638*0.667))*SQRT(M*'Valve Sizing'!$W$6*'Valve Sizing'!$G$8/AG2645)</f>
        <v>-654.79719255384282</v>
      </c>
      <c r="AH2644" s="111"/>
      <c r="AI2644" s="28"/>
      <c r="AJ2644" s="96">
        <f ca="1">(AJ2636/(N_9*AJ$27*AJ2638*0.667))*SQRT(M*'Valve Sizing'!$W$6*'Valve Sizing'!$G$8/AJ2645)</f>
        <v>-288.76810700583377</v>
      </c>
      <c r="AK2644" s="111"/>
      <c r="AL2644" s="28"/>
      <c r="AM2644" s="96">
        <f ca="1">(AM2636/(N_9*AM$27*AM2638*0.667))*SQRT(M*'Valve Sizing'!$W$6*'Valve Sizing'!$G$8/AM2645)</f>
        <v>-223.07403292030699</v>
      </c>
      <c r="AN2644" s="111"/>
      <c r="AO2644" s="28"/>
      <c r="AP2644" s="96">
        <f ca="1">(AP2636/(N_9*AP$27*AP2638*0.667))*SQRT(M*'Valve Sizing'!$W$6*'Valve Sizing'!$G$8/AP2645)</f>
        <v>-181.00566033074389</v>
      </c>
      <c r="AQ2644" s="111"/>
      <c r="AR2644" s="28"/>
      <c r="AS2644" s="96">
        <f ca="1">(AS2636/(N_9*AS$27*AS2638*0.667))*SQRT(M*'Valve Sizing'!$W$6*'Valve Sizing'!$G$8/AS2645)</f>
        <v>-243.99245548991865</v>
      </c>
      <c r="AT2644" s="111"/>
      <c r="AU2644" s="28"/>
    </row>
    <row r="2645" spans="15:47" ht="15.6" x14ac:dyDescent="0.35">
      <c r="O2645" s="2" t="s">
        <v>68</v>
      </c>
      <c r="P2645" s="143">
        <v>10</v>
      </c>
      <c r="Q2645" s="2"/>
      <c r="R2645" s="96">
        <f ca="1">F_GAMMA*R$29</f>
        <v>0.64002969751372984</v>
      </c>
      <c r="S2645" s="107"/>
      <c r="T2645" s="1"/>
      <c r="U2645" s="96">
        <f ca="1">F_GAMMA*U$29</f>
        <v>0.64017842058782071</v>
      </c>
      <c r="V2645" s="111"/>
      <c r="W2645" s="28"/>
      <c r="X2645" s="96">
        <f ca="1">F_GAMMA*X$29</f>
        <v>0.63413873724904268</v>
      </c>
      <c r="Y2645" s="111"/>
      <c r="Z2645" s="28"/>
      <c r="AA2645" s="96">
        <f ca="1">F_GAMMA*AA$29</f>
        <v>0.62532411750377137</v>
      </c>
      <c r="AB2645" s="111"/>
      <c r="AC2645" s="28"/>
      <c r="AD2645" s="96">
        <f ca="1">F_GAMMA*AD$29</f>
        <v>0.60651359509139569</v>
      </c>
      <c r="AE2645" s="111"/>
      <c r="AF2645" s="28"/>
      <c r="AG2645" s="96">
        <f ca="1">F_GAMMA*AG$29</f>
        <v>0.57217930198481592</v>
      </c>
      <c r="AH2645" s="111"/>
      <c r="AI2645" s="28"/>
      <c r="AJ2645" s="96">
        <f ca="1">F_GAMMA*AJ$29</f>
        <v>0.53183282018848232</v>
      </c>
      <c r="AK2645" s="111"/>
      <c r="AL2645" s="28"/>
      <c r="AM2645" s="96">
        <f ca="1">F_GAMMA*AM$29</f>
        <v>0.47566512503094399</v>
      </c>
      <c r="AN2645" s="111"/>
      <c r="AO2645" s="28"/>
      <c r="AP2645" s="96">
        <f ca="1">F_GAMMA*AP$29</f>
        <v>0.59054158265645496</v>
      </c>
      <c r="AQ2645" s="111"/>
      <c r="AR2645" s="28"/>
      <c r="AS2645" s="96">
        <f ca="1">F_GAMMA*AS$29</f>
        <v>0.3766899554102966</v>
      </c>
      <c r="AT2645" s="111"/>
      <c r="AU2645" s="28"/>
    </row>
    <row r="2646" spans="15:47" x14ac:dyDescent="0.25">
      <c r="O2646" s="2" t="s">
        <v>145</v>
      </c>
      <c r="P2646" s="12"/>
      <c r="Q2646" s="2"/>
      <c r="R2646" s="96">
        <f ca="1">IF(R2641&lt;R2645,R2643,R2644)</f>
        <v>5.1209365762788597</v>
      </c>
      <c r="S2646" s="116"/>
      <c r="T2646" s="1"/>
      <c r="U2646" s="96">
        <f ca="1">IF(U2641&lt;U2645,U2643,U2644)</f>
        <v>30.659161087115979</v>
      </c>
      <c r="V2646" s="111"/>
      <c r="W2646" s="28"/>
      <c r="X2646" s="96">
        <f ca="1">IF(X2641&lt;X2645,X2643,X2644)</f>
        <v>83.24073643327219</v>
      </c>
      <c r="Y2646" s="111"/>
      <c r="Z2646" s="28"/>
      <c r="AA2646" s="96">
        <f ca="1">IF(AA2641&lt;AA2645,AA2643,AA2644)</f>
        <v>301.62858201765715</v>
      </c>
      <c r="AB2646" s="111"/>
      <c r="AC2646" s="28"/>
      <c r="AD2646" s="96" t="e">
        <f ca="1">IF(AD2641&lt;AD2645,AD2643,AD2644)</f>
        <v>#NUM!</v>
      </c>
      <c r="AE2646" s="111"/>
      <c r="AF2646" s="28"/>
      <c r="AG2646" s="96">
        <f ca="1">IF(AG2641&lt;AG2645,AG2643,AG2644)</f>
        <v>-654.79719255384282</v>
      </c>
      <c r="AH2646" s="111"/>
      <c r="AI2646" s="28"/>
      <c r="AJ2646" s="96">
        <f ca="1">IF(AJ2641&lt;AJ2645,AJ2643,AJ2644)</f>
        <v>-288.76810700583377</v>
      </c>
      <c r="AK2646" s="111"/>
      <c r="AL2646" s="28"/>
      <c r="AM2646" s="96">
        <f ca="1">IF(AM2641&lt;AM2645,AM2643,AM2644)</f>
        <v>-223.07403292030699</v>
      </c>
      <c r="AN2646" s="111"/>
      <c r="AO2646" s="28"/>
      <c r="AP2646" s="96">
        <f ca="1">IF(AP2641&lt;AP2645,AP2643,AP2644)</f>
        <v>-181.00566033074389</v>
      </c>
      <c r="AQ2646" s="111"/>
      <c r="AR2646" s="28"/>
      <c r="AS2646" s="96">
        <f ca="1">IF(AS2641&lt;AS2645,AS2643,AS2644)</f>
        <v>-243.99245548991865</v>
      </c>
      <c r="AT2646" s="111"/>
      <c r="AU2646" s="28"/>
    </row>
    <row r="2647" spans="15:47" x14ac:dyDescent="0.25">
      <c r="O2647" s="13" t="s">
        <v>143</v>
      </c>
      <c r="P2647" s="1"/>
      <c r="Q2647" s="1"/>
      <c r="R2647" s="113"/>
      <c r="S2647" s="106">
        <f ca="1">IF(R2640&lt;=0,Q_max,ABS(R$23-R2646))</f>
        <v>0.39093657627885925</v>
      </c>
      <c r="T2647" s="7">
        <f>R2636</f>
        <v>12674.14324498767</v>
      </c>
      <c r="U2647" s="98"/>
      <c r="V2647" s="106">
        <f ca="1">IF(U2640&lt;=0,Q_max,ABS(U$23-U2646))</f>
        <v>19.059161087115982</v>
      </c>
      <c r="W2647" s="9">
        <f ca="1">U2636</f>
        <v>74523.535080144226</v>
      </c>
      <c r="X2647" s="98"/>
      <c r="Y2647" s="106">
        <f ca="1">IF(X2640&lt;=0,Q_max,ABS(X$23-X2646))</f>
        <v>60.24073643327219</v>
      </c>
      <c r="Z2647" s="9">
        <f ca="1">X2636</f>
        <v>182480.76302755359</v>
      </c>
      <c r="AA2647" s="98"/>
      <c r="AB2647" s="106">
        <f ca="1">IF(AA2640&lt;=0,Q_max,ABS(AA$23-AA2646))</f>
        <v>262.22858201765717</v>
      </c>
      <c r="AC2647" s="9">
        <f ca="1">AA2636</f>
        <v>355425.9489998878</v>
      </c>
      <c r="AD2647" s="98"/>
      <c r="AE2647" s="106">
        <f ca="1">IF(AD2640&lt;=0,Q_max,ABS(AD$23-AD2646))</f>
        <v>236393</v>
      </c>
      <c r="AF2647" s="9">
        <f ca="1">AD2636</f>
        <v>596294.17703756515</v>
      </c>
      <c r="AG2647" s="98"/>
      <c r="AH2647" s="106">
        <f ca="1">IF(AG2640&lt;=0,Q_max,ABS(AG$23-AG2646))</f>
        <v>236393</v>
      </c>
      <c r="AI2647" s="9">
        <f ca="1">AG2636</f>
        <v>870307.59213906981</v>
      </c>
      <c r="AJ2647" s="98"/>
      <c r="AK2647" s="106">
        <f ca="1">IF(AJ2640&lt;=0,Q_max,ABS(AJ$23-AJ2646))</f>
        <v>236393</v>
      </c>
      <c r="AL2647" s="9">
        <f ca="1">AJ2636</f>
        <v>1161428.8555154835</v>
      </c>
      <c r="AM2647" s="98"/>
      <c r="AN2647" s="106">
        <f ca="1">IF(AM2640&lt;=0,Q_max,ABS(AM$23-AM2646))</f>
        <v>236393</v>
      </c>
      <c r="AO2647" s="9">
        <f ca="1">AM2636</f>
        <v>1417163.9216081596</v>
      </c>
      <c r="AP2647" s="98"/>
      <c r="AQ2647" s="106">
        <f ca="1">IF(AP2640&lt;=0,Q_max,ABS(AP$23-AP2646))</f>
        <v>236393</v>
      </c>
      <c r="AR2647" s="9">
        <f ca="1">AP2636</f>
        <v>1645283.3176574756</v>
      </c>
      <c r="AS2647" s="98"/>
      <c r="AT2647" s="106">
        <f ca="1">IF(AS2640&lt;=0,Q_max,ABS(AS$23-AS2646))</f>
        <v>236393</v>
      </c>
      <c r="AU2647" s="9">
        <f ca="1">AS2636</f>
        <v>1929224.0831343699</v>
      </c>
    </row>
    <row r="2648" spans="15:47" x14ac:dyDescent="0.25">
      <c r="O2648" s="21"/>
      <c r="P2648" s="14"/>
      <c r="Q2648" s="21"/>
      <c r="R2648" s="97"/>
      <c r="S2648" s="106"/>
      <c r="T2648" s="28"/>
      <c r="U2648" s="97"/>
      <c r="V2648" s="111"/>
      <c r="W2648" s="28"/>
      <c r="X2648" s="97"/>
      <c r="Y2648" s="111"/>
      <c r="Z2648" s="28"/>
      <c r="AA2648" s="97"/>
      <c r="AB2648" s="111"/>
      <c r="AC2648" s="28"/>
      <c r="AD2648" s="97"/>
      <c r="AE2648" s="111"/>
      <c r="AF2648" s="28"/>
      <c r="AG2648" s="97"/>
      <c r="AH2648" s="111"/>
      <c r="AI2648" s="28"/>
      <c r="AJ2648" s="97"/>
      <c r="AK2648" s="111"/>
      <c r="AL2648" s="28"/>
      <c r="AM2648" s="97"/>
      <c r="AN2648" s="111"/>
      <c r="AO2648" s="28"/>
      <c r="AP2648" s="97"/>
      <c r="AQ2648" s="111"/>
      <c r="AR2648" s="28"/>
      <c r="AS2648" s="97"/>
      <c r="AT2648" s="111"/>
      <c r="AU2648" s="28"/>
    </row>
    <row r="2649" spans="15:47" x14ac:dyDescent="0.25">
      <c r="O2649" s="1"/>
      <c r="P2649" s="1"/>
      <c r="Q2649" s="1"/>
      <c r="R2649" s="98"/>
      <c r="S2649" s="108" t="s">
        <v>137</v>
      </c>
      <c r="T2649" s="26" t="s">
        <v>146</v>
      </c>
      <c r="U2649" s="98"/>
      <c r="V2649" s="108" t="s">
        <v>137</v>
      </c>
      <c r="W2649" s="26" t="s">
        <v>146</v>
      </c>
      <c r="X2649" s="98"/>
      <c r="Y2649" s="108" t="s">
        <v>137</v>
      </c>
      <c r="Z2649" s="26" t="s">
        <v>146</v>
      </c>
      <c r="AA2649" s="98"/>
      <c r="AB2649" s="108" t="s">
        <v>137</v>
      </c>
      <c r="AC2649" s="26" t="s">
        <v>146</v>
      </c>
      <c r="AD2649" s="98"/>
      <c r="AE2649" s="108" t="s">
        <v>137</v>
      </c>
      <c r="AF2649" s="26" t="s">
        <v>146</v>
      </c>
      <c r="AG2649" s="98"/>
      <c r="AH2649" s="108" t="s">
        <v>137</v>
      </c>
      <c r="AI2649" s="26" t="s">
        <v>146</v>
      </c>
      <c r="AJ2649" s="98"/>
      <c r="AK2649" s="108" t="s">
        <v>137</v>
      </c>
      <c r="AL2649" s="26" t="s">
        <v>146</v>
      </c>
      <c r="AM2649" s="98"/>
      <c r="AN2649" s="108" t="s">
        <v>137</v>
      </c>
      <c r="AO2649" s="26" t="s">
        <v>146</v>
      </c>
      <c r="AP2649" s="98"/>
      <c r="AQ2649" s="108" t="s">
        <v>137</v>
      </c>
      <c r="AR2649" s="26" t="s">
        <v>146</v>
      </c>
      <c r="AS2649" s="98"/>
      <c r="AT2649" s="108" t="s">
        <v>137</v>
      </c>
      <c r="AU2649" s="26" t="s">
        <v>146</v>
      </c>
    </row>
    <row r="2650" spans="15:47" ht="13.8" x14ac:dyDescent="0.25">
      <c r="O2650" s="20" t="s">
        <v>136</v>
      </c>
      <c r="P2650" s="1"/>
      <c r="Q2650" s="1"/>
      <c r="R2650" s="96">
        <f>R2636*1.02</f>
        <v>12927.626109887424</v>
      </c>
      <c r="S2650" s="109" t="s">
        <v>144</v>
      </c>
      <c r="T2650" s="23" t="s">
        <v>147</v>
      </c>
      <c r="U2650" s="96">
        <f ca="1">U2636*1.01</f>
        <v>75268.770430945675</v>
      </c>
      <c r="V2650" s="109" t="s">
        <v>144</v>
      </c>
      <c r="W2650" s="23" t="s">
        <v>147</v>
      </c>
      <c r="X2650" s="96">
        <f ca="1">X2636*1.01</f>
        <v>184305.57065782914</v>
      </c>
      <c r="Y2650" s="109" t="s">
        <v>144</v>
      </c>
      <c r="Z2650" s="23" t="s">
        <v>147</v>
      </c>
      <c r="AA2650" s="96">
        <f ca="1">AA2636*1.01</f>
        <v>358980.20848988666</v>
      </c>
      <c r="AB2650" s="109" t="s">
        <v>144</v>
      </c>
      <c r="AC2650" s="23" t="s">
        <v>147</v>
      </c>
      <c r="AD2650" s="96">
        <f ca="1">AD2636*1.01</f>
        <v>602257.11880794086</v>
      </c>
      <c r="AE2650" s="109" t="s">
        <v>144</v>
      </c>
      <c r="AF2650" s="23" t="s">
        <v>147</v>
      </c>
      <c r="AG2650" s="96">
        <f ca="1">AG2636*1.01</f>
        <v>879010.66806046048</v>
      </c>
      <c r="AH2650" s="109" t="s">
        <v>144</v>
      </c>
      <c r="AI2650" s="23" t="s">
        <v>147</v>
      </c>
      <c r="AJ2650" s="96">
        <f ca="1">AJ2636*1.01</f>
        <v>1173043.1440706383</v>
      </c>
      <c r="AK2650" s="109" t="s">
        <v>144</v>
      </c>
      <c r="AL2650" s="23" t="s">
        <v>147</v>
      </c>
      <c r="AM2650" s="96">
        <f ca="1">AM2636*1.01</f>
        <v>1431335.5608242413</v>
      </c>
      <c r="AN2650" s="109" t="s">
        <v>144</v>
      </c>
      <c r="AO2650" s="23" t="s">
        <v>147</v>
      </c>
      <c r="AP2650" s="96">
        <f ca="1">AP2636*1.01</f>
        <v>1661736.1508340503</v>
      </c>
      <c r="AQ2650" s="109" t="s">
        <v>144</v>
      </c>
      <c r="AR2650" s="23" t="s">
        <v>147</v>
      </c>
      <c r="AS2650" s="96">
        <f ca="1">AS2636*1.01</f>
        <v>1948516.3239657136</v>
      </c>
      <c r="AT2650" s="109" t="s">
        <v>144</v>
      </c>
      <c r="AU2650" s="23" t="s">
        <v>147</v>
      </c>
    </row>
    <row r="2651" spans="15:47" x14ac:dyDescent="0.25">
      <c r="O2651" s="1"/>
      <c r="P2651" s="1"/>
      <c r="Q2651" s="1"/>
      <c r="R2651" s="98"/>
      <c r="S2651" s="107"/>
      <c r="T2651" s="1"/>
      <c r="U2651" s="47"/>
      <c r="V2651" s="107"/>
      <c r="W2651" s="1"/>
      <c r="X2651" s="47"/>
      <c r="Y2651" s="107"/>
      <c r="Z2651" s="1"/>
      <c r="AA2651" s="47"/>
      <c r="AB2651" s="107"/>
      <c r="AC2651" s="1"/>
      <c r="AD2651" s="47"/>
      <c r="AE2651" s="107"/>
      <c r="AF2651" s="1"/>
      <c r="AG2651" s="47"/>
      <c r="AH2651" s="107"/>
      <c r="AI2651" s="1"/>
      <c r="AJ2651" s="47"/>
      <c r="AK2651" s="107"/>
      <c r="AL2651" s="1"/>
      <c r="AM2651" s="47"/>
      <c r="AN2651" s="107"/>
      <c r="AO2651" s="1"/>
      <c r="AP2651" s="47"/>
      <c r="AQ2651" s="107"/>
      <c r="AR2651" s="1"/>
      <c r="AS2651" s="47"/>
      <c r="AT2651" s="107"/>
      <c r="AU2651" s="1"/>
    </row>
    <row r="2652" spans="15:47" x14ac:dyDescent="0.25">
      <c r="O2652" s="8" t="s">
        <v>132</v>
      </c>
      <c r="P2652" s="8"/>
      <c r="Q2652" s="8"/>
      <c r="R2652" s="96">
        <f>P_1_minQ-(R2650^2*R_up)+dpup_minQ</f>
        <v>90.154580445793698</v>
      </c>
      <c r="S2652" s="106"/>
      <c r="T2652" s="22"/>
      <c r="U2652" s="96">
        <f ca="1">P_1_minQ-(U2650^2*R_up)+dpup_minQ</f>
        <v>89.15246178712151</v>
      </c>
      <c r="V2652" s="107"/>
      <c r="W2652" s="1"/>
      <c r="X2652" s="96">
        <f ca="1">P_1_minQ-(X2650^2*R_up)+dpup_minQ</f>
        <v>83.993902862461695</v>
      </c>
      <c r="Y2652" s="107"/>
      <c r="Z2652" s="1"/>
      <c r="AA2652" s="96">
        <f ca="1">P_1_minQ-(AA2650^2*R_up)+dpup_minQ</f>
        <v>66.697661945358675</v>
      </c>
      <c r="AB2652" s="107"/>
      <c r="AC2652" s="1"/>
      <c r="AD2652" s="96">
        <f ca="1">P_1_minQ-(AD2650^2*R_up)+dpup_minQ</f>
        <v>24.07652251735243</v>
      </c>
      <c r="AE2652" s="107"/>
      <c r="AF2652" s="1"/>
      <c r="AG2652" s="96">
        <f ca="1">P_1_minQ-(AG2650^2*R_up)+dpup_minQ</f>
        <v>-50.640630385007427</v>
      </c>
      <c r="AH2652" s="107"/>
      <c r="AI2652" s="1"/>
      <c r="AJ2652" s="96">
        <f ca="1">P_1_minQ-(AJ2650^2*R_up)+dpup_minQ</f>
        <v>-160.61148081552568</v>
      </c>
      <c r="AK2652" s="107"/>
      <c r="AL2652" s="1"/>
      <c r="AM2652" s="96">
        <f ca="1">P_1_minQ-(AM2650^2*R_up)+dpup_minQ</f>
        <v>-283.21680461156245</v>
      </c>
      <c r="AN2652" s="107"/>
      <c r="AO2652" s="1"/>
      <c r="AP2652" s="96">
        <f ca="1">P_1_minQ-(AP2650^2*R_up)+dpup_minQ</f>
        <v>-413.10423142744941</v>
      </c>
      <c r="AQ2652" s="107"/>
      <c r="AR2652" s="1"/>
      <c r="AS2652" s="96">
        <f ca="1">P_1_minQ-(AS2650^2*R_up)+dpup_minQ</f>
        <v>-601.80785255269336</v>
      </c>
      <c r="AT2652" s="107"/>
      <c r="AU2652" s="1"/>
    </row>
    <row r="2653" spans="15:47" x14ac:dyDescent="0.25">
      <c r="O2653" s="8" t="s">
        <v>134</v>
      </c>
      <c r="P2653" s="1"/>
      <c r="Q2653" s="8"/>
      <c r="R2653" s="97">
        <f>P_2_minQ+(R2650^2*R_dn)-dpdn_minQ</f>
        <v>60</v>
      </c>
      <c r="S2653" s="106"/>
      <c r="T2653" s="22"/>
      <c r="U2653" s="97">
        <f ca="1">P_2_minQ+(U2650^2*R_dn)-dpdn_minQ</f>
        <v>60</v>
      </c>
      <c r="V2653" s="107"/>
      <c r="W2653" s="1"/>
      <c r="X2653" s="97">
        <f ca="1">P_2_minQ+(X2650^2*R_dn)-dpdn_minQ</f>
        <v>60</v>
      </c>
      <c r="Y2653" s="107"/>
      <c r="Z2653" s="1"/>
      <c r="AA2653" s="97">
        <f ca="1">P_2_minQ+(AA2650^2*R_dn)-dpdn_minQ</f>
        <v>60</v>
      </c>
      <c r="AB2653" s="107"/>
      <c r="AC2653" s="1"/>
      <c r="AD2653" s="97">
        <f ca="1">P_2_minQ+(AD2650^2*R_dn)-dpdn_minQ</f>
        <v>60</v>
      </c>
      <c r="AE2653" s="107"/>
      <c r="AF2653" s="1"/>
      <c r="AG2653" s="97">
        <f ca="1">P_2_minQ+(AG2650^2*R_dn)-dpdn_minQ</f>
        <v>60</v>
      </c>
      <c r="AH2653" s="107"/>
      <c r="AI2653" s="1"/>
      <c r="AJ2653" s="97">
        <f ca="1">P_2_minQ+(AJ2650^2*R_dn)-dpdn_minQ</f>
        <v>60</v>
      </c>
      <c r="AK2653" s="107"/>
      <c r="AL2653" s="1"/>
      <c r="AM2653" s="97">
        <f ca="1">P_2_minQ+(AM2650^2*R_dn)-dpdn_minQ</f>
        <v>60</v>
      </c>
      <c r="AN2653" s="107"/>
      <c r="AO2653" s="1"/>
      <c r="AP2653" s="97">
        <f ca="1">P_2_minQ+(AP2650^2*R_dn)-dpdn_minQ</f>
        <v>60</v>
      </c>
      <c r="AQ2653" s="107"/>
      <c r="AR2653" s="1"/>
      <c r="AS2653" s="97">
        <f ca="1">P_2_minQ+(AS2650^2*R_dn)-dpdn_minQ</f>
        <v>60</v>
      </c>
      <c r="AT2653" s="107"/>
      <c r="AU2653" s="1"/>
    </row>
    <row r="2654" spans="15:47" x14ac:dyDescent="0.25">
      <c r="O2654" s="8" t="s">
        <v>138</v>
      </c>
      <c r="P2654" s="1"/>
      <c r="Q2654" s="8"/>
      <c r="R2654" s="97">
        <f>R2652-R2653</f>
        <v>30.154580445793698</v>
      </c>
      <c r="S2654" s="106"/>
      <c r="T2654" s="22"/>
      <c r="U2654" s="97">
        <f ca="1">U2652-U2653</f>
        <v>29.15246178712151</v>
      </c>
      <c r="V2654" s="110"/>
      <c r="W2654" s="25"/>
      <c r="X2654" s="97">
        <f ca="1">X2652-X2653</f>
        <v>23.993902862461695</v>
      </c>
      <c r="Y2654" s="110"/>
      <c r="Z2654" s="25"/>
      <c r="AA2654" s="97">
        <f ca="1">AA2652-AA2653</f>
        <v>6.697661945358675</v>
      </c>
      <c r="AB2654" s="110"/>
      <c r="AC2654" s="25"/>
      <c r="AD2654" s="97">
        <f ca="1">AD2652-AD2653</f>
        <v>-35.92347748264757</v>
      </c>
      <c r="AE2654" s="110"/>
      <c r="AF2654" s="25"/>
      <c r="AG2654" s="97">
        <f ca="1">AG2652-AG2653</f>
        <v>-110.64063038500743</v>
      </c>
      <c r="AH2654" s="110"/>
      <c r="AI2654" s="25"/>
      <c r="AJ2654" s="97">
        <f ca="1">AJ2652-AJ2653</f>
        <v>-220.61148081552568</v>
      </c>
      <c r="AK2654" s="110"/>
      <c r="AL2654" s="25"/>
      <c r="AM2654" s="97">
        <f ca="1">AM2652-AM2653</f>
        <v>-343.21680461156245</v>
      </c>
      <c r="AN2654" s="110"/>
      <c r="AO2654" s="25"/>
      <c r="AP2654" s="97">
        <f ca="1">AP2652-AP2653</f>
        <v>-473.10423142744941</v>
      </c>
      <c r="AQ2654" s="110"/>
      <c r="AR2654" s="25"/>
      <c r="AS2654" s="97">
        <f ca="1">AS2652-AS2653</f>
        <v>-661.80785255269336</v>
      </c>
      <c r="AT2654" s="110"/>
      <c r="AU2654" s="25"/>
    </row>
    <row r="2655" spans="15:47" ht="14.4" x14ac:dyDescent="0.3">
      <c r="O2655" s="2" t="s">
        <v>140</v>
      </c>
      <c r="P2655" s="11"/>
      <c r="Q2655" s="2"/>
      <c r="R2655" s="96">
        <f>R2654/R2652</f>
        <v>0.33447641036857167</v>
      </c>
      <c r="S2655" s="106"/>
      <c r="T2655" s="22"/>
      <c r="U2655" s="96">
        <f ca="1">U2654/U2652</f>
        <v>0.32699558938408047</v>
      </c>
      <c r="V2655" s="111"/>
      <c r="W2655" s="28"/>
      <c r="X2655" s="96">
        <f ca="1">X2654/X2652</f>
        <v>0.28566243554310389</v>
      </c>
      <c r="Y2655" s="111"/>
      <c r="Z2655" s="28"/>
      <c r="AA2655" s="96">
        <f ca="1">AA2654/AA2652</f>
        <v>0.10041824180952041</v>
      </c>
      <c r="AB2655" s="111"/>
      <c r="AC2655" s="28"/>
      <c r="AD2655" s="96">
        <f ca="1">AD2654/AD2652</f>
        <v>-1.4920542390105052</v>
      </c>
      <c r="AE2655" s="111"/>
      <c r="AF2655" s="28"/>
      <c r="AG2655" s="96">
        <f ca="1">AG2654/AG2652</f>
        <v>2.1848193741633102</v>
      </c>
      <c r="AH2655" s="111"/>
      <c r="AI2655" s="28"/>
      <c r="AJ2655" s="96">
        <f ca="1">AJ2654/AJ2652</f>
        <v>1.3735722981653753</v>
      </c>
      <c r="AK2655" s="111"/>
      <c r="AL2655" s="28"/>
      <c r="AM2655" s="96">
        <f ca="1">AM2654/AM2652</f>
        <v>1.2118518358481278</v>
      </c>
      <c r="AN2655" s="111"/>
      <c r="AO2655" s="28"/>
      <c r="AP2655" s="96">
        <f ca="1">AP2654/AP2652</f>
        <v>1.1452417947709581</v>
      </c>
      <c r="AQ2655" s="111"/>
      <c r="AR2655" s="28"/>
      <c r="AS2655" s="96">
        <f ca="1">AS2654/AS2652</f>
        <v>1.0996995963836256</v>
      </c>
      <c r="AT2655" s="111"/>
      <c r="AU2655" s="28"/>
    </row>
    <row r="2656" spans="15:47" x14ac:dyDescent="0.25">
      <c r="O2656" s="2" t="s">
        <v>21</v>
      </c>
      <c r="P2656" s="8">
        <v>12</v>
      </c>
      <c r="Q2656" s="2"/>
      <c r="R2656" s="96">
        <f ca="1">1-R2655/(3*F_GAMMA*R$29)</f>
        <v>0.82580161948323938</v>
      </c>
      <c r="S2656" s="106"/>
      <c r="T2656" s="22"/>
      <c r="U2656" s="96">
        <f ca="1">1-U2655/(3*F_GAMMA*U$29)</f>
        <v>0.82973726341070742</v>
      </c>
      <c r="V2656" s="111"/>
      <c r="W2656" s="28"/>
      <c r="X2656" s="96">
        <f ca="1">1-X2655/(3*F_GAMMA*X$29)</f>
        <v>0.84984230381386461</v>
      </c>
      <c r="Y2656" s="111"/>
      <c r="Z2656" s="28"/>
      <c r="AA2656" s="96">
        <f ca="1">1-AA2655/(3*F_GAMMA*AA$29)</f>
        <v>0.94647136367703222</v>
      </c>
      <c r="AB2656" s="111"/>
      <c r="AC2656" s="28"/>
      <c r="AD2656" s="96">
        <f ca="1">1-AD2655/(3*F_GAMMA*AD$29)</f>
        <v>1.8200169246470983</v>
      </c>
      <c r="AE2656" s="111"/>
      <c r="AF2656" s="28"/>
      <c r="AG2656" s="96">
        <f ca="1">1-AG2655/(3*F_GAMMA*AG$29)</f>
        <v>-0.2728057834228157</v>
      </c>
      <c r="AH2656" s="111"/>
      <c r="AI2656" s="28"/>
      <c r="AJ2656" s="96">
        <f ca="1">1-AJ2655/(3*F_GAMMA*AJ$29)</f>
        <v>0.13909519055344044</v>
      </c>
      <c r="AK2656" s="111"/>
      <c r="AL2656" s="28"/>
      <c r="AM2656" s="96">
        <f ca="1">1-AM2655/(3*F_GAMMA*AM$29)</f>
        <v>0.15076680905900486</v>
      </c>
      <c r="AN2656" s="111"/>
      <c r="AO2656" s="28"/>
      <c r="AP2656" s="96">
        <f ca="1">1-AP2655/(3*F_GAMMA*AP$29)</f>
        <v>0.3535641246355169</v>
      </c>
      <c r="AQ2656" s="111"/>
      <c r="AR2656" s="28"/>
      <c r="AS2656" s="96">
        <f ca="1">1-AS2655/(3*F_GAMMA*AS$29)</f>
        <v>2.6874683375602171E-2</v>
      </c>
      <c r="AT2656" s="111"/>
      <c r="AU2656" s="28"/>
    </row>
    <row r="2657" spans="15:47" x14ac:dyDescent="0.25">
      <c r="O2657" s="2" t="s">
        <v>57</v>
      </c>
      <c r="P2657" s="143">
        <v>7</v>
      </c>
      <c r="Q2657" s="2"/>
      <c r="R2657" s="96">
        <f ca="1">(R2650/(N_9*R$27*R2652*R2656))*SQRT(M*'Valve Sizing'!$W$6*'Valve Sizing'!$G$8/R2655)</f>
        <v>5.2234632501282343</v>
      </c>
      <c r="S2657" s="107"/>
      <c r="T2657" s="22"/>
      <c r="U2657" s="96">
        <f ca="1">(U2650/(N_9*U$27*U2652*U2656))*SQRT(M*'Valve Sizing'!$W$6*'Valve Sizing'!$G$8/U2655)</f>
        <v>30.977105703212224</v>
      </c>
      <c r="V2657" s="111"/>
      <c r="W2657" s="28"/>
      <c r="X2657" s="96">
        <f ca="1">(X2650/(N_9*X$27*X2652*X2656))*SQRT(M*'Valve Sizing'!$W$6*'Valve Sizing'!$G$8/X2655)</f>
        <v>84.293732651841708</v>
      </c>
      <c r="Y2657" s="111"/>
      <c r="Z2657" s="28"/>
      <c r="AA2657" s="96">
        <f ca="1">(AA2650/(N_9*AA$27*AA2652*AA2656))*SQRT(M*'Valve Sizing'!$W$6*'Valve Sizing'!$G$8/AA2655)</f>
        <v>314.98163086992628</v>
      </c>
      <c r="AB2657" s="111"/>
      <c r="AC2657" s="28"/>
      <c r="AD2657" s="96" t="e">
        <f ca="1">(AD2650/(N_9*AD$27*AD2652*AD2656))*SQRT(M*'Valve Sizing'!$W$6*'Valve Sizing'!$G$8/AD2655)</f>
        <v>#NUM!</v>
      </c>
      <c r="AE2657" s="111"/>
      <c r="AF2657" s="28"/>
      <c r="AG2657" s="96">
        <f ca="1">(AG2650/(N_9*AG$27*AG2652*AG2656))*SQRT(M*'Valve Sizing'!$W$6*'Valve Sizing'!$G$8/AG2655)</f>
        <v>782.14097811195836</v>
      </c>
      <c r="AH2657" s="111"/>
      <c r="AI2657" s="28"/>
      <c r="AJ2657" s="96">
        <f ca="1">(AJ2650/(N_9*AJ$27*AJ2652*AJ2656))*SQRT(M*'Valve Sizing'!$W$6*'Valve Sizing'!$G$8/AJ2655)</f>
        <v>-843.47827769011474</v>
      </c>
      <c r="AK2657" s="111"/>
      <c r="AL2657" s="28"/>
      <c r="AM2657" s="96">
        <f ca="1">(AM2650/(N_9*AM$27*AM2652*AM2656))*SQRT(M*'Valve Sizing'!$W$6*'Valve Sizing'!$G$8/AM2655)</f>
        <v>-608.25404839596922</v>
      </c>
      <c r="AN2657" s="111"/>
      <c r="AO2657" s="28"/>
      <c r="AP2657" s="96">
        <f ca="1">(AP2650/(N_9*AP$27*AP2652*AP2656))*SQRT(M*'Valve Sizing'!$W$6*'Valve Sizing'!$G$8/AP2655)</f>
        <v>-241.71031007118884</v>
      </c>
      <c r="AQ2657" s="111"/>
      <c r="AR2657" s="28"/>
      <c r="AS2657" s="96">
        <f ca="1">(AS2650/(N_9*AS$27*AS2652*AS2656))*SQRT(M*'Valve Sizing'!$W$6*'Valve Sizing'!$G$8/AS2655)</f>
        <v>-3498.5039291726948</v>
      </c>
      <c r="AT2657" s="111"/>
      <c r="AU2657" s="28"/>
    </row>
    <row r="2658" spans="15:47" x14ac:dyDescent="0.25">
      <c r="O2658" s="2" t="s">
        <v>59</v>
      </c>
      <c r="P2658" s="143">
        <v>7</v>
      </c>
      <c r="Q2658" s="2"/>
      <c r="R2658" s="96">
        <f ca="1">(R2650/(N_9*R$27*R2652*0.667))*SQRT(M*'Valve Sizing'!$W$6*'Valve Sizing'!$G$8/R2659)</f>
        <v>4.675102357303885</v>
      </c>
      <c r="S2658" s="107"/>
      <c r="T2658" s="22"/>
      <c r="U2658" s="96">
        <f ca="1">(U2650/(N_9*U$27*U2652*0.667))*SQRT(M*'Valve Sizing'!$W$6*'Valve Sizing'!$G$8/U2659)</f>
        <v>27.540766966617962</v>
      </c>
      <c r="V2658" s="111"/>
      <c r="W2658" s="28"/>
      <c r="X2658" s="96">
        <f ca="1">(X2650/(N_9*X$27*X2652*0.667))*SQRT(M*'Valve Sizing'!$W$6*'Valve Sizing'!$G$8/X2659)</f>
        <v>72.084555191615436</v>
      </c>
      <c r="Y2658" s="111"/>
      <c r="Z2658" s="28"/>
      <c r="AA2658" s="96">
        <f ca="1">(AA2650/(N_9*AA$27*AA2652*0.667))*SQRT(M*'Valve Sizing'!$W$6*'Valve Sizing'!$G$8/AA2659)</f>
        <v>179.11031145155951</v>
      </c>
      <c r="AB2658" s="111"/>
      <c r="AC2658" s="28"/>
      <c r="AD2658" s="96">
        <f ca="1">(AD2650/(N_9*AD$27*AD2652*0.667))*SQRT(M*'Valve Sizing'!$W$6*'Valve Sizing'!$G$8/AD2659)</f>
        <v>855.71294969193286</v>
      </c>
      <c r="AE2658" s="111"/>
      <c r="AF2658" s="28"/>
      <c r="AG2658" s="96">
        <f ca="1">(AG2650/(N_9*AG$27*AG2652*0.667))*SQRT(M*'Valve Sizing'!$W$6*'Valve Sizing'!$G$8/AG2659)</f>
        <v>-625.10716469520673</v>
      </c>
      <c r="AH2658" s="111"/>
      <c r="AI2658" s="28"/>
      <c r="AJ2658" s="96">
        <f ca="1">(AJ2650/(N_9*AJ$27*AJ2652*0.667))*SQRT(M*'Valve Sizing'!$W$6*'Valve Sizing'!$G$8/AJ2659)</f>
        <v>-282.68214417291119</v>
      </c>
      <c r="AK2658" s="111"/>
      <c r="AL2658" s="28"/>
      <c r="AM2658" s="96">
        <f ca="1">(AM2650/(N_9*AM$27*AM2652*0.667))*SQRT(M*'Valve Sizing'!$W$6*'Valve Sizing'!$G$8/AM2659)</f>
        <v>-219.45173794612313</v>
      </c>
      <c r="AN2658" s="111"/>
      <c r="AO2658" s="28"/>
      <c r="AP2658" s="96">
        <f ca="1">(AP2650/(N_9*AP$27*AP2652*0.667))*SQRT(M*'Valve Sizing'!$W$6*'Valve Sizing'!$G$8/AP2659)</f>
        <v>-178.42712834603097</v>
      </c>
      <c r="AQ2658" s="111"/>
      <c r="AR2658" s="28"/>
      <c r="AS2658" s="96">
        <f ca="1">(AS2650/(N_9*AS$27*AS2652*0.667))*SQRT(M*'Valve Sizing'!$W$6*'Valve Sizing'!$G$8/AS2659)</f>
        <v>-240.84902988765353</v>
      </c>
      <c r="AT2658" s="111"/>
      <c r="AU2658" s="28"/>
    </row>
    <row r="2659" spans="15:47" ht="15.6" x14ac:dyDescent="0.35">
      <c r="O2659" s="2" t="s">
        <v>68</v>
      </c>
      <c r="P2659" s="143">
        <v>10</v>
      </c>
      <c r="Q2659" s="2"/>
      <c r="R2659" s="96">
        <f ca="1">F_GAMMA*R$29</f>
        <v>0.64002969751372984</v>
      </c>
      <c r="S2659" s="107"/>
      <c r="T2659" s="1"/>
      <c r="U2659" s="96">
        <f ca="1">F_GAMMA*U$29</f>
        <v>0.64017842058782071</v>
      </c>
      <c r="V2659" s="111"/>
      <c r="W2659" s="28"/>
      <c r="X2659" s="96">
        <f ca="1">F_GAMMA*X$29</f>
        <v>0.63413873724904268</v>
      </c>
      <c r="Y2659" s="111"/>
      <c r="Z2659" s="28"/>
      <c r="AA2659" s="96">
        <f ca="1">F_GAMMA*AA$29</f>
        <v>0.62532411750377137</v>
      </c>
      <c r="AB2659" s="111"/>
      <c r="AC2659" s="28"/>
      <c r="AD2659" s="96">
        <f ca="1">F_GAMMA*AD$29</f>
        <v>0.60651359509139569</v>
      </c>
      <c r="AE2659" s="111"/>
      <c r="AF2659" s="28"/>
      <c r="AG2659" s="96">
        <f ca="1">F_GAMMA*AG$29</f>
        <v>0.57217930198481592</v>
      </c>
      <c r="AH2659" s="111"/>
      <c r="AI2659" s="28"/>
      <c r="AJ2659" s="96">
        <f ca="1">F_GAMMA*AJ$29</f>
        <v>0.53183282018848232</v>
      </c>
      <c r="AK2659" s="111"/>
      <c r="AL2659" s="28"/>
      <c r="AM2659" s="96">
        <f ca="1">F_GAMMA*AM$29</f>
        <v>0.47566512503094399</v>
      </c>
      <c r="AN2659" s="111"/>
      <c r="AO2659" s="28"/>
      <c r="AP2659" s="96">
        <f ca="1">F_GAMMA*AP$29</f>
        <v>0.59054158265645496</v>
      </c>
      <c r="AQ2659" s="111"/>
      <c r="AR2659" s="28"/>
      <c r="AS2659" s="96">
        <f ca="1">F_GAMMA*AS$29</f>
        <v>0.3766899554102966</v>
      </c>
      <c r="AT2659" s="111"/>
      <c r="AU2659" s="28"/>
    </row>
    <row r="2660" spans="15:47" x14ac:dyDescent="0.25">
      <c r="O2660" s="2" t="s">
        <v>145</v>
      </c>
      <c r="P2660" s="12"/>
      <c r="Q2660" s="2"/>
      <c r="R2660" s="96">
        <f ca="1">IF(R2655&lt;R2659,R2657,R2658)</f>
        <v>5.2234632501282343</v>
      </c>
      <c r="S2660" s="116"/>
      <c r="T2660" s="1"/>
      <c r="U2660" s="96">
        <f ca="1">IF(U2655&lt;U2659,U2657,U2658)</f>
        <v>30.977105703212224</v>
      </c>
      <c r="V2660" s="111"/>
      <c r="W2660" s="28"/>
      <c r="X2660" s="96">
        <f ca="1">IF(X2655&lt;X2659,X2657,X2658)</f>
        <v>84.293732651841708</v>
      </c>
      <c r="Y2660" s="111"/>
      <c r="Z2660" s="28"/>
      <c r="AA2660" s="96">
        <f ca="1">IF(AA2655&lt;AA2659,AA2657,AA2658)</f>
        <v>314.98163086992628</v>
      </c>
      <c r="AB2660" s="111"/>
      <c r="AC2660" s="28"/>
      <c r="AD2660" s="96" t="e">
        <f ca="1">IF(AD2655&lt;AD2659,AD2657,AD2658)</f>
        <v>#NUM!</v>
      </c>
      <c r="AE2660" s="111"/>
      <c r="AF2660" s="28"/>
      <c r="AG2660" s="96">
        <f ca="1">IF(AG2655&lt;AG2659,AG2657,AG2658)</f>
        <v>-625.10716469520673</v>
      </c>
      <c r="AH2660" s="111"/>
      <c r="AI2660" s="28"/>
      <c r="AJ2660" s="96">
        <f ca="1">IF(AJ2655&lt;AJ2659,AJ2657,AJ2658)</f>
        <v>-282.68214417291119</v>
      </c>
      <c r="AK2660" s="111"/>
      <c r="AL2660" s="28"/>
      <c r="AM2660" s="96">
        <f ca="1">IF(AM2655&lt;AM2659,AM2657,AM2658)</f>
        <v>-219.45173794612313</v>
      </c>
      <c r="AN2660" s="111"/>
      <c r="AO2660" s="28"/>
      <c r="AP2660" s="96">
        <f ca="1">IF(AP2655&lt;AP2659,AP2657,AP2658)</f>
        <v>-178.42712834603097</v>
      </c>
      <c r="AQ2660" s="111"/>
      <c r="AR2660" s="28"/>
      <c r="AS2660" s="96">
        <f ca="1">IF(AS2655&lt;AS2659,AS2657,AS2658)</f>
        <v>-240.84902988765353</v>
      </c>
      <c r="AT2660" s="111"/>
      <c r="AU2660" s="28"/>
    </row>
    <row r="2661" spans="15:47" x14ac:dyDescent="0.25">
      <c r="O2661" s="13" t="s">
        <v>143</v>
      </c>
      <c r="P2661" s="1"/>
      <c r="Q2661" s="1"/>
      <c r="R2661" s="113"/>
      <c r="S2661" s="106">
        <f ca="1">IF(R2654&lt;=0,Q_max,ABS(R$23-R2660))</f>
        <v>0.49346325012823389</v>
      </c>
      <c r="T2661" s="7">
        <f>R2650</f>
        <v>12927.626109887424</v>
      </c>
      <c r="U2661" s="98"/>
      <c r="V2661" s="106">
        <f ca="1">IF(U2654&lt;=0,Q_max,ABS(U$23-U2660))</f>
        <v>19.377105703212223</v>
      </c>
      <c r="W2661" s="9">
        <f ca="1">U2650</f>
        <v>75268.770430945675</v>
      </c>
      <c r="X2661" s="98"/>
      <c r="Y2661" s="106">
        <f ca="1">IF(X2654&lt;=0,Q_max,ABS(X$23-X2660))</f>
        <v>61.293732651841708</v>
      </c>
      <c r="Z2661" s="9">
        <f ca="1">X2650</f>
        <v>184305.57065782914</v>
      </c>
      <c r="AA2661" s="98"/>
      <c r="AB2661" s="106">
        <f ca="1">IF(AA2654&lt;=0,Q_max,ABS(AA$23-AA2660))</f>
        <v>275.5816308699263</v>
      </c>
      <c r="AC2661" s="9">
        <f ca="1">AA2650</f>
        <v>358980.20848988666</v>
      </c>
      <c r="AD2661" s="98"/>
      <c r="AE2661" s="106">
        <f ca="1">IF(AD2654&lt;=0,Q_max,ABS(AD$23-AD2660))</f>
        <v>236393</v>
      </c>
      <c r="AF2661" s="9">
        <f ca="1">AD2650</f>
        <v>602257.11880794086</v>
      </c>
      <c r="AG2661" s="98"/>
      <c r="AH2661" s="106">
        <f ca="1">IF(AG2654&lt;=0,Q_max,ABS(AG$23-AG2660))</f>
        <v>236393</v>
      </c>
      <c r="AI2661" s="9">
        <f ca="1">AG2650</f>
        <v>879010.66806046048</v>
      </c>
      <c r="AJ2661" s="98"/>
      <c r="AK2661" s="106">
        <f ca="1">IF(AJ2654&lt;=0,Q_max,ABS(AJ$23-AJ2660))</f>
        <v>236393</v>
      </c>
      <c r="AL2661" s="9">
        <f ca="1">AJ2650</f>
        <v>1173043.1440706383</v>
      </c>
      <c r="AM2661" s="98"/>
      <c r="AN2661" s="106">
        <f ca="1">IF(AM2654&lt;=0,Q_max,ABS(AM$23-AM2660))</f>
        <v>236393</v>
      </c>
      <c r="AO2661" s="9">
        <f ca="1">AM2650</f>
        <v>1431335.5608242413</v>
      </c>
      <c r="AP2661" s="98"/>
      <c r="AQ2661" s="106">
        <f ca="1">IF(AP2654&lt;=0,Q_max,ABS(AP$23-AP2660))</f>
        <v>236393</v>
      </c>
      <c r="AR2661" s="9">
        <f ca="1">AP2650</f>
        <v>1661736.1508340503</v>
      </c>
      <c r="AS2661" s="98"/>
      <c r="AT2661" s="106">
        <f ca="1">IF(AS2654&lt;=0,Q_max,ABS(AS$23-AS2660))</f>
        <v>236393</v>
      </c>
      <c r="AU2661" s="9">
        <f ca="1">AS2650</f>
        <v>1948516.3239657136</v>
      </c>
    </row>
    <row r="2662" spans="15:47" x14ac:dyDescent="0.25">
      <c r="O2662" s="21"/>
      <c r="P2662" s="14"/>
      <c r="Q2662" s="21"/>
      <c r="R2662" s="97"/>
      <c r="S2662" s="106"/>
      <c r="T2662" s="28"/>
      <c r="U2662" s="99"/>
      <c r="V2662" s="110"/>
      <c r="W2662" s="25"/>
      <c r="X2662" s="99"/>
      <c r="Y2662" s="110"/>
      <c r="Z2662" s="25"/>
      <c r="AA2662" s="99"/>
      <c r="AB2662" s="110"/>
      <c r="AC2662" s="25"/>
      <c r="AD2662" s="99"/>
      <c r="AE2662" s="110"/>
      <c r="AF2662" s="25"/>
      <c r="AG2662" s="99"/>
      <c r="AH2662" s="110"/>
      <c r="AI2662" s="25"/>
      <c r="AJ2662" s="99"/>
      <c r="AK2662" s="110"/>
      <c r="AL2662" s="25"/>
      <c r="AM2662" s="99"/>
      <c r="AN2662" s="110"/>
      <c r="AO2662" s="25"/>
      <c r="AP2662" s="99"/>
      <c r="AQ2662" s="110"/>
      <c r="AR2662" s="25"/>
      <c r="AS2662" s="99"/>
      <c r="AT2662" s="110"/>
      <c r="AU2662" s="25"/>
    </row>
    <row r="2663" spans="15:47" x14ac:dyDescent="0.25">
      <c r="O2663" s="1"/>
      <c r="P2663" s="1"/>
      <c r="Q2663" s="1"/>
      <c r="R2663" s="98"/>
      <c r="S2663" s="108" t="s">
        <v>137</v>
      </c>
      <c r="T2663" s="26" t="s">
        <v>146</v>
      </c>
      <c r="U2663" s="98"/>
      <c r="V2663" s="108" t="s">
        <v>137</v>
      </c>
      <c r="W2663" s="26" t="s">
        <v>146</v>
      </c>
      <c r="X2663" s="98"/>
      <c r="Y2663" s="108" t="s">
        <v>137</v>
      </c>
      <c r="Z2663" s="26" t="s">
        <v>146</v>
      </c>
      <c r="AA2663" s="98"/>
      <c r="AB2663" s="108" t="s">
        <v>137</v>
      </c>
      <c r="AC2663" s="26" t="s">
        <v>146</v>
      </c>
      <c r="AD2663" s="98"/>
      <c r="AE2663" s="108" t="s">
        <v>137</v>
      </c>
      <c r="AF2663" s="26" t="s">
        <v>146</v>
      </c>
      <c r="AG2663" s="98"/>
      <c r="AH2663" s="108" t="s">
        <v>137</v>
      </c>
      <c r="AI2663" s="26" t="s">
        <v>146</v>
      </c>
      <c r="AJ2663" s="98"/>
      <c r="AK2663" s="108" t="s">
        <v>137</v>
      </c>
      <c r="AL2663" s="26" t="s">
        <v>146</v>
      </c>
      <c r="AM2663" s="98"/>
      <c r="AN2663" s="108" t="s">
        <v>137</v>
      </c>
      <c r="AO2663" s="26" t="s">
        <v>146</v>
      </c>
      <c r="AP2663" s="98"/>
      <c r="AQ2663" s="108" t="s">
        <v>137</v>
      </c>
      <c r="AR2663" s="26" t="s">
        <v>146</v>
      </c>
      <c r="AS2663" s="98"/>
      <c r="AT2663" s="108" t="s">
        <v>137</v>
      </c>
      <c r="AU2663" s="26" t="s">
        <v>146</v>
      </c>
    </row>
    <row r="2664" spans="15:47" ht="13.8" x14ac:dyDescent="0.25">
      <c r="O2664" s="20" t="s">
        <v>136</v>
      </c>
      <c r="P2664" s="1"/>
      <c r="Q2664" s="1"/>
      <c r="R2664" s="96">
        <f>R2650*1.02</f>
        <v>13186.178632085173</v>
      </c>
      <c r="S2664" s="109" t="s">
        <v>144</v>
      </c>
      <c r="T2664" s="23" t="s">
        <v>147</v>
      </c>
      <c r="U2664" s="96">
        <f ca="1">U2650*1.01</f>
        <v>76021.458135255132</v>
      </c>
      <c r="V2664" s="109" t="s">
        <v>144</v>
      </c>
      <c r="W2664" s="23" t="s">
        <v>147</v>
      </c>
      <c r="X2664" s="96">
        <f ca="1">X2650*1.01</f>
        <v>186148.62636440745</v>
      </c>
      <c r="Y2664" s="109" t="s">
        <v>144</v>
      </c>
      <c r="Z2664" s="23" t="s">
        <v>147</v>
      </c>
      <c r="AA2664" s="96">
        <f ca="1">AA2650*1.01</f>
        <v>362570.01057478553</v>
      </c>
      <c r="AB2664" s="109" t="s">
        <v>144</v>
      </c>
      <c r="AC2664" s="23" t="s">
        <v>147</v>
      </c>
      <c r="AD2664" s="96">
        <f ca="1">AD2650*1.01</f>
        <v>608279.68999602029</v>
      </c>
      <c r="AE2664" s="109" t="s">
        <v>144</v>
      </c>
      <c r="AF2664" s="23" t="s">
        <v>147</v>
      </c>
      <c r="AG2664" s="96">
        <f ca="1">AG2650*1.01</f>
        <v>887800.77474106511</v>
      </c>
      <c r="AH2664" s="109" t="s">
        <v>144</v>
      </c>
      <c r="AI2664" s="23" t="s">
        <v>147</v>
      </c>
      <c r="AJ2664" s="96">
        <f ca="1">AJ2650*1.01</f>
        <v>1184773.5755113447</v>
      </c>
      <c r="AK2664" s="109" t="s">
        <v>144</v>
      </c>
      <c r="AL2664" s="23" t="s">
        <v>147</v>
      </c>
      <c r="AM2664" s="96">
        <f ca="1">AM2650*1.01</f>
        <v>1445648.9164324836</v>
      </c>
      <c r="AN2664" s="109" t="s">
        <v>144</v>
      </c>
      <c r="AO2664" s="23" t="s">
        <v>147</v>
      </c>
      <c r="AP2664" s="96">
        <f ca="1">AP2650*1.01</f>
        <v>1678353.5123423908</v>
      </c>
      <c r="AQ2664" s="109" t="s">
        <v>144</v>
      </c>
      <c r="AR2664" s="23" t="s">
        <v>147</v>
      </c>
      <c r="AS2664" s="96">
        <f ca="1">AS2650*1.01</f>
        <v>1968001.4872053708</v>
      </c>
      <c r="AT2664" s="109" t="s">
        <v>144</v>
      </c>
      <c r="AU2664" s="23" t="s">
        <v>147</v>
      </c>
    </row>
    <row r="2665" spans="15:47" x14ac:dyDescent="0.25">
      <c r="O2665" s="1"/>
      <c r="P2665" s="1"/>
      <c r="Q2665" s="1"/>
      <c r="R2665" s="98"/>
      <c r="S2665" s="107"/>
      <c r="T2665" s="1"/>
      <c r="U2665" s="47"/>
      <c r="V2665" s="107"/>
      <c r="W2665" s="1"/>
      <c r="X2665" s="47"/>
      <c r="Y2665" s="107"/>
      <c r="Z2665" s="1"/>
      <c r="AA2665" s="47"/>
      <c r="AB2665" s="107"/>
      <c r="AC2665" s="1"/>
      <c r="AD2665" s="47"/>
      <c r="AE2665" s="107"/>
      <c r="AF2665" s="1"/>
      <c r="AG2665" s="47"/>
      <c r="AH2665" s="107"/>
      <c r="AI2665" s="1"/>
      <c r="AJ2665" s="47"/>
      <c r="AK2665" s="107"/>
      <c r="AL2665" s="1"/>
      <c r="AM2665" s="47"/>
      <c r="AN2665" s="107"/>
      <c r="AO2665" s="1"/>
      <c r="AP2665" s="47"/>
      <c r="AQ2665" s="107"/>
      <c r="AR2665" s="1"/>
      <c r="AS2665" s="47"/>
      <c r="AT2665" s="107"/>
      <c r="AU2665" s="1"/>
    </row>
    <row r="2666" spans="15:47" x14ac:dyDescent="0.25">
      <c r="O2666" s="8" t="s">
        <v>132</v>
      </c>
      <c r="P2666" s="8"/>
      <c r="Q2666" s="8"/>
      <c r="R2666" s="96">
        <f>P_1_minQ-(R2664^2*R_up)+dpup_minQ</f>
        <v>90.153349858381446</v>
      </c>
      <c r="S2666" s="106"/>
      <c r="T2666" s="22"/>
      <c r="U2666" s="96">
        <f ca="1">P_1_minQ-(U2664^2*R_up)+dpup_minQ</f>
        <v>89.131706954384526</v>
      </c>
      <c r="V2666" s="107"/>
      <c r="W2666" s="1"/>
      <c r="X2666" s="96">
        <f ca="1">P_1_minQ-(X2664^2*R_up)+dpup_minQ</f>
        <v>83.86946099533904</v>
      </c>
      <c r="Y2666" s="107"/>
      <c r="Z2666" s="1"/>
      <c r="AA2666" s="96">
        <f ca="1">P_1_minQ-(AA2664^2*R_up)+dpup_minQ</f>
        <v>66.225565635802241</v>
      </c>
      <c r="AB2666" s="107"/>
      <c r="AC2666" s="1"/>
      <c r="AD2666" s="96">
        <f ca="1">P_1_minQ-(AD2664^2*R_up)+dpup_minQ</f>
        <v>22.747741305293076</v>
      </c>
      <c r="AE2666" s="107"/>
      <c r="AF2666" s="1"/>
      <c r="AG2666" s="96">
        <f ca="1">P_1_minQ-(AG2664^2*R_up)+dpup_minQ</f>
        <v>-53.471226370404224</v>
      </c>
      <c r="AH2666" s="107"/>
      <c r="AI2666" s="1"/>
      <c r="AJ2666" s="96">
        <f ca="1">P_1_minQ-(AJ2664^2*R_up)+dpup_minQ</f>
        <v>-165.65249089457586</v>
      </c>
      <c r="AK2666" s="107"/>
      <c r="AL2666" s="1"/>
      <c r="AM2666" s="96">
        <f ca="1">P_1_minQ-(AM2664^2*R_up)+dpup_minQ</f>
        <v>-290.72218169891295</v>
      </c>
      <c r="AN2666" s="107"/>
      <c r="AO2666" s="1"/>
      <c r="AP2666" s="96">
        <f ca="1">P_1_minQ-(AP2664^2*R_up)+dpup_minQ</f>
        <v>-423.22034579379937</v>
      </c>
      <c r="AQ2666" s="107"/>
      <c r="AR2666" s="1"/>
      <c r="AS2666" s="96">
        <f ca="1">P_1_minQ-(AS2664^2*R_up)+dpup_minQ</f>
        <v>-615.71690970366069</v>
      </c>
      <c r="AT2666" s="107"/>
      <c r="AU2666" s="1"/>
    </row>
    <row r="2667" spans="15:47" x14ac:dyDescent="0.25">
      <c r="O2667" s="8" t="s">
        <v>134</v>
      </c>
      <c r="P2667" s="1"/>
      <c r="Q2667" s="8"/>
      <c r="R2667" s="97">
        <f>P_2_minQ+(R2664^2*R_dn)-dpdn_minQ</f>
        <v>60</v>
      </c>
      <c r="S2667" s="106"/>
      <c r="T2667" s="22"/>
      <c r="U2667" s="97">
        <f ca="1">P_2_minQ+(U2664^2*R_dn)-dpdn_minQ</f>
        <v>60</v>
      </c>
      <c r="V2667" s="107"/>
      <c r="W2667" s="1"/>
      <c r="X2667" s="97">
        <f ca="1">P_2_minQ+(X2664^2*R_dn)-dpdn_minQ</f>
        <v>60</v>
      </c>
      <c r="Y2667" s="107"/>
      <c r="Z2667" s="1"/>
      <c r="AA2667" s="97">
        <f ca="1">P_2_minQ+(AA2664^2*R_dn)-dpdn_minQ</f>
        <v>60</v>
      </c>
      <c r="AB2667" s="107"/>
      <c r="AC2667" s="1"/>
      <c r="AD2667" s="97">
        <f ca="1">P_2_minQ+(AD2664^2*R_dn)-dpdn_minQ</f>
        <v>60</v>
      </c>
      <c r="AE2667" s="107"/>
      <c r="AF2667" s="1"/>
      <c r="AG2667" s="97">
        <f ca="1">P_2_minQ+(AG2664^2*R_dn)-dpdn_minQ</f>
        <v>60</v>
      </c>
      <c r="AH2667" s="107"/>
      <c r="AI2667" s="1"/>
      <c r="AJ2667" s="97">
        <f ca="1">P_2_minQ+(AJ2664^2*R_dn)-dpdn_minQ</f>
        <v>60</v>
      </c>
      <c r="AK2667" s="107"/>
      <c r="AL2667" s="1"/>
      <c r="AM2667" s="97">
        <f ca="1">P_2_minQ+(AM2664^2*R_dn)-dpdn_minQ</f>
        <v>60</v>
      </c>
      <c r="AN2667" s="107"/>
      <c r="AO2667" s="1"/>
      <c r="AP2667" s="97">
        <f ca="1">P_2_minQ+(AP2664^2*R_dn)-dpdn_minQ</f>
        <v>60</v>
      </c>
      <c r="AQ2667" s="107"/>
      <c r="AR2667" s="1"/>
      <c r="AS2667" s="97">
        <f ca="1">P_2_minQ+(AS2664^2*R_dn)-dpdn_minQ</f>
        <v>60</v>
      </c>
      <c r="AT2667" s="107"/>
      <c r="AU2667" s="1"/>
    </row>
    <row r="2668" spans="15:47" x14ac:dyDescent="0.25">
      <c r="O2668" s="8" t="s">
        <v>138</v>
      </c>
      <c r="P2668" s="1"/>
      <c r="Q2668" s="8"/>
      <c r="R2668" s="97">
        <f>R2666-R2667</f>
        <v>30.153349858381446</v>
      </c>
      <c r="S2668" s="106"/>
      <c r="T2668" s="22"/>
      <c r="U2668" s="97">
        <f ca="1">U2666-U2667</f>
        <v>29.131706954384526</v>
      </c>
      <c r="V2668" s="110"/>
      <c r="W2668" s="25"/>
      <c r="X2668" s="97">
        <f ca="1">X2666-X2667</f>
        <v>23.86946099533904</v>
      </c>
      <c r="Y2668" s="110"/>
      <c r="Z2668" s="25"/>
      <c r="AA2668" s="97">
        <f ca="1">AA2666-AA2667</f>
        <v>6.2255656358022406</v>
      </c>
      <c r="AB2668" s="110"/>
      <c r="AC2668" s="25"/>
      <c r="AD2668" s="97">
        <f ca="1">AD2666-AD2667</f>
        <v>-37.252258694706924</v>
      </c>
      <c r="AE2668" s="110"/>
      <c r="AF2668" s="25"/>
      <c r="AG2668" s="97">
        <f ca="1">AG2666-AG2667</f>
        <v>-113.47122637040422</v>
      </c>
      <c r="AH2668" s="110"/>
      <c r="AI2668" s="25"/>
      <c r="AJ2668" s="97">
        <f ca="1">AJ2666-AJ2667</f>
        <v>-225.65249089457586</v>
      </c>
      <c r="AK2668" s="110"/>
      <c r="AL2668" s="25"/>
      <c r="AM2668" s="97">
        <f ca="1">AM2666-AM2667</f>
        <v>-350.72218169891295</v>
      </c>
      <c r="AN2668" s="110"/>
      <c r="AO2668" s="25"/>
      <c r="AP2668" s="97">
        <f ca="1">AP2666-AP2667</f>
        <v>-483.22034579379937</v>
      </c>
      <c r="AQ2668" s="110"/>
      <c r="AR2668" s="25"/>
      <c r="AS2668" s="97">
        <f ca="1">AS2666-AS2667</f>
        <v>-675.71690970366069</v>
      </c>
      <c r="AT2668" s="110"/>
      <c r="AU2668" s="25"/>
    </row>
    <row r="2669" spans="15:47" ht="14.4" x14ac:dyDescent="0.3">
      <c r="O2669" s="2" t="s">
        <v>140</v>
      </c>
      <c r="P2669" s="11"/>
      <c r="Q2669" s="2"/>
      <c r="R2669" s="96">
        <f>R2668/R2666</f>
        <v>0.33446732601448781</v>
      </c>
      <c r="S2669" s="106"/>
      <c r="T2669" s="22"/>
      <c r="U2669" s="96">
        <f ca="1">U2668/U2666</f>
        <v>0.32683887642018833</v>
      </c>
      <c r="V2669" s="111"/>
      <c r="W2669" s="28"/>
      <c r="X2669" s="96">
        <f ca="1">X2668/X2666</f>
        <v>0.28460253246012351</v>
      </c>
      <c r="Y2669" s="111"/>
      <c r="Z2669" s="28"/>
      <c r="AA2669" s="96">
        <f ca="1">AA2668/AA2666</f>
        <v>9.4005473204091958E-2</v>
      </c>
      <c r="AB2669" s="111"/>
      <c r="AC2669" s="28"/>
      <c r="AD2669" s="96">
        <f ca="1">AD2668/AD2666</f>
        <v>-1.6376245093854156</v>
      </c>
      <c r="AE2669" s="111"/>
      <c r="AF2669" s="28"/>
      <c r="AG2669" s="96">
        <f ca="1">AG2668/AG2666</f>
        <v>2.1220988197347457</v>
      </c>
      <c r="AH2669" s="111"/>
      <c r="AI2669" s="28"/>
      <c r="AJ2669" s="96">
        <f ca="1">AJ2668/AJ2666</f>
        <v>1.3622040313187023</v>
      </c>
      <c r="AK2669" s="111"/>
      <c r="AL2669" s="28"/>
      <c r="AM2669" s="96">
        <f ca="1">AM2668/AM2666</f>
        <v>1.2063826009056959</v>
      </c>
      <c r="AN2669" s="111"/>
      <c r="AO2669" s="28"/>
      <c r="AP2669" s="96">
        <f ca="1">AP2668/AP2666</f>
        <v>1.1417701218675178</v>
      </c>
      <c r="AQ2669" s="111"/>
      <c r="AR2669" s="28"/>
      <c r="AS2669" s="96">
        <f ca="1">AS2668/AS2666</f>
        <v>1.0974473805321954</v>
      </c>
      <c r="AT2669" s="111"/>
      <c r="AU2669" s="28"/>
    </row>
    <row r="2670" spans="15:47" x14ac:dyDescent="0.25">
      <c r="O2670" s="2" t="s">
        <v>21</v>
      </c>
      <c r="P2670" s="8">
        <v>12</v>
      </c>
      <c r="Q2670" s="2"/>
      <c r="R2670" s="96">
        <f ca="1">1-R2669/(3*F_GAMMA*R$29)</f>
        <v>0.82580635069811859</v>
      </c>
      <c r="S2670" s="106"/>
      <c r="T2670" s="22"/>
      <c r="U2670" s="96">
        <f ca="1">1-U2669/(3*F_GAMMA*U$29)</f>
        <v>0.82981886199783683</v>
      </c>
      <c r="V2670" s="111"/>
      <c r="W2670" s="28"/>
      <c r="X2670" s="96">
        <f ca="1">1-X2669/(3*F_GAMMA*X$29)</f>
        <v>0.85039943903823645</v>
      </c>
      <c r="Y2670" s="111"/>
      <c r="Z2670" s="28"/>
      <c r="AA2670" s="96">
        <f ca="1">1-AA2669/(3*F_GAMMA*AA$29)</f>
        <v>0.9498897342073036</v>
      </c>
      <c r="AB2670" s="111"/>
      <c r="AC2670" s="28"/>
      <c r="AD2670" s="96">
        <f ca="1">1-AD2669/(3*F_GAMMA*AD$29)</f>
        <v>1.9000207759226688</v>
      </c>
      <c r="AE2670" s="111"/>
      <c r="AF2670" s="28"/>
      <c r="AG2670" s="96">
        <f ca="1">1-AG2669/(3*F_GAMMA*AG$29)</f>
        <v>-0.23626679747266843</v>
      </c>
      <c r="AH2670" s="111"/>
      <c r="AI2670" s="28"/>
      <c r="AJ2670" s="96">
        <f ca="1">1-AJ2669/(3*F_GAMMA*AJ$29)</f>
        <v>0.14622040385050883</v>
      </c>
      <c r="AK2670" s="111"/>
      <c r="AL2670" s="28"/>
      <c r="AM2670" s="96">
        <f ca="1">1-AM2669/(3*F_GAMMA*AM$29)</f>
        <v>0.15459950188891414</v>
      </c>
      <c r="AN2670" s="111"/>
      <c r="AO2670" s="28"/>
      <c r="AP2670" s="96">
        <f ca="1">1-AP2669/(3*F_GAMMA*AP$29)</f>
        <v>0.3555237229688657</v>
      </c>
      <c r="AQ2670" s="111"/>
      <c r="AR2670" s="28"/>
      <c r="AS2670" s="96">
        <f ca="1">1-AS2669/(3*F_GAMMA*AS$29)</f>
        <v>2.8867671525035887E-2</v>
      </c>
      <c r="AT2670" s="111"/>
      <c r="AU2670" s="28"/>
    </row>
    <row r="2671" spans="15:47" x14ac:dyDescent="0.25">
      <c r="O2671" s="2" t="s">
        <v>57</v>
      </c>
      <c r="P2671" s="143">
        <v>7</v>
      </c>
      <c r="Q2671" s="2"/>
      <c r="R2671" s="96">
        <f ca="1">(R2664/(N_9*R$27*R2666*R2670))*SQRT(M*'Valve Sizing'!$W$6*'Valve Sizing'!$G$8/R2669)</f>
        <v>5.3280470709949492</v>
      </c>
      <c r="S2671" s="107"/>
      <c r="T2671" s="22"/>
      <c r="U2671" s="96">
        <f ca="1">(U2664/(N_9*U$27*U2666*U2670))*SQRT(M*'Valve Sizing'!$W$6*'Valve Sizing'!$G$8/U2669)</f>
        <v>31.298585679092643</v>
      </c>
      <c r="V2671" s="111"/>
      <c r="W2671" s="28"/>
      <c r="X2671" s="96">
        <f ca="1">(X2664/(N_9*X$27*X2666*X2670))*SQRT(M*'Valve Sizing'!$W$6*'Valve Sizing'!$G$8/X2669)</f>
        <v>85.365647132909771</v>
      </c>
      <c r="Y2671" s="111"/>
      <c r="Z2671" s="28"/>
      <c r="AA2671" s="96">
        <f ca="1">(AA2664/(N_9*AA$27*AA2666*AA2670))*SQRT(M*'Valve Sizing'!$W$6*'Valve Sizing'!$G$8/AA2669)</f>
        <v>329.95563982191021</v>
      </c>
      <c r="AB2671" s="111"/>
      <c r="AC2671" s="28"/>
      <c r="AD2671" s="96" t="e">
        <f ca="1">(AD2664/(N_9*AD$27*AD2666*AD2670))*SQRT(M*'Valve Sizing'!$W$6*'Valve Sizing'!$G$8/AD2669)</f>
        <v>#NUM!</v>
      </c>
      <c r="AE2671" s="111"/>
      <c r="AF2671" s="28"/>
      <c r="AG2671" s="96">
        <f ca="1">(AG2664/(N_9*AG$27*AG2666*AG2670))*SQRT(M*'Valve Sizing'!$W$6*'Valve Sizing'!$G$8/AG2669)</f>
        <v>876.5187647182812</v>
      </c>
      <c r="AH2671" s="111"/>
      <c r="AI2671" s="28"/>
      <c r="AJ2671" s="96">
        <f ca="1">(AJ2664/(N_9*AJ$27*AJ2666*AJ2670))*SQRT(M*'Valve Sizing'!$W$6*'Valve Sizing'!$G$8/AJ2669)</f>
        <v>-789.01036383056783</v>
      </c>
      <c r="AK2671" s="111"/>
      <c r="AL2671" s="28"/>
      <c r="AM2671" s="96">
        <f ca="1">(AM2664/(N_9*AM$27*AM2666*AM2670))*SQRT(M*'Valve Sizing'!$W$6*'Valve Sizing'!$G$8/AM2669)</f>
        <v>-584.96127238617532</v>
      </c>
      <c r="AN2671" s="111"/>
      <c r="AO2671" s="28"/>
      <c r="AP2671" s="96">
        <f ca="1">(AP2664/(N_9*AP$27*AP2666*AP2670))*SQRT(M*'Valve Sizing'!$W$6*'Valve Sizing'!$G$8/AP2669)</f>
        <v>-237.33867802249119</v>
      </c>
      <c r="AQ2671" s="111"/>
      <c r="AR2671" s="28"/>
      <c r="AS2671" s="96">
        <f ca="1">(AS2664/(N_9*AS$27*AS2666*AS2670))*SQRT(M*'Valve Sizing'!$W$6*'Valve Sizing'!$G$8/AS2669)</f>
        <v>-3218.5279882369459</v>
      </c>
      <c r="AT2671" s="111"/>
      <c r="AU2671" s="28"/>
    </row>
    <row r="2672" spans="15:47" x14ac:dyDescent="0.25">
      <c r="O2672" s="2" t="s">
        <v>59</v>
      </c>
      <c r="P2672" s="143">
        <v>7</v>
      </c>
      <c r="Q2672" s="2"/>
      <c r="R2672" s="96">
        <f ca="1">(R2664/(N_9*R$27*R2666*0.667))*SQRT(M*'Valve Sizing'!$W$6*'Valve Sizing'!$G$8/R2673)</f>
        <v>4.7686694955925937</v>
      </c>
      <c r="S2672" s="107"/>
      <c r="T2672" s="22"/>
      <c r="U2672" s="96">
        <f ca="1">(U2664/(N_9*U$27*U2666*0.667))*SQRT(M*'Valve Sizing'!$W$6*'Valve Sizing'!$G$8/U2673)</f>
        <v>27.822651793198169</v>
      </c>
      <c r="V2672" s="111"/>
      <c r="W2672" s="28"/>
      <c r="X2672" s="96">
        <f ca="1">(X2664/(N_9*X$27*X2666*0.667))*SQRT(M*'Valve Sizing'!$W$6*'Valve Sizing'!$G$8/X2673)</f>
        <v>72.913426238123037</v>
      </c>
      <c r="Y2672" s="111"/>
      <c r="Z2672" s="28"/>
      <c r="AA2672" s="96">
        <f ca="1">(AA2664/(N_9*AA$27*AA2666*0.667))*SQRT(M*'Valve Sizing'!$W$6*'Valve Sizing'!$G$8/AA2673)</f>
        <v>182.19099041779143</v>
      </c>
      <c r="AB2672" s="111"/>
      <c r="AC2672" s="28"/>
      <c r="AD2672" s="96">
        <f ca="1">(AD2664/(N_9*AD$27*AD2666*0.667))*SQRT(M*'Valve Sizing'!$W$6*'Valve Sizing'!$G$8/AD2673)</f>
        <v>914.75534838364342</v>
      </c>
      <c r="AE2672" s="111"/>
      <c r="AF2672" s="28"/>
      <c r="AG2672" s="96">
        <f ca="1">(AG2664/(N_9*AG$27*AG2666*0.667))*SQRT(M*'Valve Sizing'!$W$6*'Valve Sizing'!$G$8/AG2673)</f>
        <v>-597.9361472964049</v>
      </c>
      <c r="AH2672" s="111"/>
      <c r="AI2672" s="28"/>
      <c r="AJ2672" s="96">
        <f ca="1">(AJ2664/(N_9*AJ$27*AJ2666*0.667))*SQRT(M*'Valve Sizing'!$W$6*'Valve Sizing'!$G$8/AJ2673)</f>
        <v>-276.82057484218547</v>
      </c>
      <c r="AK2672" s="111"/>
      <c r="AL2672" s="28"/>
      <c r="AM2672" s="96">
        <f ca="1">(AM2664/(N_9*AM$27*AM2666*0.667))*SQRT(M*'Valve Sizing'!$W$6*'Valve Sizing'!$G$8/AM2673)</f>
        <v>-215.92416450851516</v>
      </c>
      <c r="AN2672" s="111"/>
      <c r="AO2672" s="28"/>
      <c r="AP2672" s="96">
        <f ca="1">(AP2664/(N_9*AP$27*AP2666*0.667))*SQRT(M*'Valve Sizing'!$W$6*'Valve Sizing'!$G$8/AP2673)</f>
        <v>-175.90385830523712</v>
      </c>
      <c r="AQ2672" s="111"/>
      <c r="AR2672" s="28"/>
      <c r="AS2672" s="96">
        <f ca="1">(AS2664/(N_9*AS$27*AS2666*0.667))*SQRT(M*'Valve Sizing'!$W$6*'Valve Sizing'!$G$8/AS2673)</f>
        <v>-237.762328001041</v>
      </c>
      <c r="AT2672" s="111"/>
      <c r="AU2672" s="28"/>
    </row>
    <row r="2673" spans="15:47" ht="15.6" x14ac:dyDescent="0.35">
      <c r="O2673" s="2" t="s">
        <v>68</v>
      </c>
      <c r="P2673" s="143">
        <v>10</v>
      </c>
      <c r="Q2673" s="2"/>
      <c r="R2673" s="96">
        <f ca="1">F_GAMMA*R$29</f>
        <v>0.64002969751372984</v>
      </c>
      <c r="S2673" s="107"/>
      <c r="T2673" s="1"/>
      <c r="U2673" s="96">
        <f ca="1">F_GAMMA*U$29</f>
        <v>0.64017842058782071</v>
      </c>
      <c r="V2673" s="111"/>
      <c r="W2673" s="28"/>
      <c r="X2673" s="96">
        <f ca="1">F_GAMMA*X$29</f>
        <v>0.63413873724904268</v>
      </c>
      <c r="Y2673" s="111"/>
      <c r="Z2673" s="28"/>
      <c r="AA2673" s="96">
        <f ca="1">F_GAMMA*AA$29</f>
        <v>0.62532411750377137</v>
      </c>
      <c r="AB2673" s="111"/>
      <c r="AC2673" s="28"/>
      <c r="AD2673" s="96">
        <f ca="1">F_GAMMA*AD$29</f>
        <v>0.60651359509139569</v>
      </c>
      <c r="AE2673" s="111"/>
      <c r="AF2673" s="28"/>
      <c r="AG2673" s="96">
        <f ca="1">F_GAMMA*AG$29</f>
        <v>0.57217930198481592</v>
      </c>
      <c r="AH2673" s="111"/>
      <c r="AI2673" s="28"/>
      <c r="AJ2673" s="96">
        <f ca="1">F_GAMMA*AJ$29</f>
        <v>0.53183282018848232</v>
      </c>
      <c r="AK2673" s="111"/>
      <c r="AL2673" s="28"/>
      <c r="AM2673" s="96">
        <f ca="1">F_GAMMA*AM$29</f>
        <v>0.47566512503094399</v>
      </c>
      <c r="AN2673" s="111"/>
      <c r="AO2673" s="28"/>
      <c r="AP2673" s="96">
        <f ca="1">F_GAMMA*AP$29</f>
        <v>0.59054158265645496</v>
      </c>
      <c r="AQ2673" s="111"/>
      <c r="AR2673" s="28"/>
      <c r="AS2673" s="96">
        <f ca="1">F_GAMMA*AS$29</f>
        <v>0.3766899554102966</v>
      </c>
      <c r="AT2673" s="111"/>
      <c r="AU2673" s="28"/>
    </row>
    <row r="2674" spans="15:47" x14ac:dyDescent="0.25">
      <c r="O2674" s="2" t="s">
        <v>145</v>
      </c>
      <c r="P2674" s="12"/>
      <c r="Q2674" s="2"/>
      <c r="R2674" s="96">
        <f ca="1">IF(R2669&lt;R2673,R2671,R2672)</f>
        <v>5.3280470709949492</v>
      </c>
      <c r="S2674" s="116"/>
      <c r="T2674" s="1"/>
      <c r="U2674" s="96">
        <f ca="1">IF(U2669&lt;U2673,U2671,U2672)</f>
        <v>31.298585679092643</v>
      </c>
      <c r="V2674" s="111"/>
      <c r="W2674" s="28"/>
      <c r="X2674" s="96">
        <f ca="1">IF(X2669&lt;X2673,X2671,X2672)</f>
        <v>85.365647132909771</v>
      </c>
      <c r="Y2674" s="111"/>
      <c r="Z2674" s="28"/>
      <c r="AA2674" s="96">
        <f ca="1">IF(AA2669&lt;AA2673,AA2671,AA2672)</f>
        <v>329.95563982191021</v>
      </c>
      <c r="AB2674" s="111"/>
      <c r="AC2674" s="28"/>
      <c r="AD2674" s="96" t="e">
        <f ca="1">IF(AD2669&lt;AD2673,AD2671,AD2672)</f>
        <v>#NUM!</v>
      </c>
      <c r="AE2674" s="111"/>
      <c r="AF2674" s="28"/>
      <c r="AG2674" s="96">
        <f ca="1">IF(AG2669&lt;AG2673,AG2671,AG2672)</f>
        <v>-597.9361472964049</v>
      </c>
      <c r="AH2674" s="111"/>
      <c r="AI2674" s="28"/>
      <c r="AJ2674" s="96">
        <f ca="1">IF(AJ2669&lt;AJ2673,AJ2671,AJ2672)</f>
        <v>-276.82057484218547</v>
      </c>
      <c r="AK2674" s="111"/>
      <c r="AL2674" s="28"/>
      <c r="AM2674" s="96">
        <f ca="1">IF(AM2669&lt;AM2673,AM2671,AM2672)</f>
        <v>-215.92416450851516</v>
      </c>
      <c r="AN2674" s="111"/>
      <c r="AO2674" s="28"/>
      <c r="AP2674" s="96">
        <f ca="1">IF(AP2669&lt;AP2673,AP2671,AP2672)</f>
        <v>-175.90385830523712</v>
      </c>
      <c r="AQ2674" s="111"/>
      <c r="AR2674" s="28"/>
      <c r="AS2674" s="96">
        <f ca="1">IF(AS2669&lt;AS2673,AS2671,AS2672)</f>
        <v>-237.762328001041</v>
      </c>
      <c r="AT2674" s="111"/>
      <c r="AU2674" s="28"/>
    </row>
    <row r="2675" spans="15:47" x14ac:dyDescent="0.25">
      <c r="O2675" s="13" t="s">
        <v>143</v>
      </c>
      <c r="P2675" s="1"/>
      <c r="Q2675" s="1"/>
      <c r="R2675" s="113"/>
      <c r="S2675" s="106">
        <f ca="1">IF(R2668&lt;=0,Q_max,ABS(R$23-R2674))</f>
        <v>0.5980470709949488</v>
      </c>
      <c r="T2675" s="7">
        <f>R2664</f>
        <v>13186.178632085173</v>
      </c>
      <c r="U2675" s="98"/>
      <c r="V2675" s="106">
        <f ca="1">IF(U2668&lt;=0,Q_max,ABS(U$23-U2674))</f>
        <v>19.698585679092645</v>
      </c>
      <c r="W2675" s="9">
        <f ca="1">U2664</f>
        <v>76021.458135255132</v>
      </c>
      <c r="X2675" s="98"/>
      <c r="Y2675" s="106">
        <f ca="1">IF(X2668&lt;=0,Q_max,ABS(X$23-X2674))</f>
        <v>62.365647132909771</v>
      </c>
      <c r="Z2675" s="9">
        <f ca="1">X2664</f>
        <v>186148.62636440745</v>
      </c>
      <c r="AA2675" s="98"/>
      <c r="AB2675" s="106">
        <f ca="1">IF(AA2668&lt;=0,Q_max,ABS(AA$23-AA2674))</f>
        <v>290.55563982191023</v>
      </c>
      <c r="AC2675" s="9">
        <f ca="1">AA2664</f>
        <v>362570.01057478553</v>
      </c>
      <c r="AD2675" s="98"/>
      <c r="AE2675" s="106">
        <f ca="1">IF(AD2668&lt;=0,Q_max,ABS(AD$23-AD2674))</f>
        <v>236393</v>
      </c>
      <c r="AF2675" s="9">
        <f ca="1">AD2664</f>
        <v>608279.68999602029</v>
      </c>
      <c r="AG2675" s="98"/>
      <c r="AH2675" s="106">
        <f ca="1">IF(AG2668&lt;=0,Q_max,ABS(AG$23-AG2674))</f>
        <v>236393</v>
      </c>
      <c r="AI2675" s="9">
        <f ca="1">AG2664</f>
        <v>887800.77474106511</v>
      </c>
      <c r="AJ2675" s="98"/>
      <c r="AK2675" s="106">
        <f ca="1">IF(AJ2668&lt;=0,Q_max,ABS(AJ$23-AJ2674))</f>
        <v>236393</v>
      </c>
      <c r="AL2675" s="9">
        <f ca="1">AJ2664</f>
        <v>1184773.5755113447</v>
      </c>
      <c r="AM2675" s="98"/>
      <c r="AN2675" s="106">
        <f ca="1">IF(AM2668&lt;=0,Q_max,ABS(AM$23-AM2674))</f>
        <v>236393</v>
      </c>
      <c r="AO2675" s="9">
        <f ca="1">AM2664</f>
        <v>1445648.9164324836</v>
      </c>
      <c r="AP2675" s="98"/>
      <c r="AQ2675" s="106">
        <f ca="1">IF(AP2668&lt;=0,Q_max,ABS(AP$23-AP2674))</f>
        <v>236393</v>
      </c>
      <c r="AR2675" s="9">
        <f ca="1">AP2664</f>
        <v>1678353.5123423908</v>
      </c>
      <c r="AS2675" s="98"/>
      <c r="AT2675" s="106">
        <f ca="1">IF(AS2668&lt;=0,Q_max,ABS(AS$23-AS2674))</f>
        <v>236393</v>
      </c>
      <c r="AU2675" s="9">
        <f ca="1">AS2664</f>
        <v>1968001.4872053708</v>
      </c>
    </row>
    <row r="2676" spans="15:47" x14ac:dyDescent="0.25">
      <c r="O2676" s="21"/>
      <c r="P2676" s="14"/>
      <c r="Q2676" s="21"/>
      <c r="R2676" s="97"/>
      <c r="S2676" s="106"/>
      <c r="T2676" s="28"/>
      <c r="U2676" s="97"/>
      <c r="V2676" s="111"/>
      <c r="W2676" s="28"/>
      <c r="X2676" s="97"/>
      <c r="Y2676" s="111"/>
      <c r="Z2676" s="28"/>
      <c r="AA2676" s="97"/>
      <c r="AB2676" s="111"/>
      <c r="AC2676" s="28"/>
      <c r="AD2676" s="97"/>
      <c r="AE2676" s="111"/>
      <c r="AF2676" s="28"/>
      <c r="AG2676" s="97"/>
      <c r="AH2676" s="111"/>
      <c r="AI2676" s="28"/>
      <c r="AJ2676" s="97"/>
      <c r="AK2676" s="111"/>
      <c r="AL2676" s="28"/>
      <c r="AM2676" s="97"/>
      <c r="AN2676" s="111"/>
      <c r="AO2676" s="28"/>
      <c r="AP2676" s="97"/>
      <c r="AQ2676" s="111"/>
      <c r="AR2676" s="28"/>
      <c r="AS2676" s="97"/>
      <c r="AT2676" s="111"/>
      <c r="AU2676" s="28"/>
    </row>
    <row r="2677" spans="15:47" x14ac:dyDescent="0.25">
      <c r="O2677" s="1"/>
      <c r="P2677" s="1"/>
      <c r="Q2677" s="1"/>
      <c r="R2677" s="98"/>
      <c r="S2677" s="108" t="s">
        <v>137</v>
      </c>
      <c r="T2677" s="26" t="s">
        <v>146</v>
      </c>
      <c r="U2677" s="98"/>
      <c r="V2677" s="108" t="s">
        <v>137</v>
      </c>
      <c r="W2677" s="26" t="s">
        <v>146</v>
      </c>
      <c r="X2677" s="98"/>
      <c r="Y2677" s="108" t="s">
        <v>137</v>
      </c>
      <c r="Z2677" s="26" t="s">
        <v>146</v>
      </c>
      <c r="AA2677" s="98"/>
      <c r="AB2677" s="108" t="s">
        <v>137</v>
      </c>
      <c r="AC2677" s="26" t="s">
        <v>146</v>
      </c>
      <c r="AD2677" s="98"/>
      <c r="AE2677" s="108" t="s">
        <v>137</v>
      </c>
      <c r="AF2677" s="26" t="s">
        <v>146</v>
      </c>
      <c r="AG2677" s="98"/>
      <c r="AH2677" s="108" t="s">
        <v>137</v>
      </c>
      <c r="AI2677" s="26" t="s">
        <v>146</v>
      </c>
      <c r="AJ2677" s="98"/>
      <c r="AK2677" s="108" t="s">
        <v>137</v>
      </c>
      <c r="AL2677" s="26" t="s">
        <v>146</v>
      </c>
      <c r="AM2677" s="98"/>
      <c r="AN2677" s="108" t="s">
        <v>137</v>
      </c>
      <c r="AO2677" s="26" t="s">
        <v>146</v>
      </c>
      <c r="AP2677" s="98"/>
      <c r="AQ2677" s="108" t="s">
        <v>137</v>
      </c>
      <c r="AR2677" s="26" t="s">
        <v>146</v>
      </c>
      <c r="AS2677" s="98"/>
      <c r="AT2677" s="108" t="s">
        <v>137</v>
      </c>
      <c r="AU2677" s="26" t="s">
        <v>146</v>
      </c>
    </row>
    <row r="2678" spans="15:47" ht="13.8" x14ac:dyDescent="0.25">
      <c r="O2678" s="20" t="s">
        <v>136</v>
      </c>
      <c r="P2678" s="1"/>
      <c r="Q2678" s="1"/>
      <c r="R2678" s="96">
        <f>R2664*1.02</f>
        <v>13449.902204726877</v>
      </c>
      <c r="S2678" s="109" t="s">
        <v>144</v>
      </c>
      <c r="T2678" s="23" t="s">
        <v>147</v>
      </c>
      <c r="U2678" s="96">
        <f ca="1">U2664*1.01</f>
        <v>76781.672716607689</v>
      </c>
      <c r="V2678" s="109" t="s">
        <v>144</v>
      </c>
      <c r="W2678" s="23" t="s">
        <v>147</v>
      </c>
      <c r="X2678" s="96">
        <f ca="1">X2664*1.01</f>
        <v>188010.11262805152</v>
      </c>
      <c r="Y2678" s="109" t="s">
        <v>144</v>
      </c>
      <c r="Z2678" s="23" t="s">
        <v>147</v>
      </c>
      <c r="AA2678" s="96">
        <f ca="1">AA2664*1.01</f>
        <v>366195.71068053338</v>
      </c>
      <c r="AB2678" s="109" t="s">
        <v>144</v>
      </c>
      <c r="AC2678" s="23" t="s">
        <v>147</v>
      </c>
      <c r="AD2678" s="96">
        <f ca="1">AD2664*1.01</f>
        <v>614362.48689598055</v>
      </c>
      <c r="AE2678" s="109" t="s">
        <v>144</v>
      </c>
      <c r="AF2678" s="23" t="s">
        <v>147</v>
      </c>
      <c r="AG2678" s="96">
        <f ca="1">AG2664*1.01</f>
        <v>896678.78248847579</v>
      </c>
      <c r="AH2678" s="109" t="s">
        <v>144</v>
      </c>
      <c r="AI2678" s="23" t="s">
        <v>147</v>
      </c>
      <c r="AJ2678" s="96">
        <f ca="1">AJ2664*1.01</f>
        <v>1196621.3112664581</v>
      </c>
      <c r="AK2678" s="109" t="s">
        <v>144</v>
      </c>
      <c r="AL2678" s="23" t="s">
        <v>147</v>
      </c>
      <c r="AM2678" s="96">
        <f ca="1">AM2664*1.01</f>
        <v>1460105.4055968085</v>
      </c>
      <c r="AN2678" s="109" t="s">
        <v>144</v>
      </c>
      <c r="AO2678" s="23" t="s">
        <v>147</v>
      </c>
      <c r="AP2678" s="96">
        <f ca="1">AP2664*1.01</f>
        <v>1695137.0474658147</v>
      </c>
      <c r="AQ2678" s="109" t="s">
        <v>144</v>
      </c>
      <c r="AR2678" s="23" t="s">
        <v>147</v>
      </c>
      <c r="AS2678" s="96">
        <f ca="1">AS2664*1.01</f>
        <v>1987681.5020774244</v>
      </c>
      <c r="AT2678" s="109" t="s">
        <v>144</v>
      </c>
      <c r="AU2678" s="23" t="s">
        <v>147</v>
      </c>
    </row>
    <row r="2679" spans="15:47" x14ac:dyDescent="0.25">
      <c r="O2679" s="1"/>
      <c r="P2679" s="1"/>
      <c r="Q2679" s="1"/>
      <c r="R2679" s="98"/>
      <c r="S2679" s="107"/>
      <c r="T2679" s="1"/>
      <c r="U2679" s="47"/>
      <c r="V2679" s="107"/>
      <c r="W2679" s="1"/>
      <c r="X2679" s="47"/>
      <c r="Y2679" s="107"/>
      <c r="Z2679" s="1"/>
      <c r="AA2679" s="47"/>
      <c r="AB2679" s="107"/>
      <c r="AC2679" s="1"/>
      <c r="AD2679" s="47"/>
      <c r="AE2679" s="107"/>
      <c r="AF2679" s="1"/>
      <c r="AG2679" s="47"/>
      <c r="AH2679" s="107"/>
      <c r="AI2679" s="1"/>
      <c r="AJ2679" s="47"/>
      <c r="AK2679" s="107"/>
      <c r="AL2679" s="1"/>
      <c r="AM2679" s="47"/>
      <c r="AN2679" s="107"/>
      <c r="AO2679" s="1"/>
      <c r="AP2679" s="47"/>
      <c r="AQ2679" s="107"/>
      <c r="AR2679" s="1"/>
      <c r="AS2679" s="47"/>
      <c r="AT2679" s="107"/>
      <c r="AU2679" s="1"/>
    </row>
    <row r="2680" spans="15:47" x14ac:dyDescent="0.25">
      <c r="O2680" s="8" t="s">
        <v>132</v>
      </c>
      <c r="P2680" s="8"/>
      <c r="Q2680" s="8"/>
      <c r="R2680" s="96">
        <f>P_1_minQ-(R2678^2*R_up)+dpup_minQ</f>
        <v>90.15206955523773</v>
      </c>
      <c r="S2680" s="106"/>
      <c r="T2680" s="22"/>
      <c r="U2680" s="96">
        <f ca="1">P_1_minQ-(U2678^2*R_up)+dpup_minQ</f>
        <v>89.110534949509514</v>
      </c>
      <c r="V2680" s="107"/>
      <c r="W2680" s="1"/>
      <c r="X2680" s="96">
        <f ca="1">P_1_minQ-(X2678^2*R_up)+dpup_minQ</f>
        <v>83.742517846687221</v>
      </c>
      <c r="Y2680" s="107"/>
      <c r="Z2680" s="1"/>
      <c r="AA2680" s="96">
        <f ca="1">P_1_minQ-(AA2678^2*R_up)+dpup_minQ</f>
        <v>65.743980190423727</v>
      </c>
      <c r="AB2680" s="107"/>
      <c r="AC2680" s="1"/>
      <c r="AD2680" s="96">
        <f ca="1">P_1_minQ-(AD2678^2*R_up)+dpup_minQ</f>
        <v>21.392251590871311</v>
      </c>
      <c r="AE2680" s="107"/>
      <c r="AF2680" s="1"/>
      <c r="AG2680" s="96">
        <f ca="1">P_1_minQ-(AG2678^2*R_up)+dpup_minQ</f>
        <v>-56.358717335107485</v>
      </c>
      <c r="AH2680" s="107"/>
      <c r="AI2680" s="1"/>
      <c r="AJ2680" s="96">
        <f ca="1">P_1_minQ-(AJ2678^2*R_up)+dpup_minQ</f>
        <v>-170.79482527621497</v>
      </c>
      <c r="AK2680" s="107"/>
      <c r="AL2680" s="1"/>
      <c r="AM2680" s="96">
        <f ca="1">P_1_minQ-(AM2678^2*R_up)+dpup_minQ</f>
        <v>-298.37841686571926</v>
      </c>
      <c r="AN2680" s="107"/>
      <c r="AO2680" s="1"/>
      <c r="AP2680" s="96">
        <f ca="1">P_1_minQ-(AP2678^2*R_up)+dpup_minQ</f>
        <v>-433.53979405891272</v>
      </c>
      <c r="AQ2680" s="107"/>
      <c r="AR2680" s="1"/>
      <c r="AS2680" s="96">
        <f ca="1">P_1_minQ-(AS2678^2*R_up)+dpup_minQ</f>
        <v>-629.9055389033623</v>
      </c>
      <c r="AT2680" s="107"/>
      <c r="AU2680" s="1"/>
    </row>
    <row r="2681" spans="15:47" x14ac:dyDescent="0.25">
      <c r="O2681" s="8" t="s">
        <v>134</v>
      </c>
      <c r="P2681" s="1"/>
      <c r="Q2681" s="8"/>
      <c r="R2681" s="97">
        <f>P_2_minQ+(R2678^2*R_dn)-dpdn_minQ</f>
        <v>60</v>
      </c>
      <c r="S2681" s="106"/>
      <c r="T2681" s="22"/>
      <c r="U2681" s="97">
        <f ca="1">P_2_minQ+(U2678^2*R_dn)-dpdn_minQ</f>
        <v>60</v>
      </c>
      <c r="V2681" s="107"/>
      <c r="W2681" s="1"/>
      <c r="X2681" s="97">
        <f ca="1">P_2_minQ+(X2678^2*R_dn)-dpdn_minQ</f>
        <v>60</v>
      </c>
      <c r="Y2681" s="107"/>
      <c r="Z2681" s="1"/>
      <c r="AA2681" s="97">
        <f ca="1">P_2_minQ+(AA2678^2*R_dn)-dpdn_minQ</f>
        <v>60</v>
      </c>
      <c r="AB2681" s="107"/>
      <c r="AC2681" s="1"/>
      <c r="AD2681" s="97">
        <f ca="1">P_2_minQ+(AD2678^2*R_dn)-dpdn_minQ</f>
        <v>60</v>
      </c>
      <c r="AE2681" s="107"/>
      <c r="AF2681" s="1"/>
      <c r="AG2681" s="97">
        <f ca="1">P_2_minQ+(AG2678^2*R_dn)-dpdn_minQ</f>
        <v>60</v>
      </c>
      <c r="AH2681" s="107"/>
      <c r="AI2681" s="1"/>
      <c r="AJ2681" s="97">
        <f ca="1">P_2_minQ+(AJ2678^2*R_dn)-dpdn_minQ</f>
        <v>60</v>
      </c>
      <c r="AK2681" s="107"/>
      <c r="AL2681" s="1"/>
      <c r="AM2681" s="97">
        <f ca="1">P_2_minQ+(AM2678^2*R_dn)-dpdn_minQ</f>
        <v>60</v>
      </c>
      <c r="AN2681" s="107"/>
      <c r="AO2681" s="1"/>
      <c r="AP2681" s="97">
        <f ca="1">P_2_minQ+(AP2678^2*R_dn)-dpdn_minQ</f>
        <v>60</v>
      </c>
      <c r="AQ2681" s="107"/>
      <c r="AR2681" s="1"/>
      <c r="AS2681" s="97">
        <f ca="1">P_2_minQ+(AS2678^2*R_dn)-dpdn_minQ</f>
        <v>60</v>
      </c>
      <c r="AT2681" s="107"/>
      <c r="AU2681" s="1"/>
    </row>
    <row r="2682" spans="15:47" x14ac:dyDescent="0.25">
      <c r="O2682" s="8" t="s">
        <v>138</v>
      </c>
      <c r="P2682" s="1"/>
      <c r="Q2682" s="8"/>
      <c r="R2682" s="97">
        <f>R2680-R2681</f>
        <v>30.15206955523773</v>
      </c>
      <c r="S2682" s="106"/>
      <c r="T2682" s="22"/>
      <c r="U2682" s="97">
        <f ca="1">U2680-U2681</f>
        <v>29.110534949509514</v>
      </c>
      <c r="V2682" s="110"/>
      <c r="W2682" s="25"/>
      <c r="X2682" s="97">
        <f ca="1">X2680-X2681</f>
        <v>23.742517846687221</v>
      </c>
      <c r="Y2682" s="110"/>
      <c r="Z2682" s="25"/>
      <c r="AA2682" s="97">
        <f ca="1">AA2680-AA2681</f>
        <v>5.7439801904237271</v>
      </c>
      <c r="AB2682" s="110"/>
      <c r="AC2682" s="25"/>
      <c r="AD2682" s="97">
        <f ca="1">AD2680-AD2681</f>
        <v>-38.607748409128689</v>
      </c>
      <c r="AE2682" s="110"/>
      <c r="AF2682" s="25"/>
      <c r="AG2682" s="97">
        <f ca="1">AG2680-AG2681</f>
        <v>-116.35871733510749</v>
      </c>
      <c r="AH2682" s="110"/>
      <c r="AI2682" s="25"/>
      <c r="AJ2682" s="97">
        <f ca="1">AJ2680-AJ2681</f>
        <v>-230.79482527621497</v>
      </c>
      <c r="AK2682" s="110"/>
      <c r="AL2682" s="25"/>
      <c r="AM2682" s="97">
        <f ca="1">AM2680-AM2681</f>
        <v>-358.37841686571926</v>
      </c>
      <c r="AN2682" s="110"/>
      <c r="AO2682" s="25"/>
      <c r="AP2682" s="97">
        <f ca="1">AP2680-AP2681</f>
        <v>-493.53979405891272</v>
      </c>
      <c r="AQ2682" s="110"/>
      <c r="AR2682" s="25"/>
      <c r="AS2682" s="97">
        <f ca="1">AS2680-AS2681</f>
        <v>-689.9055389033623</v>
      </c>
      <c r="AT2682" s="110"/>
      <c r="AU2682" s="25"/>
    </row>
    <row r="2683" spans="15:47" ht="14.4" x14ac:dyDescent="0.3">
      <c r="O2683" s="2" t="s">
        <v>140</v>
      </c>
      <c r="P2683" s="11"/>
      <c r="Q2683" s="2"/>
      <c r="R2683" s="96">
        <f>R2682/R2680</f>
        <v>0.33445787438926222</v>
      </c>
      <c r="S2683" s="106"/>
      <c r="T2683" s="22"/>
      <c r="U2683" s="96">
        <f ca="1">U2682/U2680</f>
        <v>0.32667893830963635</v>
      </c>
      <c r="V2683" s="111"/>
      <c r="W2683" s="28"/>
      <c r="X2683" s="96">
        <f ca="1">X2682/X2680</f>
        <v>0.28351807967076137</v>
      </c>
      <c r="Y2683" s="111"/>
      <c r="Z2683" s="28"/>
      <c r="AA2683" s="96">
        <f ca="1">AA2682/AA2680</f>
        <v>8.7368914595474939E-2</v>
      </c>
      <c r="AB2683" s="111"/>
      <c r="AC2683" s="28"/>
      <c r="AD2683" s="96">
        <f ca="1">AD2682/AD2680</f>
        <v>-1.8047538495482041</v>
      </c>
      <c r="AE2683" s="111"/>
      <c r="AF2683" s="28"/>
      <c r="AG2683" s="96">
        <f ca="1">AG2682/AG2680</f>
        <v>2.0646090407494824</v>
      </c>
      <c r="AH2683" s="111"/>
      <c r="AI2683" s="28"/>
      <c r="AJ2683" s="96">
        <f ca="1">AJ2682/AJ2680</f>
        <v>1.351298699494941</v>
      </c>
      <c r="AK2683" s="111"/>
      <c r="AL2683" s="28"/>
      <c r="AM2683" s="96">
        <f ca="1">AM2682/AM2680</f>
        <v>1.2010869305838636</v>
      </c>
      <c r="AN2683" s="111"/>
      <c r="AO2683" s="28"/>
      <c r="AP2683" s="96">
        <f ca="1">AP2682/AP2680</f>
        <v>1.1383956001783928</v>
      </c>
      <c r="AQ2683" s="111"/>
      <c r="AR2683" s="28"/>
      <c r="AS2683" s="96">
        <f ca="1">AS2682/AS2680</f>
        <v>1.0952523772127125</v>
      </c>
      <c r="AT2683" s="111"/>
      <c r="AU2683" s="28"/>
    </row>
    <row r="2684" spans="15:47" x14ac:dyDescent="0.25">
      <c r="O2684" s="2" t="s">
        <v>21</v>
      </c>
      <c r="P2684" s="8">
        <v>12</v>
      </c>
      <c r="Q2684" s="2"/>
      <c r="R2684" s="96">
        <f ca="1">1-R2683/(3*F_GAMMA*R$29)</f>
        <v>0.82581127319117487</v>
      </c>
      <c r="S2684" s="106"/>
      <c r="T2684" s="22"/>
      <c r="U2684" s="96">
        <f ca="1">1-U2683/(3*F_GAMMA*U$29)</f>
        <v>0.82990213988069383</v>
      </c>
      <c r="V2684" s="111"/>
      <c r="W2684" s="28"/>
      <c r="X2684" s="96">
        <f ca="1">1-X2683/(3*F_GAMMA*X$29)</f>
        <v>0.85096947875019102</v>
      </c>
      <c r="Y2684" s="111"/>
      <c r="Z2684" s="28"/>
      <c r="AA2684" s="96">
        <f ca="1">1-AA2683/(3*F_GAMMA*AA$29)</f>
        <v>0.95342739754212447</v>
      </c>
      <c r="AB2684" s="111"/>
      <c r="AC2684" s="28"/>
      <c r="AD2684" s="96">
        <f ca="1">1-AD2683/(3*F_GAMMA*AD$29)</f>
        <v>1.9918732595357818</v>
      </c>
      <c r="AE2684" s="111"/>
      <c r="AF2684" s="28"/>
      <c r="AG2684" s="96">
        <f ca="1">1-AG2683/(3*F_GAMMA*AG$29)</f>
        <v>-0.20277509374399538</v>
      </c>
      <c r="AH2684" s="111"/>
      <c r="AI2684" s="28"/>
      <c r="AJ2684" s="96">
        <f ca="1">1-AJ2683/(3*F_GAMMA*AJ$29)</f>
        <v>0.15305546643019718</v>
      </c>
      <c r="AK2684" s="111"/>
      <c r="AL2684" s="28"/>
      <c r="AM2684" s="96">
        <f ca="1">1-AM2683/(3*F_GAMMA*AM$29)</f>
        <v>0.1583105652982737</v>
      </c>
      <c r="AN2684" s="111"/>
      <c r="AO2684" s="28"/>
      <c r="AP2684" s="96">
        <f ca="1">1-AP2683/(3*F_GAMMA*AP$29)</f>
        <v>0.35742848394773152</v>
      </c>
      <c r="AQ2684" s="111"/>
      <c r="AR2684" s="28"/>
      <c r="AS2684" s="96">
        <f ca="1">1-AS2683/(3*F_GAMMA*AS$29)</f>
        <v>3.0810032245443209E-2</v>
      </c>
      <c r="AT2684" s="111"/>
      <c r="AU2684" s="28"/>
    </row>
    <row r="2685" spans="15:47" x14ac:dyDescent="0.25">
      <c r="O2685" s="2" t="s">
        <v>57</v>
      </c>
      <c r="P2685" s="143">
        <v>7</v>
      </c>
      <c r="Q2685" s="2"/>
      <c r="R2685" s="96">
        <f ca="1">(R2678/(N_9*R$27*R2680*R2684))*SQRT(M*'Valve Sizing'!$W$6*'Valve Sizing'!$G$8/R2683)</f>
        <v>5.4347295873092909</v>
      </c>
      <c r="S2685" s="107"/>
      <c r="T2685" s="22"/>
      <c r="U2685" s="96">
        <f ca="1">(U2678/(N_9*U$27*U2680*U2684))*SQRT(M*'Valve Sizing'!$W$6*'Valve Sizing'!$G$8/U2683)</f>
        <v>31.623647782391966</v>
      </c>
      <c r="V2685" s="111"/>
      <c r="W2685" s="28"/>
      <c r="X2685" s="96">
        <f ca="1">(X2678/(N_9*X$27*X2680*X2684))*SQRT(M*'Valve Sizing'!$W$6*'Valve Sizing'!$G$8/X2683)</f>
        <v>86.457033546512264</v>
      </c>
      <c r="Y2685" s="111"/>
      <c r="Z2685" s="28"/>
      <c r="AA2685" s="96">
        <f ca="1">(AA2678/(N_9*AA$27*AA2680*AA2684))*SQRT(M*'Valve Sizing'!$W$6*'Valve Sizing'!$G$8/AA2683)</f>
        <v>346.92075218187807</v>
      </c>
      <c r="AB2685" s="111"/>
      <c r="AC2685" s="28"/>
      <c r="AD2685" s="96" t="e">
        <f ca="1">(AD2678/(N_9*AD$27*AD2680*AD2684))*SQRT(M*'Valve Sizing'!$W$6*'Valve Sizing'!$G$8/AD2683)</f>
        <v>#NUM!</v>
      </c>
      <c r="AE2685" s="111"/>
      <c r="AF2685" s="28"/>
      <c r="AG2685" s="96">
        <f ca="1">(AG2678/(N_9*AG$27*AG2680*AG2684))*SQRT(M*'Valve Sizing'!$W$6*'Valve Sizing'!$G$8/AG2683)</f>
        <v>992.18717587161291</v>
      </c>
      <c r="AH2685" s="111"/>
      <c r="AI2685" s="28"/>
      <c r="AJ2685" s="96">
        <f ca="1">(AJ2678/(N_9*AJ$27*AJ2680*AJ2684))*SQRT(M*'Valve Sizing'!$W$6*'Valve Sizing'!$G$8/AJ2683)</f>
        <v>-741.36465853709683</v>
      </c>
      <c r="AK2685" s="111"/>
      <c r="AL2685" s="28"/>
      <c r="AM2685" s="96">
        <f ca="1">(AM2678/(N_9*AM$27*AM2680*AM2684))*SQRT(M*'Valve Sizing'!$W$6*'Valve Sizing'!$G$8/AM2683)</f>
        <v>-563.39469639234892</v>
      </c>
      <c r="AN2685" s="111"/>
      <c r="AO2685" s="28"/>
      <c r="AP2685" s="96">
        <f ca="1">(AP2678/(N_9*AP$27*AP2680*AP2684))*SQRT(M*'Valve Sizing'!$W$6*'Valve Sizing'!$G$8/AP2683)</f>
        <v>-233.10394439566349</v>
      </c>
      <c r="AQ2685" s="111"/>
      <c r="AR2685" s="28"/>
      <c r="AS2685" s="96">
        <f ca="1">(AS2678/(N_9*AS$27*AS2680*AS2684))*SQRT(M*'Valve Sizing'!$W$6*'Valve Sizing'!$G$8/AS2683)</f>
        <v>-2980.1537511743791</v>
      </c>
      <c r="AT2685" s="111"/>
      <c r="AU2685" s="28"/>
    </row>
    <row r="2686" spans="15:47" x14ac:dyDescent="0.25">
      <c r="O2686" s="2" t="s">
        <v>59</v>
      </c>
      <c r="P2686" s="143">
        <v>7</v>
      </c>
      <c r="Q2686" s="2"/>
      <c r="R2686" s="96">
        <f ca="1">(R2678/(N_9*R$27*R2680*0.667))*SQRT(M*'Valve Sizing'!$W$6*'Valve Sizing'!$G$8/R2687)</f>
        <v>4.8641119626695968</v>
      </c>
      <c r="S2686" s="107"/>
      <c r="T2686" s="22"/>
      <c r="U2686" s="96">
        <f ca="1">(U2678/(N_9*U$27*U2680*0.667))*SQRT(M*'Valve Sizing'!$W$6*'Valve Sizing'!$G$8/U2687)</f>
        <v>28.107554872245316</v>
      </c>
      <c r="V2686" s="111"/>
      <c r="W2686" s="28"/>
      <c r="X2686" s="96">
        <f ca="1">(X2678/(N_9*X$27*X2680*0.667))*SQRT(M*'Valve Sizing'!$W$6*'Valve Sizing'!$G$8/X2687)</f>
        <v>73.754193381209262</v>
      </c>
      <c r="Y2686" s="111"/>
      <c r="Z2686" s="28"/>
      <c r="AA2686" s="96">
        <f ca="1">(AA2678/(N_9*AA$27*AA2680*0.667))*SQRT(M*'Valve Sizing'!$W$6*'Valve Sizing'!$G$8/AA2687)</f>
        <v>185.36082501865292</v>
      </c>
      <c r="AB2686" s="111"/>
      <c r="AC2686" s="28"/>
      <c r="AD2686" s="96">
        <f ca="1">(AD2678/(N_9*AD$27*AD2680*0.667))*SQRT(M*'Valve Sizing'!$W$6*'Valve Sizing'!$G$8/AD2687)</f>
        <v>982.44470029790818</v>
      </c>
      <c r="AE2686" s="111"/>
      <c r="AF2686" s="28"/>
      <c r="AG2686" s="96">
        <f ca="1">(AG2678/(N_9*AG$27*AG2680*0.667))*SQRT(M*'Valve Sizing'!$W$6*'Valve Sizing'!$G$8/AG2687)</f>
        <v>-572.97441114560411</v>
      </c>
      <c r="AH2686" s="111"/>
      <c r="AI2686" s="28"/>
      <c r="AJ2686" s="96">
        <f ca="1">(AJ2678/(N_9*AJ$27*AJ2680*0.667))*SQRT(M*'Valve Sizing'!$W$6*'Valve Sizing'!$G$8/AJ2687)</f>
        <v>-271.17084991368858</v>
      </c>
      <c r="AK2686" s="111"/>
      <c r="AL2686" s="28"/>
      <c r="AM2686" s="96">
        <f ca="1">(AM2678/(N_9*AM$27*AM2680*0.667))*SQRT(M*'Valve Sizing'!$W$6*'Valve Sizing'!$G$8/AM2687)</f>
        <v>-212.48749924776828</v>
      </c>
      <c r="AN2686" s="111"/>
      <c r="AO2686" s="28"/>
      <c r="AP2686" s="96">
        <f ca="1">(AP2678/(N_9*AP$27*AP2680*0.667))*SQRT(M*'Valve Sizing'!$W$6*'Valve Sizing'!$G$8/AP2687)</f>
        <v>-173.43402770905161</v>
      </c>
      <c r="AQ2686" s="111"/>
      <c r="AR2686" s="28"/>
      <c r="AS2686" s="96">
        <f ca="1">(AS2678/(N_9*AS$27*AS2680*0.667))*SQRT(M*'Valve Sizing'!$W$6*'Valve Sizing'!$G$8/AS2687)</f>
        <v>-234.73079623425957</v>
      </c>
      <c r="AT2686" s="111"/>
      <c r="AU2686" s="28"/>
    </row>
    <row r="2687" spans="15:47" ht="15.6" x14ac:dyDescent="0.35">
      <c r="O2687" s="2" t="s">
        <v>68</v>
      </c>
      <c r="P2687" s="143">
        <v>10</v>
      </c>
      <c r="Q2687" s="2"/>
      <c r="R2687" s="96">
        <f ca="1">F_GAMMA*R$29</f>
        <v>0.64002969751372984</v>
      </c>
      <c r="S2687" s="107"/>
      <c r="T2687" s="1"/>
      <c r="U2687" s="96">
        <f ca="1">F_GAMMA*U$29</f>
        <v>0.64017842058782071</v>
      </c>
      <c r="V2687" s="111"/>
      <c r="W2687" s="28"/>
      <c r="X2687" s="96">
        <f ca="1">F_GAMMA*X$29</f>
        <v>0.63413873724904268</v>
      </c>
      <c r="Y2687" s="111"/>
      <c r="Z2687" s="28"/>
      <c r="AA2687" s="96">
        <f ca="1">F_GAMMA*AA$29</f>
        <v>0.62532411750377137</v>
      </c>
      <c r="AB2687" s="111"/>
      <c r="AC2687" s="28"/>
      <c r="AD2687" s="96">
        <f ca="1">F_GAMMA*AD$29</f>
        <v>0.60651359509139569</v>
      </c>
      <c r="AE2687" s="111"/>
      <c r="AF2687" s="28"/>
      <c r="AG2687" s="96">
        <f ca="1">F_GAMMA*AG$29</f>
        <v>0.57217930198481592</v>
      </c>
      <c r="AH2687" s="111"/>
      <c r="AI2687" s="28"/>
      <c r="AJ2687" s="96">
        <f ca="1">F_GAMMA*AJ$29</f>
        <v>0.53183282018848232</v>
      </c>
      <c r="AK2687" s="111"/>
      <c r="AL2687" s="28"/>
      <c r="AM2687" s="96">
        <f ca="1">F_GAMMA*AM$29</f>
        <v>0.47566512503094399</v>
      </c>
      <c r="AN2687" s="111"/>
      <c r="AO2687" s="28"/>
      <c r="AP2687" s="96">
        <f ca="1">F_GAMMA*AP$29</f>
        <v>0.59054158265645496</v>
      </c>
      <c r="AQ2687" s="111"/>
      <c r="AR2687" s="28"/>
      <c r="AS2687" s="96">
        <f ca="1">F_GAMMA*AS$29</f>
        <v>0.3766899554102966</v>
      </c>
      <c r="AT2687" s="111"/>
      <c r="AU2687" s="28"/>
    </row>
    <row r="2688" spans="15:47" x14ac:dyDescent="0.25">
      <c r="O2688" s="2" t="s">
        <v>145</v>
      </c>
      <c r="P2688" s="12"/>
      <c r="Q2688" s="2"/>
      <c r="R2688" s="96">
        <f ca="1">IF(R2683&lt;R2687,R2685,R2686)</f>
        <v>5.4347295873092909</v>
      </c>
      <c r="S2688" s="116"/>
      <c r="T2688" s="1"/>
      <c r="U2688" s="96">
        <f ca="1">IF(U2683&lt;U2687,U2685,U2686)</f>
        <v>31.623647782391966</v>
      </c>
      <c r="V2688" s="111"/>
      <c r="W2688" s="28"/>
      <c r="X2688" s="96">
        <f ca="1">IF(X2683&lt;X2687,X2685,X2686)</f>
        <v>86.457033546512264</v>
      </c>
      <c r="Y2688" s="111"/>
      <c r="Z2688" s="28"/>
      <c r="AA2688" s="96">
        <f ca="1">IF(AA2683&lt;AA2687,AA2685,AA2686)</f>
        <v>346.92075218187807</v>
      </c>
      <c r="AB2688" s="111"/>
      <c r="AC2688" s="28"/>
      <c r="AD2688" s="96" t="e">
        <f ca="1">IF(AD2683&lt;AD2687,AD2685,AD2686)</f>
        <v>#NUM!</v>
      </c>
      <c r="AE2688" s="111"/>
      <c r="AF2688" s="28"/>
      <c r="AG2688" s="96">
        <f ca="1">IF(AG2683&lt;AG2687,AG2685,AG2686)</f>
        <v>-572.97441114560411</v>
      </c>
      <c r="AH2688" s="111"/>
      <c r="AI2688" s="28"/>
      <c r="AJ2688" s="96">
        <f ca="1">IF(AJ2683&lt;AJ2687,AJ2685,AJ2686)</f>
        <v>-271.17084991368858</v>
      </c>
      <c r="AK2688" s="111"/>
      <c r="AL2688" s="28"/>
      <c r="AM2688" s="96">
        <f ca="1">IF(AM2683&lt;AM2687,AM2685,AM2686)</f>
        <v>-212.48749924776828</v>
      </c>
      <c r="AN2688" s="111"/>
      <c r="AO2688" s="28"/>
      <c r="AP2688" s="96">
        <f ca="1">IF(AP2683&lt;AP2687,AP2685,AP2686)</f>
        <v>-173.43402770905161</v>
      </c>
      <c r="AQ2688" s="111"/>
      <c r="AR2688" s="28"/>
      <c r="AS2688" s="96">
        <f ca="1">IF(AS2683&lt;AS2687,AS2685,AS2686)</f>
        <v>-234.73079623425957</v>
      </c>
      <c r="AT2688" s="111"/>
      <c r="AU2688" s="28"/>
    </row>
    <row r="2689" spans="15:47" x14ac:dyDescent="0.25">
      <c r="O2689" s="13" t="s">
        <v>143</v>
      </c>
      <c r="P2689" s="1"/>
      <c r="Q2689" s="1"/>
      <c r="R2689" s="113"/>
      <c r="S2689" s="106">
        <f ca="1">IF(R2682&lt;=0,Q_max,ABS(R$23-R2688))</f>
        <v>0.70472958730929047</v>
      </c>
      <c r="T2689" s="7">
        <f>R2678</f>
        <v>13449.902204726877</v>
      </c>
      <c r="U2689" s="98"/>
      <c r="V2689" s="106">
        <f ca="1">IF(U2682&lt;=0,Q_max,ABS(U$23-U2688))</f>
        <v>20.023647782391969</v>
      </c>
      <c r="W2689" s="9">
        <f ca="1">U2678</f>
        <v>76781.672716607689</v>
      </c>
      <c r="X2689" s="98"/>
      <c r="Y2689" s="106">
        <f ca="1">IF(X2682&lt;=0,Q_max,ABS(X$23-X2688))</f>
        <v>63.457033546512264</v>
      </c>
      <c r="Z2689" s="9">
        <f ca="1">X2678</f>
        <v>188010.11262805152</v>
      </c>
      <c r="AA2689" s="98"/>
      <c r="AB2689" s="106">
        <f ca="1">IF(AA2682&lt;=0,Q_max,ABS(AA$23-AA2688))</f>
        <v>307.52075218187809</v>
      </c>
      <c r="AC2689" s="9">
        <f ca="1">AA2678</f>
        <v>366195.71068053338</v>
      </c>
      <c r="AD2689" s="98"/>
      <c r="AE2689" s="106">
        <f ca="1">IF(AD2682&lt;=0,Q_max,ABS(AD$23-AD2688))</f>
        <v>236393</v>
      </c>
      <c r="AF2689" s="9">
        <f ca="1">AD2678</f>
        <v>614362.48689598055</v>
      </c>
      <c r="AG2689" s="98"/>
      <c r="AH2689" s="106">
        <f ca="1">IF(AG2682&lt;=0,Q_max,ABS(AG$23-AG2688))</f>
        <v>236393</v>
      </c>
      <c r="AI2689" s="9">
        <f ca="1">AG2678</f>
        <v>896678.78248847579</v>
      </c>
      <c r="AJ2689" s="98"/>
      <c r="AK2689" s="106">
        <f ca="1">IF(AJ2682&lt;=0,Q_max,ABS(AJ$23-AJ2688))</f>
        <v>236393</v>
      </c>
      <c r="AL2689" s="9">
        <f ca="1">AJ2678</f>
        <v>1196621.3112664581</v>
      </c>
      <c r="AM2689" s="98"/>
      <c r="AN2689" s="106">
        <f ca="1">IF(AM2682&lt;=0,Q_max,ABS(AM$23-AM2688))</f>
        <v>236393</v>
      </c>
      <c r="AO2689" s="9">
        <f ca="1">AM2678</f>
        <v>1460105.4055968085</v>
      </c>
      <c r="AP2689" s="98"/>
      <c r="AQ2689" s="106">
        <f ca="1">IF(AP2682&lt;=0,Q_max,ABS(AP$23-AP2688))</f>
        <v>236393</v>
      </c>
      <c r="AR2689" s="9">
        <f ca="1">AP2678</f>
        <v>1695137.0474658147</v>
      </c>
      <c r="AS2689" s="98"/>
      <c r="AT2689" s="106">
        <f ca="1">IF(AS2682&lt;=0,Q_max,ABS(AS$23-AS2688))</f>
        <v>236393</v>
      </c>
      <c r="AU2689" s="9">
        <f ca="1">AS2678</f>
        <v>1987681.5020774244</v>
      </c>
    </row>
    <row r="2690" spans="15:47" x14ac:dyDescent="0.25">
      <c r="O2690" s="21"/>
      <c r="P2690" s="14"/>
      <c r="Q2690" s="21"/>
      <c r="R2690" s="97"/>
      <c r="S2690" s="106"/>
      <c r="T2690" s="28"/>
      <c r="U2690" s="97"/>
      <c r="V2690" s="111"/>
      <c r="W2690" s="28"/>
      <c r="X2690" s="97"/>
      <c r="Y2690" s="111"/>
      <c r="Z2690" s="28"/>
      <c r="AA2690" s="97"/>
      <c r="AB2690" s="111"/>
      <c r="AC2690" s="28"/>
      <c r="AD2690" s="97"/>
      <c r="AE2690" s="111"/>
      <c r="AF2690" s="28"/>
      <c r="AG2690" s="97"/>
      <c r="AH2690" s="111"/>
      <c r="AI2690" s="28"/>
      <c r="AJ2690" s="97"/>
      <c r="AK2690" s="111"/>
      <c r="AL2690" s="28"/>
      <c r="AM2690" s="97"/>
      <c r="AN2690" s="111"/>
      <c r="AO2690" s="28"/>
      <c r="AP2690" s="97"/>
      <c r="AQ2690" s="111"/>
      <c r="AR2690" s="28"/>
      <c r="AS2690" s="97"/>
      <c r="AT2690" s="111"/>
      <c r="AU2690" s="28"/>
    </row>
    <row r="2691" spans="15:47" x14ac:dyDescent="0.25">
      <c r="O2691" s="1"/>
      <c r="P2691" s="1"/>
      <c r="Q2691" s="1"/>
      <c r="R2691" s="98"/>
      <c r="S2691" s="108" t="s">
        <v>137</v>
      </c>
      <c r="T2691" s="26" t="s">
        <v>146</v>
      </c>
      <c r="U2691" s="98"/>
      <c r="V2691" s="108" t="s">
        <v>137</v>
      </c>
      <c r="W2691" s="26" t="s">
        <v>146</v>
      </c>
      <c r="X2691" s="98"/>
      <c r="Y2691" s="108" t="s">
        <v>137</v>
      </c>
      <c r="Z2691" s="26" t="s">
        <v>146</v>
      </c>
      <c r="AA2691" s="98"/>
      <c r="AB2691" s="108" t="s">
        <v>137</v>
      </c>
      <c r="AC2691" s="26" t="s">
        <v>146</v>
      </c>
      <c r="AD2691" s="98"/>
      <c r="AE2691" s="108" t="s">
        <v>137</v>
      </c>
      <c r="AF2691" s="26" t="s">
        <v>146</v>
      </c>
      <c r="AG2691" s="98"/>
      <c r="AH2691" s="108" t="s">
        <v>137</v>
      </c>
      <c r="AI2691" s="26" t="s">
        <v>146</v>
      </c>
      <c r="AJ2691" s="98"/>
      <c r="AK2691" s="108" t="s">
        <v>137</v>
      </c>
      <c r="AL2691" s="26" t="s">
        <v>146</v>
      </c>
      <c r="AM2691" s="98"/>
      <c r="AN2691" s="108" t="s">
        <v>137</v>
      </c>
      <c r="AO2691" s="26" t="s">
        <v>146</v>
      </c>
      <c r="AP2691" s="98"/>
      <c r="AQ2691" s="108" t="s">
        <v>137</v>
      </c>
      <c r="AR2691" s="26" t="s">
        <v>146</v>
      </c>
      <c r="AS2691" s="98"/>
      <c r="AT2691" s="108" t="s">
        <v>137</v>
      </c>
      <c r="AU2691" s="26" t="s">
        <v>146</v>
      </c>
    </row>
    <row r="2692" spans="15:47" ht="13.8" x14ac:dyDescent="0.25">
      <c r="O2692" s="20" t="s">
        <v>136</v>
      </c>
      <c r="P2692" s="1"/>
      <c r="Q2692" s="1"/>
      <c r="R2692" s="96">
        <f>R2678*1.02</f>
        <v>13718.900248821416</v>
      </c>
      <c r="S2692" s="109" t="s">
        <v>144</v>
      </c>
      <c r="T2692" s="23" t="s">
        <v>147</v>
      </c>
      <c r="U2692" s="96">
        <f ca="1">U2678*1.01</f>
        <v>77549.489443773768</v>
      </c>
      <c r="V2692" s="109" t="s">
        <v>144</v>
      </c>
      <c r="W2692" s="23" t="s">
        <v>147</v>
      </c>
      <c r="X2692" s="96">
        <f ca="1">X2678*1.01</f>
        <v>189890.21375433204</v>
      </c>
      <c r="Y2692" s="109" t="s">
        <v>144</v>
      </c>
      <c r="Z2692" s="23" t="s">
        <v>147</v>
      </c>
      <c r="AA2692" s="96">
        <f ca="1">AA2678*1.01</f>
        <v>369857.66778733872</v>
      </c>
      <c r="AB2692" s="109" t="s">
        <v>144</v>
      </c>
      <c r="AC2692" s="23" t="s">
        <v>147</v>
      </c>
      <c r="AD2692" s="96">
        <f ca="1">AD2678*1.01</f>
        <v>620506.11176494032</v>
      </c>
      <c r="AE2692" s="109" t="s">
        <v>144</v>
      </c>
      <c r="AF2692" s="23" t="s">
        <v>147</v>
      </c>
      <c r="AG2692" s="96">
        <f ca="1">AG2678*1.01</f>
        <v>905645.57031336054</v>
      </c>
      <c r="AH2692" s="109" t="s">
        <v>144</v>
      </c>
      <c r="AI2692" s="23" t="s">
        <v>147</v>
      </c>
      <c r="AJ2692" s="96">
        <f ca="1">AJ2678*1.01</f>
        <v>1208587.5243791228</v>
      </c>
      <c r="AK2692" s="109" t="s">
        <v>144</v>
      </c>
      <c r="AL2692" s="23" t="s">
        <v>147</v>
      </c>
      <c r="AM2692" s="96">
        <f ca="1">AM2678*1.01</f>
        <v>1474706.4596527766</v>
      </c>
      <c r="AN2692" s="109" t="s">
        <v>144</v>
      </c>
      <c r="AO2692" s="23" t="s">
        <v>147</v>
      </c>
      <c r="AP2692" s="96">
        <f ca="1">AP2678*1.01</f>
        <v>1712088.417940473</v>
      </c>
      <c r="AQ2692" s="109" t="s">
        <v>144</v>
      </c>
      <c r="AR2692" s="23" t="s">
        <v>147</v>
      </c>
      <c r="AS2692" s="96">
        <f ca="1">AS2678*1.01</f>
        <v>2007558.3170981987</v>
      </c>
      <c r="AT2692" s="109" t="s">
        <v>144</v>
      </c>
      <c r="AU2692" s="23" t="s">
        <v>147</v>
      </c>
    </row>
    <row r="2693" spans="15:47" x14ac:dyDescent="0.25">
      <c r="O2693" s="1"/>
      <c r="P2693" s="1"/>
      <c r="Q2693" s="1"/>
      <c r="R2693" s="98"/>
      <c r="S2693" s="107"/>
      <c r="T2693" s="1"/>
      <c r="U2693" s="47"/>
      <c r="V2693" s="107"/>
      <c r="W2693" s="1"/>
      <c r="X2693" s="47"/>
      <c r="Y2693" s="107"/>
      <c r="Z2693" s="1"/>
      <c r="AA2693" s="47"/>
      <c r="AB2693" s="107"/>
      <c r="AC2693" s="1"/>
      <c r="AD2693" s="47"/>
      <c r="AE2693" s="107"/>
      <c r="AF2693" s="1"/>
      <c r="AG2693" s="47"/>
      <c r="AH2693" s="107"/>
      <c r="AI2693" s="1"/>
      <c r="AJ2693" s="47"/>
      <c r="AK2693" s="107"/>
      <c r="AL2693" s="1"/>
      <c r="AM2693" s="47"/>
      <c r="AN2693" s="107"/>
      <c r="AO2693" s="1"/>
      <c r="AP2693" s="47"/>
      <c r="AQ2693" s="107"/>
      <c r="AR2693" s="1"/>
      <c r="AS2693" s="47"/>
      <c r="AT2693" s="107"/>
      <c r="AU2693" s="1"/>
    </row>
    <row r="2694" spans="15:47" x14ac:dyDescent="0.25">
      <c r="O2694" s="8" t="s">
        <v>132</v>
      </c>
      <c r="P2694" s="8"/>
      <c r="Q2694" s="8"/>
      <c r="R2694" s="96">
        <f>P_1_minQ-(R2692^2*R_up)+dpup_minQ</f>
        <v>90.150737527846999</v>
      </c>
      <c r="S2694" s="106"/>
      <c r="T2694" s="22"/>
      <c r="U2694" s="96">
        <f ca="1">P_1_minQ-(U2692^2*R_up)+dpup_minQ</f>
        <v>89.088937387336514</v>
      </c>
      <c r="V2694" s="107"/>
      <c r="W2694" s="1"/>
      <c r="X2694" s="96">
        <f ca="1">P_1_minQ-(X2692^2*R_up)+dpup_minQ</f>
        <v>83.613023140747487</v>
      </c>
      <c r="Y2694" s="107"/>
      <c r="Z2694" s="1"/>
      <c r="AA2694" s="96">
        <f ca="1">P_1_minQ-(AA2692^2*R_up)+dpup_minQ</f>
        <v>65.252714877593107</v>
      </c>
      <c r="AB2694" s="107"/>
      <c r="AC2694" s="1"/>
      <c r="AD2694" s="96">
        <f ca="1">P_1_minQ-(AD2692^2*R_up)+dpup_minQ</f>
        <v>20.009516533189696</v>
      </c>
      <c r="AE2694" s="107"/>
      <c r="AF2694" s="1"/>
      <c r="AG2694" s="96">
        <f ca="1">P_1_minQ-(AG2692^2*R_up)+dpup_minQ</f>
        <v>-59.30424686820129</v>
      </c>
      <c r="AH2694" s="107"/>
      <c r="AI2694" s="1"/>
      <c r="AJ2694" s="96">
        <f ca="1">P_1_minQ-(AJ2692^2*R_up)+dpup_minQ</f>
        <v>-176.04052057892505</v>
      </c>
      <c r="AK2694" s="107"/>
      <c r="AL2694" s="1"/>
      <c r="AM2694" s="96">
        <f ca="1">P_1_minQ-(AM2692^2*R_up)+dpup_minQ</f>
        <v>-306.1885423593784</v>
      </c>
      <c r="AN2694" s="107"/>
      <c r="AO2694" s="1"/>
      <c r="AP2694" s="96">
        <f ca="1">P_1_minQ-(AP2692^2*R_up)+dpup_minQ</f>
        <v>-444.0666632341551</v>
      </c>
      <c r="AQ2694" s="107"/>
      <c r="AR2694" s="1"/>
      <c r="AS2694" s="96">
        <f ca="1">P_1_minQ-(AS2692^2*R_up)+dpup_minQ</f>
        <v>-644.37935954997806</v>
      </c>
      <c r="AT2694" s="107"/>
      <c r="AU2694" s="1"/>
    </row>
    <row r="2695" spans="15:47" x14ac:dyDescent="0.25">
      <c r="O2695" s="8" t="s">
        <v>134</v>
      </c>
      <c r="P2695" s="1"/>
      <c r="Q2695" s="8"/>
      <c r="R2695" s="97">
        <f>P_2_minQ+(R2692^2*R_dn)-dpdn_minQ</f>
        <v>60</v>
      </c>
      <c r="S2695" s="106"/>
      <c r="T2695" s="22"/>
      <c r="U2695" s="97">
        <f ca="1">P_2_minQ+(U2692^2*R_dn)-dpdn_minQ</f>
        <v>60</v>
      </c>
      <c r="V2695" s="107"/>
      <c r="W2695" s="1"/>
      <c r="X2695" s="97">
        <f ca="1">P_2_minQ+(X2692^2*R_dn)-dpdn_minQ</f>
        <v>60</v>
      </c>
      <c r="Y2695" s="107"/>
      <c r="Z2695" s="1"/>
      <c r="AA2695" s="97">
        <f ca="1">P_2_minQ+(AA2692^2*R_dn)-dpdn_minQ</f>
        <v>60</v>
      </c>
      <c r="AB2695" s="107"/>
      <c r="AC2695" s="1"/>
      <c r="AD2695" s="97">
        <f ca="1">P_2_minQ+(AD2692^2*R_dn)-dpdn_minQ</f>
        <v>60</v>
      </c>
      <c r="AE2695" s="107"/>
      <c r="AF2695" s="1"/>
      <c r="AG2695" s="97">
        <f ca="1">P_2_minQ+(AG2692^2*R_dn)-dpdn_minQ</f>
        <v>60</v>
      </c>
      <c r="AH2695" s="107"/>
      <c r="AI2695" s="1"/>
      <c r="AJ2695" s="97">
        <f ca="1">P_2_minQ+(AJ2692^2*R_dn)-dpdn_minQ</f>
        <v>60</v>
      </c>
      <c r="AK2695" s="107"/>
      <c r="AL2695" s="1"/>
      <c r="AM2695" s="97">
        <f ca="1">P_2_minQ+(AM2692^2*R_dn)-dpdn_minQ</f>
        <v>60</v>
      </c>
      <c r="AN2695" s="107"/>
      <c r="AO2695" s="1"/>
      <c r="AP2695" s="97">
        <f ca="1">P_2_minQ+(AP2692^2*R_dn)-dpdn_minQ</f>
        <v>60</v>
      </c>
      <c r="AQ2695" s="107"/>
      <c r="AR2695" s="1"/>
      <c r="AS2695" s="97">
        <f ca="1">P_2_minQ+(AS2692^2*R_dn)-dpdn_minQ</f>
        <v>60</v>
      </c>
      <c r="AT2695" s="107"/>
      <c r="AU2695" s="1"/>
    </row>
    <row r="2696" spans="15:47" x14ac:dyDescent="0.25">
      <c r="O2696" s="8" t="s">
        <v>138</v>
      </c>
      <c r="P2696" s="1"/>
      <c r="Q2696" s="8"/>
      <c r="R2696" s="97">
        <f>R2694-R2695</f>
        <v>30.150737527846999</v>
      </c>
      <c r="S2696" s="106"/>
      <c r="T2696" s="22"/>
      <c r="U2696" s="97">
        <f ca="1">U2694-U2695</f>
        <v>29.088937387336514</v>
      </c>
      <c r="V2696" s="110"/>
      <c r="W2696" s="25"/>
      <c r="X2696" s="97">
        <f ca="1">X2694-X2695</f>
        <v>23.613023140747487</v>
      </c>
      <c r="Y2696" s="110"/>
      <c r="Z2696" s="25"/>
      <c r="AA2696" s="97">
        <f ca="1">AA2694-AA2695</f>
        <v>5.2527148775931067</v>
      </c>
      <c r="AB2696" s="110"/>
      <c r="AC2696" s="25"/>
      <c r="AD2696" s="97">
        <f ca="1">AD2694-AD2695</f>
        <v>-39.990483466810304</v>
      </c>
      <c r="AE2696" s="110"/>
      <c r="AF2696" s="25"/>
      <c r="AG2696" s="97">
        <f ca="1">AG2694-AG2695</f>
        <v>-119.30424686820129</v>
      </c>
      <c r="AH2696" s="110"/>
      <c r="AI2696" s="25"/>
      <c r="AJ2696" s="97">
        <f ca="1">AJ2694-AJ2695</f>
        <v>-236.04052057892505</v>
      </c>
      <c r="AK2696" s="110"/>
      <c r="AL2696" s="25"/>
      <c r="AM2696" s="97">
        <f ca="1">AM2694-AM2695</f>
        <v>-366.1885423593784</v>
      </c>
      <c r="AN2696" s="110"/>
      <c r="AO2696" s="25"/>
      <c r="AP2696" s="97">
        <f ca="1">AP2694-AP2695</f>
        <v>-504.0666632341551</v>
      </c>
      <c r="AQ2696" s="110"/>
      <c r="AR2696" s="25"/>
      <c r="AS2696" s="97">
        <f ca="1">AS2694-AS2695</f>
        <v>-704.37935954997806</v>
      </c>
      <c r="AT2696" s="110"/>
      <c r="AU2696" s="25"/>
    </row>
    <row r="2697" spans="15:47" ht="14.4" x14ac:dyDescent="0.3">
      <c r="O2697" s="2" t="s">
        <v>140</v>
      </c>
      <c r="P2697" s="11"/>
      <c r="Q2697" s="2"/>
      <c r="R2697" s="96">
        <f>R2696/R2694</f>
        <v>0.33444804063342937</v>
      </c>
      <c r="S2697" s="106"/>
      <c r="T2697" s="22"/>
      <c r="U2697" s="96">
        <f ca="1">U2696/U2694</f>
        <v>0.32651570711709199</v>
      </c>
      <c r="V2697" s="111"/>
      <c r="W2697" s="28"/>
      <c r="X2697" s="96">
        <f ca="1">X2696/X2694</f>
        <v>0.28240843655418618</v>
      </c>
      <c r="Y2697" s="111"/>
      <c r="Z2697" s="28"/>
      <c r="AA2697" s="96">
        <f ca="1">AA2696/AA2694</f>
        <v>8.0498028127206966E-2</v>
      </c>
      <c r="AB2697" s="111"/>
      <c r="AC2697" s="28"/>
      <c r="AD2697" s="96">
        <f ca="1">AD2696/AD2694</f>
        <v>-1.9985731989315316</v>
      </c>
      <c r="AE2697" s="111"/>
      <c r="AF2697" s="28"/>
      <c r="AG2697" s="96">
        <f ca="1">AG2696/AG2694</f>
        <v>2.0117319276197025</v>
      </c>
      <c r="AH2697" s="111"/>
      <c r="AI2697" s="28"/>
      <c r="AJ2697" s="96">
        <f ca="1">AJ2696/AJ2694</f>
        <v>1.3408306212835808</v>
      </c>
      <c r="AK2697" s="111"/>
      <c r="AL2697" s="28"/>
      <c r="AM2697" s="96">
        <f ca="1">AM2696/AM2694</f>
        <v>1.1959576917466004</v>
      </c>
      <c r="AN2697" s="111"/>
      <c r="AO2697" s="28"/>
      <c r="AP2697" s="96">
        <f ca="1">AP2696/AP2694</f>
        <v>1.1351148486648774</v>
      </c>
      <c r="AQ2697" s="111"/>
      <c r="AR2697" s="28"/>
      <c r="AS2697" s="96">
        <f ca="1">AS2696/AS2694</f>
        <v>1.0931128520967879</v>
      </c>
      <c r="AT2697" s="111"/>
      <c r="AU2697" s="28"/>
    </row>
    <row r="2698" spans="15:47" x14ac:dyDescent="0.25">
      <c r="O2698" s="2" t="s">
        <v>21</v>
      </c>
      <c r="P2698" s="8">
        <v>12</v>
      </c>
      <c r="Q2698" s="2"/>
      <c r="R2698" s="96">
        <f ca="1">1-R2697/(3*F_GAMMA*R$29)</f>
        <v>0.82581639470135426</v>
      </c>
      <c r="S2698" s="106"/>
      <c r="T2698" s="22"/>
      <c r="U2698" s="96">
        <f ca="1">1-U2697/(3*F_GAMMA*U$29)</f>
        <v>0.82998713243240285</v>
      </c>
      <c r="V2698" s="111"/>
      <c r="W2698" s="28"/>
      <c r="X2698" s="96">
        <f ca="1">1-X2697/(3*F_GAMMA*X$29)</f>
        <v>0.85155275969035715</v>
      </c>
      <c r="Y2698" s="111"/>
      <c r="Z2698" s="28"/>
      <c r="AA2698" s="96">
        <f ca="1">1-AA2697/(3*F_GAMMA*AA$29)</f>
        <v>0.95708997095855575</v>
      </c>
      <c r="AB2698" s="111"/>
      <c r="AC2698" s="28"/>
      <c r="AD2698" s="96">
        <f ca="1">1-AD2697/(3*F_GAMMA*AD$29)</f>
        <v>2.098394284484459</v>
      </c>
      <c r="AE2698" s="111"/>
      <c r="AF2698" s="28"/>
      <c r="AG2698" s="96">
        <f ca="1">1-AG2697/(3*F_GAMMA*AG$29)</f>
        <v>-0.17197058139017218</v>
      </c>
      <c r="AH2698" s="111"/>
      <c r="AI2698" s="28"/>
      <c r="AJ2698" s="96">
        <f ca="1">1-AJ2697/(3*F_GAMMA*AJ$29)</f>
        <v>0.15961647446003269</v>
      </c>
      <c r="AK2698" s="111"/>
      <c r="AL2698" s="28"/>
      <c r="AM2698" s="96">
        <f ca="1">1-AM2697/(3*F_GAMMA*AM$29)</f>
        <v>0.16190499799706892</v>
      </c>
      <c r="AN2698" s="111"/>
      <c r="AO2698" s="28"/>
      <c r="AP2698" s="96">
        <f ca="1">1-AP2697/(3*F_GAMMA*AP$29)</f>
        <v>0.35928031601164667</v>
      </c>
      <c r="AQ2698" s="111"/>
      <c r="AR2698" s="28"/>
      <c r="AS2698" s="96">
        <f ca="1">1-AS2697/(3*F_GAMMA*AS$29)</f>
        <v>3.2703300245819578E-2</v>
      </c>
      <c r="AT2698" s="111"/>
      <c r="AU2698" s="28"/>
    </row>
    <row r="2699" spans="15:47" x14ac:dyDescent="0.25">
      <c r="O2699" s="2" t="s">
        <v>57</v>
      </c>
      <c r="P2699" s="143">
        <v>7</v>
      </c>
      <c r="Q2699" s="2"/>
      <c r="R2699" s="96">
        <f ca="1">(R2692/(N_9*R$27*R2694*R2698))*SQRT(M*'Valve Sizing'!$W$6*'Valve Sizing'!$G$8/R2697)</f>
        <v>5.5435532033611317</v>
      </c>
      <c r="S2699" s="107"/>
      <c r="T2699" s="22"/>
      <c r="U2699" s="96">
        <f ca="1">(U2692/(N_9*U$27*U2694*U2698))*SQRT(M*'Valve Sizing'!$W$6*'Valve Sizing'!$G$8/U2697)</f>
        <v>31.952339628047412</v>
      </c>
      <c r="V2699" s="111"/>
      <c r="W2699" s="28"/>
      <c r="X2699" s="96">
        <f ca="1">(X2692/(N_9*X$27*X2694*X2698))*SQRT(M*'Valve Sizing'!$W$6*'Valve Sizing'!$G$8/X2697)</f>
        <v>87.568469924744917</v>
      </c>
      <c r="Y2699" s="111"/>
      <c r="Z2699" s="28"/>
      <c r="AA2699" s="96">
        <f ca="1">(AA2692/(N_9*AA$27*AA2694*AA2698))*SQRT(M*'Valve Sizing'!$W$6*'Valve Sizing'!$G$8/AA2697)</f>
        <v>366.37832435626558</v>
      </c>
      <c r="AB2699" s="111"/>
      <c r="AC2699" s="28"/>
      <c r="AD2699" s="96" t="e">
        <f ca="1">(AD2692/(N_9*AD$27*AD2694*AD2698))*SQRT(M*'Valve Sizing'!$W$6*'Valve Sizing'!$G$8/AD2697)</f>
        <v>#NUM!</v>
      </c>
      <c r="AE2699" s="111"/>
      <c r="AF2699" s="28"/>
      <c r="AG2699" s="96">
        <f ca="1">(AG2692/(N_9*AG$27*AG2694*AG2698))*SQRT(M*'Valve Sizing'!$W$6*'Valve Sizing'!$G$8/AG2697)</f>
        <v>1137.5869416607093</v>
      </c>
      <c r="AH2699" s="111"/>
      <c r="AI2699" s="28"/>
      <c r="AJ2699" s="96">
        <f ca="1">(AJ2692/(N_9*AJ$27*AJ2694*AJ2698))*SQRT(M*'Valve Sizing'!$W$6*'Valve Sizing'!$G$8/AJ2697)</f>
        <v>-699.31874205057068</v>
      </c>
      <c r="AK2699" s="111"/>
      <c r="AL2699" s="28"/>
      <c r="AM2699" s="96">
        <f ca="1">(AM2692/(N_9*AM$27*AM2694*AM2698))*SQRT(M*'Valve Sizing'!$W$6*'Valve Sizing'!$G$8/AM2697)</f>
        <v>-543.36486764434915</v>
      </c>
      <c r="AN2699" s="111"/>
      <c r="AO2699" s="28"/>
      <c r="AP2699" s="96">
        <f ca="1">(AP2692/(N_9*AP$27*AP2694*AP2698))*SQRT(M*'Valve Sizing'!$W$6*'Valve Sizing'!$G$8/AP2697)</f>
        <v>-228.99933899464827</v>
      </c>
      <c r="AQ2699" s="111"/>
      <c r="AR2699" s="28"/>
      <c r="AS2699" s="96">
        <f ca="1">(AS2692/(N_9*AS$27*AS2694*AS2698))*SQRT(M*'Valve Sizing'!$W$6*'Valve Sizing'!$G$8/AS2697)</f>
        <v>-2774.7191022520014</v>
      </c>
      <c r="AT2699" s="111"/>
      <c r="AU2699" s="28"/>
    </row>
    <row r="2700" spans="15:47" x14ac:dyDescent="0.25">
      <c r="O2700" s="2" t="s">
        <v>59</v>
      </c>
      <c r="P2700" s="143">
        <v>7</v>
      </c>
      <c r="Q2700" s="2"/>
      <c r="R2700" s="96">
        <f ca="1">(R2692/(N_9*R$27*R2694*0.667))*SQRT(M*'Valve Sizing'!$W$6*'Valve Sizing'!$G$8/R2701)</f>
        <v>4.9614675092874592</v>
      </c>
      <c r="S2700" s="107"/>
      <c r="T2700" s="22"/>
      <c r="U2700" s="96">
        <f ca="1">(U2692/(N_9*U$27*U2694*0.667))*SQRT(M*'Valve Sizing'!$W$6*'Valve Sizing'!$G$8/U2701)</f>
        <v>28.395512590948741</v>
      </c>
      <c r="V2700" s="111"/>
      <c r="W2700" s="28"/>
      <c r="X2700" s="96">
        <f ca="1">(X2692/(N_9*X$27*X2694*0.667))*SQRT(M*'Valve Sizing'!$W$6*'Valve Sizing'!$G$8/X2701)</f>
        <v>74.60710353156486</v>
      </c>
      <c r="Y2700" s="111"/>
      <c r="Z2700" s="28"/>
      <c r="AA2700" s="96">
        <f ca="1">(AA2692/(N_9*AA$27*AA2694*0.667))*SQRT(M*'Valve Sizing'!$W$6*'Valve Sizing'!$G$8/AA2701)</f>
        <v>188.62390653441551</v>
      </c>
      <c r="AB2700" s="111"/>
      <c r="AC2700" s="28"/>
      <c r="AD2700" s="96">
        <f ca="1">(AD2692/(N_9*AD$27*AD2694*0.667))*SQRT(M*'Valve Sizing'!$W$6*'Valve Sizing'!$G$8/AD2701)</f>
        <v>1060.8387868697878</v>
      </c>
      <c r="AE2700" s="111"/>
      <c r="AF2700" s="28"/>
      <c r="AG2700" s="96">
        <f ca="1">(AG2692/(N_9*AG$27*AG2694*0.667))*SQRT(M*'Valve Sizing'!$W$6*'Valve Sizing'!$G$8/AG2701)</f>
        <v>-549.96101677623471</v>
      </c>
      <c r="AH2700" s="111"/>
      <c r="AI2700" s="28"/>
      <c r="AJ2700" s="96">
        <f ca="1">(AJ2692/(N_9*AJ$27*AJ2694*0.667))*SQRT(M*'Valve Sizing'!$W$6*'Valve Sizing'!$G$8/AJ2701)</f>
        <v>-265.72134390700802</v>
      </c>
      <c r="AK2700" s="111"/>
      <c r="AL2700" s="28"/>
      <c r="AM2700" s="96">
        <f ca="1">(AM2692/(N_9*AM$27*AM2694*0.667))*SQRT(M*'Valve Sizing'!$W$6*'Valve Sizing'!$G$8/AM2701)</f>
        <v>-209.13813421025446</v>
      </c>
      <c r="AN2700" s="111"/>
      <c r="AO2700" s="28"/>
      <c r="AP2700" s="96">
        <f ca="1">(AP2692/(N_9*AP$27*AP2694*0.667))*SQRT(M*'Valve Sizing'!$W$6*'Valve Sizing'!$G$8/AP2701)</f>
        <v>-171.01589574244542</v>
      </c>
      <c r="AQ2700" s="111"/>
      <c r="AR2700" s="28"/>
      <c r="AS2700" s="96">
        <f ca="1">(AS2692/(N_9*AS$27*AS2694*0.667))*SQRT(M*'Valve Sizing'!$W$6*'Valve Sizing'!$G$8/AS2701)</f>
        <v>-231.7529398993197</v>
      </c>
      <c r="AT2700" s="111"/>
      <c r="AU2700" s="28"/>
    </row>
    <row r="2701" spans="15:47" ht="15.6" x14ac:dyDescent="0.35">
      <c r="O2701" s="2" t="s">
        <v>68</v>
      </c>
      <c r="P2701" s="143">
        <v>10</v>
      </c>
      <c r="Q2701" s="2"/>
      <c r="R2701" s="96">
        <f ca="1">F_GAMMA*R$29</f>
        <v>0.64002969751372984</v>
      </c>
      <c r="S2701" s="107"/>
      <c r="T2701" s="1"/>
      <c r="U2701" s="96">
        <f ca="1">F_GAMMA*U$29</f>
        <v>0.64017842058782071</v>
      </c>
      <c r="V2701" s="111"/>
      <c r="W2701" s="28"/>
      <c r="X2701" s="96">
        <f ca="1">F_GAMMA*X$29</f>
        <v>0.63413873724904268</v>
      </c>
      <c r="Y2701" s="111"/>
      <c r="Z2701" s="28"/>
      <c r="AA2701" s="96">
        <f ca="1">F_GAMMA*AA$29</f>
        <v>0.62532411750377137</v>
      </c>
      <c r="AB2701" s="111"/>
      <c r="AC2701" s="28"/>
      <c r="AD2701" s="96">
        <f ca="1">F_GAMMA*AD$29</f>
        <v>0.60651359509139569</v>
      </c>
      <c r="AE2701" s="111"/>
      <c r="AF2701" s="28"/>
      <c r="AG2701" s="96">
        <f ca="1">F_GAMMA*AG$29</f>
        <v>0.57217930198481592</v>
      </c>
      <c r="AH2701" s="111"/>
      <c r="AI2701" s="28"/>
      <c r="AJ2701" s="96">
        <f ca="1">F_GAMMA*AJ$29</f>
        <v>0.53183282018848232</v>
      </c>
      <c r="AK2701" s="111"/>
      <c r="AL2701" s="28"/>
      <c r="AM2701" s="96">
        <f ca="1">F_GAMMA*AM$29</f>
        <v>0.47566512503094399</v>
      </c>
      <c r="AN2701" s="111"/>
      <c r="AO2701" s="28"/>
      <c r="AP2701" s="96">
        <f ca="1">F_GAMMA*AP$29</f>
        <v>0.59054158265645496</v>
      </c>
      <c r="AQ2701" s="111"/>
      <c r="AR2701" s="28"/>
      <c r="AS2701" s="96">
        <f ca="1">F_GAMMA*AS$29</f>
        <v>0.3766899554102966</v>
      </c>
      <c r="AT2701" s="111"/>
      <c r="AU2701" s="28"/>
    </row>
    <row r="2702" spans="15:47" x14ac:dyDescent="0.25">
      <c r="O2702" s="2" t="s">
        <v>145</v>
      </c>
      <c r="P2702" s="12"/>
      <c r="Q2702" s="2"/>
      <c r="R2702" s="96">
        <f ca="1">IF(R2697&lt;R2701,R2699,R2700)</f>
        <v>5.5435532033611317</v>
      </c>
      <c r="S2702" s="116"/>
      <c r="T2702" s="1"/>
      <c r="U2702" s="96">
        <f ca="1">IF(U2697&lt;U2701,U2699,U2700)</f>
        <v>31.952339628047412</v>
      </c>
      <c r="V2702" s="111"/>
      <c r="W2702" s="28"/>
      <c r="X2702" s="96">
        <f ca="1">IF(X2697&lt;X2701,X2699,X2700)</f>
        <v>87.568469924744917</v>
      </c>
      <c r="Y2702" s="111"/>
      <c r="Z2702" s="28"/>
      <c r="AA2702" s="96">
        <f ca="1">IF(AA2697&lt;AA2701,AA2699,AA2700)</f>
        <v>366.37832435626558</v>
      </c>
      <c r="AB2702" s="111"/>
      <c r="AC2702" s="28"/>
      <c r="AD2702" s="96" t="e">
        <f ca="1">IF(AD2697&lt;AD2701,AD2699,AD2700)</f>
        <v>#NUM!</v>
      </c>
      <c r="AE2702" s="111"/>
      <c r="AF2702" s="28"/>
      <c r="AG2702" s="96">
        <f ca="1">IF(AG2697&lt;AG2701,AG2699,AG2700)</f>
        <v>-549.96101677623471</v>
      </c>
      <c r="AH2702" s="111"/>
      <c r="AI2702" s="28"/>
      <c r="AJ2702" s="96">
        <f ca="1">IF(AJ2697&lt;AJ2701,AJ2699,AJ2700)</f>
        <v>-265.72134390700802</v>
      </c>
      <c r="AK2702" s="111"/>
      <c r="AL2702" s="28"/>
      <c r="AM2702" s="96">
        <f ca="1">IF(AM2697&lt;AM2701,AM2699,AM2700)</f>
        <v>-209.13813421025446</v>
      </c>
      <c r="AN2702" s="111"/>
      <c r="AO2702" s="28"/>
      <c r="AP2702" s="96">
        <f ca="1">IF(AP2697&lt;AP2701,AP2699,AP2700)</f>
        <v>-171.01589574244542</v>
      </c>
      <c r="AQ2702" s="111"/>
      <c r="AR2702" s="28"/>
      <c r="AS2702" s="96">
        <f ca="1">IF(AS2697&lt;AS2701,AS2699,AS2700)</f>
        <v>-231.7529398993197</v>
      </c>
      <c r="AT2702" s="111"/>
      <c r="AU2702" s="28"/>
    </row>
    <row r="2703" spans="15:47" x14ac:dyDescent="0.25">
      <c r="O2703" s="13" t="s">
        <v>143</v>
      </c>
      <c r="P2703" s="1"/>
      <c r="Q2703" s="1"/>
      <c r="R2703" s="113"/>
      <c r="S2703" s="106">
        <f ca="1">IF(R2696&lt;=0,Q_max,ABS(R$23-R2702))</f>
        <v>0.81355320336113124</v>
      </c>
      <c r="T2703" s="7">
        <f>R2692</f>
        <v>13718.900248821416</v>
      </c>
      <c r="U2703" s="98"/>
      <c r="V2703" s="106">
        <f ca="1">IF(U2696&lt;=0,Q_max,ABS(U$23-U2702))</f>
        <v>20.35233962804741</v>
      </c>
      <c r="W2703" s="9">
        <f ca="1">U2692</f>
        <v>77549.489443773768</v>
      </c>
      <c r="X2703" s="98"/>
      <c r="Y2703" s="106">
        <f ca="1">IF(X2696&lt;=0,Q_max,ABS(X$23-X2702))</f>
        <v>64.568469924744917</v>
      </c>
      <c r="Z2703" s="9">
        <f ca="1">X2692</f>
        <v>189890.21375433204</v>
      </c>
      <c r="AA2703" s="98"/>
      <c r="AB2703" s="106">
        <f ca="1">IF(AA2696&lt;=0,Q_max,ABS(AA$23-AA2702))</f>
        <v>326.9783243562656</v>
      </c>
      <c r="AC2703" s="9">
        <f ca="1">AA2692</f>
        <v>369857.66778733872</v>
      </c>
      <c r="AD2703" s="98"/>
      <c r="AE2703" s="106">
        <f ca="1">IF(AD2696&lt;=0,Q_max,ABS(AD$23-AD2702))</f>
        <v>236393</v>
      </c>
      <c r="AF2703" s="9">
        <f ca="1">AD2692</f>
        <v>620506.11176494032</v>
      </c>
      <c r="AG2703" s="98"/>
      <c r="AH2703" s="106">
        <f ca="1">IF(AG2696&lt;=0,Q_max,ABS(AG$23-AG2702))</f>
        <v>236393</v>
      </c>
      <c r="AI2703" s="9">
        <f ca="1">AG2692</f>
        <v>905645.57031336054</v>
      </c>
      <c r="AJ2703" s="98"/>
      <c r="AK2703" s="106">
        <f ca="1">IF(AJ2696&lt;=0,Q_max,ABS(AJ$23-AJ2702))</f>
        <v>236393</v>
      </c>
      <c r="AL2703" s="9">
        <f ca="1">AJ2692</f>
        <v>1208587.5243791228</v>
      </c>
      <c r="AM2703" s="98"/>
      <c r="AN2703" s="106">
        <f ca="1">IF(AM2696&lt;=0,Q_max,ABS(AM$23-AM2702))</f>
        <v>236393</v>
      </c>
      <c r="AO2703" s="9">
        <f ca="1">AM2692</f>
        <v>1474706.4596527766</v>
      </c>
      <c r="AP2703" s="98"/>
      <c r="AQ2703" s="106">
        <f ca="1">IF(AP2696&lt;=0,Q_max,ABS(AP$23-AP2702))</f>
        <v>236393</v>
      </c>
      <c r="AR2703" s="9">
        <f ca="1">AP2692</f>
        <v>1712088.417940473</v>
      </c>
      <c r="AS2703" s="98"/>
      <c r="AT2703" s="106">
        <f ca="1">IF(AS2696&lt;=0,Q_max,ABS(AS$23-AS2702))</f>
        <v>236393</v>
      </c>
      <c r="AU2703" s="9">
        <f ca="1">AS2692</f>
        <v>2007558.3170981987</v>
      </c>
    </row>
    <row r="2704" spans="15:47" x14ac:dyDescent="0.25">
      <c r="O2704" s="21"/>
      <c r="P2704" s="14"/>
      <c r="Q2704" s="21"/>
      <c r="R2704" s="97"/>
      <c r="S2704" s="106"/>
      <c r="T2704" s="28"/>
      <c r="U2704" s="97"/>
      <c r="V2704" s="111"/>
      <c r="W2704" s="28"/>
      <c r="X2704" s="97"/>
      <c r="Y2704" s="111"/>
      <c r="Z2704" s="28"/>
      <c r="AA2704" s="97"/>
      <c r="AB2704" s="111"/>
      <c r="AC2704" s="28"/>
      <c r="AD2704" s="97"/>
      <c r="AE2704" s="111"/>
      <c r="AF2704" s="28"/>
      <c r="AG2704" s="97"/>
      <c r="AH2704" s="111"/>
      <c r="AI2704" s="28"/>
      <c r="AJ2704" s="97"/>
      <c r="AK2704" s="111"/>
      <c r="AL2704" s="28"/>
      <c r="AM2704" s="97"/>
      <c r="AN2704" s="111"/>
      <c r="AO2704" s="28"/>
      <c r="AP2704" s="97"/>
      <c r="AQ2704" s="111"/>
      <c r="AR2704" s="28"/>
      <c r="AS2704" s="97"/>
      <c r="AT2704" s="111"/>
      <c r="AU2704" s="28"/>
    </row>
    <row r="2705" spans="15:47" x14ac:dyDescent="0.25">
      <c r="O2705" s="1"/>
      <c r="P2705" s="1"/>
      <c r="Q2705" s="1"/>
      <c r="R2705" s="98"/>
      <c r="S2705" s="108" t="s">
        <v>137</v>
      </c>
      <c r="T2705" s="26" t="s">
        <v>146</v>
      </c>
      <c r="U2705" s="98"/>
      <c r="V2705" s="108" t="s">
        <v>137</v>
      </c>
      <c r="W2705" s="26" t="s">
        <v>146</v>
      </c>
      <c r="X2705" s="98"/>
      <c r="Y2705" s="108" t="s">
        <v>137</v>
      </c>
      <c r="Z2705" s="26" t="s">
        <v>146</v>
      </c>
      <c r="AA2705" s="98"/>
      <c r="AB2705" s="108" t="s">
        <v>137</v>
      </c>
      <c r="AC2705" s="26" t="s">
        <v>146</v>
      </c>
      <c r="AD2705" s="98"/>
      <c r="AE2705" s="108" t="s">
        <v>137</v>
      </c>
      <c r="AF2705" s="26" t="s">
        <v>146</v>
      </c>
      <c r="AG2705" s="98"/>
      <c r="AH2705" s="108" t="s">
        <v>137</v>
      </c>
      <c r="AI2705" s="26" t="s">
        <v>146</v>
      </c>
      <c r="AJ2705" s="98"/>
      <c r="AK2705" s="108" t="s">
        <v>137</v>
      </c>
      <c r="AL2705" s="26" t="s">
        <v>146</v>
      </c>
      <c r="AM2705" s="98"/>
      <c r="AN2705" s="108" t="s">
        <v>137</v>
      </c>
      <c r="AO2705" s="26" t="s">
        <v>146</v>
      </c>
      <c r="AP2705" s="98"/>
      <c r="AQ2705" s="108" t="s">
        <v>137</v>
      </c>
      <c r="AR2705" s="26" t="s">
        <v>146</v>
      </c>
      <c r="AS2705" s="98"/>
      <c r="AT2705" s="108" t="s">
        <v>137</v>
      </c>
      <c r="AU2705" s="26" t="s">
        <v>146</v>
      </c>
    </row>
    <row r="2706" spans="15:47" ht="13.8" x14ac:dyDescent="0.25">
      <c r="O2706" s="20" t="s">
        <v>136</v>
      </c>
      <c r="P2706" s="1"/>
      <c r="Q2706" s="1"/>
      <c r="R2706" s="96">
        <f>R2692*1.02</f>
        <v>13993.278253797844</v>
      </c>
      <c r="S2706" s="109" t="s">
        <v>144</v>
      </c>
      <c r="T2706" s="23" t="s">
        <v>147</v>
      </c>
      <c r="U2706" s="96">
        <f ca="1">U2692*1.01</f>
        <v>78324.984338211507</v>
      </c>
      <c r="V2706" s="109" t="s">
        <v>144</v>
      </c>
      <c r="W2706" s="23" t="s">
        <v>147</v>
      </c>
      <c r="X2706" s="96">
        <f ca="1">X2692*1.01</f>
        <v>191789.11589187535</v>
      </c>
      <c r="Y2706" s="109" t="s">
        <v>144</v>
      </c>
      <c r="Z2706" s="23" t="s">
        <v>147</v>
      </c>
      <c r="AA2706" s="96">
        <f ca="1">AA2692*1.01</f>
        <v>373556.2444652121</v>
      </c>
      <c r="AB2706" s="109" t="s">
        <v>144</v>
      </c>
      <c r="AC2706" s="23" t="s">
        <v>147</v>
      </c>
      <c r="AD2706" s="96">
        <f ca="1">AD2692*1.01</f>
        <v>626711.17288258974</v>
      </c>
      <c r="AE2706" s="109" t="s">
        <v>144</v>
      </c>
      <c r="AF2706" s="23" t="s">
        <v>147</v>
      </c>
      <c r="AG2706" s="96">
        <f ca="1">AG2692*1.01</f>
        <v>914702.02601649414</v>
      </c>
      <c r="AH2706" s="109" t="s">
        <v>144</v>
      </c>
      <c r="AI2706" s="23" t="s">
        <v>147</v>
      </c>
      <c r="AJ2706" s="96">
        <f ca="1">AJ2692*1.01</f>
        <v>1220673.3996229139</v>
      </c>
      <c r="AK2706" s="109" t="s">
        <v>144</v>
      </c>
      <c r="AL2706" s="23" t="s">
        <v>147</v>
      </c>
      <c r="AM2706" s="96">
        <f ca="1">AM2692*1.01</f>
        <v>1489453.5242493043</v>
      </c>
      <c r="AN2706" s="109" t="s">
        <v>144</v>
      </c>
      <c r="AO2706" s="23" t="s">
        <v>147</v>
      </c>
      <c r="AP2706" s="96">
        <f ca="1">AP2692*1.01</f>
        <v>1729209.3021198777</v>
      </c>
      <c r="AQ2706" s="109" t="s">
        <v>144</v>
      </c>
      <c r="AR2706" s="23" t="s">
        <v>147</v>
      </c>
      <c r="AS2706" s="96">
        <f ca="1">AS2692*1.01</f>
        <v>2027633.9002691808</v>
      </c>
      <c r="AT2706" s="109" t="s">
        <v>144</v>
      </c>
      <c r="AU2706" s="23" t="s">
        <v>147</v>
      </c>
    </row>
    <row r="2707" spans="15:47" x14ac:dyDescent="0.25">
      <c r="O2707" s="1"/>
      <c r="P2707" s="1"/>
      <c r="Q2707" s="1"/>
      <c r="R2707" s="98"/>
      <c r="S2707" s="107"/>
      <c r="T2707" s="1"/>
      <c r="U2707" s="47"/>
      <c r="V2707" s="107"/>
      <c r="W2707" s="1"/>
      <c r="X2707" s="47"/>
      <c r="Y2707" s="107"/>
      <c r="Z2707" s="1"/>
      <c r="AA2707" s="47"/>
      <c r="AB2707" s="107"/>
      <c r="AC2707" s="1"/>
      <c r="AD2707" s="47"/>
      <c r="AE2707" s="107"/>
      <c r="AF2707" s="1"/>
      <c r="AG2707" s="47"/>
      <c r="AH2707" s="107"/>
      <c r="AI2707" s="1"/>
      <c r="AJ2707" s="47"/>
      <c r="AK2707" s="107"/>
      <c r="AL2707" s="1"/>
      <c r="AM2707" s="47"/>
      <c r="AN2707" s="107"/>
      <c r="AO2707" s="1"/>
      <c r="AP2707" s="47"/>
      <c r="AQ2707" s="107"/>
      <c r="AR2707" s="1"/>
      <c r="AS2707" s="47"/>
      <c r="AT2707" s="107"/>
      <c r="AU2707" s="1"/>
    </row>
    <row r="2708" spans="15:47" x14ac:dyDescent="0.25">
      <c r="O2708" s="8" t="s">
        <v>132</v>
      </c>
      <c r="P2708" s="8"/>
      <c r="Q2708" s="8"/>
      <c r="R2708" s="96">
        <f>P_1_minQ-(R2706^2*R_up)+dpup_minQ</f>
        <v>90.149351686549707</v>
      </c>
      <c r="S2708" s="106"/>
      <c r="T2708" s="22"/>
      <c r="U2708" s="96">
        <f ca="1">P_1_minQ-(U2706^2*R_up)+dpup_minQ</f>
        <v>89.066905714163838</v>
      </c>
      <c r="V2708" s="107"/>
      <c r="W2708" s="1"/>
      <c r="X2708" s="96">
        <f ca="1">P_1_minQ-(X2706^2*R_up)+dpup_minQ</f>
        <v>83.48092559121838</v>
      </c>
      <c r="Y2708" s="107"/>
      <c r="Z2708" s="1"/>
      <c r="AA2708" s="96">
        <f ca="1">P_1_minQ-(AA2706^2*R_up)+dpup_minQ</f>
        <v>64.75157513197459</v>
      </c>
      <c r="AB2708" s="107"/>
      <c r="AC2708" s="1"/>
      <c r="AD2708" s="96">
        <f ca="1">P_1_minQ-(AD2706^2*R_up)+dpup_minQ</f>
        <v>18.598988500848677</v>
      </c>
      <c r="AE2708" s="107"/>
      <c r="AF2708" s="1"/>
      <c r="AG2708" s="96">
        <f ca="1">P_1_minQ-(AG2706^2*R_up)+dpup_minQ</f>
        <v>-62.308981544910267</v>
      </c>
      <c r="AH2708" s="107"/>
      <c r="AI2708" s="1"/>
      <c r="AJ2708" s="96">
        <f ca="1">P_1_minQ-(AJ2706^2*R_up)+dpup_minQ</f>
        <v>-181.39165435721952</v>
      </c>
      <c r="AK2708" s="107"/>
      <c r="AL2708" s="1"/>
      <c r="AM2708" s="96">
        <f ca="1">P_1_minQ-(AM2706^2*R_up)+dpup_minQ</f>
        <v>-314.15565137545997</v>
      </c>
      <c r="AN2708" s="107"/>
      <c r="AO2708" s="1"/>
      <c r="AP2708" s="96">
        <f ca="1">P_1_minQ-(AP2706^2*R_up)+dpup_minQ</f>
        <v>-454.80512247981977</v>
      </c>
      <c r="AQ2708" s="107"/>
      <c r="AR2708" s="1"/>
      <c r="AS2708" s="96">
        <f ca="1">P_1_minQ-(AS2706^2*R_up)+dpup_minQ</f>
        <v>-659.14410399159078</v>
      </c>
      <c r="AT2708" s="107"/>
      <c r="AU2708" s="1"/>
    </row>
    <row r="2709" spans="15:47" x14ac:dyDescent="0.25">
      <c r="O2709" s="8" t="s">
        <v>134</v>
      </c>
      <c r="P2709" s="1"/>
      <c r="Q2709" s="8"/>
      <c r="R2709" s="97">
        <f>P_2_minQ+(R2706^2*R_dn)-dpdn_minQ</f>
        <v>60</v>
      </c>
      <c r="S2709" s="106"/>
      <c r="T2709" s="22"/>
      <c r="U2709" s="97">
        <f ca="1">P_2_minQ+(U2706^2*R_dn)-dpdn_minQ</f>
        <v>60</v>
      </c>
      <c r="V2709" s="107"/>
      <c r="W2709" s="1"/>
      <c r="X2709" s="97">
        <f ca="1">P_2_minQ+(X2706^2*R_dn)-dpdn_minQ</f>
        <v>60</v>
      </c>
      <c r="Y2709" s="107"/>
      <c r="Z2709" s="1"/>
      <c r="AA2709" s="97">
        <f ca="1">P_2_minQ+(AA2706^2*R_dn)-dpdn_minQ</f>
        <v>60</v>
      </c>
      <c r="AB2709" s="107"/>
      <c r="AC2709" s="1"/>
      <c r="AD2709" s="97">
        <f ca="1">P_2_minQ+(AD2706^2*R_dn)-dpdn_minQ</f>
        <v>60</v>
      </c>
      <c r="AE2709" s="107"/>
      <c r="AF2709" s="1"/>
      <c r="AG2709" s="97">
        <f ca="1">P_2_minQ+(AG2706^2*R_dn)-dpdn_minQ</f>
        <v>60</v>
      </c>
      <c r="AH2709" s="107"/>
      <c r="AI2709" s="1"/>
      <c r="AJ2709" s="97">
        <f ca="1">P_2_minQ+(AJ2706^2*R_dn)-dpdn_minQ</f>
        <v>60</v>
      </c>
      <c r="AK2709" s="107"/>
      <c r="AL2709" s="1"/>
      <c r="AM2709" s="97">
        <f ca="1">P_2_minQ+(AM2706^2*R_dn)-dpdn_minQ</f>
        <v>60</v>
      </c>
      <c r="AN2709" s="107"/>
      <c r="AO2709" s="1"/>
      <c r="AP2709" s="97">
        <f ca="1">P_2_minQ+(AP2706^2*R_dn)-dpdn_minQ</f>
        <v>60</v>
      </c>
      <c r="AQ2709" s="107"/>
      <c r="AR2709" s="1"/>
      <c r="AS2709" s="97">
        <f ca="1">P_2_minQ+(AS2706^2*R_dn)-dpdn_minQ</f>
        <v>60</v>
      </c>
      <c r="AT2709" s="107"/>
      <c r="AU2709" s="1"/>
    </row>
    <row r="2710" spans="15:47" x14ac:dyDescent="0.25">
      <c r="O2710" s="8" t="s">
        <v>138</v>
      </c>
      <c r="P2710" s="1"/>
      <c r="Q2710" s="8"/>
      <c r="R2710" s="97">
        <f>R2708-R2709</f>
        <v>30.149351686549707</v>
      </c>
      <c r="S2710" s="106"/>
      <c r="T2710" s="22"/>
      <c r="U2710" s="97">
        <f ca="1">U2708-U2709</f>
        <v>29.066905714163838</v>
      </c>
      <c r="V2710" s="110"/>
      <c r="W2710" s="25"/>
      <c r="X2710" s="97">
        <f ca="1">X2708-X2709</f>
        <v>23.48092559121838</v>
      </c>
      <c r="Y2710" s="110"/>
      <c r="Z2710" s="25"/>
      <c r="AA2710" s="97">
        <f ca="1">AA2708-AA2709</f>
        <v>4.7515751319745902</v>
      </c>
      <c r="AB2710" s="110"/>
      <c r="AC2710" s="25"/>
      <c r="AD2710" s="97">
        <f ca="1">AD2708-AD2709</f>
        <v>-41.401011499151323</v>
      </c>
      <c r="AE2710" s="110"/>
      <c r="AF2710" s="25"/>
      <c r="AG2710" s="97">
        <f ca="1">AG2708-AG2709</f>
        <v>-122.30898154491027</v>
      </c>
      <c r="AH2710" s="110"/>
      <c r="AI2710" s="25"/>
      <c r="AJ2710" s="97">
        <f ca="1">AJ2708-AJ2709</f>
        <v>-241.39165435721952</v>
      </c>
      <c r="AK2710" s="110"/>
      <c r="AL2710" s="25"/>
      <c r="AM2710" s="97">
        <f ca="1">AM2708-AM2709</f>
        <v>-374.15565137545997</v>
      </c>
      <c r="AN2710" s="110"/>
      <c r="AO2710" s="25"/>
      <c r="AP2710" s="97">
        <f ca="1">AP2708-AP2709</f>
        <v>-514.80512247981983</v>
      </c>
      <c r="AQ2710" s="110"/>
      <c r="AR2710" s="25"/>
      <c r="AS2710" s="97">
        <f ca="1">AS2708-AS2709</f>
        <v>-719.14410399159078</v>
      </c>
      <c r="AT2710" s="110"/>
      <c r="AU2710" s="25"/>
    </row>
    <row r="2711" spans="15:47" ht="14.4" x14ac:dyDescent="0.3">
      <c r="O2711" s="2" t="s">
        <v>140</v>
      </c>
      <c r="P2711" s="11"/>
      <c r="Q2711" s="2"/>
      <c r="R2711" s="96">
        <f>R2710/R2708</f>
        <v>0.33443780928541045</v>
      </c>
      <c r="S2711" s="106"/>
      <c r="T2711" s="22"/>
      <c r="U2711" s="96">
        <f ca="1">U2710/U2708</f>
        <v>0.32634911341195816</v>
      </c>
      <c r="V2711" s="111"/>
      <c r="W2711" s="28"/>
      <c r="X2711" s="96">
        <f ca="1">X2710/X2708</f>
        <v>0.28127294259047375</v>
      </c>
      <c r="Y2711" s="111"/>
      <c r="Z2711" s="28"/>
      <c r="AA2711" s="96">
        <f ca="1">AA2710/AA2708</f>
        <v>7.3381614613854285E-2</v>
      </c>
      <c r="AB2711" s="111"/>
      <c r="AC2711" s="28"/>
      <c r="AD2711" s="96">
        <f ca="1">AD2710/AD2708</f>
        <v>-2.2259818859107412</v>
      </c>
      <c r="AE2711" s="111"/>
      <c r="AF2711" s="28"/>
      <c r="AG2711" s="96">
        <f ca="1">AG2710/AG2708</f>
        <v>1.962943038264138</v>
      </c>
      <c r="AH2711" s="111"/>
      <c r="AI2711" s="28"/>
      <c r="AJ2711" s="96">
        <f ca="1">AJ2710/AJ2708</f>
        <v>1.3307759676850424</v>
      </c>
      <c r="AK2711" s="111"/>
      <c r="AL2711" s="28"/>
      <c r="AM2711" s="96">
        <f ca="1">AM2710/AM2708</f>
        <v>1.1909881287740758</v>
      </c>
      <c r="AN2711" s="111"/>
      <c r="AO2711" s="28"/>
      <c r="AP2711" s="96">
        <f ca="1">AP2710/AP2708</f>
        <v>1.1319246354853056</v>
      </c>
      <c r="AQ2711" s="111"/>
      <c r="AR2711" s="28"/>
      <c r="AS2711" s="96">
        <f ca="1">AS2710/AS2708</f>
        <v>1.0910271360035795</v>
      </c>
      <c r="AT2711" s="111"/>
      <c r="AU2711" s="28"/>
    </row>
    <row r="2712" spans="15:47" x14ac:dyDescent="0.25">
      <c r="O2712" s="2" t="s">
        <v>21</v>
      </c>
      <c r="P2712" s="8">
        <v>12</v>
      </c>
      <c r="Q2712" s="2"/>
      <c r="R2712" s="96">
        <f ca="1">1-R2711/(3*F_GAMMA*R$29)</f>
        <v>0.82582172328118875</v>
      </c>
      <c r="S2712" s="106"/>
      <c r="T2712" s="22"/>
      <c r="U2712" s="96">
        <f ca="1">1-U2711/(3*F_GAMMA*U$29)</f>
        <v>0.83007387580465464</v>
      </c>
      <c r="V2712" s="111"/>
      <c r="W2712" s="28"/>
      <c r="X2712" s="96">
        <f ca="1">1-X2711/(3*F_GAMMA*X$29)</f>
        <v>0.85214962905926872</v>
      </c>
      <c r="Y2712" s="111"/>
      <c r="Z2712" s="28"/>
      <c r="AA2712" s="96">
        <f ca="1">1-AA2711/(3*F_GAMMA*AA$29)</f>
        <v>0.96088342425962714</v>
      </c>
      <c r="AB2712" s="111"/>
      <c r="AC2712" s="28"/>
      <c r="AD2712" s="96">
        <f ca="1">1-AD2711/(3*F_GAMMA*AD$29)</f>
        <v>2.2233756472654762</v>
      </c>
      <c r="AE2712" s="111"/>
      <c r="AF2712" s="28"/>
      <c r="AG2712" s="96">
        <f ca="1">1-AG2711/(3*F_GAMMA*AG$29)</f>
        <v>-0.14354773725353964</v>
      </c>
      <c r="AH2712" s="111"/>
      <c r="AI2712" s="28"/>
      <c r="AJ2712" s="96">
        <f ca="1">1-AJ2711/(3*F_GAMMA*AJ$29)</f>
        <v>0.16591836308421548</v>
      </c>
      <c r="AK2712" s="111"/>
      <c r="AL2712" s="28"/>
      <c r="AM2712" s="96">
        <f ca="1">1-AM2711/(3*F_GAMMA*AM$29)</f>
        <v>0.16538753414208007</v>
      </c>
      <c r="AN2712" s="111"/>
      <c r="AO2712" s="28"/>
      <c r="AP2712" s="96">
        <f ca="1">1-AP2711/(3*F_GAMMA*AP$29)</f>
        <v>0.36108104338533487</v>
      </c>
      <c r="AQ2712" s="111"/>
      <c r="AR2712" s="28"/>
      <c r="AS2712" s="96">
        <f ca="1">1-AS2711/(3*F_GAMMA*AS$29)</f>
        <v>3.4548952586028303E-2</v>
      </c>
      <c r="AT2712" s="111"/>
      <c r="AU2712" s="28"/>
    </row>
    <row r="2713" spans="15:47" x14ac:dyDescent="0.25">
      <c r="O2713" s="2" t="s">
        <v>57</v>
      </c>
      <c r="P2713" s="143">
        <v>7</v>
      </c>
      <c r="Q2713" s="2"/>
      <c r="R2713" s="96">
        <f ca="1">(R2706/(N_9*R$27*R2708*R2712))*SQRT(M*'Valve Sizing'!$W$6*'Valve Sizing'!$G$8/R2711)</f>
        <v>5.6545611979481336</v>
      </c>
      <c r="S2713" s="107"/>
      <c r="T2713" s="22"/>
      <c r="U2713" s="96">
        <f ca="1">(U2706/(N_9*U$27*U2708*U2712))*SQRT(M*'Valve Sizing'!$W$6*'Valve Sizing'!$G$8/U2711)</f>
        <v>32.284709700122818</v>
      </c>
      <c r="V2713" s="111"/>
      <c r="W2713" s="28"/>
      <c r="X2713" s="96">
        <f ca="1">(X2706/(N_9*X$27*X2708*X2712))*SQRT(M*'Valve Sizing'!$W$6*'Valve Sizing'!$G$8/X2711)</f>
        <v>88.700560084325261</v>
      </c>
      <c r="Y2713" s="111"/>
      <c r="Z2713" s="28"/>
      <c r="AA2713" s="96">
        <f ca="1">(AA2706/(N_9*AA$27*AA2708*AA2712))*SQRT(M*'Valve Sizing'!$W$6*'Valve Sizing'!$G$8/AA2711)</f>
        <v>389.027629658026</v>
      </c>
      <c r="AB2713" s="111"/>
      <c r="AC2713" s="28"/>
      <c r="AD2713" s="96" t="e">
        <f ca="1">(AD2706/(N_9*AD$27*AD2708*AD2712))*SQRT(M*'Valve Sizing'!$W$6*'Valve Sizing'!$G$8/AD2711)</f>
        <v>#NUM!</v>
      </c>
      <c r="AE2713" s="111"/>
      <c r="AF2713" s="28"/>
      <c r="AG2713" s="96">
        <f ca="1">(AG2706/(N_9*AG$27*AG2708*AG2712))*SQRT(M*'Valve Sizing'!$W$6*'Valve Sizing'!$G$8/AG2711)</f>
        <v>1326.2644489157249</v>
      </c>
      <c r="AH2713" s="111"/>
      <c r="AI2713" s="28"/>
      <c r="AJ2713" s="96">
        <f ca="1">(AJ2706/(N_9*AJ$27*AJ2708*AJ2712))*SQRT(M*'Valve Sizing'!$W$6*'Valve Sizing'!$G$8/AJ2711)</f>
        <v>-661.92628721979429</v>
      </c>
      <c r="AK2713" s="111"/>
      <c r="AL2713" s="28"/>
      <c r="AM2713" s="96">
        <f ca="1">(AM2706/(N_9*AM$27*AM2708*AM2712))*SQRT(M*'Valve Sizing'!$W$6*'Valve Sizing'!$G$8/AM2711)</f>
        <v>-524.70918009000081</v>
      </c>
      <c r="AN2713" s="111"/>
      <c r="AO2713" s="28"/>
      <c r="AP2713" s="96">
        <f ca="1">(AP2706/(N_9*AP$27*AP2708*AP2712))*SQRT(M*'Valve Sizing'!$W$6*'Valve Sizing'!$G$8/AP2711)</f>
        <v>-225.01854281039772</v>
      </c>
      <c r="AQ2713" s="111"/>
      <c r="AR2713" s="28"/>
      <c r="AS2713" s="96">
        <f ca="1">(AS2706/(N_9*AS$27*AS2708*AS2712))*SQRT(M*'Valve Sizing'!$W$6*'Valve Sizing'!$G$8/AS2711)</f>
        <v>-2595.8109917519023</v>
      </c>
      <c r="AT2713" s="111"/>
      <c r="AU2713" s="28"/>
    </row>
    <row r="2714" spans="15:47" x14ac:dyDescent="0.25">
      <c r="O2714" s="2" t="s">
        <v>59</v>
      </c>
      <c r="P2714" s="143">
        <v>7</v>
      </c>
      <c r="Q2714" s="2"/>
      <c r="R2714" s="96">
        <f ca="1">(R2706/(N_9*R$27*R2708*0.667))*SQRT(M*'Valve Sizing'!$W$6*'Valve Sizing'!$G$8/R2715)</f>
        <v>5.0607746561802252</v>
      </c>
      <c r="S2714" s="107"/>
      <c r="T2714" s="22"/>
      <c r="U2714" s="96">
        <f ca="1">(U2706/(N_9*U$27*U2708*0.667))*SQRT(M*'Valve Sizing'!$W$6*'Valve Sizing'!$G$8/U2715)</f>
        <v>28.686561896839414</v>
      </c>
      <c r="V2714" s="111"/>
      <c r="W2714" s="28"/>
      <c r="X2714" s="96">
        <f ca="1">(X2706/(N_9*X$27*X2708*0.667))*SQRT(M*'Valve Sizing'!$W$6*'Valve Sizing'!$G$8/X2715)</f>
        <v>75.472411022861664</v>
      </c>
      <c r="Y2714" s="111"/>
      <c r="Z2714" s="28"/>
      <c r="AA2714" s="96">
        <f ca="1">(AA2706/(N_9*AA$27*AA2708*0.667))*SQRT(M*'Valve Sizing'!$W$6*'Valve Sizing'!$G$8/AA2715)</f>
        <v>191.98458395448725</v>
      </c>
      <c r="AB2714" s="111"/>
      <c r="AC2714" s="28"/>
      <c r="AD2714" s="96">
        <f ca="1">(AD2706/(N_9*AD$27*AD2708*0.667))*SQRT(M*'Valve Sizing'!$W$6*'Valve Sizing'!$G$8/AD2715)</f>
        <v>1152.7046191996326</v>
      </c>
      <c r="AE2714" s="111"/>
      <c r="AF2714" s="28"/>
      <c r="AG2714" s="96">
        <f ca="1">(AG2706/(N_9*AG$27*AG2708*0.667))*SQRT(M*'Valve Sizing'!$W$6*'Valve Sizing'!$G$8/AG2715)</f>
        <v>-528.6745719332572</v>
      </c>
      <c r="AH2714" s="111"/>
      <c r="AI2714" s="28"/>
      <c r="AJ2714" s="96">
        <f ca="1">(AJ2706/(N_9*AJ$27*AJ2708*0.667))*SQRT(M*'Valve Sizing'!$W$6*'Valve Sizing'!$G$8/AJ2715)</f>
        <v>-260.46127157748185</v>
      </c>
      <c r="AK2714" s="111"/>
      <c r="AL2714" s="28"/>
      <c r="AM2714" s="96">
        <f ca="1">(AM2706/(N_9*AM$27*AM2708*0.667))*SQRT(M*'Valve Sizing'!$W$6*'Valve Sizing'!$G$8/AM2715)</f>
        <v>-205.87265321213943</v>
      </c>
      <c r="AN2714" s="111"/>
      <c r="AO2714" s="28"/>
      <c r="AP2714" s="96">
        <f ca="1">(AP2706/(N_9*AP$27*AP2708*0.667))*SQRT(M*'Valve Sizing'!$W$6*'Valve Sizing'!$G$8/AP2715)</f>
        <v>-168.64779874499925</v>
      </c>
      <c r="AQ2714" s="111"/>
      <c r="AR2714" s="28"/>
      <c r="AS2714" s="96">
        <f ca="1">(AS2706/(N_9*AS$27*AS2708*0.667))*SQRT(M*'Valve Sizing'!$W$6*'Valve Sizing'!$G$8/AS2715)</f>
        <v>-228.82732043361176</v>
      </c>
      <c r="AT2714" s="111"/>
      <c r="AU2714" s="28"/>
    </row>
    <row r="2715" spans="15:47" ht="15.6" x14ac:dyDescent="0.35">
      <c r="O2715" s="2" t="s">
        <v>68</v>
      </c>
      <c r="P2715" s="143">
        <v>10</v>
      </c>
      <c r="Q2715" s="2"/>
      <c r="R2715" s="96">
        <f ca="1">F_GAMMA*R$29</f>
        <v>0.64002969751372984</v>
      </c>
      <c r="S2715" s="107"/>
      <c r="T2715" s="1"/>
      <c r="U2715" s="96">
        <f ca="1">F_GAMMA*U$29</f>
        <v>0.64017842058782071</v>
      </c>
      <c r="V2715" s="111"/>
      <c r="W2715" s="28"/>
      <c r="X2715" s="96">
        <f ca="1">F_GAMMA*X$29</f>
        <v>0.63413873724904268</v>
      </c>
      <c r="Y2715" s="111"/>
      <c r="Z2715" s="28"/>
      <c r="AA2715" s="96">
        <f ca="1">F_GAMMA*AA$29</f>
        <v>0.62532411750377137</v>
      </c>
      <c r="AB2715" s="111"/>
      <c r="AC2715" s="28"/>
      <c r="AD2715" s="96">
        <f ca="1">F_GAMMA*AD$29</f>
        <v>0.60651359509139569</v>
      </c>
      <c r="AE2715" s="111"/>
      <c r="AF2715" s="28"/>
      <c r="AG2715" s="96">
        <f ca="1">F_GAMMA*AG$29</f>
        <v>0.57217930198481592</v>
      </c>
      <c r="AH2715" s="111"/>
      <c r="AI2715" s="28"/>
      <c r="AJ2715" s="96">
        <f ca="1">F_GAMMA*AJ$29</f>
        <v>0.53183282018848232</v>
      </c>
      <c r="AK2715" s="111"/>
      <c r="AL2715" s="28"/>
      <c r="AM2715" s="96">
        <f ca="1">F_GAMMA*AM$29</f>
        <v>0.47566512503094399</v>
      </c>
      <c r="AN2715" s="111"/>
      <c r="AO2715" s="28"/>
      <c r="AP2715" s="96">
        <f ca="1">F_GAMMA*AP$29</f>
        <v>0.59054158265645496</v>
      </c>
      <c r="AQ2715" s="111"/>
      <c r="AR2715" s="28"/>
      <c r="AS2715" s="96">
        <f ca="1">F_GAMMA*AS$29</f>
        <v>0.3766899554102966</v>
      </c>
      <c r="AT2715" s="111"/>
      <c r="AU2715" s="28"/>
    </row>
    <row r="2716" spans="15:47" x14ac:dyDescent="0.25">
      <c r="O2716" s="2" t="s">
        <v>145</v>
      </c>
      <c r="P2716" s="12"/>
      <c r="Q2716" s="2"/>
      <c r="R2716" s="96">
        <f ca="1">IF(R2711&lt;R2715,R2713,R2714)</f>
        <v>5.6545611979481336</v>
      </c>
      <c r="S2716" s="116"/>
      <c r="T2716" s="1"/>
      <c r="U2716" s="96">
        <f ca="1">IF(U2711&lt;U2715,U2713,U2714)</f>
        <v>32.284709700122818</v>
      </c>
      <c r="V2716" s="111"/>
      <c r="W2716" s="28"/>
      <c r="X2716" s="96">
        <f ca="1">IF(X2711&lt;X2715,X2713,X2714)</f>
        <v>88.700560084325261</v>
      </c>
      <c r="Y2716" s="111"/>
      <c r="Z2716" s="28"/>
      <c r="AA2716" s="96">
        <f ca="1">IF(AA2711&lt;AA2715,AA2713,AA2714)</f>
        <v>389.027629658026</v>
      </c>
      <c r="AB2716" s="111"/>
      <c r="AC2716" s="28"/>
      <c r="AD2716" s="96" t="e">
        <f ca="1">IF(AD2711&lt;AD2715,AD2713,AD2714)</f>
        <v>#NUM!</v>
      </c>
      <c r="AE2716" s="111"/>
      <c r="AF2716" s="28"/>
      <c r="AG2716" s="96">
        <f ca="1">IF(AG2711&lt;AG2715,AG2713,AG2714)</f>
        <v>-528.6745719332572</v>
      </c>
      <c r="AH2716" s="111"/>
      <c r="AI2716" s="28"/>
      <c r="AJ2716" s="96">
        <f ca="1">IF(AJ2711&lt;AJ2715,AJ2713,AJ2714)</f>
        <v>-260.46127157748185</v>
      </c>
      <c r="AK2716" s="111"/>
      <c r="AL2716" s="28"/>
      <c r="AM2716" s="96">
        <f ca="1">IF(AM2711&lt;AM2715,AM2713,AM2714)</f>
        <v>-205.87265321213943</v>
      </c>
      <c r="AN2716" s="111"/>
      <c r="AO2716" s="28"/>
      <c r="AP2716" s="96">
        <f ca="1">IF(AP2711&lt;AP2715,AP2713,AP2714)</f>
        <v>-168.64779874499925</v>
      </c>
      <c r="AQ2716" s="111"/>
      <c r="AR2716" s="28"/>
      <c r="AS2716" s="96">
        <f ca="1">IF(AS2711&lt;AS2715,AS2713,AS2714)</f>
        <v>-228.82732043361176</v>
      </c>
      <c r="AT2716" s="111"/>
      <c r="AU2716" s="28"/>
    </row>
    <row r="2717" spans="15:47" x14ac:dyDescent="0.25">
      <c r="O2717" s="13" t="s">
        <v>143</v>
      </c>
      <c r="P2717" s="1"/>
      <c r="Q2717" s="1"/>
      <c r="R2717" s="113"/>
      <c r="S2717" s="106">
        <f ca="1">IF(R2710&lt;=0,Q_max,ABS(R$23-R2716))</f>
        <v>0.92456119794813318</v>
      </c>
      <c r="T2717" s="7">
        <f>R2706</f>
        <v>13993.278253797844</v>
      </c>
      <c r="U2717" s="98"/>
      <c r="V2717" s="106">
        <f ca="1">IF(U2710&lt;=0,Q_max,ABS(U$23-U2716))</f>
        <v>20.684709700122816</v>
      </c>
      <c r="W2717" s="9">
        <f ca="1">U2706</f>
        <v>78324.984338211507</v>
      </c>
      <c r="X2717" s="98"/>
      <c r="Y2717" s="106">
        <f ca="1">IF(X2710&lt;=0,Q_max,ABS(X$23-X2716))</f>
        <v>65.700560084325261</v>
      </c>
      <c r="Z2717" s="9">
        <f ca="1">X2706</f>
        <v>191789.11589187535</v>
      </c>
      <c r="AA2717" s="98"/>
      <c r="AB2717" s="106">
        <f ca="1">IF(AA2710&lt;=0,Q_max,ABS(AA$23-AA2716))</f>
        <v>349.62762965802602</v>
      </c>
      <c r="AC2717" s="9">
        <f ca="1">AA2706</f>
        <v>373556.2444652121</v>
      </c>
      <c r="AD2717" s="98"/>
      <c r="AE2717" s="106">
        <f ca="1">IF(AD2710&lt;=0,Q_max,ABS(AD$23-AD2716))</f>
        <v>236393</v>
      </c>
      <c r="AF2717" s="9">
        <f ca="1">AD2706</f>
        <v>626711.17288258974</v>
      </c>
      <c r="AG2717" s="98"/>
      <c r="AH2717" s="106">
        <f ca="1">IF(AG2710&lt;=0,Q_max,ABS(AG$23-AG2716))</f>
        <v>236393</v>
      </c>
      <c r="AI2717" s="9">
        <f ca="1">AG2706</f>
        <v>914702.02601649414</v>
      </c>
      <c r="AJ2717" s="98"/>
      <c r="AK2717" s="106">
        <f ca="1">IF(AJ2710&lt;=0,Q_max,ABS(AJ$23-AJ2716))</f>
        <v>236393</v>
      </c>
      <c r="AL2717" s="9">
        <f ca="1">AJ2706</f>
        <v>1220673.3996229139</v>
      </c>
      <c r="AM2717" s="98"/>
      <c r="AN2717" s="106">
        <f ca="1">IF(AM2710&lt;=0,Q_max,ABS(AM$23-AM2716))</f>
        <v>236393</v>
      </c>
      <c r="AO2717" s="9">
        <f ca="1">AM2706</f>
        <v>1489453.5242493043</v>
      </c>
      <c r="AP2717" s="98"/>
      <c r="AQ2717" s="106">
        <f ca="1">IF(AP2710&lt;=0,Q_max,ABS(AP$23-AP2716))</f>
        <v>236393</v>
      </c>
      <c r="AR2717" s="9">
        <f ca="1">AP2706</f>
        <v>1729209.3021198777</v>
      </c>
      <c r="AS2717" s="98"/>
      <c r="AT2717" s="106">
        <f ca="1">IF(AS2710&lt;=0,Q_max,ABS(AS$23-AS2716))</f>
        <v>236393</v>
      </c>
      <c r="AU2717" s="9">
        <f ca="1">AS2706</f>
        <v>2027633.9002691808</v>
      </c>
    </row>
    <row r="2718" spans="15:47" x14ac:dyDescent="0.25">
      <c r="O2718" s="21"/>
      <c r="P2718" s="14"/>
      <c r="Q2718" s="21"/>
      <c r="R2718" s="97"/>
      <c r="S2718" s="106"/>
      <c r="T2718" s="28"/>
      <c r="U2718" s="99"/>
      <c r="V2718" s="111"/>
      <c r="W2718" s="28"/>
      <c r="X2718" s="99"/>
      <c r="Y2718" s="111"/>
      <c r="Z2718" s="28"/>
      <c r="AA2718" s="99"/>
      <c r="AB2718" s="111"/>
      <c r="AC2718" s="28"/>
      <c r="AD2718" s="99"/>
      <c r="AE2718" s="111"/>
      <c r="AF2718" s="28"/>
      <c r="AG2718" s="99"/>
      <c r="AH2718" s="111"/>
      <c r="AI2718" s="28"/>
      <c r="AJ2718" s="99"/>
      <c r="AK2718" s="111"/>
      <c r="AL2718" s="28"/>
      <c r="AM2718" s="99"/>
      <c r="AN2718" s="111"/>
      <c r="AO2718" s="28"/>
      <c r="AP2718" s="99"/>
      <c r="AQ2718" s="111"/>
      <c r="AR2718" s="28"/>
      <c r="AS2718" s="99"/>
      <c r="AT2718" s="111"/>
      <c r="AU2718" s="28"/>
    </row>
    <row r="2719" spans="15:47" x14ac:dyDescent="0.25">
      <c r="O2719" s="1"/>
      <c r="P2719" s="1"/>
      <c r="Q2719" s="1"/>
      <c r="R2719" s="98"/>
      <c r="S2719" s="108" t="s">
        <v>137</v>
      </c>
      <c r="T2719" s="26" t="s">
        <v>146</v>
      </c>
      <c r="U2719" s="98"/>
      <c r="V2719" s="108" t="s">
        <v>137</v>
      </c>
      <c r="W2719" s="26" t="s">
        <v>146</v>
      </c>
      <c r="X2719" s="98"/>
      <c r="Y2719" s="108" t="s">
        <v>137</v>
      </c>
      <c r="Z2719" s="26" t="s">
        <v>146</v>
      </c>
      <c r="AA2719" s="98"/>
      <c r="AB2719" s="108" t="s">
        <v>137</v>
      </c>
      <c r="AC2719" s="26" t="s">
        <v>146</v>
      </c>
      <c r="AD2719" s="98"/>
      <c r="AE2719" s="108" t="s">
        <v>137</v>
      </c>
      <c r="AF2719" s="26" t="s">
        <v>146</v>
      </c>
      <c r="AG2719" s="98"/>
      <c r="AH2719" s="108" t="s">
        <v>137</v>
      </c>
      <c r="AI2719" s="26" t="s">
        <v>146</v>
      </c>
      <c r="AJ2719" s="98"/>
      <c r="AK2719" s="108" t="s">
        <v>137</v>
      </c>
      <c r="AL2719" s="26" t="s">
        <v>146</v>
      </c>
      <c r="AM2719" s="98"/>
      <c r="AN2719" s="108" t="s">
        <v>137</v>
      </c>
      <c r="AO2719" s="26" t="s">
        <v>146</v>
      </c>
      <c r="AP2719" s="98"/>
      <c r="AQ2719" s="108" t="s">
        <v>137</v>
      </c>
      <c r="AR2719" s="26" t="s">
        <v>146</v>
      </c>
      <c r="AS2719" s="98"/>
      <c r="AT2719" s="108" t="s">
        <v>137</v>
      </c>
      <c r="AU2719" s="26" t="s">
        <v>146</v>
      </c>
    </row>
    <row r="2720" spans="15:47" ht="13.8" x14ac:dyDescent="0.25">
      <c r="O2720" s="20" t="s">
        <v>136</v>
      </c>
      <c r="P2720" s="1"/>
      <c r="Q2720" s="1"/>
      <c r="R2720" s="96">
        <f>R2706*1.02</f>
        <v>14273.143818873801</v>
      </c>
      <c r="S2720" s="109" t="s">
        <v>144</v>
      </c>
      <c r="T2720" s="23" t="s">
        <v>147</v>
      </c>
      <c r="U2720" s="96">
        <f ca="1">U2706*1.01</f>
        <v>79108.234181593623</v>
      </c>
      <c r="V2720" s="109" t="s">
        <v>144</v>
      </c>
      <c r="W2720" s="23" t="s">
        <v>147</v>
      </c>
      <c r="X2720" s="96">
        <f ca="1">X2706*1.01</f>
        <v>193707.00705079411</v>
      </c>
      <c r="Y2720" s="109" t="s">
        <v>144</v>
      </c>
      <c r="Z2720" s="23" t="s">
        <v>147</v>
      </c>
      <c r="AA2720" s="96">
        <f ca="1">AA2706*1.01</f>
        <v>377291.80690986424</v>
      </c>
      <c r="AB2720" s="109" t="s">
        <v>144</v>
      </c>
      <c r="AC2720" s="23" t="s">
        <v>147</v>
      </c>
      <c r="AD2720" s="96">
        <f ca="1">AD2706*1.01</f>
        <v>632978.2846114157</v>
      </c>
      <c r="AE2720" s="109" t="s">
        <v>144</v>
      </c>
      <c r="AF2720" s="23" t="s">
        <v>147</v>
      </c>
      <c r="AG2720" s="96">
        <f ca="1">AG2706*1.01</f>
        <v>923849.04627665912</v>
      </c>
      <c r="AH2720" s="109" t="s">
        <v>144</v>
      </c>
      <c r="AI2720" s="23" t="s">
        <v>147</v>
      </c>
      <c r="AJ2720" s="96">
        <f ca="1">AJ2706*1.01</f>
        <v>1232880.1336191432</v>
      </c>
      <c r="AK2720" s="109" t="s">
        <v>144</v>
      </c>
      <c r="AL2720" s="23" t="s">
        <v>147</v>
      </c>
      <c r="AM2720" s="96">
        <f ca="1">AM2706*1.01</f>
        <v>1504348.0594917974</v>
      </c>
      <c r="AN2720" s="109" t="s">
        <v>144</v>
      </c>
      <c r="AO2720" s="23" t="s">
        <v>147</v>
      </c>
      <c r="AP2720" s="96">
        <f ca="1">AP2706*1.01</f>
        <v>1746501.3951410765</v>
      </c>
      <c r="AQ2720" s="109" t="s">
        <v>144</v>
      </c>
      <c r="AR2720" s="23" t="s">
        <v>147</v>
      </c>
      <c r="AS2720" s="96">
        <f ca="1">AS2706*1.01</f>
        <v>2047910.2392718727</v>
      </c>
      <c r="AT2720" s="109" t="s">
        <v>144</v>
      </c>
      <c r="AU2720" s="23" t="s">
        <v>147</v>
      </c>
    </row>
    <row r="2721" spans="15:47" x14ac:dyDescent="0.25">
      <c r="O2721" s="1"/>
      <c r="P2721" s="1"/>
      <c r="Q2721" s="1"/>
      <c r="R2721" s="98"/>
      <c r="S2721" s="107"/>
      <c r="T2721" s="1"/>
      <c r="U2721" s="47"/>
      <c r="V2721" s="107"/>
      <c r="W2721" s="1"/>
      <c r="X2721" s="47"/>
      <c r="Y2721" s="107"/>
      <c r="Z2721" s="1"/>
      <c r="AA2721" s="47"/>
      <c r="AB2721" s="107"/>
      <c r="AC2721" s="1"/>
      <c r="AD2721" s="47"/>
      <c r="AE2721" s="107"/>
      <c r="AF2721" s="1"/>
      <c r="AG2721" s="47"/>
      <c r="AH2721" s="107"/>
      <c r="AI2721" s="1"/>
      <c r="AJ2721" s="47"/>
      <c r="AK2721" s="107"/>
      <c r="AL2721" s="1"/>
      <c r="AM2721" s="47"/>
      <c r="AN2721" s="107"/>
      <c r="AO2721" s="1"/>
      <c r="AP2721" s="47"/>
      <c r="AQ2721" s="107"/>
      <c r="AR2721" s="1"/>
      <c r="AS2721" s="47"/>
      <c r="AT2721" s="107"/>
      <c r="AU2721" s="1"/>
    </row>
    <row r="2722" spans="15:47" x14ac:dyDescent="0.25">
      <c r="O2722" s="8" t="s">
        <v>132</v>
      </c>
      <c r="P2722" s="8"/>
      <c r="Q2722" s="8"/>
      <c r="R2722" s="96">
        <f>P_1_minQ-(R2720^2*R_up)+dpup_minQ</f>
        <v>90.147909857263983</v>
      </c>
      <c r="S2722" s="106"/>
      <c r="T2722" s="22"/>
      <c r="U2722" s="96">
        <f ca="1">P_1_minQ-(U2720^2*R_up)+dpup_minQ</f>
        <v>89.044431204360407</v>
      </c>
      <c r="V2722" s="107"/>
      <c r="W2722" s="1"/>
      <c r="X2722" s="96">
        <f ca="1">P_1_minQ-(X2720^2*R_up)+dpup_minQ</f>
        <v>83.34617288094374</v>
      </c>
      <c r="Y2722" s="107"/>
      <c r="Z2722" s="1"/>
      <c r="AA2722" s="96">
        <f ca="1">P_1_minQ-(AA2720^2*R_up)+dpup_minQ</f>
        <v>64.240362477469148</v>
      </c>
      <c r="AB2722" s="107"/>
      <c r="AC2722" s="1"/>
      <c r="AD2722" s="96">
        <f ca="1">P_1_minQ-(AD2720^2*R_up)+dpup_minQ</f>
        <v>17.160108855057587</v>
      </c>
      <c r="AE2722" s="107"/>
      <c r="AF2722" s="1"/>
      <c r="AG2722" s="96">
        <f ca="1">P_1_minQ-(AG2720^2*R_up)+dpup_minQ</f>
        <v>-65.374111388621117</v>
      </c>
      <c r="AH2722" s="107"/>
      <c r="AI2722" s="1"/>
      <c r="AJ2722" s="96">
        <f ca="1">P_1_minQ-(AJ2720^2*R_up)+dpup_minQ</f>
        <v>-186.85034592445783</v>
      </c>
      <c r="AK2722" s="107"/>
      <c r="AL2722" s="1"/>
      <c r="AM2722" s="96">
        <f ca="1">P_1_minQ-(AM2720^2*R_up)+dpup_minQ</f>
        <v>-322.2828992827649</v>
      </c>
      <c r="AN2722" s="107"/>
      <c r="AO2722" s="1"/>
      <c r="AP2722" s="96">
        <f ca="1">P_1_minQ-(AP2720^2*R_up)+dpup_minQ</f>
        <v>-465.75942475632229</v>
      </c>
      <c r="AQ2722" s="107"/>
      <c r="AR2722" s="1"/>
      <c r="AS2722" s="96">
        <f ca="1">P_1_minQ-(AS2720^2*R_up)+dpup_minQ</f>
        <v>-674.20561979647994</v>
      </c>
      <c r="AT2722" s="107"/>
      <c r="AU2722" s="1"/>
    </row>
    <row r="2723" spans="15:47" x14ac:dyDescent="0.25">
      <c r="O2723" s="8" t="s">
        <v>134</v>
      </c>
      <c r="P2723" s="1"/>
      <c r="Q2723" s="8"/>
      <c r="R2723" s="97">
        <f>P_2_minQ+(R2720^2*R_dn)-dpdn_minQ</f>
        <v>60</v>
      </c>
      <c r="S2723" s="106"/>
      <c r="T2723" s="22"/>
      <c r="U2723" s="97">
        <f ca="1">P_2_minQ+(U2720^2*R_dn)-dpdn_minQ</f>
        <v>60</v>
      </c>
      <c r="V2723" s="107"/>
      <c r="W2723" s="1"/>
      <c r="X2723" s="97">
        <f ca="1">P_2_minQ+(X2720^2*R_dn)-dpdn_minQ</f>
        <v>60</v>
      </c>
      <c r="Y2723" s="107"/>
      <c r="Z2723" s="1"/>
      <c r="AA2723" s="97">
        <f ca="1">P_2_minQ+(AA2720^2*R_dn)-dpdn_minQ</f>
        <v>60</v>
      </c>
      <c r="AB2723" s="107"/>
      <c r="AC2723" s="1"/>
      <c r="AD2723" s="97">
        <f ca="1">P_2_minQ+(AD2720^2*R_dn)-dpdn_minQ</f>
        <v>60</v>
      </c>
      <c r="AE2723" s="107"/>
      <c r="AF2723" s="1"/>
      <c r="AG2723" s="97">
        <f ca="1">P_2_minQ+(AG2720^2*R_dn)-dpdn_minQ</f>
        <v>60</v>
      </c>
      <c r="AH2723" s="107"/>
      <c r="AI2723" s="1"/>
      <c r="AJ2723" s="97">
        <f ca="1">P_2_minQ+(AJ2720^2*R_dn)-dpdn_minQ</f>
        <v>60</v>
      </c>
      <c r="AK2723" s="107"/>
      <c r="AL2723" s="1"/>
      <c r="AM2723" s="97">
        <f ca="1">P_2_minQ+(AM2720^2*R_dn)-dpdn_minQ</f>
        <v>60</v>
      </c>
      <c r="AN2723" s="107"/>
      <c r="AO2723" s="1"/>
      <c r="AP2723" s="97">
        <f ca="1">P_2_minQ+(AP2720^2*R_dn)-dpdn_minQ</f>
        <v>60</v>
      </c>
      <c r="AQ2723" s="107"/>
      <c r="AR2723" s="1"/>
      <c r="AS2723" s="97">
        <f ca="1">P_2_minQ+(AS2720^2*R_dn)-dpdn_minQ</f>
        <v>60</v>
      </c>
      <c r="AT2723" s="107"/>
      <c r="AU2723" s="1"/>
    </row>
    <row r="2724" spans="15:47" x14ac:dyDescent="0.25">
      <c r="O2724" s="8" t="s">
        <v>138</v>
      </c>
      <c r="P2724" s="1"/>
      <c r="Q2724" s="8"/>
      <c r="R2724" s="97">
        <f>R2722-R2723</f>
        <v>30.147909857263983</v>
      </c>
      <c r="S2724" s="106"/>
      <c r="T2724" s="22"/>
      <c r="U2724" s="97">
        <f ca="1">U2722-U2723</f>
        <v>29.044431204360407</v>
      </c>
      <c r="V2724" s="110"/>
      <c r="W2724" s="25"/>
      <c r="X2724" s="97">
        <f ca="1">X2722-X2723</f>
        <v>23.34617288094374</v>
      </c>
      <c r="Y2724" s="110"/>
      <c r="Z2724" s="25"/>
      <c r="AA2724" s="97">
        <f ca="1">AA2722-AA2723</f>
        <v>4.240362477469148</v>
      </c>
      <c r="AB2724" s="110"/>
      <c r="AC2724" s="25"/>
      <c r="AD2724" s="97">
        <f ca="1">AD2722-AD2723</f>
        <v>-42.839891144942413</v>
      </c>
      <c r="AE2724" s="110"/>
      <c r="AF2724" s="25"/>
      <c r="AG2724" s="97">
        <f ca="1">AG2722-AG2723</f>
        <v>-125.37411138862112</v>
      </c>
      <c r="AH2724" s="110"/>
      <c r="AI2724" s="25"/>
      <c r="AJ2724" s="97">
        <f ca="1">AJ2722-AJ2723</f>
        <v>-246.85034592445783</v>
      </c>
      <c r="AK2724" s="110"/>
      <c r="AL2724" s="25"/>
      <c r="AM2724" s="97">
        <f ca="1">AM2722-AM2723</f>
        <v>-382.2828992827649</v>
      </c>
      <c r="AN2724" s="110"/>
      <c r="AO2724" s="25"/>
      <c r="AP2724" s="97">
        <f ca="1">AP2722-AP2723</f>
        <v>-525.75942475632223</v>
      </c>
      <c r="AQ2724" s="110"/>
      <c r="AR2724" s="25"/>
      <c r="AS2724" s="97">
        <f ca="1">AS2722-AS2723</f>
        <v>-734.20561979647994</v>
      </c>
      <c r="AT2724" s="110"/>
      <c r="AU2724" s="25"/>
    </row>
    <row r="2725" spans="15:47" ht="14.4" x14ac:dyDescent="0.3">
      <c r="O2725" s="2" t="s">
        <v>140</v>
      </c>
      <c r="P2725" s="11"/>
      <c r="Q2725" s="2"/>
      <c r="R2725" s="96">
        <f>R2724/R2722</f>
        <v>0.33442716425703917</v>
      </c>
      <c r="S2725" s="106"/>
      <c r="T2725" s="22"/>
      <c r="U2725" s="96">
        <f ca="1">U2724/U2722</f>
        <v>0.32617908623283037</v>
      </c>
      <c r="V2725" s="111"/>
      <c r="W2725" s="28"/>
      <c r="X2725" s="96">
        <f ca="1">X2724/X2722</f>
        <v>0.280110916601926</v>
      </c>
      <c r="Y2725" s="111"/>
      <c r="Z2725" s="28"/>
      <c r="AA2725" s="96">
        <f ca="1">AA2724/AA2722</f>
        <v>6.6007760758765313E-2</v>
      </c>
      <c r="AB2725" s="111"/>
      <c r="AC2725" s="28"/>
      <c r="AD2725" s="96">
        <f ca="1">AD2724/AD2722</f>
        <v>-2.4964813164525026</v>
      </c>
      <c r="AE2725" s="111"/>
      <c r="AF2725" s="28"/>
      <c r="AG2725" s="96">
        <f ca="1">AG2724/AG2722</f>
        <v>1.9177945019141549</v>
      </c>
      <c r="AH2725" s="111"/>
      <c r="AI2725" s="28"/>
      <c r="AJ2725" s="96">
        <f ca="1">AJ2724/AJ2722</f>
        <v>1.3211125979090108</v>
      </c>
      <c r="AK2725" s="111"/>
      <c r="AL2725" s="28"/>
      <c r="AM2725" s="96">
        <f ca="1">AM2724/AM2722</f>
        <v>1.1861718388829472</v>
      </c>
      <c r="AN2725" s="111"/>
      <c r="AO2725" s="28"/>
      <c r="AP2725" s="96">
        <f ca="1">AP2724/AP2722</f>
        <v>1.1288218698556469</v>
      </c>
      <c r="AQ2725" s="111"/>
      <c r="AR2725" s="28"/>
      <c r="AS2725" s="96">
        <f ca="1">AS2724/AS2722</f>
        <v>1.0889936218836502</v>
      </c>
      <c r="AT2725" s="111"/>
      <c r="AU2725" s="28"/>
    </row>
    <row r="2726" spans="15:47" x14ac:dyDescent="0.25">
      <c r="O2726" s="2" t="s">
        <v>21</v>
      </c>
      <c r="P2726" s="8">
        <v>12</v>
      </c>
      <c r="Q2726" s="2"/>
      <c r="R2726" s="96">
        <f ca="1">1-R2725/(3*F_GAMMA*R$29)</f>
        <v>0.82582726730954281</v>
      </c>
      <c r="S2726" s="106"/>
      <c r="T2726" s="22"/>
      <c r="U2726" s="96">
        <f ca="1">1-U2725/(3*F_GAMMA*U$29)</f>
        <v>0.83016240694621346</v>
      </c>
      <c r="V2726" s="111"/>
      <c r="W2726" s="28"/>
      <c r="X2726" s="96">
        <f ca="1">1-X2725/(3*F_GAMMA*X$29)</f>
        <v>0.85276044491616287</v>
      </c>
      <c r="Y2726" s="111"/>
      <c r="Z2726" s="28"/>
      <c r="AA2726" s="96">
        <f ca="1">1-AA2725/(3*F_GAMMA*AA$29)</f>
        <v>0.96481410791027788</v>
      </c>
      <c r="AB2726" s="111"/>
      <c r="AC2726" s="28"/>
      <c r="AD2726" s="96">
        <f ca="1">1-AD2725/(3*F_GAMMA*AD$29)</f>
        <v>2.372039218168065</v>
      </c>
      <c r="AE2726" s="111"/>
      <c r="AF2726" s="28"/>
      <c r="AG2726" s="96">
        <f ca="1">1-AG2725/(3*F_GAMMA*AG$29)</f>
        <v>-0.11724564617045408</v>
      </c>
      <c r="AH2726" s="111"/>
      <c r="AI2726" s="28"/>
      <c r="AJ2726" s="96">
        <f ca="1">1-AJ2725/(3*F_GAMMA*AJ$29)</f>
        <v>0.17197500933920895</v>
      </c>
      <c r="AK2726" s="111"/>
      <c r="AL2726" s="28"/>
      <c r="AM2726" s="96">
        <f ca="1">1-AM2725/(3*F_GAMMA*AM$29)</f>
        <v>0.16876266063176149</v>
      </c>
      <c r="AN2726" s="111"/>
      <c r="AO2726" s="28"/>
      <c r="AP2726" s="96">
        <f ca="1">1-AP2725/(3*F_GAMMA*AP$29)</f>
        <v>0.36283241067302663</v>
      </c>
      <c r="AQ2726" s="111"/>
      <c r="AR2726" s="28"/>
      <c r="AS2726" s="96">
        <f ca="1">1-AS2725/(3*F_GAMMA*AS$29)</f>
        <v>3.6348411345787701E-2</v>
      </c>
      <c r="AT2726" s="111"/>
      <c r="AU2726" s="28"/>
    </row>
    <row r="2727" spans="15:47" x14ac:dyDescent="0.25">
      <c r="O2727" s="2" t="s">
        <v>57</v>
      </c>
      <c r="P2727" s="143">
        <v>7</v>
      </c>
      <c r="Q2727" s="2"/>
      <c r="R2727" s="96">
        <f ca="1">(R2720/(N_9*R$27*R2722*R2726))*SQRT(M*'Valve Sizing'!$W$6*'Valve Sizing'!$G$8/R2725)</f>
        <v>5.7677977434914194</v>
      </c>
      <c r="S2727" s="107"/>
      <c r="T2727" s="22"/>
      <c r="U2727" s="96">
        <f ca="1">(U2720/(N_9*U$27*U2722*U2726))*SQRT(M*'Valve Sizing'!$W$6*'Valve Sizing'!$G$8/U2725)</f>
        <v>32.62080737435948</v>
      </c>
      <c r="V2727" s="111"/>
      <c r="W2727" s="28"/>
      <c r="X2727" s="96">
        <f ca="1">(X2720/(N_9*X$27*X2722*X2726))*SQRT(M*'Valve Sizing'!$W$6*'Valve Sizing'!$G$8/X2725)</f>
        <v>89.853935152534319</v>
      </c>
      <c r="Y2727" s="111"/>
      <c r="Z2727" s="28"/>
      <c r="AA2727" s="96">
        <f ca="1">(AA2720/(N_9*AA$27*AA2722*AA2726))*SQRT(M*'Valve Sizing'!$W$6*'Valve Sizing'!$G$8/AA2725)</f>
        <v>415.87935664115571</v>
      </c>
      <c r="AB2727" s="111"/>
      <c r="AC2727" s="28"/>
      <c r="AD2727" s="96" t="e">
        <f ca="1">(AD2720/(N_9*AD$27*AD2722*AD2726))*SQRT(M*'Valve Sizing'!$W$6*'Valve Sizing'!$G$8/AD2725)</f>
        <v>#NUM!</v>
      </c>
      <c r="AE2727" s="111"/>
      <c r="AF2727" s="28"/>
      <c r="AG2727" s="96">
        <f ca="1">(AG2720/(N_9*AG$27*AG2722*AG2726))*SQRT(M*'Valve Sizing'!$W$6*'Valve Sizing'!$G$8/AG2725)</f>
        <v>1581.4257159833373</v>
      </c>
      <c r="AH2727" s="111"/>
      <c r="AI2727" s="28"/>
      <c r="AJ2727" s="96">
        <f ca="1">(AJ2720/(N_9*AJ$27*AJ2722*AJ2726))*SQRT(M*'Valve Sizing'!$W$6*'Valve Sizing'!$G$8/AJ2725)</f>
        <v>-628.44325360022026</v>
      </c>
      <c r="AK2727" s="111"/>
      <c r="AL2727" s="28"/>
      <c r="AM2727" s="96">
        <f ca="1">(AM2720/(N_9*AM$27*AM2722*AM2726))*SQRT(M*'Valve Sizing'!$W$6*'Valve Sizing'!$G$8/AM2725)</f>
        <v>-507.28727827081747</v>
      </c>
      <c r="AN2727" s="111"/>
      <c r="AO2727" s="28"/>
      <c r="AP2727" s="96">
        <f ca="1">(AP2720/(N_9*AP$27*AP2722*AP2726))*SQRT(M*'Valve Sizing'!$W$6*'Valve Sizing'!$G$8/AP2725)</f>
        <v>-221.15565078980038</v>
      </c>
      <c r="AQ2727" s="111"/>
      <c r="AR2727" s="28"/>
      <c r="AS2727" s="96">
        <f ca="1">(AS2720/(N_9*AS$27*AS2722*AS2726))*SQRT(M*'Valve Sizing'!$W$6*'Valve Sizing'!$G$8/AS2725)</f>
        <v>-2438.5799784182764</v>
      </c>
      <c r="AT2727" s="111"/>
      <c r="AU2727" s="28"/>
    </row>
    <row r="2728" spans="15:47" x14ac:dyDescent="0.25">
      <c r="O2728" s="2" t="s">
        <v>59</v>
      </c>
      <c r="P2728" s="143">
        <v>7</v>
      </c>
      <c r="Q2728" s="2"/>
      <c r="R2728" s="96">
        <f ca="1">(R2720/(N_9*R$27*R2722*0.667))*SQRT(M*'Valve Sizing'!$W$6*'Valve Sizing'!$G$8/R2729)</f>
        <v>5.1620727103813042</v>
      </c>
      <c r="S2728" s="107"/>
      <c r="T2728" s="22"/>
      <c r="U2728" s="96">
        <f ca="1">(U2720/(N_9*U$27*U2722*0.667))*SQRT(M*'Valve Sizing'!$W$6*'Valve Sizing'!$G$8/U2729)</f>
        <v>28.980740309790946</v>
      </c>
      <c r="V2728" s="111"/>
      <c r="W2728" s="28"/>
      <c r="X2728" s="96">
        <f ca="1">(X2720/(N_9*X$27*X2722*0.667))*SQRT(M*'Valve Sizing'!$W$6*'Valve Sizing'!$G$8/X2729)</f>
        <v>76.350377901181488</v>
      </c>
      <c r="Y2728" s="111"/>
      <c r="Z2728" s="28"/>
      <c r="AA2728" s="96">
        <f ca="1">(AA2720/(N_9*AA$27*AA2722*0.667))*SQRT(M*'Valve Sizing'!$W$6*'Valve Sizing'!$G$8/AA2729)</f>
        <v>195.44748457225103</v>
      </c>
      <c r="AB2728" s="111"/>
      <c r="AC2728" s="28"/>
      <c r="AD2728" s="96">
        <f ca="1">(AD2720/(N_9*AD$27*AD2722*0.667))*SQRT(M*'Valve Sizing'!$W$6*'Valve Sizing'!$G$8/AD2729)</f>
        <v>1261.8527970794826</v>
      </c>
      <c r="AE2728" s="111"/>
      <c r="AF2728" s="28"/>
      <c r="AG2728" s="96">
        <f ca="1">(AG2720/(N_9*AG$27*AG2722*0.667))*SQRT(M*'Valve Sizing'!$W$6*'Valve Sizing'!$G$8/AG2729)</f>
        <v>-508.92601338061468</v>
      </c>
      <c r="AH2728" s="111"/>
      <c r="AI2728" s="28"/>
      <c r="AJ2728" s="96">
        <f ca="1">(AJ2720/(N_9*AJ$27*AJ2722*0.667))*SQRT(M*'Valve Sizing'!$W$6*'Valve Sizing'!$G$8/AJ2729)</f>
        <v>-255.38061340379178</v>
      </c>
      <c r="AK2728" s="111"/>
      <c r="AL2728" s="28"/>
      <c r="AM2728" s="96">
        <f ca="1">(AM2720/(N_9*AM$27*AM2722*0.667))*SQRT(M*'Valve Sizing'!$W$6*'Valve Sizing'!$G$8/AM2729)</f>
        <v>-202.68781927409489</v>
      </c>
      <c r="AN2728" s="111"/>
      <c r="AO2728" s="28"/>
      <c r="AP2728" s="96">
        <f ca="1">(AP2720/(N_9*AP$27*AP2722*0.667))*SQRT(M*'Valve Sizing'!$W$6*'Valve Sizing'!$G$8/AP2729)</f>
        <v>-166.32814597867463</v>
      </c>
      <c r="AQ2728" s="111"/>
      <c r="AR2728" s="28"/>
      <c r="AS2728" s="96">
        <f ca="1">(AS2720/(N_9*AS$27*AS2722*0.667))*SQRT(M*'Valve Sizing'!$W$6*'Valve Sizing'!$G$8/AS2729)</f>
        <v>-225.9525527730778</v>
      </c>
      <c r="AT2728" s="111"/>
      <c r="AU2728" s="28"/>
    </row>
    <row r="2729" spans="15:47" ht="15.6" x14ac:dyDescent="0.35">
      <c r="O2729" s="2" t="s">
        <v>68</v>
      </c>
      <c r="P2729" s="143">
        <v>10</v>
      </c>
      <c r="Q2729" s="2"/>
      <c r="R2729" s="96">
        <f ca="1">F_GAMMA*R$29</f>
        <v>0.64002969751372984</v>
      </c>
      <c r="S2729" s="107"/>
      <c r="T2729" s="1"/>
      <c r="U2729" s="96">
        <f ca="1">F_GAMMA*U$29</f>
        <v>0.64017842058782071</v>
      </c>
      <c r="V2729" s="111"/>
      <c r="W2729" s="28"/>
      <c r="X2729" s="96">
        <f ca="1">F_GAMMA*X$29</f>
        <v>0.63413873724904268</v>
      </c>
      <c r="Y2729" s="111"/>
      <c r="Z2729" s="28"/>
      <c r="AA2729" s="96">
        <f ca="1">F_GAMMA*AA$29</f>
        <v>0.62532411750377137</v>
      </c>
      <c r="AB2729" s="111"/>
      <c r="AC2729" s="28"/>
      <c r="AD2729" s="96">
        <f ca="1">F_GAMMA*AD$29</f>
        <v>0.60651359509139569</v>
      </c>
      <c r="AE2729" s="111"/>
      <c r="AF2729" s="28"/>
      <c r="AG2729" s="96">
        <f ca="1">F_GAMMA*AG$29</f>
        <v>0.57217930198481592</v>
      </c>
      <c r="AH2729" s="111"/>
      <c r="AI2729" s="28"/>
      <c r="AJ2729" s="96">
        <f ca="1">F_GAMMA*AJ$29</f>
        <v>0.53183282018848232</v>
      </c>
      <c r="AK2729" s="111"/>
      <c r="AL2729" s="28"/>
      <c r="AM2729" s="96">
        <f ca="1">F_GAMMA*AM$29</f>
        <v>0.47566512503094399</v>
      </c>
      <c r="AN2729" s="111"/>
      <c r="AO2729" s="28"/>
      <c r="AP2729" s="96">
        <f ca="1">F_GAMMA*AP$29</f>
        <v>0.59054158265645496</v>
      </c>
      <c r="AQ2729" s="111"/>
      <c r="AR2729" s="28"/>
      <c r="AS2729" s="96">
        <f ca="1">F_GAMMA*AS$29</f>
        <v>0.3766899554102966</v>
      </c>
      <c r="AT2729" s="111"/>
      <c r="AU2729" s="28"/>
    </row>
    <row r="2730" spans="15:47" x14ac:dyDescent="0.25">
      <c r="O2730" s="2" t="s">
        <v>145</v>
      </c>
      <c r="P2730" s="12"/>
      <c r="Q2730" s="2"/>
      <c r="R2730" s="96">
        <f ca="1">IF(R2725&lt;R2729,R2727,R2728)</f>
        <v>5.7677977434914194</v>
      </c>
      <c r="S2730" s="116"/>
      <c r="T2730" s="1"/>
      <c r="U2730" s="96">
        <f ca="1">IF(U2725&lt;U2729,U2727,U2728)</f>
        <v>32.62080737435948</v>
      </c>
      <c r="V2730" s="111"/>
      <c r="W2730" s="28"/>
      <c r="X2730" s="96">
        <f ca="1">IF(X2725&lt;X2729,X2727,X2728)</f>
        <v>89.853935152534319</v>
      </c>
      <c r="Y2730" s="111"/>
      <c r="Z2730" s="28"/>
      <c r="AA2730" s="96">
        <f ca="1">IF(AA2725&lt;AA2729,AA2727,AA2728)</f>
        <v>415.87935664115571</v>
      </c>
      <c r="AB2730" s="111"/>
      <c r="AC2730" s="28"/>
      <c r="AD2730" s="96" t="e">
        <f ca="1">IF(AD2725&lt;AD2729,AD2727,AD2728)</f>
        <v>#NUM!</v>
      </c>
      <c r="AE2730" s="111"/>
      <c r="AF2730" s="28"/>
      <c r="AG2730" s="96">
        <f ca="1">IF(AG2725&lt;AG2729,AG2727,AG2728)</f>
        <v>-508.92601338061468</v>
      </c>
      <c r="AH2730" s="111"/>
      <c r="AI2730" s="28"/>
      <c r="AJ2730" s="96">
        <f ca="1">IF(AJ2725&lt;AJ2729,AJ2727,AJ2728)</f>
        <v>-255.38061340379178</v>
      </c>
      <c r="AK2730" s="111"/>
      <c r="AL2730" s="28"/>
      <c r="AM2730" s="96">
        <f ca="1">IF(AM2725&lt;AM2729,AM2727,AM2728)</f>
        <v>-202.68781927409489</v>
      </c>
      <c r="AN2730" s="111"/>
      <c r="AO2730" s="28"/>
      <c r="AP2730" s="96">
        <f ca="1">IF(AP2725&lt;AP2729,AP2727,AP2728)</f>
        <v>-166.32814597867463</v>
      </c>
      <c r="AQ2730" s="111"/>
      <c r="AR2730" s="28"/>
      <c r="AS2730" s="96">
        <f ca="1">IF(AS2725&lt;AS2729,AS2727,AS2728)</f>
        <v>-225.9525527730778</v>
      </c>
      <c r="AT2730" s="111"/>
      <c r="AU2730" s="28"/>
    </row>
    <row r="2731" spans="15:47" x14ac:dyDescent="0.25">
      <c r="O2731" s="13" t="s">
        <v>143</v>
      </c>
      <c r="P2731" s="1"/>
      <c r="Q2731" s="1"/>
      <c r="R2731" s="113"/>
      <c r="S2731" s="106">
        <f ca="1">IF(R2724&lt;=0,Q_max,ABS(R$23-R2730))</f>
        <v>1.037797743491419</v>
      </c>
      <c r="T2731" s="7">
        <f>R2720</f>
        <v>14273.143818873801</v>
      </c>
      <c r="U2731" s="98"/>
      <c r="V2731" s="106">
        <f ca="1">IF(U2724&lt;=0,Q_max,ABS(U$23-U2730))</f>
        <v>21.020807374359478</v>
      </c>
      <c r="W2731" s="9">
        <f ca="1">U2720</f>
        <v>79108.234181593623</v>
      </c>
      <c r="X2731" s="98"/>
      <c r="Y2731" s="106">
        <f ca="1">IF(X2724&lt;=0,Q_max,ABS(X$23-X2730))</f>
        <v>66.853935152534319</v>
      </c>
      <c r="Z2731" s="9">
        <f ca="1">X2720</f>
        <v>193707.00705079411</v>
      </c>
      <c r="AA2731" s="98"/>
      <c r="AB2731" s="106">
        <f ca="1">IF(AA2724&lt;=0,Q_max,ABS(AA$23-AA2730))</f>
        <v>376.47935664115573</v>
      </c>
      <c r="AC2731" s="9">
        <f ca="1">AA2720</f>
        <v>377291.80690986424</v>
      </c>
      <c r="AD2731" s="98"/>
      <c r="AE2731" s="106">
        <f ca="1">IF(AD2724&lt;=0,Q_max,ABS(AD$23-AD2730))</f>
        <v>236393</v>
      </c>
      <c r="AF2731" s="9">
        <f ca="1">AD2720</f>
        <v>632978.2846114157</v>
      </c>
      <c r="AG2731" s="98"/>
      <c r="AH2731" s="106">
        <f ca="1">IF(AG2724&lt;=0,Q_max,ABS(AG$23-AG2730))</f>
        <v>236393</v>
      </c>
      <c r="AI2731" s="9">
        <f ca="1">AG2720</f>
        <v>923849.04627665912</v>
      </c>
      <c r="AJ2731" s="98"/>
      <c r="AK2731" s="106">
        <f ca="1">IF(AJ2724&lt;=0,Q_max,ABS(AJ$23-AJ2730))</f>
        <v>236393</v>
      </c>
      <c r="AL2731" s="9">
        <f ca="1">AJ2720</f>
        <v>1232880.1336191432</v>
      </c>
      <c r="AM2731" s="98"/>
      <c r="AN2731" s="106">
        <f ca="1">IF(AM2724&lt;=0,Q_max,ABS(AM$23-AM2730))</f>
        <v>236393</v>
      </c>
      <c r="AO2731" s="9">
        <f ca="1">AM2720</f>
        <v>1504348.0594917974</v>
      </c>
      <c r="AP2731" s="98"/>
      <c r="AQ2731" s="106">
        <f ca="1">IF(AP2724&lt;=0,Q_max,ABS(AP$23-AP2730))</f>
        <v>236393</v>
      </c>
      <c r="AR2731" s="9">
        <f ca="1">AP2720</f>
        <v>1746501.3951410765</v>
      </c>
      <c r="AS2731" s="98"/>
      <c r="AT2731" s="106">
        <f ca="1">IF(AS2724&lt;=0,Q_max,ABS(AS$23-AS2730))</f>
        <v>236393</v>
      </c>
      <c r="AU2731" s="9">
        <f ca="1">AS2720</f>
        <v>2047910.2392718727</v>
      </c>
    </row>
    <row r="2732" spans="15:47" x14ac:dyDescent="0.25">
      <c r="O2732" s="21"/>
      <c r="P2732" s="14"/>
      <c r="Q2732" s="21"/>
      <c r="R2732" s="97"/>
      <c r="S2732" s="106"/>
      <c r="T2732" s="28"/>
      <c r="U2732" s="97"/>
      <c r="V2732" s="111"/>
      <c r="W2732" s="28"/>
      <c r="X2732" s="97"/>
      <c r="Y2732" s="111"/>
      <c r="Z2732" s="28"/>
      <c r="AA2732" s="97"/>
      <c r="AB2732" s="111"/>
      <c r="AC2732" s="28"/>
      <c r="AD2732" s="97"/>
      <c r="AE2732" s="111"/>
      <c r="AF2732" s="28"/>
      <c r="AG2732" s="97"/>
      <c r="AH2732" s="111"/>
      <c r="AI2732" s="28"/>
      <c r="AJ2732" s="97"/>
      <c r="AK2732" s="111"/>
      <c r="AL2732" s="28"/>
      <c r="AM2732" s="97"/>
      <c r="AN2732" s="111"/>
      <c r="AO2732" s="28"/>
      <c r="AP2732" s="97"/>
      <c r="AQ2732" s="111"/>
      <c r="AR2732" s="28"/>
      <c r="AS2732" s="97"/>
      <c r="AT2732" s="111"/>
      <c r="AU2732" s="28"/>
    </row>
    <row r="2733" spans="15:47" x14ac:dyDescent="0.25">
      <c r="O2733" s="1"/>
      <c r="P2733" s="1"/>
      <c r="Q2733" s="1"/>
      <c r="R2733" s="98"/>
      <c r="S2733" s="108" t="s">
        <v>137</v>
      </c>
      <c r="T2733" s="26" t="s">
        <v>146</v>
      </c>
      <c r="U2733" s="98"/>
      <c r="V2733" s="108" t="s">
        <v>137</v>
      </c>
      <c r="W2733" s="26" t="s">
        <v>146</v>
      </c>
      <c r="X2733" s="98"/>
      <c r="Y2733" s="108" t="s">
        <v>137</v>
      </c>
      <c r="Z2733" s="26" t="s">
        <v>146</v>
      </c>
      <c r="AA2733" s="98"/>
      <c r="AB2733" s="108" t="s">
        <v>137</v>
      </c>
      <c r="AC2733" s="26" t="s">
        <v>146</v>
      </c>
      <c r="AD2733" s="98"/>
      <c r="AE2733" s="108" t="s">
        <v>137</v>
      </c>
      <c r="AF2733" s="26" t="s">
        <v>146</v>
      </c>
      <c r="AG2733" s="98"/>
      <c r="AH2733" s="108" t="s">
        <v>137</v>
      </c>
      <c r="AI2733" s="26" t="s">
        <v>146</v>
      </c>
      <c r="AJ2733" s="98"/>
      <c r="AK2733" s="108" t="s">
        <v>137</v>
      </c>
      <c r="AL2733" s="26" t="s">
        <v>146</v>
      </c>
      <c r="AM2733" s="98"/>
      <c r="AN2733" s="108" t="s">
        <v>137</v>
      </c>
      <c r="AO2733" s="26" t="s">
        <v>146</v>
      </c>
      <c r="AP2733" s="98"/>
      <c r="AQ2733" s="108" t="s">
        <v>137</v>
      </c>
      <c r="AR2733" s="26" t="s">
        <v>146</v>
      </c>
      <c r="AS2733" s="98"/>
      <c r="AT2733" s="108" t="s">
        <v>137</v>
      </c>
      <c r="AU2733" s="26" t="s">
        <v>146</v>
      </c>
    </row>
    <row r="2734" spans="15:47" ht="13.8" x14ac:dyDescent="0.25">
      <c r="O2734" s="20" t="s">
        <v>136</v>
      </c>
      <c r="P2734" s="1"/>
      <c r="Q2734" s="1"/>
      <c r="R2734" s="96">
        <f>R2720*1.02</f>
        <v>14558.606695251277</v>
      </c>
      <c r="S2734" s="109" t="s">
        <v>144</v>
      </c>
      <c r="T2734" s="23" t="s">
        <v>147</v>
      </c>
      <c r="U2734" s="96">
        <f ca="1">U2720*1.01</f>
        <v>79899.316523409565</v>
      </c>
      <c r="V2734" s="109" t="s">
        <v>144</v>
      </c>
      <c r="W2734" s="23" t="s">
        <v>147</v>
      </c>
      <c r="X2734" s="96">
        <f ca="1">X2720*1.01</f>
        <v>195644.07712130205</v>
      </c>
      <c r="Y2734" s="109" t="s">
        <v>144</v>
      </c>
      <c r="Z2734" s="23" t="s">
        <v>147</v>
      </c>
      <c r="AA2734" s="96">
        <f ca="1">AA2720*1.01</f>
        <v>381064.72497896291</v>
      </c>
      <c r="AB2734" s="109" t="s">
        <v>144</v>
      </c>
      <c r="AC2734" s="23" t="s">
        <v>147</v>
      </c>
      <c r="AD2734" s="96">
        <f ca="1">AD2720*1.01</f>
        <v>639308.06745752983</v>
      </c>
      <c r="AE2734" s="109" t="s">
        <v>144</v>
      </c>
      <c r="AF2734" s="23" t="s">
        <v>147</v>
      </c>
      <c r="AG2734" s="96">
        <f ca="1">AG2720*1.01</f>
        <v>933087.53673942573</v>
      </c>
      <c r="AH2734" s="109" t="s">
        <v>144</v>
      </c>
      <c r="AI2734" s="23" t="s">
        <v>147</v>
      </c>
      <c r="AJ2734" s="96">
        <f ca="1">AJ2720*1.01</f>
        <v>1245208.9349553345</v>
      </c>
      <c r="AK2734" s="109" t="s">
        <v>144</v>
      </c>
      <c r="AL2734" s="23" t="s">
        <v>147</v>
      </c>
      <c r="AM2734" s="96">
        <f ca="1">AM2720*1.01</f>
        <v>1519391.5400867152</v>
      </c>
      <c r="AN2734" s="109" t="s">
        <v>144</v>
      </c>
      <c r="AO2734" s="23" t="s">
        <v>147</v>
      </c>
      <c r="AP2734" s="96">
        <f ca="1">AP2720*1.01</f>
        <v>1763966.4090924873</v>
      </c>
      <c r="AQ2734" s="109" t="s">
        <v>144</v>
      </c>
      <c r="AR2734" s="23" t="s">
        <v>147</v>
      </c>
      <c r="AS2734" s="96">
        <f ca="1">AS2720*1.01</f>
        <v>2068389.3416645913</v>
      </c>
      <c r="AT2734" s="109" t="s">
        <v>144</v>
      </c>
      <c r="AU2734" s="23" t="s">
        <v>147</v>
      </c>
    </row>
    <row r="2735" spans="15:47" x14ac:dyDescent="0.25">
      <c r="O2735" s="1"/>
      <c r="P2735" s="1"/>
      <c r="Q2735" s="1"/>
      <c r="R2735" s="98"/>
      <c r="S2735" s="107"/>
      <c r="T2735" s="1"/>
      <c r="U2735" s="47"/>
      <c r="V2735" s="107"/>
      <c r="W2735" s="1"/>
      <c r="X2735" s="47"/>
      <c r="Y2735" s="107"/>
      <c r="Z2735" s="1"/>
      <c r="AA2735" s="47"/>
      <c r="AB2735" s="107"/>
      <c r="AC2735" s="1"/>
      <c r="AD2735" s="47"/>
      <c r="AE2735" s="107"/>
      <c r="AF2735" s="1"/>
      <c r="AG2735" s="47"/>
      <c r="AH2735" s="107"/>
      <c r="AI2735" s="1"/>
      <c r="AJ2735" s="47"/>
      <c r="AK2735" s="107"/>
      <c r="AL2735" s="1"/>
      <c r="AM2735" s="47"/>
      <c r="AN2735" s="107"/>
      <c r="AO2735" s="1"/>
      <c r="AP2735" s="47"/>
      <c r="AQ2735" s="107"/>
      <c r="AR2735" s="1"/>
      <c r="AS2735" s="47"/>
      <c r="AT2735" s="107"/>
      <c r="AU2735" s="1"/>
    </row>
    <row r="2736" spans="15:47" x14ac:dyDescent="0.25">
      <c r="O2736" s="8" t="s">
        <v>132</v>
      </c>
      <c r="P2736" s="8"/>
      <c r="Q2736" s="8"/>
      <c r="R2736" s="96">
        <f>P_1_minQ-(R2734^2*R_up)+dpup_minQ</f>
        <v>90.146409778075125</v>
      </c>
      <c r="S2736" s="106"/>
      <c r="T2736" s="22"/>
      <c r="U2736" s="96">
        <f ca="1">P_1_minQ-(U2734^2*R_up)+dpup_minQ</f>
        <v>89.021504956909908</v>
      </c>
      <c r="V2736" s="107"/>
      <c r="W2736" s="1"/>
      <c r="X2736" s="96">
        <f ca="1">P_1_minQ-(X2734^2*R_up)+dpup_minQ</f>
        <v>83.208711641192565</v>
      </c>
      <c r="Y2736" s="107"/>
      <c r="Z2736" s="1"/>
      <c r="AA2736" s="96">
        <f ca="1">P_1_minQ-(AA2734^2*R_up)+dpup_minQ</f>
        <v>63.71887444860814</v>
      </c>
      <c r="AB2736" s="107"/>
      <c r="AC2736" s="1"/>
      <c r="AD2736" s="96">
        <f ca="1">P_1_minQ-(AD2734^2*R_up)+dpup_minQ</f>
        <v>15.69230772838611</v>
      </c>
      <c r="AE2736" s="107"/>
      <c r="AF2736" s="1"/>
      <c r="AG2736" s="96">
        <f ca="1">P_1_minQ-(AG2734^2*R_up)+dpup_minQ</f>
        <v>-68.500850342190546</v>
      </c>
      <c r="AH2736" s="107"/>
      <c r="AI2736" s="1"/>
      <c r="AJ2736" s="96">
        <f ca="1">P_1_minQ-(AJ2734^2*R_up)+dpup_minQ</f>
        <v>-192.41875719219757</v>
      </c>
      <c r="AK2736" s="107"/>
      <c r="AL2736" s="1"/>
      <c r="AM2736" s="96">
        <f ca="1">P_1_minQ-(AM2734^2*R_up)+dpup_minQ</f>
        <v>-330.57350487300653</v>
      </c>
      <c r="AN2736" s="107"/>
      <c r="AO2736" s="1"/>
      <c r="AP2736" s="96">
        <f ca="1">P_1_minQ-(AP2734^2*R_up)+dpup_minQ</f>
        <v>-476.93390850858253</v>
      </c>
      <c r="AQ2736" s="107"/>
      <c r="AR2736" s="1"/>
      <c r="AS2736" s="96">
        <f ca="1">P_1_minQ-(AS2734^2*R_up)+dpup_minQ</f>
        <v>-689.56987206904728</v>
      </c>
      <c r="AT2736" s="107"/>
      <c r="AU2736" s="1"/>
    </row>
    <row r="2737" spans="15:47" x14ac:dyDescent="0.25">
      <c r="O2737" s="8" t="s">
        <v>134</v>
      </c>
      <c r="P2737" s="1"/>
      <c r="Q2737" s="8"/>
      <c r="R2737" s="97">
        <f>P_2_minQ+(R2734^2*R_dn)-dpdn_minQ</f>
        <v>60</v>
      </c>
      <c r="S2737" s="106"/>
      <c r="T2737" s="22"/>
      <c r="U2737" s="97">
        <f ca="1">P_2_minQ+(U2734^2*R_dn)-dpdn_minQ</f>
        <v>60</v>
      </c>
      <c r="V2737" s="107"/>
      <c r="W2737" s="1"/>
      <c r="X2737" s="97">
        <f ca="1">P_2_minQ+(X2734^2*R_dn)-dpdn_minQ</f>
        <v>60</v>
      </c>
      <c r="Y2737" s="107"/>
      <c r="Z2737" s="1"/>
      <c r="AA2737" s="97">
        <f ca="1">P_2_minQ+(AA2734^2*R_dn)-dpdn_minQ</f>
        <v>60</v>
      </c>
      <c r="AB2737" s="107"/>
      <c r="AC2737" s="1"/>
      <c r="AD2737" s="97">
        <f ca="1">P_2_minQ+(AD2734^2*R_dn)-dpdn_minQ</f>
        <v>60</v>
      </c>
      <c r="AE2737" s="107"/>
      <c r="AF2737" s="1"/>
      <c r="AG2737" s="97">
        <f ca="1">P_2_minQ+(AG2734^2*R_dn)-dpdn_minQ</f>
        <v>60</v>
      </c>
      <c r="AH2737" s="107"/>
      <c r="AI2737" s="1"/>
      <c r="AJ2737" s="97">
        <f ca="1">P_2_minQ+(AJ2734^2*R_dn)-dpdn_minQ</f>
        <v>60</v>
      </c>
      <c r="AK2737" s="107"/>
      <c r="AL2737" s="1"/>
      <c r="AM2737" s="97">
        <f ca="1">P_2_minQ+(AM2734^2*R_dn)-dpdn_minQ</f>
        <v>60</v>
      </c>
      <c r="AN2737" s="107"/>
      <c r="AO2737" s="1"/>
      <c r="AP2737" s="97">
        <f ca="1">P_2_minQ+(AP2734^2*R_dn)-dpdn_minQ</f>
        <v>60</v>
      </c>
      <c r="AQ2737" s="107"/>
      <c r="AR2737" s="1"/>
      <c r="AS2737" s="97">
        <f ca="1">P_2_minQ+(AS2734^2*R_dn)-dpdn_minQ</f>
        <v>60</v>
      </c>
      <c r="AT2737" s="107"/>
      <c r="AU2737" s="1"/>
    </row>
    <row r="2738" spans="15:47" x14ac:dyDescent="0.25">
      <c r="O2738" s="8" t="s">
        <v>138</v>
      </c>
      <c r="P2738" s="1"/>
      <c r="Q2738" s="8"/>
      <c r="R2738" s="97">
        <f>R2736-R2737</f>
        <v>30.146409778075125</v>
      </c>
      <c r="S2738" s="106"/>
      <c r="T2738" s="22"/>
      <c r="U2738" s="97">
        <f ca="1">U2736-U2737</f>
        <v>29.021504956909908</v>
      </c>
      <c r="V2738" s="110"/>
      <c r="W2738" s="25"/>
      <c r="X2738" s="97">
        <f ca="1">X2736-X2737</f>
        <v>23.208711641192565</v>
      </c>
      <c r="Y2738" s="110"/>
      <c r="Z2738" s="25"/>
      <c r="AA2738" s="97">
        <f ca="1">AA2736-AA2737</f>
        <v>3.7188744486081404</v>
      </c>
      <c r="AB2738" s="110"/>
      <c r="AC2738" s="25"/>
      <c r="AD2738" s="97">
        <f ca="1">AD2736-AD2737</f>
        <v>-44.307692271613888</v>
      </c>
      <c r="AE2738" s="110"/>
      <c r="AF2738" s="25"/>
      <c r="AG2738" s="97">
        <f ca="1">AG2736-AG2737</f>
        <v>-128.50085034219055</v>
      </c>
      <c r="AH2738" s="110"/>
      <c r="AI2738" s="25"/>
      <c r="AJ2738" s="97">
        <f ca="1">AJ2736-AJ2737</f>
        <v>-252.41875719219757</v>
      </c>
      <c r="AK2738" s="110"/>
      <c r="AL2738" s="25"/>
      <c r="AM2738" s="97">
        <f ca="1">AM2736-AM2737</f>
        <v>-390.57350487300653</v>
      </c>
      <c r="AN2738" s="110"/>
      <c r="AO2738" s="25"/>
      <c r="AP2738" s="97">
        <f ca="1">AP2736-AP2737</f>
        <v>-536.93390850858259</v>
      </c>
      <c r="AQ2738" s="110"/>
      <c r="AR2738" s="25"/>
      <c r="AS2738" s="97">
        <f ca="1">AS2736-AS2737</f>
        <v>-749.56987206904728</v>
      </c>
      <c r="AT2738" s="110"/>
      <c r="AU2738" s="25"/>
    </row>
    <row r="2739" spans="15:47" ht="14.4" x14ac:dyDescent="0.3">
      <c r="O2739" s="2" t="s">
        <v>140</v>
      </c>
      <c r="P2739" s="11"/>
      <c r="Q2739" s="2"/>
      <c r="R2739" s="96">
        <f>R2738/R2736</f>
        <v>0.33441608880808865</v>
      </c>
      <c r="S2739" s="106"/>
      <c r="T2739" s="22"/>
      <c r="U2739" s="96">
        <f ca="1">U2738/U2736</f>
        <v>0.32600555305100176</v>
      </c>
      <c r="V2739" s="111"/>
      <c r="W2739" s="28"/>
      <c r="X2739" s="96">
        <f ca="1">X2738/X2736</f>
        <v>0.27892165595919488</v>
      </c>
      <c r="Y2739" s="111"/>
      <c r="Z2739" s="28"/>
      <c r="AA2739" s="96">
        <f ca="1">AA2738/AA2736</f>
        <v>5.8363781231063075E-2</v>
      </c>
      <c r="AB2739" s="111"/>
      <c r="AC2739" s="28"/>
      <c r="AD2739" s="96">
        <f ca="1">AD2738/AD2736</f>
        <v>-2.8235294029739726</v>
      </c>
      <c r="AE2739" s="111"/>
      <c r="AF2739" s="28"/>
      <c r="AG2739" s="96">
        <f ca="1">AG2738/AG2736</f>
        <v>1.8759015355324025</v>
      </c>
      <c r="AH2739" s="111"/>
      <c r="AI2739" s="28"/>
      <c r="AJ2739" s="96">
        <f ca="1">AJ2738/AJ2736</f>
        <v>1.3118199123387382</v>
      </c>
      <c r="AK2739" s="111"/>
      <c r="AL2739" s="28"/>
      <c r="AM2739" s="96">
        <f ca="1">AM2738/AM2736</f>
        <v>1.1815027493599333</v>
      </c>
      <c r="AN2739" s="111"/>
      <c r="AO2739" s="28"/>
      <c r="AP2739" s="96">
        <f ca="1">AP2738/AP2736</f>
        <v>1.1258035944385372</v>
      </c>
      <c r="AQ2739" s="111"/>
      <c r="AR2739" s="28"/>
      <c r="AS2739" s="96">
        <f ca="1">AS2738/AS2736</f>
        <v>1.0870107619695892</v>
      </c>
      <c r="AT2739" s="111"/>
      <c r="AU2739" s="28"/>
    </row>
    <row r="2740" spans="15:47" x14ac:dyDescent="0.25">
      <c r="O2740" s="2" t="s">
        <v>21</v>
      </c>
      <c r="P2740" s="8">
        <v>12</v>
      </c>
      <c r="Q2740" s="2"/>
      <c r="R2740" s="96">
        <f ca="1">1-R2739/(3*F_GAMMA*R$29)</f>
        <v>0.82583303550487996</v>
      </c>
      <c r="S2740" s="106"/>
      <c r="T2740" s="22"/>
      <c r="U2740" s="96">
        <f ca="1">1-U2739/(3*F_GAMMA*U$29)</f>
        <v>0.83025276362191913</v>
      </c>
      <c r="V2740" s="111"/>
      <c r="W2740" s="28"/>
      <c r="X2740" s="96">
        <f ca="1">1-X2739/(3*F_GAMMA*X$29)</f>
        <v>0.85338557659627978</v>
      </c>
      <c r="Y2740" s="111"/>
      <c r="Z2740" s="28"/>
      <c r="AA2740" s="96">
        <f ca="1">1-AA2739/(3*F_GAMMA*AA$29)</f>
        <v>0.96888878391361521</v>
      </c>
      <c r="AB2740" s="111"/>
      <c r="AC2740" s="28"/>
      <c r="AD2740" s="96">
        <f ca="1">1-AD2739/(3*F_GAMMA*AD$29)</f>
        <v>2.5517813207734692</v>
      </c>
      <c r="AE2740" s="111"/>
      <c r="AF2740" s="28"/>
      <c r="AG2740" s="96">
        <f ca="1">1-AG2739/(3*F_GAMMA*AG$29)</f>
        <v>-9.2840145868694712E-2</v>
      </c>
      <c r="AH2740" s="111"/>
      <c r="AI2740" s="28"/>
      <c r="AJ2740" s="96">
        <f ca="1">1-AJ2739/(3*F_GAMMA*AJ$29)</f>
        <v>0.17779932431033041</v>
      </c>
      <c r="AK2740" s="111"/>
      <c r="AL2740" s="28"/>
      <c r="AM2740" s="96">
        <f ca="1">1-AM2739/(3*F_GAMMA*AM$29)</f>
        <v>0.17203463306034072</v>
      </c>
      <c r="AN2740" s="111"/>
      <c r="AO2740" s="28"/>
      <c r="AP2740" s="96">
        <f ca="1">1-AP2739/(3*F_GAMMA*AP$29)</f>
        <v>0.36453608715449892</v>
      </c>
      <c r="AQ2740" s="111"/>
      <c r="AR2740" s="28"/>
      <c r="AS2740" s="96">
        <f ca="1">1-AS2739/(3*F_GAMMA*AS$29)</f>
        <v>3.8103046146089392E-2</v>
      </c>
      <c r="AT2740" s="111"/>
      <c r="AU2740" s="28"/>
    </row>
    <row r="2741" spans="15:47" x14ac:dyDescent="0.25">
      <c r="O2741" s="2" t="s">
        <v>57</v>
      </c>
      <c r="P2741" s="143">
        <v>7</v>
      </c>
      <c r="Q2741" s="2"/>
      <c r="R2741" s="96">
        <f ca="1">(R2734/(N_9*R$27*R2736*R2740))*SQRT(M*'Valve Sizing'!$W$6*'Valve Sizing'!$G$8/R2739)</f>
        <v>5.8833079256338872</v>
      </c>
      <c r="S2741" s="107"/>
      <c r="T2741" s="22"/>
      <c r="U2741" s="96">
        <f ca="1">(U2734/(N_9*U$27*U2736*U2740))*SQRT(M*'Valve Sizing'!$W$6*'Valve Sizing'!$G$8/U2739)</f>
        <v>32.960682941482396</v>
      </c>
      <c r="V2741" s="111"/>
      <c r="W2741" s="28"/>
      <c r="X2741" s="96">
        <f ca="1">(X2734/(N_9*X$27*X2736*X2740))*SQRT(M*'Valve Sizing'!$W$6*'Valve Sizing'!$G$8/X2739)</f>
        <v>91.029255205571573</v>
      </c>
      <c r="Y2741" s="111"/>
      <c r="Z2741" s="28"/>
      <c r="AA2741" s="96">
        <f ca="1">(AA2734/(N_9*AA$27*AA2736*AA2740))*SQRT(M*'Valve Sizing'!$W$6*'Valve Sizing'!$G$8/AA2739)</f>
        <v>448.46043181252418</v>
      </c>
      <c r="AB2741" s="111"/>
      <c r="AC2741" s="28"/>
      <c r="AD2741" s="96" t="e">
        <f ca="1">(AD2734/(N_9*AD$27*AD2736*AD2740))*SQRT(M*'Valve Sizing'!$W$6*'Valve Sizing'!$G$8/AD2739)</f>
        <v>#NUM!</v>
      </c>
      <c r="AE2741" s="111"/>
      <c r="AF2741" s="28"/>
      <c r="AG2741" s="96">
        <f ca="1">(AG2734/(N_9*AG$27*AG2736*AG2740))*SQRT(M*'Valve Sizing'!$W$6*'Valve Sizing'!$G$8/AG2739)</f>
        <v>1946.4216741328944</v>
      </c>
      <c r="AH2741" s="111"/>
      <c r="AI2741" s="28"/>
      <c r="AJ2741" s="96">
        <f ca="1">(AJ2734/(N_9*AJ$27*AJ2736*AJ2740))*SQRT(M*'Valve Sizing'!$W$6*'Valve Sizing'!$G$8/AJ2739)</f>
        <v>-598.27655769836542</v>
      </c>
      <c r="AK2741" s="111"/>
      <c r="AL2741" s="28"/>
      <c r="AM2741" s="96">
        <f ca="1">(AM2734/(N_9*AM$27*AM2736*AM2740))*SQRT(M*'Valve Sizing'!$W$6*'Valve Sizing'!$G$8/AM2739)</f>
        <v>-490.97737435145046</v>
      </c>
      <c r="AN2741" s="111"/>
      <c r="AO2741" s="28"/>
      <c r="AP2741" s="96">
        <f ca="1">(AP2734/(N_9*AP$27*AP2736*AP2740))*SQRT(M*'Valve Sizing'!$W$6*'Valve Sizing'!$G$8/AP2739)</f>
        <v>-217.40513824322949</v>
      </c>
      <c r="AQ2741" s="111"/>
      <c r="AR2741" s="28"/>
      <c r="AS2741" s="96">
        <f ca="1">(AS2734/(N_9*AS$27*AS2736*AS2740))*SQRT(M*'Valve Sizing'!$W$6*'Valve Sizing'!$G$8/AS2739)</f>
        <v>-2299.2910610789027</v>
      </c>
      <c r="AT2741" s="111"/>
      <c r="AU2741" s="28"/>
    </row>
    <row r="2742" spans="15:47" x14ac:dyDescent="0.25">
      <c r="O2742" s="2" t="s">
        <v>59</v>
      </c>
      <c r="P2742" s="143">
        <v>7</v>
      </c>
      <c r="Q2742" s="2"/>
      <c r="R2742" s="96">
        <f ca="1">(R2734/(N_9*R$27*R2736*0.667))*SQRT(M*'Valve Sizing'!$W$6*'Valve Sizing'!$G$8/R2743)</f>
        <v>5.2654017819241128</v>
      </c>
      <c r="S2742" s="107"/>
      <c r="T2742" s="22"/>
      <c r="U2742" s="96">
        <f ca="1">(U2734/(N_9*U$27*U2736*0.667))*SQRT(M*'Valve Sizing'!$W$6*'Valve Sizing'!$G$8/U2743)</f>
        <v>29.278085934357957</v>
      </c>
      <c r="V2742" s="111"/>
      <c r="W2742" s="28"/>
      <c r="X2742" s="96">
        <f ca="1">(X2734/(N_9*X$27*X2736*0.667))*SQRT(M*'Valve Sizing'!$W$6*'Valve Sizing'!$G$8/X2743)</f>
        <v>77.241274228025247</v>
      </c>
      <c r="Y2742" s="111"/>
      <c r="Z2742" s="28"/>
      <c r="AA2742" s="96">
        <f ca="1">(AA2734/(N_9*AA$27*AA2736*0.667))*SQRT(M*'Valve Sizing'!$W$6*'Valve Sizing'!$G$8/AA2743)</f>
        <v>199.01753658566517</v>
      </c>
      <c r="AB2742" s="111"/>
      <c r="AC2742" s="28"/>
      <c r="AD2742" s="96">
        <f ca="1">(AD2734/(N_9*AD$27*AD2736*0.667))*SQRT(M*'Valve Sizing'!$W$6*'Valve Sizing'!$G$8/AD2743)</f>
        <v>1393.6807159950774</v>
      </c>
      <c r="AE2742" s="111"/>
      <c r="AF2742" s="28"/>
      <c r="AG2742" s="96">
        <f ca="1">(AG2734/(N_9*AG$27*AG2736*0.667))*SQRT(M*'Valve Sizing'!$W$6*'Valve Sizing'!$G$8/AG2743)</f>
        <v>-490.55291399043557</v>
      </c>
      <c r="AH2742" s="111"/>
      <c r="AI2742" s="28"/>
      <c r="AJ2742" s="96">
        <f ca="1">(AJ2734/(N_9*AJ$27*AJ2736*0.667))*SQRT(M*'Valve Sizing'!$W$6*'Valve Sizing'!$G$8/AJ2743)</f>
        <v>-250.47004886497618</v>
      </c>
      <c r="AK2742" s="111"/>
      <c r="AL2742" s="28"/>
      <c r="AM2742" s="96">
        <f ca="1">(AM2734/(N_9*AM$27*AM2736*0.667))*SQRT(M*'Valve Sizing'!$W$6*'Valve Sizing'!$G$8/AM2743)</f>
        <v>-199.5805630301538</v>
      </c>
      <c r="AN2742" s="111"/>
      <c r="AO2742" s="28"/>
      <c r="AP2742" s="96">
        <f ca="1">(AP2734/(N_9*AP$27*AP2736*0.667))*SQRT(M*'Valve Sizing'!$W$6*'Valve Sizing'!$G$8/AP2743)</f>
        <v>-164.05541567049897</v>
      </c>
      <c r="AQ2742" s="111"/>
      <c r="AR2742" s="28"/>
      <c r="AS2742" s="96">
        <f ca="1">(AS2734/(N_9*AS$27*AS2736*0.667))*SQRT(M*'Valve Sizing'!$W$6*'Valve Sizing'!$G$8/AS2743)</f>
        <v>-223.12730287095999</v>
      </c>
      <c r="AT2742" s="111"/>
      <c r="AU2742" s="28"/>
    </row>
    <row r="2743" spans="15:47" ht="15.6" x14ac:dyDescent="0.35">
      <c r="O2743" s="2" t="s">
        <v>68</v>
      </c>
      <c r="P2743" s="143">
        <v>10</v>
      </c>
      <c r="Q2743" s="2"/>
      <c r="R2743" s="96">
        <f ca="1">F_GAMMA*R$29</f>
        <v>0.64002969751372984</v>
      </c>
      <c r="S2743" s="107"/>
      <c r="T2743" s="1"/>
      <c r="U2743" s="96">
        <f ca="1">F_GAMMA*U$29</f>
        <v>0.64017842058782071</v>
      </c>
      <c r="V2743" s="111"/>
      <c r="W2743" s="28"/>
      <c r="X2743" s="96">
        <f ca="1">F_GAMMA*X$29</f>
        <v>0.63413873724904268</v>
      </c>
      <c r="Y2743" s="111"/>
      <c r="Z2743" s="28"/>
      <c r="AA2743" s="96">
        <f ca="1">F_GAMMA*AA$29</f>
        <v>0.62532411750377137</v>
      </c>
      <c r="AB2743" s="111"/>
      <c r="AC2743" s="28"/>
      <c r="AD2743" s="96">
        <f ca="1">F_GAMMA*AD$29</f>
        <v>0.60651359509139569</v>
      </c>
      <c r="AE2743" s="111"/>
      <c r="AF2743" s="28"/>
      <c r="AG2743" s="96">
        <f ca="1">F_GAMMA*AG$29</f>
        <v>0.57217930198481592</v>
      </c>
      <c r="AH2743" s="111"/>
      <c r="AI2743" s="28"/>
      <c r="AJ2743" s="96">
        <f ca="1">F_GAMMA*AJ$29</f>
        <v>0.53183282018848232</v>
      </c>
      <c r="AK2743" s="111"/>
      <c r="AL2743" s="28"/>
      <c r="AM2743" s="96">
        <f ca="1">F_GAMMA*AM$29</f>
        <v>0.47566512503094399</v>
      </c>
      <c r="AN2743" s="111"/>
      <c r="AO2743" s="28"/>
      <c r="AP2743" s="96">
        <f ca="1">F_GAMMA*AP$29</f>
        <v>0.59054158265645496</v>
      </c>
      <c r="AQ2743" s="111"/>
      <c r="AR2743" s="28"/>
      <c r="AS2743" s="96">
        <f ca="1">F_GAMMA*AS$29</f>
        <v>0.3766899554102966</v>
      </c>
      <c r="AT2743" s="111"/>
      <c r="AU2743" s="28"/>
    </row>
    <row r="2744" spans="15:47" x14ac:dyDescent="0.25">
      <c r="O2744" s="2" t="s">
        <v>145</v>
      </c>
      <c r="P2744" s="12"/>
      <c r="Q2744" s="2"/>
      <c r="R2744" s="96">
        <f ca="1">IF(R2739&lt;R2743,R2741,R2742)</f>
        <v>5.8833079256338872</v>
      </c>
      <c r="S2744" s="116"/>
      <c r="T2744" s="1"/>
      <c r="U2744" s="96">
        <f ca="1">IF(U2739&lt;U2743,U2741,U2742)</f>
        <v>32.960682941482396</v>
      </c>
      <c r="V2744" s="111"/>
      <c r="W2744" s="28"/>
      <c r="X2744" s="96">
        <f ca="1">IF(X2739&lt;X2743,X2741,X2742)</f>
        <v>91.029255205571573</v>
      </c>
      <c r="Y2744" s="111"/>
      <c r="Z2744" s="28"/>
      <c r="AA2744" s="96">
        <f ca="1">IF(AA2739&lt;AA2743,AA2741,AA2742)</f>
        <v>448.46043181252418</v>
      </c>
      <c r="AB2744" s="111"/>
      <c r="AC2744" s="28"/>
      <c r="AD2744" s="96" t="e">
        <f ca="1">IF(AD2739&lt;AD2743,AD2741,AD2742)</f>
        <v>#NUM!</v>
      </c>
      <c r="AE2744" s="111"/>
      <c r="AF2744" s="28"/>
      <c r="AG2744" s="96">
        <f ca="1">IF(AG2739&lt;AG2743,AG2741,AG2742)</f>
        <v>-490.55291399043557</v>
      </c>
      <c r="AH2744" s="111"/>
      <c r="AI2744" s="28"/>
      <c r="AJ2744" s="96">
        <f ca="1">IF(AJ2739&lt;AJ2743,AJ2741,AJ2742)</f>
        <v>-250.47004886497618</v>
      </c>
      <c r="AK2744" s="111"/>
      <c r="AL2744" s="28"/>
      <c r="AM2744" s="96">
        <f ca="1">IF(AM2739&lt;AM2743,AM2741,AM2742)</f>
        <v>-199.5805630301538</v>
      </c>
      <c r="AN2744" s="111"/>
      <c r="AO2744" s="28"/>
      <c r="AP2744" s="96">
        <f ca="1">IF(AP2739&lt;AP2743,AP2741,AP2742)</f>
        <v>-164.05541567049897</v>
      </c>
      <c r="AQ2744" s="111"/>
      <c r="AR2744" s="28"/>
      <c r="AS2744" s="96">
        <f ca="1">IF(AS2739&lt;AS2743,AS2741,AS2742)</f>
        <v>-223.12730287095999</v>
      </c>
      <c r="AT2744" s="111"/>
      <c r="AU2744" s="28"/>
    </row>
    <row r="2745" spans="15:47" x14ac:dyDescent="0.25">
      <c r="O2745" s="13" t="s">
        <v>143</v>
      </c>
      <c r="P2745" s="1"/>
      <c r="Q2745" s="1"/>
      <c r="R2745" s="113"/>
      <c r="S2745" s="106">
        <f ca="1">IF(R2738&lt;=0,Q_max,ABS(R$23-R2744))</f>
        <v>1.1533079256338867</v>
      </c>
      <c r="T2745" s="7">
        <f>R2734</f>
        <v>14558.606695251277</v>
      </c>
      <c r="U2745" s="98"/>
      <c r="V2745" s="106">
        <f ca="1">IF(U2738&lt;=0,Q_max,ABS(U$23-U2744))</f>
        <v>21.360682941482395</v>
      </c>
      <c r="W2745" s="9">
        <f ca="1">U2734</f>
        <v>79899.316523409565</v>
      </c>
      <c r="X2745" s="98"/>
      <c r="Y2745" s="106">
        <f ca="1">IF(X2738&lt;=0,Q_max,ABS(X$23-X2744))</f>
        <v>68.029255205571573</v>
      </c>
      <c r="Z2745" s="9">
        <f ca="1">X2734</f>
        <v>195644.07712130205</v>
      </c>
      <c r="AA2745" s="98"/>
      <c r="AB2745" s="106">
        <f ca="1">IF(AA2738&lt;=0,Q_max,ABS(AA$23-AA2744))</f>
        <v>409.0604318125242</v>
      </c>
      <c r="AC2745" s="9">
        <f ca="1">AA2734</f>
        <v>381064.72497896291</v>
      </c>
      <c r="AD2745" s="98"/>
      <c r="AE2745" s="106">
        <f ca="1">IF(AD2738&lt;=0,Q_max,ABS(AD$23-AD2744))</f>
        <v>236393</v>
      </c>
      <c r="AF2745" s="9">
        <f ca="1">AD2734</f>
        <v>639308.06745752983</v>
      </c>
      <c r="AG2745" s="98"/>
      <c r="AH2745" s="106">
        <f ca="1">IF(AG2738&lt;=0,Q_max,ABS(AG$23-AG2744))</f>
        <v>236393</v>
      </c>
      <c r="AI2745" s="9">
        <f ca="1">AG2734</f>
        <v>933087.53673942573</v>
      </c>
      <c r="AJ2745" s="98"/>
      <c r="AK2745" s="106">
        <f ca="1">IF(AJ2738&lt;=0,Q_max,ABS(AJ$23-AJ2744))</f>
        <v>236393</v>
      </c>
      <c r="AL2745" s="9">
        <f ca="1">AJ2734</f>
        <v>1245208.9349553345</v>
      </c>
      <c r="AM2745" s="98"/>
      <c r="AN2745" s="106">
        <f ca="1">IF(AM2738&lt;=0,Q_max,ABS(AM$23-AM2744))</f>
        <v>236393</v>
      </c>
      <c r="AO2745" s="9">
        <f ca="1">AM2734</f>
        <v>1519391.5400867152</v>
      </c>
      <c r="AP2745" s="98"/>
      <c r="AQ2745" s="106">
        <f ca="1">IF(AP2738&lt;=0,Q_max,ABS(AP$23-AP2744))</f>
        <v>236393</v>
      </c>
      <c r="AR2745" s="9">
        <f ca="1">AP2734</f>
        <v>1763966.4090924873</v>
      </c>
      <c r="AS2745" s="98"/>
      <c r="AT2745" s="106">
        <f ca="1">IF(AS2738&lt;=0,Q_max,ABS(AS$23-AS2744))</f>
        <v>236393</v>
      </c>
      <c r="AU2745" s="9">
        <f ca="1">AS2734</f>
        <v>2068389.3416645913</v>
      </c>
    </row>
    <row r="2746" spans="15:47" x14ac:dyDescent="0.25">
      <c r="O2746" s="21"/>
      <c r="P2746" s="14"/>
      <c r="Q2746" s="21"/>
      <c r="R2746" s="97"/>
      <c r="S2746" s="106"/>
      <c r="T2746" s="28"/>
      <c r="U2746" s="97"/>
      <c r="V2746" s="111"/>
      <c r="W2746" s="28"/>
      <c r="X2746" s="97"/>
      <c r="Y2746" s="111"/>
      <c r="Z2746" s="28"/>
      <c r="AA2746" s="97"/>
      <c r="AB2746" s="111"/>
      <c r="AC2746" s="28"/>
      <c r="AD2746" s="97"/>
      <c r="AE2746" s="111"/>
      <c r="AF2746" s="28"/>
      <c r="AG2746" s="97"/>
      <c r="AH2746" s="111"/>
      <c r="AI2746" s="28"/>
      <c r="AJ2746" s="97"/>
      <c r="AK2746" s="111"/>
      <c r="AL2746" s="28"/>
      <c r="AM2746" s="97"/>
      <c r="AN2746" s="111"/>
      <c r="AO2746" s="28"/>
      <c r="AP2746" s="97"/>
      <c r="AQ2746" s="111"/>
      <c r="AR2746" s="28"/>
      <c r="AS2746" s="97"/>
      <c r="AT2746" s="111"/>
      <c r="AU2746" s="28"/>
    </row>
    <row r="2747" spans="15:47" x14ac:dyDescent="0.25">
      <c r="O2747" s="1"/>
      <c r="P2747" s="1"/>
      <c r="Q2747" s="1"/>
      <c r="R2747" s="98"/>
      <c r="S2747" s="108" t="s">
        <v>137</v>
      </c>
      <c r="T2747" s="26" t="s">
        <v>146</v>
      </c>
      <c r="U2747" s="98"/>
      <c r="V2747" s="108" t="s">
        <v>137</v>
      </c>
      <c r="W2747" s="26" t="s">
        <v>146</v>
      </c>
      <c r="X2747" s="98"/>
      <c r="Y2747" s="108" t="s">
        <v>137</v>
      </c>
      <c r="Z2747" s="26" t="s">
        <v>146</v>
      </c>
      <c r="AA2747" s="98"/>
      <c r="AB2747" s="108" t="s">
        <v>137</v>
      </c>
      <c r="AC2747" s="26" t="s">
        <v>146</v>
      </c>
      <c r="AD2747" s="98"/>
      <c r="AE2747" s="108" t="s">
        <v>137</v>
      </c>
      <c r="AF2747" s="26" t="s">
        <v>146</v>
      </c>
      <c r="AG2747" s="98"/>
      <c r="AH2747" s="108" t="s">
        <v>137</v>
      </c>
      <c r="AI2747" s="26" t="s">
        <v>146</v>
      </c>
      <c r="AJ2747" s="98"/>
      <c r="AK2747" s="108" t="s">
        <v>137</v>
      </c>
      <c r="AL2747" s="26" t="s">
        <v>146</v>
      </c>
      <c r="AM2747" s="98"/>
      <c r="AN2747" s="108" t="s">
        <v>137</v>
      </c>
      <c r="AO2747" s="26" t="s">
        <v>146</v>
      </c>
      <c r="AP2747" s="98"/>
      <c r="AQ2747" s="108" t="s">
        <v>137</v>
      </c>
      <c r="AR2747" s="26" t="s">
        <v>146</v>
      </c>
      <c r="AS2747" s="98"/>
      <c r="AT2747" s="108" t="s">
        <v>137</v>
      </c>
      <c r="AU2747" s="26" t="s">
        <v>146</v>
      </c>
    </row>
    <row r="2748" spans="15:47" ht="13.8" x14ac:dyDescent="0.25">
      <c r="O2748" s="20" t="s">
        <v>136</v>
      </c>
      <c r="P2748" s="1"/>
      <c r="Q2748" s="1"/>
      <c r="R2748" s="96">
        <f>R2734*1.02</f>
        <v>14849.778829156303</v>
      </c>
      <c r="S2748" s="109" t="s">
        <v>144</v>
      </c>
      <c r="T2748" s="23" t="s">
        <v>147</v>
      </c>
      <c r="U2748" s="96">
        <f ca="1">U2734*1.01</f>
        <v>80698.309688643654</v>
      </c>
      <c r="V2748" s="109" t="s">
        <v>144</v>
      </c>
      <c r="W2748" s="23" t="s">
        <v>147</v>
      </c>
      <c r="X2748" s="96">
        <f ca="1">X2734*1.01</f>
        <v>197600.51789251508</v>
      </c>
      <c r="Y2748" s="109" t="s">
        <v>144</v>
      </c>
      <c r="Z2748" s="23" t="s">
        <v>147</v>
      </c>
      <c r="AA2748" s="96">
        <f ca="1">AA2734*1.01</f>
        <v>384875.37222875253</v>
      </c>
      <c r="AB2748" s="109" t="s">
        <v>144</v>
      </c>
      <c r="AC2748" s="23" t="s">
        <v>147</v>
      </c>
      <c r="AD2748" s="96">
        <f ca="1">AD2734*1.01</f>
        <v>645701.14813210513</v>
      </c>
      <c r="AE2748" s="109" t="s">
        <v>144</v>
      </c>
      <c r="AF2748" s="23" t="s">
        <v>147</v>
      </c>
      <c r="AG2748" s="96">
        <f ca="1">AG2734*1.01</f>
        <v>942418.41210682003</v>
      </c>
      <c r="AH2748" s="109" t="s">
        <v>144</v>
      </c>
      <c r="AI2748" s="23" t="s">
        <v>147</v>
      </c>
      <c r="AJ2748" s="96">
        <f ca="1">AJ2734*1.01</f>
        <v>1257661.024304888</v>
      </c>
      <c r="AK2748" s="109" t="s">
        <v>144</v>
      </c>
      <c r="AL2748" s="23" t="s">
        <v>147</v>
      </c>
      <c r="AM2748" s="96">
        <f ca="1">AM2734*1.01</f>
        <v>1534585.4554875824</v>
      </c>
      <c r="AN2748" s="109" t="s">
        <v>144</v>
      </c>
      <c r="AO2748" s="23" t="s">
        <v>147</v>
      </c>
      <c r="AP2748" s="96">
        <f ca="1">AP2734*1.01</f>
        <v>1781606.0731834122</v>
      </c>
      <c r="AQ2748" s="109" t="s">
        <v>144</v>
      </c>
      <c r="AR2748" s="23" t="s">
        <v>147</v>
      </c>
      <c r="AS2748" s="96">
        <f ca="1">AS2734*1.01</f>
        <v>2089073.2350812373</v>
      </c>
      <c r="AT2748" s="109" t="s">
        <v>144</v>
      </c>
      <c r="AU2748" s="23" t="s">
        <v>147</v>
      </c>
    </row>
    <row r="2749" spans="15:47" x14ac:dyDescent="0.25">
      <c r="O2749" s="1"/>
      <c r="P2749" s="1"/>
      <c r="Q2749" s="1"/>
      <c r="R2749" s="98"/>
      <c r="S2749" s="107"/>
      <c r="T2749" s="1"/>
      <c r="U2749" s="47"/>
      <c r="V2749" s="107"/>
      <c r="W2749" s="1"/>
      <c r="X2749" s="47"/>
      <c r="Y2749" s="107"/>
      <c r="Z2749" s="1"/>
      <c r="AA2749" s="47"/>
      <c r="AB2749" s="107"/>
      <c r="AC2749" s="1"/>
      <c r="AD2749" s="47"/>
      <c r="AE2749" s="107"/>
      <c r="AF2749" s="1"/>
      <c r="AG2749" s="47"/>
      <c r="AH2749" s="107"/>
      <c r="AI2749" s="1"/>
      <c r="AJ2749" s="47"/>
      <c r="AK2749" s="107"/>
      <c r="AL2749" s="1"/>
      <c r="AM2749" s="47"/>
      <c r="AN2749" s="107"/>
      <c r="AO2749" s="1"/>
      <c r="AP2749" s="47"/>
      <c r="AQ2749" s="107"/>
      <c r="AR2749" s="1"/>
      <c r="AS2749" s="47"/>
      <c r="AT2749" s="107"/>
      <c r="AU2749" s="1"/>
    </row>
    <row r="2750" spans="15:47" x14ac:dyDescent="0.25">
      <c r="O2750" s="8" t="s">
        <v>132</v>
      </c>
      <c r="P2750" s="8"/>
      <c r="Q2750" s="8"/>
      <c r="R2750" s="96">
        <f>P_1_minQ-(R2748^2*R_up)+dpup_minQ</f>
        <v>90.144849095687036</v>
      </c>
      <c r="S2750" s="106"/>
      <c r="T2750" s="22"/>
      <c r="U2750" s="96">
        <f ca="1">P_1_minQ-(U2748^2*R_up)+dpup_minQ</f>
        <v>88.998117891885656</v>
      </c>
      <c r="V2750" s="107"/>
      <c r="W2750" s="1"/>
      <c r="X2750" s="96">
        <f ca="1">P_1_minQ-(X2748^2*R_up)+dpup_minQ</f>
        <v>83.068487430522396</v>
      </c>
      <c r="Y2750" s="107"/>
      <c r="Z2750" s="1"/>
      <c r="AA2750" s="96">
        <f ca="1">P_1_minQ-(AA2748^2*R_up)+dpup_minQ</f>
        <v>63.186904510367029</v>
      </c>
      <c r="AB2750" s="107"/>
      <c r="AC2750" s="1"/>
      <c r="AD2750" s="96">
        <f ca="1">P_1_minQ-(AD2748^2*R_up)+dpup_minQ</f>
        <v>14.195003799068528</v>
      </c>
      <c r="AE2750" s="107"/>
      <c r="AF2750" s="1"/>
      <c r="AG2750" s="96">
        <f ca="1">P_1_minQ-(AG2748^2*R_up)+dpup_minQ</f>
        <v>-71.690436748726739</v>
      </c>
      <c r="AH2750" s="107"/>
      <c r="AI2750" s="1"/>
      <c r="AJ2750" s="96">
        <f ca="1">P_1_minQ-(AJ2748^2*R_up)+dpup_minQ</f>
        <v>-198.09909352641893</v>
      </c>
      <c r="AK2750" s="107"/>
      <c r="AL2750" s="1"/>
      <c r="AM2750" s="96">
        <f ca="1">P_1_minQ-(AM2748^2*R_up)+dpup_minQ</f>
        <v>-339.03075163561209</v>
      </c>
      <c r="AN2750" s="107"/>
      <c r="AO2750" s="1"/>
      <c r="AP2750" s="96">
        <f ca="1">P_1_minQ-(AP2748^2*R_up)+dpup_minQ</f>
        <v>-488.33299938426325</v>
      </c>
      <c r="AQ2750" s="107"/>
      <c r="AR2750" s="1"/>
      <c r="AS2750" s="96">
        <f ca="1">P_1_minQ-(AS2748^2*R_up)+dpup_minQ</f>
        <v>-705.24294581229333</v>
      </c>
      <c r="AT2750" s="107"/>
      <c r="AU2750" s="1"/>
    </row>
    <row r="2751" spans="15:47" x14ac:dyDescent="0.25">
      <c r="O2751" s="8" t="s">
        <v>134</v>
      </c>
      <c r="P2751" s="1"/>
      <c r="Q2751" s="8"/>
      <c r="R2751" s="97">
        <f>P_2_minQ+(R2748^2*R_dn)-dpdn_minQ</f>
        <v>60</v>
      </c>
      <c r="S2751" s="106"/>
      <c r="T2751" s="22"/>
      <c r="U2751" s="97">
        <f ca="1">P_2_minQ+(U2748^2*R_dn)-dpdn_minQ</f>
        <v>60</v>
      </c>
      <c r="V2751" s="107"/>
      <c r="W2751" s="1"/>
      <c r="X2751" s="97">
        <f ca="1">P_2_minQ+(X2748^2*R_dn)-dpdn_minQ</f>
        <v>60</v>
      </c>
      <c r="Y2751" s="107"/>
      <c r="Z2751" s="1"/>
      <c r="AA2751" s="97">
        <f ca="1">P_2_minQ+(AA2748^2*R_dn)-dpdn_minQ</f>
        <v>60</v>
      </c>
      <c r="AB2751" s="107"/>
      <c r="AC2751" s="1"/>
      <c r="AD2751" s="97">
        <f ca="1">P_2_minQ+(AD2748^2*R_dn)-dpdn_minQ</f>
        <v>60</v>
      </c>
      <c r="AE2751" s="107"/>
      <c r="AF2751" s="1"/>
      <c r="AG2751" s="97">
        <f ca="1">P_2_minQ+(AG2748^2*R_dn)-dpdn_minQ</f>
        <v>60</v>
      </c>
      <c r="AH2751" s="107"/>
      <c r="AI2751" s="1"/>
      <c r="AJ2751" s="97">
        <f ca="1">P_2_minQ+(AJ2748^2*R_dn)-dpdn_minQ</f>
        <v>60</v>
      </c>
      <c r="AK2751" s="107"/>
      <c r="AL2751" s="1"/>
      <c r="AM2751" s="97">
        <f ca="1">P_2_minQ+(AM2748^2*R_dn)-dpdn_minQ</f>
        <v>60</v>
      </c>
      <c r="AN2751" s="107"/>
      <c r="AO2751" s="1"/>
      <c r="AP2751" s="97">
        <f ca="1">P_2_minQ+(AP2748^2*R_dn)-dpdn_minQ</f>
        <v>60</v>
      </c>
      <c r="AQ2751" s="107"/>
      <c r="AR2751" s="1"/>
      <c r="AS2751" s="97">
        <f ca="1">P_2_minQ+(AS2748^2*R_dn)-dpdn_minQ</f>
        <v>60</v>
      </c>
      <c r="AT2751" s="107"/>
      <c r="AU2751" s="1"/>
    </row>
    <row r="2752" spans="15:47" x14ac:dyDescent="0.25">
      <c r="O2752" s="8" t="s">
        <v>138</v>
      </c>
      <c r="P2752" s="1"/>
      <c r="Q2752" s="8"/>
      <c r="R2752" s="97">
        <f>R2750-R2751</f>
        <v>30.144849095687036</v>
      </c>
      <c r="S2752" s="106"/>
      <c r="T2752" s="22"/>
      <c r="U2752" s="97">
        <f ca="1">U2750-U2751</f>
        <v>28.998117891885656</v>
      </c>
      <c r="V2752" s="110"/>
      <c r="W2752" s="25"/>
      <c r="X2752" s="97">
        <f ca="1">X2750-X2751</f>
        <v>23.068487430522396</v>
      </c>
      <c r="Y2752" s="110"/>
      <c r="Z2752" s="25"/>
      <c r="AA2752" s="97">
        <f ca="1">AA2750-AA2751</f>
        <v>3.1869045103670288</v>
      </c>
      <c r="AB2752" s="110"/>
      <c r="AC2752" s="25"/>
      <c r="AD2752" s="97">
        <f ca="1">AD2750-AD2751</f>
        <v>-45.80499620093147</v>
      </c>
      <c r="AE2752" s="110"/>
      <c r="AF2752" s="25"/>
      <c r="AG2752" s="97">
        <f ca="1">AG2750-AG2751</f>
        <v>-131.69043674872674</v>
      </c>
      <c r="AH2752" s="110"/>
      <c r="AI2752" s="25"/>
      <c r="AJ2752" s="97">
        <f ca="1">AJ2750-AJ2751</f>
        <v>-258.09909352641893</v>
      </c>
      <c r="AK2752" s="110"/>
      <c r="AL2752" s="25"/>
      <c r="AM2752" s="97">
        <f ca="1">AM2750-AM2751</f>
        <v>-399.03075163561209</v>
      </c>
      <c r="AN2752" s="110"/>
      <c r="AO2752" s="25"/>
      <c r="AP2752" s="97">
        <f ca="1">AP2750-AP2751</f>
        <v>-548.3329993842633</v>
      </c>
      <c r="AQ2752" s="110"/>
      <c r="AR2752" s="25"/>
      <c r="AS2752" s="97">
        <f ca="1">AS2750-AS2751</f>
        <v>-765.24294581229333</v>
      </c>
      <c r="AT2752" s="110"/>
      <c r="AU2752" s="25"/>
    </row>
    <row r="2753" spans="15:47" ht="14.4" x14ac:dyDescent="0.3">
      <c r="O2753" s="2" t="s">
        <v>140</v>
      </c>
      <c r="P2753" s="11"/>
      <c r="Q2753" s="2"/>
      <c r="R2753" s="96">
        <f>R2752/R2750</f>
        <v>0.33440456551975428</v>
      </c>
      <c r="S2753" s="106"/>
      <c r="T2753" s="22"/>
      <c r="U2753" s="96">
        <f ca="1">U2752/U2750</f>
        <v>0.32582843973298831</v>
      </c>
      <c r="V2753" s="111"/>
      <c r="W2753" s="28"/>
      <c r="X2753" s="96">
        <f ca="1">X2752/X2750</f>
        <v>0.27770443575027937</v>
      </c>
      <c r="Y2753" s="111"/>
      <c r="Z2753" s="28"/>
      <c r="AA2753" s="96">
        <f ca="1">AA2752/AA2750</f>
        <v>5.0436155008102286E-2</v>
      </c>
      <c r="AB2753" s="111"/>
      <c r="AC2753" s="28"/>
      <c r="AD2753" s="96">
        <f ca="1">AD2752/AD2750</f>
        <v>-3.2268393055264402</v>
      </c>
      <c r="AE2753" s="111"/>
      <c r="AF2753" s="28"/>
      <c r="AG2753" s="96">
        <f ca="1">AG2752/AG2750</f>
        <v>1.8369317125281097</v>
      </c>
      <c r="AH2753" s="111"/>
      <c r="AI2753" s="28"/>
      <c r="AJ2753" s="96">
        <f ca="1">AJ2752/AJ2750</f>
        <v>1.3028787206035259</v>
      </c>
      <c r="AK2753" s="111"/>
      <c r="AL2753" s="28"/>
      <c r="AM2753" s="96">
        <f ca="1">AM2752/AM2750</f>
        <v>1.1769750965378136</v>
      </c>
      <c r="AN2753" s="111"/>
      <c r="AO2753" s="28"/>
      <c r="AP2753" s="96">
        <f ca="1">AP2752/AP2750</f>
        <v>1.1228669782211191</v>
      </c>
      <c r="AQ2753" s="111"/>
      <c r="AR2753" s="28"/>
      <c r="AS2753" s="96">
        <f ca="1">AS2752/AS2750</f>
        <v>1.0850770650827177</v>
      </c>
      <c r="AT2753" s="111"/>
      <c r="AU2753" s="28"/>
    </row>
    <row r="2754" spans="15:47" x14ac:dyDescent="0.25">
      <c r="O2754" s="2" t="s">
        <v>21</v>
      </c>
      <c r="P2754" s="8">
        <v>12</v>
      </c>
      <c r="Q2754" s="2"/>
      <c r="R2754" s="96">
        <f ca="1">1-R2753/(3*F_GAMMA*R$29)</f>
        <v>0.82583903693907335</v>
      </c>
      <c r="S2754" s="106"/>
      <c r="T2754" s="22"/>
      <c r="U2754" s="96">
        <f ca="1">1-U2753/(3*F_GAMMA*U$29)</f>
        <v>0.83034498443220039</v>
      </c>
      <c r="V2754" s="111"/>
      <c r="W2754" s="28"/>
      <c r="X2754" s="96">
        <f ca="1">1-X2753/(3*F_GAMMA*X$29)</f>
        <v>0.85402540514767633</v>
      </c>
      <c r="Y2754" s="111"/>
      <c r="Z2754" s="28"/>
      <c r="AA2754" s="96">
        <f ca="1">1-AA2753/(3*F_GAMMA*AA$29)</f>
        <v>0.97311465974400702</v>
      </c>
      <c r="AB2754" s="111"/>
      <c r="AC2754" s="28"/>
      <c r="AD2754" s="96">
        <f ca="1">1-AD2753/(3*F_GAMMA*AD$29)</f>
        <v>2.7734360953278587</v>
      </c>
      <c r="AE2754" s="111"/>
      <c r="AF2754" s="28"/>
      <c r="AG2754" s="96">
        <f ca="1">1-AG2753/(3*F_GAMMA*AG$29)</f>
        <v>-7.0137575264741736E-2</v>
      </c>
      <c r="AH2754" s="111"/>
      <c r="AI2754" s="28"/>
      <c r="AJ2754" s="96">
        <f ca="1">1-AJ2753/(3*F_GAMMA*AJ$29)</f>
        <v>0.18340333581908697</v>
      </c>
      <c r="AK2754" s="111"/>
      <c r="AL2754" s="28"/>
      <c r="AM2754" s="96">
        <f ca="1">1-AM2753/(3*F_GAMMA*AM$29)</f>
        <v>0.17520749045087369</v>
      </c>
      <c r="AN2754" s="111"/>
      <c r="AO2754" s="28"/>
      <c r="AP2754" s="96">
        <f ca="1">1-AP2753/(3*F_GAMMA*AP$29)</f>
        <v>0.36619367080520371</v>
      </c>
      <c r="AQ2754" s="111"/>
      <c r="AR2754" s="28"/>
      <c r="AS2754" s="96">
        <f ca="1">1-AS2753/(3*F_GAMMA*AS$29)</f>
        <v>3.9814176532497192E-2</v>
      </c>
      <c r="AT2754" s="111"/>
      <c r="AU2754" s="28"/>
    </row>
    <row r="2755" spans="15:47" x14ac:dyDescent="0.25">
      <c r="O2755" s="2" t="s">
        <v>57</v>
      </c>
      <c r="P2755" s="143">
        <v>7</v>
      </c>
      <c r="Q2755" s="2"/>
      <c r="R2755" s="96">
        <f ca="1">(R2748/(N_9*R$27*R2750*R2754))*SQRT(M*'Valve Sizing'!$W$6*'Valve Sizing'!$G$8/R2753)</f>
        <v>6.0011377633371064</v>
      </c>
      <c r="S2755" s="107"/>
      <c r="T2755" s="22"/>
      <c r="U2755" s="96">
        <f ca="1">(U2748/(N_9*U$27*U2750*U2754))*SQRT(M*'Valve Sizing'!$W$6*'Valve Sizing'!$G$8/U2753)</f>
        <v>33.304387631291888</v>
      </c>
      <c r="V2755" s="111"/>
      <c r="W2755" s="28"/>
      <c r="X2755" s="96">
        <f ca="1">(X2748/(N_9*X$27*X2750*X2754))*SQRT(M*'Valve Sizing'!$W$6*'Valve Sizing'!$G$8/X2753)</f>
        <v>92.227211029282557</v>
      </c>
      <c r="Y2755" s="111"/>
      <c r="Z2755" s="28"/>
      <c r="AA2755" s="96">
        <f ca="1">(AA2748/(N_9*AA$27*AA2750*AA2754))*SQRT(M*'Valve Sizing'!$W$6*'Valve Sizing'!$G$8/AA2753)</f>
        <v>489.21206431530493</v>
      </c>
      <c r="AB2755" s="111"/>
      <c r="AC2755" s="28"/>
      <c r="AD2755" s="96" t="e">
        <f ca="1">(AD2748/(N_9*AD$27*AD2750*AD2754))*SQRT(M*'Valve Sizing'!$W$6*'Valve Sizing'!$G$8/AD2753)</f>
        <v>#NUM!</v>
      </c>
      <c r="AE2755" s="111"/>
      <c r="AF2755" s="28"/>
      <c r="AG2755" s="96">
        <f ca="1">(AG2748/(N_9*AG$27*AG2750*AG2754))*SQRT(M*'Valve Sizing'!$W$6*'Valve Sizing'!$G$8/AG2753)</f>
        <v>2512.6767556551385</v>
      </c>
      <c r="AH2755" s="111"/>
      <c r="AI2755" s="28"/>
      <c r="AJ2755" s="96">
        <f ca="1">(AJ2748/(N_9*AJ$27*AJ2750*AJ2754))*SQRT(M*'Valve Sizing'!$W$6*'Valve Sizing'!$G$8/AJ2753)</f>
        <v>-570.94761949742178</v>
      </c>
      <c r="AK2755" s="111"/>
      <c r="AL2755" s="28"/>
      <c r="AM2755" s="96">
        <f ca="1">(AM2748/(N_9*AM$27*AM2750*AM2754))*SQRT(M*'Valve Sizing'!$W$6*'Valve Sizing'!$G$8/AM2753)</f>
        <v>-475.67327341234392</v>
      </c>
      <c r="AN2755" s="111"/>
      <c r="AO2755" s="28"/>
      <c r="AP2755" s="96">
        <f ca="1">(AP2748/(N_9*AP$27*AP2750*AP2754))*SQRT(M*'Valve Sizing'!$W$6*'Valve Sizing'!$G$8/AP2753)</f>
        <v>-213.76183048174937</v>
      </c>
      <c r="AQ2755" s="111"/>
      <c r="AR2755" s="28"/>
      <c r="AS2755" s="96">
        <f ca="1">(AS2748/(N_9*AS$27*AS2750*AS2754))*SQRT(M*'Valve Sizing'!$W$6*'Valve Sizing'!$G$8/AS2753)</f>
        <v>-2175.0209339575117</v>
      </c>
      <c r="AT2755" s="111"/>
      <c r="AU2755" s="28"/>
    </row>
    <row r="2756" spans="15:47" x14ac:dyDescent="0.25">
      <c r="O2756" s="2" t="s">
        <v>59</v>
      </c>
      <c r="P2756" s="143">
        <v>7</v>
      </c>
      <c r="Q2756" s="2"/>
      <c r="R2756" s="96">
        <f ca="1">(R2748/(N_9*R$27*R2750*0.667))*SQRT(M*'Valve Sizing'!$W$6*'Valve Sizing'!$G$8/R2757)</f>
        <v>5.3708028009366648</v>
      </c>
      <c r="S2756" s="107"/>
      <c r="T2756" s="22"/>
      <c r="U2756" s="96">
        <f ca="1">(U2748/(N_9*U$27*U2750*0.667))*SQRT(M*'Valve Sizing'!$W$6*'Valve Sizing'!$G$8/U2757)</f>
        <v>29.578637472463161</v>
      </c>
      <c r="V2756" s="111"/>
      <c r="W2756" s="28"/>
      <c r="X2756" s="96">
        <f ca="1">(X2748/(N_9*X$27*X2750*0.667))*SQRT(M*'Valve Sizing'!$W$6*'Valve Sizing'!$G$8/X2757)</f>
        <v>78.145378397647676</v>
      </c>
      <c r="Y2756" s="111"/>
      <c r="Z2756" s="28"/>
      <c r="AA2756" s="96">
        <f ca="1">(AA2748/(N_9*AA$27*AA2750*0.667))*SQRT(M*'Valve Sizing'!$W$6*'Valve Sizing'!$G$8/AA2757)</f>
        <v>202.69999393528781</v>
      </c>
      <c r="AB2756" s="111"/>
      <c r="AC2756" s="28"/>
      <c r="AD2756" s="96">
        <f ca="1">(AD2748/(N_9*AD$27*AD2750*0.667))*SQRT(M*'Valve Sizing'!$W$6*'Valve Sizing'!$G$8/AD2757)</f>
        <v>1556.0944998596492</v>
      </c>
      <c r="AE2756" s="111"/>
      <c r="AF2756" s="28"/>
      <c r="AG2756" s="96">
        <f ca="1">(AG2748/(N_9*AG$27*AG2750*0.667))*SQRT(M*'Valve Sizing'!$W$6*'Valve Sizing'!$G$8/AG2757)</f>
        <v>-473.41495187988136</v>
      </c>
      <c r="AH2756" s="111"/>
      <c r="AI2756" s="28"/>
      <c r="AJ2756" s="96">
        <f ca="1">(AJ2748/(N_9*AJ$27*AJ2750*0.667))*SQRT(M*'Valve Sizing'!$W$6*'Valve Sizing'!$G$8/AJ2757)</f>
        <v>-245.72089657311182</v>
      </c>
      <c r="AK2756" s="111"/>
      <c r="AL2756" s="28"/>
      <c r="AM2756" s="96">
        <f ca="1">(AM2748/(N_9*AM$27*AM2750*0.667))*SQRT(M*'Valve Sizing'!$W$6*'Valve Sizing'!$G$8/AM2757)</f>
        <v>-196.54797202372868</v>
      </c>
      <c r="AN2756" s="111"/>
      <c r="AO2756" s="28"/>
      <c r="AP2756" s="96">
        <f ca="1">(AP2748/(N_9*AP$27*AP2750*0.667))*SQRT(M*'Valve Sizing'!$W$6*'Valve Sizing'!$G$8/AP2757)</f>
        <v>-161.82815130956146</v>
      </c>
      <c r="AQ2756" s="111"/>
      <c r="AR2756" s="28"/>
      <c r="AS2756" s="96">
        <f ca="1">(AS2748/(N_9*AS$27*AS2750*0.667))*SQRT(M*'Valve Sizing'!$W$6*'Valve Sizing'!$G$8/AS2757)</f>
        <v>-220.35028535281381</v>
      </c>
      <c r="AT2756" s="111"/>
      <c r="AU2756" s="28"/>
    </row>
    <row r="2757" spans="15:47" ht="15.6" x14ac:dyDescent="0.35">
      <c r="O2757" s="2" t="s">
        <v>68</v>
      </c>
      <c r="P2757" s="143">
        <v>10</v>
      </c>
      <c r="Q2757" s="2"/>
      <c r="R2757" s="96">
        <f ca="1">F_GAMMA*R$29</f>
        <v>0.64002969751372984</v>
      </c>
      <c r="S2757" s="107"/>
      <c r="T2757" s="1"/>
      <c r="U2757" s="96">
        <f ca="1">F_GAMMA*U$29</f>
        <v>0.64017842058782071</v>
      </c>
      <c r="V2757" s="111"/>
      <c r="W2757" s="28"/>
      <c r="X2757" s="96">
        <f ca="1">F_GAMMA*X$29</f>
        <v>0.63413873724904268</v>
      </c>
      <c r="Y2757" s="111"/>
      <c r="Z2757" s="28"/>
      <c r="AA2757" s="96">
        <f ca="1">F_GAMMA*AA$29</f>
        <v>0.62532411750377137</v>
      </c>
      <c r="AB2757" s="111"/>
      <c r="AC2757" s="28"/>
      <c r="AD2757" s="96">
        <f ca="1">F_GAMMA*AD$29</f>
        <v>0.60651359509139569</v>
      </c>
      <c r="AE2757" s="111"/>
      <c r="AF2757" s="28"/>
      <c r="AG2757" s="96">
        <f ca="1">F_GAMMA*AG$29</f>
        <v>0.57217930198481592</v>
      </c>
      <c r="AH2757" s="111"/>
      <c r="AI2757" s="28"/>
      <c r="AJ2757" s="96">
        <f ca="1">F_GAMMA*AJ$29</f>
        <v>0.53183282018848232</v>
      </c>
      <c r="AK2757" s="111"/>
      <c r="AL2757" s="28"/>
      <c r="AM2757" s="96">
        <f ca="1">F_GAMMA*AM$29</f>
        <v>0.47566512503094399</v>
      </c>
      <c r="AN2757" s="111"/>
      <c r="AO2757" s="28"/>
      <c r="AP2757" s="96">
        <f ca="1">F_GAMMA*AP$29</f>
        <v>0.59054158265645496</v>
      </c>
      <c r="AQ2757" s="111"/>
      <c r="AR2757" s="28"/>
      <c r="AS2757" s="96">
        <f ca="1">F_GAMMA*AS$29</f>
        <v>0.3766899554102966</v>
      </c>
      <c r="AT2757" s="111"/>
      <c r="AU2757" s="28"/>
    </row>
    <row r="2758" spans="15:47" x14ac:dyDescent="0.25">
      <c r="O2758" s="2" t="s">
        <v>145</v>
      </c>
      <c r="P2758" s="12"/>
      <c r="Q2758" s="2"/>
      <c r="R2758" s="96">
        <f ca="1">IF(R2753&lt;R2757,R2755,R2756)</f>
        <v>6.0011377633371064</v>
      </c>
      <c r="S2758" s="116"/>
      <c r="T2758" s="1"/>
      <c r="U2758" s="96">
        <f ca="1">IF(U2753&lt;U2757,U2755,U2756)</f>
        <v>33.304387631291888</v>
      </c>
      <c r="V2758" s="111"/>
      <c r="W2758" s="28"/>
      <c r="X2758" s="96">
        <f ca="1">IF(X2753&lt;X2757,X2755,X2756)</f>
        <v>92.227211029282557</v>
      </c>
      <c r="Y2758" s="111"/>
      <c r="Z2758" s="28"/>
      <c r="AA2758" s="96">
        <f ca="1">IF(AA2753&lt;AA2757,AA2755,AA2756)</f>
        <v>489.21206431530493</v>
      </c>
      <c r="AB2758" s="111"/>
      <c r="AC2758" s="28"/>
      <c r="AD2758" s="96" t="e">
        <f ca="1">IF(AD2753&lt;AD2757,AD2755,AD2756)</f>
        <v>#NUM!</v>
      </c>
      <c r="AE2758" s="111"/>
      <c r="AF2758" s="28"/>
      <c r="AG2758" s="96">
        <f ca="1">IF(AG2753&lt;AG2757,AG2755,AG2756)</f>
        <v>-473.41495187988136</v>
      </c>
      <c r="AH2758" s="111"/>
      <c r="AI2758" s="28"/>
      <c r="AJ2758" s="96">
        <f ca="1">IF(AJ2753&lt;AJ2757,AJ2755,AJ2756)</f>
        <v>-245.72089657311182</v>
      </c>
      <c r="AK2758" s="111"/>
      <c r="AL2758" s="28"/>
      <c r="AM2758" s="96">
        <f ca="1">IF(AM2753&lt;AM2757,AM2755,AM2756)</f>
        <v>-196.54797202372868</v>
      </c>
      <c r="AN2758" s="111"/>
      <c r="AO2758" s="28"/>
      <c r="AP2758" s="96">
        <f ca="1">IF(AP2753&lt;AP2757,AP2755,AP2756)</f>
        <v>-161.82815130956146</v>
      </c>
      <c r="AQ2758" s="111"/>
      <c r="AR2758" s="28"/>
      <c r="AS2758" s="96">
        <f ca="1">IF(AS2753&lt;AS2757,AS2755,AS2756)</f>
        <v>-220.35028535281381</v>
      </c>
      <c r="AT2758" s="111"/>
      <c r="AU2758" s="28"/>
    </row>
    <row r="2759" spans="15:47" x14ac:dyDescent="0.25">
      <c r="O2759" s="13" t="s">
        <v>143</v>
      </c>
      <c r="P2759" s="1"/>
      <c r="Q2759" s="1"/>
      <c r="R2759" s="113"/>
      <c r="S2759" s="106">
        <f ca="1">IF(R2752&lt;=0,Q_max,ABS(R$23-R2758))</f>
        <v>1.2711377633371059</v>
      </c>
      <c r="T2759" s="7">
        <f>R2748</f>
        <v>14849.778829156303</v>
      </c>
      <c r="U2759" s="98"/>
      <c r="V2759" s="106">
        <f ca="1">IF(U2752&lt;=0,Q_max,ABS(U$23-U2758))</f>
        <v>21.704387631291887</v>
      </c>
      <c r="W2759" s="9">
        <f ca="1">U2748</f>
        <v>80698.309688643654</v>
      </c>
      <c r="X2759" s="98"/>
      <c r="Y2759" s="106">
        <f ca="1">IF(X2752&lt;=0,Q_max,ABS(X$23-X2758))</f>
        <v>69.227211029282557</v>
      </c>
      <c r="Z2759" s="9">
        <f ca="1">X2748</f>
        <v>197600.51789251508</v>
      </c>
      <c r="AA2759" s="98"/>
      <c r="AB2759" s="106">
        <f ca="1">IF(AA2752&lt;=0,Q_max,ABS(AA$23-AA2758))</f>
        <v>449.81206431530495</v>
      </c>
      <c r="AC2759" s="9">
        <f ca="1">AA2748</f>
        <v>384875.37222875253</v>
      </c>
      <c r="AD2759" s="98"/>
      <c r="AE2759" s="106">
        <f ca="1">IF(AD2752&lt;=0,Q_max,ABS(AD$23-AD2758))</f>
        <v>236393</v>
      </c>
      <c r="AF2759" s="9">
        <f ca="1">AD2748</f>
        <v>645701.14813210513</v>
      </c>
      <c r="AG2759" s="98"/>
      <c r="AH2759" s="106">
        <f ca="1">IF(AG2752&lt;=0,Q_max,ABS(AG$23-AG2758))</f>
        <v>236393</v>
      </c>
      <c r="AI2759" s="9">
        <f ca="1">AG2748</f>
        <v>942418.41210682003</v>
      </c>
      <c r="AJ2759" s="98"/>
      <c r="AK2759" s="106">
        <f ca="1">IF(AJ2752&lt;=0,Q_max,ABS(AJ$23-AJ2758))</f>
        <v>236393</v>
      </c>
      <c r="AL2759" s="9">
        <f ca="1">AJ2748</f>
        <v>1257661.024304888</v>
      </c>
      <c r="AM2759" s="98"/>
      <c r="AN2759" s="106">
        <f ca="1">IF(AM2752&lt;=0,Q_max,ABS(AM$23-AM2758))</f>
        <v>236393</v>
      </c>
      <c r="AO2759" s="9">
        <f ca="1">AM2748</f>
        <v>1534585.4554875824</v>
      </c>
      <c r="AP2759" s="98"/>
      <c r="AQ2759" s="106">
        <f ca="1">IF(AP2752&lt;=0,Q_max,ABS(AP$23-AP2758))</f>
        <v>236393</v>
      </c>
      <c r="AR2759" s="9">
        <f ca="1">AP2748</f>
        <v>1781606.0731834122</v>
      </c>
      <c r="AS2759" s="98"/>
      <c r="AT2759" s="106">
        <f ca="1">IF(AS2752&lt;=0,Q_max,ABS(AS$23-AS2758))</f>
        <v>236393</v>
      </c>
      <c r="AU2759" s="9">
        <f ca="1">AS2748</f>
        <v>2089073.2350812373</v>
      </c>
    </row>
    <row r="2760" spans="15:47" x14ac:dyDescent="0.25">
      <c r="O2760" s="21"/>
      <c r="P2760" s="14"/>
      <c r="Q2760" s="21"/>
      <c r="R2760" s="97"/>
      <c r="S2760" s="106"/>
      <c r="T2760" s="28"/>
      <c r="U2760" s="97"/>
      <c r="V2760" s="111"/>
      <c r="W2760" s="28"/>
      <c r="X2760" s="97"/>
      <c r="Y2760" s="111"/>
      <c r="Z2760" s="28"/>
      <c r="AA2760" s="97"/>
      <c r="AB2760" s="111"/>
      <c r="AC2760" s="28"/>
      <c r="AD2760" s="97"/>
      <c r="AE2760" s="111"/>
      <c r="AF2760" s="28"/>
      <c r="AG2760" s="97"/>
      <c r="AH2760" s="111"/>
      <c r="AI2760" s="28"/>
      <c r="AJ2760" s="97"/>
      <c r="AK2760" s="111"/>
      <c r="AL2760" s="28"/>
      <c r="AM2760" s="97"/>
      <c r="AN2760" s="111"/>
      <c r="AO2760" s="28"/>
      <c r="AP2760" s="97"/>
      <c r="AQ2760" s="111"/>
      <c r="AR2760" s="28"/>
      <c r="AS2760" s="97"/>
      <c r="AT2760" s="111"/>
      <c r="AU2760" s="28"/>
    </row>
    <row r="2761" spans="15:47" x14ac:dyDescent="0.25">
      <c r="O2761" s="1"/>
      <c r="P2761" s="1"/>
      <c r="Q2761" s="1"/>
      <c r="R2761" s="98"/>
      <c r="S2761" s="108" t="s">
        <v>137</v>
      </c>
      <c r="T2761" s="26" t="s">
        <v>146</v>
      </c>
      <c r="U2761" s="98"/>
      <c r="V2761" s="108" t="s">
        <v>137</v>
      </c>
      <c r="W2761" s="26" t="s">
        <v>146</v>
      </c>
      <c r="X2761" s="98"/>
      <c r="Y2761" s="108" t="s">
        <v>137</v>
      </c>
      <c r="Z2761" s="26" t="s">
        <v>146</v>
      </c>
      <c r="AA2761" s="98"/>
      <c r="AB2761" s="108" t="s">
        <v>137</v>
      </c>
      <c r="AC2761" s="26" t="s">
        <v>146</v>
      </c>
      <c r="AD2761" s="98"/>
      <c r="AE2761" s="108" t="s">
        <v>137</v>
      </c>
      <c r="AF2761" s="26" t="s">
        <v>146</v>
      </c>
      <c r="AG2761" s="98"/>
      <c r="AH2761" s="108" t="s">
        <v>137</v>
      </c>
      <c r="AI2761" s="26" t="s">
        <v>146</v>
      </c>
      <c r="AJ2761" s="98"/>
      <c r="AK2761" s="108" t="s">
        <v>137</v>
      </c>
      <c r="AL2761" s="26" t="s">
        <v>146</v>
      </c>
      <c r="AM2761" s="98"/>
      <c r="AN2761" s="108" t="s">
        <v>137</v>
      </c>
      <c r="AO2761" s="26" t="s">
        <v>146</v>
      </c>
      <c r="AP2761" s="98"/>
      <c r="AQ2761" s="108" t="s">
        <v>137</v>
      </c>
      <c r="AR2761" s="26" t="s">
        <v>146</v>
      </c>
      <c r="AS2761" s="98"/>
      <c r="AT2761" s="108" t="s">
        <v>137</v>
      </c>
      <c r="AU2761" s="26" t="s">
        <v>146</v>
      </c>
    </row>
    <row r="2762" spans="15:47" ht="13.8" x14ac:dyDescent="0.25">
      <c r="O2762" s="20" t="s">
        <v>136</v>
      </c>
      <c r="P2762" s="1"/>
      <c r="Q2762" s="1"/>
      <c r="R2762" s="96">
        <f>R2748*1.02</f>
        <v>15146.774405739428</v>
      </c>
      <c r="S2762" s="109" t="s">
        <v>144</v>
      </c>
      <c r="T2762" s="23" t="s">
        <v>147</v>
      </c>
      <c r="U2762" s="96">
        <f ca="1">U2748*1.01</f>
        <v>81505.292785530095</v>
      </c>
      <c r="V2762" s="109" t="s">
        <v>144</v>
      </c>
      <c r="W2762" s="23" t="s">
        <v>147</v>
      </c>
      <c r="X2762" s="96">
        <f ca="1">X2748*1.01</f>
        <v>199576.52307144023</v>
      </c>
      <c r="Y2762" s="109" t="s">
        <v>144</v>
      </c>
      <c r="Z2762" s="23" t="s">
        <v>147</v>
      </c>
      <c r="AA2762" s="96">
        <f ca="1">AA2748*1.01</f>
        <v>388724.12595104007</v>
      </c>
      <c r="AB2762" s="109" t="s">
        <v>144</v>
      </c>
      <c r="AC2762" s="23" t="s">
        <v>147</v>
      </c>
      <c r="AD2762" s="96">
        <f ca="1">AD2748*1.01</f>
        <v>652158.15961342619</v>
      </c>
      <c r="AE2762" s="109" t="s">
        <v>144</v>
      </c>
      <c r="AF2762" s="23" t="s">
        <v>147</v>
      </c>
      <c r="AG2762" s="96">
        <f ca="1">AG2748*1.01</f>
        <v>951842.59622788825</v>
      </c>
      <c r="AH2762" s="109" t="s">
        <v>144</v>
      </c>
      <c r="AI2762" s="23" t="s">
        <v>147</v>
      </c>
      <c r="AJ2762" s="96">
        <f ca="1">AJ2748*1.01</f>
        <v>1270237.634547937</v>
      </c>
      <c r="AK2762" s="109" t="s">
        <v>144</v>
      </c>
      <c r="AL2762" s="23" t="s">
        <v>147</v>
      </c>
      <c r="AM2762" s="96">
        <f ca="1">AM2748*1.01</f>
        <v>1549931.3100424581</v>
      </c>
      <c r="AN2762" s="109" t="s">
        <v>144</v>
      </c>
      <c r="AO2762" s="23" t="s">
        <v>147</v>
      </c>
      <c r="AP2762" s="96">
        <f ca="1">AP2748*1.01</f>
        <v>1799422.1339152462</v>
      </c>
      <c r="AQ2762" s="109" t="s">
        <v>144</v>
      </c>
      <c r="AR2762" s="23" t="s">
        <v>147</v>
      </c>
      <c r="AS2762" s="96">
        <f ca="1">AS2748*1.01</f>
        <v>2109963.9674320496</v>
      </c>
      <c r="AT2762" s="109" t="s">
        <v>144</v>
      </c>
      <c r="AU2762" s="23" t="s">
        <v>147</v>
      </c>
    </row>
    <row r="2763" spans="15:47" x14ac:dyDescent="0.25">
      <c r="O2763" s="1"/>
      <c r="P2763" s="1"/>
      <c r="Q2763" s="1"/>
      <c r="R2763" s="98"/>
      <c r="S2763" s="107"/>
      <c r="T2763" s="1"/>
      <c r="U2763" s="47"/>
      <c r="V2763" s="107"/>
      <c r="W2763" s="1"/>
      <c r="X2763" s="47"/>
      <c r="Y2763" s="107"/>
      <c r="Z2763" s="1"/>
      <c r="AA2763" s="47"/>
      <c r="AB2763" s="107"/>
      <c r="AC2763" s="1"/>
      <c r="AD2763" s="47"/>
      <c r="AE2763" s="107"/>
      <c r="AF2763" s="1"/>
      <c r="AG2763" s="47"/>
      <c r="AH2763" s="107"/>
      <c r="AI2763" s="1"/>
      <c r="AJ2763" s="47"/>
      <c r="AK2763" s="107"/>
      <c r="AL2763" s="1"/>
      <c r="AM2763" s="47"/>
      <c r="AN2763" s="107"/>
      <c r="AO2763" s="1"/>
      <c r="AP2763" s="47"/>
      <c r="AQ2763" s="107"/>
      <c r="AR2763" s="1"/>
      <c r="AS2763" s="47"/>
      <c r="AT2763" s="107"/>
      <c r="AU2763" s="1"/>
    </row>
    <row r="2764" spans="15:47" x14ac:dyDescent="0.25">
      <c r="O2764" s="8" t="s">
        <v>132</v>
      </c>
      <c r="P2764" s="8"/>
      <c r="Q2764" s="8"/>
      <c r="R2764" s="96">
        <f>P_1_minQ-(R2762^2*R_up)+dpup_minQ</f>
        <v>90.143225361730472</v>
      </c>
      <c r="S2764" s="106"/>
      <c r="T2764" s="22"/>
      <c r="U2764" s="96">
        <f ca="1">P_1_minQ-(U2762^2*R_up)+dpup_minQ</f>
        <v>88.974260746854426</v>
      </c>
      <c r="V2764" s="107"/>
      <c r="W2764" s="1"/>
      <c r="X2764" s="96">
        <f ca="1">P_1_minQ-(X2762^2*R_up)+dpup_minQ</f>
        <v>82.925444713217772</v>
      </c>
      <c r="Y2764" s="107"/>
      <c r="Z2764" s="1"/>
      <c r="AA2764" s="96">
        <f ca="1">P_1_minQ-(AA2762^2*R_up)+dpup_minQ</f>
        <v>62.644241976367269</v>
      </c>
      <c r="AB2764" s="107"/>
      <c r="AC2764" s="1"/>
      <c r="AD2764" s="96">
        <f ca="1">P_1_minQ-(AD2762^2*R_up)+dpup_minQ</f>
        <v>12.667604060771664</v>
      </c>
      <c r="AE2764" s="107"/>
      <c r="AF2764" s="1"/>
      <c r="AG2764" s="96">
        <f ca="1">P_1_minQ-(AG2762^2*R_up)+dpup_minQ</f>
        <v>-74.94413384203429</v>
      </c>
      <c r="AH2764" s="107"/>
      <c r="AI2764" s="1"/>
      <c r="AJ2764" s="96">
        <f ca="1">P_1_minQ-(AJ2762^2*R_up)+dpup_minQ</f>
        <v>-203.89360462095811</v>
      </c>
      <c r="AK2764" s="107"/>
      <c r="AL2764" s="1"/>
      <c r="AM2764" s="96">
        <f ca="1">P_1_minQ-(AM2762^2*R_up)+dpup_minQ</f>
        <v>-347.65798905814603</v>
      </c>
      <c r="AN2764" s="107"/>
      <c r="AO2764" s="1"/>
      <c r="AP2764" s="96">
        <f ca="1">P_1_minQ-(AP2762^2*R_up)+dpup_minQ</f>
        <v>-499.96121198654492</v>
      </c>
      <c r="AQ2764" s="107"/>
      <c r="AR2764" s="1"/>
      <c r="AS2764" s="96">
        <f ca="1">P_1_minQ-(AS2762^2*R_up)+dpup_minQ</f>
        <v>-721.23104833777836</v>
      </c>
      <c r="AT2764" s="107"/>
      <c r="AU2764" s="1"/>
    </row>
    <row r="2765" spans="15:47" x14ac:dyDescent="0.25">
      <c r="O2765" s="8" t="s">
        <v>134</v>
      </c>
      <c r="P2765" s="1"/>
      <c r="Q2765" s="8"/>
      <c r="R2765" s="97">
        <f>P_2_minQ+(R2762^2*R_dn)-dpdn_minQ</f>
        <v>60</v>
      </c>
      <c r="S2765" s="106"/>
      <c r="T2765" s="22"/>
      <c r="U2765" s="97">
        <f ca="1">P_2_minQ+(U2762^2*R_dn)-dpdn_minQ</f>
        <v>60</v>
      </c>
      <c r="V2765" s="107"/>
      <c r="W2765" s="1"/>
      <c r="X2765" s="97">
        <f ca="1">P_2_minQ+(X2762^2*R_dn)-dpdn_minQ</f>
        <v>60</v>
      </c>
      <c r="Y2765" s="107"/>
      <c r="Z2765" s="1"/>
      <c r="AA2765" s="97">
        <f ca="1">P_2_minQ+(AA2762^2*R_dn)-dpdn_minQ</f>
        <v>60</v>
      </c>
      <c r="AB2765" s="107"/>
      <c r="AC2765" s="1"/>
      <c r="AD2765" s="97">
        <f ca="1">P_2_minQ+(AD2762^2*R_dn)-dpdn_minQ</f>
        <v>60</v>
      </c>
      <c r="AE2765" s="107"/>
      <c r="AF2765" s="1"/>
      <c r="AG2765" s="97">
        <f ca="1">P_2_minQ+(AG2762^2*R_dn)-dpdn_minQ</f>
        <v>60</v>
      </c>
      <c r="AH2765" s="107"/>
      <c r="AI2765" s="1"/>
      <c r="AJ2765" s="97">
        <f ca="1">P_2_minQ+(AJ2762^2*R_dn)-dpdn_minQ</f>
        <v>60</v>
      </c>
      <c r="AK2765" s="107"/>
      <c r="AL2765" s="1"/>
      <c r="AM2765" s="97">
        <f ca="1">P_2_minQ+(AM2762^2*R_dn)-dpdn_minQ</f>
        <v>60</v>
      </c>
      <c r="AN2765" s="107"/>
      <c r="AO2765" s="1"/>
      <c r="AP2765" s="97">
        <f ca="1">P_2_minQ+(AP2762^2*R_dn)-dpdn_minQ</f>
        <v>60</v>
      </c>
      <c r="AQ2765" s="107"/>
      <c r="AR2765" s="1"/>
      <c r="AS2765" s="97">
        <f ca="1">P_2_minQ+(AS2762^2*R_dn)-dpdn_minQ</f>
        <v>60</v>
      </c>
      <c r="AT2765" s="107"/>
      <c r="AU2765" s="1"/>
    </row>
    <row r="2766" spans="15:47" x14ac:dyDescent="0.25">
      <c r="O2766" s="8" t="s">
        <v>138</v>
      </c>
      <c r="P2766" s="1"/>
      <c r="Q2766" s="8"/>
      <c r="R2766" s="97">
        <f>R2764-R2765</f>
        <v>30.143225361730472</v>
      </c>
      <c r="S2766" s="106"/>
      <c r="T2766" s="22"/>
      <c r="U2766" s="97">
        <f ca="1">U2764-U2765</f>
        <v>28.974260746854426</v>
      </c>
      <c r="V2766" s="110"/>
      <c r="W2766" s="25"/>
      <c r="X2766" s="97">
        <f ca="1">X2764-X2765</f>
        <v>22.925444713217772</v>
      </c>
      <c r="Y2766" s="110"/>
      <c r="Z2766" s="25"/>
      <c r="AA2766" s="97">
        <f ca="1">AA2764-AA2765</f>
        <v>2.6442419763672689</v>
      </c>
      <c r="AB2766" s="110"/>
      <c r="AC2766" s="25"/>
      <c r="AD2766" s="97">
        <f ca="1">AD2764-AD2765</f>
        <v>-47.332395939228334</v>
      </c>
      <c r="AE2766" s="110"/>
      <c r="AF2766" s="25"/>
      <c r="AG2766" s="97">
        <f ca="1">AG2764-AG2765</f>
        <v>-134.94413384203429</v>
      </c>
      <c r="AH2766" s="110"/>
      <c r="AI2766" s="25"/>
      <c r="AJ2766" s="97">
        <f ca="1">AJ2764-AJ2765</f>
        <v>-263.89360462095811</v>
      </c>
      <c r="AK2766" s="110"/>
      <c r="AL2766" s="25"/>
      <c r="AM2766" s="97">
        <f ca="1">AM2764-AM2765</f>
        <v>-407.65798905814603</v>
      </c>
      <c r="AN2766" s="110"/>
      <c r="AO2766" s="25"/>
      <c r="AP2766" s="97">
        <f ca="1">AP2764-AP2765</f>
        <v>-559.96121198654487</v>
      </c>
      <c r="AQ2766" s="110"/>
      <c r="AR2766" s="25"/>
      <c r="AS2766" s="97">
        <f ca="1">AS2764-AS2765</f>
        <v>-781.23104833777836</v>
      </c>
      <c r="AT2766" s="110"/>
      <c r="AU2766" s="25"/>
    </row>
    <row r="2767" spans="15:47" ht="14.4" x14ac:dyDescent="0.3">
      <c r="O2767" s="2" t="s">
        <v>140</v>
      </c>
      <c r="P2767" s="11"/>
      <c r="Q2767" s="2"/>
      <c r="R2767" s="96">
        <f>R2766/R2764</f>
        <v>0.33439257626705154</v>
      </c>
      <c r="S2767" s="106"/>
      <c r="T2767" s="22"/>
      <c r="U2767" s="96">
        <f ca="1">U2766/U2764</f>
        <v>0.32564767050204207</v>
      </c>
      <c r="V2767" s="111"/>
      <c r="W2767" s="28"/>
      <c r="X2767" s="96">
        <f ca="1">X2766/X2764</f>
        <v>0.27645850791034232</v>
      </c>
      <c r="Y2767" s="111"/>
      <c r="Z2767" s="28"/>
      <c r="AA2767" s="96">
        <f ca="1">AA2766/AA2764</f>
        <v>4.2210455309920063E-2</v>
      </c>
      <c r="AB2767" s="111"/>
      <c r="AC2767" s="28"/>
      <c r="AD2767" s="96">
        <f ca="1">AD2766/AD2764</f>
        <v>-3.7364915821615141</v>
      </c>
      <c r="AE2767" s="111"/>
      <c r="AF2767" s="28"/>
      <c r="AG2767" s="96">
        <f ca="1">AG2766/AG2764</f>
        <v>1.8005963498953337</v>
      </c>
      <c r="AH2767" s="111"/>
      <c r="AI2767" s="28"/>
      <c r="AJ2767" s="96">
        <f ca="1">AJ2766/AJ2764</f>
        <v>1.2942711229787764</v>
      </c>
      <c r="AK2767" s="111"/>
      <c r="AL2767" s="28"/>
      <c r="AM2767" s="96">
        <f ca="1">AM2766/AM2764</f>
        <v>1.172583406360223</v>
      </c>
      <c r="AN2767" s="111"/>
      <c r="AO2767" s="28"/>
      <c r="AP2767" s="96">
        <f ca="1">AP2766/AP2764</f>
        <v>1.12000930984545</v>
      </c>
      <c r="AQ2767" s="111"/>
      <c r="AR2767" s="28"/>
      <c r="AS2767" s="96">
        <f ca="1">AS2766/AS2764</f>
        <v>1.0831910940859826</v>
      </c>
      <c r="AT2767" s="111"/>
      <c r="AU2767" s="28"/>
    </row>
    <row r="2768" spans="15:47" x14ac:dyDescent="0.25">
      <c r="O2768" s="2" t="s">
        <v>21</v>
      </c>
      <c r="P2768" s="8">
        <v>12</v>
      </c>
      <c r="Q2768" s="2"/>
      <c r="R2768" s="96">
        <f ca="1">1-R2767/(3*F_GAMMA*R$29)</f>
        <v>0.82584528105178112</v>
      </c>
      <c r="S2768" s="106"/>
      <c r="T2768" s="22"/>
      <c r="U2768" s="96">
        <f ca="1">1-U2767/(3*F_GAMMA*U$29)</f>
        <v>0.83043910883311356</v>
      </c>
      <c r="V2768" s="111"/>
      <c r="W2768" s="28"/>
      <c r="X2768" s="96">
        <f ca="1">1-X2767/(3*F_GAMMA*X$29)</f>
        <v>0.85468032378863601</v>
      </c>
      <c r="Y2768" s="111"/>
      <c r="Z2768" s="28"/>
      <c r="AA2768" s="96">
        <f ca="1">1-AA2767/(3*F_GAMMA*AA$29)</f>
        <v>0.97749942569600556</v>
      </c>
      <c r="AB2768" s="111"/>
      <c r="AC2768" s="28"/>
      <c r="AD2768" s="96">
        <f ca="1">1-AD2767/(3*F_GAMMA*AD$29)</f>
        <v>3.0535354922524922</v>
      </c>
      <c r="AE2768" s="111"/>
      <c r="AF2768" s="28"/>
      <c r="AG2768" s="96">
        <f ca="1">1-AG2767/(3*F_GAMMA*AG$29)</f>
        <v>-4.8969756886403815E-2</v>
      </c>
      <c r="AH2768" s="111"/>
      <c r="AI2768" s="28"/>
      <c r="AJ2768" s="96">
        <f ca="1">1-AJ2767/(3*F_GAMMA*AJ$29)</f>
        <v>0.18879826275727973</v>
      </c>
      <c r="AK2768" s="111"/>
      <c r="AL2768" s="28"/>
      <c r="AM2768" s="96">
        <f ca="1">1-AM2767/(3*F_GAMMA*AM$29)</f>
        <v>0.1782850688749138</v>
      </c>
      <c r="AN2768" s="111"/>
      <c r="AO2768" s="28"/>
      <c r="AP2768" s="96">
        <f ca="1">1-AP2767/(3*F_GAMMA*AP$29)</f>
        <v>0.36780669206094352</v>
      </c>
      <c r="AQ2768" s="111"/>
      <c r="AR2768" s="28"/>
      <c r="AS2768" s="96">
        <f ca="1">1-AS2767/(3*F_GAMMA*AS$29)</f>
        <v>4.148307422908426E-2</v>
      </c>
      <c r="AT2768" s="111"/>
      <c r="AU2768" s="28"/>
    </row>
    <row r="2769" spans="15:47" x14ac:dyDescent="0.25">
      <c r="O2769" s="2" t="s">
        <v>57</v>
      </c>
      <c r="P2769" s="143">
        <v>7</v>
      </c>
      <c r="Q2769" s="2"/>
      <c r="R2769" s="96">
        <f ca="1">(R2762/(N_9*R$27*R2764*R2768))*SQRT(M*'Valve Sizing'!$W$6*'Valve Sizing'!$G$8/R2767)</f>
        <v>6.1213342294933453</v>
      </c>
      <c r="S2769" s="107"/>
      <c r="T2769" s="22"/>
      <c r="U2769" s="96">
        <f ca="1">(U2762/(N_9*U$27*U2764*U2768))*SQRT(M*'Valve Sizing'!$W$6*'Valve Sizing'!$G$8/U2767)</f>
        <v>33.651973637572269</v>
      </c>
      <c r="V2769" s="111"/>
      <c r="W2769" s="28"/>
      <c r="X2769" s="96">
        <f ca="1">(X2762/(N_9*X$27*X2764*X2768))*SQRT(M*'Valve Sizing'!$W$6*'Valve Sizing'!$G$8/X2767)</f>
        <v>93.448526013254607</v>
      </c>
      <c r="Y2769" s="111"/>
      <c r="Z2769" s="28"/>
      <c r="AA2769" s="96">
        <f ca="1">(AA2762/(N_9*AA$27*AA2764*AA2768))*SQRT(M*'Valve Sizing'!$W$6*'Valve Sizing'!$G$8/AA2767)</f>
        <v>542.34160890035162</v>
      </c>
      <c r="AB2769" s="111"/>
      <c r="AC2769" s="28"/>
      <c r="AD2769" s="96" t="e">
        <f ca="1">(AD2762/(N_9*AD$27*AD2764*AD2768))*SQRT(M*'Valve Sizing'!$W$6*'Valve Sizing'!$G$8/AD2767)</f>
        <v>#NUM!</v>
      </c>
      <c r="AE2769" s="111"/>
      <c r="AF2769" s="28"/>
      <c r="AG2769" s="96">
        <f ca="1">(AG2762/(N_9*AG$27*AG2764*AG2768))*SQRT(M*'Valve Sizing'!$W$6*'Valve Sizing'!$G$8/AG2767)</f>
        <v>3511.9045240874816</v>
      </c>
      <c r="AH2769" s="111"/>
      <c r="AI2769" s="28"/>
      <c r="AJ2769" s="96">
        <f ca="1">(AJ2762/(N_9*AJ$27*AJ2764*AJ2768))*SQRT(M*'Valve Sizing'!$W$6*'Valve Sizing'!$G$8/AJ2767)</f>
        <v>-546.06598693729484</v>
      </c>
      <c r="AK2769" s="111"/>
      <c r="AL2769" s="28"/>
      <c r="AM2769" s="96">
        <f ca="1">(AM2762/(N_9*AM$27*AM2764*AM2768))*SQRT(M*'Valve Sizing'!$W$6*'Valve Sizing'!$G$8/AM2767)</f>
        <v>-461.28195302445374</v>
      </c>
      <c r="AN2769" s="111"/>
      <c r="AO2769" s="28"/>
      <c r="AP2769" s="96">
        <f ca="1">(AP2762/(N_9*AP$27*AP2764*AP2768))*SQRT(M*'Valve Sizing'!$W$6*'Valve Sizing'!$G$8/AP2767)</f>
        <v>-210.22087532676952</v>
      </c>
      <c r="AQ2769" s="111"/>
      <c r="AR2769" s="28"/>
      <c r="AS2769" s="96">
        <f ca="1">(AS2762/(N_9*AS$27*AS2764*AS2768))*SQRT(M*'Valve Sizing'!$W$6*'Valve Sizing'!$G$8/AS2767)</f>
        <v>-2063.448847515298</v>
      </c>
      <c r="AT2769" s="111"/>
      <c r="AU2769" s="28"/>
    </row>
    <row r="2770" spans="15:47" x14ac:dyDescent="0.25">
      <c r="O2770" s="2" t="s">
        <v>59</v>
      </c>
      <c r="P2770" s="143">
        <v>7</v>
      </c>
      <c r="Q2770" s="2"/>
      <c r="R2770" s="96">
        <f ca="1">(R2762/(N_9*R$27*R2764*0.667))*SQRT(M*'Valve Sizing'!$W$6*'Valve Sizing'!$G$8/R2771)</f>
        <v>5.4783175351416267</v>
      </c>
      <c r="S2770" s="107"/>
      <c r="T2770" s="22"/>
      <c r="U2770" s="96">
        <f ca="1">(U2762/(N_9*U$27*U2764*0.667))*SQRT(M*'Valve Sizing'!$W$6*'Valve Sizing'!$G$8/U2771)</f>
        <v>29.882434236444915</v>
      </c>
      <c r="V2770" s="111"/>
      <c r="W2770" s="28"/>
      <c r="X2770" s="96">
        <f ca="1">(X2762/(N_9*X$27*X2764*0.667))*SQRT(M*'Valve Sizing'!$W$6*'Valve Sizing'!$G$8/X2771)</f>
        <v>79.062977469509534</v>
      </c>
      <c r="Y2770" s="111"/>
      <c r="Z2770" s="28"/>
      <c r="AA2770" s="96">
        <f ca="1">(AA2762/(N_9*AA$27*AA2764*0.667))*SQRT(M*'Valve Sizing'!$W$6*'Valve Sizing'!$G$8/AA2771)</f>
        <v>206.50046364247791</v>
      </c>
      <c r="AB2770" s="111"/>
      <c r="AC2770" s="28"/>
      <c r="AD2770" s="96">
        <f ca="1">(AD2762/(N_9*AD$27*AD2764*0.667))*SQRT(M*'Valve Sizing'!$W$6*'Valve Sizing'!$G$8/AD2771)</f>
        <v>1761.1582193097465</v>
      </c>
      <c r="AE2770" s="111"/>
      <c r="AF2770" s="28"/>
      <c r="AG2770" s="96">
        <f ca="1">(AG2762/(N_9*AG$27*AG2764*0.667))*SQRT(M*'Valve Sizing'!$W$6*'Valve Sizing'!$G$8/AG2771)</f>
        <v>-457.39027396773417</v>
      </c>
      <c r="AH2770" s="111"/>
      <c r="AI2770" s="28"/>
      <c r="AJ2770" s="96">
        <f ca="1">(AJ2762/(N_9*AJ$27*AJ2764*0.667))*SQRT(M*'Valve Sizing'!$W$6*'Valve Sizing'!$G$8/AJ2771)</f>
        <v>-241.12506045368718</v>
      </c>
      <c r="AK2770" s="111"/>
      <c r="AL2770" s="28"/>
      <c r="AM2770" s="96">
        <f ca="1">(AM2762/(N_9*AM$27*AM2764*0.667))*SQRT(M*'Valve Sizing'!$W$6*'Valve Sizing'!$G$8/AM2771)</f>
        <v>-193.58728081258121</v>
      </c>
      <c r="AN2770" s="111"/>
      <c r="AO2770" s="28"/>
      <c r="AP2770" s="96">
        <f ca="1">(AP2762/(N_9*AP$27*AP2764*0.667))*SQRT(M*'Valve Sizing'!$W$6*'Valve Sizing'!$G$8/AP2771)</f>
        <v>-159.64495817946508</v>
      </c>
      <c r="AQ2770" s="111"/>
      <c r="AR2770" s="28"/>
      <c r="AS2770" s="96">
        <f ca="1">(AS2762/(N_9*AS$27*AS2764*0.667))*SQRT(M*'Valve Sizing'!$W$6*'Valve Sizing'!$G$8/AS2771)</f>
        <v>-217.6202612991481</v>
      </c>
      <c r="AT2770" s="111"/>
      <c r="AU2770" s="28"/>
    </row>
    <row r="2771" spans="15:47" ht="15.6" x14ac:dyDescent="0.35">
      <c r="O2771" s="2" t="s">
        <v>68</v>
      </c>
      <c r="P2771" s="143">
        <v>10</v>
      </c>
      <c r="Q2771" s="2"/>
      <c r="R2771" s="96">
        <f ca="1">F_GAMMA*R$29</f>
        <v>0.64002969751372984</v>
      </c>
      <c r="S2771" s="107"/>
      <c r="T2771" s="1"/>
      <c r="U2771" s="96">
        <f ca="1">F_GAMMA*U$29</f>
        <v>0.64017842058782071</v>
      </c>
      <c r="V2771" s="111"/>
      <c r="W2771" s="28"/>
      <c r="X2771" s="96">
        <f ca="1">F_GAMMA*X$29</f>
        <v>0.63413873724904268</v>
      </c>
      <c r="Y2771" s="111"/>
      <c r="Z2771" s="28"/>
      <c r="AA2771" s="96">
        <f ca="1">F_GAMMA*AA$29</f>
        <v>0.62532411750377137</v>
      </c>
      <c r="AB2771" s="111"/>
      <c r="AC2771" s="28"/>
      <c r="AD2771" s="96">
        <f ca="1">F_GAMMA*AD$29</f>
        <v>0.60651359509139569</v>
      </c>
      <c r="AE2771" s="111"/>
      <c r="AF2771" s="28"/>
      <c r="AG2771" s="96">
        <f ca="1">F_GAMMA*AG$29</f>
        <v>0.57217930198481592</v>
      </c>
      <c r="AH2771" s="111"/>
      <c r="AI2771" s="28"/>
      <c r="AJ2771" s="96">
        <f ca="1">F_GAMMA*AJ$29</f>
        <v>0.53183282018848232</v>
      </c>
      <c r="AK2771" s="111"/>
      <c r="AL2771" s="28"/>
      <c r="AM2771" s="96">
        <f ca="1">F_GAMMA*AM$29</f>
        <v>0.47566512503094399</v>
      </c>
      <c r="AN2771" s="111"/>
      <c r="AO2771" s="28"/>
      <c r="AP2771" s="96">
        <f ca="1">F_GAMMA*AP$29</f>
        <v>0.59054158265645496</v>
      </c>
      <c r="AQ2771" s="111"/>
      <c r="AR2771" s="28"/>
      <c r="AS2771" s="96">
        <f ca="1">F_GAMMA*AS$29</f>
        <v>0.3766899554102966</v>
      </c>
      <c r="AT2771" s="111"/>
      <c r="AU2771" s="28"/>
    </row>
    <row r="2772" spans="15:47" x14ac:dyDescent="0.25">
      <c r="O2772" s="2" t="s">
        <v>145</v>
      </c>
      <c r="P2772" s="12"/>
      <c r="Q2772" s="2"/>
      <c r="R2772" s="96">
        <f ca="1">IF(R2767&lt;R2771,R2769,R2770)</f>
        <v>6.1213342294933453</v>
      </c>
      <c r="S2772" s="116"/>
      <c r="T2772" s="1"/>
      <c r="U2772" s="96">
        <f ca="1">IF(U2767&lt;U2771,U2769,U2770)</f>
        <v>33.651973637572269</v>
      </c>
      <c r="V2772" s="111"/>
      <c r="W2772" s="28"/>
      <c r="X2772" s="96">
        <f ca="1">IF(X2767&lt;X2771,X2769,X2770)</f>
        <v>93.448526013254607</v>
      </c>
      <c r="Y2772" s="111"/>
      <c r="Z2772" s="28"/>
      <c r="AA2772" s="96">
        <f ca="1">IF(AA2767&lt;AA2771,AA2769,AA2770)</f>
        <v>542.34160890035162</v>
      </c>
      <c r="AB2772" s="111"/>
      <c r="AC2772" s="28"/>
      <c r="AD2772" s="96" t="e">
        <f ca="1">IF(AD2767&lt;AD2771,AD2769,AD2770)</f>
        <v>#NUM!</v>
      </c>
      <c r="AE2772" s="111"/>
      <c r="AF2772" s="28"/>
      <c r="AG2772" s="96">
        <f ca="1">IF(AG2767&lt;AG2771,AG2769,AG2770)</f>
        <v>-457.39027396773417</v>
      </c>
      <c r="AH2772" s="111"/>
      <c r="AI2772" s="28"/>
      <c r="AJ2772" s="96">
        <f ca="1">IF(AJ2767&lt;AJ2771,AJ2769,AJ2770)</f>
        <v>-241.12506045368718</v>
      </c>
      <c r="AK2772" s="111"/>
      <c r="AL2772" s="28"/>
      <c r="AM2772" s="96">
        <f ca="1">IF(AM2767&lt;AM2771,AM2769,AM2770)</f>
        <v>-193.58728081258121</v>
      </c>
      <c r="AN2772" s="111"/>
      <c r="AO2772" s="28"/>
      <c r="AP2772" s="96">
        <f ca="1">IF(AP2767&lt;AP2771,AP2769,AP2770)</f>
        <v>-159.64495817946508</v>
      </c>
      <c r="AQ2772" s="111"/>
      <c r="AR2772" s="28"/>
      <c r="AS2772" s="96">
        <f ca="1">IF(AS2767&lt;AS2771,AS2769,AS2770)</f>
        <v>-217.6202612991481</v>
      </c>
      <c r="AT2772" s="111"/>
      <c r="AU2772" s="28"/>
    </row>
    <row r="2773" spans="15:47" x14ac:dyDescent="0.25">
      <c r="O2773" s="13" t="s">
        <v>143</v>
      </c>
      <c r="P2773" s="1"/>
      <c r="Q2773" s="1"/>
      <c r="R2773" s="113"/>
      <c r="S2773" s="106">
        <f ca="1">IF(R2766&lt;=0,Q_max,ABS(R$23-R2772))</f>
        <v>1.3913342294933448</v>
      </c>
      <c r="T2773" s="7">
        <f>R2762</f>
        <v>15146.774405739428</v>
      </c>
      <c r="U2773" s="98"/>
      <c r="V2773" s="106">
        <f ca="1">IF(U2766&lt;=0,Q_max,ABS(U$23-U2772))</f>
        <v>22.051973637572267</v>
      </c>
      <c r="W2773" s="9">
        <f ca="1">U2762</f>
        <v>81505.292785530095</v>
      </c>
      <c r="X2773" s="98"/>
      <c r="Y2773" s="106">
        <f ca="1">IF(X2766&lt;=0,Q_max,ABS(X$23-X2772))</f>
        <v>70.448526013254607</v>
      </c>
      <c r="Z2773" s="9">
        <f ca="1">X2762</f>
        <v>199576.52307144023</v>
      </c>
      <c r="AA2773" s="98"/>
      <c r="AB2773" s="106">
        <f ca="1">IF(AA2766&lt;=0,Q_max,ABS(AA$23-AA2772))</f>
        <v>502.94160890035164</v>
      </c>
      <c r="AC2773" s="9">
        <f ca="1">AA2762</f>
        <v>388724.12595104007</v>
      </c>
      <c r="AD2773" s="98"/>
      <c r="AE2773" s="106">
        <f ca="1">IF(AD2766&lt;=0,Q_max,ABS(AD$23-AD2772))</f>
        <v>236393</v>
      </c>
      <c r="AF2773" s="9">
        <f ca="1">AD2762</f>
        <v>652158.15961342619</v>
      </c>
      <c r="AG2773" s="98"/>
      <c r="AH2773" s="106">
        <f ca="1">IF(AG2766&lt;=0,Q_max,ABS(AG$23-AG2772))</f>
        <v>236393</v>
      </c>
      <c r="AI2773" s="9">
        <f ca="1">AG2762</f>
        <v>951842.59622788825</v>
      </c>
      <c r="AJ2773" s="98"/>
      <c r="AK2773" s="106">
        <f ca="1">IF(AJ2766&lt;=0,Q_max,ABS(AJ$23-AJ2772))</f>
        <v>236393</v>
      </c>
      <c r="AL2773" s="9">
        <f ca="1">AJ2762</f>
        <v>1270237.634547937</v>
      </c>
      <c r="AM2773" s="98"/>
      <c r="AN2773" s="106">
        <f ca="1">IF(AM2766&lt;=0,Q_max,ABS(AM$23-AM2772))</f>
        <v>236393</v>
      </c>
      <c r="AO2773" s="9">
        <f ca="1">AM2762</f>
        <v>1549931.3100424581</v>
      </c>
      <c r="AP2773" s="98"/>
      <c r="AQ2773" s="106">
        <f ca="1">IF(AP2766&lt;=0,Q_max,ABS(AP$23-AP2772))</f>
        <v>236393</v>
      </c>
      <c r="AR2773" s="9">
        <f ca="1">AP2762</f>
        <v>1799422.1339152462</v>
      </c>
      <c r="AS2773" s="98"/>
      <c r="AT2773" s="106">
        <f ca="1">IF(AS2766&lt;=0,Q_max,ABS(AS$23-AS2772))</f>
        <v>236393</v>
      </c>
      <c r="AU2773" s="9">
        <f ca="1">AS2762</f>
        <v>2109963.9674320496</v>
      </c>
    </row>
    <row r="2774" spans="15:47" x14ac:dyDescent="0.25">
      <c r="O2774" s="21"/>
      <c r="P2774" s="14"/>
      <c r="Q2774" s="21"/>
      <c r="R2774" s="97"/>
      <c r="S2774" s="106"/>
      <c r="T2774" s="28"/>
      <c r="U2774" s="97"/>
      <c r="V2774" s="111"/>
      <c r="W2774" s="28"/>
      <c r="X2774" s="97"/>
      <c r="Y2774" s="111"/>
      <c r="Z2774" s="28"/>
      <c r="AA2774" s="97"/>
      <c r="AB2774" s="111"/>
      <c r="AC2774" s="28"/>
      <c r="AD2774" s="97"/>
      <c r="AE2774" s="111"/>
      <c r="AF2774" s="28"/>
      <c r="AG2774" s="97"/>
      <c r="AH2774" s="111"/>
      <c r="AI2774" s="28"/>
      <c r="AJ2774" s="97"/>
      <c r="AK2774" s="111"/>
      <c r="AL2774" s="28"/>
      <c r="AM2774" s="97"/>
      <c r="AN2774" s="111"/>
      <c r="AO2774" s="28"/>
      <c r="AP2774" s="97"/>
      <c r="AQ2774" s="111"/>
      <c r="AR2774" s="28"/>
      <c r="AS2774" s="97"/>
      <c r="AT2774" s="111"/>
      <c r="AU2774" s="28"/>
    </row>
    <row r="2775" spans="15:47" x14ac:dyDescent="0.25">
      <c r="O2775" s="1"/>
      <c r="P2775" s="1"/>
      <c r="Q2775" s="1"/>
      <c r="R2775" s="98"/>
      <c r="S2775" s="108" t="s">
        <v>137</v>
      </c>
      <c r="T2775" s="26" t="s">
        <v>146</v>
      </c>
      <c r="U2775" s="98"/>
      <c r="V2775" s="108" t="s">
        <v>137</v>
      </c>
      <c r="W2775" s="26" t="s">
        <v>146</v>
      </c>
      <c r="X2775" s="98"/>
      <c r="Y2775" s="108" t="s">
        <v>137</v>
      </c>
      <c r="Z2775" s="26" t="s">
        <v>146</v>
      </c>
      <c r="AA2775" s="98"/>
      <c r="AB2775" s="108" t="s">
        <v>137</v>
      </c>
      <c r="AC2775" s="26" t="s">
        <v>146</v>
      </c>
      <c r="AD2775" s="98"/>
      <c r="AE2775" s="108" t="s">
        <v>137</v>
      </c>
      <c r="AF2775" s="26" t="s">
        <v>146</v>
      </c>
      <c r="AG2775" s="98"/>
      <c r="AH2775" s="108" t="s">
        <v>137</v>
      </c>
      <c r="AI2775" s="26" t="s">
        <v>146</v>
      </c>
      <c r="AJ2775" s="98"/>
      <c r="AK2775" s="108" t="s">
        <v>137</v>
      </c>
      <c r="AL2775" s="26" t="s">
        <v>146</v>
      </c>
      <c r="AM2775" s="98"/>
      <c r="AN2775" s="108" t="s">
        <v>137</v>
      </c>
      <c r="AO2775" s="26" t="s">
        <v>146</v>
      </c>
      <c r="AP2775" s="98"/>
      <c r="AQ2775" s="108" t="s">
        <v>137</v>
      </c>
      <c r="AR2775" s="26" t="s">
        <v>146</v>
      </c>
      <c r="AS2775" s="98"/>
      <c r="AT2775" s="108" t="s">
        <v>137</v>
      </c>
      <c r="AU2775" s="26" t="s">
        <v>146</v>
      </c>
    </row>
    <row r="2776" spans="15:47" ht="13.8" x14ac:dyDescent="0.25">
      <c r="O2776" s="20" t="s">
        <v>136</v>
      </c>
      <c r="P2776" s="1"/>
      <c r="Q2776" s="1"/>
      <c r="R2776" s="96">
        <f>R2762*1.02</f>
        <v>15449.709893854217</v>
      </c>
      <c r="S2776" s="109" t="s">
        <v>144</v>
      </c>
      <c r="T2776" s="23" t="s">
        <v>147</v>
      </c>
      <c r="U2776" s="96">
        <f ca="1">U2762*1.01</f>
        <v>82320.345713385395</v>
      </c>
      <c r="V2776" s="109" t="s">
        <v>144</v>
      </c>
      <c r="W2776" s="23" t="s">
        <v>147</v>
      </c>
      <c r="X2776" s="96">
        <f ca="1">X2762*1.01</f>
        <v>201572.28830215463</v>
      </c>
      <c r="Y2776" s="109" t="s">
        <v>144</v>
      </c>
      <c r="Z2776" s="23" t="s">
        <v>147</v>
      </c>
      <c r="AA2776" s="96">
        <f ca="1">AA2762*1.01</f>
        <v>392611.36721055047</v>
      </c>
      <c r="AB2776" s="109" t="s">
        <v>144</v>
      </c>
      <c r="AC2776" s="23" t="s">
        <v>147</v>
      </c>
      <c r="AD2776" s="96">
        <f ca="1">AD2762*1.01</f>
        <v>658679.74120956042</v>
      </c>
      <c r="AE2776" s="109" t="s">
        <v>144</v>
      </c>
      <c r="AF2776" s="23" t="s">
        <v>147</v>
      </c>
      <c r="AG2776" s="96">
        <f ca="1">AG2762*1.01</f>
        <v>961361.0221901671</v>
      </c>
      <c r="AH2776" s="109" t="s">
        <v>144</v>
      </c>
      <c r="AI2776" s="23" t="s">
        <v>147</v>
      </c>
      <c r="AJ2776" s="96">
        <f ca="1">AJ2762*1.01</f>
        <v>1282940.0108934164</v>
      </c>
      <c r="AK2776" s="109" t="s">
        <v>144</v>
      </c>
      <c r="AL2776" s="23" t="s">
        <v>147</v>
      </c>
      <c r="AM2776" s="96">
        <f ca="1">AM2762*1.01</f>
        <v>1565430.6231428827</v>
      </c>
      <c r="AN2776" s="109" t="s">
        <v>144</v>
      </c>
      <c r="AO2776" s="23" t="s">
        <v>147</v>
      </c>
      <c r="AP2776" s="96">
        <f ca="1">AP2762*1.01</f>
        <v>1817416.3552543987</v>
      </c>
      <c r="AQ2776" s="109" t="s">
        <v>144</v>
      </c>
      <c r="AR2776" s="23" t="s">
        <v>147</v>
      </c>
      <c r="AS2776" s="96">
        <f ca="1">AS2762*1.01</f>
        <v>2131063.6071063699</v>
      </c>
      <c r="AT2776" s="109" t="s">
        <v>144</v>
      </c>
      <c r="AU2776" s="23" t="s">
        <v>147</v>
      </c>
    </row>
    <row r="2777" spans="15:47" x14ac:dyDescent="0.25">
      <c r="O2777" s="1"/>
      <c r="P2777" s="1"/>
      <c r="Q2777" s="1"/>
      <c r="R2777" s="98"/>
      <c r="S2777" s="107"/>
      <c r="T2777" s="1"/>
      <c r="U2777" s="47"/>
      <c r="V2777" s="107"/>
      <c r="W2777" s="1"/>
      <c r="X2777" s="47"/>
      <c r="Y2777" s="107"/>
      <c r="Z2777" s="1"/>
      <c r="AA2777" s="47"/>
      <c r="AB2777" s="107"/>
      <c r="AC2777" s="1"/>
      <c r="AD2777" s="47"/>
      <c r="AE2777" s="107"/>
      <c r="AF2777" s="1"/>
      <c r="AG2777" s="47"/>
      <c r="AH2777" s="107"/>
      <c r="AI2777" s="1"/>
      <c r="AJ2777" s="47"/>
      <c r="AK2777" s="107"/>
      <c r="AL2777" s="1"/>
      <c r="AM2777" s="47"/>
      <c r="AN2777" s="107"/>
      <c r="AO2777" s="1"/>
      <c r="AP2777" s="47"/>
      <c r="AQ2777" s="107"/>
      <c r="AR2777" s="1"/>
      <c r="AS2777" s="47"/>
      <c r="AT2777" s="107"/>
      <c r="AU2777" s="1"/>
    </row>
    <row r="2778" spans="15:47" x14ac:dyDescent="0.25">
      <c r="O2778" s="8" t="s">
        <v>132</v>
      </c>
      <c r="P2778" s="8"/>
      <c r="Q2778" s="8"/>
      <c r="R2778" s="96">
        <f>P_1_minQ-(R2776^2*R_up)+dpup_minQ</f>
        <v>90.141536028922062</v>
      </c>
      <c r="S2778" s="106"/>
      <c r="T2778" s="22"/>
      <c r="U2778" s="96">
        <f ca="1">P_1_minQ-(U2776^2*R_up)+dpup_minQ</f>
        <v>88.949924073208066</v>
      </c>
      <c r="V2778" s="107"/>
      <c r="W2778" s="1"/>
      <c r="X2778" s="96">
        <f ca="1">P_1_minQ-(X2776^2*R_up)+dpup_minQ</f>
        <v>82.779526837295307</v>
      </c>
      <c r="Y2778" s="107"/>
      <c r="Z2778" s="1"/>
      <c r="AA2778" s="96">
        <f ca="1">P_1_minQ-(AA2776^2*R_up)+dpup_minQ</f>
        <v>62.090671925434108</v>
      </c>
      <c r="AB2778" s="107"/>
      <c r="AC2778" s="1"/>
      <c r="AD2778" s="96">
        <f ca="1">P_1_minQ-(AD2776^2*R_up)+dpup_minQ</f>
        <v>11.109503587735047</v>
      </c>
      <c r="AE2778" s="107"/>
      <c r="AF2778" s="1"/>
      <c r="AG2778" s="96">
        <f ca="1">P_1_minQ-(AG2776^2*R_up)+dpup_minQ</f>
        <v>-78.263230246917288</v>
      </c>
      <c r="AH2778" s="107"/>
      <c r="AI2778" s="1"/>
      <c r="AJ2778" s="96">
        <f ca="1">P_1_minQ-(AJ2776^2*R_up)+dpup_minQ</f>
        <v>-209.80458538849751</v>
      </c>
      <c r="AK2778" s="107"/>
      <c r="AL2778" s="1"/>
      <c r="AM2778" s="96">
        <f ca="1">P_1_minQ-(AM2776^2*R_up)+dpup_minQ</f>
        <v>-356.45863395287284</v>
      </c>
      <c r="AN2778" s="107"/>
      <c r="AO2778" s="1"/>
      <c r="AP2778" s="96">
        <f ca="1">P_1_minQ-(AP2776^2*R_up)+dpup_minQ</f>
        <v>-511.8231516621326</v>
      </c>
      <c r="AQ2778" s="107"/>
      <c r="AR2778" s="1"/>
      <c r="AS2778" s="96">
        <f ca="1">P_1_minQ-(AS2776^2*R_up)+dpup_minQ</f>
        <v>-737.54051172402592</v>
      </c>
      <c r="AT2778" s="107"/>
      <c r="AU2778" s="1"/>
    </row>
    <row r="2779" spans="15:47" x14ac:dyDescent="0.25">
      <c r="O2779" s="8" t="s">
        <v>134</v>
      </c>
      <c r="P2779" s="1"/>
      <c r="Q2779" s="8"/>
      <c r="R2779" s="97">
        <f>P_2_minQ+(R2776^2*R_dn)-dpdn_minQ</f>
        <v>60</v>
      </c>
      <c r="S2779" s="106"/>
      <c r="T2779" s="22"/>
      <c r="U2779" s="97">
        <f ca="1">P_2_minQ+(U2776^2*R_dn)-dpdn_minQ</f>
        <v>60</v>
      </c>
      <c r="V2779" s="107"/>
      <c r="W2779" s="1"/>
      <c r="X2779" s="97">
        <f ca="1">P_2_minQ+(X2776^2*R_dn)-dpdn_minQ</f>
        <v>60</v>
      </c>
      <c r="Y2779" s="107"/>
      <c r="Z2779" s="1"/>
      <c r="AA2779" s="97">
        <f ca="1">P_2_minQ+(AA2776^2*R_dn)-dpdn_minQ</f>
        <v>60</v>
      </c>
      <c r="AB2779" s="107"/>
      <c r="AC2779" s="1"/>
      <c r="AD2779" s="97">
        <f ca="1">P_2_minQ+(AD2776^2*R_dn)-dpdn_minQ</f>
        <v>60</v>
      </c>
      <c r="AE2779" s="107"/>
      <c r="AF2779" s="1"/>
      <c r="AG2779" s="97">
        <f ca="1">P_2_minQ+(AG2776^2*R_dn)-dpdn_minQ</f>
        <v>60</v>
      </c>
      <c r="AH2779" s="107"/>
      <c r="AI2779" s="1"/>
      <c r="AJ2779" s="97">
        <f ca="1">P_2_minQ+(AJ2776^2*R_dn)-dpdn_minQ</f>
        <v>60</v>
      </c>
      <c r="AK2779" s="107"/>
      <c r="AL2779" s="1"/>
      <c r="AM2779" s="97">
        <f ca="1">P_2_minQ+(AM2776^2*R_dn)-dpdn_minQ</f>
        <v>60</v>
      </c>
      <c r="AN2779" s="107"/>
      <c r="AO2779" s="1"/>
      <c r="AP2779" s="97">
        <f ca="1">P_2_minQ+(AP2776^2*R_dn)-dpdn_minQ</f>
        <v>60</v>
      </c>
      <c r="AQ2779" s="107"/>
      <c r="AR2779" s="1"/>
      <c r="AS2779" s="97">
        <f ca="1">P_2_minQ+(AS2776^2*R_dn)-dpdn_minQ</f>
        <v>60</v>
      </c>
      <c r="AT2779" s="107"/>
      <c r="AU2779" s="1"/>
    </row>
    <row r="2780" spans="15:47" x14ac:dyDescent="0.25">
      <c r="O2780" s="8" t="s">
        <v>138</v>
      </c>
      <c r="P2780" s="1"/>
      <c r="Q2780" s="8"/>
      <c r="R2780" s="97">
        <f>R2778-R2779</f>
        <v>30.141536028922062</v>
      </c>
      <c r="S2780" s="106"/>
      <c r="T2780" s="22"/>
      <c r="U2780" s="97">
        <f ca="1">U2778-U2779</f>
        <v>28.949924073208066</v>
      </c>
      <c r="V2780" s="110"/>
      <c r="W2780" s="25"/>
      <c r="X2780" s="97">
        <f ca="1">X2778-X2779</f>
        <v>22.779526837295307</v>
      </c>
      <c r="Y2780" s="110"/>
      <c r="Z2780" s="25"/>
      <c r="AA2780" s="97">
        <f ca="1">AA2778-AA2779</f>
        <v>2.0906719254341084</v>
      </c>
      <c r="AB2780" s="110"/>
      <c r="AC2780" s="25"/>
      <c r="AD2780" s="97">
        <f ca="1">AD2778-AD2779</f>
        <v>-48.890496412264952</v>
      </c>
      <c r="AE2780" s="110"/>
      <c r="AF2780" s="25"/>
      <c r="AG2780" s="97">
        <f ca="1">AG2778-AG2779</f>
        <v>-138.26323024691729</v>
      </c>
      <c r="AH2780" s="110"/>
      <c r="AI2780" s="25"/>
      <c r="AJ2780" s="97">
        <f ca="1">AJ2778-AJ2779</f>
        <v>-269.80458538849751</v>
      </c>
      <c r="AK2780" s="110"/>
      <c r="AL2780" s="25"/>
      <c r="AM2780" s="97">
        <f ca="1">AM2778-AM2779</f>
        <v>-416.45863395287284</v>
      </c>
      <c r="AN2780" s="110"/>
      <c r="AO2780" s="25"/>
      <c r="AP2780" s="97">
        <f ca="1">AP2778-AP2779</f>
        <v>-571.82315166213266</v>
      </c>
      <c r="AQ2780" s="110"/>
      <c r="AR2780" s="25"/>
      <c r="AS2780" s="97">
        <f ca="1">AS2778-AS2779</f>
        <v>-797.54051172402592</v>
      </c>
      <c r="AT2780" s="110"/>
      <c r="AU2780" s="25"/>
    </row>
    <row r="2781" spans="15:47" ht="14.4" x14ac:dyDescent="0.3">
      <c r="O2781" s="2" t="s">
        <v>140</v>
      </c>
      <c r="P2781" s="11"/>
      <c r="Q2781" s="2"/>
      <c r="R2781" s="96">
        <f>R2780/R2778</f>
        <v>0.33438010219008357</v>
      </c>
      <c r="S2781" s="106"/>
      <c r="T2781" s="22"/>
      <c r="U2781" s="96">
        <f ca="1">U2780/U2778</f>
        <v>0.32546316789862056</v>
      </c>
      <c r="V2781" s="111"/>
      <c r="W2781" s="28"/>
      <c r="X2781" s="96">
        <f ca="1">X2780/X2778</f>
        <v>0.27518310031016352</v>
      </c>
      <c r="Y2781" s="111"/>
      <c r="Z2781" s="28"/>
      <c r="AA2781" s="96">
        <f ca="1">AA2780/AA2778</f>
        <v>3.3671272360280412E-2</v>
      </c>
      <c r="AB2781" s="111"/>
      <c r="AC2781" s="28"/>
      <c r="AD2781" s="96">
        <f ca="1">AD2780/AD2778</f>
        <v>-4.4007813694070297</v>
      </c>
      <c r="AE2781" s="111"/>
      <c r="AF2781" s="28"/>
      <c r="AG2781" s="96">
        <f ca="1">AG2780/AG2778</f>
        <v>1.7666435414268291</v>
      </c>
      <c r="AH2781" s="111"/>
      <c r="AI2781" s="28"/>
      <c r="AJ2781" s="96">
        <f ca="1">AJ2780/AJ2778</f>
        <v>1.2859804035688607</v>
      </c>
      <c r="AK2781" s="111"/>
      <c r="AL2781" s="28"/>
      <c r="AM2781" s="96">
        <f ca="1">AM2780/AM2778</f>
        <v>1.1683224763968898</v>
      </c>
      <c r="AN2781" s="111"/>
      <c r="AO2781" s="28"/>
      <c r="AP2781" s="96">
        <f ca="1">AP2780/AP2778</f>
        <v>1.1172279913582486</v>
      </c>
      <c r="AQ2781" s="111"/>
      <c r="AR2781" s="28"/>
      <c r="AS2781" s="96">
        <f ca="1">AS2780/AS2778</f>
        <v>1.0813514634738477</v>
      </c>
      <c r="AT2781" s="111"/>
      <c r="AU2781" s="28"/>
    </row>
    <row r="2782" spans="15:47" x14ac:dyDescent="0.25">
      <c r="O2782" s="2" t="s">
        <v>21</v>
      </c>
      <c r="P2782" s="8">
        <v>12</v>
      </c>
      <c r="Q2782" s="2"/>
      <c r="R2782" s="96">
        <f ca="1">1-R2781/(3*F_GAMMA*R$29)</f>
        <v>0.8258517776654104</v>
      </c>
      <c r="S2782" s="106"/>
      <c r="T2782" s="22"/>
      <c r="U2782" s="96">
        <f ca="1">1-U2781/(3*F_GAMMA*U$29)</f>
        <v>0.83053517715692671</v>
      </c>
      <c r="V2782" s="111"/>
      <c r="W2782" s="28"/>
      <c r="X2782" s="96">
        <f ca="1">1-X2781/(3*F_GAMMA*X$29)</f>
        <v>0.85535073838682085</v>
      </c>
      <c r="Y2782" s="111"/>
      <c r="Z2782" s="28"/>
      <c r="AA2782" s="96">
        <f ca="1">1-AA2781/(3*F_GAMMA*AA$29)</f>
        <v>0.98205129605710573</v>
      </c>
      <c r="AB2782" s="111"/>
      <c r="AC2782" s="28"/>
      <c r="AD2782" s="96">
        <f ca="1">1-AD2781/(3*F_GAMMA*AD$29)</f>
        <v>3.4186219979366252</v>
      </c>
      <c r="AE2782" s="111"/>
      <c r="AF2782" s="28"/>
      <c r="AG2782" s="96">
        <f ca="1">1-AG2781/(3*F_GAMMA*AG$29)</f>
        <v>-2.9189938246380498E-2</v>
      </c>
      <c r="AH2782" s="111"/>
      <c r="AI2782" s="28"/>
      <c r="AJ2782" s="96">
        <f ca="1">1-AJ2781/(3*F_GAMMA*AJ$29)</f>
        <v>0.19399458203606956</v>
      </c>
      <c r="AK2782" s="111"/>
      <c r="AL2782" s="28"/>
      <c r="AM2782" s="96">
        <f ca="1">1-AM2781/(3*F_GAMMA*AM$29)</f>
        <v>0.18127101405574941</v>
      </c>
      <c r="AN2782" s="111"/>
      <c r="AO2782" s="28"/>
      <c r="AP2782" s="96">
        <f ca="1">1-AP2781/(3*F_GAMMA*AP$29)</f>
        <v>0.36937661734584892</v>
      </c>
      <c r="AQ2782" s="111"/>
      <c r="AR2782" s="28"/>
      <c r="AS2782" s="96">
        <f ca="1">1-AS2781/(3*F_GAMMA*AS$29)</f>
        <v>4.3110965271140445E-2</v>
      </c>
      <c r="AT2782" s="111"/>
      <c r="AU2782" s="28"/>
    </row>
    <row r="2783" spans="15:47" x14ac:dyDescent="0.25">
      <c r="O2783" s="2" t="s">
        <v>57</v>
      </c>
      <c r="P2783" s="143">
        <v>7</v>
      </c>
      <c r="Q2783" s="2"/>
      <c r="R2783" s="96">
        <f ca="1">(R2776/(N_9*R$27*R2778*R2782))*SQRT(M*'Valve Sizing'!$W$6*'Valve Sizing'!$G$8/R2781)</f>
        <v>6.2439452720701176</v>
      </c>
      <c r="S2783" s="107"/>
      <c r="T2783" s="22"/>
      <c r="U2783" s="96">
        <f ca="1">(U2776/(N_9*U$27*U2778*U2782))*SQRT(M*'Valve Sizing'!$W$6*'Valve Sizing'!$G$8/U2781)</f>
        <v>34.003494143849927</v>
      </c>
      <c r="V2783" s="111"/>
      <c r="W2783" s="28"/>
      <c r="X2783" s="96">
        <f ca="1">(X2776/(N_9*X$27*X2778*X2782))*SQRT(M*'Valve Sizing'!$W$6*'Valve Sizing'!$G$8/X2781)</f>
        <v>94.693958190434188</v>
      </c>
      <c r="Y2783" s="111"/>
      <c r="Z2783" s="28"/>
      <c r="AA2783" s="96">
        <f ca="1">(AA2776/(N_9*AA$27*AA2778*AA2782))*SQRT(M*'Valve Sizing'!$W$6*'Valve Sizing'!$G$8/AA2781)</f>
        <v>615.90210729357625</v>
      </c>
      <c r="AB2783" s="111"/>
      <c r="AC2783" s="28"/>
      <c r="AD2783" s="96" t="e">
        <f ca="1">(AD2776/(N_9*AD$27*AD2778*AD2782))*SQRT(M*'Valve Sizing'!$W$6*'Valve Sizing'!$G$8/AD2781)</f>
        <v>#NUM!</v>
      </c>
      <c r="AE2783" s="111"/>
      <c r="AF2783" s="28"/>
      <c r="AG2783" s="96">
        <f ca="1">(AG2776/(N_9*AG$27*AG2778*AG2782))*SQRT(M*'Valve Sizing'!$W$6*'Valve Sizing'!$G$8/AG2781)</f>
        <v>5752.7094432444219</v>
      </c>
      <c r="AH2783" s="111"/>
      <c r="AI2783" s="28"/>
      <c r="AJ2783" s="96">
        <f ca="1">(AJ2776/(N_9*AJ$27*AJ2778*AJ2782))*SQRT(M*'Valve Sizing'!$W$6*'Valve Sizing'!$G$8/AJ2781)</f>
        <v>-523.30993091364223</v>
      </c>
      <c r="AK2783" s="111"/>
      <c r="AL2783" s="28"/>
      <c r="AM2783" s="96">
        <f ca="1">(AM2776/(N_9*AM$27*AM2778*AM2782))*SQRT(M*'Valve Sizing'!$W$6*'Valve Sizing'!$G$8/AM2781)</f>
        <v>-447.72158023208669</v>
      </c>
      <c r="AN2783" s="111"/>
      <c r="AO2783" s="28"/>
      <c r="AP2783" s="96">
        <f ca="1">(AP2776/(N_9*AP$27*AP2778*AP2782))*SQRT(M*'Valve Sizing'!$W$6*'Valve Sizing'!$G$8/AP2781)</f>
        <v>-206.77771817942667</v>
      </c>
      <c r="AQ2783" s="111"/>
      <c r="AR2783" s="28"/>
      <c r="AS2783" s="96">
        <f ca="1">(AS2776/(N_9*AS$27*AS2778*AS2782))*SQRT(M*'Valve Sizing'!$W$6*'Valve Sizing'!$G$8/AS2781)</f>
        <v>-1962.7089640244533</v>
      </c>
      <c r="AT2783" s="111"/>
      <c r="AU2783" s="28"/>
    </row>
    <row r="2784" spans="15:47" x14ac:dyDescent="0.25">
      <c r="O2784" s="2" t="s">
        <v>59</v>
      </c>
      <c r="P2784" s="143">
        <v>7</v>
      </c>
      <c r="Q2784" s="2"/>
      <c r="R2784" s="96">
        <f ca="1">(R2776/(N_9*R$27*R2778*0.667))*SQRT(M*'Valve Sizing'!$W$6*'Valve Sizing'!$G$8/R2785)</f>
        <v>5.5879886077739247</v>
      </c>
      <c r="S2784" s="107"/>
      <c r="T2784" s="22"/>
      <c r="U2784" s="96">
        <f ca="1">(U2776/(N_9*U$27*U2778*0.667))*SQRT(M*'Valve Sizing'!$W$6*'Valve Sizing'!$G$8/U2785)</f>
        <v>30.189516162477055</v>
      </c>
      <c r="V2784" s="111"/>
      <c r="W2784" s="28"/>
      <c r="X2784" s="96">
        <f ca="1">(X2776/(N_9*X$27*X2778*0.667))*SQRT(M*'Valve Sizing'!$W$6*'Valve Sizing'!$G$8/X2785)</f>
        <v>79.99436751668992</v>
      </c>
      <c r="Y2784" s="111"/>
      <c r="Z2784" s="28"/>
      <c r="AA2784" s="96">
        <f ca="1">(AA2776/(N_9*AA$27*AA2778*0.667))*SQRT(M*'Valve Sizing'!$W$6*'Valve Sizing'!$G$8/AA2785)</f>
        <v>210.42493594639231</v>
      </c>
      <c r="AB2784" s="111"/>
      <c r="AC2784" s="28"/>
      <c r="AD2784" s="96">
        <f ca="1">(AD2776/(N_9*AD$27*AD2778*0.667))*SQRT(M*'Valve Sizing'!$W$6*'Valve Sizing'!$G$8/AD2785)</f>
        <v>2028.2410805080181</v>
      </c>
      <c r="AE2784" s="111"/>
      <c r="AF2784" s="28"/>
      <c r="AG2784" s="96">
        <f ca="1">(AG2776/(N_9*AG$27*AG2778*0.667))*SQRT(M*'Valve Sizing'!$W$6*'Valve Sizing'!$G$8/AG2785)</f>
        <v>-442.37255452089062</v>
      </c>
      <c r="AH2784" s="111"/>
      <c r="AI2784" s="28"/>
      <c r="AJ2784" s="96">
        <f ca="1">(AJ2776/(N_9*AJ$27*AJ2778*0.667))*SQRT(M*'Valve Sizing'!$W$6*'Valve Sizing'!$G$8/AJ2785)</f>
        <v>-236.67498127271415</v>
      </c>
      <c r="AK2784" s="111"/>
      <c r="AL2784" s="28"/>
      <c r="AM2784" s="96">
        <f ca="1">(AM2776/(N_9*AM$27*AM2778*0.667))*SQRT(M*'Valve Sizing'!$W$6*'Valve Sizing'!$G$8/AM2785)</f>
        <v>-190.69586181231031</v>
      </c>
      <c r="AN2784" s="111"/>
      <c r="AO2784" s="28"/>
      <c r="AP2784" s="96">
        <f ca="1">(AP2776/(N_9*AP$27*AP2778*0.667))*SQRT(M*'Valve Sizing'!$W$6*'Valve Sizing'!$G$8/AP2785)</f>
        <v>-157.50450010895898</v>
      </c>
      <c r="AQ2784" s="111"/>
      <c r="AR2784" s="28"/>
      <c r="AS2784" s="96">
        <f ca="1">(AS2776/(N_9*AS$27*AS2778*0.667))*SQRT(M*'Valve Sizing'!$W$6*'Valve Sizing'!$G$8/AS2785)</f>
        <v>-214.93603614767383</v>
      </c>
      <c r="AT2784" s="111"/>
      <c r="AU2784" s="28"/>
    </row>
    <row r="2785" spans="15:47" ht="15.6" x14ac:dyDescent="0.35">
      <c r="O2785" s="2" t="s">
        <v>68</v>
      </c>
      <c r="P2785" s="143">
        <v>10</v>
      </c>
      <c r="Q2785" s="2"/>
      <c r="R2785" s="96">
        <f ca="1">F_GAMMA*R$29</f>
        <v>0.64002969751372984</v>
      </c>
      <c r="S2785" s="107"/>
      <c r="T2785" s="1"/>
      <c r="U2785" s="96">
        <f ca="1">F_GAMMA*U$29</f>
        <v>0.64017842058782071</v>
      </c>
      <c r="V2785" s="111"/>
      <c r="W2785" s="28"/>
      <c r="X2785" s="96">
        <f ca="1">F_GAMMA*X$29</f>
        <v>0.63413873724904268</v>
      </c>
      <c r="Y2785" s="111"/>
      <c r="Z2785" s="28"/>
      <c r="AA2785" s="96">
        <f ca="1">F_GAMMA*AA$29</f>
        <v>0.62532411750377137</v>
      </c>
      <c r="AB2785" s="111"/>
      <c r="AC2785" s="28"/>
      <c r="AD2785" s="96">
        <f ca="1">F_GAMMA*AD$29</f>
        <v>0.60651359509139569</v>
      </c>
      <c r="AE2785" s="111"/>
      <c r="AF2785" s="28"/>
      <c r="AG2785" s="96">
        <f ca="1">F_GAMMA*AG$29</f>
        <v>0.57217930198481592</v>
      </c>
      <c r="AH2785" s="111"/>
      <c r="AI2785" s="28"/>
      <c r="AJ2785" s="96">
        <f ca="1">F_GAMMA*AJ$29</f>
        <v>0.53183282018848232</v>
      </c>
      <c r="AK2785" s="111"/>
      <c r="AL2785" s="28"/>
      <c r="AM2785" s="96">
        <f ca="1">F_GAMMA*AM$29</f>
        <v>0.47566512503094399</v>
      </c>
      <c r="AN2785" s="111"/>
      <c r="AO2785" s="28"/>
      <c r="AP2785" s="96">
        <f ca="1">F_GAMMA*AP$29</f>
        <v>0.59054158265645496</v>
      </c>
      <c r="AQ2785" s="111"/>
      <c r="AR2785" s="28"/>
      <c r="AS2785" s="96">
        <f ca="1">F_GAMMA*AS$29</f>
        <v>0.3766899554102966</v>
      </c>
      <c r="AT2785" s="111"/>
      <c r="AU2785" s="28"/>
    </row>
    <row r="2786" spans="15:47" x14ac:dyDescent="0.25">
      <c r="O2786" s="2" t="s">
        <v>145</v>
      </c>
      <c r="P2786" s="12"/>
      <c r="Q2786" s="2"/>
      <c r="R2786" s="96">
        <f ca="1">IF(R2781&lt;R2785,R2783,R2784)</f>
        <v>6.2439452720701176</v>
      </c>
      <c r="S2786" s="116"/>
      <c r="T2786" s="1"/>
      <c r="U2786" s="96">
        <f ca="1">IF(U2781&lt;U2785,U2783,U2784)</f>
        <v>34.003494143849927</v>
      </c>
      <c r="V2786" s="111"/>
      <c r="W2786" s="28"/>
      <c r="X2786" s="96">
        <f ca="1">IF(X2781&lt;X2785,X2783,X2784)</f>
        <v>94.693958190434188</v>
      </c>
      <c r="Y2786" s="111"/>
      <c r="Z2786" s="28"/>
      <c r="AA2786" s="96">
        <f ca="1">IF(AA2781&lt;AA2785,AA2783,AA2784)</f>
        <v>615.90210729357625</v>
      </c>
      <c r="AB2786" s="111"/>
      <c r="AC2786" s="28"/>
      <c r="AD2786" s="96" t="e">
        <f ca="1">IF(AD2781&lt;AD2785,AD2783,AD2784)</f>
        <v>#NUM!</v>
      </c>
      <c r="AE2786" s="111"/>
      <c r="AF2786" s="28"/>
      <c r="AG2786" s="96">
        <f ca="1">IF(AG2781&lt;AG2785,AG2783,AG2784)</f>
        <v>-442.37255452089062</v>
      </c>
      <c r="AH2786" s="111"/>
      <c r="AI2786" s="28"/>
      <c r="AJ2786" s="96">
        <f ca="1">IF(AJ2781&lt;AJ2785,AJ2783,AJ2784)</f>
        <v>-236.67498127271415</v>
      </c>
      <c r="AK2786" s="111"/>
      <c r="AL2786" s="28"/>
      <c r="AM2786" s="96">
        <f ca="1">IF(AM2781&lt;AM2785,AM2783,AM2784)</f>
        <v>-190.69586181231031</v>
      </c>
      <c r="AN2786" s="111"/>
      <c r="AO2786" s="28"/>
      <c r="AP2786" s="96">
        <f ca="1">IF(AP2781&lt;AP2785,AP2783,AP2784)</f>
        <v>-157.50450010895898</v>
      </c>
      <c r="AQ2786" s="111"/>
      <c r="AR2786" s="28"/>
      <c r="AS2786" s="96">
        <f ca="1">IF(AS2781&lt;AS2785,AS2783,AS2784)</f>
        <v>-214.93603614767383</v>
      </c>
      <c r="AT2786" s="111"/>
      <c r="AU2786" s="28"/>
    </row>
    <row r="2787" spans="15:47" x14ac:dyDescent="0.25">
      <c r="O2787" s="13" t="s">
        <v>143</v>
      </c>
      <c r="P2787" s="1"/>
      <c r="Q2787" s="1"/>
      <c r="R2787" s="113"/>
      <c r="S2787" s="106">
        <f ca="1">IF(R2780&lt;=0,Q_max,ABS(R$23-R2786))</f>
        <v>1.5139452720701172</v>
      </c>
      <c r="T2787" s="7">
        <f>R2776</f>
        <v>15449.709893854217</v>
      </c>
      <c r="U2787" s="98"/>
      <c r="V2787" s="106">
        <f ca="1">IF(U2780&lt;=0,Q_max,ABS(U$23-U2786))</f>
        <v>22.403494143849926</v>
      </c>
      <c r="W2787" s="9">
        <f ca="1">U2776</f>
        <v>82320.345713385395</v>
      </c>
      <c r="X2787" s="98"/>
      <c r="Y2787" s="106">
        <f ca="1">IF(X2780&lt;=0,Q_max,ABS(X$23-X2786))</f>
        <v>71.693958190434188</v>
      </c>
      <c r="Z2787" s="9">
        <f ca="1">X2776</f>
        <v>201572.28830215463</v>
      </c>
      <c r="AA2787" s="98"/>
      <c r="AB2787" s="106">
        <f ca="1">IF(AA2780&lt;=0,Q_max,ABS(AA$23-AA2786))</f>
        <v>576.50210729357627</v>
      </c>
      <c r="AC2787" s="9">
        <f ca="1">AA2776</f>
        <v>392611.36721055047</v>
      </c>
      <c r="AD2787" s="98"/>
      <c r="AE2787" s="106">
        <f ca="1">IF(AD2780&lt;=0,Q_max,ABS(AD$23-AD2786))</f>
        <v>236393</v>
      </c>
      <c r="AF2787" s="9">
        <f ca="1">AD2776</f>
        <v>658679.74120956042</v>
      </c>
      <c r="AG2787" s="98"/>
      <c r="AH2787" s="106">
        <f ca="1">IF(AG2780&lt;=0,Q_max,ABS(AG$23-AG2786))</f>
        <v>236393</v>
      </c>
      <c r="AI2787" s="9">
        <f ca="1">AG2776</f>
        <v>961361.0221901671</v>
      </c>
      <c r="AJ2787" s="98"/>
      <c r="AK2787" s="106">
        <f ca="1">IF(AJ2780&lt;=0,Q_max,ABS(AJ$23-AJ2786))</f>
        <v>236393</v>
      </c>
      <c r="AL2787" s="9">
        <f ca="1">AJ2776</f>
        <v>1282940.0108934164</v>
      </c>
      <c r="AM2787" s="98"/>
      <c r="AN2787" s="106">
        <f ca="1">IF(AM2780&lt;=0,Q_max,ABS(AM$23-AM2786))</f>
        <v>236393</v>
      </c>
      <c r="AO2787" s="9">
        <f ca="1">AM2776</f>
        <v>1565430.6231428827</v>
      </c>
      <c r="AP2787" s="98"/>
      <c r="AQ2787" s="106">
        <f ca="1">IF(AP2780&lt;=0,Q_max,ABS(AP$23-AP2786))</f>
        <v>236393</v>
      </c>
      <c r="AR2787" s="9">
        <f ca="1">AP2776</f>
        <v>1817416.3552543987</v>
      </c>
      <c r="AS2787" s="98"/>
      <c r="AT2787" s="106">
        <f ca="1">IF(AS2780&lt;=0,Q_max,ABS(AS$23-AS2786))</f>
        <v>236393</v>
      </c>
      <c r="AU2787" s="9">
        <f ca="1">AS2776</f>
        <v>2131063.6071063699</v>
      </c>
    </row>
    <row r="2788" spans="15:47" x14ac:dyDescent="0.25">
      <c r="O2788" s="21"/>
      <c r="P2788" s="14"/>
      <c r="Q2788" s="21"/>
      <c r="R2788" s="97"/>
      <c r="S2788" s="106"/>
      <c r="T2788" s="28"/>
      <c r="U2788" s="99"/>
      <c r="V2788" s="110"/>
      <c r="W2788" s="25"/>
      <c r="X2788" s="99"/>
      <c r="Y2788" s="110"/>
      <c r="Z2788" s="25"/>
      <c r="AA2788" s="99"/>
      <c r="AB2788" s="110"/>
      <c r="AC2788" s="25"/>
      <c r="AD2788" s="99"/>
      <c r="AE2788" s="110"/>
      <c r="AF2788" s="25"/>
      <c r="AG2788" s="99"/>
      <c r="AH2788" s="110"/>
      <c r="AI2788" s="25"/>
      <c r="AJ2788" s="99"/>
      <c r="AK2788" s="110"/>
      <c r="AL2788" s="25"/>
      <c r="AM2788" s="99"/>
      <c r="AN2788" s="110"/>
      <c r="AO2788" s="25"/>
      <c r="AP2788" s="99"/>
      <c r="AQ2788" s="110"/>
      <c r="AR2788" s="25"/>
      <c r="AS2788" s="99"/>
      <c r="AT2788" s="110"/>
      <c r="AU2788" s="25"/>
    </row>
    <row r="2789" spans="15:47" x14ac:dyDescent="0.25">
      <c r="O2789" s="1"/>
      <c r="P2789" s="1"/>
      <c r="Q2789" s="1"/>
      <c r="R2789" s="98"/>
      <c r="S2789" s="108" t="s">
        <v>137</v>
      </c>
      <c r="T2789" s="26" t="s">
        <v>146</v>
      </c>
      <c r="U2789" s="98"/>
      <c r="V2789" s="108" t="s">
        <v>137</v>
      </c>
      <c r="W2789" s="26" t="s">
        <v>146</v>
      </c>
      <c r="X2789" s="98"/>
      <c r="Y2789" s="108" t="s">
        <v>137</v>
      </c>
      <c r="Z2789" s="26" t="s">
        <v>146</v>
      </c>
      <c r="AA2789" s="98"/>
      <c r="AB2789" s="108" t="s">
        <v>137</v>
      </c>
      <c r="AC2789" s="26" t="s">
        <v>146</v>
      </c>
      <c r="AD2789" s="98"/>
      <c r="AE2789" s="108" t="s">
        <v>137</v>
      </c>
      <c r="AF2789" s="26" t="s">
        <v>146</v>
      </c>
      <c r="AG2789" s="98"/>
      <c r="AH2789" s="108" t="s">
        <v>137</v>
      </c>
      <c r="AI2789" s="26" t="s">
        <v>146</v>
      </c>
      <c r="AJ2789" s="98"/>
      <c r="AK2789" s="108" t="s">
        <v>137</v>
      </c>
      <c r="AL2789" s="26" t="s">
        <v>146</v>
      </c>
      <c r="AM2789" s="98"/>
      <c r="AN2789" s="108" t="s">
        <v>137</v>
      </c>
      <c r="AO2789" s="26" t="s">
        <v>146</v>
      </c>
      <c r="AP2789" s="98"/>
      <c r="AQ2789" s="108" t="s">
        <v>137</v>
      </c>
      <c r="AR2789" s="26" t="s">
        <v>146</v>
      </c>
      <c r="AS2789" s="98"/>
      <c r="AT2789" s="108" t="s">
        <v>137</v>
      </c>
      <c r="AU2789" s="26" t="s">
        <v>146</v>
      </c>
    </row>
    <row r="2790" spans="15:47" ht="13.8" x14ac:dyDescent="0.25">
      <c r="O2790" s="20" t="s">
        <v>136</v>
      </c>
      <c r="P2790" s="1"/>
      <c r="Q2790" s="1"/>
      <c r="R2790" s="96">
        <f>R2776*1.02</f>
        <v>15758.704091731301</v>
      </c>
      <c r="S2790" s="109" t="s">
        <v>144</v>
      </c>
      <c r="T2790" s="23" t="s">
        <v>147</v>
      </c>
      <c r="U2790" s="96">
        <f ca="1">U2776*1.01</f>
        <v>83143.549170519254</v>
      </c>
      <c r="V2790" s="109" t="s">
        <v>144</v>
      </c>
      <c r="W2790" s="23" t="s">
        <v>147</v>
      </c>
      <c r="X2790" s="96">
        <f ca="1">X2776*1.01</f>
        <v>203588.01118517618</v>
      </c>
      <c r="Y2790" s="109" t="s">
        <v>144</v>
      </c>
      <c r="Z2790" s="23" t="s">
        <v>147</v>
      </c>
      <c r="AA2790" s="96">
        <f ca="1">AA2776*1.01</f>
        <v>396537.48088265595</v>
      </c>
      <c r="AB2790" s="109" t="s">
        <v>144</v>
      </c>
      <c r="AC2790" s="23" t="s">
        <v>147</v>
      </c>
      <c r="AD2790" s="96">
        <f ca="1">AD2776*1.01</f>
        <v>665266.53862165601</v>
      </c>
      <c r="AE2790" s="109" t="s">
        <v>144</v>
      </c>
      <c r="AF2790" s="23" t="s">
        <v>147</v>
      </c>
      <c r="AG2790" s="96">
        <f ca="1">AG2776*1.01</f>
        <v>970974.63241206878</v>
      </c>
      <c r="AH2790" s="109" t="s">
        <v>144</v>
      </c>
      <c r="AI2790" s="23" t="s">
        <v>147</v>
      </c>
      <c r="AJ2790" s="96">
        <f ca="1">AJ2776*1.01</f>
        <v>1295769.4110023505</v>
      </c>
      <c r="AK2790" s="109" t="s">
        <v>144</v>
      </c>
      <c r="AL2790" s="23" t="s">
        <v>147</v>
      </c>
      <c r="AM2790" s="96">
        <f ca="1">AM2776*1.01</f>
        <v>1581084.9293743116</v>
      </c>
      <c r="AN2790" s="109" t="s">
        <v>144</v>
      </c>
      <c r="AO2790" s="23" t="s">
        <v>147</v>
      </c>
      <c r="AP2790" s="96">
        <f ca="1">AP2776*1.01</f>
        <v>1835590.5188069427</v>
      </c>
      <c r="AQ2790" s="109" t="s">
        <v>144</v>
      </c>
      <c r="AR2790" s="23" t="s">
        <v>147</v>
      </c>
      <c r="AS2790" s="96">
        <f ca="1">AS2776*1.01</f>
        <v>2152374.2431774335</v>
      </c>
      <c r="AT2790" s="109" t="s">
        <v>144</v>
      </c>
      <c r="AU2790" s="23" t="s">
        <v>147</v>
      </c>
    </row>
    <row r="2791" spans="15:47" x14ac:dyDescent="0.25">
      <c r="O2791" s="1"/>
      <c r="P2791" s="1"/>
      <c r="Q2791" s="1"/>
      <c r="R2791" s="98"/>
      <c r="S2791" s="107"/>
      <c r="T2791" s="1"/>
      <c r="U2791" s="47"/>
      <c r="V2791" s="107"/>
      <c r="W2791" s="1"/>
      <c r="X2791" s="47"/>
      <c r="Y2791" s="107"/>
      <c r="Z2791" s="1"/>
      <c r="AA2791" s="47"/>
      <c r="AB2791" s="107"/>
      <c r="AC2791" s="1"/>
      <c r="AD2791" s="47"/>
      <c r="AE2791" s="107"/>
      <c r="AF2791" s="1"/>
      <c r="AG2791" s="47"/>
      <c r="AH2791" s="107"/>
      <c r="AI2791" s="1"/>
      <c r="AJ2791" s="47"/>
      <c r="AK2791" s="107"/>
      <c r="AL2791" s="1"/>
      <c r="AM2791" s="47"/>
      <c r="AN2791" s="107"/>
      <c r="AO2791" s="1"/>
      <c r="AP2791" s="47"/>
      <c r="AQ2791" s="107"/>
      <c r="AR2791" s="1"/>
      <c r="AS2791" s="47"/>
      <c r="AT2791" s="107"/>
      <c r="AU2791" s="1"/>
    </row>
    <row r="2792" spans="15:47" x14ac:dyDescent="0.25">
      <c r="O2792" s="8" t="s">
        <v>132</v>
      </c>
      <c r="P2792" s="8"/>
      <c r="Q2792" s="8"/>
      <c r="R2792" s="96">
        <f>P_1_minQ-(R2790^2*R_up)+dpup_minQ</f>
        <v>90.139778447068181</v>
      </c>
      <c r="S2792" s="106"/>
      <c r="T2792" s="22"/>
      <c r="U2792" s="96">
        <f ca="1">P_1_minQ-(U2790^2*R_up)+dpup_minQ</f>
        <v>88.925098232421405</v>
      </c>
      <c r="V2792" s="107"/>
      <c r="W2792" s="1"/>
      <c r="X2792" s="96">
        <f ca="1">P_1_minQ-(X2790^2*R_up)+dpup_minQ</f>
        <v>82.6306760120668</v>
      </c>
      <c r="Y2792" s="107"/>
      <c r="Z2792" s="1"/>
      <c r="AA2792" s="96">
        <f ca="1">P_1_minQ-(AA2790^2*R_up)+dpup_minQ</f>
        <v>61.525975116477206</v>
      </c>
      <c r="AB2792" s="107"/>
      <c r="AC2792" s="1"/>
      <c r="AD2792" s="96">
        <f ca="1">P_1_minQ-(AD2790^2*R_up)+dpup_minQ</f>
        <v>9.5200852951903823</v>
      </c>
      <c r="AE2792" s="107"/>
      <c r="AF2792" s="1"/>
      <c r="AG2792" s="96">
        <f ca="1">P_1_minQ-(AG2790^2*R_up)+dpup_minQ</f>
        <v>-81.649040489538464</v>
      </c>
      <c r="AH2792" s="107"/>
      <c r="AI2792" s="1"/>
      <c r="AJ2792" s="96">
        <f ca="1">P_1_minQ-(AJ2790^2*R_up)+dpup_minQ</f>
        <v>-215.83437686946445</v>
      </c>
      <c r="AK2792" s="107"/>
      <c r="AL2792" s="1"/>
      <c r="AM2792" s="96">
        <f ca="1">P_1_minQ-(AM2790^2*R_up)+dpup_minQ</f>
        <v>-365.43617180998376</v>
      </c>
      <c r="AN2792" s="107"/>
      <c r="AO2792" s="1"/>
      <c r="AP2792" s="96">
        <f ca="1">P_1_minQ-(AP2790^2*R_up)+dpup_minQ</f>
        <v>-523.92351632519978</v>
      </c>
      <c r="AQ2792" s="107"/>
      <c r="AR2792" s="1"/>
      <c r="AS2792" s="96">
        <f ca="1">P_1_minQ-(AS2790^2*R_up)+dpup_minQ</f>
        <v>-754.1777953243369</v>
      </c>
      <c r="AT2792" s="107"/>
      <c r="AU2792" s="1"/>
    </row>
    <row r="2793" spans="15:47" x14ac:dyDescent="0.25">
      <c r="O2793" s="8" t="s">
        <v>134</v>
      </c>
      <c r="P2793" s="1"/>
      <c r="Q2793" s="8"/>
      <c r="R2793" s="97">
        <f>P_2_minQ+(R2790^2*R_dn)-dpdn_minQ</f>
        <v>60</v>
      </c>
      <c r="S2793" s="106"/>
      <c r="T2793" s="22"/>
      <c r="U2793" s="97">
        <f ca="1">P_2_minQ+(U2790^2*R_dn)-dpdn_minQ</f>
        <v>60</v>
      </c>
      <c r="V2793" s="107"/>
      <c r="W2793" s="1"/>
      <c r="X2793" s="97">
        <f ca="1">P_2_minQ+(X2790^2*R_dn)-dpdn_minQ</f>
        <v>60</v>
      </c>
      <c r="Y2793" s="107"/>
      <c r="Z2793" s="1"/>
      <c r="AA2793" s="97">
        <f ca="1">P_2_minQ+(AA2790^2*R_dn)-dpdn_minQ</f>
        <v>60</v>
      </c>
      <c r="AB2793" s="107"/>
      <c r="AC2793" s="1"/>
      <c r="AD2793" s="97">
        <f ca="1">P_2_minQ+(AD2790^2*R_dn)-dpdn_minQ</f>
        <v>60</v>
      </c>
      <c r="AE2793" s="107"/>
      <c r="AF2793" s="1"/>
      <c r="AG2793" s="97">
        <f ca="1">P_2_minQ+(AG2790^2*R_dn)-dpdn_minQ</f>
        <v>60</v>
      </c>
      <c r="AH2793" s="107"/>
      <c r="AI2793" s="1"/>
      <c r="AJ2793" s="97">
        <f ca="1">P_2_minQ+(AJ2790^2*R_dn)-dpdn_minQ</f>
        <v>60</v>
      </c>
      <c r="AK2793" s="107"/>
      <c r="AL2793" s="1"/>
      <c r="AM2793" s="97">
        <f ca="1">P_2_minQ+(AM2790^2*R_dn)-dpdn_minQ</f>
        <v>60</v>
      </c>
      <c r="AN2793" s="107"/>
      <c r="AO2793" s="1"/>
      <c r="AP2793" s="97">
        <f ca="1">P_2_minQ+(AP2790^2*R_dn)-dpdn_minQ</f>
        <v>60</v>
      </c>
      <c r="AQ2793" s="107"/>
      <c r="AR2793" s="1"/>
      <c r="AS2793" s="97">
        <f ca="1">P_2_minQ+(AS2790^2*R_dn)-dpdn_minQ</f>
        <v>60</v>
      </c>
      <c r="AT2793" s="107"/>
      <c r="AU2793" s="1"/>
    </row>
    <row r="2794" spans="15:47" x14ac:dyDescent="0.25">
      <c r="O2794" s="8" t="s">
        <v>138</v>
      </c>
      <c r="P2794" s="1"/>
      <c r="Q2794" s="8"/>
      <c r="R2794" s="97">
        <f>R2792-R2793</f>
        <v>30.139778447068181</v>
      </c>
      <c r="S2794" s="106"/>
      <c r="T2794" s="22"/>
      <c r="U2794" s="97">
        <f ca="1">U2792-U2793</f>
        <v>28.925098232421405</v>
      </c>
      <c r="V2794" s="110"/>
      <c r="W2794" s="25"/>
      <c r="X2794" s="97">
        <f ca="1">X2792-X2793</f>
        <v>22.6306760120668</v>
      </c>
      <c r="Y2794" s="110"/>
      <c r="Z2794" s="25"/>
      <c r="AA2794" s="97">
        <f ca="1">AA2792-AA2793</f>
        <v>1.5259751164772055</v>
      </c>
      <c r="AB2794" s="110"/>
      <c r="AC2794" s="25"/>
      <c r="AD2794" s="97">
        <f ca="1">AD2792-AD2793</f>
        <v>-50.479914704809616</v>
      </c>
      <c r="AE2794" s="110"/>
      <c r="AF2794" s="25"/>
      <c r="AG2794" s="97">
        <f ca="1">AG2792-AG2793</f>
        <v>-141.64904048953846</v>
      </c>
      <c r="AH2794" s="110"/>
      <c r="AI2794" s="25"/>
      <c r="AJ2794" s="97">
        <f ca="1">AJ2792-AJ2793</f>
        <v>-275.83437686946445</v>
      </c>
      <c r="AK2794" s="110"/>
      <c r="AL2794" s="25"/>
      <c r="AM2794" s="97">
        <f ca="1">AM2792-AM2793</f>
        <v>-425.43617180998376</v>
      </c>
      <c r="AN2794" s="110"/>
      <c r="AO2794" s="25"/>
      <c r="AP2794" s="97">
        <f ca="1">AP2792-AP2793</f>
        <v>-583.92351632519978</v>
      </c>
      <c r="AQ2794" s="110"/>
      <c r="AR2794" s="25"/>
      <c r="AS2794" s="97">
        <f ca="1">AS2792-AS2793</f>
        <v>-814.1777953243369</v>
      </c>
      <c r="AT2794" s="110"/>
      <c r="AU2794" s="25"/>
    </row>
    <row r="2795" spans="15:47" ht="14.4" x14ac:dyDescent="0.3">
      <c r="O2795" s="2" t="s">
        <v>140</v>
      </c>
      <c r="P2795" s="11"/>
      <c r="Q2795" s="2"/>
      <c r="R2795" s="96">
        <f>R2794/R2792</f>
        <v>0.33436712366413063</v>
      </c>
      <c r="S2795" s="106"/>
      <c r="T2795" s="22"/>
      <c r="U2795" s="96">
        <f ca="1">U2794/U2792</f>
        <v>0.32527485273978068</v>
      </c>
      <c r="V2795" s="111"/>
      <c r="W2795" s="28"/>
      <c r="X2795" s="96">
        <f ca="1">X2794/X2792</f>
        <v>0.27387741580090641</v>
      </c>
      <c r="Y2795" s="111"/>
      <c r="Z2795" s="28"/>
      <c r="AA2795" s="96">
        <f ca="1">AA2794/AA2792</f>
        <v>2.4802128102615568E-2</v>
      </c>
      <c r="AB2795" s="111"/>
      <c r="AC2795" s="28"/>
      <c r="AD2795" s="96">
        <f ca="1">AD2794/AD2792</f>
        <v>-5.3024645409755351</v>
      </c>
      <c r="AE2795" s="111"/>
      <c r="AF2795" s="28"/>
      <c r="AG2795" s="96">
        <f ca="1">AG2794/AG2792</f>
        <v>1.7348524813061053</v>
      </c>
      <c r="AH2795" s="111"/>
      <c r="AI2795" s="28"/>
      <c r="AJ2795" s="96">
        <f ca="1">AJ2794/AJ2792</f>
        <v>1.277990933929342</v>
      </c>
      <c r="AK2795" s="111"/>
      <c r="AL2795" s="28"/>
      <c r="AM2795" s="96">
        <f ca="1">AM2794/AM2792</f>
        <v>1.1641873591845699</v>
      </c>
      <c r="AN2795" s="111"/>
      <c r="AO2795" s="28"/>
      <c r="AP2795" s="96">
        <f ca="1">AP2794/AP2792</f>
        <v>1.1145205323495309</v>
      </c>
      <c r="AQ2795" s="111"/>
      <c r="AR2795" s="28"/>
      <c r="AS2795" s="96">
        <f ca="1">AS2794/AS2792</f>
        <v>1.079556837090645</v>
      </c>
      <c r="AT2795" s="111"/>
      <c r="AU2795" s="28"/>
    </row>
    <row r="2796" spans="15:47" x14ac:dyDescent="0.25">
      <c r="O2796" s="2" t="s">
        <v>21</v>
      </c>
      <c r="P2796" s="8">
        <v>12</v>
      </c>
      <c r="Q2796" s="2"/>
      <c r="R2796" s="96">
        <f ca="1">1-R2795/(3*F_GAMMA*R$29)</f>
        <v>0.825858537000695</v>
      </c>
      <c r="S2796" s="106"/>
      <c r="T2796" s="22"/>
      <c r="U2796" s="96">
        <f ca="1">1-U2795/(3*F_GAMMA*U$29)</f>
        <v>0.83063323063326167</v>
      </c>
      <c r="V2796" s="111"/>
      <c r="W2796" s="28"/>
      <c r="X2796" s="96">
        <f ca="1">1-X2795/(3*F_GAMMA*X$29)</f>
        <v>0.85603706796138757</v>
      </c>
      <c r="Y2796" s="111"/>
      <c r="Z2796" s="28"/>
      <c r="AA2796" s="96">
        <f ca="1">1-AA2795/(3*F_GAMMA*AA$29)</f>
        <v>0.98677905456900061</v>
      </c>
      <c r="AB2796" s="111"/>
      <c r="AC2796" s="28"/>
      <c r="AD2796" s="96">
        <f ca="1">1-AD2795/(3*F_GAMMA*AD$29)</f>
        <v>3.9141773484217368</v>
      </c>
      <c r="AE2796" s="111"/>
      <c r="AF2796" s="28"/>
      <c r="AG2796" s="96">
        <f ca="1">1-AG2795/(3*F_GAMMA*AG$29)</f>
        <v>-1.0669484948818697E-2</v>
      </c>
      <c r="AH2796" s="111"/>
      <c r="AI2796" s="28"/>
      <c r="AJ2796" s="96">
        <f ca="1">1-AJ2795/(3*F_GAMMA*AJ$29)</f>
        <v>0.19900208899203808</v>
      </c>
      <c r="AK2796" s="111"/>
      <c r="AL2796" s="28"/>
      <c r="AM2796" s="96">
        <f ca="1">1-AM2795/(3*F_GAMMA*AM$29)</f>
        <v>0.18416879304263001</v>
      </c>
      <c r="AN2796" s="111"/>
      <c r="AO2796" s="28"/>
      <c r="AP2796" s="96">
        <f ca="1">1-AP2795/(3*F_GAMMA*AP$29)</f>
        <v>0.3709048523808478</v>
      </c>
      <c r="AQ2796" s="111"/>
      <c r="AR2796" s="28"/>
      <c r="AS2796" s="96">
        <f ca="1">1-AS2795/(3*F_GAMMA*AS$29)</f>
        <v>4.4699032024206109E-2</v>
      </c>
      <c r="AT2796" s="111"/>
      <c r="AU2796" s="28"/>
    </row>
    <row r="2797" spans="15:47" x14ac:dyDescent="0.25">
      <c r="O2797" s="2" t="s">
        <v>57</v>
      </c>
      <c r="P2797" s="143">
        <v>7</v>
      </c>
      <c r="Q2797" s="2"/>
      <c r="R2797" s="96">
        <f ca="1">(R2790/(N_9*R$27*R2792*R2796))*SQRT(M*'Valve Sizing'!$W$6*'Valve Sizing'!$G$8/R2795)</f>
        <v>6.3690198358053323</v>
      </c>
      <c r="S2797" s="107"/>
      <c r="T2797" s="22"/>
      <c r="U2797" s="96">
        <f ca="1">(U2790/(N_9*U$27*U2792*U2796))*SQRT(M*'Valve Sizing'!$W$6*'Valve Sizing'!$G$8/U2795)</f>
        <v>34.359003350035728</v>
      </c>
      <c r="V2797" s="111"/>
      <c r="W2797" s="28"/>
      <c r="X2797" s="96">
        <f ca="1">(X2790/(N_9*X$27*X2792*X2796))*SQRT(M*'Valve Sizing'!$W$6*'Valve Sizing'!$G$8/X2795)</f>
        <v>95.964302435718977</v>
      </c>
      <c r="Y2797" s="111"/>
      <c r="Z2797" s="28"/>
      <c r="AA2797" s="96">
        <f ca="1">(AA2790/(N_9*AA$27*AA2792*AA2796))*SQRT(M*'Valve Sizing'!$W$6*'Valve Sizing'!$G$8/AA2795)</f>
        <v>727.94817110190763</v>
      </c>
      <c r="AB2797" s="111"/>
      <c r="AC2797" s="28"/>
      <c r="AD2797" s="96" t="e">
        <f ca="1">(AD2790/(N_9*AD$27*AD2792*AD2796))*SQRT(M*'Valve Sizing'!$W$6*'Valve Sizing'!$G$8/AD2795)</f>
        <v>#NUM!</v>
      </c>
      <c r="AE2797" s="111"/>
      <c r="AF2797" s="28"/>
      <c r="AG2797" s="96">
        <f ca="1">(AG2790/(N_9*AG$27*AG2792*AG2796))*SQRT(M*'Valve Sizing'!$W$6*'Valve Sizing'!$G$8/AG2795)</f>
        <v>15375.647258984443</v>
      </c>
      <c r="AH2797" s="111"/>
      <c r="AI2797" s="28"/>
      <c r="AJ2797" s="96">
        <f ca="1">(AJ2790/(N_9*AJ$27*AJ2792*AJ2796))*SQRT(M*'Valve Sizing'!$W$6*'Valve Sizing'!$G$8/AJ2795)</f>
        <v>-502.41195219420842</v>
      </c>
      <c r="AK2797" s="111"/>
      <c r="AL2797" s="28"/>
      <c r="AM2797" s="96">
        <f ca="1">(AM2790/(N_9*AM$27*AM2792*AM2796))*SQRT(M*'Valve Sizing'!$W$6*'Valve Sizing'!$G$8/AM2795)</f>
        <v>-434.91987641120045</v>
      </c>
      <c r="AN2797" s="111"/>
      <c r="AO2797" s="28"/>
      <c r="AP2797" s="96">
        <f ca="1">(AP2790/(N_9*AP$27*AP2792*AP2796))*SQRT(M*'Valve Sizing'!$W$6*'Valve Sizing'!$G$8/AP2795)</f>
        <v>-203.42807937533109</v>
      </c>
      <c r="AQ2797" s="111"/>
      <c r="AR2797" s="28"/>
      <c r="AS2797" s="96">
        <f ca="1">(AS2790/(N_9*AS$27*AS2792*AS2796))*SQRT(M*'Valve Sizing'!$W$6*'Valve Sizing'!$G$8/AS2795)</f>
        <v>-1871.2840979969969</v>
      </c>
      <c r="AT2797" s="111"/>
      <c r="AU2797" s="28"/>
    </row>
    <row r="2798" spans="15:47" x14ac:dyDescent="0.25">
      <c r="O2798" s="2" t="s">
        <v>59</v>
      </c>
      <c r="P2798" s="143">
        <v>7</v>
      </c>
      <c r="Q2798" s="2"/>
      <c r="R2798" s="96">
        <f ca="1">(R2790/(N_9*R$27*R2792*0.667))*SQRT(M*'Valve Sizing'!$W$6*'Valve Sizing'!$G$8/R2799)</f>
        <v>5.6998595159283694</v>
      </c>
      <c r="S2798" s="107"/>
      <c r="T2798" s="22"/>
      <c r="U2798" s="96">
        <f ca="1">(U2790/(N_9*U$27*U2792*0.667))*SQRT(M*'Valve Sizing'!$W$6*'Valve Sizing'!$G$8/U2799)</f>
        <v>30.499923824373848</v>
      </c>
      <c r="V2798" s="111"/>
      <c r="W2798" s="28"/>
      <c r="X2798" s="96">
        <f ca="1">(X2790/(N_9*X$27*X2792*0.667))*SQRT(M*'Valve Sizing'!$W$6*'Valve Sizing'!$G$8/X2799)</f>
        <v>80.939853991154763</v>
      </c>
      <c r="Y2798" s="111"/>
      <c r="Z2798" s="28"/>
      <c r="AA2798" s="96">
        <f ca="1">(AA2790/(N_9*AA$27*AA2792*0.667))*SQRT(M*'Valve Sizing'!$W$6*'Valve Sizing'!$G$8/AA2799)</f>
        <v>214.47981757987094</v>
      </c>
      <c r="AB2798" s="111"/>
      <c r="AC2798" s="28"/>
      <c r="AD2798" s="96">
        <f ca="1">(AD2790/(N_9*AD$27*AD2792*0.667))*SQRT(M*'Valve Sizing'!$W$6*'Valve Sizing'!$G$8/AD2799)</f>
        <v>2390.5331066518838</v>
      </c>
      <c r="AE2798" s="111"/>
      <c r="AF2798" s="28"/>
      <c r="AG2798" s="96">
        <f ca="1">(AG2790/(N_9*AG$27*AG2792*0.667))*SQRT(M*'Valve Sizing'!$W$6*'Valve Sizing'!$G$8/AG2799)</f>
        <v>-428.26859851169507</v>
      </c>
      <c r="AH2798" s="111"/>
      <c r="AI2798" s="28"/>
      <c r="AJ2798" s="96">
        <f ca="1">(AJ2790/(N_9*AJ$27*AJ2792*0.667))*SQRT(M*'Valve Sizing'!$W$6*'Valve Sizing'!$G$8/AJ2799)</f>
        <v>-232.36359290096516</v>
      </c>
      <c r="AK2798" s="111"/>
      <c r="AL2798" s="28"/>
      <c r="AM2798" s="96">
        <f ca="1">(AM2790/(N_9*AM$27*AM2792*0.667))*SQRT(M*'Valve Sizing'!$W$6*'Valve Sizing'!$G$8/AM2799)</f>
        <v>-187.87121681485146</v>
      </c>
      <c r="AN2798" s="111"/>
      <c r="AO2798" s="28"/>
      <c r="AP2798" s="96">
        <f ca="1">(AP2790/(N_9*AP$27*AP2792*0.667))*SQRT(M*'Valve Sizing'!$W$6*'Valve Sizing'!$G$8/AP2799)</f>
        <v>-155.40549642491257</v>
      </c>
      <c r="AQ2798" s="111"/>
      <c r="AR2798" s="28"/>
      <c r="AS2798" s="96">
        <f ca="1">(AS2790/(N_9*AS$27*AS2792*0.667))*SQRT(M*'Valve Sizing'!$W$6*'Valve Sizing'!$G$8/AS2799)</f>
        <v>-212.29645770771648</v>
      </c>
      <c r="AT2798" s="111"/>
      <c r="AU2798" s="28"/>
    </row>
    <row r="2799" spans="15:47" ht="15.6" x14ac:dyDescent="0.35">
      <c r="O2799" s="2" t="s">
        <v>68</v>
      </c>
      <c r="P2799" s="143">
        <v>10</v>
      </c>
      <c r="Q2799" s="2"/>
      <c r="R2799" s="96">
        <f ca="1">F_GAMMA*R$29</f>
        <v>0.64002969751372984</v>
      </c>
      <c r="S2799" s="107"/>
      <c r="T2799" s="1"/>
      <c r="U2799" s="96">
        <f ca="1">F_GAMMA*U$29</f>
        <v>0.64017842058782071</v>
      </c>
      <c r="V2799" s="111"/>
      <c r="W2799" s="28"/>
      <c r="X2799" s="96">
        <f ca="1">F_GAMMA*X$29</f>
        <v>0.63413873724904268</v>
      </c>
      <c r="Y2799" s="111"/>
      <c r="Z2799" s="28"/>
      <c r="AA2799" s="96">
        <f ca="1">F_GAMMA*AA$29</f>
        <v>0.62532411750377137</v>
      </c>
      <c r="AB2799" s="111"/>
      <c r="AC2799" s="28"/>
      <c r="AD2799" s="96">
        <f ca="1">F_GAMMA*AD$29</f>
        <v>0.60651359509139569</v>
      </c>
      <c r="AE2799" s="111"/>
      <c r="AF2799" s="28"/>
      <c r="AG2799" s="96">
        <f ca="1">F_GAMMA*AG$29</f>
        <v>0.57217930198481592</v>
      </c>
      <c r="AH2799" s="111"/>
      <c r="AI2799" s="28"/>
      <c r="AJ2799" s="96">
        <f ca="1">F_GAMMA*AJ$29</f>
        <v>0.53183282018848232</v>
      </c>
      <c r="AK2799" s="111"/>
      <c r="AL2799" s="28"/>
      <c r="AM2799" s="96">
        <f ca="1">F_GAMMA*AM$29</f>
        <v>0.47566512503094399</v>
      </c>
      <c r="AN2799" s="111"/>
      <c r="AO2799" s="28"/>
      <c r="AP2799" s="96">
        <f ca="1">F_GAMMA*AP$29</f>
        <v>0.59054158265645496</v>
      </c>
      <c r="AQ2799" s="111"/>
      <c r="AR2799" s="28"/>
      <c r="AS2799" s="96">
        <f ca="1">F_GAMMA*AS$29</f>
        <v>0.3766899554102966</v>
      </c>
      <c r="AT2799" s="111"/>
      <c r="AU2799" s="28"/>
    </row>
    <row r="2800" spans="15:47" x14ac:dyDescent="0.25">
      <c r="O2800" s="2" t="s">
        <v>145</v>
      </c>
      <c r="P2800" s="12"/>
      <c r="Q2800" s="2"/>
      <c r="R2800" s="96">
        <f ca="1">IF(R2795&lt;R2799,R2797,R2798)</f>
        <v>6.3690198358053323</v>
      </c>
      <c r="S2800" s="116"/>
      <c r="T2800" s="1"/>
      <c r="U2800" s="96">
        <f ca="1">IF(U2795&lt;U2799,U2797,U2798)</f>
        <v>34.359003350035728</v>
      </c>
      <c r="V2800" s="111"/>
      <c r="W2800" s="28"/>
      <c r="X2800" s="96">
        <f ca="1">IF(X2795&lt;X2799,X2797,X2798)</f>
        <v>95.964302435718977</v>
      </c>
      <c r="Y2800" s="111"/>
      <c r="Z2800" s="28"/>
      <c r="AA2800" s="96">
        <f ca="1">IF(AA2795&lt;AA2799,AA2797,AA2798)</f>
        <v>727.94817110190763</v>
      </c>
      <c r="AB2800" s="111"/>
      <c r="AC2800" s="28"/>
      <c r="AD2800" s="96" t="e">
        <f ca="1">IF(AD2795&lt;AD2799,AD2797,AD2798)</f>
        <v>#NUM!</v>
      </c>
      <c r="AE2800" s="111"/>
      <c r="AF2800" s="28"/>
      <c r="AG2800" s="96">
        <f ca="1">IF(AG2795&lt;AG2799,AG2797,AG2798)</f>
        <v>-428.26859851169507</v>
      </c>
      <c r="AH2800" s="111"/>
      <c r="AI2800" s="28"/>
      <c r="AJ2800" s="96">
        <f ca="1">IF(AJ2795&lt;AJ2799,AJ2797,AJ2798)</f>
        <v>-232.36359290096516</v>
      </c>
      <c r="AK2800" s="111"/>
      <c r="AL2800" s="28"/>
      <c r="AM2800" s="96">
        <f ca="1">IF(AM2795&lt;AM2799,AM2797,AM2798)</f>
        <v>-187.87121681485146</v>
      </c>
      <c r="AN2800" s="111"/>
      <c r="AO2800" s="28"/>
      <c r="AP2800" s="96">
        <f ca="1">IF(AP2795&lt;AP2799,AP2797,AP2798)</f>
        <v>-155.40549642491257</v>
      </c>
      <c r="AQ2800" s="111"/>
      <c r="AR2800" s="28"/>
      <c r="AS2800" s="96">
        <f ca="1">IF(AS2795&lt;AS2799,AS2797,AS2798)</f>
        <v>-212.29645770771648</v>
      </c>
      <c r="AT2800" s="111"/>
      <c r="AU2800" s="28"/>
    </row>
    <row r="2801" spans="15:47" x14ac:dyDescent="0.25">
      <c r="O2801" s="13" t="s">
        <v>143</v>
      </c>
      <c r="P2801" s="1"/>
      <c r="Q2801" s="1"/>
      <c r="R2801" s="113"/>
      <c r="S2801" s="106">
        <f ca="1">IF(R2794&lt;=0,Q_max,ABS(R$23-R2800))</f>
        <v>1.6390198358053318</v>
      </c>
      <c r="T2801" s="7">
        <f>R2790</f>
        <v>15758.704091731301</v>
      </c>
      <c r="U2801" s="98"/>
      <c r="V2801" s="106">
        <f ca="1">IF(U2794&lt;=0,Q_max,ABS(U$23-U2800))</f>
        <v>22.759003350035726</v>
      </c>
      <c r="W2801" s="9">
        <f ca="1">U2790</f>
        <v>83143.549170519254</v>
      </c>
      <c r="X2801" s="98"/>
      <c r="Y2801" s="106">
        <f ca="1">IF(X2794&lt;=0,Q_max,ABS(X$23-X2800))</f>
        <v>72.964302435718977</v>
      </c>
      <c r="Z2801" s="9">
        <f ca="1">X2790</f>
        <v>203588.01118517618</v>
      </c>
      <c r="AA2801" s="98"/>
      <c r="AB2801" s="106">
        <f ca="1">IF(AA2794&lt;=0,Q_max,ABS(AA$23-AA2800))</f>
        <v>688.54817110190766</v>
      </c>
      <c r="AC2801" s="9">
        <f ca="1">AA2790</f>
        <v>396537.48088265595</v>
      </c>
      <c r="AD2801" s="98"/>
      <c r="AE2801" s="106">
        <f ca="1">IF(AD2794&lt;=0,Q_max,ABS(AD$23-AD2800))</f>
        <v>236393</v>
      </c>
      <c r="AF2801" s="9">
        <f ca="1">AD2790</f>
        <v>665266.53862165601</v>
      </c>
      <c r="AG2801" s="98"/>
      <c r="AH2801" s="106">
        <f ca="1">IF(AG2794&lt;=0,Q_max,ABS(AG$23-AG2800))</f>
        <v>236393</v>
      </c>
      <c r="AI2801" s="9">
        <f ca="1">AG2790</f>
        <v>970974.63241206878</v>
      </c>
      <c r="AJ2801" s="98"/>
      <c r="AK2801" s="106">
        <f ca="1">IF(AJ2794&lt;=0,Q_max,ABS(AJ$23-AJ2800))</f>
        <v>236393</v>
      </c>
      <c r="AL2801" s="9">
        <f ca="1">AJ2790</f>
        <v>1295769.4110023505</v>
      </c>
      <c r="AM2801" s="98"/>
      <c r="AN2801" s="106">
        <f ca="1">IF(AM2794&lt;=0,Q_max,ABS(AM$23-AM2800))</f>
        <v>236393</v>
      </c>
      <c r="AO2801" s="9">
        <f ca="1">AM2790</f>
        <v>1581084.9293743116</v>
      </c>
      <c r="AP2801" s="98"/>
      <c r="AQ2801" s="106">
        <f ca="1">IF(AP2794&lt;=0,Q_max,ABS(AP$23-AP2800))</f>
        <v>236393</v>
      </c>
      <c r="AR2801" s="9">
        <f ca="1">AP2790</f>
        <v>1835590.5188069427</v>
      </c>
      <c r="AS2801" s="98"/>
      <c r="AT2801" s="106">
        <f ca="1">IF(AS2794&lt;=0,Q_max,ABS(AS$23-AS2800))</f>
        <v>236393</v>
      </c>
      <c r="AU2801" s="9">
        <f ca="1">AS2790</f>
        <v>2152374.2431774335</v>
      </c>
    </row>
    <row r="2802" spans="15:47" x14ac:dyDescent="0.25">
      <c r="O2802" s="21"/>
      <c r="P2802" s="14"/>
      <c r="Q2802" s="21"/>
      <c r="R2802" s="97"/>
      <c r="S2802" s="106"/>
      <c r="T2802" s="28"/>
      <c r="U2802" s="97"/>
      <c r="V2802" s="111"/>
      <c r="W2802" s="28"/>
      <c r="X2802" s="97"/>
      <c r="Y2802" s="111"/>
      <c r="Z2802" s="28"/>
      <c r="AA2802" s="97"/>
      <c r="AB2802" s="111"/>
      <c r="AC2802" s="28"/>
      <c r="AD2802" s="97"/>
      <c r="AE2802" s="111"/>
      <c r="AF2802" s="28"/>
      <c r="AG2802" s="97"/>
      <c r="AH2802" s="111"/>
      <c r="AI2802" s="28"/>
      <c r="AJ2802" s="97"/>
      <c r="AK2802" s="111"/>
      <c r="AL2802" s="28"/>
      <c r="AM2802" s="97"/>
      <c r="AN2802" s="111"/>
      <c r="AO2802" s="28"/>
      <c r="AP2802" s="97"/>
      <c r="AQ2802" s="111"/>
      <c r="AR2802" s="28"/>
      <c r="AS2802" s="97"/>
      <c r="AT2802" s="111"/>
      <c r="AU2802" s="28"/>
    </row>
    <row r="2803" spans="15:47" x14ac:dyDescent="0.25">
      <c r="O2803" s="1"/>
      <c r="P2803" s="1"/>
      <c r="Q2803" s="1"/>
      <c r="R2803" s="98"/>
      <c r="S2803" s="108" t="s">
        <v>137</v>
      </c>
      <c r="T2803" s="26" t="s">
        <v>146</v>
      </c>
      <c r="U2803" s="98"/>
      <c r="V2803" s="108" t="s">
        <v>137</v>
      </c>
      <c r="W2803" s="26" t="s">
        <v>146</v>
      </c>
      <c r="X2803" s="98"/>
      <c r="Y2803" s="108" t="s">
        <v>137</v>
      </c>
      <c r="Z2803" s="26" t="s">
        <v>146</v>
      </c>
      <c r="AA2803" s="98"/>
      <c r="AB2803" s="108" t="s">
        <v>137</v>
      </c>
      <c r="AC2803" s="26" t="s">
        <v>146</v>
      </c>
      <c r="AD2803" s="98"/>
      <c r="AE2803" s="108" t="s">
        <v>137</v>
      </c>
      <c r="AF2803" s="26" t="s">
        <v>146</v>
      </c>
      <c r="AG2803" s="98"/>
      <c r="AH2803" s="108" t="s">
        <v>137</v>
      </c>
      <c r="AI2803" s="26" t="s">
        <v>146</v>
      </c>
      <c r="AJ2803" s="98"/>
      <c r="AK2803" s="108" t="s">
        <v>137</v>
      </c>
      <c r="AL2803" s="26" t="s">
        <v>146</v>
      </c>
      <c r="AM2803" s="98"/>
      <c r="AN2803" s="108" t="s">
        <v>137</v>
      </c>
      <c r="AO2803" s="26" t="s">
        <v>146</v>
      </c>
      <c r="AP2803" s="98"/>
      <c r="AQ2803" s="108" t="s">
        <v>137</v>
      </c>
      <c r="AR2803" s="26" t="s">
        <v>146</v>
      </c>
      <c r="AS2803" s="98"/>
      <c r="AT2803" s="108" t="s">
        <v>137</v>
      </c>
      <c r="AU2803" s="26" t="s">
        <v>146</v>
      </c>
    </row>
    <row r="2804" spans="15:47" ht="13.8" x14ac:dyDescent="0.25">
      <c r="O2804" s="20" t="s">
        <v>136</v>
      </c>
      <c r="P2804" s="1"/>
      <c r="Q2804" s="1"/>
      <c r="R2804" s="96">
        <f>R2790*1.02</f>
        <v>16073.878173565927</v>
      </c>
      <c r="S2804" s="109" t="s">
        <v>144</v>
      </c>
      <c r="T2804" s="23" t="s">
        <v>147</v>
      </c>
      <c r="U2804" s="96">
        <f ca="1">U2790*1.01</f>
        <v>83974.984662224451</v>
      </c>
      <c r="V2804" s="109" t="s">
        <v>144</v>
      </c>
      <c r="W2804" s="23" t="s">
        <v>147</v>
      </c>
      <c r="X2804" s="96">
        <f ca="1">X2790*1.01</f>
        <v>205623.89129702793</v>
      </c>
      <c r="Y2804" s="109" t="s">
        <v>144</v>
      </c>
      <c r="Z2804" s="23" t="s">
        <v>147</v>
      </c>
      <c r="AA2804" s="96">
        <f ca="1">AA2790*1.01</f>
        <v>400502.85569148249</v>
      </c>
      <c r="AB2804" s="109" t="s">
        <v>144</v>
      </c>
      <c r="AC2804" s="23" t="s">
        <v>147</v>
      </c>
      <c r="AD2804" s="96">
        <f ca="1">AD2790*1.01</f>
        <v>671919.20400787261</v>
      </c>
      <c r="AE2804" s="109" t="s">
        <v>144</v>
      </c>
      <c r="AF2804" s="23" t="s">
        <v>147</v>
      </c>
      <c r="AG2804" s="96">
        <f ca="1">AG2790*1.01</f>
        <v>980684.37873618945</v>
      </c>
      <c r="AH2804" s="109" t="s">
        <v>144</v>
      </c>
      <c r="AI2804" s="23" t="s">
        <v>147</v>
      </c>
      <c r="AJ2804" s="96">
        <f ca="1">AJ2790*1.01</f>
        <v>1308727.1051123741</v>
      </c>
      <c r="AK2804" s="109" t="s">
        <v>144</v>
      </c>
      <c r="AL2804" s="23" t="s">
        <v>147</v>
      </c>
      <c r="AM2804" s="96">
        <f ca="1">AM2790*1.01</f>
        <v>1596895.7786680546</v>
      </c>
      <c r="AN2804" s="109" t="s">
        <v>144</v>
      </c>
      <c r="AO2804" s="23" t="s">
        <v>147</v>
      </c>
      <c r="AP2804" s="96">
        <f ca="1">AP2790*1.01</f>
        <v>1853946.4239950122</v>
      </c>
      <c r="AQ2804" s="109" t="s">
        <v>144</v>
      </c>
      <c r="AR2804" s="23" t="s">
        <v>147</v>
      </c>
      <c r="AS2804" s="96">
        <f ca="1">AS2790*1.01</f>
        <v>2173897.9856092078</v>
      </c>
      <c r="AT2804" s="109" t="s">
        <v>144</v>
      </c>
      <c r="AU2804" s="23" t="s">
        <v>147</v>
      </c>
    </row>
    <row r="2805" spans="15:47" x14ac:dyDescent="0.25">
      <c r="O2805" s="1"/>
      <c r="P2805" s="1"/>
      <c r="Q2805" s="1"/>
      <c r="R2805" s="98"/>
      <c r="S2805" s="107"/>
      <c r="T2805" s="1"/>
      <c r="U2805" s="47"/>
      <c r="V2805" s="107"/>
      <c r="W2805" s="1"/>
      <c r="X2805" s="47"/>
      <c r="Y2805" s="107"/>
      <c r="Z2805" s="1"/>
      <c r="AA2805" s="47"/>
      <c r="AB2805" s="107"/>
      <c r="AC2805" s="1"/>
      <c r="AD2805" s="47"/>
      <c r="AE2805" s="107"/>
      <c r="AF2805" s="1"/>
      <c r="AG2805" s="47"/>
      <c r="AH2805" s="107"/>
      <c r="AI2805" s="1"/>
      <c r="AJ2805" s="47"/>
      <c r="AK2805" s="107"/>
      <c r="AL2805" s="1"/>
      <c r="AM2805" s="47"/>
      <c r="AN2805" s="107"/>
      <c r="AO2805" s="1"/>
      <c r="AP2805" s="47"/>
      <c r="AQ2805" s="107"/>
      <c r="AR2805" s="1"/>
      <c r="AS2805" s="47"/>
      <c r="AT2805" s="107"/>
      <c r="AU2805" s="1"/>
    </row>
    <row r="2806" spans="15:47" x14ac:dyDescent="0.25">
      <c r="O2806" s="8" t="s">
        <v>132</v>
      </c>
      <c r="P2806" s="8"/>
      <c r="Q2806" s="8"/>
      <c r="R2806" s="96">
        <f>P_1_minQ-(R2804^2*R_up)+dpup_minQ</f>
        <v>90.137949858907419</v>
      </c>
      <c r="S2806" s="106"/>
      <c r="T2806" s="22"/>
      <c r="U2806" s="96">
        <f ca="1">P_1_minQ-(U2804^2*R_up)+dpup_minQ</f>
        <v>88.899773392234948</v>
      </c>
      <c r="V2806" s="107"/>
      <c r="W2806" s="1"/>
      <c r="X2806" s="96">
        <f ca="1">P_1_minQ-(X2804^2*R_up)+dpup_minQ</f>
        <v>82.478833285251213</v>
      </c>
      <c r="Y2806" s="107"/>
      <c r="Z2806" s="1"/>
      <c r="AA2806" s="96">
        <f ca="1">P_1_minQ-(AA2804^2*R_up)+dpup_minQ</f>
        <v>60.94992790166026</v>
      </c>
      <c r="AB2806" s="107"/>
      <c r="AC2806" s="1"/>
      <c r="AD2806" s="96">
        <f ca="1">P_1_minQ-(AD2804^2*R_up)+dpup_minQ</f>
        <v>7.8987196949655774</v>
      </c>
      <c r="AE2806" s="107"/>
      <c r="AF2806" s="1"/>
      <c r="AG2806" s="96">
        <f ca="1">P_1_minQ-(AG2804^2*R_up)+dpup_minQ</f>
        <v>-85.102905518036323</v>
      </c>
      <c r="AH2806" s="107"/>
      <c r="AI2806" s="1"/>
      <c r="AJ2806" s="96">
        <f ca="1">P_1_minQ-(AJ2804^2*R_up)+dpup_minQ</f>
        <v>-221.9853671591988</v>
      </c>
      <c r="AK2806" s="107"/>
      <c r="AL2806" s="1"/>
      <c r="AM2806" s="96">
        <f ca="1">P_1_minQ-(AM2804^2*R_up)+dpup_minQ</f>
        <v>-374.59415817802255</v>
      </c>
      <c r="AN2806" s="107"/>
      <c r="AO2806" s="1"/>
      <c r="AP2806" s="96">
        <f ca="1">P_1_minQ-(AP2804^2*R_up)+dpup_minQ</f>
        <v>-536.2670983179944</v>
      </c>
      <c r="AQ2806" s="107"/>
      <c r="AR2806" s="1"/>
      <c r="AS2806" s="96">
        <f ca="1">P_1_minQ-(AS2804^2*R_up)+dpup_minQ</f>
        <v>-771.14948832501409</v>
      </c>
      <c r="AT2806" s="107"/>
      <c r="AU2806" s="1"/>
    </row>
    <row r="2807" spans="15:47" x14ac:dyDescent="0.25">
      <c r="O2807" s="8" t="s">
        <v>134</v>
      </c>
      <c r="P2807" s="1"/>
      <c r="Q2807" s="8"/>
      <c r="R2807" s="97">
        <f>P_2_minQ+(R2804^2*R_dn)-dpdn_minQ</f>
        <v>60</v>
      </c>
      <c r="S2807" s="106"/>
      <c r="T2807" s="22"/>
      <c r="U2807" s="97">
        <f ca="1">P_2_minQ+(U2804^2*R_dn)-dpdn_minQ</f>
        <v>60</v>
      </c>
      <c r="V2807" s="107"/>
      <c r="W2807" s="1"/>
      <c r="X2807" s="97">
        <f ca="1">P_2_minQ+(X2804^2*R_dn)-dpdn_minQ</f>
        <v>60</v>
      </c>
      <c r="Y2807" s="107"/>
      <c r="Z2807" s="1"/>
      <c r="AA2807" s="97">
        <f ca="1">P_2_minQ+(AA2804^2*R_dn)-dpdn_minQ</f>
        <v>60</v>
      </c>
      <c r="AB2807" s="107"/>
      <c r="AC2807" s="1"/>
      <c r="AD2807" s="97">
        <f ca="1">P_2_minQ+(AD2804^2*R_dn)-dpdn_minQ</f>
        <v>60</v>
      </c>
      <c r="AE2807" s="107"/>
      <c r="AF2807" s="1"/>
      <c r="AG2807" s="97">
        <f ca="1">P_2_minQ+(AG2804^2*R_dn)-dpdn_minQ</f>
        <v>60</v>
      </c>
      <c r="AH2807" s="107"/>
      <c r="AI2807" s="1"/>
      <c r="AJ2807" s="97">
        <f ca="1">P_2_minQ+(AJ2804^2*R_dn)-dpdn_minQ</f>
        <v>60</v>
      </c>
      <c r="AK2807" s="107"/>
      <c r="AL2807" s="1"/>
      <c r="AM2807" s="97">
        <f ca="1">P_2_minQ+(AM2804^2*R_dn)-dpdn_minQ</f>
        <v>60</v>
      </c>
      <c r="AN2807" s="107"/>
      <c r="AO2807" s="1"/>
      <c r="AP2807" s="97">
        <f ca="1">P_2_minQ+(AP2804^2*R_dn)-dpdn_minQ</f>
        <v>60</v>
      </c>
      <c r="AQ2807" s="107"/>
      <c r="AR2807" s="1"/>
      <c r="AS2807" s="97">
        <f ca="1">P_2_minQ+(AS2804^2*R_dn)-dpdn_minQ</f>
        <v>60</v>
      </c>
      <c r="AT2807" s="107"/>
      <c r="AU2807" s="1"/>
    </row>
    <row r="2808" spans="15:47" x14ac:dyDescent="0.25">
      <c r="O2808" s="8" t="s">
        <v>138</v>
      </c>
      <c r="P2808" s="1"/>
      <c r="Q2808" s="8"/>
      <c r="R2808" s="97">
        <f>R2806-R2807</f>
        <v>30.137949858907419</v>
      </c>
      <c r="S2808" s="106"/>
      <c r="T2808" s="22"/>
      <c r="U2808" s="97">
        <f ca="1">U2806-U2807</f>
        <v>28.899773392234948</v>
      </c>
      <c r="V2808" s="110"/>
      <c r="W2808" s="25"/>
      <c r="X2808" s="97">
        <f ca="1">X2806-X2807</f>
        <v>22.478833285251213</v>
      </c>
      <c r="Y2808" s="110"/>
      <c r="Z2808" s="25"/>
      <c r="AA2808" s="97">
        <f ca="1">AA2806-AA2807</f>
        <v>0.94992790166025998</v>
      </c>
      <c r="AB2808" s="110"/>
      <c r="AC2808" s="25"/>
      <c r="AD2808" s="97">
        <f ca="1">AD2806-AD2807</f>
        <v>-52.101280305034422</v>
      </c>
      <c r="AE2808" s="110"/>
      <c r="AF2808" s="25"/>
      <c r="AG2808" s="97">
        <f ca="1">AG2806-AG2807</f>
        <v>-145.10290551803632</v>
      </c>
      <c r="AH2808" s="110"/>
      <c r="AI2808" s="25"/>
      <c r="AJ2808" s="97">
        <f ca="1">AJ2806-AJ2807</f>
        <v>-281.9853671591988</v>
      </c>
      <c r="AK2808" s="110"/>
      <c r="AL2808" s="25"/>
      <c r="AM2808" s="97">
        <f ca="1">AM2806-AM2807</f>
        <v>-434.59415817802255</v>
      </c>
      <c r="AN2808" s="110"/>
      <c r="AO2808" s="25"/>
      <c r="AP2808" s="97">
        <f ca="1">AP2806-AP2807</f>
        <v>-596.2670983179944</v>
      </c>
      <c r="AQ2808" s="110"/>
      <c r="AR2808" s="25"/>
      <c r="AS2808" s="97">
        <f ca="1">AS2806-AS2807</f>
        <v>-831.14948832501409</v>
      </c>
      <c r="AT2808" s="110"/>
      <c r="AU2808" s="25"/>
    </row>
    <row r="2809" spans="15:47" ht="14.4" x14ac:dyDescent="0.3">
      <c r="O2809" s="2" t="s">
        <v>140</v>
      </c>
      <c r="P2809" s="11"/>
      <c r="Q2809" s="2"/>
      <c r="R2809" s="96">
        <f>R2808/R2806</f>
        <v>0.33435362026851323</v>
      </c>
      <c r="S2809" s="106"/>
      <c r="T2809" s="22"/>
      <c r="U2809" s="96">
        <f ca="1">U2808/U2806</f>
        <v>0.32508264407746207</v>
      </c>
      <c r="V2809" s="111"/>
      <c r="W2809" s="28"/>
      <c r="X2809" s="96">
        <f ca="1">X2808/X2806</f>
        <v>0.27254063121272176</v>
      </c>
      <c r="Y2809" s="111"/>
      <c r="Z2809" s="28"/>
      <c r="AA2809" s="96">
        <f ca="1">AA2808/AA2806</f>
        <v>1.5585381875970753E-2</v>
      </c>
      <c r="AB2809" s="111"/>
      <c r="AC2809" s="28"/>
      <c r="AD2809" s="96">
        <f ca="1">AD2808/AD2806</f>
        <v>-6.5961677736510032</v>
      </c>
      <c r="AE2809" s="111"/>
      <c r="AF2809" s="28"/>
      <c r="AG2809" s="96">
        <f ca="1">AG2808/AG2806</f>
        <v>1.7050288075920494</v>
      </c>
      <c r="AH2809" s="111"/>
      <c r="AI2809" s="28"/>
      <c r="AJ2809" s="96">
        <f ca="1">AJ2808/AJ2806</f>
        <v>1.2702880859573527</v>
      </c>
      <c r="AK2809" s="111"/>
      <c r="AL2809" s="28"/>
      <c r="AM2809" s="96">
        <f ca="1">AM2808/AM2806</f>
        <v>1.1601733467810396</v>
      </c>
      <c r="AN2809" s="111"/>
      <c r="AO2809" s="28"/>
      <c r="AP2809" s="96">
        <f ca="1">AP2808/AP2806</f>
        <v>1.1118845444521777</v>
      </c>
      <c r="AQ2809" s="111"/>
      <c r="AR2809" s="28"/>
      <c r="AS2809" s="96">
        <f ca="1">AS2808/AS2806</f>
        <v>1.0778059259694561</v>
      </c>
      <c r="AT2809" s="111"/>
      <c r="AU2809" s="28"/>
    </row>
    <row r="2810" spans="15:47" x14ac:dyDescent="0.25">
      <c r="O2810" s="2" t="s">
        <v>21</v>
      </c>
      <c r="P2810" s="8">
        <v>12</v>
      </c>
      <c r="Q2810" s="2"/>
      <c r="R2810" s="96">
        <f ca="1">1-R2809/(3*F_GAMMA*R$29)</f>
        <v>0.82586556969291225</v>
      </c>
      <c r="S2810" s="106"/>
      <c r="T2810" s="22"/>
      <c r="U2810" s="96">
        <f ca="1">1-U2809/(3*F_GAMMA*U$29)</f>
        <v>0.83073331141081641</v>
      </c>
      <c r="V2810" s="111"/>
      <c r="W2810" s="28"/>
      <c r="X2810" s="96">
        <f ca="1">1-X2809/(3*F_GAMMA*X$29)</f>
        <v>0.85673974520936835</v>
      </c>
      <c r="Y2810" s="111"/>
      <c r="Z2810" s="28"/>
      <c r="AA2810" s="96">
        <f ca="1">1-AA2809/(3*F_GAMMA*AA$29)</f>
        <v>0.99169210470766955</v>
      </c>
      <c r="AB2810" s="111"/>
      <c r="AC2810" s="28"/>
      <c r="AD2810" s="96">
        <f ca="1">1-AD2809/(3*F_GAMMA*AD$29)</f>
        <v>4.6251826983130941</v>
      </c>
      <c r="AE2810" s="111"/>
      <c r="AF2810" s="28"/>
      <c r="AG2810" s="96">
        <f ca="1">1-AG2809/(3*F_GAMMA*AG$29)</f>
        <v>6.7048320473871437E-3</v>
      </c>
      <c r="AH2810" s="111"/>
      <c r="AI2810" s="28"/>
      <c r="AJ2810" s="96">
        <f ca="1">1-AJ2809/(3*F_GAMMA*AJ$29)</f>
        <v>0.2038299519843092</v>
      </c>
      <c r="AK2810" s="111"/>
      <c r="AL2810" s="28"/>
      <c r="AM2810" s="96">
        <f ca="1">1-AM2809/(3*F_GAMMA*AM$29)</f>
        <v>0.18698170503491263</v>
      </c>
      <c r="AN2810" s="111"/>
      <c r="AO2810" s="28"/>
      <c r="AP2810" s="96">
        <f ca="1">1-AP2809/(3*F_GAMMA*AP$29)</f>
        <v>0.37239274528840316</v>
      </c>
      <c r="AQ2810" s="111"/>
      <c r="AR2810" s="28"/>
      <c r="AS2810" s="96">
        <f ca="1">1-AS2809/(3*F_GAMMA*AS$29)</f>
        <v>4.6248415096448059E-2</v>
      </c>
      <c r="AT2810" s="111"/>
      <c r="AU2810" s="28"/>
    </row>
    <row r="2811" spans="15:47" x14ac:dyDescent="0.25">
      <c r="O2811" s="2" t="s">
        <v>57</v>
      </c>
      <c r="P2811" s="143">
        <v>7</v>
      </c>
      <c r="Q2811" s="2"/>
      <c r="R2811" s="96">
        <f ca="1">(R2804/(N_9*R$27*R2806*R2810))*SQRT(M*'Valve Sizing'!$W$6*'Valve Sizing'!$G$8/R2809)</f>
        <v>6.4966078844720352</v>
      </c>
      <c r="S2811" s="107"/>
      <c r="T2811" s="22"/>
      <c r="U2811" s="96">
        <f ca="1">(U2804/(N_9*U$27*U2806*U2810))*SQRT(M*'Valve Sizing'!$W$6*'Valve Sizing'!$G$8/U2809)</f>
        <v>34.718556499987258</v>
      </c>
      <c r="V2811" s="111"/>
      <c r="W2811" s="28"/>
      <c r="X2811" s="96">
        <f ca="1">(X2804/(N_9*X$27*X2806*X2810))*SQRT(M*'Valve Sizing'!$W$6*'Valve Sizing'!$G$8/X2809)</f>
        <v>97.260392838438989</v>
      </c>
      <c r="Y2811" s="111"/>
      <c r="Z2811" s="28"/>
      <c r="AA2811" s="96">
        <f ca="1">(AA2804/(N_9*AA$27*AA2806*AA2810))*SQRT(M*'Valve Sizing'!$W$6*'Valve Sizing'!$G$8/AA2809)</f>
        <v>931.61389717738871</v>
      </c>
      <c r="AB2811" s="111"/>
      <c r="AC2811" s="28"/>
      <c r="AD2811" s="96" t="e">
        <f ca="1">(AD2804/(N_9*AD$27*AD2806*AD2810))*SQRT(M*'Valve Sizing'!$W$6*'Valve Sizing'!$G$8/AD2809)</f>
        <v>#NUM!</v>
      </c>
      <c r="AE2811" s="111"/>
      <c r="AF2811" s="28"/>
      <c r="AG2811" s="96">
        <f ca="1">(AG2804/(N_9*AG$27*AG2806*AG2810))*SQRT(M*'Valve Sizing'!$W$6*'Valve Sizing'!$G$8/AG2809)</f>
        <v>-23915.664123406332</v>
      </c>
      <c r="AH2811" s="111"/>
      <c r="AI2811" s="28"/>
      <c r="AJ2811" s="96">
        <f ca="1">(AJ2804/(N_9*AJ$27*AJ2806*AJ2810))*SQRT(M*'Valve Sizing'!$W$6*'Valve Sizing'!$G$8/AJ2809)</f>
        <v>-483.14780834878837</v>
      </c>
      <c r="AK2811" s="111"/>
      <c r="AL2811" s="28"/>
      <c r="AM2811" s="96">
        <f ca="1">(AM2804/(N_9*AM$27*AM2806*AM2810))*SQRT(M*'Valve Sizing'!$W$6*'Valve Sizing'!$G$8/AM2809)</f>
        <v>-422.81276082046435</v>
      </c>
      <c r="AN2811" s="111"/>
      <c r="AO2811" s="28"/>
      <c r="AP2811" s="96">
        <f ca="1">(AP2804/(N_9*AP$27*AP2806*AP2810))*SQRT(M*'Valve Sizing'!$W$6*'Valve Sizing'!$G$8/AP2809)</f>
        <v>-200.16793358344862</v>
      </c>
      <c r="AQ2811" s="111"/>
      <c r="AR2811" s="28"/>
      <c r="AS2811" s="96">
        <f ca="1">(AS2804/(N_9*AS$27*AS2806*AS2810))*SQRT(M*'Valve Sizing'!$W$6*'Valve Sizing'!$G$8/AS2809)</f>
        <v>-1787.9279119102796</v>
      </c>
      <c r="AT2811" s="111"/>
      <c r="AU2811" s="28"/>
    </row>
    <row r="2812" spans="15:47" x14ac:dyDescent="0.25">
      <c r="O2812" s="2" t="s">
        <v>59</v>
      </c>
      <c r="P2812" s="143">
        <v>7</v>
      </c>
      <c r="Q2812" s="2"/>
      <c r="R2812" s="96">
        <f ca="1">(R2804/(N_9*R$27*R2806*0.667))*SQRT(M*'Valve Sizing'!$W$6*'Valve Sizing'!$G$8/R2813)</f>
        <v>5.8139746493503459</v>
      </c>
      <c r="S2812" s="107"/>
      <c r="T2812" s="22"/>
      <c r="U2812" s="96">
        <f ca="1">(U2804/(N_9*U$27*U2806*0.667))*SQRT(M*'Valve Sizing'!$W$6*'Valve Sizing'!$G$8/U2813)</f>
        <v>30.813698447792916</v>
      </c>
      <c r="V2812" s="111"/>
      <c r="W2812" s="28"/>
      <c r="X2812" s="96">
        <f ca="1">(X2804/(N_9*X$27*X2806*0.667))*SQRT(M*'Valve Sizing'!$W$6*'Valve Sizing'!$G$8/X2813)</f>
        <v>81.899752106836544</v>
      </c>
      <c r="Y2812" s="111"/>
      <c r="Z2812" s="28"/>
      <c r="AA2812" s="96">
        <f ca="1">(AA2804/(N_9*AA$27*AA2806*0.667))*SQRT(M*'Valve Sizing'!$W$6*'Valve Sizing'!$G$8/AA2813)</f>
        <v>218.67196857236507</v>
      </c>
      <c r="AB2812" s="111"/>
      <c r="AC2812" s="28"/>
      <c r="AD2812" s="96">
        <f ca="1">(AD2804/(N_9*AD$27*AD2806*0.667))*SQRT(M*'Valve Sizing'!$W$6*'Valve Sizing'!$G$8/AD2813)</f>
        <v>2910.0488123050914</v>
      </c>
      <c r="AE2812" s="111"/>
      <c r="AF2812" s="28"/>
      <c r="AG2812" s="96">
        <f ca="1">(AG2804/(N_9*AG$27*AG2806*0.667))*SQRT(M*'Valve Sizing'!$W$6*'Valve Sizing'!$G$8/AG2813)</f>
        <v>-414.99637558434569</v>
      </c>
      <c r="AH2812" s="111"/>
      <c r="AI2812" s="28"/>
      <c r="AJ2812" s="96">
        <f ca="1">(AJ2804/(N_9*AJ$27*AJ2806*0.667))*SQRT(M*'Valve Sizing'!$W$6*'Valve Sizing'!$G$8/AJ2813)</f>
        <v>-228.18428278388444</v>
      </c>
      <c r="AK2812" s="111"/>
      <c r="AL2812" s="28"/>
      <c r="AM2812" s="96">
        <f ca="1">(AM2804/(N_9*AM$27*AM2806*0.667))*SQRT(M*'Valve Sizing'!$W$6*'Valve Sizing'!$G$8/AM2813)</f>
        <v>-185.11096912464359</v>
      </c>
      <c r="AN2812" s="111"/>
      <c r="AO2812" s="28"/>
      <c r="AP2812" s="96">
        <f ca="1">(AP2804/(N_9*AP$27*AP2806*0.667))*SQRT(M*'Valve Sizing'!$W$6*'Valve Sizing'!$G$8/AP2813)</f>
        <v>-153.34671909308912</v>
      </c>
      <c r="AQ2812" s="111"/>
      <c r="AR2812" s="28"/>
      <c r="AS2812" s="96">
        <f ca="1">(AS2804/(N_9*AS$27*AS2806*0.667))*SQRT(M*'Valve Sizing'!$W$6*'Valve Sizing'!$G$8/AS2813)</f>
        <v>-209.700414279868</v>
      </c>
      <c r="AT2812" s="111"/>
      <c r="AU2812" s="28"/>
    </row>
    <row r="2813" spans="15:47" ht="15.6" x14ac:dyDescent="0.35">
      <c r="O2813" s="2" t="s">
        <v>68</v>
      </c>
      <c r="P2813" s="143">
        <v>10</v>
      </c>
      <c r="Q2813" s="2"/>
      <c r="R2813" s="96">
        <f ca="1">F_GAMMA*R$29</f>
        <v>0.64002969751372984</v>
      </c>
      <c r="S2813" s="107"/>
      <c r="T2813" s="1"/>
      <c r="U2813" s="96">
        <f ca="1">F_GAMMA*U$29</f>
        <v>0.64017842058782071</v>
      </c>
      <c r="V2813" s="111"/>
      <c r="W2813" s="28"/>
      <c r="X2813" s="96">
        <f ca="1">F_GAMMA*X$29</f>
        <v>0.63413873724904268</v>
      </c>
      <c r="Y2813" s="111"/>
      <c r="Z2813" s="28"/>
      <c r="AA2813" s="96">
        <f ca="1">F_GAMMA*AA$29</f>
        <v>0.62532411750377137</v>
      </c>
      <c r="AB2813" s="111"/>
      <c r="AC2813" s="28"/>
      <c r="AD2813" s="96">
        <f ca="1">F_GAMMA*AD$29</f>
        <v>0.60651359509139569</v>
      </c>
      <c r="AE2813" s="111"/>
      <c r="AF2813" s="28"/>
      <c r="AG2813" s="96">
        <f ca="1">F_GAMMA*AG$29</f>
        <v>0.57217930198481592</v>
      </c>
      <c r="AH2813" s="111"/>
      <c r="AI2813" s="28"/>
      <c r="AJ2813" s="96">
        <f ca="1">F_GAMMA*AJ$29</f>
        <v>0.53183282018848232</v>
      </c>
      <c r="AK2813" s="111"/>
      <c r="AL2813" s="28"/>
      <c r="AM2813" s="96">
        <f ca="1">F_GAMMA*AM$29</f>
        <v>0.47566512503094399</v>
      </c>
      <c r="AN2813" s="111"/>
      <c r="AO2813" s="28"/>
      <c r="AP2813" s="96">
        <f ca="1">F_GAMMA*AP$29</f>
        <v>0.59054158265645496</v>
      </c>
      <c r="AQ2813" s="111"/>
      <c r="AR2813" s="28"/>
      <c r="AS2813" s="96">
        <f ca="1">F_GAMMA*AS$29</f>
        <v>0.3766899554102966</v>
      </c>
      <c r="AT2813" s="111"/>
      <c r="AU2813" s="28"/>
    </row>
    <row r="2814" spans="15:47" x14ac:dyDescent="0.25">
      <c r="O2814" s="2" t="s">
        <v>145</v>
      </c>
      <c r="P2814" s="12"/>
      <c r="Q2814" s="2"/>
      <c r="R2814" s="96">
        <f ca="1">IF(R2809&lt;R2813,R2811,R2812)</f>
        <v>6.4966078844720352</v>
      </c>
      <c r="S2814" s="116"/>
      <c r="T2814" s="1"/>
      <c r="U2814" s="96">
        <f ca="1">IF(U2809&lt;U2813,U2811,U2812)</f>
        <v>34.718556499987258</v>
      </c>
      <c r="V2814" s="111"/>
      <c r="W2814" s="28"/>
      <c r="X2814" s="96">
        <f ca="1">IF(X2809&lt;X2813,X2811,X2812)</f>
        <v>97.260392838438989</v>
      </c>
      <c r="Y2814" s="111"/>
      <c r="Z2814" s="28"/>
      <c r="AA2814" s="96">
        <f ca="1">IF(AA2809&lt;AA2813,AA2811,AA2812)</f>
        <v>931.61389717738871</v>
      </c>
      <c r="AB2814" s="111"/>
      <c r="AC2814" s="28"/>
      <c r="AD2814" s="96" t="e">
        <f ca="1">IF(AD2809&lt;AD2813,AD2811,AD2812)</f>
        <v>#NUM!</v>
      </c>
      <c r="AE2814" s="111"/>
      <c r="AF2814" s="28"/>
      <c r="AG2814" s="96">
        <f ca="1">IF(AG2809&lt;AG2813,AG2811,AG2812)</f>
        <v>-414.99637558434569</v>
      </c>
      <c r="AH2814" s="111"/>
      <c r="AI2814" s="28"/>
      <c r="AJ2814" s="96">
        <f ca="1">IF(AJ2809&lt;AJ2813,AJ2811,AJ2812)</f>
        <v>-228.18428278388444</v>
      </c>
      <c r="AK2814" s="111"/>
      <c r="AL2814" s="28"/>
      <c r="AM2814" s="96">
        <f ca="1">IF(AM2809&lt;AM2813,AM2811,AM2812)</f>
        <v>-185.11096912464359</v>
      </c>
      <c r="AN2814" s="111"/>
      <c r="AO2814" s="28"/>
      <c r="AP2814" s="96">
        <f ca="1">IF(AP2809&lt;AP2813,AP2811,AP2812)</f>
        <v>-153.34671909308912</v>
      </c>
      <c r="AQ2814" s="111"/>
      <c r="AR2814" s="28"/>
      <c r="AS2814" s="96">
        <f ca="1">IF(AS2809&lt;AS2813,AS2811,AS2812)</f>
        <v>-209.700414279868</v>
      </c>
      <c r="AT2814" s="111"/>
      <c r="AU2814" s="28"/>
    </row>
    <row r="2815" spans="15:47" x14ac:dyDescent="0.25">
      <c r="O2815" s="13" t="s">
        <v>143</v>
      </c>
      <c r="P2815" s="1"/>
      <c r="Q2815" s="1"/>
      <c r="R2815" s="113"/>
      <c r="S2815" s="106">
        <f ca="1">IF(R2808&lt;=0,Q_max,ABS(R$23-R2814))</f>
        <v>1.7666078844720348</v>
      </c>
      <c r="T2815" s="7">
        <f>R2804</f>
        <v>16073.878173565927</v>
      </c>
      <c r="U2815" s="98"/>
      <c r="V2815" s="106">
        <f ca="1">IF(U2808&lt;=0,Q_max,ABS(U$23-U2814))</f>
        <v>23.118556499987257</v>
      </c>
      <c r="W2815" s="9">
        <f ca="1">U2804</f>
        <v>83974.984662224451</v>
      </c>
      <c r="X2815" s="98"/>
      <c r="Y2815" s="106">
        <f ca="1">IF(X2808&lt;=0,Q_max,ABS(X$23-X2814))</f>
        <v>74.260392838438989</v>
      </c>
      <c r="Z2815" s="9">
        <f ca="1">X2804</f>
        <v>205623.89129702793</v>
      </c>
      <c r="AA2815" s="98"/>
      <c r="AB2815" s="106">
        <f ca="1">IF(AA2808&lt;=0,Q_max,ABS(AA$23-AA2814))</f>
        <v>892.21389717738873</v>
      </c>
      <c r="AC2815" s="9">
        <f ca="1">AA2804</f>
        <v>400502.85569148249</v>
      </c>
      <c r="AD2815" s="98"/>
      <c r="AE2815" s="106">
        <f ca="1">IF(AD2808&lt;=0,Q_max,ABS(AD$23-AD2814))</f>
        <v>236393</v>
      </c>
      <c r="AF2815" s="9">
        <f ca="1">AD2804</f>
        <v>671919.20400787261</v>
      </c>
      <c r="AG2815" s="98"/>
      <c r="AH2815" s="106">
        <f ca="1">IF(AG2808&lt;=0,Q_max,ABS(AG$23-AG2814))</f>
        <v>236393</v>
      </c>
      <c r="AI2815" s="9">
        <f ca="1">AG2804</f>
        <v>980684.37873618945</v>
      </c>
      <c r="AJ2815" s="98"/>
      <c r="AK2815" s="106">
        <f ca="1">IF(AJ2808&lt;=0,Q_max,ABS(AJ$23-AJ2814))</f>
        <v>236393</v>
      </c>
      <c r="AL2815" s="9">
        <f ca="1">AJ2804</f>
        <v>1308727.1051123741</v>
      </c>
      <c r="AM2815" s="98"/>
      <c r="AN2815" s="106">
        <f ca="1">IF(AM2808&lt;=0,Q_max,ABS(AM$23-AM2814))</f>
        <v>236393</v>
      </c>
      <c r="AO2815" s="9">
        <f ca="1">AM2804</f>
        <v>1596895.7786680546</v>
      </c>
      <c r="AP2815" s="98"/>
      <c r="AQ2815" s="106">
        <f ca="1">IF(AP2808&lt;=0,Q_max,ABS(AP$23-AP2814))</f>
        <v>236393</v>
      </c>
      <c r="AR2815" s="9">
        <f ca="1">AP2804</f>
        <v>1853946.4239950122</v>
      </c>
      <c r="AS2815" s="98"/>
      <c r="AT2815" s="106">
        <f ca="1">IF(AS2808&lt;=0,Q_max,ABS(AS$23-AS2814))</f>
        <v>236393</v>
      </c>
      <c r="AU2815" s="9">
        <f ca="1">AS2804</f>
        <v>2173897.9856092078</v>
      </c>
    </row>
    <row r="2816" spans="15:47" x14ac:dyDescent="0.25">
      <c r="O2816" s="21"/>
      <c r="P2816" s="14"/>
      <c r="Q2816" s="21"/>
      <c r="R2816" s="97"/>
      <c r="S2816" s="106"/>
      <c r="T2816" s="28"/>
      <c r="U2816" s="97"/>
      <c r="V2816" s="111"/>
      <c r="W2816" s="28"/>
      <c r="X2816" s="97"/>
      <c r="Y2816" s="111"/>
      <c r="Z2816" s="28"/>
      <c r="AA2816" s="97"/>
      <c r="AB2816" s="111"/>
      <c r="AC2816" s="28"/>
      <c r="AD2816" s="97"/>
      <c r="AE2816" s="111"/>
      <c r="AF2816" s="28"/>
      <c r="AG2816" s="97"/>
      <c r="AH2816" s="111"/>
      <c r="AI2816" s="28"/>
      <c r="AJ2816" s="97"/>
      <c r="AK2816" s="111"/>
      <c r="AL2816" s="28"/>
      <c r="AM2816" s="97"/>
      <c r="AN2816" s="111"/>
      <c r="AO2816" s="28"/>
      <c r="AP2816" s="97"/>
      <c r="AQ2816" s="111"/>
      <c r="AR2816" s="28"/>
      <c r="AS2816" s="97"/>
      <c r="AT2816" s="111"/>
      <c r="AU2816" s="28"/>
    </row>
    <row r="2817" spans="15:47" x14ac:dyDescent="0.25">
      <c r="O2817" s="1"/>
      <c r="P2817" s="1"/>
      <c r="Q2817" s="1"/>
      <c r="R2817" s="98"/>
      <c r="S2817" s="108" t="s">
        <v>137</v>
      </c>
      <c r="T2817" s="26" t="s">
        <v>146</v>
      </c>
      <c r="U2817" s="98"/>
      <c r="V2817" s="108" t="s">
        <v>137</v>
      </c>
      <c r="W2817" s="26" t="s">
        <v>146</v>
      </c>
      <c r="X2817" s="98"/>
      <c r="Y2817" s="108" t="s">
        <v>137</v>
      </c>
      <c r="Z2817" s="26" t="s">
        <v>146</v>
      </c>
      <c r="AA2817" s="98"/>
      <c r="AB2817" s="108" t="s">
        <v>137</v>
      </c>
      <c r="AC2817" s="26" t="s">
        <v>146</v>
      </c>
      <c r="AD2817" s="98"/>
      <c r="AE2817" s="108" t="s">
        <v>137</v>
      </c>
      <c r="AF2817" s="26" t="s">
        <v>146</v>
      </c>
      <c r="AG2817" s="98"/>
      <c r="AH2817" s="108" t="s">
        <v>137</v>
      </c>
      <c r="AI2817" s="26" t="s">
        <v>146</v>
      </c>
      <c r="AJ2817" s="98"/>
      <c r="AK2817" s="108" t="s">
        <v>137</v>
      </c>
      <c r="AL2817" s="26" t="s">
        <v>146</v>
      </c>
      <c r="AM2817" s="98"/>
      <c r="AN2817" s="108" t="s">
        <v>137</v>
      </c>
      <c r="AO2817" s="26" t="s">
        <v>146</v>
      </c>
      <c r="AP2817" s="98"/>
      <c r="AQ2817" s="108" t="s">
        <v>137</v>
      </c>
      <c r="AR2817" s="26" t="s">
        <v>146</v>
      </c>
      <c r="AS2817" s="98"/>
      <c r="AT2817" s="108" t="s">
        <v>137</v>
      </c>
      <c r="AU2817" s="26" t="s">
        <v>146</v>
      </c>
    </row>
    <row r="2818" spans="15:47" ht="13.8" x14ac:dyDescent="0.25">
      <c r="O2818" s="20" t="s">
        <v>136</v>
      </c>
      <c r="P2818" s="1"/>
      <c r="Q2818" s="1"/>
      <c r="R2818" s="96">
        <f>R2804*1.02</f>
        <v>16395.355737037247</v>
      </c>
      <c r="S2818" s="109" t="s">
        <v>144</v>
      </c>
      <c r="T2818" s="23" t="s">
        <v>147</v>
      </c>
      <c r="U2818" s="96">
        <f ca="1">U2804*1.01</f>
        <v>84814.734508846697</v>
      </c>
      <c r="V2818" s="109" t="s">
        <v>144</v>
      </c>
      <c r="W2818" s="23" t="s">
        <v>147</v>
      </c>
      <c r="X2818" s="96">
        <f ca="1">X2804*1.01</f>
        <v>207680.13020999823</v>
      </c>
      <c r="Y2818" s="109" t="s">
        <v>144</v>
      </c>
      <c r="Z2818" s="23" t="s">
        <v>147</v>
      </c>
      <c r="AA2818" s="96">
        <f ca="1">AA2804*1.01</f>
        <v>404507.88424839731</v>
      </c>
      <c r="AB2818" s="109" t="s">
        <v>144</v>
      </c>
      <c r="AC2818" s="23" t="s">
        <v>147</v>
      </c>
      <c r="AD2818" s="96">
        <f ca="1">AD2804*1.01</f>
        <v>678638.3960479513</v>
      </c>
      <c r="AE2818" s="109" t="s">
        <v>144</v>
      </c>
      <c r="AF2818" s="23" t="s">
        <v>147</v>
      </c>
      <c r="AG2818" s="96">
        <f ca="1">AG2804*1.01</f>
        <v>990491.22252355132</v>
      </c>
      <c r="AH2818" s="109" t="s">
        <v>144</v>
      </c>
      <c r="AI2818" s="23" t="s">
        <v>147</v>
      </c>
      <c r="AJ2818" s="96">
        <f ca="1">AJ2804*1.01</f>
        <v>1321814.3761634978</v>
      </c>
      <c r="AK2818" s="109" t="s">
        <v>144</v>
      </c>
      <c r="AL2818" s="23" t="s">
        <v>147</v>
      </c>
      <c r="AM2818" s="96">
        <f ca="1">AM2804*1.01</f>
        <v>1612864.7364547353</v>
      </c>
      <c r="AN2818" s="109" t="s">
        <v>144</v>
      </c>
      <c r="AO2818" s="23" t="s">
        <v>147</v>
      </c>
      <c r="AP2818" s="96">
        <f ca="1">AP2804*1.01</f>
        <v>1872485.8882349622</v>
      </c>
      <c r="AQ2818" s="109" t="s">
        <v>144</v>
      </c>
      <c r="AR2818" s="23" t="s">
        <v>147</v>
      </c>
      <c r="AS2818" s="96">
        <f ca="1">AS2804*1.01</f>
        <v>2195636.9654652998</v>
      </c>
      <c r="AT2818" s="109" t="s">
        <v>144</v>
      </c>
      <c r="AU2818" s="23" t="s">
        <v>147</v>
      </c>
    </row>
    <row r="2819" spans="15:47" x14ac:dyDescent="0.25">
      <c r="O2819" s="1"/>
      <c r="P2819" s="1"/>
      <c r="Q2819" s="1"/>
      <c r="R2819" s="98"/>
      <c r="S2819" s="107"/>
      <c r="T2819" s="1"/>
      <c r="U2819" s="47"/>
      <c r="V2819" s="107"/>
      <c r="W2819" s="1"/>
      <c r="X2819" s="47"/>
      <c r="Y2819" s="107"/>
      <c r="Z2819" s="1"/>
      <c r="AA2819" s="47"/>
      <c r="AB2819" s="107"/>
      <c r="AC2819" s="1"/>
      <c r="AD2819" s="47"/>
      <c r="AE2819" s="107"/>
      <c r="AF2819" s="1"/>
      <c r="AG2819" s="47"/>
      <c r="AH2819" s="107"/>
      <c r="AI2819" s="1"/>
      <c r="AJ2819" s="47"/>
      <c r="AK2819" s="107"/>
      <c r="AL2819" s="1"/>
      <c r="AM2819" s="47"/>
      <c r="AN2819" s="107"/>
      <c r="AO2819" s="1"/>
      <c r="AP2819" s="47"/>
      <c r="AQ2819" s="107"/>
      <c r="AR2819" s="1"/>
      <c r="AS2819" s="47"/>
      <c r="AT2819" s="107"/>
      <c r="AU2819" s="1"/>
    </row>
    <row r="2820" spans="15:47" x14ac:dyDescent="0.25">
      <c r="O2820" s="8" t="s">
        <v>132</v>
      </c>
      <c r="P2820" s="8"/>
      <c r="Q2820" s="8"/>
      <c r="R2820" s="96">
        <f>P_1_minQ-(R2818^2*R_up)+dpup_minQ</f>
        <v>90.136047395784942</v>
      </c>
      <c r="S2820" s="106"/>
      <c r="T2820" s="22"/>
      <c r="U2820" s="96">
        <f ca="1">P_1_minQ-(U2818^2*R_up)+dpup_minQ</f>
        <v>88.873939522760722</v>
      </c>
      <c r="V2820" s="107"/>
      <c r="W2820" s="1"/>
      <c r="X2820" s="96">
        <f ca="1">P_1_minQ-(X2818^2*R_up)+dpup_minQ</f>
        <v>82.323938519626623</v>
      </c>
      <c r="Y2820" s="107"/>
      <c r="Z2820" s="1"/>
      <c r="AA2820" s="96">
        <f ca="1">P_1_minQ-(AA2818^2*R_up)+dpup_minQ</f>
        <v>60.362302137825495</v>
      </c>
      <c r="AB2820" s="107"/>
      <c r="AC2820" s="1"/>
      <c r="AD2820" s="96">
        <f ca="1">P_1_minQ-(AD2818^2*R_up)+dpup_minQ</f>
        <v>6.2447646461762494</v>
      </c>
      <c r="AE2820" s="107"/>
      <c r="AF2820" s="1"/>
      <c r="AG2820" s="96">
        <f ca="1">P_1_minQ-(AG2818^2*R_up)+dpup_minQ</f>
        <v>-88.626193233606983</v>
      </c>
      <c r="AH2820" s="107"/>
      <c r="AI2820" s="1"/>
      <c r="AJ2820" s="96">
        <f ca="1">P_1_minQ-(AJ2818^2*R_up)+dpup_minQ</f>
        <v>-228.25999235375684</v>
      </c>
      <c r="AK2820" s="107"/>
      <c r="AL2820" s="1"/>
      <c r="AM2820" s="96">
        <f ca="1">P_1_minQ-(AM2818^2*R_up)+dpup_minQ</f>
        <v>-383.93622007205897</v>
      </c>
      <c r="AN2820" s="107"/>
      <c r="AO2820" s="1"/>
      <c r="AP2820" s="96">
        <f ca="1">P_1_minQ-(AP2818^2*R_up)+dpup_minQ</f>
        <v>-548.85878630884417</v>
      </c>
      <c r="AQ2820" s="107"/>
      <c r="AR2820" s="1"/>
      <c r="AS2820" s="96">
        <f ca="1">P_1_minQ-(AS2818^2*R_up)+dpup_minQ</f>
        <v>-788.46231235500488</v>
      </c>
      <c r="AT2820" s="107"/>
      <c r="AU2820" s="1"/>
    </row>
    <row r="2821" spans="15:47" x14ac:dyDescent="0.25">
      <c r="O2821" s="8" t="s">
        <v>134</v>
      </c>
      <c r="P2821" s="1"/>
      <c r="Q2821" s="8"/>
      <c r="R2821" s="97">
        <f>P_2_minQ+(R2818^2*R_dn)-dpdn_minQ</f>
        <v>60</v>
      </c>
      <c r="S2821" s="106"/>
      <c r="T2821" s="22"/>
      <c r="U2821" s="97">
        <f ca="1">P_2_minQ+(U2818^2*R_dn)-dpdn_minQ</f>
        <v>60</v>
      </c>
      <c r="V2821" s="107"/>
      <c r="W2821" s="1"/>
      <c r="X2821" s="97">
        <f ca="1">P_2_minQ+(X2818^2*R_dn)-dpdn_minQ</f>
        <v>60</v>
      </c>
      <c r="Y2821" s="107"/>
      <c r="Z2821" s="1"/>
      <c r="AA2821" s="97">
        <f ca="1">P_2_minQ+(AA2818^2*R_dn)-dpdn_minQ</f>
        <v>60</v>
      </c>
      <c r="AB2821" s="107"/>
      <c r="AC2821" s="1"/>
      <c r="AD2821" s="97">
        <f ca="1">P_2_minQ+(AD2818^2*R_dn)-dpdn_minQ</f>
        <v>60</v>
      </c>
      <c r="AE2821" s="107"/>
      <c r="AF2821" s="1"/>
      <c r="AG2821" s="97">
        <f ca="1">P_2_minQ+(AG2818^2*R_dn)-dpdn_minQ</f>
        <v>60</v>
      </c>
      <c r="AH2821" s="107"/>
      <c r="AI2821" s="1"/>
      <c r="AJ2821" s="97">
        <f ca="1">P_2_minQ+(AJ2818^2*R_dn)-dpdn_minQ</f>
        <v>60</v>
      </c>
      <c r="AK2821" s="107"/>
      <c r="AL2821" s="1"/>
      <c r="AM2821" s="97">
        <f ca="1">P_2_minQ+(AM2818^2*R_dn)-dpdn_minQ</f>
        <v>60</v>
      </c>
      <c r="AN2821" s="107"/>
      <c r="AO2821" s="1"/>
      <c r="AP2821" s="97">
        <f ca="1">P_2_minQ+(AP2818^2*R_dn)-dpdn_minQ</f>
        <v>60</v>
      </c>
      <c r="AQ2821" s="107"/>
      <c r="AR2821" s="1"/>
      <c r="AS2821" s="97">
        <f ca="1">P_2_minQ+(AS2818^2*R_dn)-dpdn_minQ</f>
        <v>60</v>
      </c>
      <c r="AT2821" s="107"/>
      <c r="AU2821" s="1"/>
    </row>
    <row r="2822" spans="15:47" x14ac:dyDescent="0.25">
      <c r="O2822" s="8" t="s">
        <v>138</v>
      </c>
      <c r="P2822" s="1"/>
      <c r="Q2822" s="8"/>
      <c r="R2822" s="97">
        <f>R2820-R2821</f>
        <v>30.136047395784942</v>
      </c>
      <c r="S2822" s="106"/>
      <c r="T2822" s="22"/>
      <c r="U2822" s="97">
        <f ca="1">U2820-U2821</f>
        <v>28.873939522760722</v>
      </c>
      <c r="V2822" s="110"/>
      <c r="W2822" s="25"/>
      <c r="X2822" s="97">
        <f ca="1">X2820-X2821</f>
        <v>22.323938519626623</v>
      </c>
      <c r="Y2822" s="110"/>
      <c r="Z2822" s="25"/>
      <c r="AA2822" s="97">
        <f ca="1">AA2820-AA2821</f>
        <v>0.3623021378254947</v>
      </c>
      <c r="AB2822" s="110"/>
      <c r="AC2822" s="25"/>
      <c r="AD2822" s="97">
        <f ca="1">AD2820-AD2821</f>
        <v>-53.75523535382375</v>
      </c>
      <c r="AE2822" s="110"/>
      <c r="AF2822" s="25"/>
      <c r="AG2822" s="97">
        <f ca="1">AG2820-AG2821</f>
        <v>-148.62619323360698</v>
      </c>
      <c r="AH2822" s="110"/>
      <c r="AI2822" s="25"/>
      <c r="AJ2822" s="97">
        <f ca="1">AJ2820-AJ2821</f>
        <v>-288.25999235375684</v>
      </c>
      <c r="AK2822" s="110"/>
      <c r="AL2822" s="25"/>
      <c r="AM2822" s="97">
        <f ca="1">AM2820-AM2821</f>
        <v>-443.93622007205897</v>
      </c>
      <c r="AN2822" s="110"/>
      <c r="AO2822" s="25"/>
      <c r="AP2822" s="97">
        <f ca="1">AP2820-AP2821</f>
        <v>-608.85878630884417</v>
      </c>
      <c r="AQ2822" s="110"/>
      <c r="AR2822" s="25"/>
      <c r="AS2822" s="97">
        <f ca="1">AS2820-AS2821</f>
        <v>-848.46231235500488</v>
      </c>
      <c r="AT2822" s="110"/>
      <c r="AU2822" s="25"/>
    </row>
    <row r="2823" spans="15:47" ht="14.4" x14ac:dyDescent="0.3">
      <c r="O2823" s="2" t="s">
        <v>140</v>
      </c>
      <c r="P2823" s="11"/>
      <c r="Q2823" s="2"/>
      <c r="R2823" s="96">
        <f>R2822/R2820</f>
        <v>0.33433957075417758</v>
      </c>
      <c r="S2823" s="106"/>
      <c r="T2823" s="22"/>
      <c r="U2823" s="96">
        <f ca="1">U2822/U2820</f>
        <v>0.32488645915562314</v>
      </c>
      <c r="V2823" s="111"/>
      <c r="W2823" s="28"/>
      <c r="X2823" s="96">
        <f ca="1">X2822/X2820</f>
        <v>0.27117189630455346</v>
      </c>
      <c r="Y2823" s="111"/>
      <c r="Z2823" s="28"/>
      <c r="AA2823" s="96">
        <f ca="1">AA2822/AA2820</f>
        <v>6.0021259129290454E-3</v>
      </c>
      <c r="AB2823" s="111"/>
      <c r="AC2823" s="28"/>
      <c r="AD2823" s="96">
        <f ca="1">AD2822/AD2820</f>
        <v>-8.6080482451390345</v>
      </c>
      <c r="AE2823" s="111"/>
      <c r="AF2823" s="28"/>
      <c r="AG2823" s="96">
        <f ca="1">AG2822/AG2820</f>
        <v>1.6770007580247512</v>
      </c>
      <c r="AH2823" s="111"/>
      <c r="AI2823" s="28"/>
      <c r="AJ2823" s="96">
        <f ca="1">AJ2822/AJ2820</f>
        <v>1.2628581530267122</v>
      </c>
      <c r="AK2823" s="111"/>
      <c r="AL2823" s="28"/>
      <c r="AM2823" s="96">
        <f ca="1">AM2822/AM2820</f>
        <v>1.1562759564303127</v>
      </c>
      <c r="AN2823" s="111"/>
      <c r="AO2823" s="28"/>
      <c r="AP2823" s="96">
        <f ca="1">AP2822/AP2820</f>
        <v>1.1093177361767474</v>
      </c>
      <c r="AQ2823" s="111"/>
      <c r="AR2823" s="28"/>
      <c r="AS2823" s="96">
        <f ca="1">AS2822/AS2820</f>
        <v>1.0760974862841448</v>
      </c>
      <c r="AT2823" s="111"/>
      <c r="AU2823" s="28"/>
    </row>
    <row r="2824" spans="15:47" x14ac:dyDescent="0.25">
      <c r="O2824" s="2" t="s">
        <v>21</v>
      </c>
      <c r="P2824" s="8">
        <v>12</v>
      </c>
      <c r="Q2824" s="2"/>
      <c r="R2824" s="96">
        <f ca="1">1-R2823/(3*F_GAMMA*R$29)</f>
        <v>0.82587288680876392</v>
      </c>
      <c r="S2824" s="106"/>
      <c r="T2824" s="22"/>
      <c r="U2824" s="96">
        <f ca="1">1-U2823/(3*F_GAMMA*U$29)</f>
        <v>0.83083546257968321</v>
      </c>
      <c r="V2824" s="111"/>
      <c r="W2824" s="28"/>
      <c r="X2824" s="96">
        <f ca="1">1-X2823/(3*F_GAMMA*X$29)</f>
        <v>0.85745921705770345</v>
      </c>
      <c r="Y2824" s="111"/>
      <c r="Z2824" s="28"/>
      <c r="AA2824" s="96">
        <f ca="1">1-AA2823/(3*F_GAMMA*AA$29)</f>
        <v>0.99680052538893005</v>
      </c>
      <c r="AB2824" s="111"/>
      <c r="AC2824" s="28"/>
      <c r="AD2824" s="96">
        <f ca="1">1-AD2823/(3*F_GAMMA*AD$29)</f>
        <v>5.7308905163353545</v>
      </c>
      <c r="AE2824" s="111"/>
      <c r="AF2824" s="28"/>
      <c r="AG2824" s="96">
        <f ca="1">1-AG2823/(3*F_GAMMA*AG$29)</f>
        <v>2.3033075932985314E-2</v>
      </c>
      <c r="AH2824" s="111"/>
      <c r="AI2824" s="28"/>
      <c r="AJ2824" s="96">
        <f ca="1">1-AJ2823/(3*F_GAMMA*AJ$29)</f>
        <v>0.20848676182416781</v>
      </c>
      <c r="AK2824" s="111"/>
      <c r="AL2824" s="28"/>
      <c r="AM2824" s="96">
        <f ca="1">1-AM2823/(3*F_GAMMA*AM$29)</f>
        <v>0.1897128914274917</v>
      </c>
      <c r="AN2824" s="111"/>
      <c r="AO2824" s="28"/>
      <c r="AP2824" s="96">
        <f ca="1">1-AP2823/(3*F_GAMMA*AP$29)</f>
        <v>0.3738415895080226</v>
      </c>
      <c r="AQ2824" s="111"/>
      <c r="AR2824" s="28"/>
      <c r="AS2824" s="96">
        <f ca="1">1-AS2823/(3*F_GAMMA*AS$29)</f>
        <v>4.7760215150908003E-2</v>
      </c>
      <c r="AT2824" s="111"/>
      <c r="AU2824" s="28"/>
    </row>
    <row r="2825" spans="15:47" x14ac:dyDescent="0.25">
      <c r="O2825" s="2" t="s">
        <v>57</v>
      </c>
      <c r="P2825" s="143">
        <v>7</v>
      </c>
      <c r="Q2825" s="2"/>
      <c r="R2825" s="96">
        <f ca="1">(R2818/(N_9*R$27*R2820*R2824))*SQRT(M*'Valve Sizing'!$W$6*'Valve Sizing'!$G$8/R2823)</f>
        <v>6.6267604237326188</v>
      </c>
      <c r="S2825" s="107"/>
      <c r="T2825" s="22"/>
      <c r="U2825" s="96">
        <f ca="1">(U2818/(N_9*U$27*U2820*U2824))*SQRT(M*'Valve Sizing'!$W$6*'Valve Sizing'!$G$8/U2823)</f>
        <v>35.082209910028915</v>
      </c>
      <c r="V2825" s="111"/>
      <c r="W2825" s="28"/>
      <c r="X2825" s="96">
        <f ca="1">(X2818/(N_9*X$27*X2820*X2824))*SQRT(M*'Valve Sizing'!$W$6*'Valve Sizing'!$G$8/X2823)</f>
        <v>98.583105265280949</v>
      </c>
      <c r="Y2825" s="111"/>
      <c r="Z2825" s="28"/>
      <c r="AA2825" s="96">
        <f ca="1">(AA2818/(N_9*AA$27*AA2820*AA2824))*SQRT(M*'Valve Sizing'!$W$6*'Valve Sizing'!$G$8/AA2823)</f>
        <v>1523.1388795682392</v>
      </c>
      <c r="AB2825" s="111"/>
      <c r="AC2825" s="28"/>
      <c r="AD2825" s="96" t="e">
        <f ca="1">(AD2818/(N_9*AD$27*AD2820*AD2824))*SQRT(M*'Valve Sizing'!$W$6*'Valve Sizing'!$G$8/AD2823)</f>
        <v>#NUM!</v>
      </c>
      <c r="AE2825" s="111"/>
      <c r="AF2825" s="28"/>
      <c r="AG2825" s="96">
        <f ca="1">(AG2818/(N_9*AG$27*AG2820*AG2824))*SQRT(M*'Valve Sizing'!$W$6*'Valve Sizing'!$G$8/AG2823)</f>
        <v>-6808.0275844175749</v>
      </c>
      <c r="AH2825" s="111"/>
      <c r="AI2825" s="28"/>
      <c r="AJ2825" s="96">
        <f ca="1">(AJ2818/(N_9*AJ$27*AJ2820*AJ2824))*SQRT(M*'Valve Sizing'!$W$6*'Valve Sizing'!$G$8/AJ2823)</f>
        <v>-465.3281020310983</v>
      </c>
      <c r="AK2825" s="111"/>
      <c r="AL2825" s="28"/>
      <c r="AM2825" s="96">
        <f ca="1">(AM2818/(N_9*AM$27*AM2820*AM2824))*SQRT(M*'Valve Sizing'!$W$6*'Valve Sizing'!$G$8/AM2823)</f>
        <v>-411.34321895250446</v>
      </c>
      <c r="AN2825" s="111"/>
      <c r="AO2825" s="28"/>
      <c r="AP2825" s="96">
        <f ca="1">(AP2818/(N_9*AP$27*AP2820*AP2824))*SQRT(M*'Valve Sizing'!$W$6*'Valve Sizing'!$G$8/AP2823)</f>
        <v>-196.99349103658707</v>
      </c>
      <c r="AQ2825" s="111"/>
      <c r="AR2825" s="28"/>
      <c r="AS2825" s="96">
        <f ca="1">(AS2818/(N_9*AS$27*AS2820*AS2824))*SQRT(M*'Valve Sizing'!$W$6*'Valve Sizing'!$G$8/AS2823)</f>
        <v>-1711.6070569828489</v>
      </c>
      <c r="AT2825" s="111"/>
      <c r="AU2825" s="28"/>
    </row>
    <row r="2826" spans="15:47" x14ac:dyDescent="0.25">
      <c r="O2826" s="2" t="s">
        <v>59</v>
      </c>
      <c r="P2826" s="143">
        <v>7</v>
      </c>
      <c r="Q2826" s="2"/>
      <c r="R2826" s="96">
        <f ca="1">(R2818/(N_9*R$27*R2820*0.667))*SQRT(M*'Valve Sizing'!$W$6*'Valve Sizing'!$G$8/R2827)</f>
        <v>5.9303793096831452</v>
      </c>
      <c r="S2826" s="107"/>
      <c r="T2826" s="22"/>
      <c r="U2826" s="96">
        <f ca="1">(U2818/(N_9*U$27*U2820*0.667))*SQRT(M*'Valve Sizing'!$W$6*'Valve Sizing'!$G$8/U2827)</f>
        <v>31.130881924849813</v>
      </c>
      <c r="V2826" s="111"/>
      <c r="W2826" s="28"/>
      <c r="X2826" s="96">
        <f ca="1">(X2818/(N_9*X$27*X2820*0.667))*SQRT(M*'Valve Sizing'!$W$6*'Valve Sizing'!$G$8/X2827)</f>
        <v>82.874387241541655</v>
      </c>
      <c r="Y2826" s="111"/>
      <c r="Z2826" s="28"/>
      <c r="AA2826" s="96">
        <f ca="1">(AA2818/(N_9*AA$27*AA2820*0.667))*SQRT(M*'Valve Sizing'!$W$6*'Valve Sizing'!$G$8/AA2827)</f>
        <v>223.00874302390713</v>
      </c>
      <c r="AB2826" s="111"/>
      <c r="AC2826" s="28"/>
      <c r="AD2826" s="96">
        <f ca="1">(AD2818/(N_9*AD$27*AD2820*0.667))*SQRT(M*'Valve Sizing'!$W$6*'Valve Sizing'!$G$8/AD2827)</f>
        <v>3717.5967039768625</v>
      </c>
      <c r="AE2826" s="111"/>
      <c r="AF2826" s="28"/>
      <c r="AG2826" s="96">
        <f ca="1">(AG2818/(N_9*AG$27*AG2820*0.667))*SQRT(M*'Valve Sizing'!$W$6*'Valve Sizing'!$G$8/AG2827)</f>
        <v>-402.48339699163171</v>
      </c>
      <c r="AH2826" s="111"/>
      <c r="AI2826" s="28"/>
      <c r="AJ2826" s="96">
        <f ca="1">(AJ2818/(N_9*AJ$27*AJ2820*0.667))*SQRT(M*'Valve Sizing'!$W$6*'Valve Sizing'!$G$8/AJ2827)</f>
        <v>-224.13085615278828</v>
      </c>
      <c r="AK2826" s="111"/>
      <c r="AL2826" s="28"/>
      <c r="AM2826" s="96">
        <f ca="1">(AM2818/(N_9*AM$27*AM2820*0.667))*SQRT(M*'Valve Sizing'!$W$6*'Valve Sizing'!$G$8/AM2827)</f>
        <v>-182.41285626062307</v>
      </c>
      <c r="AN2826" s="111"/>
      <c r="AO2826" s="28"/>
      <c r="AP2826" s="96">
        <f ca="1">(AP2818/(N_9*AP$27*AP2820*0.667))*SQRT(M*'Valve Sizing'!$W$6*'Valve Sizing'!$G$8/AP2827)</f>
        <v>-151.32699003336239</v>
      </c>
      <c r="AQ2826" s="111"/>
      <c r="AR2826" s="28"/>
      <c r="AS2826" s="96">
        <f ca="1">(AS2818/(N_9*AS$27*AS2820*0.667))*SQRT(M*'Valve Sizing'!$W$6*'Valve Sizing'!$G$8/AS2827)</f>
        <v>-207.14683287444205</v>
      </c>
      <c r="AT2826" s="111"/>
      <c r="AU2826" s="28"/>
    </row>
    <row r="2827" spans="15:47" ht="15.6" x14ac:dyDescent="0.35">
      <c r="O2827" s="2" t="s">
        <v>68</v>
      </c>
      <c r="P2827" s="143">
        <v>10</v>
      </c>
      <c r="Q2827" s="2"/>
      <c r="R2827" s="96">
        <f ca="1">F_GAMMA*R$29</f>
        <v>0.64002969751372984</v>
      </c>
      <c r="S2827" s="107"/>
      <c r="T2827" s="1"/>
      <c r="U2827" s="96">
        <f ca="1">F_GAMMA*U$29</f>
        <v>0.64017842058782071</v>
      </c>
      <c r="V2827" s="111"/>
      <c r="W2827" s="28"/>
      <c r="X2827" s="96">
        <f ca="1">F_GAMMA*X$29</f>
        <v>0.63413873724904268</v>
      </c>
      <c r="Y2827" s="111"/>
      <c r="Z2827" s="28"/>
      <c r="AA2827" s="96">
        <f ca="1">F_GAMMA*AA$29</f>
        <v>0.62532411750377137</v>
      </c>
      <c r="AB2827" s="111"/>
      <c r="AC2827" s="28"/>
      <c r="AD2827" s="96">
        <f ca="1">F_GAMMA*AD$29</f>
        <v>0.60651359509139569</v>
      </c>
      <c r="AE2827" s="111"/>
      <c r="AF2827" s="28"/>
      <c r="AG2827" s="96">
        <f ca="1">F_GAMMA*AG$29</f>
        <v>0.57217930198481592</v>
      </c>
      <c r="AH2827" s="111"/>
      <c r="AI2827" s="28"/>
      <c r="AJ2827" s="96">
        <f ca="1">F_GAMMA*AJ$29</f>
        <v>0.53183282018848232</v>
      </c>
      <c r="AK2827" s="111"/>
      <c r="AL2827" s="28"/>
      <c r="AM2827" s="96">
        <f ca="1">F_GAMMA*AM$29</f>
        <v>0.47566512503094399</v>
      </c>
      <c r="AN2827" s="111"/>
      <c r="AO2827" s="28"/>
      <c r="AP2827" s="96">
        <f ca="1">F_GAMMA*AP$29</f>
        <v>0.59054158265645496</v>
      </c>
      <c r="AQ2827" s="111"/>
      <c r="AR2827" s="28"/>
      <c r="AS2827" s="96">
        <f ca="1">F_GAMMA*AS$29</f>
        <v>0.3766899554102966</v>
      </c>
      <c r="AT2827" s="111"/>
      <c r="AU2827" s="28"/>
    </row>
    <row r="2828" spans="15:47" x14ac:dyDescent="0.25">
      <c r="O2828" s="2" t="s">
        <v>145</v>
      </c>
      <c r="P2828" s="12"/>
      <c r="Q2828" s="2"/>
      <c r="R2828" s="96">
        <f ca="1">IF(R2823&lt;R2827,R2825,R2826)</f>
        <v>6.6267604237326188</v>
      </c>
      <c r="S2828" s="116"/>
      <c r="T2828" s="1"/>
      <c r="U2828" s="96">
        <f ca="1">IF(U2823&lt;U2827,U2825,U2826)</f>
        <v>35.082209910028915</v>
      </c>
      <c r="V2828" s="111"/>
      <c r="W2828" s="28"/>
      <c r="X2828" s="96">
        <f ca="1">IF(X2823&lt;X2827,X2825,X2826)</f>
        <v>98.583105265280949</v>
      </c>
      <c r="Y2828" s="111"/>
      <c r="Z2828" s="28"/>
      <c r="AA2828" s="96">
        <f ca="1">IF(AA2823&lt;AA2827,AA2825,AA2826)</f>
        <v>1523.1388795682392</v>
      </c>
      <c r="AB2828" s="111"/>
      <c r="AC2828" s="28"/>
      <c r="AD2828" s="96" t="e">
        <f ca="1">IF(AD2823&lt;AD2827,AD2825,AD2826)</f>
        <v>#NUM!</v>
      </c>
      <c r="AE2828" s="111"/>
      <c r="AF2828" s="28"/>
      <c r="AG2828" s="96">
        <f ca="1">IF(AG2823&lt;AG2827,AG2825,AG2826)</f>
        <v>-402.48339699163171</v>
      </c>
      <c r="AH2828" s="111"/>
      <c r="AI2828" s="28"/>
      <c r="AJ2828" s="96">
        <f ca="1">IF(AJ2823&lt;AJ2827,AJ2825,AJ2826)</f>
        <v>-224.13085615278828</v>
      </c>
      <c r="AK2828" s="111"/>
      <c r="AL2828" s="28"/>
      <c r="AM2828" s="96">
        <f ca="1">IF(AM2823&lt;AM2827,AM2825,AM2826)</f>
        <v>-182.41285626062307</v>
      </c>
      <c r="AN2828" s="111"/>
      <c r="AO2828" s="28"/>
      <c r="AP2828" s="96">
        <f ca="1">IF(AP2823&lt;AP2827,AP2825,AP2826)</f>
        <v>-151.32699003336239</v>
      </c>
      <c r="AQ2828" s="111"/>
      <c r="AR2828" s="28"/>
      <c r="AS2828" s="96">
        <f ca="1">IF(AS2823&lt;AS2827,AS2825,AS2826)</f>
        <v>-207.14683287444205</v>
      </c>
      <c r="AT2828" s="111"/>
      <c r="AU2828" s="28"/>
    </row>
    <row r="2829" spans="15:47" x14ac:dyDescent="0.25">
      <c r="O2829" s="13" t="s">
        <v>143</v>
      </c>
      <c r="P2829" s="1"/>
      <c r="Q2829" s="1"/>
      <c r="R2829" s="113"/>
      <c r="S2829" s="106">
        <f ca="1">IF(R2822&lt;=0,Q_max,ABS(R$23-R2828))</f>
        <v>1.8967604237326183</v>
      </c>
      <c r="T2829" s="7">
        <f>R2818</f>
        <v>16395.355737037247</v>
      </c>
      <c r="U2829" s="98"/>
      <c r="V2829" s="106">
        <f ca="1">IF(U2822&lt;=0,Q_max,ABS(U$23-U2828))</f>
        <v>23.482209910028914</v>
      </c>
      <c r="W2829" s="9">
        <f ca="1">U2818</f>
        <v>84814.734508846697</v>
      </c>
      <c r="X2829" s="98"/>
      <c r="Y2829" s="106">
        <f ca="1">IF(X2822&lt;=0,Q_max,ABS(X$23-X2828))</f>
        <v>75.583105265280949</v>
      </c>
      <c r="Z2829" s="9">
        <f ca="1">X2818</f>
        <v>207680.13020999823</v>
      </c>
      <c r="AA2829" s="98"/>
      <c r="AB2829" s="106">
        <f ca="1">IF(AA2822&lt;=0,Q_max,ABS(AA$23-AA2828))</f>
        <v>1483.7388795682391</v>
      </c>
      <c r="AC2829" s="9">
        <f ca="1">AA2818</f>
        <v>404507.88424839731</v>
      </c>
      <c r="AD2829" s="98"/>
      <c r="AE2829" s="106">
        <f ca="1">IF(AD2822&lt;=0,Q_max,ABS(AD$23-AD2828))</f>
        <v>236393</v>
      </c>
      <c r="AF2829" s="9">
        <f ca="1">AD2818</f>
        <v>678638.3960479513</v>
      </c>
      <c r="AG2829" s="98"/>
      <c r="AH2829" s="106">
        <f ca="1">IF(AG2822&lt;=0,Q_max,ABS(AG$23-AG2828))</f>
        <v>236393</v>
      </c>
      <c r="AI2829" s="9">
        <f ca="1">AG2818</f>
        <v>990491.22252355132</v>
      </c>
      <c r="AJ2829" s="98"/>
      <c r="AK2829" s="106">
        <f ca="1">IF(AJ2822&lt;=0,Q_max,ABS(AJ$23-AJ2828))</f>
        <v>236393</v>
      </c>
      <c r="AL2829" s="9">
        <f ca="1">AJ2818</f>
        <v>1321814.3761634978</v>
      </c>
      <c r="AM2829" s="98"/>
      <c r="AN2829" s="106">
        <f ca="1">IF(AM2822&lt;=0,Q_max,ABS(AM$23-AM2828))</f>
        <v>236393</v>
      </c>
      <c r="AO2829" s="9">
        <f ca="1">AM2818</f>
        <v>1612864.7364547353</v>
      </c>
      <c r="AP2829" s="98"/>
      <c r="AQ2829" s="106">
        <f ca="1">IF(AP2822&lt;=0,Q_max,ABS(AP$23-AP2828))</f>
        <v>236393</v>
      </c>
      <c r="AR2829" s="9">
        <f ca="1">AP2818</f>
        <v>1872485.8882349622</v>
      </c>
      <c r="AS2829" s="98"/>
      <c r="AT2829" s="106">
        <f ca="1">IF(AS2822&lt;=0,Q_max,ABS(AS$23-AS2828))</f>
        <v>236393</v>
      </c>
      <c r="AU2829" s="9">
        <f ca="1">AS2818</f>
        <v>2195636.9654652998</v>
      </c>
    </row>
    <row r="2830" spans="15:47" x14ac:dyDescent="0.25">
      <c r="O2830" s="21"/>
      <c r="P2830" s="14"/>
      <c r="Q2830" s="21"/>
      <c r="R2830" s="97"/>
      <c r="S2830" s="106"/>
      <c r="T2830" s="28"/>
      <c r="U2830" s="97"/>
      <c r="V2830" s="111"/>
      <c r="W2830" s="28"/>
      <c r="X2830" s="97"/>
      <c r="Y2830" s="111"/>
      <c r="Z2830" s="28"/>
      <c r="AA2830" s="97"/>
      <c r="AB2830" s="111"/>
      <c r="AC2830" s="28"/>
      <c r="AD2830" s="97"/>
      <c r="AE2830" s="111"/>
      <c r="AF2830" s="28"/>
      <c r="AG2830" s="97"/>
      <c r="AH2830" s="111"/>
      <c r="AI2830" s="28"/>
      <c r="AJ2830" s="97"/>
      <c r="AK2830" s="111"/>
      <c r="AL2830" s="28"/>
      <c r="AM2830" s="97"/>
      <c r="AN2830" s="111"/>
      <c r="AO2830" s="28"/>
      <c r="AP2830" s="97"/>
      <c r="AQ2830" s="111"/>
      <c r="AR2830" s="28"/>
      <c r="AS2830" s="97"/>
      <c r="AT2830" s="111"/>
      <c r="AU2830" s="28"/>
    </row>
    <row r="2831" spans="15:47" x14ac:dyDescent="0.25">
      <c r="O2831" s="1"/>
      <c r="P2831" s="1"/>
      <c r="Q2831" s="1"/>
      <c r="R2831" s="98"/>
      <c r="S2831" s="108" t="s">
        <v>137</v>
      </c>
      <c r="T2831" s="26" t="s">
        <v>146</v>
      </c>
      <c r="U2831" s="98"/>
      <c r="V2831" s="108" t="s">
        <v>137</v>
      </c>
      <c r="W2831" s="26" t="s">
        <v>146</v>
      </c>
      <c r="X2831" s="98"/>
      <c r="Y2831" s="108" t="s">
        <v>137</v>
      </c>
      <c r="Z2831" s="26" t="s">
        <v>146</v>
      </c>
      <c r="AA2831" s="98"/>
      <c r="AB2831" s="108" t="s">
        <v>137</v>
      </c>
      <c r="AC2831" s="26" t="s">
        <v>146</v>
      </c>
      <c r="AD2831" s="98"/>
      <c r="AE2831" s="108" t="s">
        <v>137</v>
      </c>
      <c r="AF2831" s="26" t="s">
        <v>146</v>
      </c>
      <c r="AG2831" s="98"/>
      <c r="AH2831" s="108" t="s">
        <v>137</v>
      </c>
      <c r="AI2831" s="26" t="s">
        <v>146</v>
      </c>
      <c r="AJ2831" s="98"/>
      <c r="AK2831" s="108" t="s">
        <v>137</v>
      </c>
      <c r="AL2831" s="26" t="s">
        <v>146</v>
      </c>
      <c r="AM2831" s="98"/>
      <c r="AN2831" s="108" t="s">
        <v>137</v>
      </c>
      <c r="AO2831" s="26" t="s">
        <v>146</v>
      </c>
      <c r="AP2831" s="98"/>
      <c r="AQ2831" s="108" t="s">
        <v>137</v>
      </c>
      <c r="AR2831" s="26" t="s">
        <v>146</v>
      </c>
      <c r="AS2831" s="98"/>
      <c r="AT2831" s="108" t="s">
        <v>137</v>
      </c>
      <c r="AU2831" s="26" t="s">
        <v>146</v>
      </c>
    </row>
    <row r="2832" spans="15:47" ht="13.8" x14ac:dyDescent="0.25">
      <c r="O2832" s="20" t="s">
        <v>136</v>
      </c>
      <c r="P2832" s="1"/>
      <c r="Q2832" s="1"/>
      <c r="R2832" s="96">
        <f>R2818*1.02</f>
        <v>16723.262851777992</v>
      </c>
      <c r="S2832" s="109" t="s">
        <v>144</v>
      </c>
      <c r="T2832" s="23" t="s">
        <v>147</v>
      </c>
      <c r="U2832" s="96">
        <f ca="1">U2818*1.01</f>
        <v>85662.881853935163</v>
      </c>
      <c r="V2832" s="109" t="s">
        <v>144</v>
      </c>
      <c r="W2832" s="23" t="s">
        <v>147</v>
      </c>
      <c r="X2832" s="96">
        <f ca="1">X2818*1.01</f>
        <v>209756.93151209821</v>
      </c>
      <c r="Y2832" s="109" t="s">
        <v>144</v>
      </c>
      <c r="Z2832" s="23" t="s">
        <v>147</v>
      </c>
      <c r="AA2832" s="96">
        <f ca="1">AA2818*1.01</f>
        <v>408552.9630908813</v>
      </c>
      <c r="AB2832" s="109" t="s">
        <v>144</v>
      </c>
      <c r="AC2832" s="23" t="s">
        <v>147</v>
      </c>
      <c r="AD2832" s="96">
        <f ca="1">AD2818*1.01</f>
        <v>685424.78000843083</v>
      </c>
      <c r="AE2832" s="109" t="s">
        <v>144</v>
      </c>
      <c r="AF2832" s="23" t="s">
        <v>147</v>
      </c>
      <c r="AG2832" s="96">
        <f ca="1">AG2818*1.01</f>
        <v>1000396.1347487868</v>
      </c>
      <c r="AH2832" s="109" t="s">
        <v>144</v>
      </c>
      <c r="AI2832" s="23" t="s">
        <v>147</v>
      </c>
      <c r="AJ2832" s="96">
        <f ca="1">AJ2818*1.01</f>
        <v>1335032.5199251329</v>
      </c>
      <c r="AK2832" s="109" t="s">
        <v>144</v>
      </c>
      <c r="AL2832" s="23" t="s">
        <v>147</v>
      </c>
      <c r="AM2832" s="96">
        <f ca="1">AM2818*1.01</f>
        <v>1628993.3838192828</v>
      </c>
      <c r="AN2832" s="109" t="s">
        <v>144</v>
      </c>
      <c r="AO2832" s="23" t="s">
        <v>147</v>
      </c>
      <c r="AP2832" s="96">
        <f ca="1">AP2818*1.01</f>
        <v>1891210.7471173119</v>
      </c>
      <c r="AQ2832" s="109" t="s">
        <v>144</v>
      </c>
      <c r="AR2832" s="23" t="s">
        <v>147</v>
      </c>
      <c r="AS2832" s="96">
        <f ca="1">AS2818*1.01</f>
        <v>2217593.3351199529</v>
      </c>
      <c r="AT2832" s="109" t="s">
        <v>144</v>
      </c>
      <c r="AU2832" s="23" t="s">
        <v>147</v>
      </c>
    </row>
    <row r="2833" spans="15:47" x14ac:dyDescent="0.25">
      <c r="O2833" s="1"/>
      <c r="P2833" s="1"/>
      <c r="Q2833" s="1"/>
      <c r="R2833" s="98"/>
      <c r="S2833" s="107"/>
      <c r="T2833" s="1"/>
      <c r="U2833" s="47"/>
      <c r="V2833" s="107"/>
      <c r="W2833" s="1"/>
      <c r="X2833" s="47"/>
      <c r="Y2833" s="107"/>
      <c r="Z2833" s="1"/>
      <c r="AA2833" s="47"/>
      <c r="AB2833" s="107"/>
      <c r="AC2833" s="1"/>
      <c r="AD2833" s="47"/>
      <c r="AE2833" s="107"/>
      <c r="AF2833" s="1"/>
      <c r="AG2833" s="47"/>
      <c r="AH2833" s="107"/>
      <c r="AI2833" s="1"/>
      <c r="AJ2833" s="47"/>
      <c r="AK2833" s="107"/>
      <c r="AL2833" s="1"/>
      <c r="AM2833" s="47"/>
      <c r="AN2833" s="107"/>
      <c r="AO2833" s="1"/>
      <c r="AP2833" s="47"/>
      <c r="AQ2833" s="107"/>
      <c r="AR2833" s="1"/>
      <c r="AS2833" s="47"/>
      <c r="AT2833" s="107"/>
      <c r="AU2833" s="1"/>
    </row>
    <row r="2834" spans="15:47" x14ac:dyDescent="0.25">
      <c r="O2834" s="8" t="s">
        <v>132</v>
      </c>
      <c r="P2834" s="8"/>
      <c r="Q2834" s="8"/>
      <c r="R2834" s="96">
        <f>P_1_minQ-(R2832^2*R_up)+dpup_minQ</f>
        <v>90.134068073152335</v>
      </c>
      <c r="S2834" s="106"/>
      <c r="T2834" s="22"/>
      <c r="U2834" s="96">
        <f ca="1">P_1_minQ-(U2832^2*R_up)+dpup_minQ</f>
        <v>88.847586392510081</v>
      </c>
      <c r="V2834" s="107"/>
      <c r="W2834" s="1"/>
      <c r="X2834" s="96">
        <f ca="1">P_1_minQ-(X2832^2*R_up)+dpup_minQ</f>
        <v>82.165930369212987</v>
      </c>
      <c r="Y2834" s="107"/>
      <c r="Z2834" s="1"/>
      <c r="AA2834" s="96">
        <f ca="1">P_1_minQ-(AA2832^2*R_up)+dpup_minQ</f>
        <v>59.762865096137645</v>
      </c>
      <c r="AB2834" s="107"/>
      <c r="AC2834" s="1"/>
      <c r="AD2834" s="96">
        <f ca="1">P_1_minQ-(AD2832^2*R_up)+dpup_minQ</f>
        <v>4.5575651009062588</v>
      </c>
      <c r="AE2834" s="107"/>
      <c r="AF2834" s="1"/>
      <c r="AG2834" s="96">
        <f ca="1">P_1_minQ-(AG2832^2*R_up)+dpup_minQ</f>
        <v>-92.220299032260613</v>
      </c>
      <c r="AH2834" s="107"/>
      <c r="AI2834" s="1"/>
      <c r="AJ2834" s="96">
        <f ca="1">P_1_minQ-(AJ2832^2*R_up)+dpup_minQ</f>
        <v>-234.66073751472555</v>
      </c>
      <c r="AK2834" s="107"/>
      <c r="AL2834" s="1"/>
      <c r="AM2834" s="96">
        <f ca="1">P_1_minQ-(AM2832^2*R_up)+dpup_minQ</f>
        <v>-393.4660574101656</v>
      </c>
      <c r="AN2834" s="107"/>
      <c r="AO2834" s="1"/>
      <c r="AP2834" s="96">
        <f ca="1">P_1_minQ-(AP2832^2*R_up)+dpup_minQ</f>
        <v>-561.70356722831013</v>
      </c>
      <c r="AQ2834" s="107"/>
      <c r="AR2834" s="1"/>
      <c r="AS2834" s="96">
        <f ca="1">P_1_minQ-(AS2832^2*R_up)+dpup_minQ</f>
        <v>-806.12312414799874</v>
      </c>
      <c r="AT2834" s="107"/>
      <c r="AU2834" s="1"/>
    </row>
    <row r="2835" spans="15:47" x14ac:dyDescent="0.25">
      <c r="O2835" s="8" t="s">
        <v>134</v>
      </c>
      <c r="P2835" s="1"/>
      <c r="Q2835" s="8"/>
      <c r="R2835" s="97">
        <f>P_2_minQ+(R2832^2*R_dn)-dpdn_minQ</f>
        <v>60</v>
      </c>
      <c r="S2835" s="106"/>
      <c r="T2835" s="22"/>
      <c r="U2835" s="97">
        <f ca="1">P_2_minQ+(U2832^2*R_dn)-dpdn_minQ</f>
        <v>60</v>
      </c>
      <c r="V2835" s="107"/>
      <c r="W2835" s="1"/>
      <c r="X2835" s="97">
        <f ca="1">P_2_minQ+(X2832^2*R_dn)-dpdn_minQ</f>
        <v>60</v>
      </c>
      <c r="Y2835" s="107"/>
      <c r="Z2835" s="1"/>
      <c r="AA2835" s="97">
        <f ca="1">P_2_minQ+(AA2832^2*R_dn)-dpdn_minQ</f>
        <v>60</v>
      </c>
      <c r="AB2835" s="107"/>
      <c r="AC2835" s="1"/>
      <c r="AD2835" s="97">
        <f ca="1">P_2_minQ+(AD2832^2*R_dn)-dpdn_minQ</f>
        <v>60</v>
      </c>
      <c r="AE2835" s="107"/>
      <c r="AF2835" s="1"/>
      <c r="AG2835" s="97">
        <f ca="1">P_2_minQ+(AG2832^2*R_dn)-dpdn_minQ</f>
        <v>60</v>
      </c>
      <c r="AH2835" s="107"/>
      <c r="AI2835" s="1"/>
      <c r="AJ2835" s="97">
        <f ca="1">P_2_minQ+(AJ2832^2*R_dn)-dpdn_minQ</f>
        <v>60</v>
      </c>
      <c r="AK2835" s="107"/>
      <c r="AL2835" s="1"/>
      <c r="AM2835" s="97">
        <f ca="1">P_2_minQ+(AM2832^2*R_dn)-dpdn_minQ</f>
        <v>60</v>
      </c>
      <c r="AN2835" s="107"/>
      <c r="AO2835" s="1"/>
      <c r="AP2835" s="97">
        <f ca="1">P_2_minQ+(AP2832^2*R_dn)-dpdn_minQ</f>
        <v>60</v>
      </c>
      <c r="AQ2835" s="107"/>
      <c r="AR2835" s="1"/>
      <c r="AS2835" s="97">
        <f ca="1">P_2_minQ+(AS2832^2*R_dn)-dpdn_minQ</f>
        <v>60</v>
      </c>
      <c r="AT2835" s="107"/>
      <c r="AU2835" s="1"/>
    </row>
    <row r="2836" spans="15:47" x14ac:dyDescent="0.25">
      <c r="O2836" s="8" t="s">
        <v>138</v>
      </c>
      <c r="P2836" s="1"/>
      <c r="Q2836" s="8"/>
      <c r="R2836" s="97">
        <f>R2834-R2835</f>
        <v>30.134068073152335</v>
      </c>
      <c r="S2836" s="106"/>
      <c r="T2836" s="22"/>
      <c r="U2836" s="97">
        <f ca="1">U2834-U2835</f>
        <v>28.847586392510081</v>
      </c>
      <c r="V2836" s="110"/>
      <c r="W2836" s="25"/>
      <c r="X2836" s="97">
        <f ca="1">X2834-X2835</f>
        <v>22.165930369212987</v>
      </c>
      <c r="Y2836" s="110"/>
      <c r="Z2836" s="25"/>
      <c r="AA2836" s="97">
        <f ca="1">AA2834-AA2835</f>
        <v>-0.23713490386235492</v>
      </c>
      <c r="AB2836" s="110"/>
      <c r="AC2836" s="25"/>
      <c r="AD2836" s="97">
        <f ca="1">AD2834-AD2835</f>
        <v>-55.44243489909374</v>
      </c>
      <c r="AE2836" s="110"/>
      <c r="AF2836" s="25"/>
      <c r="AG2836" s="97">
        <f ca="1">AG2834-AG2835</f>
        <v>-152.22029903226061</v>
      </c>
      <c r="AH2836" s="110"/>
      <c r="AI2836" s="25"/>
      <c r="AJ2836" s="97">
        <f ca="1">AJ2834-AJ2835</f>
        <v>-294.66073751472555</v>
      </c>
      <c r="AK2836" s="110"/>
      <c r="AL2836" s="25"/>
      <c r="AM2836" s="97">
        <f ca="1">AM2834-AM2835</f>
        <v>-453.4660574101656</v>
      </c>
      <c r="AN2836" s="110"/>
      <c r="AO2836" s="25"/>
      <c r="AP2836" s="97">
        <f ca="1">AP2834-AP2835</f>
        <v>-621.70356722831013</v>
      </c>
      <c r="AQ2836" s="110"/>
      <c r="AR2836" s="25"/>
      <c r="AS2836" s="97">
        <f ca="1">AS2834-AS2835</f>
        <v>-866.12312414799874</v>
      </c>
      <c r="AT2836" s="110"/>
      <c r="AU2836" s="25"/>
    </row>
    <row r="2837" spans="15:47" ht="14.4" x14ac:dyDescent="0.3">
      <c r="O2837" s="2" t="s">
        <v>140</v>
      </c>
      <c r="P2837" s="11"/>
      <c r="Q2837" s="2"/>
      <c r="R2837" s="96">
        <f>R2836/R2834</f>
        <v>0.33432495300995052</v>
      </c>
      <c r="S2837" s="106"/>
      <c r="T2837" s="22"/>
      <c r="U2837" s="96">
        <f ca="1">U2836/U2834</f>
        <v>0.32468621336619624</v>
      </c>
      <c r="V2837" s="111"/>
      <c r="W2837" s="28"/>
      <c r="X2837" s="96">
        <f ca="1">X2836/X2834</f>
        <v>0.26977033266233674</v>
      </c>
      <c r="Y2837" s="111"/>
      <c r="Z2837" s="28"/>
      <c r="AA2837" s="96">
        <f ca="1">AA2836/AA2834</f>
        <v>-3.9679306452407763E-3</v>
      </c>
      <c r="AB2837" s="111"/>
      <c r="AC2837" s="28"/>
      <c r="AD2837" s="96">
        <f ca="1">AD2836/AD2834</f>
        <v>-12.164924399668843</v>
      </c>
      <c r="AE2837" s="111"/>
      <c r="AF2837" s="28"/>
      <c r="AG2837" s="96">
        <f ca="1">AG2836/AG2834</f>
        <v>1.6506159774976519</v>
      </c>
      <c r="AH2837" s="111"/>
      <c r="AI2837" s="28"/>
      <c r="AJ2837" s="96">
        <f ca="1">AJ2836/AJ2834</f>
        <v>1.2556882784715311</v>
      </c>
      <c r="AK2837" s="111"/>
      <c r="AL2837" s="28"/>
      <c r="AM2837" s="96">
        <f ca="1">AM2836/AM2834</f>
        <v>1.1524909172469062</v>
      </c>
      <c r="AN2837" s="111"/>
      <c r="AO2837" s="28"/>
      <c r="AP2837" s="96">
        <f ca="1">AP2836/AP2834</f>
        <v>1.1068179080579212</v>
      </c>
      <c r="AQ2837" s="111"/>
      <c r="AR2837" s="28"/>
      <c r="AS2837" s="96">
        <f ca="1">AS2836/AS2834</f>
        <v>1.0744303174076724</v>
      </c>
      <c r="AT2837" s="111"/>
      <c r="AU2837" s="28"/>
    </row>
    <row r="2838" spans="15:47" x14ac:dyDescent="0.25">
      <c r="O2838" s="2" t="s">
        <v>21</v>
      </c>
      <c r="P2838" s="8">
        <v>12</v>
      </c>
      <c r="Q2838" s="2"/>
      <c r="R2838" s="96">
        <f ca="1">1-R2837/(3*F_GAMMA*R$29)</f>
        <v>0.82588049986395173</v>
      </c>
      <c r="S2838" s="106"/>
      <c r="T2838" s="22"/>
      <c r="U2838" s="96">
        <f ca="1">1-U2837/(3*F_GAMMA*U$29)</f>
        <v>0.83093972819428219</v>
      </c>
      <c r="V2838" s="111"/>
      <c r="W2838" s="28"/>
      <c r="X2838" s="96">
        <f ca="1">1-X2837/(3*F_GAMMA*X$29)</f>
        <v>0.8581959452423995</v>
      </c>
      <c r="Y2838" s="111"/>
      <c r="Z2838" s="28"/>
      <c r="AA2838" s="96">
        <f ca="1">1-AA2837/(3*F_GAMMA*AA$29)</f>
        <v>1.0021151327949631</v>
      </c>
      <c r="AB2838" s="111"/>
      <c r="AC2838" s="28"/>
      <c r="AD2838" s="96">
        <f ca="1">1-AD2837/(3*F_GAMMA*AD$29)</f>
        <v>7.6857113059082698</v>
      </c>
      <c r="AE2838" s="111"/>
      <c r="AF2838" s="28"/>
      <c r="AG2838" s="96">
        <f ca="1">1-AG2837/(3*F_GAMMA*AG$29)</f>
        <v>3.8404003912830054E-2</v>
      </c>
      <c r="AH2838" s="111"/>
      <c r="AI2838" s="28"/>
      <c r="AJ2838" s="96">
        <f ca="1">1-AJ2837/(3*F_GAMMA*AJ$29)</f>
        <v>0.21298057659891856</v>
      </c>
      <c r="AK2838" s="111"/>
      <c r="AL2838" s="28"/>
      <c r="AM2838" s="96">
        <f ca="1">1-AM2837/(3*F_GAMMA*AM$29)</f>
        <v>0.1923653451421089</v>
      </c>
      <c r="AN2838" s="111"/>
      <c r="AO2838" s="28"/>
      <c r="AP2838" s="96">
        <f ca="1">1-AP2837/(3*F_GAMMA*AP$29)</f>
        <v>0.37525262653586478</v>
      </c>
      <c r="AQ2838" s="111"/>
      <c r="AR2838" s="28"/>
      <c r="AS2838" s="96">
        <f ca="1">1-AS2837/(3*F_GAMMA*AS$29)</f>
        <v>4.9235494623701026E-2</v>
      </c>
      <c r="AT2838" s="111"/>
      <c r="AU2838" s="28"/>
    </row>
    <row r="2839" spans="15:47" x14ac:dyDescent="0.25">
      <c r="O2839" s="2" t="s">
        <v>57</v>
      </c>
      <c r="P2839" s="143">
        <v>7</v>
      </c>
      <c r="Q2839" s="2"/>
      <c r="R2839" s="96">
        <f ca="1">(R2832/(N_9*R$27*R2834*R2838))*SQRT(M*'Valve Sizing'!$W$6*'Valve Sizing'!$G$8/R2837)</f>
        <v>6.759529524603197</v>
      </c>
      <c r="S2839" s="107"/>
      <c r="T2839" s="22"/>
      <c r="U2839" s="96">
        <f ca="1">(U2832/(N_9*U$27*U2834*U2838))*SQRT(M*'Valve Sizing'!$W$6*'Valve Sizing'!$G$8/U2837)</f>
        <v>35.450020998469014</v>
      </c>
      <c r="V2839" s="111"/>
      <c r="W2839" s="28"/>
      <c r="X2839" s="96">
        <f ca="1">(X2832/(N_9*X$27*X2834*X2838))*SQRT(M*'Valve Sizing'!$W$6*'Valve Sizing'!$G$8/X2837)</f>
        <v>99.933360132062816</v>
      </c>
      <c r="Y2839" s="111"/>
      <c r="Z2839" s="28"/>
      <c r="AA2839" s="96" t="e">
        <f ca="1">(AA2832/(N_9*AA$27*AA2834*AA2838))*SQRT(M*'Valve Sizing'!$W$6*'Valve Sizing'!$G$8/AA2837)</f>
        <v>#NUM!</v>
      </c>
      <c r="AB2839" s="111"/>
      <c r="AC2839" s="28"/>
      <c r="AD2839" s="96" t="e">
        <f ca="1">(AD2832/(N_9*AD$27*AD2834*AD2838))*SQRT(M*'Valve Sizing'!$W$6*'Valve Sizing'!$G$8/AD2837)</f>
        <v>#NUM!</v>
      </c>
      <c r="AE2839" s="111"/>
      <c r="AF2839" s="28"/>
      <c r="AG2839" s="96">
        <f ca="1">(AG2832/(N_9*AG$27*AG2834*AG2838))*SQRT(M*'Valve Sizing'!$W$6*'Valve Sizing'!$G$8/AG2837)</f>
        <v>-3994.8206946713658</v>
      </c>
      <c r="AH2839" s="111"/>
      <c r="AI2839" s="28"/>
      <c r="AJ2839" s="96">
        <f ca="1">(AJ2832/(N_9*AJ$27*AJ2834*AJ2838))*SQRT(M*'Valve Sizing'!$W$6*'Valve Sizing'!$G$8/AJ2837)</f>
        <v>-448.7917591671083</v>
      </c>
      <c r="AK2839" s="111"/>
      <c r="AL2839" s="28"/>
      <c r="AM2839" s="96">
        <f ca="1">(AM2832/(N_9*AM$27*AM2834*AM2838))*SQRT(M*'Valve Sizing'!$W$6*'Valve Sizing'!$G$8/AM2837)</f>
        <v>-400.46035338336634</v>
      </c>
      <c r="AN2839" s="111"/>
      <c r="AO2839" s="28"/>
      <c r="AP2839" s="96">
        <f ca="1">(AP2832/(N_9*AP$27*AP2834*AP2838))*SQRT(M*'Valve Sizing'!$W$6*'Valve Sizing'!$G$8/AP2837)</f>
        <v>-193.90118040587464</v>
      </c>
      <c r="AQ2839" s="111"/>
      <c r="AR2839" s="28"/>
      <c r="AS2839" s="96">
        <f ca="1">(AS2832/(N_9*AS$27*AS2834*AS2838))*SQRT(M*'Valve Sizing'!$W$6*'Valve Sizing'!$G$8/AS2837)</f>
        <v>-1641.457538363823</v>
      </c>
      <c r="AT2839" s="111"/>
      <c r="AU2839" s="28"/>
    </row>
    <row r="2840" spans="15:47" x14ac:dyDescent="0.25">
      <c r="O2840" s="2" t="s">
        <v>59</v>
      </c>
      <c r="P2840" s="143">
        <v>7</v>
      </c>
      <c r="Q2840" s="2"/>
      <c r="R2840" s="96">
        <f ca="1">(R2832/(N_9*R$27*R2834*0.667))*SQRT(M*'Valve Sizing'!$W$6*'Valve Sizing'!$G$8/R2841)</f>
        <v>6.0491197301860034</v>
      </c>
      <c r="S2840" s="107"/>
      <c r="T2840" s="22"/>
      <c r="U2840" s="96">
        <f ca="1">(U2832/(N_9*U$27*U2834*0.667))*SQRT(M*'Valve Sizing'!$W$6*'Valve Sizing'!$G$8/U2841)</f>
        <v>31.451516829157999</v>
      </c>
      <c r="V2840" s="111"/>
      <c r="W2840" s="28"/>
      <c r="X2840" s="96">
        <f ca="1">(X2832/(N_9*X$27*X2834*0.667))*SQRT(M*'Valve Sizing'!$W$6*'Valve Sizing'!$G$8/X2841)</f>
        <v>83.864095358768978</v>
      </c>
      <c r="Y2840" s="111"/>
      <c r="Z2840" s="28"/>
      <c r="AA2840" s="96">
        <f ca="1">(AA2832/(N_9*AA$27*AA2834*0.667))*SQRT(M*'Valve Sizing'!$W$6*'Valve Sizing'!$G$8/AA2841)</f>
        <v>227.49803435917099</v>
      </c>
      <c r="AB2840" s="111"/>
      <c r="AC2840" s="28"/>
      <c r="AD2840" s="96">
        <f ca="1">(AD2832/(N_9*AD$27*AD2834*0.667))*SQRT(M*'Valve Sizing'!$W$6*'Valve Sizing'!$G$8/AD2841)</f>
        <v>5144.780406039823</v>
      </c>
      <c r="AE2840" s="111"/>
      <c r="AF2840" s="28"/>
      <c r="AG2840" s="96">
        <f ca="1">(AG2832/(N_9*AG$27*AG2834*0.667))*SQRT(M*'Valve Sizing'!$W$6*'Valve Sizing'!$G$8/AG2841)</f>
        <v>-390.66536767189172</v>
      </c>
      <c r="AH2840" s="111"/>
      <c r="AI2840" s="28"/>
      <c r="AJ2840" s="96">
        <f ca="1">(AJ2832/(N_9*AJ$27*AJ2834*0.667))*SQRT(M*'Valve Sizing'!$W$6*'Valve Sizing'!$G$8/AJ2841)</f>
        <v>-220.19750357066297</v>
      </c>
      <c r="AK2840" s="111"/>
      <c r="AL2840" s="28"/>
      <c r="AM2840" s="96">
        <f ca="1">(AM2832/(N_9*AM$27*AM2834*0.667))*SQRT(M*'Valve Sizing'!$W$6*'Valve Sizing'!$G$8/AM2841)</f>
        <v>-179.7747231771165</v>
      </c>
      <c r="AN2840" s="111"/>
      <c r="AO2840" s="28"/>
      <c r="AP2840" s="96">
        <f ca="1">(AP2832/(N_9*AP$27*AP2834*0.667))*SQRT(M*'Valve Sizing'!$W$6*'Valve Sizing'!$G$8/AP2841)</f>
        <v>-149.34517859709379</v>
      </c>
      <c r="AQ2840" s="111"/>
      <c r="AR2840" s="28"/>
      <c r="AS2840" s="96">
        <f ca="1">(AS2832/(N_9*AS$27*AS2834*0.667))*SQRT(M*'Valve Sizing'!$W$6*'Valve Sizing'!$G$8/AS2841)</f>
        <v>-204.6346775227411</v>
      </c>
      <c r="AT2840" s="111"/>
      <c r="AU2840" s="28"/>
    </row>
    <row r="2841" spans="15:47" ht="15.6" x14ac:dyDescent="0.35">
      <c r="O2841" s="2" t="s">
        <v>68</v>
      </c>
      <c r="P2841" s="143">
        <v>10</v>
      </c>
      <c r="Q2841" s="2"/>
      <c r="R2841" s="96">
        <f ca="1">F_GAMMA*R$29</f>
        <v>0.64002969751372984</v>
      </c>
      <c r="S2841" s="107"/>
      <c r="T2841" s="1"/>
      <c r="U2841" s="96">
        <f ca="1">F_GAMMA*U$29</f>
        <v>0.64017842058782071</v>
      </c>
      <c r="V2841" s="111"/>
      <c r="W2841" s="28"/>
      <c r="X2841" s="96">
        <f ca="1">F_GAMMA*X$29</f>
        <v>0.63413873724904268</v>
      </c>
      <c r="Y2841" s="111"/>
      <c r="Z2841" s="28"/>
      <c r="AA2841" s="96">
        <f ca="1">F_GAMMA*AA$29</f>
        <v>0.62532411750377137</v>
      </c>
      <c r="AB2841" s="111"/>
      <c r="AC2841" s="28"/>
      <c r="AD2841" s="96">
        <f ca="1">F_GAMMA*AD$29</f>
        <v>0.60651359509139569</v>
      </c>
      <c r="AE2841" s="111"/>
      <c r="AF2841" s="28"/>
      <c r="AG2841" s="96">
        <f ca="1">F_GAMMA*AG$29</f>
        <v>0.57217930198481592</v>
      </c>
      <c r="AH2841" s="111"/>
      <c r="AI2841" s="28"/>
      <c r="AJ2841" s="96">
        <f ca="1">F_GAMMA*AJ$29</f>
        <v>0.53183282018848232</v>
      </c>
      <c r="AK2841" s="111"/>
      <c r="AL2841" s="28"/>
      <c r="AM2841" s="96">
        <f ca="1">F_GAMMA*AM$29</f>
        <v>0.47566512503094399</v>
      </c>
      <c r="AN2841" s="111"/>
      <c r="AO2841" s="28"/>
      <c r="AP2841" s="96">
        <f ca="1">F_GAMMA*AP$29</f>
        <v>0.59054158265645496</v>
      </c>
      <c r="AQ2841" s="111"/>
      <c r="AR2841" s="28"/>
      <c r="AS2841" s="96">
        <f ca="1">F_GAMMA*AS$29</f>
        <v>0.3766899554102966</v>
      </c>
      <c r="AT2841" s="111"/>
      <c r="AU2841" s="28"/>
    </row>
    <row r="2842" spans="15:47" x14ac:dyDescent="0.25">
      <c r="O2842" s="2" t="s">
        <v>145</v>
      </c>
      <c r="P2842" s="12"/>
      <c r="Q2842" s="2"/>
      <c r="R2842" s="96">
        <f ca="1">IF(R2837&lt;R2841,R2839,R2840)</f>
        <v>6.759529524603197</v>
      </c>
      <c r="S2842" s="116"/>
      <c r="T2842" s="1"/>
      <c r="U2842" s="96">
        <f ca="1">IF(U2837&lt;U2841,U2839,U2840)</f>
        <v>35.450020998469014</v>
      </c>
      <c r="V2842" s="111"/>
      <c r="W2842" s="28"/>
      <c r="X2842" s="96">
        <f ca="1">IF(X2837&lt;X2841,X2839,X2840)</f>
        <v>99.933360132062816</v>
      </c>
      <c r="Y2842" s="111"/>
      <c r="Z2842" s="28"/>
      <c r="AA2842" s="96" t="e">
        <f ca="1">IF(AA2837&lt;AA2841,AA2839,AA2840)</f>
        <v>#NUM!</v>
      </c>
      <c r="AB2842" s="111"/>
      <c r="AC2842" s="28"/>
      <c r="AD2842" s="96" t="e">
        <f ca="1">IF(AD2837&lt;AD2841,AD2839,AD2840)</f>
        <v>#NUM!</v>
      </c>
      <c r="AE2842" s="111"/>
      <c r="AF2842" s="28"/>
      <c r="AG2842" s="96">
        <f ca="1">IF(AG2837&lt;AG2841,AG2839,AG2840)</f>
        <v>-390.66536767189172</v>
      </c>
      <c r="AH2842" s="111"/>
      <c r="AI2842" s="28"/>
      <c r="AJ2842" s="96">
        <f ca="1">IF(AJ2837&lt;AJ2841,AJ2839,AJ2840)</f>
        <v>-220.19750357066297</v>
      </c>
      <c r="AK2842" s="111"/>
      <c r="AL2842" s="28"/>
      <c r="AM2842" s="96">
        <f ca="1">IF(AM2837&lt;AM2841,AM2839,AM2840)</f>
        <v>-179.7747231771165</v>
      </c>
      <c r="AN2842" s="111"/>
      <c r="AO2842" s="28"/>
      <c r="AP2842" s="96">
        <f ca="1">IF(AP2837&lt;AP2841,AP2839,AP2840)</f>
        <v>-149.34517859709379</v>
      </c>
      <c r="AQ2842" s="111"/>
      <c r="AR2842" s="28"/>
      <c r="AS2842" s="96">
        <f ca="1">IF(AS2837&lt;AS2841,AS2839,AS2840)</f>
        <v>-204.6346775227411</v>
      </c>
      <c r="AT2842" s="111"/>
      <c r="AU2842" s="28"/>
    </row>
    <row r="2843" spans="15:47" x14ac:dyDescent="0.25">
      <c r="O2843" s="13" t="s">
        <v>143</v>
      </c>
      <c r="P2843" s="1"/>
      <c r="Q2843" s="1"/>
      <c r="R2843" s="113"/>
      <c r="S2843" s="106">
        <f ca="1">IF(R2836&lt;=0,Q_max,ABS(R$23-R2842))</f>
        <v>2.0295295246031966</v>
      </c>
      <c r="T2843" s="7">
        <f>R2832</f>
        <v>16723.262851777992</v>
      </c>
      <c r="U2843" s="98"/>
      <c r="V2843" s="106">
        <f ca="1">IF(U2836&lt;=0,Q_max,ABS(U$23-U2842))</f>
        <v>23.850020998469013</v>
      </c>
      <c r="W2843" s="9">
        <f ca="1">U2832</f>
        <v>85662.881853935163</v>
      </c>
      <c r="X2843" s="98"/>
      <c r="Y2843" s="106">
        <f ca="1">IF(X2836&lt;=0,Q_max,ABS(X$23-X2842))</f>
        <v>76.933360132062816</v>
      </c>
      <c r="Z2843" s="9">
        <f ca="1">X2832</f>
        <v>209756.93151209821</v>
      </c>
      <c r="AA2843" s="98"/>
      <c r="AB2843" s="106">
        <f ca="1">IF(AA2836&lt;=0,Q_max,ABS(AA$23-AA2842))</f>
        <v>236393</v>
      </c>
      <c r="AC2843" s="9">
        <f ca="1">AA2832</f>
        <v>408552.9630908813</v>
      </c>
      <c r="AD2843" s="98"/>
      <c r="AE2843" s="106">
        <f ca="1">IF(AD2836&lt;=0,Q_max,ABS(AD$23-AD2842))</f>
        <v>236393</v>
      </c>
      <c r="AF2843" s="9">
        <f ca="1">AD2832</f>
        <v>685424.78000843083</v>
      </c>
      <c r="AG2843" s="98"/>
      <c r="AH2843" s="106">
        <f ca="1">IF(AG2836&lt;=0,Q_max,ABS(AG$23-AG2842))</f>
        <v>236393</v>
      </c>
      <c r="AI2843" s="9">
        <f ca="1">AG2832</f>
        <v>1000396.1347487868</v>
      </c>
      <c r="AJ2843" s="98"/>
      <c r="AK2843" s="106">
        <f ca="1">IF(AJ2836&lt;=0,Q_max,ABS(AJ$23-AJ2842))</f>
        <v>236393</v>
      </c>
      <c r="AL2843" s="9">
        <f ca="1">AJ2832</f>
        <v>1335032.5199251329</v>
      </c>
      <c r="AM2843" s="98"/>
      <c r="AN2843" s="106">
        <f ca="1">IF(AM2836&lt;=0,Q_max,ABS(AM$23-AM2842))</f>
        <v>236393</v>
      </c>
      <c r="AO2843" s="9">
        <f ca="1">AM2832</f>
        <v>1628993.3838192828</v>
      </c>
      <c r="AP2843" s="98"/>
      <c r="AQ2843" s="106">
        <f ca="1">IF(AP2836&lt;=0,Q_max,ABS(AP$23-AP2842))</f>
        <v>236393</v>
      </c>
      <c r="AR2843" s="9">
        <f ca="1">AP2832</f>
        <v>1891210.7471173119</v>
      </c>
      <c r="AS2843" s="98"/>
      <c r="AT2843" s="106">
        <f ca="1">IF(AS2836&lt;=0,Q_max,ABS(AS$23-AS2842))</f>
        <v>236393</v>
      </c>
      <c r="AU2843" s="9">
        <f ca="1">AS2832</f>
        <v>2217593.3351199529</v>
      </c>
    </row>
    <row r="2844" spans="15:47" ht="13.8" x14ac:dyDescent="0.25">
      <c r="O2844" s="21"/>
      <c r="P2844" s="21"/>
      <c r="Q2844" s="21"/>
      <c r="R2844" s="114"/>
      <c r="S2844" s="117"/>
      <c r="T2844" s="25"/>
      <c r="U2844" s="99"/>
      <c r="V2844" s="111"/>
      <c r="W2844" s="28"/>
      <c r="X2844" s="99"/>
      <c r="Y2844" s="111"/>
      <c r="Z2844" s="28"/>
      <c r="AA2844" s="99"/>
      <c r="AB2844" s="111"/>
      <c r="AC2844" s="28"/>
      <c r="AD2844" s="99"/>
      <c r="AE2844" s="111"/>
      <c r="AF2844" s="28"/>
      <c r="AG2844" s="99"/>
      <c r="AH2844" s="111"/>
      <c r="AI2844" s="28"/>
      <c r="AJ2844" s="99"/>
      <c r="AK2844" s="111"/>
      <c r="AL2844" s="28"/>
      <c r="AM2844" s="99"/>
      <c r="AN2844" s="111"/>
      <c r="AO2844" s="28"/>
      <c r="AP2844" s="99"/>
      <c r="AQ2844" s="111"/>
      <c r="AR2844" s="28"/>
      <c r="AS2844" s="99"/>
      <c r="AT2844" s="111"/>
      <c r="AU2844" s="28"/>
    </row>
    <row r="2845" spans="15:47" x14ac:dyDescent="0.25">
      <c r="O2845" s="1"/>
      <c r="P2845" s="1"/>
      <c r="Q2845" s="1"/>
      <c r="R2845" s="98"/>
      <c r="S2845" s="108" t="s">
        <v>137</v>
      </c>
      <c r="T2845" s="26" t="s">
        <v>146</v>
      </c>
      <c r="U2845" s="98"/>
      <c r="V2845" s="108" t="s">
        <v>137</v>
      </c>
      <c r="W2845" s="26" t="s">
        <v>146</v>
      </c>
      <c r="X2845" s="98"/>
      <c r="Y2845" s="108" t="s">
        <v>137</v>
      </c>
      <c r="Z2845" s="26" t="s">
        <v>146</v>
      </c>
      <c r="AA2845" s="98"/>
      <c r="AB2845" s="108" t="s">
        <v>137</v>
      </c>
      <c r="AC2845" s="26" t="s">
        <v>146</v>
      </c>
      <c r="AD2845" s="98"/>
      <c r="AE2845" s="108" t="s">
        <v>137</v>
      </c>
      <c r="AF2845" s="26" t="s">
        <v>146</v>
      </c>
      <c r="AG2845" s="98"/>
      <c r="AH2845" s="108" t="s">
        <v>137</v>
      </c>
      <c r="AI2845" s="26" t="s">
        <v>146</v>
      </c>
      <c r="AJ2845" s="98"/>
      <c r="AK2845" s="108" t="s">
        <v>137</v>
      </c>
      <c r="AL2845" s="26" t="s">
        <v>146</v>
      </c>
      <c r="AM2845" s="98"/>
      <c r="AN2845" s="108" t="s">
        <v>137</v>
      </c>
      <c r="AO2845" s="26" t="s">
        <v>146</v>
      </c>
      <c r="AP2845" s="98"/>
      <c r="AQ2845" s="108" t="s">
        <v>137</v>
      </c>
      <c r="AR2845" s="26" t="s">
        <v>146</v>
      </c>
      <c r="AS2845" s="98"/>
      <c r="AT2845" s="108" t="s">
        <v>137</v>
      </c>
      <c r="AU2845" s="26" t="s">
        <v>146</v>
      </c>
    </row>
    <row r="2846" spans="15:47" ht="13.8" x14ac:dyDescent="0.25">
      <c r="O2846" s="20" t="s">
        <v>136</v>
      </c>
      <c r="P2846" s="1"/>
      <c r="Q2846" s="1"/>
      <c r="R2846" s="96">
        <f>R2832*1.02</f>
        <v>17057.728108813553</v>
      </c>
      <c r="S2846" s="109" t="s">
        <v>144</v>
      </c>
      <c r="T2846" s="23" t="s">
        <v>147</v>
      </c>
      <c r="U2846" s="96">
        <f ca="1">U2832*1.01</f>
        <v>86519.510672474513</v>
      </c>
      <c r="V2846" s="109" t="s">
        <v>144</v>
      </c>
      <c r="W2846" s="23" t="s">
        <v>147</v>
      </c>
      <c r="X2846" s="96">
        <f ca="1">X2832*1.01</f>
        <v>211854.50082721919</v>
      </c>
      <c r="Y2846" s="109" t="s">
        <v>144</v>
      </c>
      <c r="Z2846" s="23" t="s">
        <v>147</v>
      </c>
      <c r="AA2846" s="96">
        <f ca="1">AA2832*1.01</f>
        <v>412638.4927217901</v>
      </c>
      <c r="AB2846" s="109" t="s">
        <v>144</v>
      </c>
      <c r="AC2846" s="23" t="s">
        <v>147</v>
      </c>
      <c r="AD2846" s="96">
        <f ca="1">AD2832*1.01</f>
        <v>692279.02780851512</v>
      </c>
      <c r="AE2846" s="109" t="s">
        <v>144</v>
      </c>
      <c r="AF2846" s="23" t="s">
        <v>147</v>
      </c>
      <c r="AG2846" s="96">
        <f ca="1">AG2832*1.01</f>
        <v>1010400.0960962747</v>
      </c>
      <c r="AH2846" s="109" t="s">
        <v>144</v>
      </c>
      <c r="AI2846" s="23" t="s">
        <v>147</v>
      </c>
      <c r="AJ2846" s="96">
        <f ca="1">AJ2832*1.01</f>
        <v>1348382.8451243842</v>
      </c>
      <c r="AK2846" s="109" t="s">
        <v>144</v>
      </c>
      <c r="AL2846" s="23" t="s">
        <v>147</v>
      </c>
      <c r="AM2846" s="96">
        <f ca="1">AM2832*1.01</f>
        <v>1645283.3176574756</v>
      </c>
      <c r="AN2846" s="109" t="s">
        <v>144</v>
      </c>
      <c r="AO2846" s="23" t="s">
        <v>147</v>
      </c>
      <c r="AP2846" s="96">
        <f ca="1">AP2832*1.01</f>
        <v>1910122.8545884851</v>
      </c>
      <c r="AQ2846" s="109" t="s">
        <v>144</v>
      </c>
      <c r="AR2846" s="23" t="s">
        <v>147</v>
      </c>
      <c r="AS2846" s="96">
        <f ca="1">AS2832*1.01</f>
        <v>2239769.2684711525</v>
      </c>
      <c r="AT2846" s="109" t="s">
        <v>144</v>
      </c>
      <c r="AU2846" s="23" t="s">
        <v>147</v>
      </c>
    </row>
    <row r="2847" spans="15:47" x14ac:dyDescent="0.25">
      <c r="O2847" s="1"/>
      <c r="P2847" s="1"/>
      <c r="Q2847" s="1"/>
      <c r="R2847" s="98"/>
      <c r="S2847" s="107"/>
      <c r="T2847" s="1"/>
      <c r="U2847" s="47"/>
      <c r="V2847" s="107"/>
      <c r="W2847" s="1"/>
      <c r="X2847" s="47"/>
      <c r="Y2847" s="107"/>
      <c r="Z2847" s="1"/>
      <c r="AA2847" s="47"/>
      <c r="AB2847" s="107"/>
      <c r="AC2847" s="1"/>
      <c r="AD2847" s="47"/>
      <c r="AE2847" s="107"/>
      <c r="AF2847" s="1"/>
      <c r="AG2847" s="47"/>
      <c r="AH2847" s="107"/>
      <c r="AI2847" s="1"/>
      <c r="AJ2847" s="47"/>
      <c r="AK2847" s="107"/>
      <c r="AL2847" s="1"/>
      <c r="AM2847" s="47"/>
      <c r="AN2847" s="107"/>
      <c r="AO2847" s="1"/>
      <c r="AP2847" s="47"/>
      <c r="AQ2847" s="107"/>
      <c r="AR2847" s="1"/>
      <c r="AS2847" s="47"/>
      <c r="AT2847" s="107"/>
      <c r="AU2847" s="1"/>
    </row>
    <row r="2848" spans="15:47" x14ac:dyDescent="0.25">
      <c r="O2848" s="8" t="s">
        <v>132</v>
      </c>
      <c r="P2848" s="8"/>
      <c r="Q2848" s="8"/>
      <c r="R2848" s="96">
        <f>P_1_minQ-(R2846^2*R_up)+dpup_minQ</f>
        <v>90.132008785885361</v>
      </c>
      <c r="S2848" s="106"/>
      <c r="T2848" s="22"/>
      <c r="U2848" s="96">
        <f ca="1">P_1_minQ-(U2846^2*R_up)+dpup_minQ</f>
        <v>88.8207035643414</v>
      </c>
      <c r="V2848" s="107"/>
      <c r="W2848" s="1"/>
      <c r="X2848" s="96">
        <f ca="1">P_1_minQ-(X2846^2*R_up)+dpup_minQ</f>
        <v>82.004746254976027</v>
      </c>
      <c r="Y2848" s="107"/>
      <c r="Z2848" s="1"/>
      <c r="AA2848" s="96">
        <f ca="1">P_1_minQ-(AA2846^2*R_up)+dpup_minQ</f>
        <v>59.151379369911879</v>
      </c>
      <c r="AB2848" s="107"/>
      <c r="AC2848" s="1"/>
      <c r="AD2848" s="96">
        <f ca="1">P_1_minQ-(AD2846^2*R_up)+dpup_minQ</f>
        <v>2.8364528447763306</v>
      </c>
      <c r="AE2848" s="107"/>
      <c r="AF2848" s="1"/>
      <c r="AG2848" s="96">
        <f ca="1">P_1_minQ-(AG2846^2*R_up)+dpup_minQ</f>
        <v>-95.886646357467185</v>
      </c>
      <c r="AH2848" s="107"/>
      <c r="AI2848" s="1"/>
      <c r="AJ2848" s="96">
        <f ca="1">P_1_minQ-(AJ2846^2*R_up)+dpup_minQ</f>
        <v>-241.19013765342964</v>
      </c>
      <c r="AK2848" s="107"/>
      <c r="AL2848" s="1"/>
      <c r="AM2848" s="96">
        <f ca="1">P_1_minQ-(AM2846^2*R_up)+dpup_minQ</f>
        <v>-403.18744447876804</v>
      </c>
      <c r="AN2848" s="107"/>
      <c r="AO2848" s="1"/>
      <c r="AP2848" s="96">
        <f ca="1">P_1_minQ-(AP2846^2*R_up)+dpup_minQ</f>
        <v>-574.80652824425738</v>
      </c>
      <c r="AQ2848" s="107"/>
      <c r="AR2848" s="1"/>
      <c r="AS2848" s="96">
        <f ca="1">P_1_minQ-(AS2846^2*R_up)+dpup_minQ</f>
        <v>-824.13891825803171</v>
      </c>
      <c r="AT2848" s="107"/>
      <c r="AU2848" s="1"/>
    </row>
    <row r="2849" spans="15:47" x14ac:dyDescent="0.25">
      <c r="O2849" s="8" t="s">
        <v>134</v>
      </c>
      <c r="P2849" s="1"/>
      <c r="Q2849" s="8"/>
      <c r="R2849" s="97">
        <f>P_2_minQ+(R2846^2*R_dn)-dpdn_minQ</f>
        <v>60</v>
      </c>
      <c r="S2849" s="106"/>
      <c r="T2849" s="22"/>
      <c r="U2849" s="97">
        <f ca="1">P_2_minQ+(U2846^2*R_dn)-dpdn_minQ</f>
        <v>60</v>
      </c>
      <c r="V2849" s="107"/>
      <c r="W2849" s="1"/>
      <c r="X2849" s="97">
        <f ca="1">P_2_minQ+(X2846^2*R_dn)-dpdn_minQ</f>
        <v>60</v>
      </c>
      <c r="Y2849" s="107"/>
      <c r="Z2849" s="1"/>
      <c r="AA2849" s="97">
        <f ca="1">P_2_minQ+(AA2846^2*R_dn)-dpdn_minQ</f>
        <v>60</v>
      </c>
      <c r="AB2849" s="107"/>
      <c r="AC2849" s="1"/>
      <c r="AD2849" s="97">
        <f ca="1">P_2_minQ+(AD2846^2*R_dn)-dpdn_minQ</f>
        <v>60</v>
      </c>
      <c r="AE2849" s="107"/>
      <c r="AF2849" s="1"/>
      <c r="AG2849" s="97">
        <f ca="1">P_2_minQ+(AG2846^2*R_dn)-dpdn_minQ</f>
        <v>60</v>
      </c>
      <c r="AH2849" s="107"/>
      <c r="AI2849" s="1"/>
      <c r="AJ2849" s="97">
        <f ca="1">P_2_minQ+(AJ2846^2*R_dn)-dpdn_minQ</f>
        <v>60</v>
      </c>
      <c r="AK2849" s="107"/>
      <c r="AL2849" s="1"/>
      <c r="AM2849" s="97">
        <f ca="1">P_2_minQ+(AM2846^2*R_dn)-dpdn_minQ</f>
        <v>60</v>
      </c>
      <c r="AN2849" s="107"/>
      <c r="AO2849" s="1"/>
      <c r="AP2849" s="97">
        <f ca="1">P_2_minQ+(AP2846^2*R_dn)-dpdn_minQ</f>
        <v>60</v>
      </c>
      <c r="AQ2849" s="107"/>
      <c r="AR2849" s="1"/>
      <c r="AS2849" s="97">
        <f ca="1">P_2_minQ+(AS2846^2*R_dn)-dpdn_minQ</f>
        <v>60</v>
      </c>
      <c r="AT2849" s="107"/>
      <c r="AU2849" s="1"/>
    </row>
    <row r="2850" spans="15:47" x14ac:dyDescent="0.25">
      <c r="O2850" s="8" t="s">
        <v>138</v>
      </c>
      <c r="P2850" s="1"/>
      <c r="Q2850" s="8"/>
      <c r="R2850" s="97">
        <f>R2848-R2849</f>
        <v>30.132008785885361</v>
      </c>
      <c r="S2850" s="106"/>
      <c r="T2850" s="22"/>
      <c r="U2850" s="97">
        <f ca="1">U2848-U2849</f>
        <v>28.8207035643414</v>
      </c>
      <c r="V2850" s="110"/>
      <c r="W2850" s="25"/>
      <c r="X2850" s="97">
        <f ca="1">X2848-X2849</f>
        <v>22.004746254976027</v>
      </c>
      <c r="Y2850" s="110"/>
      <c r="Z2850" s="25"/>
      <c r="AA2850" s="97">
        <f ca="1">AA2848-AA2849</f>
        <v>-0.84862063008812072</v>
      </c>
      <c r="AB2850" s="110"/>
      <c r="AC2850" s="25"/>
      <c r="AD2850" s="97">
        <f ca="1">AD2848-AD2849</f>
        <v>-57.163547155223668</v>
      </c>
      <c r="AE2850" s="110"/>
      <c r="AF2850" s="25"/>
      <c r="AG2850" s="97">
        <f ca="1">AG2848-AG2849</f>
        <v>-155.88664635746719</v>
      </c>
      <c r="AH2850" s="110"/>
      <c r="AI2850" s="25"/>
      <c r="AJ2850" s="97">
        <f ca="1">AJ2848-AJ2849</f>
        <v>-301.19013765342964</v>
      </c>
      <c r="AK2850" s="110"/>
      <c r="AL2850" s="25"/>
      <c r="AM2850" s="97">
        <f ca="1">AM2848-AM2849</f>
        <v>-463.18744447876804</v>
      </c>
      <c r="AN2850" s="110"/>
      <c r="AO2850" s="25"/>
      <c r="AP2850" s="97">
        <f ca="1">AP2848-AP2849</f>
        <v>-634.80652824425738</v>
      </c>
      <c r="AQ2850" s="110"/>
      <c r="AR2850" s="25"/>
      <c r="AS2850" s="97">
        <f ca="1">AS2848-AS2849</f>
        <v>-884.13891825803171</v>
      </c>
      <c r="AT2850" s="110"/>
      <c r="AU2850" s="25"/>
    </row>
    <row r="2851" spans="15:47" ht="14.4" x14ac:dyDescent="0.3">
      <c r="O2851" s="2" t="s">
        <v>140</v>
      </c>
      <c r="P2851" s="11"/>
      <c r="Q2851" s="2"/>
      <c r="R2851" s="96">
        <f>R2850/R2848</f>
        <v>0.33430974402740732</v>
      </c>
      <c r="S2851" s="106"/>
      <c r="T2851" s="22"/>
      <c r="U2851" s="96">
        <f ca="1">U2850/U2848</f>
        <v>0.32448182020381977</v>
      </c>
      <c r="V2851" s="111"/>
      <c r="W2851" s="28"/>
      <c r="X2851" s="96">
        <f ca="1">X2850/X2848</f>
        <v>0.26833503254259244</v>
      </c>
      <c r="Y2851" s="111"/>
      <c r="Z2851" s="28"/>
      <c r="AA2851" s="96">
        <f ca="1">AA2850/AA2848</f>
        <v>-1.434659071568131E-2</v>
      </c>
      <c r="AB2851" s="111"/>
      <c r="AC2851" s="28"/>
      <c r="AD2851" s="96">
        <f ca="1">AD2850/AD2848</f>
        <v>-20.153180850687232</v>
      </c>
      <c r="AE2851" s="111"/>
      <c r="AF2851" s="28"/>
      <c r="AG2851" s="96">
        <f ca="1">AG2850/AG2848</f>
        <v>1.6257388518555429</v>
      </c>
      <c r="AH2851" s="111"/>
      <c r="AI2851" s="28"/>
      <c r="AJ2851" s="96">
        <f ca="1">AJ2850/AJ2848</f>
        <v>1.2487663906316728</v>
      </c>
      <c r="AK2851" s="111"/>
      <c r="AL2851" s="28"/>
      <c r="AM2851" s="96">
        <f ca="1">AM2850/AM2848</f>
        <v>1.1488141578356108</v>
      </c>
      <c r="AN2851" s="111"/>
      <c r="AO2851" s="28"/>
      <c r="AP2851" s="96">
        <f ca="1">AP2850/AP2848</f>
        <v>1.1043829480908465</v>
      </c>
      <c r="AQ2851" s="111"/>
      <c r="AR2851" s="28"/>
      <c r="AS2851" s="96">
        <f ca="1">AS2850/AS2848</f>
        <v>1.0728032600703059</v>
      </c>
      <c r="AT2851" s="111"/>
      <c r="AU2851" s="28"/>
    </row>
    <row r="2852" spans="15:47" x14ac:dyDescent="0.25">
      <c r="O2852" s="2" t="s">
        <v>21</v>
      </c>
      <c r="P2852" s="8">
        <v>12</v>
      </c>
      <c r="Q2852" s="2"/>
      <c r="R2852" s="96">
        <f ca="1">1-R2851/(3*F_GAMMA*R$29)</f>
        <v>0.82588842084147418</v>
      </c>
      <c r="S2852" s="106"/>
      <c r="T2852" s="22"/>
      <c r="U2852" s="96">
        <f ca="1">1-U2851/(3*F_GAMMA*U$29)</f>
        <v>0.83104615329693243</v>
      </c>
      <c r="V2852" s="111"/>
      <c r="W2852" s="28"/>
      <c r="X2852" s="96">
        <f ca="1">1-X2851/(3*F_GAMMA*X$29)</f>
        <v>0.85895040691639146</v>
      </c>
      <c r="Y2852" s="111"/>
      <c r="Z2852" s="28"/>
      <c r="AA2852" s="96">
        <f ca="1">1-AA2851/(3*F_GAMMA*AA$29)</f>
        <v>1.0076475491211137</v>
      </c>
      <c r="AB2852" s="111"/>
      <c r="AC2852" s="28"/>
      <c r="AD2852" s="96">
        <f ca="1">1-AD2851/(3*F_GAMMA*AD$29)</f>
        <v>12.075970933869639</v>
      </c>
      <c r="AE2852" s="111"/>
      <c r="AF2852" s="28"/>
      <c r="AG2852" s="96">
        <f ca="1">1-AG2851/(3*F_GAMMA*AG$29)</f>
        <v>5.2896620449763843E-2</v>
      </c>
      <c r="AH2852" s="111"/>
      <c r="AI2852" s="28"/>
      <c r="AJ2852" s="96">
        <f ca="1">1-AJ2851/(3*F_GAMMA*AJ$29)</f>
        <v>0.21731896238301085</v>
      </c>
      <c r="AK2852" s="111"/>
      <c r="AL2852" s="28"/>
      <c r="AM2852" s="96">
        <f ca="1">1-AM2851/(3*F_GAMMA*AM$29)</f>
        <v>0.19494191930308413</v>
      </c>
      <c r="AN2852" s="111"/>
      <c r="AO2852" s="28"/>
      <c r="AP2852" s="96">
        <f ca="1">1-AP2851/(3*F_GAMMA*AP$29)</f>
        <v>0.37662704850071127</v>
      </c>
      <c r="AQ2852" s="111"/>
      <c r="AR2852" s="28"/>
      <c r="AS2852" s="96">
        <f ca="1">1-AS2851/(3*F_GAMMA*AS$29)</f>
        <v>5.0675279353819658E-2</v>
      </c>
      <c r="AT2852" s="111"/>
      <c r="AU2852" s="28"/>
    </row>
    <row r="2853" spans="15:47" x14ac:dyDescent="0.25">
      <c r="O2853" s="2" t="s">
        <v>57</v>
      </c>
      <c r="P2853" s="143">
        <v>7</v>
      </c>
      <c r="Q2853" s="2"/>
      <c r="R2853" s="96">
        <f ca="1">(R2846/(N_9*R$27*R2848*R2852))*SQRT(M*'Valve Sizing'!$W$6*'Valve Sizing'!$G$8/R2851)</f>
        <v>6.8949683475499963</v>
      </c>
      <c r="S2853" s="107"/>
      <c r="T2853" s="22"/>
      <c r="U2853" s="96">
        <f ca="1">(U2846/(N_9*U$27*U2848*U2852))*SQRT(M*'Valve Sizing'!$W$6*'Valve Sizing'!$G$8/U2851)</f>
        <v>35.822048316155389</v>
      </c>
      <c r="V2853" s="111"/>
      <c r="W2853" s="28"/>
      <c r="X2853" s="96">
        <f ca="1">(X2846/(N_9*X$27*X2848*X2852))*SQRT(M*'Valve Sizing'!$W$6*'Valve Sizing'!$G$8/X2851)</f>
        <v>101.31212540485181</v>
      </c>
      <c r="Y2853" s="111"/>
      <c r="Z2853" s="28"/>
      <c r="AA2853" s="96" t="e">
        <f ca="1">(AA2846/(N_9*AA$27*AA2848*AA2852))*SQRT(M*'Valve Sizing'!$W$6*'Valve Sizing'!$G$8/AA2851)</f>
        <v>#NUM!</v>
      </c>
      <c r="AB2853" s="111"/>
      <c r="AC2853" s="28"/>
      <c r="AD2853" s="96" t="e">
        <f ca="1">(AD2846/(N_9*AD$27*AD2848*AD2852))*SQRT(M*'Valve Sizing'!$W$6*'Valve Sizing'!$G$8/AD2851)</f>
        <v>#NUM!</v>
      </c>
      <c r="AE2853" s="111"/>
      <c r="AF2853" s="28"/>
      <c r="AG2853" s="96">
        <f ca="1">(AG2846/(N_9*AG$27*AG2848*AG2852))*SQRT(M*'Valve Sizing'!$W$6*'Valve Sizing'!$G$8/AG2851)</f>
        <v>-2838.7900269646739</v>
      </c>
      <c r="AH2853" s="111"/>
      <c r="AI2853" s="28"/>
      <c r="AJ2853" s="96">
        <f ca="1">(AJ2846/(N_9*AJ$27*AJ2848*AJ2852))*SQRT(M*'Valve Sizing'!$W$6*'Valve Sizing'!$G$8/AJ2851)</f>
        <v>-433.40091950805788</v>
      </c>
      <c r="AK2853" s="111"/>
      <c r="AL2853" s="28"/>
      <c r="AM2853" s="96">
        <f ca="1">(AM2846/(N_9*AM$27*AM2848*AM2852))*SQRT(M*'Valve Sizing'!$W$6*'Valve Sizing'!$G$8/AM2851)</f>
        <v>-390.11858367784623</v>
      </c>
      <c r="AN2853" s="111"/>
      <c r="AO2853" s="28"/>
      <c r="AP2853" s="96">
        <f ca="1">(AP2846/(N_9*AP$27*AP2848*AP2852))*SQRT(M*'Valve Sizing'!$W$6*'Valve Sizing'!$G$8/AP2851)</f>
        <v>-190.88763315328245</v>
      </c>
      <c r="AQ2853" s="111"/>
      <c r="AR2853" s="28"/>
      <c r="AS2853" s="96">
        <f ca="1">(AS2846/(N_9*AS$27*AS2848*AS2852))*SQRT(M*'Valve Sizing'!$W$6*'Valve Sizing'!$G$8/AS2851)</f>
        <v>-1576.7513854803203</v>
      </c>
      <c r="AT2853" s="111"/>
      <c r="AU2853" s="28"/>
    </row>
    <row r="2854" spans="15:47" x14ac:dyDescent="0.25">
      <c r="O2854" s="2" t="s">
        <v>59</v>
      </c>
      <c r="P2854" s="143">
        <v>7</v>
      </c>
      <c r="Q2854" s="2"/>
      <c r="R2854" s="96">
        <f ca="1">(R2846/(N_9*R$27*R2848*0.667))*SQRT(M*'Valve Sizing'!$W$6*'Valve Sizing'!$G$8/R2855)</f>
        <v>6.1702430959376278</v>
      </c>
      <c r="S2854" s="107"/>
      <c r="T2854" s="22"/>
      <c r="U2854" s="96">
        <f ca="1">(U2846/(N_9*U$27*U2848*0.667))*SQRT(M*'Valve Sizing'!$W$6*'Valve Sizing'!$G$8/U2855)</f>
        <v>31.775646431309244</v>
      </c>
      <c r="V2854" s="111"/>
      <c r="W2854" s="28"/>
      <c r="X2854" s="96">
        <f ca="1">(X2846/(N_9*X$27*X2848*0.667))*SQRT(M*'Valve Sizing'!$W$6*'Valve Sizing'!$G$8/X2855)</f>
        <v>84.869223450595001</v>
      </c>
      <c r="Y2854" s="111"/>
      <c r="Z2854" s="28"/>
      <c r="AA2854" s="96">
        <f ca="1">(AA2846/(N_9*AA$27*AA2848*0.667))*SQRT(M*'Valve Sizing'!$W$6*'Valve Sizing'!$G$8/AA2855)</f>
        <v>232.14832564663683</v>
      </c>
      <c r="AB2854" s="111"/>
      <c r="AC2854" s="28"/>
      <c r="AD2854" s="96">
        <f ca="1">(AD2846/(N_9*AD$27*AD2848*0.667))*SQRT(M*'Valve Sizing'!$W$6*'Valve Sizing'!$G$8/AD2855)</f>
        <v>8349.2127818415483</v>
      </c>
      <c r="AE2854" s="111"/>
      <c r="AF2854" s="28"/>
      <c r="AG2854" s="96">
        <f ca="1">(AG2846/(N_9*AG$27*AG2848*0.667))*SQRT(M*'Valve Sizing'!$W$6*'Valve Sizing'!$G$8/AG2855)</f>
        <v>-379.48506054616746</v>
      </c>
      <c r="AH2854" s="111"/>
      <c r="AI2854" s="28"/>
      <c r="AJ2854" s="96">
        <f ca="1">(AJ2846/(N_9*AJ$27*AJ2848*0.667))*SQRT(M*'Valve Sizing'!$W$6*'Valve Sizing'!$G$8/AJ2855)</f>
        <v>-216.37877145562052</v>
      </c>
      <c r="AK2854" s="111"/>
      <c r="AL2854" s="28"/>
      <c r="AM2854" s="96">
        <f ca="1">(AM2846/(N_9*AM$27*AM2848*0.667))*SQRT(M*'Valve Sizing'!$W$6*'Valve Sizing'!$G$8/AM2855)</f>
        <v>-177.19451596110201</v>
      </c>
      <c r="AN2854" s="111"/>
      <c r="AO2854" s="28"/>
      <c r="AP2854" s="96">
        <f ca="1">(AP2846/(N_9*AP$27*AP2848*0.667))*SQRT(M*'Valve Sizing'!$W$6*'Valve Sizing'!$G$8/AP2855)</f>
        <v>-147.40019919536553</v>
      </c>
      <c r="AQ2854" s="111"/>
      <c r="AR2854" s="28"/>
      <c r="AS2854" s="96">
        <f ca="1">(AS2846/(N_9*AS$27*AS2848*0.667))*SQRT(M*'Valve Sizing'!$W$6*'Valve Sizing'!$G$8/AS2855)</f>
        <v>-202.16294767555479</v>
      </c>
      <c r="AT2854" s="111"/>
      <c r="AU2854" s="28"/>
    </row>
    <row r="2855" spans="15:47" ht="15.6" x14ac:dyDescent="0.35">
      <c r="O2855" s="2" t="s">
        <v>68</v>
      </c>
      <c r="P2855" s="143">
        <v>10</v>
      </c>
      <c r="Q2855" s="2"/>
      <c r="R2855" s="96">
        <f ca="1">F_GAMMA*R$29</f>
        <v>0.64002969751372984</v>
      </c>
      <c r="S2855" s="107"/>
      <c r="T2855" s="1"/>
      <c r="U2855" s="96">
        <f ca="1">F_GAMMA*U$29</f>
        <v>0.64017842058782071</v>
      </c>
      <c r="V2855" s="111"/>
      <c r="W2855" s="28"/>
      <c r="X2855" s="96">
        <f ca="1">F_GAMMA*X$29</f>
        <v>0.63413873724904268</v>
      </c>
      <c r="Y2855" s="111"/>
      <c r="Z2855" s="28"/>
      <c r="AA2855" s="96">
        <f ca="1">F_GAMMA*AA$29</f>
        <v>0.62532411750377137</v>
      </c>
      <c r="AB2855" s="111"/>
      <c r="AC2855" s="28"/>
      <c r="AD2855" s="96">
        <f ca="1">F_GAMMA*AD$29</f>
        <v>0.60651359509139569</v>
      </c>
      <c r="AE2855" s="111"/>
      <c r="AF2855" s="28"/>
      <c r="AG2855" s="96">
        <f ca="1">F_GAMMA*AG$29</f>
        <v>0.57217930198481592</v>
      </c>
      <c r="AH2855" s="111"/>
      <c r="AI2855" s="28"/>
      <c r="AJ2855" s="96">
        <f ca="1">F_GAMMA*AJ$29</f>
        <v>0.53183282018848232</v>
      </c>
      <c r="AK2855" s="111"/>
      <c r="AL2855" s="28"/>
      <c r="AM2855" s="96">
        <f ca="1">F_GAMMA*AM$29</f>
        <v>0.47566512503094399</v>
      </c>
      <c r="AN2855" s="111"/>
      <c r="AO2855" s="28"/>
      <c r="AP2855" s="96">
        <f ca="1">F_GAMMA*AP$29</f>
        <v>0.59054158265645496</v>
      </c>
      <c r="AQ2855" s="111"/>
      <c r="AR2855" s="28"/>
      <c r="AS2855" s="96">
        <f ca="1">F_GAMMA*AS$29</f>
        <v>0.3766899554102966</v>
      </c>
      <c r="AT2855" s="111"/>
      <c r="AU2855" s="28"/>
    </row>
    <row r="2856" spans="15:47" x14ac:dyDescent="0.25">
      <c r="O2856" s="2" t="s">
        <v>145</v>
      </c>
      <c r="P2856" s="12"/>
      <c r="Q2856" s="2"/>
      <c r="R2856" s="96">
        <f ca="1">IF(R2851&lt;R2855,R2853,R2854)</f>
        <v>6.8949683475499963</v>
      </c>
      <c r="S2856" s="116"/>
      <c r="T2856" s="1"/>
      <c r="U2856" s="96">
        <f ca="1">IF(U2851&lt;U2855,U2853,U2854)</f>
        <v>35.822048316155389</v>
      </c>
      <c r="V2856" s="111"/>
      <c r="W2856" s="28"/>
      <c r="X2856" s="96">
        <f ca="1">IF(X2851&lt;X2855,X2853,X2854)</f>
        <v>101.31212540485181</v>
      </c>
      <c r="Y2856" s="111"/>
      <c r="Z2856" s="28"/>
      <c r="AA2856" s="96" t="e">
        <f ca="1">IF(AA2851&lt;AA2855,AA2853,AA2854)</f>
        <v>#NUM!</v>
      </c>
      <c r="AB2856" s="111"/>
      <c r="AC2856" s="28"/>
      <c r="AD2856" s="96" t="e">
        <f ca="1">IF(AD2851&lt;AD2855,AD2853,AD2854)</f>
        <v>#NUM!</v>
      </c>
      <c r="AE2856" s="111"/>
      <c r="AF2856" s="28"/>
      <c r="AG2856" s="96">
        <f ca="1">IF(AG2851&lt;AG2855,AG2853,AG2854)</f>
        <v>-379.48506054616746</v>
      </c>
      <c r="AH2856" s="111"/>
      <c r="AI2856" s="28"/>
      <c r="AJ2856" s="96">
        <f ca="1">IF(AJ2851&lt;AJ2855,AJ2853,AJ2854)</f>
        <v>-216.37877145562052</v>
      </c>
      <c r="AK2856" s="111"/>
      <c r="AL2856" s="28"/>
      <c r="AM2856" s="96">
        <f ca="1">IF(AM2851&lt;AM2855,AM2853,AM2854)</f>
        <v>-177.19451596110201</v>
      </c>
      <c r="AN2856" s="111"/>
      <c r="AO2856" s="28"/>
      <c r="AP2856" s="96">
        <f ca="1">IF(AP2851&lt;AP2855,AP2853,AP2854)</f>
        <v>-147.40019919536553</v>
      </c>
      <c r="AQ2856" s="111"/>
      <c r="AR2856" s="28"/>
      <c r="AS2856" s="96">
        <f ca="1">IF(AS2851&lt;AS2855,AS2853,AS2854)</f>
        <v>-202.16294767555479</v>
      </c>
      <c r="AT2856" s="111"/>
      <c r="AU2856" s="28"/>
    </row>
    <row r="2857" spans="15:47" x14ac:dyDescent="0.25">
      <c r="O2857" s="13" t="s">
        <v>143</v>
      </c>
      <c r="P2857" s="1"/>
      <c r="Q2857" s="1"/>
      <c r="R2857" s="113"/>
      <c r="S2857" s="106">
        <f ca="1">IF(R2850&lt;=0,Q_max,ABS(R$23-R2856))</f>
        <v>2.1649683475499959</v>
      </c>
      <c r="T2857" s="7">
        <f>R2846</f>
        <v>17057.728108813553</v>
      </c>
      <c r="U2857" s="98"/>
      <c r="V2857" s="106">
        <f ca="1">IF(U2850&lt;=0,Q_max,ABS(U$23-U2856))</f>
        <v>24.222048316155387</v>
      </c>
      <c r="W2857" s="9">
        <f ca="1">U2846</f>
        <v>86519.510672474513</v>
      </c>
      <c r="X2857" s="98"/>
      <c r="Y2857" s="106">
        <f ca="1">IF(X2850&lt;=0,Q_max,ABS(X$23-X2856))</f>
        <v>78.312125404851813</v>
      </c>
      <c r="Z2857" s="9">
        <f ca="1">X2846</f>
        <v>211854.50082721919</v>
      </c>
      <c r="AA2857" s="98"/>
      <c r="AB2857" s="106">
        <f ca="1">IF(AA2850&lt;=0,Q_max,ABS(AA$23-AA2856))</f>
        <v>236393</v>
      </c>
      <c r="AC2857" s="9">
        <f ca="1">AA2846</f>
        <v>412638.4927217901</v>
      </c>
      <c r="AD2857" s="98"/>
      <c r="AE2857" s="106">
        <f ca="1">IF(AD2850&lt;=0,Q_max,ABS(AD$23-AD2856))</f>
        <v>236393</v>
      </c>
      <c r="AF2857" s="9">
        <f ca="1">AD2846</f>
        <v>692279.02780851512</v>
      </c>
      <c r="AG2857" s="98"/>
      <c r="AH2857" s="106">
        <f ca="1">IF(AG2850&lt;=0,Q_max,ABS(AG$23-AG2856))</f>
        <v>236393</v>
      </c>
      <c r="AI2857" s="9">
        <f ca="1">AG2846</f>
        <v>1010400.0960962747</v>
      </c>
      <c r="AJ2857" s="98"/>
      <c r="AK2857" s="106">
        <f ca="1">IF(AJ2850&lt;=0,Q_max,ABS(AJ$23-AJ2856))</f>
        <v>236393</v>
      </c>
      <c r="AL2857" s="9">
        <f ca="1">AJ2846</f>
        <v>1348382.8451243842</v>
      </c>
      <c r="AM2857" s="98"/>
      <c r="AN2857" s="106">
        <f ca="1">IF(AM2850&lt;=0,Q_max,ABS(AM$23-AM2856))</f>
        <v>236393</v>
      </c>
      <c r="AO2857" s="9">
        <f ca="1">AM2846</f>
        <v>1645283.3176574756</v>
      </c>
      <c r="AP2857" s="98"/>
      <c r="AQ2857" s="106">
        <f ca="1">IF(AP2850&lt;=0,Q_max,ABS(AP$23-AP2856))</f>
        <v>236393</v>
      </c>
      <c r="AR2857" s="9">
        <f ca="1">AP2846</f>
        <v>1910122.8545884851</v>
      </c>
      <c r="AS2857" s="98"/>
      <c r="AT2857" s="106">
        <f ca="1">IF(AS2850&lt;=0,Q_max,ABS(AS$23-AS2856))</f>
        <v>236393</v>
      </c>
      <c r="AU2857" s="9">
        <f ca="1">AS2846</f>
        <v>2239769.2684711525</v>
      </c>
    </row>
    <row r="2858" spans="15:47" x14ac:dyDescent="0.25">
      <c r="O2858" s="21"/>
      <c r="P2858" s="14"/>
      <c r="Q2858" s="21"/>
      <c r="R2858" s="97"/>
      <c r="S2858" s="106"/>
      <c r="T2858" s="28"/>
      <c r="U2858" s="97"/>
      <c r="V2858" s="111"/>
      <c r="W2858" s="28"/>
      <c r="X2858" s="97"/>
      <c r="Y2858" s="111"/>
      <c r="Z2858" s="28"/>
      <c r="AA2858" s="97"/>
      <c r="AB2858" s="111"/>
      <c r="AC2858" s="28"/>
      <c r="AD2858" s="97"/>
      <c r="AE2858" s="111"/>
      <c r="AF2858" s="28"/>
      <c r="AG2858" s="97"/>
      <c r="AH2858" s="111"/>
      <c r="AI2858" s="28"/>
      <c r="AJ2858" s="97"/>
      <c r="AK2858" s="111"/>
      <c r="AL2858" s="28"/>
      <c r="AM2858" s="97"/>
      <c r="AN2858" s="111"/>
      <c r="AO2858" s="28"/>
      <c r="AP2858" s="97"/>
      <c r="AQ2858" s="111"/>
      <c r="AR2858" s="28"/>
      <c r="AS2858" s="97"/>
      <c r="AT2858" s="111"/>
      <c r="AU2858" s="28"/>
    </row>
    <row r="2859" spans="15:47" x14ac:dyDescent="0.25">
      <c r="O2859" s="1"/>
      <c r="P2859" s="1"/>
      <c r="Q2859" s="1"/>
      <c r="R2859" s="98"/>
      <c r="S2859" s="108" t="s">
        <v>137</v>
      </c>
      <c r="T2859" s="26" t="s">
        <v>146</v>
      </c>
      <c r="U2859" s="98"/>
      <c r="V2859" s="108" t="s">
        <v>137</v>
      </c>
      <c r="W2859" s="26" t="s">
        <v>146</v>
      </c>
      <c r="X2859" s="98"/>
      <c r="Y2859" s="108" t="s">
        <v>137</v>
      </c>
      <c r="Z2859" s="26" t="s">
        <v>146</v>
      </c>
      <c r="AA2859" s="98"/>
      <c r="AB2859" s="108" t="s">
        <v>137</v>
      </c>
      <c r="AC2859" s="26" t="s">
        <v>146</v>
      </c>
      <c r="AD2859" s="98"/>
      <c r="AE2859" s="108" t="s">
        <v>137</v>
      </c>
      <c r="AF2859" s="26" t="s">
        <v>146</v>
      </c>
      <c r="AG2859" s="98"/>
      <c r="AH2859" s="108" t="s">
        <v>137</v>
      </c>
      <c r="AI2859" s="26" t="s">
        <v>146</v>
      </c>
      <c r="AJ2859" s="98"/>
      <c r="AK2859" s="108" t="s">
        <v>137</v>
      </c>
      <c r="AL2859" s="26" t="s">
        <v>146</v>
      </c>
      <c r="AM2859" s="98"/>
      <c r="AN2859" s="108" t="s">
        <v>137</v>
      </c>
      <c r="AO2859" s="26" t="s">
        <v>146</v>
      </c>
      <c r="AP2859" s="98"/>
      <c r="AQ2859" s="108" t="s">
        <v>137</v>
      </c>
      <c r="AR2859" s="26" t="s">
        <v>146</v>
      </c>
      <c r="AS2859" s="98"/>
      <c r="AT2859" s="108" t="s">
        <v>137</v>
      </c>
      <c r="AU2859" s="26" t="s">
        <v>146</v>
      </c>
    </row>
    <row r="2860" spans="15:47" ht="13.8" x14ac:dyDescent="0.25">
      <c r="O2860" s="20" t="s">
        <v>136</v>
      </c>
      <c r="P2860" s="1"/>
      <c r="Q2860" s="1"/>
      <c r="R2860" s="96">
        <f>R2846*1.02</f>
        <v>17398.882670989824</v>
      </c>
      <c r="S2860" s="109" t="s">
        <v>144</v>
      </c>
      <c r="T2860" s="23" t="s">
        <v>147</v>
      </c>
      <c r="U2860" s="96">
        <f ca="1">U2846*1.01</f>
        <v>87384.705779199256</v>
      </c>
      <c r="V2860" s="109" t="s">
        <v>144</v>
      </c>
      <c r="W2860" s="23" t="s">
        <v>147</v>
      </c>
      <c r="X2860" s="96">
        <f ca="1">X2846*1.01</f>
        <v>213973.04583549139</v>
      </c>
      <c r="Y2860" s="109" t="s">
        <v>144</v>
      </c>
      <c r="Z2860" s="23" t="s">
        <v>147</v>
      </c>
      <c r="AA2860" s="96">
        <f ca="1">AA2846*1.01</f>
        <v>416764.87764900801</v>
      </c>
      <c r="AB2860" s="109" t="s">
        <v>144</v>
      </c>
      <c r="AC2860" s="23" t="s">
        <v>147</v>
      </c>
      <c r="AD2860" s="96">
        <f ca="1">AD2846*1.01</f>
        <v>699201.81808660028</v>
      </c>
      <c r="AE2860" s="109" t="s">
        <v>144</v>
      </c>
      <c r="AF2860" s="23" t="s">
        <v>147</v>
      </c>
      <c r="AG2860" s="96">
        <f ca="1">AG2846*1.01</f>
        <v>1020504.0970572374</v>
      </c>
      <c r="AH2860" s="109" t="s">
        <v>144</v>
      </c>
      <c r="AI2860" s="23" t="s">
        <v>147</v>
      </c>
      <c r="AJ2860" s="96">
        <f ca="1">AJ2846*1.01</f>
        <v>1361866.6735756281</v>
      </c>
      <c r="AK2860" s="109" t="s">
        <v>144</v>
      </c>
      <c r="AL2860" s="23" t="s">
        <v>147</v>
      </c>
      <c r="AM2860" s="96">
        <f ca="1">AM2846*1.01</f>
        <v>1661736.1508340503</v>
      </c>
      <c r="AN2860" s="109" t="s">
        <v>144</v>
      </c>
      <c r="AO2860" s="23" t="s">
        <v>147</v>
      </c>
      <c r="AP2860" s="96">
        <f ca="1">AP2846*1.01</f>
        <v>1929224.0831343699</v>
      </c>
      <c r="AQ2860" s="109" t="s">
        <v>144</v>
      </c>
      <c r="AR2860" s="23" t="s">
        <v>147</v>
      </c>
      <c r="AS2860" s="96">
        <f ca="1">AS2846*1.01</f>
        <v>2262166.9611558639</v>
      </c>
      <c r="AT2860" s="109" t="s">
        <v>144</v>
      </c>
      <c r="AU2860" s="23" t="s">
        <v>147</v>
      </c>
    </row>
    <row r="2861" spans="15:47" x14ac:dyDescent="0.25">
      <c r="O2861" s="1"/>
      <c r="P2861" s="1"/>
      <c r="Q2861" s="1"/>
      <c r="R2861" s="98"/>
      <c r="S2861" s="107"/>
      <c r="T2861" s="1"/>
      <c r="U2861" s="47"/>
      <c r="V2861" s="107"/>
      <c r="W2861" s="1"/>
      <c r="X2861" s="47"/>
      <c r="Y2861" s="107"/>
      <c r="Z2861" s="1"/>
      <c r="AA2861" s="47"/>
      <c r="AB2861" s="107"/>
      <c r="AC2861" s="1"/>
      <c r="AD2861" s="47"/>
      <c r="AE2861" s="107"/>
      <c r="AF2861" s="1"/>
      <c r="AG2861" s="47"/>
      <c r="AH2861" s="107"/>
      <c r="AI2861" s="1"/>
      <c r="AJ2861" s="47"/>
      <c r="AK2861" s="107"/>
      <c r="AL2861" s="1"/>
      <c r="AM2861" s="47"/>
      <c r="AN2861" s="107"/>
      <c r="AO2861" s="1"/>
      <c r="AP2861" s="47"/>
      <c r="AQ2861" s="107"/>
      <c r="AR2861" s="1"/>
      <c r="AS2861" s="47"/>
      <c r="AT2861" s="107"/>
      <c r="AU2861" s="1"/>
    </row>
    <row r="2862" spans="15:47" x14ac:dyDescent="0.25">
      <c r="O2862" s="8" t="s">
        <v>132</v>
      </c>
      <c r="P2862" s="8"/>
      <c r="Q2862" s="8"/>
      <c r="R2862" s="96">
        <f>P_1_minQ-(R2860^2*R_up)+dpup_minQ</f>
        <v>90.129866303412811</v>
      </c>
      <c r="S2862" s="106"/>
      <c r="T2862" s="22"/>
      <c r="U2862" s="96">
        <f ca="1">P_1_minQ-(U2860^2*R_up)+dpup_minQ</f>
        <v>88.793280391326519</v>
      </c>
      <c r="V2862" s="107"/>
      <c r="W2862" s="1"/>
      <c r="X2862" s="96">
        <f ca="1">P_1_minQ-(X2860^2*R_up)+dpup_minQ</f>
        <v>81.840322340042917</v>
      </c>
      <c r="Y2862" s="107"/>
      <c r="Z2862" s="1"/>
      <c r="AA2862" s="96">
        <f ca="1">P_1_minQ-(AA2860^2*R_up)+dpup_minQ</f>
        <v>58.527602780588978</v>
      </c>
      <c r="AB2862" s="107"/>
      <c r="AC2862" s="1"/>
      <c r="AD2862" s="96">
        <f ca="1">P_1_minQ-(AD2860^2*R_up)+dpup_minQ</f>
        <v>1.0807462322981951</v>
      </c>
      <c r="AE2862" s="107"/>
      <c r="AF2862" s="1"/>
      <c r="AG2862" s="96">
        <f ca="1">P_1_minQ-(AG2860^2*R_up)+dpup_minQ</f>
        <v>-99.626687263910412</v>
      </c>
      <c r="AH2862" s="107"/>
      <c r="AI2862" s="1"/>
      <c r="AJ2862" s="96">
        <f ca="1">P_1_minQ-(AJ2860^2*R_up)+dpup_minQ</f>
        <v>-247.85077873492179</v>
      </c>
      <c r="AK2862" s="107"/>
      <c r="AL2862" s="1"/>
      <c r="AM2862" s="96">
        <f ca="1">P_1_minQ-(AM2860^2*R_up)+dpup_minQ</f>
        <v>-413.10423142744941</v>
      </c>
      <c r="AN2862" s="107"/>
      <c r="AO2862" s="1"/>
      <c r="AP2862" s="96">
        <f ca="1">P_1_minQ-(AP2860^2*R_up)+dpup_minQ</f>
        <v>-588.17285877662505</v>
      </c>
      <c r="AQ2862" s="107"/>
      <c r="AR2862" s="1"/>
      <c r="AS2862" s="96">
        <f ca="1">P_1_minQ-(AS2860^2*R_up)+dpup_minQ</f>
        <v>-842.51682982967623</v>
      </c>
      <c r="AT2862" s="107"/>
      <c r="AU2862" s="1"/>
    </row>
    <row r="2863" spans="15:47" x14ac:dyDescent="0.25">
      <c r="O2863" s="8" t="s">
        <v>134</v>
      </c>
      <c r="P2863" s="1"/>
      <c r="Q2863" s="8"/>
      <c r="R2863" s="97">
        <f>P_2_minQ+(R2860^2*R_dn)-dpdn_minQ</f>
        <v>60</v>
      </c>
      <c r="S2863" s="106"/>
      <c r="T2863" s="22"/>
      <c r="U2863" s="97">
        <f ca="1">P_2_minQ+(U2860^2*R_dn)-dpdn_minQ</f>
        <v>60</v>
      </c>
      <c r="V2863" s="107"/>
      <c r="W2863" s="1"/>
      <c r="X2863" s="97">
        <f ca="1">P_2_minQ+(X2860^2*R_dn)-dpdn_minQ</f>
        <v>60</v>
      </c>
      <c r="Y2863" s="107"/>
      <c r="Z2863" s="1"/>
      <c r="AA2863" s="97">
        <f ca="1">P_2_minQ+(AA2860^2*R_dn)-dpdn_minQ</f>
        <v>60</v>
      </c>
      <c r="AB2863" s="107"/>
      <c r="AC2863" s="1"/>
      <c r="AD2863" s="97">
        <f ca="1">P_2_minQ+(AD2860^2*R_dn)-dpdn_minQ</f>
        <v>60</v>
      </c>
      <c r="AE2863" s="107"/>
      <c r="AF2863" s="1"/>
      <c r="AG2863" s="97">
        <f ca="1">P_2_minQ+(AG2860^2*R_dn)-dpdn_minQ</f>
        <v>60</v>
      </c>
      <c r="AH2863" s="107"/>
      <c r="AI2863" s="1"/>
      <c r="AJ2863" s="97">
        <f ca="1">P_2_minQ+(AJ2860^2*R_dn)-dpdn_minQ</f>
        <v>60</v>
      </c>
      <c r="AK2863" s="107"/>
      <c r="AL2863" s="1"/>
      <c r="AM2863" s="97">
        <f ca="1">P_2_minQ+(AM2860^2*R_dn)-dpdn_minQ</f>
        <v>60</v>
      </c>
      <c r="AN2863" s="107"/>
      <c r="AO2863" s="1"/>
      <c r="AP2863" s="97">
        <f ca="1">P_2_minQ+(AP2860^2*R_dn)-dpdn_minQ</f>
        <v>60</v>
      </c>
      <c r="AQ2863" s="107"/>
      <c r="AR2863" s="1"/>
      <c r="AS2863" s="97">
        <f ca="1">P_2_minQ+(AS2860^2*R_dn)-dpdn_minQ</f>
        <v>60</v>
      </c>
      <c r="AT2863" s="107"/>
      <c r="AU2863" s="1"/>
    </row>
    <row r="2864" spans="15:47" x14ac:dyDescent="0.25">
      <c r="O2864" s="8" t="s">
        <v>138</v>
      </c>
      <c r="P2864" s="1"/>
      <c r="Q2864" s="8"/>
      <c r="R2864" s="97">
        <f>R2862-R2863</f>
        <v>30.129866303412811</v>
      </c>
      <c r="S2864" s="106"/>
      <c r="T2864" s="22"/>
      <c r="U2864" s="97">
        <f ca="1">U2862-U2863</f>
        <v>28.793280391326519</v>
      </c>
      <c r="V2864" s="110"/>
      <c r="W2864" s="25"/>
      <c r="X2864" s="97">
        <f ca="1">X2862-X2863</f>
        <v>21.840322340042917</v>
      </c>
      <c r="Y2864" s="110"/>
      <c r="Z2864" s="25"/>
      <c r="AA2864" s="97">
        <f ca="1">AA2862-AA2863</f>
        <v>-1.4723972194110218</v>
      </c>
      <c r="AB2864" s="110"/>
      <c r="AC2864" s="25"/>
      <c r="AD2864" s="97">
        <f ca="1">AD2862-AD2863</f>
        <v>-58.919253767701804</v>
      </c>
      <c r="AE2864" s="110"/>
      <c r="AF2864" s="25"/>
      <c r="AG2864" s="97">
        <f ca="1">AG2862-AG2863</f>
        <v>-159.62668726391041</v>
      </c>
      <c r="AH2864" s="110"/>
      <c r="AI2864" s="25"/>
      <c r="AJ2864" s="97">
        <f ca="1">AJ2862-AJ2863</f>
        <v>-307.85077873492179</v>
      </c>
      <c r="AK2864" s="110"/>
      <c r="AL2864" s="25"/>
      <c r="AM2864" s="97">
        <f ca="1">AM2862-AM2863</f>
        <v>-473.10423142744941</v>
      </c>
      <c r="AN2864" s="110"/>
      <c r="AO2864" s="25"/>
      <c r="AP2864" s="97">
        <f ca="1">AP2862-AP2863</f>
        <v>-648.17285877662505</v>
      </c>
      <c r="AQ2864" s="110"/>
      <c r="AR2864" s="25"/>
      <c r="AS2864" s="97">
        <f ca="1">AS2862-AS2863</f>
        <v>-902.51682982967623</v>
      </c>
      <c r="AT2864" s="110"/>
      <c r="AU2864" s="25"/>
    </row>
    <row r="2865" spans="15:47" ht="14.4" x14ac:dyDescent="0.3">
      <c r="O2865" s="2" t="s">
        <v>140</v>
      </c>
      <c r="P2865" s="11"/>
      <c r="Q2865" s="2"/>
      <c r="R2865" s="96">
        <f>R2864/R2862</f>
        <v>0.33429391986429619</v>
      </c>
      <c r="S2865" s="106"/>
      <c r="T2865" s="22"/>
      <c r="U2865" s="96">
        <f ca="1">U2864/U2862</f>
        <v>0.32427319121931097</v>
      </c>
      <c r="V2865" s="111"/>
      <c r="W2865" s="28"/>
      <c r="X2865" s="96">
        <f ca="1">X2864/X2862</f>
        <v>0.26686505765822066</v>
      </c>
      <c r="Y2865" s="111"/>
      <c r="Z2865" s="28"/>
      <c r="AA2865" s="96">
        <f ca="1">AA2864/AA2862</f>
        <v>-2.5157312950793723E-2</v>
      </c>
      <c r="AB2865" s="111"/>
      <c r="AC2865" s="28"/>
      <c r="AD2865" s="96">
        <f ca="1">AD2864/AD2862</f>
        <v>-54.517195625480603</v>
      </c>
      <c r="AE2865" s="111"/>
      <c r="AF2865" s="28"/>
      <c r="AG2865" s="96">
        <f ca="1">AG2864/AG2862</f>
        <v>1.6022482694928961</v>
      </c>
      <c r="AH2865" s="111"/>
      <c r="AI2865" s="28"/>
      <c r="AJ2865" s="96">
        <f ca="1">AJ2864/AJ2862</f>
        <v>1.2420811437682446</v>
      </c>
      <c r="AK2865" s="111"/>
      <c r="AL2865" s="28"/>
      <c r="AM2865" s="96">
        <f ca="1">AM2864/AM2862</f>
        <v>1.1452417947709581</v>
      </c>
      <c r="AN2865" s="111"/>
      <c r="AO2865" s="28"/>
      <c r="AP2865" s="96">
        <f ca="1">AP2864/AP2862</f>
        <v>1.1020108274373583</v>
      </c>
      <c r="AQ2865" s="111"/>
      <c r="AR2865" s="28"/>
      <c r="AS2865" s="96">
        <f ca="1">AS2864/AS2862</f>
        <v>1.0712151946117558</v>
      </c>
      <c r="AT2865" s="111"/>
      <c r="AU2865" s="28"/>
    </row>
    <row r="2866" spans="15:47" x14ac:dyDescent="0.25">
      <c r="O2866" s="2" t="s">
        <v>21</v>
      </c>
      <c r="P2866" s="8">
        <v>12</v>
      </c>
      <c r="Q2866" s="2"/>
      <c r="R2866" s="96">
        <f ca="1">1-R2865/(3*F_GAMMA*R$29)</f>
        <v>0.82589666221067559</v>
      </c>
      <c r="S2866" s="106"/>
      <c r="T2866" s="22"/>
      <c r="U2866" s="96">
        <f ca="1">1-U2865/(3*F_GAMMA*U$29)</f>
        <v>0.8311547839420772</v>
      </c>
      <c r="V2866" s="111"/>
      <c r="W2866" s="28"/>
      <c r="X2866" s="96">
        <f ca="1">1-X2865/(3*F_GAMMA*X$29)</f>
        <v>0.85972309528778723</v>
      </c>
      <c r="Y2866" s="111"/>
      <c r="Z2866" s="28"/>
      <c r="AA2866" s="96">
        <f ca="1">1-AA2865/(3*F_GAMMA*AA$29)</f>
        <v>1.0134102791638246</v>
      </c>
      <c r="AB2866" s="111"/>
      <c r="AC2866" s="28"/>
      <c r="AD2866" s="96">
        <f ca="1">1-AD2865/(3*F_GAMMA*AD$29)</f>
        <v>30.962062992320007</v>
      </c>
      <c r="AE2866" s="111"/>
      <c r="AF2866" s="28"/>
      <c r="AG2866" s="96">
        <f ca="1">1-AG2865/(3*F_GAMMA*AG$29)</f>
        <v>6.6581481285729605E-2</v>
      </c>
      <c r="AH2866" s="111"/>
      <c r="AI2866" s="28"/>
      <c r="AJ2866" s="96">
        <f ca="1">1-AJ2865/(3*F_GAMMA*AJ$29)</f>
        <v>0.22150903027004532</v>
      </c>
      <c r="AK2866" s="111"/>
      <c r="AL2866" s="28"/>
      <c r="AM2866" s="96">
        <f ca="1">1-AM2865/(3*F_GAMMA*AM$29)</f>
        <v>0.19744533531059594</v>
      </c>
      <c r="AN2866" s="111"/>
      <c r="AO2866" s="28"/>
      <c r="AP2866" s="96">
        <f ca="1">1-AP2865/(3*F_GAMMA*AP$29)</f>
        <v>0.3779660005876061</v>
      </c>
      <c r="AQ2866" s="111"/>
      <c r="AR2866" s="28"/>
      <c r="AS2866" s="96">
        <f ca="1">1-AS2865/(3*F_GAMMA*AS$29)</f>
        <v>5.2080560129818765E-2</v>
      </c>
      <c r="AT2866" s="111"/>
      <c r="AU2866" s="28"/>
    </row>
    <row r="2867" spans="15:47" x14ac:dyDescent="0.25">
      <c r="O2867" s="2" t="s">
        <v>57</v>
      </c>
      <c r="P2867" s="143">
        <v>7</v>
      </c>
      <c r="Q2867" s="2"/>
      <c r="R2867" s="96">
        <f ca="1">(R2860/(N_9*R$27*R2862*R2866))*SQRT(M*'Valve Sizing'!$W$6*'Valve Sizing'!$G$8/R2865)</f>
        <v>7.0331311672404819</v>
      </c>
      <c r="S2867" s="107"/>
      <c r="T2867" s="22"/>
      <c r="U2867" s="96">
        <f ca="1">(U2860/(N_9*U$27*U2862*U2866))*SQRT(M*'Valve Sizing'!$W$6*'Valve Sizing'!$G$8/U2865)</f>
        <v>36.198351578112678</v>
      </c>
      <c r="V2867" s="111"/>
      <c r="W2867" s="28"/>
      <c r="X2867" s="96">
        <f ca="1">(X2860/(N_9*X$27*X2862*X2866))*SQRT(M*'Valve Sizing'!$W$6*'Valve Sizing'!$G$8/X2865)</f>
        <v>102.72041985328298</v>
      </c>
      <c r="Y2867" s="111"/>
      <c r="Z2867" s="28"/>
      <c r="AA2867" s="96" t="e">
        <f ca="1">(AA2860/(N_9*AA$27*AA2862*AA2866))*SQRT(M*'Valve Sizing'!$W$6*'Valve Sizing'!$G$8/AA2865)</f>
        <v>#NUM!</v>
      </c>
      <c r="AB2867" s="111"/>
      <c r="AC2867" s="28"/>
      <c r="AD2867" s="96" t="e">
        <f ca="1">(AD2860/(N_9*AD$27*AD2862*AD2866))*SQRT(M*'Valve Sizing'!$W$6*'Valve Sizing'!$G$8/AD2865)</f>
        <v>#NUM!</v>
      </c>
      <c r="AE2867" s="111"/>
      <c r="AF2867" s="28"/>
      <c r="AG2867" s="96">
        <f ca="1">(AG2860/(N_9*AG$27*AG2862*AG2866))*SQRT(M*'Valve Sizing'!$W$6*'Valve Sizing'!$G$8/AG2865)</f>
        <v>-2208.3710441240114</v>
      </c>
      <c r="AH2867" s="111"/>
      <c r="AI2867" s="28"/>
      <c r="AJ2867" s="96">
        <f ca="1">(AJ2860/(N_9*AJ$27*AJ2862*AJ2866))*SQRT(M*'Valve Sizing'!$W$6*'Valve Sizing'!$G$8/AJ2865)</f>
        <v>-419.03689510836142</v>
      </c>
      <c r="AK2867" s="111"/>
      <c r="AL2867" s="28"/>
      <c r="AM2867" s="96">
        <f ca="1">(AM2860/(N_9*AM$27*AM2862*AM2866))*SQRT(M*'Valve Sizing'!$W$6*'Valve Sizing'!$G$8/AM2865)</f>
        <v>-380.2769687336816</v>
      </c>
      <c r="AN2867" s="111"/>
      <c r="AO2867" s="28"/>
      <c r="AP2867" s="96">
        <f ca="1">(AP2860/(N_9*AP$27*AP2862*AP2866))*SQRT(M*'Valve Sizing'!$W$6*'Valve Sizing'!$G$8/AP2865)</f>
        <v>-187.94966921514342</v>
      </c>
      <c r="AQ2867" s="111"/>
      <c r="AR2867" s="28"/>
      <c r="AS2867" s="96">
        <f ca="1">(AS2860/(N_9*AS$27*AS2862*AS2866))*SQRT(M*'Valve Sizing'!$W$6*'Valve Sizing'!$G$8/AS2865)</f>
        <v>-1516.8708956905643</v>
      </c>
      <c r="AT2867" s="111"/>
      <c r="AU2867" s="28"/>
    </row>
    <row r="2868" spans="15:47" x14ac:dyDescent="0.25">
      <c r="O2868" s="2" t="s">
        <v>59</v>
      </c>
      <c r="P2868" s="143">
        <v>7</v>
      </c>
      <c r="Q2868" s="2"/>
      <c r="R2868" s="96">
        <f ca="1">(R2860/(N_9*R$27*R2862*0.667))*SQRT(M*'Valve Sizing'!$W$6*'Valve Sizing'!$G$8/R2869)</f>
        <v>6.293797564540502</v>
      </c>
      <c r="S2868" s="107"/>
      <c r="T2868" s="22"/>
      <c r="U2868" s="96">
        <f ca="1">(U2860/(N_9*U$27*U2862*0.667))*SQRT(M*'Valve Sizing'!$W$6*'Valve Sizing'!$G$8/U2869)</f>
        <v>32.103314714809144</v>
      </c>
      <c r="V2868" s="111"/>
      <c r="W2868" s="28"/>
      <c r="X2868" s="96">
        <f ca="1">(X2860/(N_9*X$27*X2862*0.667))*SQRT(M*'Valve Sizing'!$W$6*'Valve Sizing'!$G$8/X2869)</f>
        <v>85.890130002858527</v>
      </c>
      <c r="Y2868" s="111"/>
      <c r="Z2868" s="28"/>
      <c r="AA2868" s="96">
        <f ca="1">(AA2860/(N_9*AA$27*AA2862*0.667))*SQRT(M*'Valve Sizing'!$W$6*'Valve Sizing'!$G$8/AA2869)</f>
        <v>236.96874565684431</v>
      </c>
      <c r="AB2868" s="111"/>
      <c r="AC2868" s="28"/>
      <c r="AD2868" s="96">
        <f ca="1">(AD2860/(N_9*AD$27*AD2862*0.667))*SQRT(M*'Valve Sizing'!$W$6*'Valve Sizing'!$G$8/AD2869)</f>
        <v>22131.902120353363</v>
      </c>
      <c r="AE2868" s="111"/>
      <c r="AF2868" s="28"/>
      <c r="AG2868" s="96">
        <f ca="1">(AG2860/(N_9*AG$27*AG2862*0.667))*SQRT(M*'Valve Sizing'!$W$6*'Valve Sizing'!$G$8/AG2869)</f>
        <v>-368.89137143708729</v>
      </c>
      <c r="AH2868" s="111"/>
      <c r="AI2868" s="28"/>
      <c r="AJ2868" s="96">
        <f ca="1">(AJ2860/(N_9*AJ$27*AJ2862*0.667))*SQRT(M*'Valve Sizing'!$W$6*'Valve Sizing'!$G$8/AJ2869)</f>
        <v>-212.66953526808078</v>
      </c>
      <c r="AK2868" s="111"/>
      <c r="AL2868" s="28"/>
      <c r="AM2868" s="96">
        <f ca="1">(AM2860/(N_9*AM$27*AM2862*0.667))*SQRT(M*'Valve Sizing'!$W$6*'Valve Sizing'!$G$8/AM2869)</f>
        <v>-174.67027596724466</v>
      </c>
      <c r="AN2868" s="111"/>
      <c r="AO2868" s="28"/>
      <c r="AP2868" s="96">
        <f ca="1">(AP2860/(N_9*AP$27*AP2862*0.667))*SQRT(M*'Valve Sizing'!$W$6*'Valve Sizing'!$G$8/AP2869)</f>
        <v>-145.49100906765759</v>
      </c>
      <c r="AQ2868" s="111"/>
      <c r="AR2868" s="28"/>
      <c r="AS2868" s="96">
        <f ca="1">(AS2860/(N_9*AS$27*AS2862*0.667))*SQRT(M*'Valve Sizing'!$W$6*'Valve Sizing'!$G$8/AS2869)</f>
        <v>-199.73067668369015</v>
      </c>
      <c r="AT2868" s="111"/>
      <c r="AU2868" s="28"/>
    </row>
    <row r="2869" spans="15:47" ht="15.6" x14ac:dyDescent="0.35">
      <c r="O2869" s="2" t="s">
        <v>68</v>
      </c>
      <c r="P2869" s="143">
        <v>10</v>
      </c>
      <c r="Q2869" s="2"/>
      <c r="R2869" s="96">
        <f ca="1">F_GAMMA*R$29</f>
        <v>0.64002969751372984</v>
      </c>
      <c r="S2869" s="107"/>
      <c r="T2869" s="1"/>
      <c r="U2869" s="96">
        <f ca="1">F_GAMMA*U$29</f>
        <v>0.64017842058782071</v>
      </c>
      <c r="V2869" s="111"/>
      <c r="W2869" s="28"/>
      <c r="X2869" s="96">
        <f ca="1">F_GAMMA*X$29</f>
        <v>0.63413873724904268</v>
      </c>
      <c r="Y2869" s="111"/>
      <c r="Z2869" s="28"/>
      <c r="AA2869" s="96">
        <f ca="1">F_GAMMA*AA$29</f>
        <v>0.62532411750377137</v>
      </c>
      <c r="AB2869" s="111"/>
      <c r="AC2869" s="28"/>
      <c r="AD2869" s="96">
        <f ca="1">F_GAMMA*AD$29</f>
        <v>0.60651359509139569</v>
      </c>
      <c r="AE2869" s="111"/>
      <c r="AF2869" s="28"/>
      <c r="AG2869" s="96">
        <f ca="1">F_GAMMA*AG$29</f>
        <v>0.57217930198481592</v>
      </c>
      <c r="AH2869" s="111"/>
      <c r="AI2869" s="28"/>
      <c r="AJ2869" s="96">
        <f ca="1">F_GAMMA*AJ$29</f>
        <v>0.53183282018848232</v>
      </c>
      <c r="AK2869" s="111"/>
      <c r="AL2869" s="28"/>
      <c r="AM2869" s="96">
        <f ca="1">F_GAMMA*AM$29</f>
        <v>0.47566512503094399</v>
      </c>
      <c r="AN2869" s="111"/>
      <c r="AO2869" s="28"/>
      <c r="AP2869" s="96">
        <f ca="1">F_GAMMA*AP$29</f>
        <v>0.59054158265645496</v>
      </c>
      <c r="AQ2869" s="111"/>
      <c r="AR2869" s="28"/>
      <c r="AS2869" s="96">
        <f ca="1">F_GAMMA*AS$29</f>
        <v>0.3766899554102966</v>
      </c>
      <c r="AT2869" s="111"/>
      <c r="AU2869" s="28"/>
    </row>
    <row r="2870" spans="15:47" x14ac:dyDescent="0.25">
      <c r="O2870" s="2" t="s">
        <v>145</v>
      </c>
      <c r="P2870" s="12"/>
      <c r="Q2870" s="2"/>
      <c r="R2870" s="96">
        <f ca="1">IF(R2865&lt;R2869,R2867,R2868)</f>
        <v>7.0331311672404819</v>
      </c>
      <c r="S2870" s="116"/>
      <c r="T2870" s="1"/>
      <c r="U2870" s="96">
        <f ca="1">IF(U2865&lt;U2869,U2867,U2868)</f>
        <v>36.198351578112678</v>
      </c>
      <c r="V2870" s="111"/>
      <c r="W2870" s="28"/>
      <c r="X2870" s="96">
        <f ca="1">IF(X2865&lt;X2869,X2867,X2868)</f>
        <v>102.72041985328298</v>
      </c>
      <c r="Y2870" s="111"/>
      <c r="Z2870" s="28"/>
      <c r="AA2870" s="96" t="e">
        <f ca="1">IF(AA2865&lt;AA2869,AA2867,AA2868)</f>
        <v>#NUM!</v>
      </c>
      <c r="AB2870" s="111"/>
      <c r="AC2870" s="28"/>
      <c r="AD2870" s="96" t="e">
        <f ca="1">IF(AD2865&lt;AD2869,AD2867,AD2868)</f>
        <v>#NUM!</v>
      </c>
      <c r="AE2870" s="111"/>
      <c r="AF2870" s="28"/>
      <c r="AG2870" s="96">
        <f ca="1">IF(AG2865&lt;AG2869,AG2867,AG2868)</f>
        <v>-368.89137143708729</v>
      </c>
      <c r="AH2870" s="111"/>
      <c r="AI2870" s="28"/>
      <c r="AJ2870" s="96">
        <f ca="1">IF(AJ2865&lt;AJ2869,AJ2867,AJ2868)</f>
        <v>-212.66953526808078</v>
      </c>
      <c r="AK2870" s="111"/>
      <c r="AL2870" s="28"/>
      <c r="AM2870" s="96">
        <f ca="1">IF(AM2865&lt;AM2869,AM2867,AM2868)</f>
        <v>-174.67027596724466</v>
      </c>
      <c r="AN2870" s="111"/>
      <c r="AO2870" s="28"/>
      <c r="AP2870" s="96">
        <f ca="1">IF(AP2865&lt;AP2869,AP2867,AP2868)</f>
        <v>-145.49100906765759</v>
      </c>
      <c r="AQ2870" s="111"/>
      <c r="AR2870" s="28"/>
      <c r="AS2870" s="96">
        <f ca="1">IF(AS2865&lt;AS2869,AS2867,AS2868)</f>
        <v>-199.73067668369015</v>
      </c>
      <c r="AT2870" s="111"/>
      <c r="AU2870" s="28"/>
    </row>
    <row r="2871" spans="15:47" x14ac:dyDescent="0.25">
      <c r="O2871" s="13" t="s">
        <v>143</v>
      </c>
      <c r="P2871" s="1"/>
      <c r="Q2871" s="1"/>
      <c r="R2871" s="113"/>
      <c r="S2871" s="106">
        <f ca="1">IF(R2864&lt;=0,Q_max,ABS(R$23-R2870))</f>
        <v>2.3031311672404815</v>
      </c>
      <c r="T2871" s="7">
        <f>R2860</f>
        <v>17398.882670989824</v>
      </c>
      <c r="U2871" s="98"/>
      <c r="V2871" s="106">
        <f ca="1">IF(U2864&lt;=0,Q_max,ABS(U$23-U2870))</f>
        <v>24.598351578112677</v>
      </c>
      <c r="W2871" s="9">
        <f ca="1">U2860</f>
        <v>87384.705779199256</v>
      </c>
      <c r="X2871" s="98"/>
      <c r="Y2871" s="106">
        <f ca="1">IF(X2864&lt;=0,Q_max,ABS(X$23-X2870))</f>
        <v>79.720419853282976</v>
      </c>
      <c r="Z2871" s="9">
        <f ca="1">X2860</f>
        <v>213973.04583549139</v>
      </c>
      <c r="AA2871" s="98"/>
      <c r="AB2871" s="106">
        <f ca="1">IF(AA2864&lt;=0,Q_max,ABS(AA$23-AA2870))</f>
        <v>236393</v>
      </c>
      <c r="AC2871" s="9">
        <f ca="1">AA2860</f>
        <v>416764.87764900801</v>
      </c>
      <c r="AD2871" s="98"/>
      <c r="AE2871" s="106">
        <f ca="1">IF(AD2864&lt;=0,Q_max,ABS(AD$23-AD2870))</f>
        <v>236393</v>
      </c>
      <c r="AF2871" s="9">
        <f ca="1">AD2860</f>
        <v>699201.81808660028</v>
      </c>
      <c r="AG2871" s="98"/>
      <c r="AH2871" s="106">
        <f ca="1">IF(AG2864&lt;=0,Q_max,ABS(AG$23-AG2870))</f>
        <v>236393</v>
      </c>
      <c r="AI2871" s="9">
        <f ca="1">AG2860</f>
        <v>1020504.0970572374</v>
      </c>
      <c r="AJ2871" s="98"/>
      <c r="AK2871" s="106">
        <f ca="1">IF(AJ2864&lt;=0,Q_max,ABS(AJ$23-AJ2870))</f>
        <v>236393</v>
      </c>
      <c r="AL2871" s="9">
        <f ca="1">AJ2860</f>
        <v>1361866.6735756281</v>
      </c>
      <c r="AM2871" s="98"/>
      <c r="AN2871" s="106">
        <f ca="1">IF(AM2864&lt;=0,Q_max,ABS(AM$23-AM2870))</f>
        <v>236393</v>
      </c>
      <c r="AO2871" s="9">
        <f ca="1">AM2860</f>
        <v>1661736.1508340503</v>
      </c>
      <c r="AP2871" s="98"/>
      <c r="AQ2871" s="106">
        <f ca="1">IF(AP2864&lt;=0,Q_max,ABS(AP$23-AP2870))</f>
        <v>236393</v>
      </c>
      <c r="AR2871" s="9">
        <f ca="1">AP2860</f>
        <v>1929224.0831343699</v>
      </c>
      <c r="AS2871" s="98"/>
      <c r="AT2871" s="106">
        <f ca="1">IF(AS2864&lt;=0,Q_max,ABS(AS$23-AS2870))</f>
        <v>236393</v>
      </c>
      <c r="AU2871" s="9">
        <f ca="1">AS2860</f>
        <v>2262166.9611558639</v>
      </c>
    </row>
    <row r="2872" spans="15:47" x14ac:dyDescent="0.25">
      <c r="O2872" s="21"/>
      <c r="P2872" s="14"/>
      <c r="Q2872" s="21"/>
      <c r="R2872" s="97"/>
      <c r="S2872" s="106"/>
      <c r="T2872" s="28"/>
      <c r="U2872" s="97"/>
      <c r="V2872" s="111"/>
      <c r="W2872" s="28"/>
      <c r="X2872" s="97"/>
      <c r="Y2872" s="111"/>
      <c r="Z2872" s="28"/>
      <c r="AA2872" s="97"/>
      <c r="AB2872" s="111"/>
      <c r="AC2872" s="28"/>
      <c r="AD2872" s="97"/>
      <c r="AE2872" s="111"/>
      <c r="AF2872" s="28"/>
      <c r="AG2872" s="97"/>
      <c r="AH2872" s="111"/>
      <c r="AI2872" s="28"/>
      <c r="AJ2872" s="97"/>
      <c r="AK2872" s="111"/>
      <c r="AL2872" s="28"/>
      <c r="AM2872" s="97"/>
      <c r="AN2872" s="111"/>
      <c r="AO2872" s="28"/>
      <c r="AP2872" s="97"/>
      <c r="AQ2872" s="111"/>
      <c r="AR2872" s="28"/>
      <c r="AS2872" s="97"/>
      <c r="AT2872" s="111"/>
      <c r="AU2872" s="28"/>
    </row>
    <row r="2873" spans="15:47" x14ac:dyDescent="0.25">
      <c r="O2873" s="1"/>
      <c r="P2873" s="1"/>
      <c r="Q2873" s="1"/>
      <c r="R2873" s="98"/>
      <c r="S2873" s="108" t="s">
        <v>137</v>
      </c>
      <c r="T2873" s="26" t="s">
        <v>146</v>
      </c>
      <c r="U2873" s="98"/>
      <c r="V2873" s="108" t="s">
        <v>137</v>
      </c>
      <c r="W2873" s="26" t="s">
        <v>146</v>
      </c>
      <c r="X2873" s="98"/>
      <c r="Y2873" s="108" t="s">
        <v>137</v>
      </c>
      <c r="Z2873" s="26" t="s">
        <v>146</v>
      </c>
      <c r="AA2873" s="98"/>
      <c r="AB2873" s="108" t="s">
        <v>137</v>
      </c>
      <c r="AC2873" s="26" t="s">
        <v>146</v>
      </c>
      <c r="AD2873" s="98"/>
      <c r="AE2873" s="108" t="s">
        <v>137</v>
      </c>
      <c r="AF2873" s="26" t="s">
        <v>146</v>
      </c>
      <c r="AG2873" s="98"/>
      <c r="AH2873" s="108" t="s">
        <v>137</v>
      </c>
      <c r="AI2873" s="26" t="s">
        <v>146</v>
      </c>
      <c r="AJ2873" s="98"/>
      <c r="AK2873" s="108" t="s">
        <v>137</v>
      </c>
      <c r="AL2873" s="26" t="s">
        <v>146</v>
      </c>
      <c r="AM2873" s="98"/>
      <c r="AN2873" s="108" t="s">
        <v>137</v>
      </c>
      <c r="AO2873" s="26" t="s">
        <v>146</v>
      </c>
      <c r="AP2873" s="98"/>
      <c r="AQ2873" s="108" t="s">
        <v>137</v>
      </c>
      <c r="AR2873" s="26" t="s">
        <v>146</v>
      </c>
      <c r="AS2873" s="98"/>
      <c r="AT2873" s="108" t="s">
        <v>137</v>
      </c>
      <c r="AU2873" s="26" t="s">
        <v>146</v>
      </c>
    </row>
    <row r="2874" spans="15:47" ht="13.8" x14ac:dyDescent="0.25">
      <c r="O2874" s="20" t="s">
        <v>136</v>
      </c>
      <c r="P2874" s="1"/>
      <c r="Q2874" s="1"/>
      <c r="R2874" s="96">
        <f>R2860*1.02</f>
        <v>17746.860324409619</v>
      </c>
      <c r="S2874" s="109" t="s">
        <v>144</v>
      </c>
      <c r="T2874" s="23" t="s">
        <v>147</v>
      </c>
      <c r="U2874" s="96">
        <f ca="1">U2860*1.01</f>
        <v>88258.55283699125</v>
      </c>
      <c r="V2874" s="109" t="s">
        <v>144</v>
      </c>
      <c r="W2874" s="23" t="s">
        <v>147</v>
      </c>
      <c r="X2874" s="96">
        <f ca="1">X2860*1.01</f>
        <v>216112.77629384631</v>
      </c>
      <c r="Y2874" s="109" t="s">
        <v>144</v>
      </c>
      <c r="Z2874" s="23" t="s">
        <v>147</v>
      </c>
      <c r="AA2874" s="96">
        <f ca="1">AA2860*1.01</f>
        <v>420932.52642549807</v>
      </c>
      <c r="AB2874" s="109" t="s">
        <v>144</v>
      </c>
      <c r="AC2874" s="23" t="s">
        <v>147</v>
      </c>
      <c r="AD2874" s="96">
        <f ca="1">AD2860*1.01</f>
        <v>706193.83626746631</v>
      </c>
      <c r="AE2874" s="109" t="s">
        <v>144</v>
      </c>
      <c r="AF2874" s="23" t="s">
        <v>147</v>
      </c>
      <c r="AG2874" s="96">
        <f ca="1">AG2860*1.01</f>
        <v>1030709.1380278098</v>
      </c>
      <c r="AH2874" s="109" t="s">
        <v>144</v>
      </c>
      <c r="AI2874" s="23" t="s">
        <v>147</v>
      </c>
      <c r="AJ2874" s="96">
        <f ca="1">AJ2860*1.01</f>
        <v>1375485.3403113843</v>
      </c>
      <c r="AK2874" s="109" t="s">
        <v>144</v>
      </c>
      <c r="AL2874" s="23" t="s">
        <v>147</v>
      </c>
      <c r="AM2874" s="96">
        <f ca="1">AM2860*1.01</f>
        <v>1678353.5123423908</v>
      </c>
      <c r="AN2874" s="109" t="s">
        <v>144</v>
      </c>
      <c r="AO2874" s="23" t="s">
        <v>147</v>
      </c>
      <c r="AP2874" s="96">
        <f ca="1">AP2860*1.01</f>
        <v>1948516.3239657136</v>
      </c>
      <c r="AQ2874" s="109" t="s">
        <v>144</v>
      </c>
      <c r="AR2874" s="23" t="s">
        <v>147</v>
      </c>
      <c r="AS2874" s="96">
        <f ca="1">AS2860*1.01</f>
        <v>2284788.6307674227</v>
      </c>
      <c r="AT2874" s="109" t="s">
        <v>144</v>
      </c>
      <c r="AU2874" s="23" t="s">
        <v>147</v>
      </c>
    </row>
    <row r="2875" spans="15:47" x14ac:dyDescent="0.25">
      <c r="O2875" s="1"/>
      <c r="P2875" s="1"/>
      <c r="Q2875" s="1"/>
      <c r="R2875" s="98"/>
      <c r="S2875" s="107"/>
      <c r="T2875" s="1"/>
      <c r="U2875" s="47"/>
      <c r="V2875" s="107"/>
      <c r="W2875" s="1"/>
      <c r="X2875" s="47"/>
      <c r="Y2875" s="107"/>
      <c r="Z2875" s="1"/>
      <c r="AA2875" s="47"/>
      <c r="AB2875" s="107"/>
      <c r="AC2875" s="1"/>
      <c r="AD2875" s="47"/>
      <c r="AE2875" s="107"/>
      <c r="AF2875" s="1"/>
      <c r="AG2875" s="47"/>
      <c r="AH2875" s="107"/>
      <c r="AI2875" s="1"/>
      <c r="AJ2875" s="47"/>
      <c r="AK2875" s="107"/>
      <c r="AL2875" s="1"/>
      <c r="AM2875" s="47"/>
      <c r="AN2875" s="107"/>
      <c r="AO2875" s="1"/>
      <c r="AP2875" s="47"/>
      <c r="AQ2875" s="107"/>
      <c r="AR2875" s="1"/>
      <c r="AS2875" s="47"/>
      <c r="AT2875" s="107"/>
      <c r="AU2875" s="1"/>
    </row>
    <row r="2876" spans="15:47" x14ac:dyDescent="0.25">
      <c r="O2876" s="8" t="s">
        <v>132</v>
      </c>
      <c r="P2876" s="8"/>
      <c r="Q2876" s="8"/>
      <c r="R2876" s="96">
        <f>P_1_minQ-(R2874^2*R_up)+dpup_minQ</f>
        <v>90.127637264648357</v>
      </c>
      <c r="S2876" s="106"/>
      <c r="T2876" s="22"/>
      <c r="U2876" s="96">
        <f ca="1">P_1_minQ-(U2874^2*R_up)+dpup_minQ</f>
        <v>88.765306012534055</v>
      </c>
      <c r="V2876" s="107"/>
      <c r="W2876" s="1"/>
      <c r="X2876" s="96">
        <f ca="1">P_1_minQ-(X2874^2*R_up)+dpup_minQ</f>
        <v>81.672593504419638</v>
      </c>
      <c r="Y2876" s="107"/>
      <c r="Z2876" s="1"/>
      <c r="AA2876" s="96">
        <f ca="1">P_1_minQ-(AA2874^2*R_up)+dpup_minQ</f>
        <v>57.891288281820678</v>
      </c>
      <c r="AB2876" s="107"/>
      <c r="AC2876" s="1"/>
      <c r="AD2876" s="96">
        <f ca="1">P_1_minQ-(AD2874^2*R_up)+dpup_minQ</f>
        <v>-0.71025008309074289</v>
      </c>
      <c r="AE2876" s="107"/>
      <c r="AF2876" s="1"/>
      <c r="AG2876" s="96">
        <f ca="1">P_1_minQ-(AG2874^2*R_up)+dpup_minQ</f>
        <v>-103.44190299257315</v>
      </c>
      <c r="AH2876" s="107"/>
      <c r="AI2876" s="1"/>
      <c r="AJ2876" s="96">
        <f ca="1">P_1_minQ-(AJ2874^2*R_up)+dpup_minQ</f>
        <v>-254.64529870215182</v>
      </c>
      <c r="AK2876" s="107"/>
      <c r="AL2876" s="1"/>
      <c r="AM2876" s="96">
        <f ca="1">P_1_minQ-(AM2874^2*R_up)+dpup_minQ</f>
        <v>-423.22034579379937</v>
      </c>
      <c r="AN2876" s="107"/>
      <c r="AO2876" s="1"/>
      <c r="AP2876" s="96">
        <f ca="1">P_1_minQ-(AP2874^2*R_up)+dpup_minQ</f>
        <v>-601.80785255269336</v>
      </c>
      <c r="AQ2876" s="107"/>
      <c r="AR2876" s="1"/>
      <c r="AS2876" s="96">
        <f ca="1">P_1_minQ-(AS2874^2*R_up)+dpup_minQ</f>
        <v>-861.26413742391094</v>
      </c>
      <c r="AT2876" s="107"/>
      <c r="AU2876" s="1"/>
    </row>
    <row r="2877" spans="15:47" x14ac:dyDescent="0.25">
      <c r="O2877" s="8" t="s">
        <v>134</v>
      </c>
      <c r="P2877" s="1"/>
      <c r="Q2877" s="8"/>
      <c r="R2877" s="97">
        <f>P_2_minQ+(R2874^2*R_dn)-dpdn_minQ</f>
        <v>60</v>
      </c>
      <c r="S2877" s="106"/>
      <c r="T2877" s="22"/>
      <c r="U2877" s="97">
        <f ca="1">P_2_minQ+(U2874^2*R_dn)-dpdn_minQ</f>
        <v>60</v>
      </c>
      <c r="V2877" s="107"/>
      <c r="W2877" s="1"/>
      <c r="X2877" s="97">
        <f ca="1">P_2_minQ+(X2874^2*R_dn)-dpdn_minQ</f>
        <v>60</v>
      </c>
      <c r="Y2877" s="107"/>
      <c r="Z2877" s="1"/>
      <c r="AA2877" s="97">
        <f ca="1">P_2_minQ+(AA2874^2*R_dn)-dpdn_minQ</f>
        <v>60</v>
      </c>
      <c r="AB2877" s="107"/>
      <c r="AC2877" s="1"/>
      <c r="AD2877" s="97">
        <f ca="1">P_2_minQ+(AD2874^2*R_dn)-dpdn_minQ</f>
        <v>60</v>
      </c>
      <c r="AE2877" s="107"/>
      <c r="AF2877" s="1"/>
      <c r="AG2877" s="97">
        <f ca="1">P_2_minQ+(AG2874^2*R_dn)-dpdn_minQ</f>
        <v>60</v>
      </c>
      <c r="AH2877" s="107"/>
      <c r="AI2877" s="1"/>
      <c r="AJ2877" s="97">
        <f ca="1">P_2_minQ+(AJ2874^2*R_dn)-dpdn_minQ</f>
        <v>60</v>
      </c>
      <c r="AK2877" s="107"/>
      <c r="AL2877" s="1"/>
      <c r="AM2877" s="97">
        <f ca="1">P_2_minQ+(AM2874^2*R_dn)-dpdn_minQ</f>
        <v>60</v>
      </c>
      <c r="AN2877" s="107"/>
      <c r="AO2877" s="1"/>
      <c r="AP2877" s="97">
        <f ca="1">P_2_minQ+(AP2874^2*R_dn)-dpdn_minQ</f>
        <v>60</v>
      </c>
      <c r="AQ2877" s="107"/>
      <c r="AR2877" s="1"/>
      <c r="AS2877" s="97">
        <f ca="1">P_2_minQ+(AS2874^2*R_dn)-dpdn_minQ</f>
        <v>60</v>
      </c>
      <c r="AT2877" s="107"/>
      <c r="AU2877" s="1"/>
    </row>
    <row r="2878" spans="15:47" x14ac:dyDescent="0.25">
      <c r="O2878" s="8" t="s">
        <v>138</v>
      </c>
      <c r="P2878" s="1"/>
      <c r="Q2878" s="8"/>
      <c r="R2878" s="97">
        <f>R2876-R2877</f>
        <v>30.127637264648357</v>
      </c>
      <c r="S2878" s="106"/>
      <c r="T2878" s="22"/>
      <c r="U2878" s="97">
        <f ca="1">U2876-U2877</f>
        <v>28.765306012534055</v>
      </c>
      <c r="V2878" s="110"/>
      <c r="W2878" s="25"/>
      <c r="X2878" s="97">
        <f ca="1">X2876-X2877</f>
        <v>21.672593504419638</v>
      </c>
      <c r="Y2878" s="110"/>
      <c r="Z2878" s="25"/>
      <c r="AA2878" s="97">
        <f ca="1">AA2876-AA2877</f>
        <v>-2.1087117181793218</v>
      </c>
      <c r="AB2878" s="110"/>
      <c r="AC2878" s="25"/>
      <c r="AD2878" s="97">
        <f ca="1">AD2876-AD2877</f>
        <v>-60.710250083090742</v>
      </c>
      <c r="AE2878" s="110"/>
      <c r="AF2878" s="25"/>
      <c r="AG2878" s="97">
        <f ca="1">AG2876-AG2877</f>
        <v>-163.44190299257315</v>
      </c>
      <c r="AH2878" s="110"/>
      <c r="AI2878" s="25"/>
      <c r="AJ2878" s="97">
        <f ca="1">AJ2876-AJ2877</f>
        <v>-314.64529870215182</v>
      </c>
      <c r="AK2878" s="110"/>
      <c r="AL2878" s="25"/>
      <c r="AM2878" s="97">
        <f ca="1">AM2876-AM2877</f>
        <v>-483.22034579379937</v>
      </c>
      <c r="AN2878" s="110"/>
      <c r="AO2878" s="25"/>
      <c r="AP2878" s="97">
        <f ca="1">AP2876-AP2877</f>
        <v>-661.80785255269336</v>
      </c>
      <c r="AQ2878" s="110"/>
      <c r="AR2878" s="25"/>
      <c r="AS2878" s="97">
        <f ca="1">AS2876-AS2877</f>
        <v>-921.26413742391094</v>
      </c>
      <c r="AT2878" s="110"/>
      <c r="AU2878" s="25"/>
    </row>
    <row r="2879" spans="15:47" ht="14.4" x14ac:dyDescent="0.3">
      <c r="O2879" s="2" t="s">
        <v>140</v>
      </c>
      <c r="P2879" s="11"/>
      <c r="Q2879" s="2"/>
      <c r="R2879" s="96">
        <f>R2878/R2876</f>
        <v>0.33427745560645705</v>
      </c>
      <c r="S2879" s="106"/>
      <c r="T2879" s="22"/>
      <c r="U2879" s="96">
        <f ca="1">U2878/U2876</f>
        <v>0.32406023597183642</v>
      </c>
      <c r="V2879" s="111"/>
      <c r="W2879" s="28"/>
      <c r="X2879" s="96">
        <f ca="1">X2878/X2876</f>
        <v>0.2653594379030812</v>
      </c>
      <c r="Y2879" s="111"/>
      <c r="Z2879" s="28"/>
      <c r="AA2879" s="96">
        <f ca="1">AA2878/AA2876</f>
        <v>-3.6425372120134879E-2</v>
      </c>
      <c r="AB2879" s="111"/>
      <c r="AC2879" s="28"/>
      <c r="AD2879" s="96">
        <f ca="1">AD2878/AD2876</f>
        <v>85.477286843674023</v>
      </c>
      <c r="AE2879" s="111"/>
      <c r="AF2879" s="28"/>
      <c r="AG2879" s="96">
        <f ca="1">AG2878/AG2876</f>
        <v>1.5800357327562684</v>
      </c>
      <c r="AH2879" s="111"/>
      <c r="AI2879" s="28"/>
      <c r="AJ2879" s="96">
        <f ca="1">AJ2878/AJ2876</f>
        <v>1.2356218642394006</v>
      </c>
      <c r="AK2879" s="111"/>
      <c r="AL2879" s="28"/>
      <c r="AM2879" s="96">
        <f ca="1">AM2878/AM2876</f>
        <v>1.1417701218675178</v>
      </c>
      <c r="AN2879" s="111"/>
      <c r="AO2879" s="28"/>
      <c r="AP2879" s="96">
        <f ca="1">AP2878/AP2876</f>
        <v>1.0996995963836256</v>
      </c>
      <c r="AQ2879" s="111"/>
      <c r="AR2879" s="28"/>
      <c r="AS2879" s="96">
        <f ca="1">AS2878/AS2876</f>
        <v>1.0696650393216922</v>
      </c>
      <c r="AT2879" s="111"/>
      <c r="AU2879" s="28"/>
    </row>
    <row r="2880" spans="15:47" x14ac:dyDescent="0.25">
      <c r="O2880" s="2" t="s">
        <v>21</v>
      </c>
      <c r="P2880" s="8">
        <v>12</v>
      </c>
      <c r="Q2880" s="2"/>
      <c r="R2880" s="96">
        <f ca="1">1-R2879/(3*F_GAMMA*R$29)</f>
        <v>0.82590523694707874</v>
      </c>
      <c r="S2880" s="106"/>
      <c r="T2880" s="22"/>
      <c r="U2880" s="96">
        <f ca="1">1-U2879/(3*F_GAMMA*U$29)</f>
        <v>0.83126566722118922</v>
      </c>
      <c r="V2880" s="111"/>
      <c r="W2880" s="28"/>
      <c r="X2880" s="96">
        <f ca="1">1-X2879/(3*F_GAMMA*X$29)</f>
        <v>0.86051452029028797</v>
      </c>
      <c r="Y2880" s="111"/>
      <c r="Z2880" s="28"/>
      <c r="AA2880" s="96">
        <f ca="1">1-AA2879/(3*F_GAMMA*AA$29)</f>
        <v>1.0194167958133142</v>
      </c>
      <c r="AB2880" s="111"/>
      <c r="AC2880" s="28"/>
      <c r="AD2880" s="96">
        <f ca="1">1-AD2879/(3*F_GAMMA*AD$29)</f>
        <v>-45.977395360111942</v>
      </c>
      <c r="AE2880" s="111"/>
      <c r="AF2880" s="28"/>
      <c r="AG2880" s="96">
        <f ca="1">1-AG2879/(3*F_GAMMA*AG$29)</f>
        <v>7.9521793678235086E-2</v>
      </c>
      <c r="AH2880" s="111"/>
      <c r="AI2880" s="28"/>
      <c r="AJ2880" s="96">
        <f ca="1">1-AJ2879/(3*F_GAMMA*AJ$29)</f>
        <v>0.22555747010780924</v>
      </c>
      <c r="AK2880" s="111"/>
      <c r="AL2880" s="28"/>
      <c r="AM2880" s="96">
        <f ca="1">1-AM2879/(3*F_GAMMA*AM$29)</f>
        <v>0.19987819035976839</v>
      </c>
      <c r="AN2880" s="111"/>
      <c r="AO2880" s="28"/>
      <c r="AP2880" s="96">
        <f ca="1">1-AP2879/(3*F_GAMMA*AP$29)</f>
        <v>0.37927058331957675</v>
      </c>
      <c r="AQ2880" s="111"/>
      <c r="AR2880" s="28"/>
      <c r="AS2880" s="96">
        <f ca="1">1-AS2879/(3*F_GAMMA*AS$29)</f>
        <v>5.3452294158294222E-2</v>
      </c>
      <c r="AT2880" s="111"/>
      <c r="AU2880" s="28"/>
    </row>
    <row r="2881" spans="15:47" x14ac:dyDescent="0.25">
      <c r="O2881" s="2" t="s">
        <v>57</v>
      </c>
      <c r="P2881" s="143">
        <v>7</v>
      </c>
      <c r="Q2881" s="2"/>
      <c r="R2881" s="96">
        <f ca="1">(R2874/(N_9*R$27*R2876*R2880))*SQRT(M*'Valve Sizing'!$W$6*'Valve Sizing'!$G$8/R2879)</f>
        <v>7.1740733979731823</v>
      </c>
      <c r="S2881" s="107"/>
      <c r="T2881" s="22"/>
      <c r="U2881" s="96">
        <f ca="1">(U2874/(N_9*U$27*U2876*U2880))*SQRT(M*'Valve Sizing'!$W$6*'Valve Sizing'!$G$8/U2879)</f>
        <v>36.578991696306659</v>
      </c>
      <c r="V2881" s="111"/>
      <c r="W2881" s="28"/>
      <c r="X2881" s="96">
        <f ca="1">(X2874/(N_9*X$27*X2876*X2880))*SQRT(M*'Valve Sizing'!$W$6*'Valve Sizing'!$G$8/X2879)</f>
        <v>104.15931658160946</v>
      </c>
      <c r="Y2881" s="111"/>
      <c r="Z2881" s="28"/>
      <c r="AA2881" s="96" t="e">
        <f ca="1">(AA2874/(N_9*AA$27*AA2876*AA2880))*SQRT(M*'Valve Sizing'!$W$6*'Valve Sizing'!$G$8/AA2879)</f>
        <v>#NUM!</v>
      </c>
      <c r="AB2881" s="111"/>
      <c r="AC2881" s="28"/>
      <c r="AD2881" s="96">
        <f ca="1">(AD2874/(N_9*AD$27*AD2876*AD2880))*SQRT(M*'Valve Sizing'!$W$6*'Valve Sizing'!$G$8/AD2879)</f>
        <v>41.565109272649465</v>
      </c>
      <c r="AE2881" s="111"/>
      <c r="AF2881" s="28"/>
      <c r="AG2881" s="96">
        <f ca="1">(AG2874/(N_9*AG$27*AG2876*AG2880))*SQRT(M*'Valve Sizing'!$W$6*'Valve Sizing'!$G$8/AG2879)</f>
        <v>-1811.2205742151175</v>
      </c>
      <c r="AH2881" s="111"/>
      <c r="AI2881" s="28"/>
      <c r="AJ2881" s="96">
        <f ca="1">(AJ2874/(N_9*AJ$27*AJ2876*AJ2880))*SQRT(M*'Valve Sizing'!$W$6*'Valve Sizing'!$G$8/AJ2879)</f>
        <v>-405.59694505945873</v>
      </c>
      <c r="AK2881" s="111"/>
      <c r="AL2881" s="28"/>
      <c r="AM2881" s="96">
        <f ca="1">(AM2874/(N_9*AM$27*AM2876*AM2880))*SQRT(M*'Valve Sizing'!$W$6*'Valve Sizing'!$G$8/AM2879)</f>
        <v>-370.89863024479985</v>
      </c>
      <c r="AN2881" s="111"/>
      <c r="AO2881" s="28"/>
      <c r="AP2881" s="96">
        <f ca="1">(AP2874/(N_9*AP$27*AP2876*AP2880))*SQRT(M*'Valve Sizing'!$W$6*'Valve Sizing'!$G$8/AP2879)</f>
        <v>-185.08428388612481</v>
      </c>
      <c r="AQ2881" s="111"/>
      <c r="AR2881" s="28"/>
      <c r="AS2881" s="96">
        <f ca="1">(AS2874/(N_9*AS$27*AS2876*AS2880))*SQRT(M*'Valve Sizing'!$W$6*'Valve Sizing'!$G$8/AS2879)</f>
        <v>-1461.2885168498162</v>
      </c>
      <c r="AT2881" s="111"/>
      <c r="AU2881" s="28"/>
    </row>
    <row r="2882" spans="15:47" x14ac:dyDescent="0.25">
      <c r="O2882" s="2" t="s">
        <v>59</v>
      </c>
      <c r="P2882" s="143">
        <v>7</v>
      </c>
      <c r="Q2882" s="2"/>
      <c r="R2882" s="96">
        <f ca="1">(R2874/(N_9*R$27*R2876*0.667))*SQRT(M*'Valve Sizing'!$W$6*'Valve Sizing'!$G$8/R2883)</f>
        <v>6.4198322873419862</v>
      </c>
      <c r="S2882" s="107"/>
      <c r="T2882" s="22"/>
      <c r="U2882" s="96">
        <f ca="1">(U2874/(N_9*U$27*U2876*0.667))*SQRT(M*'Valve Sizing'!$W$6*'Valve Sizing'!$G$8/U2883)</f>
        <v>32.434566392483802</v>
      </c>
      <c r="V2882" s="111"/>
      <c r="W2882" s="28"/>
      <c r="X2882" s="96">
        <f ca="1">(X2874/(N_9*X$27*X2876*0.667))*SQRT(M*'Valve Sizing'!$W$6*'Valve Sizing'!$G$8/X2883)</f>
        <v>86.927185483960031</v>
      </c>
      <c r="Y2882" s="111"/>
      <c r="Z2882" s="28"/>
      <c r="AA2882" s="96">
        <f ca="1">(AA2874/(N_9*AA$27*AA2876*0.667))*SQRT(M*'Valve Sizing'!$W$6*'Valve Sizing'!$G$8/AA2883)</f>
        <v>241.96913143819634</v>
      </c>
      <c r="AB2882" s="111"/>
      <c r="AC2882" s="28"/>
      <c r="AD2882" s="96">
        <f ca="1">(AD2874/(N_9*AD$27*AD2876*0.667))*SQRT(M*'Valve Sizing'!$W$6*'Valve Sizing'!$G$8/AD2883)</f>
        <v>-34013.596201690947</v>
      </c>
      <c r="AE2882" s="111"/>
      <c r="AF2882" s="28"/>
      <c r="AG2882" s="96">
        <f ca="1">(AG2874/(N_9*AG$27*AG2876*0.667))*SQRT(M*'Valve Sizing'!$W$6*'Valve Sizing'!$G$8/AG2883)</f>
        <v>-358.83852167866564</v>
      </c>
      <c r="AH2882" s="111"/>
      <c r="AI2882" s="28"/>
      <c r="AJ2882" s="96">
        <f ca="1">(AJ2874/(N_9*AJ$27*AJ2876*0.667))*SQRT(M*'Valve Sizing'!$W$6*'Valve Sizing'!$G$8/AJ2883)</f>
        <v>-209.06497508501511</v>
      </c>
      <c r="AK2882" s="111"/>
      <c r="AL2882" s="28"/>
      <c r="AM2882" s="96">
        <f ca="1">(AM2874/(N_9*AM$27*AM2876*0.667))*SQRT(M*'Valve Sizing'!$W$6*'Valve Sizing'!$G$8/AM2883)</f>
        <v>-172.20013435564732</v>
      </c>
      <c r="AN2882" s="111"/>
      <c r="AO2882" s="28"/>
      <c r="AP2882" s="96">
        <f ca="1">(AP2874/(N_9*AP$27*AP2876*0.667))*SQRT(M*'Valve Sizing'!$W$6*'Valve Sizing'!$G$8/AP2883)</f>
        <v>-143.61660618137012</v>
      </c>
      <c r="AQ2882" s="111"/>
      <c r="AR2882" s="28"/>
      <c r="AS2882" s="96">
        <f ca="1">(AS2874/(N_9*AS$27*AS2876*0.667))*SQRT(M*'Valve Sizing'!$W$6*'Valve Sizing'!$G$8/AS2883)</f>
        <v>-197.33693035568504</v>
      </c>
      <c r="AT2882" s="111"/>
      <c r="AU2882" s="28"/>
    </row>
    <row r="2883" spans="15:47" ht="15.6" x14ac:dyDescent="0.35">
      <c r="O2883" s="2" t="s">
        <v>68</v>
      </c>
      <c r="P2883" s="143">
        <v>10</v>
      </c>
      <c r="Q2883" s="2"/>
      <c r="R2883" s="96">
        <f ca="1">F_GAMMA*R$29</f>
        <v>0.64002969751372984</v>
      </c>
      <c r="S2883" s="107"/>
      <c r="T2883" s="1"/>
      <c r="U2883" s="96">
        <f ca="1">F_GAMMA*U$29</f>
        <v>0.64017842058782071</v>
      </c>
      <c r="V2883" s="111"/>
      <c r="W2883" s="28"/>
      <c r="X2883" s="96">
        <f ca="1">F_GAMMA*X$29</f>
        <v>0.63413873724904268</v>
      </c>
      <c r="Y2883" s="111"/>
      <c r="Z2883" s="28"/>
      <c r="AA2883" s="96">
        <f ca="1">F_GAMMA*AA$29</f>
        <v>0.62532411750377137</v>
      </c>
      <c r="AB2883" s="111"/>
      <c r="AC2883" s="28"/>
      <c r="AD2883" s="96">
        <f ca="1">F_GAMMA*AD$29</f>
        <v>0.60651359509139569</v>
      </c>
      <c r="AE2883" s="111"/>
      <c r="AF2883" s="28"/>
      <c r="AG2883" s="96">
        <f ca="1">F_GAMMA*AG$29</f>
        <v>0.57217930198481592</v>
      </c>
      <c r="AH2883" s="111"/>
      <c r="AI2883" s="28"/>
      <c r="AJ2883" s="96">
        <f ca="1">F_GAMMA*AJ$29</f>
        <v>0.53183282018848232</v>
      </c>
      <c r="AK2883" s="111"/>
      <c r="AL2883" s="28"/>
      <c r="AM2883" s="96">
        <f ca="1">F_GAMMA*AM$29</f>
        <v>0.47566512503094399</v>
      </c>
      <c r="AN2883" s="111"/>
      <c r="AO2883" s="28"/>
      <c r="AP2883" s="96">
        <f ca="1">F_GAMMA*AP$29</f>
        <v>0.59054158265645496</v>
      </c>
      <c r="AQ2883" s="111"/>
      <c r="AR2883" s="28"/>
      <c r="AS2883" s="96">
        <f ca="1">F_GAMMA*AS$29</f>
        <v>0.3766899554102966</v>
      </c>
      <c r="AT2883" s="111"/>
      <c r="AU2883" s="28"/>
    </row>
    <row r="2884" spans="15:47" x14ac:dyDescent="0.25">
      <c r="O2884" s="2" t="s">
        <v>145</v>
      </c>
      <c r="P2884" s="12"/>
      <c r="Q2884" s="2"/>
      <c r="R2884" s="96">
        <f ca="1">IF(R2879&lt;R2883,R2881,R2882)</f>
        <v>7.1740733979731823</v>
      </c>
      <c r="S2884" s="116"/>
      <c r="T2884" s="1"/>
      <c r="U2884" s="96">
        <f ca="1">IF(U2879&lt;U2883,U2881,U2882)</f>
        <v>36.578991696306659</v>
      </c>
      <c r="V2884" s="111"/>
      <c r="W2884" s="28"/>
      <c r="X2884" s="96">
        <f ca="1">IF(X2879&lt;X2883,X2881,X2882)</f>
        <v>104.15931658160946</v>
      </c>
      <c r="Y2884" s="111"/>
      <c r="Z2884" s="28"/>
      <c r="AA2884" s="96" t="e">
        <f ca="1">IF(AA2879&lt;AA2883,AA2881,AA2882)</f>
        <v>#NUM!</v>
      </c>
      <c r="AB2884" s="111"/>
      <c r="AC2884" s="28"/>
      <c r="AD2884" s="96">
        <f ca="1">IF(AD2879&lt;AD2883,AD2881,AD2882)</f>
        <v>-34013.596201690947</v>
      </c>
      <c r="AE2884" s="111"/>
      <c r="AF2884" s="28"/>
      <c r="AG2884" s="96">
        <f ca="1">IF(AG2879&lt;AG2883,AG2881,AG2882)</f>
        <v>-358.83852167866564</v>
      </c>
      <c r="AH2884" s="111"/>
      <c r="AI2884" s="28"/>
      <c r="AJ2884" s="96">
        <f ca="1">IF(AJ2879&lt;AJ2883,AJ2881,AJ2882)</f>
        <v>-209.06497508501511</v>
      </c>
      <c r="AK2884" s="111"/>
      <c r="AL2884" s="28"/>
      <c r="AM2884" s="96">
        <f ca="1">IF(AM2879&lt;AM2883,AM2881,AM2882)</f>
        <v>-172.20013435564732</v>
      </c>
      <c r="AN2884" s="111"/>
      <c r="AO2884" s="28"/>
      <c r="AP2884" s="96">
        <f ca="1">IF(AP2879&lt;AP2883,AP2881,AP2882)</f>
        <v>-143.61660618137012</v>
      </c>
      <c r="AQ2884" s="111"/>
      <c r="AR2884" s="28"/>
      <c r="AS2884" s="96">
        <f ca="1">IF(AS2879&lt;AS2883,AS2881,AS2882)</f>
        <v>-197.33693035568504</v>
      </c>
      <c r="AT2884" s="111"/>
      <c r="AU2884" s="28"/>
    </row>
    <row r="2885" spans="15:47" x14ac:dyDescent="0.25">
      <c r="O2885" s="13" t="s">
        <v>143</v>
      </c>
      <c r="P2885" s="1"/>
      <c r="Q2885" s="1"/>
      <c r="R2885" s="113"/>
      <c r="S2885" s="106">
        <f ca="1">IF(R2878&lt;=0,Q_max,ABS(R$23-R2884))</f>
        <v>2.4440733979731819</v>
      </c>
      <c r="T2885" s="7">
        <f>R2874</f>
        <v>17746.860324409619</v>
      </c>
      <c r="U2885" s="98"/>
      <c r="V2885" s="106">
        <f ca="1">IF(U2878&lt;=0,Q_max,ABS(U$23-U2884))</f>
        <v>24.978991696306657</v>
      </c>
      <c r="W2885" s="9">
        <f ca="1">U2874</f>
        <v>88258.55283699125</v>
      </c>
      <c r="X2885" s="98"/>
      <c r="Y2885" s="106">
        <f ca="1">IF(X2878&lt;=0,Q_max,ABS(X$23-X2884))</f>
        <v>81.15931658160946</v>
      </c>
      <c r="Z2885" s="9">
        <f ca="1">X2874</f>
        <v>216112.77629384631</v>
      </c>
      <c r="AA2885" s="98"/>
      <c r="AB2885" s="106">
        <f ca="1">IF(AA2878&lt;=0,Q_max,ABS(AA$23-AA2884))</f>
        <v>236393</v>
      </c>
      <c r="AC2885" s="9">
        <f ca="1">AA2874</f>
        <v>420932.52642549807</v>
      </c>
      <c r="AD2885" s="98"/>
      <c r="AE2885" s="106">
        <f ca="1">IF(AD2878&lt;=0,Q_max,ABS(AD$23-AD2884))</f>
        <v>236393</v>
      </c>
      <c r="AF2885" s="9">
        <f ca="1">AD2874</f>
        <v>706193.83626746631</v>
      </c>
      <c r="AG2885" s="98"/>
      <c r="AH2885" s="106">
        <f ca="1">IF(AG2878&lt;=0,Q_max,ABS(AG$23-AG2884))</f>
        <v>236393</v>
      </c>
      <c r="AI2885" s="9">
        <f ca="1">AG2874</f>
        <v>1030709.1380278098</v>
      </c>
      <c r="AJ2885" s="98"/>
      <c r="AK2885" s="106">
        <f ca="1">IF(AJ2878&lt;=0,Q_max,ABS(AJ$23-AJ2884))</f>
        <v>236393</v>
      </c>
      <c r="AL2885" s="9">
        <f ca="1">AJ2874</f>
        <v>1375485.3403113843</v>
      </c>
      <c r="AM2885" s="98"/>
      <c r="AN2885" s="106">
        <f ca="1">IF(AM2878&lt;=0,Q_max,ABS(AM$23-AM2884))</f>
        <v>236393</v>
      </c>
      <c r="AO2885" s="9">
        <f ca="1">AM2874</f>
        <v>1678353.5123423908</v>
      </c>
      <c r="AP2885" s="98"/>
      <c r="AQ2885" s="106">
        <f ca="1">IF(AP2878&lt;=0,Q_max,ABS(AP$23-AP2884))</f>
        <v>236393</v>
      </c>
      <c r="AR2885" s="9">
        <f ca="1">AP2874</f>
        <v>1948516.3239657136</v>
      </c>
      <c r="AS2885" s="98"/>
      <c r="AT2885" s="106">
        <f ca="1">IF(AS2878&lt;=0,Q_max,ABS(AS$23-AS2884))</f>
        <v>236393</v>
      </c>
      <c r="AU2885" s="9">
        <f ca="1">AS2874</f>
        <v>2284788.6307674227</v>
      </c>
    </row>
    <row r="2886" spans="15:47" x14ac:dyDescent="0.25">
      <c r="O2886" s="21"/>
      <c r="P2886" s="14"/>
      <c r="Q2886" s="21"/>
      <c r="R2886" s="97"/>
      <c r="S2886" s="106"/>
      <c r="T2886" s="28"/>
      <c r="U2886" s="97"/>
      <c r="V2886" s="111"/>
      <c r="W2886" s="28"/>
      <c r="X2886" s="97"/>
      <c r="Y2886" s="111"/>
      <c r="Z2886" s="28"/>
      <c r="AA2886" s="97"/>
      <c r="AB2886" s="111"/>
      <c r="AC2886" s="28"/>
      <c r="AD2886" s="97"/>
      <c r="AE2886" s="111"/>
      <c r="AF2886" s="28"/>
      <c r="AG2886" s="97"/>
      <c r="AH2886" s="111"/>
      <c r="AI2886" s="28"/>
      <c r="AJ2886" s="97"/>
      <c r="AK2886" s="111"/>
      <c r="AL2886" s="28"/>
      <c r="AM2886" s="97"/>
      <c r="AN2886" s="111"/>
      <c r="AO2886" s="28"/>
      <c r="AP2886" s="97"/>
      <c r="AQ2886" s="111"/>
      <c r="AR2886" s="28"/>
      <c r="AS2886" s="97"/>
      <c r="AT2886" s="111"/>
      <c r="AU2886" s="28"/>
    </row>
    <row r="2887" spans="15:47" x14ac:dyDescent="0.25">
      <c r="O2887" s="1"/>
      <c r="P2887" s="1"/>
      <c r="Q2887" s="1"/>
      <c r="R2887" s="98"/>
      <c r="S2887" s="108" t="s">
        <v>137</v>
      </c>
      <c r="T2887" s="26" t="s">
        <v>146</v>
      </c>
      <c r="U2887" s="98"/>
      <c r="V2887" s="108" t="s">
        <v>137</v>
      </c>
      <c r="W2887" s="26" t="s">
        <v>146</v>
      </c>
      <c r="X2887" s="98"/>
      <c r="Y2887" s="108" t="s">
        <v>137</v>
      </c>
      <c r="Z2887" s="26" t="s">
        <v>146</v>
      </c>
      <c r="AA2887" s="98"/>
      <c r="AB2887" s="108" t="s">
        <v>137</v>
      </c>
      <c r="AC2887" s="26" t="s">
        <v>146</v>
      </c>
      <c r="AD2887" s="98"/>
      <c r="AE2887" s="108" t="s">
        <v>137</v>
      </c>
      <c r="AF2887" s="26" t="s">
        <v>146</v>
      </c>
      <c r="AG2887" s="98"/>
      <c r="AH2887" s="108" t="s">
        <v>137</v>
      </c>
      <c r="AI2887" s="26" t="s">
        <v>146</v>
      </c>
      <c r="AJ2887" s="98"/>
      <c r="AK2887" s="108" t="s">
        <v>137</v>
      </c>
      <c r="AL2887" s="26" t="s">
        <v>146</v>
      </c>
      <c r="AM2887" s="98"/>
      <c r="AN2887" s="108" t="s">
        <v>137</v>
      </c>
      <c r="AO2887" s="26" t="s">
        <v>146</v>
      </c>
      <c r="AP2887" s="98"/>
      <c r="AQ2887" s="108" t="s">
        <v>137</v>
      </c>
      <c r="AR2887" s="26" t="s">
        <v>146</v>
      </c>
      <c r="AS2887" s="98"/>
      <c r="AT2887" s="108" t="s">
        <v>137</v>
      </c>
      <c r="AU2887" s="26" t="s">
        <v>146</v>
      </c>
    </row>
    <row r="2888" spans="15:47" ht="13.8" x14ac:dyDescent="0.25">
      <c r="O2888" s="20" t="s">
        <v>136</v>
      </c>
      <c r="P2888" s="1"/>
      <c r="Q2888" s="1"/>
      <c r="R2888" s="96">
        <f>R2874*1.02</f>
        <v>18101.797530897813</v>
      </c>
      <c r="S2888" s="109" t="s">
        <v>144</v>
      </c>
      <c r="T2888" s="23" t="s">
        <v>147</v>
      </c>
      <c r="U2888" s="96">
        <f ca="1">U2874*1.01</f>
        <v>89141.13836536117</v>
      </c>
      <c r="V2888" s="109" t="s">
        <v>144</v>
      </c>
      <c r="W2888" s="23" t="s">
        <v>147</v>
      </c>
      <c r="X2888" s="96">
        <f ca="1">X2874*1.01</f>
        <v>218273.90405678478</v>
      </c>
      <c r="Y2888" s="109" t="s">
        <v>144</v>
      </c>
      <c r="Z2888" s="23" t="s">
        <v>147</v>
      </c>
      <c r="AA2888" s="96">
        <f ca="1">AA2874*1.01</f>
        <v>425141.85168975306</v>
      </c>
      <c r="AB2888" s="109" t="s">
        <v>144</v>
      </c>
      <c r="AC2888" s="23" t="s">
        <v>147</v>
      </c>
      <c r="AD2888" s="96">
        <f ca="1">AD2874*1.01</f>
        <v>713255.77463014098</v>
      </c>
      <c r="AE2888" s="109" t="s">
        <v>144</v>
      </c>
      <c r="AF2888" s="23" t="s">
        <v>147</v>
      </c>
      <c r="AG2888" s="96">
        <f ca="1">AG2874*1.01</f>
        <v>1041016.2294080879</v>
      </c>
      <c r="AH2888" s="109" t="s">
        <v>144</v>
      </c>
      <c r="AI2888" s="23" t="s">
        <v>147</v>
      </c>
      <c r="AJ2888" s="96">
        <f ca="1">AJ2874*1.01</f>
        <v>1389240.1937144981</v>
      </c>
      <c r="AK2888" s="109" t="s">
        <v>144</v>
      </c>
      <c r="AL2888" s="23" t="s">
        <v>147</v>
      </c>
      <c r="AM2888" s="96">
        <f ca="1">AM2874*1.01</f>
        <v>1695137.0474658147</v>
      </c>
      <c r="AN2888" s="109" t="s">
        <v>144</v>
      </c>
      <c r="AO2888" s="23" t="s">
        <v>147</v>
      </c>
      <c r="AP2888" s="96">
        <f ca="1">AP2874*1.01</f>
        <v>1968001.4872053708</v>
      </c>
      <c r="AQ2888" s="109" t="s">
        <v>144</v>
      </c>
      <c r="AR2888" s="23" t="s">
        <v>147</v>
      </c>
      <c r="AS2888" s="96">
        <f ca="1">AS2874*1.01</f>
        <v>2307636.5170750972</v>
      </c>
      <c r="AT2888" s="109" t="s">
        <v>144</v>
      </c>
      <c r="AU2888" s="23" t="s">
        <v>147</v>
      </c>
    </row>
    <row r="2889" spans="15:47" x14ac:dyDescent="0.25">
      <c r="O2889" s="1"/>
      <c r="P2889" s="1"/>
      <c r="Q2889" s="1"/>
      <c r="R2889" s="98"/>
      <c r="S2889" s="107"/>
      <c r="T2889" s="1"/>
      <c r="U2889" s="47"/>
      <c r="V2889" s="107"/>
      <c r="W2889" s="1"/>
      <c r="X2889" s="47"/>
      <c r="Y2889" s="107"/>
      <c r="Z2889" s="1"/>
      <c r="AA2889" s="47"/>
      <c r="AB2889" s="107"/>
      <c r="AC2889" s="1"/>
      <c r="AD2889" s="47"/>
      <c r="AE2889" s="107"/>
      <c r="AF2889" s="1"/>
      <c r="AG2889" s="47"/>
      <c r="AH2889" s="107"/>
      <c r="AI2889" s="1"/>
      <c r="AJ2889" s="47"/>
      <c r="AK2889" s="107"/>
      <c r="AL2889" s="1"/>
      <c r="AM2889" s="47"/>
      <c r="AN2889" s="107"/>
      <c r="AO2889" s="1"/>
      <c r="AP2889" s="47"/>
      <c r="AQ2889" s="107"/>
      <c r="AR2889" s="1"/>
      <c r="AS2889" s="47"/>
      <c r="AT2889" s="107"/>
      <c r="AU2889" s="1"/>
    </row>
    <row r="2890" spans="15:47" x14ac:dyDescent="0.25">
      <c r="O2890" s="8" t="s">
        <v>132</v>
      </c>
      <c r="P2890" s="8"/>
      <c r="Q2890" s="8"/>
      <c r="R2890" s="96">
        <f>P_1_minQ-(R2888^2*R_up)+dpup_minQ</f>
        <v>90.125318172717826</v>
      </c>
      <c r="S2890" s="106"/>
      <c r="T2890" s="22"/>
      <c r="U2890" s="96">
        <f ca="1">P_1_minQ-(U2888^2*R_up)+dpup_minQ</f>
        <v>88.736769348727847</v>
      </c>
      <c r="V2890" s="107"/>
      <c r="W2890" s="1"/>
      <c r="X2890" s="96">
        <f ca="1">P_1_minQ-(X2888^2*R_up)+dpup_minQ</f>
        <v>81.501493319200335</v>
      </c>
      <c r="Y2890" s="107"/>
      <c r="Z2890" s="1"/>
      <c r="AA2890" s="96">
        <f ca="1">P_1_minQ-(AA2888^2*R_up)+dpup_minQ</f>
        <v>57.242183861627133</v>
      </c>
      <c r="AB2890" s="107"/>
      <c r="AC2890" s="1"/>
      <c r="AD2890" s="96">
        <f ca="1">P_1_minQ-(AD2888^2*R_up)+dpup_minQ</f>
        <v>-2.5372454244189995</v>
      </c>
      <c r="AE2890" s="107"/>
      <c r="AF2890" s="1"/>
      <c r="AG2890" s="96">
        <f ca="1">P_1_minQ-(AG2888^2*R_up)+dpup_minQ</f>
        <v>-107.33380455738202</v>
      </c>
      <c r="AH2890" s="107"/>
      <c r="AI2890" s="1"/>
      <c r="AJ2890" s="96">
        <f ca="1">P_1_minQ-(AJ2888^2*R_up)+dpup_minQ</f>
        <v>-261.57638852072319</v>
      </c>
      <c r="AK2890" s="107"/>
      <c r="AL2890" s="1"/>
      <c r="AM2890" s="96">
        <f ca="1">P_1_minQ-(AM2888^2*R_up)+dpup_minQ</f>
        <v>-433.53979405891272</v>
      </c>
      <c r="AN2890" s="107"/>
      <c r="AO2890" s="1"/>
      <c r="AP2890" s="96">
        <f ca="1">P_1_minQ-(AP2888^2*R_up)+dpup_minQ</f>
        <v>-615.71690970366069</v>
      </c>
      <c r="AQ2890" s="107"/>
      <c r="AR2890" s="1"/>
      <c r="AS2890" s="96">
        <f ca="1">P_1_minQ-(AS2888^2*R_up)+dpup_minQ</f>
        <v>-880.38826590078997</v>
      </c>
      <c r="AT2890" s="107"/>
      <c r="AU2890" s="1"/>
    </row>
    <row r="2891" spans="15:47" x14ac:dyDescent="0.25">
      <c r="O2891" s="8" t="s">
        <v>134</v>
      </c>
      <c r="P2891" s="1"/>
      <c r="Q2891" s="8"/>
      <c r="R2891" s="97">
        <f>P_2_minQ+(R2888^2*R_dn)-dpdn_minQ</f>
        <v>60</v>
      </c>
      <c r="S2891" s="106"/>
      <c r="T2891" s="22"/>
      <c r="U2891" s="97">
        <f ca="1">P_2_minQ+(U2888^2*R_dn)-dpdn_minQ</f>
        <v>60</v>
      </c>
      <c r="V2891" s="107"/>
      <c r="W2891" s="1"/>
      <c r="X2891" s="97">
        <f ca="1">P_2_minQ+(X2888^2*R_dn)-dpdn_minQ</f>
        <v>60</v>
      </c>
      <c r="Y2891" s="107"/>
      <c r="Z2891" s="1"/>
      <c r="AA2891" s="97">
        <f ca="1">P_2_minQ+(AA2888^2*R_dn)-dpdn_minQ</f>
        <v>60</v>
      </c>
      <c r="AB2891" s="107"/>
      <c r="AC2891" s="1"/>
      <c r="AD2891" s="97">
        <f ca="1">P_2_minQ+(AD2888^2*R_dn)-dpdn_minQ</f>
        <v>60</v>
      </c>
      <c r="AE2891" s="107"/>
      <c r="AF2891" s="1"/>
      <c r="AG2891" s="97">
        <f ca="1">P_2_minQ+(AG2888^2*R_dn)-dpdn_minQ</f>
        <v>60</v>
      </c>
      <c r="AH2891" s="107"/>
      <c r="AI2891" s="1"/>
      <c r="AJ2891" s="97">
        <f ca="1">P_2_minQ+(AJ2888^2*R_dn)-dpdn_minQ</f>
        <v>60</v>
      </c>
      <c r="AK2891" s="107"/>
      <c r="AL2891" s="1"/>
      <c r="AM2891" s="97">
        <f ca="1">P_2_minQ+(AM2888^2*R_dn)-dpdn_minQ</f>
        <v>60</v>
      </c>
      <c r="AN2891" s="107"/>
      <c r="AO2891" s="1"/>
      <c r="AP2891" s="97">
        <f ca="1">P_2_minQ+(AP2888^2*R_dn)-dpdn_minQ</f>
        <v>60</v>
      </c>
      <c r="AQ2891" s="107"/>
      <c r="AR2891" s="1"/>
      <c r="AS2891" s="97">
        <f ca="1">P_2_minQ+(AS2888^2*R_dn)-dpdn_minQ</f>
        <v>60</v>
      </c>
      <c r="AT2891" s="107"/>
      <c r="AU2891" s="1"/>
    </row>
    <row r="2892" spans="15:47" x14ac:dyDescent="0.25">
      <c r="O2892" s="8" t="s">
        <v>138</v>
      </c>
      <c r="P2892" s="1"/>
      <c r="Q2892" s="8"/>
      <c r="R2892" s="97">
        <f>R2890-R2891</f>
        <v>30.125318172717826</v>
      </c>
      <c r="S2892" s="106"/>
      <c r="T2892" s="22"/>
      <c r="U2892" s="97">
        <f ca="1">U2890-U2891</f>
        <v>28.736769348727847</v>
      </c>
      <c r="V2892" s="110"/>
      <c r="W2892" s="25"/>
      <c r="X2892" s="97">
        <f ca="1">X2890-X2891</f>
        <v>21.501493319200335</v>
      </c>
      <c r="Y2892" s="110"/>
      <c r="Z2892" s="25"/>
      <c r="AA2892" s="97">
        <f ca="1">AA2890-AA2891</f>
        <v>-2.757816138372867</v>
      </c>
      <c r="AB2892" s="110"/>
      <c r="AC2892" s="25"/>
      <c r="AD2892" s="97">
        <f ca="1">AD2890-AD2891</f>
        <v>-62.537245424418998</v>
      </c>
      <c r="AE2892" s="110"/>
      <c r="AF2892" s="25"/>
      <c r="AG2892" s="97">
        <f ca="1">AG2890-AG2891</f>
        <v>-167.33380455738202</v>
      </c>
      <c r="AH2892" s="110"/>
      <c r="AI2892" s="25"/>
      <c r="AJ2892" s="97">
        <f ca="1">AJ2890-AJ2891</f>
        <v>-321.57638852072319</v>
      </c>
      <c r="AK2892" s="110"/>
      <c r="AL2892" s="25"/>
      <c r="AM2892" s="97">
        <f ca="1">AM2890-AM2891</f>
        <v>-493.53979405891272</v>
      </c>
      <c r="AN2892" s="110"/>
      <c r="AO2892" s="25"/>
      <c r="AP2892" s="97">
        <f ca="1">AP2890-AP2891</f>
        <v>-675.71690970366069</v>
      </c>
      <c r="AQ2892" s="110"/>
      <c r="AR2892" s="25"/>
      <c r="AS2892" s="97">
        <f ca="1">AS2890-AS2891</f>
        <v>-940.38826590078997</v>
      </c>
      <c r="AT2892" s="110"/>
      <c r="AU2892" s="25"/>
    </row>
    <row r="2893" spans="15:47" ht="14.4" x14ac:dyDescent="0.3">
      <c r="O2893" s="2" t="s">
        <v>140</v>
      </c>
      <c r="P2893" s="11"/>
      <c r="Q2893" s="2"/>
      <c r="R2893" s="96">
        <f>R2892/R2890</f>
        <v>0.33426032532817368</v>
      </c>
      <c r="S2893" s="106"/>
      <c r="T2893" s="22"/>
      <c r="U2893" s="96">
        <f ca="1">U2892/U2890</f>
        <v>0.32384286197973722</v>
      </c>
      <c r="V2893" s="111"/>
      <c r="W2893" s="28"/>
      <c r="X2893" s="96">
        <f ca="1">X2892/X2890</f>
        <v>0.26381717001171751</v>
      </c>
      <c r="Y2893" s="111"/>
      <c r="Z2893" s="28"/>
      <c r="AA2893" s="96">
        <f ca="1">AA2892/AA2890</f>
        <v>-4.8178038508093969E-2</v>
      </c>
      <c r="AB2893" s="111"/>
      <c r="AC2893" s="28"/>
      <c r="AD2893" s="96">
        <f ca="1">AD2892/AD2890</f>
        <v>24.647692660137253</v>
      </c>
      <c r="AE2893" s="111"/>
      <c r="AF2893" s="28"/>
      <c r="AG2893" s="96">
        <f ca="1">AG2892/AG2890</f>
        <v>1.5590037569936621</v>
      </c>
      <c r="AH2893" s="111"/>
      <c r="AI2893" s="28"/>
      <c r="AJ2893" s="96">
        <f ca="1">AJ2892/AJ2890</f>
        <v>1.2293785013980594</v>
      </c>
      <c r="AK2893" s="111"/>
      <c r="AL2893" s="28"/>
      <c r="AM2893" s="96">
        <f ca="1">AM2892/AM2890</f>
        <v>1.1383956001783928</v>
      </c>
      <c r="AN2893" s="111"/>
      <c r="AO2893" s="28"/>
      <c r="AP2893" s="96">
        <f ca="1">AP2892/AP2890</f>
        <v>1.0974473805321954</v>
      </c>
      <c r="AQ2893" s="111"/>
      <c r="AR2893" s="28"/>
      <c r="AS2893" s="96">
        <f ca="1">AS2892/AS2890</f>
        <v>1.0681517488634513</v>
      </c>
      <c r="AT2893" s="111"/>
      <c r="AU2893" s="28"/>
    </row>
    <row r="2894" spans="15:47" x14ac:dyDescent="0.25">
      <c r="O2894" s="2" t="s">
        <v>21</v>
      </c>
      <c r="P2894" s="8">
        <v>12</v>
      </c>
      <c r="Q2894" s="2"/>
      <c r="R2894" s="96">
        <f ca="1">1-R2893/(3*F_GAMMA*R$29)</f>
        <v>0.82591415855303429</v>
      </c>
      <c r="S2894" s="106"/>
      <c r="T2894" s="22"/>
      <c r="U2894" s="96">
        <f ca="1">1-U2893/(3*F_GAMMA*U$29)</f>
        <v>0.83137885128837463</v>
      </c>
      <c r="V2894" s="111"/>
      <c r="W2894" s="28"/>
      <c r="X2894" s="96">
        <f ca="1">1-X2893/(3*F_GAMMA*X$29)</f>
        <v>0.86132520928770107</v>
      </c>
      <c r="Y2894" s="111"/>
      <c r="Z2894" s="28"/>
      <c r="AA2894" s="96">
        <f ca="1">1-AA2893/(3*F_GAMMA*AA$29)</f>
        <v>1.025681635682743</v>
      </c>
      <c r="AB2894" s="111"/>
      <c r="AC2894" s="28"/>
      <c r="AD2894" s="96">
        <f ca="1">1-AD2893/(3*F_GAMMA*AD$29)</f>
        <v>-12.546106171191479</v>
      </c>
      <c r="AE2894" s="111"/>
      <c r="AF2894" s="28"/>
      <c r="AG2894" s="96">
        <f ca="1">1-AG2893/(3*F_GAMMA*AG$29)</f>
        <v>9.1774349062913152E-2</v>
      </c>
      <c r="AH2894" s="111"/>
      <c r="AI2894" s="28"/>
      <c r="AJ2894" s="96">
        <f ca="1">1-AJ2893/(3*F_GAMMA*AJ$29)</f>
        <v>0.22947058127378839</v>
      </c>
      <c r="AK2894" s="111"/>
      <c r="AL2894" s="28"/>
      <c r="AM2894" s="96">
        <f ca="1">1-AM2893/(3*F_GAMMA*AM$29)</f>
        <v>0.202242964449457</v>
      </c>
      <c r="AN2894" s="111"/>
      <c r="AO2894" s="28"/>
      <c r="AP2894" s="96">
        <f ca="1">1-AP2893/(3*F_GAMMA*AP$29)</f>
        <v>0.38054185470704849</v>
      </c>
      <c r="AQ2894" s="111"/>
      <c r="AR2894" s="28"/>
      <c r="AS2894" s="96">
        <f ca="1">1-AS2893/(3*F_GAMMA*AS$29)</f>
        <v>5.4791406458747027E-2</v>
      </c>
      <c r="AT2894" s="111"/>
      <c r="AU2894" s="28"/>
    </row>
    <row r="2895" spans="15:47" x14ac:dyDescent="0.25">
      <c r="O2895" s="2" t="s">
        <v>57</v>
      </c>
      <c r="P2895" s="143">
        <v>7</v>
      </c>
      <c r="Q2895" s="2"/>
      <c r="R2895" s="96">
        <f ca="1">(R2888/(N_9*R$27*R2890*R2894))*SQRT(M*'Valve Sizing'!$W$6*'Valve Sizing'!$G$8/R2893)</f>
        <v>7.3178516198111954</v>
      </c>
      <c r="S2895" s="107"/>
      <c r="T2895" s="22"/>
      <c r="U2895" s="96">
        <f ca="1">(U2888/(N_9*U$27*U2890*U2894))*SQRT(M*'Valve Sizing'!$W$6*'Valve Sizing'!$G$8/U2893)</f>
        <v>36.964030813583364</v>
      </c>
      <c r="V2895" s="111"/>
      <c r="W2895" s="28"/>
      <c r="X2895" s="96">
        <f ca="1">(X2888/(N_9*X$27*X2890*X2894))*SQRT(M*'Valve Sizing'!$W$6*'Valve Sizing'!$G$8/X2893)</f>
        <v>105.62994686605222</v>
      </c>
      <c r="Y2895" s="111"/>
      <c r="Z2895" s="28"/>
      <c r="AA2895" s="96" t="e">
        <f ca="1">(AA2888/(N_9*AA$27*AA2890*AA2894))*SQRT(M*'Valve Sizing'!$W$6*'Valve Sizing'!$G$8/AA2893)</f>
        <v>#NUM!</v>
      </c>
      <c r="AB2895" s="111"/>
      <c r="AC2895" s="28"/>
      <c r="AD2895" s="96">
        <f ca="1">(AD2888/(N_9*AD$27*AD2890*AD2894))*SQRT(M*'Valve Sizing'!$W$6*'Valve Sizing'!$G$8/AD2893)</f>
        <v>80.199516700286566</v>
      </c>
      <c r="AE2895" s="111"/>
      <c r="AF2895" s="28"/>
      <c r="AG2895" s="96">
        <f ca="1">(AG2888/(N_9*AG$27*AG2890*AG2894))*SQRT(M*'Valve Sizing'!$W$6*'Valve Sizing'!$G$8/AG2893)</f>
        <v>-1537.8976117236684</v>
      </c>
      <c r="AH2895" s="111"/>
      <c r="AI2895" s="28"/>
      <c r="AJ2895" s="96">
        <f ca="1">(AJ2888/(N_9*AJ$27*AJ2890*AJ2894))*SQRT(M*'Valve Sizing'!$W$6*'Valve Sizing'!$G$8/AJ2893)</f>
        <v>-392.99168038672349</v>
      </c>
      <c r="AK2895" s="111"/>
      <c r="AL2895" s="28"/>
      <c r="AM2895" s="96">
        <f ca="1">(AM2888/(N_9*AM$27*AM2890*AM2894))*SQRT(M*'Valve Sizing'!$W$6*'Valve Sizing'!$G$8/AM2893)</f>
        <v>-361.9502601037621</v>
      </c>
      <c r="AN2895" s="111"/>
      <c r="AO2895" s="28"/>
      <c r="AP2895" s="96">
        <f ca="1">(AP2888/(N_9*AP$27*AP2890*AP2894))*SQRT(M*'Valve Sizing'!$W$6*'Valve Sizing'!$G$8/AP2893)</f>
        <v>-182.288635787559</v>
      </c>
      <c r="AQ2895" s="111"/>
      <c r="AR2895" s="28"/>
      <c r="AS2895" s="96">
        <f ca="1">(AS2888/(N_9*AS$27*AS2890*AS2894))*SQRT(M*'Valve Sizing'!$W$6*'Valve Sizing'!$G$8/AS2893)</f>
        <v>-1409.5509791888455</v>
      </c>
      <c r="AT2895" s="111"/>
      <c r="AU2895" s="28"/>
    </row>
    <row r="2896" spans="15:47" x14ac:dyDescent="0.25">
      <c r="O2896" s="2" t="s">
        <v>59</v>
      </c>
      <c r="P2896" s="143">
        <v>7</v>
      </c>
      <c r="Q2896" s="2"/>
      <c r="R2896" s="96">
        <f ca="1">(R2888/(N_9*R$27*R2890*0.667))*SQRT(M*'Valve Sizing'!$W$6*'Valve Sizing'!$G$8/R2897)</f>
        <v>6.5483974311888709</v>
      </c>
      <c r="S2896" s="107"/>
      <c r="T2896" s="22"/>
      <c r="U2896" s="96">
        <f ca="1">(U2888/(N_9*U$27*U2890*0.667))*SQRT(M*'Valve Sizing'!$W$6*'Valve Sizing'!$G$8/U2897)</f>
        <v>32.769446923373849</v>
      </c>
      <c r="V2896" s="111"/>
      <c r="W2896" s="28"/>
      <c r="X2896" s="96">
        <f ca="1">(X2888/(N_9*X$27*X2890*0.667))*SQRT(M*'Valve Sizing'!$W$6*'Valve Sizing'!$G$8/X2897)</f>
        <v>87.980772858681377</v>
      </c>
      <c r="Y2896" s="111"/>
      <c r="Z2896" s="28"/>
      <c r="AA2896" s="96">
        <f ca="1">(AA2888/(N_9*AA$27*AA2890*0.667))*SQRT(M*'Valve Sizing'!$W$6*'Valve Sizing'!$G$8/AA2897)</f>
        <v>247.16009831184178</v>
      </c>
      <c r="AB2896" s="111"/>
      <c r="AC2896" s="28"/>
      <c r="AD2896" s="96">
        <f ca="1">(AD2888/(N_9*AD$27*AD2890*0.667))*SQRT(M*'Valve Sizing'!$W$6*'Valve Sizing'!$G$8/AD2897)</f>
        <v>-9616.6263180227834</v>
      </c>
      <c r="AE2896" s="111"/>
      <c r="AF2896" s="28"/>
      <c r="AG2896" s="96">
        <f ca="1">(AG2888/(N_9*AG$27*AG2890*0.667))*SQRT(M*'Valve Sizing'!$W$6*'Valve Sizing'!$G$8/AG2897)</f>
        <v>-349.28538217365633</v>
      </c>
      <c r="AH2896" s="111"/>
      <c r="AI2896" s="28"/>
      <c r="AJ2896" s="96">
        <f ca="1">(AJ2888/(N_9*AJ$27*AJ2890*0.667))*SQRT(M*'Valve Sizing'!$W$6*'Valve Sizing'!$G$8/AJ2897)</f>
        <v>-205.56055331694645</v>
      </c>
      <c r="AK2896" s="111"/>
      <c r="AL2896" s="28"/>
      <c r="AM2896" s="96">
        <f ca="1">(AM2888/(N_9*AM$27*AM2890*0.667))*SQRT(M*'Valve Sizing'!$W$6*'Valve Sizing'!$G$8/AM2897)</f>
        <v>-169.78230700042914</v>
      </c>
      <c r="AN2896" s="111"/>
      <c r="AO2896" s="28"/>
      <c r="AP2896" s="96">
        <f ca="1">(AP2888/(N_9*AP$27*AP2890*0.667))*SQRT(M*'Valve Sizing'!$W$6*'Valve Sizing'!$G$8/AP2897)</f>
        <v>-141.776027253335</v>
      </c>
      <c r="AQ2896" s="111"/>
      <c r="AR2896" s="28"/>
      <c r="AS2896" s="96">
        <f ca="1">(AS2888/(N_9*AS$27*AS2890*0.667))*SQRT(M*'Valve Sizing'!$W$6*'Valve Sizing'!$G$8/AS2897)</f>
        <v>-194.98080558818151</v>
      </c>
      <c r="AT2896" s="111"/>
      <c r="AU2896" s="28"/>
    </row>
    <row r="2897" spans="15:47" ht="15.6" x14ac:dyDescent="0.35">
      <c r="O2897" s="2" t="s">
        <v>68</v>
      </c>
      <c r="P2897" s="143">
        <v>10</v>
      </c>
      <c r="Q2897" s="2"/>
      <c r="R2897" s="96">
        <f ca="1">F_GAMMA*R$29</f>
        <v>0.64002969751372984</v>
      </c>
      <c r="S2897" s="107"/>
      <c r="T2897" s="1"/>
      <c r="U2897" s="96">
        <f ca="1">F_GAMMA*U$29</f>
        <v>0.64017842058782071</v>
      </c>
      <c r="V2897" s="111"/>
      <c r="W2897" s="28"/>
      <c r="X2897" s="96">
        <f ca="1">F_GAMMA*X$29</f>
        <v>0.63413873724904268</v>
      </c>
      <c r="Y2897" s="111"/>
      <c r="Z2897" s="28"/>
      <c r="AA2897" s="96">
        <f ca="1">F_GAMMA*AA$29</f>
        <v>0.62532411750377137</v>
      </c>
      <c r="AB2897" s="111"/>
      <c r="AC2897" s="28"/>
      <c r="AD2897" s="96">
        <f ca="1">F_GAMMA*AD$29</f>
        <v>0.60651359509139569</v>
      </c>
      <c r="AE2897" s="111"/>
      <c r="AF2897" s="28"/>
      <c r="AG2897" s="96">
        <f ca="1">F_GAMMA*AG$29</f>
        <v>0.57217930198481592</v>
      </c>
      <c r="AH2897" s="111"/>
      <c r="AI2897" s="28"/>
      <c r="AJ2897" s="96">
        <f ca="1">F_GAMMA*AJ$29</f>
        <v>0.53183282018848232</v>
      </c>
      <c r="AK2897" s="111"/>
      <c r="AL2897" s="28"/>
      <c r="AM2897" s="96">
        <f ca="1">F_GAMMA*AM$29</f>
        <v>0.47566512503094399</v>
      </c>
      <c r="AN2897" s="111"/>
      <c r="AO2897" s="28"/>
      <c r="AP2897" s="96">
        <f ca="1">F_GAMMA*AP$29</f>
        <v>0.59054158265645496</v>
      </c>
      <c r="AQ2897" s="111"/>
      <c r="AR2897" s="28"/>
      <c r="AS2897" s="96">
        <f ca="1">F_GAMMA*AS$29</f>
        <v>0.3766899554102966</v>
      </c>
      <c r="AT2897" s="111"/>
      <c r="AU2897" s="28"/>
    </row>
    <row r="2898" spans="15:47" x14ac:dyDescent="0.25">
      <c r="O2898" s="2" t="s">
        <v>145</v>
      </c>
      <c r="P2898" s="12"/>
      <c r="Q2898" s="2"/>
      <c r="R2898" s="96">
        <f ca="1">IF(R2893&lt;R2897,R2895,R2896)</f>
        <v>7.3178516198111954</v>
      </c>
      <c r="S2898" s="116"/>
      <c r="T2898" s="1"/>
      <c r="U2898" s="96">
        <f ca="1">IF(U2893&lt;U2897,U2895,U2896)</f>
        <v>36.964030813583364</v>
      </c>
      <c r="V2898" s="111"/>
      <c r="W2898" s="28"/>
      <c r="X2898" s="96">
        <f ca="1">IF(X2893&lt;X2897,X2895,X2896)</f>
        <v>105.62994686605222</v>
      </c>
      <c r="Y2898" s="111"/>
      <c r="Z2898" s="28"/>
      <c r="AA2898" s="96" t="e">
        <f ca="1">IF(AA2893&lt;AA2897,AA2895,AA2896)</f>
        <v>#NUM!</v>
      </c>
      <c r="AB2898" s="111"/>
      <c r="AC2898" s="28"/>
      <c r="AD2898" s="96">
        <f ca="1">IF(AD2893&lt;AD2897,AD2895,AD2896)</f>
        <v>-9616.6263180227834</v>
      </c>
      <c r="AE2898" s="111"/>
      <c r="AF2898" s="28"/>
      <c r="AG2898" s="96">
        <f ca="1">IF(AG2893&lt;AG2897,AG2895,AG2896)</f>
        <v>-349.28538217365633</v>
      </c>
      <c r="AH2898" s="111"/>
      <c r="AI2898" s="28"/>
      <c r="AJ2898" s="96">
        <f ca="1">IF(AJ2893&lt;AJ2897,AJ2895,AJ2896)</f>
        <v>-205.56055331694645</v>
      </c>
      <c r="AK2898" s="111"/>
      <c r="AL2898" s="28"/>
      <c r="AM2898" s="96">
        <f ca="1">IF(AM2893&lt;AM2897,AM2895,AM2896)</f>
        <v>-169.78230700042914</v>
      </c>
      <c r="AN2898" s="111"/>
      <c r="AO2898" s="28"/>
      <c r="AP2898" s="96">
        <f ca="1">IF(AP2893&lt;AP2897,AP2895,AP2896)</f>
        <v>-141.776027253335</v>
      </c>
      <c r="AQ2898" s="111"/>
      <c r="AR2898" s="28"/>
      <c r="AS2898" s="96">
        <f ca="1">IF(AS2893&lt;AS2897,AS2895,AS2896)</f>
        <v>-194.98080558818151</v>
      </c>
      <c r="AT2898" s="111"/>
      <c r="AU2898" s="28"/>
    </row>
    <row r="2899" spans="15:47" x14ac:dyDescent="0.25">
      <c r="O2899" s="13" t="s">
        <v>143</v>
      </c>
      <c r="P2899" s="1"/>
      <c r="Q2899" s="1"/>
      <c r="R2899" s="113"/>
      <c r="S2899" s="106">
        <f ca="1">IF(R2892&lt;=0,Q_max,ABS(R$23-R2898))</f>
        <v>2.5878516198111949</v>
      </c>
      <c r="T2899" s="7">
        <f>R2888</f>
        <v>18101.797530897813</v>
      </c>
      <c r="U2899" s="98"/>
      <c r="V2899" s="106">
        <f ca="1">IF(U2892&lt;=0,Q_max,ABS(U$23-U2898))</f>
        <v>25.364030813583362</v>
      </c>
      <c r="W2899" s="9">
        <f ca="1">U2888</f>
        <v>89141.13836536117</v>
      </c>
      <c r="X2899" s="98"/>
      <c r="Y2899" s="106">
        <f ca="1">IF(X2892&lt;=0,Q_max,ABS(X$23-X2898))</f>
        <v>82.629946866052222</v>
      </c>
      <c r="Z2899" s="9">
        <f ca="1">X2888</f>
        <v>218273.90405678478</v>
      </c>
      <c r="AA2899" s="98"/>
      <c r="AB2899" s="106">
        <f ca="1">IF(AA2892&lt;=0,Q_max,ABS(AA$23-AA2898))</f>
        <v>236393</v>
      </c>
      <c r="AC2899" s="9">
        <f ca="1">AA2888</f>
        <v>425141.85168975306</v>
      </c>
      <c r="AD2899" s="98"/>
      <c r="AE2899" s="106">
        <f ca="1">IF(AD2892&lt;=0,Q_max,ABS(AD$23-AD2898))</f>
        <v>236393</v>
      </c>
      <c r="AF2899" s="9">
        <f ca="1">AD2888</f>
        <v>713255.77463014098</v>
      </c>
      <c r="AG2899" s="98"/>
      <c r="AH2899" s="106">
        <f ca="1">IF(AG2892&lt;=0,Q_max,ABS(AG$23-AG2898))</f>
        <v>236393</v>
      </c>
      <c r="AI2899" s="9">
        <f ca="1">AG2888</f>
        <v>1041016.2294080879</v>
      </c>
      <c r="AJ2899" s="98"/>
      <c r="AK2899" s="106">
        <f ca="1">IF(AJ2892&lt;=0,Q_max,ABS(AJ$23-AJ2898))</f>
        <v>236393</v>
      </c>
      <c r="AL2899" s="9">
        <f ca="1">AJ2888</f>
        <v>1389240.1937144981</v>
      </c>
      <c r="AM2899" s="98"/>
      <c r="AN2899" s="106">
        <f ca="1">IF(AM2892&lt;=0,Q_max,ABS(AM$23-AM2898))</f>
        <v>236393</v>
      </c>
      <c r="AO2899" s="9">
        <f ca="1">AM2888</f>
        <v>1695137.0474658147</v>
      </c>
      <c r="AP2899" s="98"/>
      <c r="AQ2899" s="106">
        <f ca="1">IF(AP2892&lt;=0,Q_max,ABS(AP$23-AP2898))</f>
        <v>236393</v>
      </c>
      <c r="AR2899" s="9">
        <f ca="1">AP2888</f>
        <v>1968001.4872053708</v>
      </c>
      <c r="AS2899" s="98"/>
      <c r="AT2899" s="106">
        <f ca="1">IF(AS2892&lt;=0,Q_max,ABS(AS$23-AS2898))</f>
        <v>236393</v>
      </c>
      <c r="AU2899" s="9">
        <f ca="1">AS2888</f>
        <v>2307636.5170750972</v>
      </c>
    </row>
    <row r="2900" spans="15:47" x14ac:dyDescent="0.25">
      <c r="O2900" s="21"/>
      <c r="P2900" s="14"/>
      <c r="Q2900" s="21"/>
      <c r="R2900" s="97"/>
      <c r="S2900" s="106"/>
      <c r="T2900" s="28"/>
      <c r="U2900" s="97"/>
      <c r="V2900" s="111"/>
      <c r="W2900" s="28"/>
      <c r="X2900" s="97"/>
      <c r="Y2900" s="111"/>
      <c r="Z2900" s="28"/>
      <c r="AA2900" s="97"/>
      <c r="AB2900" s="111"/>
      <c r="AC2900" s="28"/>
      <c r="AD2900" s="97"/>
      <c r="AE2900" s="111"/>
      <c r="AF2900" s="28"/>
      <c r="AG2900" s="97"/>
      <c r="AH2900" s="111"/>
      <c r="AI2900" s="28"/>
      <c r="AJ2900" s="97"/>
      <c r="AK2900" s="111"/>
      <c r="AL2900" s="28"/>
      <c r="AM2900" s="97"/>
      <c r="AN2900" s="111"/>
      <c r="AO2900" s="28"/>
      <c r="AP2900" s="97"/>
      <c r="AQ2900" s="111"/>
      <c r="AR2900" s="28"/>
      <c r="AS2900" s="97"/>
      <c r="AT2900" s="111"/>
      <c r="AU2900" s="28"/>
    </row>
    <row r="2901" spans="15:47" x14ac:dyDescent="0.25">
      <c r="O2901" s="1"/>
      <c r="P2901" s="1"/>
      <c r="Q2901" s="1"/>
      <c r="R2901" s="98"/>
      <c r="S2901" s="108" t="s">
        <v>137</v>
      </c>
      <c r="T2901" s="26" t="s">
        <v>146</v>
      </c>
      <c r="U2901" s="98"/>
      <c r="V2901" s="108" t="s">
        <v>137</v>
      </c>
      <c r="W2901" s="26" t="s">
        <v>146</v>
      </c>
      <c r="X2901" s="98"/>
      <c r="Y2901" s="108" t="s">
        <v>137</v>
      </c>
      <c r="Z2901" s="26" t="s">
        <v>146</v>
      </c>
      <c r="AA2901" s="98"/>
      <c r="AB2901" s="108" t="s">
        <v>137</v>
      </c>
      <c r="AC2901" s="26" t="s">
        <v>146</v>
      </c>
      <c r="AD2901" s="98"/>
      <c r="AE2901" s="108" t="s">
        <v>137</v>
      </c>
      <c r="AF2901" s="26" t="s">
        <v>146</v>
      </c>
      <c r="AG2901" s="98"/>
      <c r="AH2901" s="108" t="s">
        <v>137</v>
      </c>
      <c r="AI2901" s="26" t="s">
        <v>146</v>
      </c>
      <c r="AJ2901" s="98"/>
      <c r="AK2901" s="108" t="s">
        <v>137</v>
      </c>
      <c r="AL2901" s="26" t="s">
        <v>146</v>
      </c>
      <c r="AM2901" s="98"/>
      <c r="AN2901" s="108" t="s">
        <v>137</v>
      </c>
      <c r="AO2901" s="26" t="s">
        <v>146</v>
      </c>
      <c r="AP2901" s="98"/>
      <c r="AQ2901" s="108" t="s">
        <v>137</v>
      </c>
      <c r="AR2901" s="26" t="s">
        <v>146</v>
      </c>
      <c r="AS2901" s="98"/>
      <c r="AT2901" s="108" t="s">
        <v>137</v>
      </c>
      <c r="AU2901" s="26" t="s">
        <v>146</v>
      </c>
    </row>
    <row r="2902" spans="15:47" ht="13.8" x14ac:dyDescent="0.25">
      <c r="O2902" s="20" t="s">
        <v>136</v>
      </c>
      <c r="P2902" s="1"/>
      <c r="Q2902" s="1"/>
      <c r="R2902" s="96">
        <f>R2888*1.02</f>
        <v>18463.833481515769</v>
      </c>
      <c r="S2902" s="109" t="s">
        <v>144</v>
      </c>
      <c r="T2902" s="23" t="s">
        <v>147</v>
      </c>
      <c r="U2902" s="96">
        <f ca="1">U2888*1.01</f>
        <v>90032.549749014783</v>
      </c>
      <c r="V2902" s="109" t="s">
        <v>144</v>
      </c>
      <c r="W2902" s="23" t="s">
        <v>147</v>
      </c>
      <c r="X2902" s="96">
        <f ca="1">X2888*1.01</f>
        <v>220456.64309735264</v>
      </c>
      <c r="Y2902" s="109" t="s">
        <v>144</v>
      </c>
      <c r="Z2902" s="23" t="s">
        <v>147</v>
      </c>
      <c r="AA2902" s="96">
        <f ca="1">AA2888*1.01</f>
        <v>429393.2702066506</v>
      </c>
      <c r="AB2902" s="109" t="s">
        <v>144</v>
      </c>
      <c r="AC2902" s="23" t="s">
        <v>147</v>
      </c>
      <c r="AD2902" s="96">
        <f ca="1">AD2888*1.01</f>
        <v>720388.33237644238</v>
      </c>
      <c r="AE2902" s="109" t="s">
        <v>144</v>
      </c>
      <c r="AF2902" s="23" t="s">
        <v>147</v>
      </c>
      <c r="AG2902" s="96">
        <f ca="1">AG2888*1.01</f>
        <v>1051426.3917021689</v>
      </c>
      <c r="AH2902" s="109" t="s">
        <v>144</v>
      </c>
      <c r="AI2902" s="23" t="s">
        <v>147</v>
      </c>
      <c r="AJ2902" s="96">
        <f ca="1">AJ2888*1.01</f>
        <v>1403132.5956516431</v>
      </c>
      <c r="AK2902" s="109" t="s">
        <v>144</v>
      </c>
      <c r="AL2902" s="23" t="s">
        <v>147</v>
      </c>
      <c r="AM2902" s="96">
        <f ca="1">AM2888*1.01</f>
        <v>1712088.417940473</v>
      </c>
      <c r="AN2902" s="109" t="s">
        <v>144</v>
      </c>
      <c r="AO2902" s="23" t="s">
        <v>147</v>
      </c>
      <c r="AP2902" s="96">
        <f ca="1">AP2888*1.01</f>
        <v>1987681.5020774244</v>
      </c>
      <c r="AQ2902" s="109" t="s">
        <v>144</v>
      </c>
      <c r="AR2902" s="23" t="s">
        <v>147</v>
      </c>
      <c r="AS2902" s="96">
        <f ca="1">AS2888*1.01</f>
        <v>2330712.882245848</v>
      </c>
      <c r="AT2902" s="109" t="s">
        <v>144</v>
      </c>
      <c r="AU2902" s="23" t="s">
        <v>147</v>
      </c>
    </row>
    <row r="2903" spans="15:47" x14ac:dyDescent="0.25">
      <c r="O2903" s="1"/>
      <c r="P2903" s="1"/>
      <c r="Q2903" s="1"/>
      <c r="R2903" s="98"/>
      <c r="S2903" s="107"/>
      <c r="T2903" s="1"/>
      <c r="U2903" s="47"/>
      <c r="V2903" s="107"/>
      <c r="W2903" s="1"/>
      <c r="X2903" s="47"/>
      <c r="Y2903" s="107"/>
      <c r="Z2903" s="1"/>
      <c r="AA2903" s="47"/>
      <c r="AB2903" s="107"/>
      <c r="AC2903" s="1"/>
      <c r="AD2903" s="47"/>
      <c r="AE2903" s="107"/>
      <c r="AF2903" s="1"/>
      <c r="AG2903" s="47"/>
      <c r="AH2903" s="107"/>
      <c r="AI2903" s="1"/>
      <c r="AJ2903" s="47"/>
      <c r="AK2903" s="107"/>
      <c r="AL2903" s="1"/>
      <c r="AM2903" s="47"/>
      <c r="AN2903" s="107"/>
      <c r="AO2903" s="1"/>
      <c r="AP2903" s="47"/>
      <c r="AQ2903" s="107"/>
      <c r="AR2903" s="1"/>
      <c r="AS2903" s="47"/>
      <c r="AT2903" s="107"/>
      <c r="AU2903" s="1"/>
    </row>
    <row r="2904" spans="15:47" x14ac:dyDescent="0.25">
      <c r="O2904" s="8" t="s">
        <v>132</v>
      </c>
      <c r="P2904" s="8"/>
      <c r="Q2904" s="8"/>
      <c r="R2904" s="96">
        <f>P_1_minQ-(R2902^2*R_up)+dpup_minQ</f>
        <v>90.122905389473303</v>
      </c>
      <c r="S2904" s="106"/>
      <c r="T2904" s="22"/>
      <c r="U2904" s="96">
        <f ca="1">P_1_minQ-(U2902^2*R_up)+dpup_minQ</f>
        <v>88.707659097979146</v>
      </c>
      <c r="V2904" s="107"/>
      <c r="W2904" s="1"/>
      <c r="X2904" s="96">
        <f ca="1">P_1_minQ-(X2902^2*R_up)+dpup_minQ</f>
        <v>81.326954020258114</v>
      </c>
      <c r="Y2904" s="107"/>
      <c r="Z2904" s="1"/>
      <c r="AA2904" s="96">
        <f ca="1">P_1_minQ-(AA2902^2*R_up)+dpup_minQ</f>
        <v>56.580032442587701</v>
      </c>
      <c r="AB2904" s="107"/>
      <c r="AC2904" s="1"/>
      <c r="AD2904" s="96">
        <f ca="1">P_1_minQ-(AD2902^2*R_up)+dpup_minQ</f>
        <v>-4.4009633721079675</v>
      </c>
      <c r="AE2904" s="107"/>
      <c r="AF2904" s="1"/>
      <c r="AG2904" s="96">
        <f ca="1">P_1_minQ-(AG2902^2*R_up)+dpup_minQ</f>
        <v>-111.30393334364354</v>
      </c>
      <c r="AH2904" s="107"/>
      <c r="AI2904" s="1"/>
      <c r="AJ2904" s="96">
        <f ca="1">P_1_minQ-(AJ2902^2*R_up)+dpup_minQ</f>
        <v>-268.64679324464788</v>
      </c>
      <c r="AK2904" s="107"/>
      <c r="AL2904" s="1"/>
      <c r="AM2904" s="96">
        <f ca="1">P_1_minQ-(AM2902^2*R_up)+dpup_minQ</f>
        <v>-444.0666632341551</v>
      </c>
      <c r="AN2904" s="107"/>
      <c r="AO2904" s="1"/>
      <c r="AP2904" s="96">
        <f ca="1">P_1_minQ-(AP2902^2*R_up)+dpup_minQ</f>
        <v>-629.9055389033623</v>
      </c>
      <c r="AQ2904" s="107"/>
      <c r="AR2904" s="1"/>
      <c r="AS2904" s="96">
        <f ca="1">P_1_minQ-(AS2902^2*R_up)+dpup_minQ</f>
        <v>-899.89678936005384</v>
      </c>
      <c r="AT2904" s="107"/>
      <c r="AU2904" s="1"/>
    </row>
    <row r="2905" spans="15:47" x14ac:dyDescent="0.25">
      <c r="O2905" s="8" t="s">
        <v>134</v>
      </c>
      <c r="P2905" s="1"/>
      <c r="Q2905" s="8"/>
      <c r="R2905" s="97">
        <f>P_2_minQ+(R2902^2*R_dn)-dpdn_minQ</f>
        <v>60</v>
      </c>
      <c r="S2905" s="106"/>
      <c r="T2905" s="22"/>
      <c r="U2905" s="97">
        <f ca="1">P_2_minQ+(U2902^2*R_dn)-dpdn_minQ</f>
        <v>60</v>
      </c>
      <c r="V2905" s="107"/>
      <c r="W2905" s="1"/>
      <c r="X2905" s="97">
        <f ca="1">P_2_minQ+(X2902^2*R_dn)-dpdn_minQ</f>
        <v>60</v>
      </c>
      <c r="Y2905" s="107"/>
      <c r="Z2905" s="1"/>
      <c r="AA2905" s="97">
        <f ca="1">P_2_minQ+(AA2902^2*R_dn)-dpdn_minQ</f>
        <v>60</v>
      </c>
      <c r="AB2905" s="107"/>
      <c r="AC2905" s="1"/>
      <c r="AD2905" s="97">
        <f ca="1">P_2_minQ+(AD2902^2*R_dn)-dpdn_minQ</f>
        <v>60</v>
      </c>
      <c r="AE2905" s="107"/>
      <c r="AF2905" s="1"/>
      <c r="AG2905" s="97">
        <f ca="1">P_2_minQ+(AG2902^2*R_dn)-dpdn_minQ</f>
        <v>60</v>
      </c>
      <c r="AH2905" s="107"/>
      <c r="AI2905" s="1"/>
      <c r="AJ2905" s="97">
        <f ca="1">P_2_minQ+(AJ2902^2*R_dn)-dpdn_minQ</f>
        <v>60</v>
      </c>
      <c r="AK2905" s="107"/>
      <c r="AL2905" s="1"/>
      <c r="AM2905" s="97">
        <f ca="1">P_2_minQ+(AM2902^2*R_dn)-dpdn_minQ</f>
        <v>60</v>
      </c>
      <c r="AN2905" s="107"/>
      <c r="AO2905" s="1"/>
      <c r="AP2905" s="97">
        <f ca="1">P_2_minQ+(AP2902^2*R_dn)-dpdn_minQ</f>
        <v>60</v>
      </c>
      <c r="AQ2905" s="107"/>
      <c r="AR2905" s="1"/>
      <c r="AS2905" s="97">
        <f ca="1">P_2_minQ+(AS2902^2*R_dn)-dpdn_minQ</f>
        <v>60</v>
      </c>
      <c r="AT2905" s="107"/>
      <c r="AU2905" s="1"/>
    </row>
    <row r="2906" spans="15:47" x14ac:dyDescent="0.25">
      <c r="O2906" s="8" t="s">
        <v>138</v>
      </c>
      <c r="P2906" s="1"/>
      <c r="Q2906" s="8"/>
      <c r="R2906" s="97">
        <f>R2904-R2905</f>
        <v>30.122905389473303</v>
      </c>
      <c r="S2906" s="106"/>
      <c r="T2906" s="22"/>
      <c r="U2906" s="97">
        <f ca="1">U2904-U2905</f>
        <v>28.707659097979146</v>
      </c>
      <c r="V2906" s="110"/>
      <c r="W2906" s="25"/>
      <c r="X2906" s="97">
        <f ca="1">X2904-X2905</f>
        <v>21.326954020258114</v>
      </c>
      <c r="Y2906" s="110"/>
      <c r="Z2906" s="25"/>
      <c r="AA2906" s="97">
        <f ca="1">AA2904-AA2905</f>
        <v>-3.4199675574122992</v>
      </c>
      <c r="AB2906" s="110"/>
      <c r="AC2906" s="25"/>
      <c r="AD2906" s="97">
        <f ca="1">AD2904-AD2905</f>
        <v>-64.400963372107967</v>
      </c>
      <c r="AE2906" s="110"/>
      <c r="AF2906" s="25"/>
      <c r="AG2906" s="97">
        <f ca="1">AG2904-AG2905</f>
        <v>-171.30393334364354</v>
      </c>
      <c r="AH2906" s="110"/>
      <c r="AI2906" s="25"/>
      <c r="AJ2906" s="97">
        <f ca="1">AJ2904-AJ2905</f>
        <v>-328.64679324464788</v>
      </c>
      <c r="AK2906" s="110"/>
      <c r="AL2906" s="25"/>
      <c r="AM2906" s="97">
        <f ca="1">AM2904-AM2905</f>
        <v>-504.0666632341551</v>
      </c>
      <c r="AN2906" s="110"/>
      <c r="AO2906" s="25"/>
      <c r="AP2906" s="97">
        <f ca="1">AP2904-AP2905</f>
        <v>-689.9055389033623</v>
      </c>
      <c r="AQ2906" s="110"/>
      <c r="AR2906" s="25"/>
      <c r="AS2906" s="97">
        <f ca="1">AS2904-AS2905</f>
        <v>-959.89678936005384</v>
      </c>
      <c r="AT2906" s="110"/>
      <c r="AU2906" s="25"/>
    </row>
    <row r="2907" spans="15:47" ht="14.4" x14ac:dyDescent="0.3">
      <c r="O2907" s="2" t="s">
        <v>140</v>
      </c>
      <c r="P2907" s="11"/>
      <c r="Q2907" s="2"/>
      <c r="R2907" s="96">
        <f>R2906/R2904</f>
        <v>0.33424250205089118</v>
      </c>
      <c r="S2907" s="106"/>
      <c r="T2907" s="22"/>
      <c r="U2907" s="96">
        <f ca="1">U2906/U2904</f>
        <v>0.32362097466996664</v>
      </c>
      <c r="V2907" s="111"/>
      <c r="W2907" s="28"/>
      <c r="X2907" s="96">
        <f ca="1">X2906/X2904</f>
        <v>0.26223721615032675</v>
      </c>
      <c r="Y2907" s="111"/>
      <c r="Z2907" s="28"/>
      <c r="AA2907" s="96">
        <f ca="1">AA2906/AA2904</f>
        <v>-6.0444779010732683E-2</v>
      </c>
      <c r="AB2907" s="111"/>
      <c r="AC2907" s="28"/>
      <c r="AD2907" s="96">
        <f ca="1">AD2906/AD2904</f>
        <v>14.63337863256546</v>
      </c>
      <c r="AE2907" s="111"/>
      <c r="AF2907" s="28"/>
      <c r="AG2907" s="96">
        <f ca="1">AG2906/AG2904</f>
        <v>1.5390645074038307</v>
      </c>
      <c r="AH2907" s="111"/>
      <c r="AI2907" s="28"/>
      <c r="AJ2907" s="96">
        <f ca="1">AJ2906/AJ2904</f>
        <v>1.2233415827352161</v>
      </c>
      <c r="AK2907" s="111"/>
      <c r="AL2907" s="28"/>
      <c r="AM2907" s="96">
        <f ca="1">AM2906/AM2904</f>
        <v>1.1351148486648774</v>
      </c>
      <c r="AN2907" s="111"/>
      <c r="AO2907" s="28"/>
      <c r="AP2907" s="96">
        <f ca="1">AP2906/AP2904</f>
        <v>1.0952523772127125</v>
      </c>
      <c r="AQ2907" s="111"/>
      <c r="AR2907" s="28"/>
      <c r="AS2907" s="96">
        <f ca="1">AS2906/AS2904</f>
        <v>1.0666743127760996</v>
      </c>
      <c r="AT2907" s="111"/>
      <c r="AU2907" s="28"/>
    </row>
    <row r="2908" spans="15:47" x14ac:dyDescent="0.25">
      <c r="O2908" s="2" t="s">
        <v>21</v>
      </c>
      <c r="P2908" s="8">
        <v>12</v>
      </c>
      <c r="Q2908" s="2"/>
      <c r="R2908" s="96">
        <f ca="1">1-R2907/(3*F_GAMMA*R$29)</f>
        <v>0.82592344107922111</v>
      </c>
      <c r="S2908" s="106"/>
      <c r="T2908" s="22"/>
      <c r="U2908" s="96">
        <f ca="1">1-U2907/(3*F_GAMMA*U$29)</f>
        <v>0.83149438538670029</v>
      </c>
      <c r="V2908" s="111"/>
      <c r="W2908" s="28"/>
      <c r="X2908" s="96">
        <f ca="1">1-X2907/(3*F_GAMMA*X$29)</f>
        <v>0.86215570781459272</v>
      </c>
      <c r="Y2908" s="111"/>
      <c r="Z2908" s="28"/>
      <c r="AA2908" s="96">
        <f ca="1">1-AA2907/(3*F_GAMMA*AA$29)</f>
        <v>1.0322205063042731</v>
      </c>
      <c r="AB2908" s="111"/>
      <c r="AC2908" s="28"/>
      <c r="AD2908" s="96">
        <f ca="1">1-AD2907/(3*F_GAMMA*AD$29)</f>
        <v>-7.0423471411004144</v>
      </c>
      <c r="AE2908" s="111"/>
      <c r="AF2908" s="28"/>
      <c r="AG2908" s="96">
        <f ca="1">1-AG2907/(3*F_GAMMA*AG$29)</f>
        <v>0.10339031718145264</v>
      </c>
      <c r="AH2908" s="111"/>
      <c r="AI2908" s="28"/>
      <c r="AJ2908" s="96">
        <f ca="1">1-AJ2907/(3*F_GAMMA*AJ$29)</f>
        <v>0.23325430078969678</v>
      </c>
      <c r="AK2908" s="111"/>
      <c r="AL2908" s="28"/>
      <c r="AM2908" s="96">
        <f ca="1">1-AM2907/(3*F_GAMMA*AM$29)</f>
        <v>0.20454202692070145</v>
      </c>
      <c r="AN2908" s="111"/>
      <c r="AO2908" s="28"/>
      <c r="AP2908" s="96">
        <f ca="1">1-AP2907/(3*F_GAMMA*AP$29)</f>
        <v>0.38178083227382653</v>
      </c>
      <c r="AQ2908" s="111"/>
      <c r="AR2908" s="28"/>
      <c r="AS2908" s="96">
        <f ca="1">1-AS2907/(3*F_GAMMA*AS$29)</f>
        <v>5.6098791189108321E-2</v>
      </c>
      <c r="AT2908" s="111"/>
      <c r="AU2908" s="28"/>
    </row>
    <row r="2909" spans="15:47" x14ac:dyDescent="0.25">
      <c r="O2909" s="2" t="s">
        <v>57</v>
      </c>
      <c r="P2909" s="143">
        <v>7</v>
      </c>
      <c r="Q2909" s="2"/>
      <c r="R2909" s="96">
        <f ca="1">(R2902/(N_9*R$27*R2904*R2908))*SQRT(M*'Valve Sizing'!$W$6*'Valve Sizing'!$G$8/R2907)</f>
        <v>7.4645236054457431</v>
      </c>
      <c r="S2909" s="107"/>
      <c r="T2909" s="22"/>
      <c r="U2909" s="96">
        <f ca="1">(U2902/(N_9*U$27*U2904*U2908))*SQRT(M*'Valve Sizing'!$W$6*'Valve Sizing'!$G$8/U2907)</f>
        <v>37.353532338832387</v>
      </c>
      <c r="V2909" s="111"/>
      <c r="W2909" s="28"/>
      <c r="X2909" s="96">
        <f ca="1">(X2902/(N_9*X$27*X2904*X2908))*SQRT(M*'Valve Sizing'!$W$6*'Valve Sizing'!$G$8/X2907)</f>
        <v>107.13350433047123</v>
      </c>
      <c r="Y2909" s="111"/>
      <c r="Z2909" s="28"/>
      <c r="AA2909" s="96" t="e">
        <f ca="1">(AA2902/(N_9*AA$27*AA2904*AA2908))*SQRT(M*'Valve Sizing'!$W$6*'Valve Sizing'!$G$8/AA2907)</f>
        <v>#NUM!</v>
      </c>
      <c r="AB2909" s="111"/>
      <c r="AC2909" s="28"/>
      <c r="AD2909" s="96">
        <f ca="1">(AD2902/(N_9*AD$27*AD2904*AD2908))*SQRT(M*'Valve Sizing'!$W$6*'Valve Sizing'!$G$8/AD2907)</f>
        <v>107.97300991762877</v>
      </c>
      <c r="AE2909" s="111"/>
      <c r="AF2909" s="28"/>
      <c r="AG2909" s="96">
        <f ca="1">(AG2902/(N_9*AG$27*AG2904*AG2908))*SQRT(M*'Valve Sizing'!$W$6*'Valve Sizing'!$G$8/AG2907)</f>
        <v>-1338.1704101766547</v>
      </c>
      <c r="AH2909" s="111"/>
      <c r="AI2909" s="28"/>
      <c r="AJ2909" s="96">
        <f ca="1">(AJ2902/(N_9*AJ$27*AJ2904*AJ2908))*SQRT(M*'Valve Sizing'!$W$6*'Valve Sizing'!$G$8/AJ2907)</f>
        <v>-381.14295997607894</v>
      </c>
      <c r="AK2909" s="111"/>
      <c r="AL2909" s="28"/>
      <c r="AM2909" s="96">
        <f ca="1">(AM2902/(N_9*AM$27*AM2904*AM2908))*SQRT(M*'Valve Sizing'!$W$6*'Valve Sizing'!$G$8/AM2907)</f>
        <v>-353.40169782050197</v>
      </c>
      <c r="AN2909" s="111"/>
      <c r="AO2909" s="28"/>
      <c r="AP2909" s="96">
        <f ca="1">(AP2902/(N_9*AP$27*AP2904*AP2908))*SQRT(M*'Valve Sizing'!$W$6*'Valve Sizing'!$G$8/AP2907)</f>
        <v>-179.5600358167149</v>
      </c>
      <c r="AQ2909" s="111"/>
      <c r="AR2909" s="28"/>
      <c r="AS2909" s="96">
        <f ca="1">(AS2902/(N_9*AS$27*AS2904*AS2908))*SQRT(M*'Valve Sizing'!$W$6*'Valve Sizing'!$G$8/AS2907)</f>
        <v>-1361.2666649559687</v>
      </c>
      <c r="AT2909" s="111"/>
      <c r="AU2909" s="28"/>
    </row>
    <row r="2910" spans="15:47" x14ac:dyDescent="0.25">
      <c r="O2910" s="2" t="s">
        <v>59</v>
      </c>
      <c r="P2910" s="143">
        <v>7</v>
      </c>
      <c r="Q2910" s="2"/>
      <c r="R2910" s="96">
        <f ca="1">(R2902/(N_9*R$27*R2904*0.667))*SQRT(M*'Valve Sizing'!$W$6*'Valve Sizing'!$G$8/R2911)</f>
        <v>6.6795442007328445</v>
      </c>
      <c r="S2910" s="107"/>
      <c r="T2910" s="22"/>
      <c r="U2910" s="96">
        <f ca="1">(U2902/(N_9*U$27*U2904*0.667))*SQRT(M*'Valve Sizing'!$W$6*'Valve Sizing'!$G$8/U2911)</f>
        <v>33.108002530132815</v>
      </c>
      <c r="V2910" s="111"/>
      <c r="W2910" s="28"/>
      <c r="X2910" s="96">
        <f ca="1">(X2902/(N_9*X$27*X2904*0.667))*SQRT(M*'Valve Sizing'!$W$6*'Valve Sizing'!$G$8/X2911)</f>
        <v>89.051288128527375</v>
      </c>
      <c r="Y2910" s="111"/>
      <c r="Z2910" s="28"/>
      <c r="AA2910" s="96">
        <f ca="1">(AA2902/(N_9*AA$27*AA2904*0.667))*SQRT(M*'Valve Sizing'!$W$6*'Valve Sizing'!$G$8/AA2911)</f>
        <v>252.5531183325528</v>
      </c>
      <c r="AB2910" s="111"/>
      <c r="AC2910" s="28"/>
      <c r="AD2910" s="96">
        <f ca="1">(AD2902/(N_9*AD$27*AD2904*0.667))*SQRT(M*'Valve Sizing'!$W$6*'Valve Sizing'!$G$8/AD2911)</f>
        <v>-5599.6236394906227</v>
      </c>
      <c r="AE2910" s="111"/>
      <c r="AF2910" s="28"/>
      <c r="AG2910" s="96">
        <f ca="1">(AG2902/(N_9*AG$27*AG2904*0.667))*SQRT(M*'Valve Sizing'!$W$6*'Valve Sizing'!$G$8/AG2911)</f>
        <v>-340.19489785254689</v>
      </c>
      <c r="AH2910" s="111"/>
      <c r="AI2910" s="28"/>
      <c r="AJ2910" s="96">
        <f ca="1">(AJ2902/(N_9*AJ$27*AJ2904*0.667))*SQRT(M*'Valve Sizing'!$W$6*'Valve Sizing'!$G$8/AJ2911)</f>
        <v>-202.15199435156498</v>
      </c>
      <c r="AK2910" s="111"/>
      <c r="AL2910" s="28"/>
      <c r="AM2910" s="96">
        <f ca="1">(AM2902/(N_9*AM$27*AM2904*0.667))*SQRT(M*'Valve Sizing'!$W$6*'Valve Sizing'!$G$8/AM2911)</f>
        <v>-167.41508974009648</v>
      </c>
      <c r="AN2910" s="111"/>
      <c r="AO2910" s="28"/>
      <c r="AP2910" s="96">
        <f ca="1">(AP2902/(N_9*AP$27*AP2904*0.667))*SQRT(M*'Valve Sizing'!$W$6*'Valve Sizing'!$G$8/AP2911)</f>
        <v>-139.96834588513832</v>
      </c>
      <c r="AQ2910" s="111"/>
      <c r="AR2910" s="28"/>
      <c r="AS2910" s="96">
        <f ca="1">(AS2902/(N_9*AS$27*AS2904*0.667))*SQRT(M*'Valve Sizing'!$W$6*'Valve Sizing'!$G$8/AS2911)</f>
        <v>-192.66142906473559</v>
      </c>
      <c r="AT2910" s="111"/>
      <c r="AU2910" s="28"/>
    </row>
    <row r="2911" spans="15:47" ht="15.6" x14ac:dyDescent="0.35">
      <c r="O2911" s="2" t="s">
        <v>68</v>
      </c>
      <c r="P2911" s="143">
        <v>10</v>
      </c>
      <c r="Q2911" s="2"/>
      <c r="R2911" s="96">
        <f ca="1">F_GAMMA*R$29</f>
        <v>0.64002969751372984</v>
      </c>
      <c r="S2911" s="107"/>
      <c r="T2911" s="1"/>
      <c r="U2911" s="96">
        <f ca="1">F_GAMMA*U$29</f>
        <v>0.64017842058782071</v>
      </c>
      <c r="V2911" s="111"/>
      <c r="W2911" s="28"/>
      <c r="X2911" s="96">
        <f ca="1">F_GAMMA*X$29</f>
        <v>0.63413873724904268</v>
      </c>
      <c r="Y2911" s="111"/>
      <c r="Z2911" s="28"/>
      <c r="AA2911" s="96">
        <f ca="1">F_GAMMA*AA$29</f>
        <v>0.62532411750377137</v>
      </c>
      <c r="AB2911" s="111"/>
      <c r="AC2911" s="28"/>
      <c r="AD2911" s="96">
        <f ca="1">F_GAMMA*AD$29</f>
        <v>0.60651359509139569</v>
      </c>
      <c r="AE2911" s="111"/>
      <c r="AF2911" s="28"/>
      <c r="AG2911" s="96">
        <f ca="1">F_GAMMA*AG$29</f>
        <v>0.57217930198481592</v>
      </c>
      <c r="AH2911" s="111"/>
      <c r="AI2911" s="28"/>
      <c r="AJ2911" s="96">
        <f ca="1">F_GAMMA*AJ$29</f>
        <v>0.53183282018848232</v>
      </c>
      <c r="AK2911" s="111"/>
      <c r="AL2911" s="28"/>
      <c r="AM2911" s="96">
        <f ca="1">F_GAMMA*AM$29</f>
        <v>0.47566512503094399</v>
      </c>
      <c r="AN2911" s="111"/>
      <c r="AO2911" s="28"/>
      <c r="AP2911" s="96">
        <f ca="1">F_GAMMA*AP$29</f>
        <v>0.59054158265645496</v>
      </c>
      <c r="AQ2911" s="111"/>
      <c r="AR2911" s="28"/>
      <c r="AS2911" s="96">
        <f ca="1">F_GAMMA*AS$29</f>
        <v>0.3766899554102966</v>
      </c>
      <c r="AT2911" s="111"/>
      <c r="AU2911" s="28"/>
    </row>
    <row r="2912" spans="15:47" x14ac:dyDescent="0.25">
      <c r="O2912" s="2" t="s">
        <v>145</v>
      </c>
      <c r="P2912" s="12"/>
      <c r="Q2912" s="2"/>
      <c r="R2912" s="96">
        <f ca="1">IF(R2907&lt;R2911,R2909,R2910)</f>
        <v>7.4645236054457431</v>
      </c>
      <c r="S2912" s="116"/>
      <c r="T2912" s="1"/>
      <c r="U2912" s="96">
        <f ca="1">IF(U2907&lt;U2911,U2909,U2910)</f>
        <v>37.353532338832387</v>
      </c>
      <c r="V2912" s="111"/>
      <c r="W2912" s="28"/>
      <c r="X2912" s="96">
        <f ca="1">IF(X2907&lt;X2911,X2909,X2910)</f>
        <v>107.13350433047123</v>
      </c>
      <c r="Y2912" s="111"/>
      <c r="Z2912" s="28"/>
      <c r="AA2912" s="96" t="e">
        <f ca="1">IF(AA2907&lt;AA2911,AA2909,AA2910)</f>
        <v>#NUM!</v>
      </c>
      <c r="AB2912" s="111"/>
      <c r="AC2912" s="28"/>
      <c r="AD2912" s="96">
        <f ca="1">IF(AD2907&lt;AD2911,AD2909,AD2910)</f>
        <v>-5599.6236394906227</v>
      </c>
      <c r="AE2912" s="111"/>
      <c r="AF2912" s="28"/>
      <c r="AG2912" s="96">
        <f ca="1">IF(AG2907&lt;AG2911,AG2909,AG2910)</f>
        <v>-340.19489785254689</v>
      </c>
      <c r="AH2912" s="111"/>
      <c r="AI2912" s="28"/>
      <c r="AJ2912" s="96">
        <f ca="1">IF(AJ2907&lt;AJ2911,AJ2909,AJ2910)</f>
        <v>-202.15199435156498</v>
      </c>
      <c r="AK2912" s="111"/>
      <c r="AL2912" s="28"/>
      <c r="AM2912" s="96">
        <f ca="1">IF(AM2907&lt;AM2911,AM2909,AM2910)</f>
        <v>-167.41508974009648</v>
      </c>
      <c r="AN2912" s="111"/>
      <c r="AO2912" s="28"/>
      <c r="AP2912" s="96">
        <f ca="1">IF(AP2907&lt;AP2911,AP2909,AP2910)</f>
        <v>-139.96834588513832</v>
      </c>
      <c r="AQ2912" s="111"/>
      <c r="AR2912" s="28"/>
      <c r="AS2912" s="96">
        <f ca="1">IF(AS2907&lt;AS2911,AS2909,AS2910)</f>
        <v>-192.66142906473559</v>
      </c>
      <c r="AT2912" s="111"/>
      <c r="AU2912" s="28"/>
    </row>
    <row r="2913" spans="15:47" x14ac:dyDescent="0.25">
      <c r="O2913" s="13" t="s">
        <v>143</v>
      </c>
      <c r="P2913" s="1"/>
      <c r="Q2913" s="1"/>
      <c r="R2913" s="113"/>
      <c r="S2913" s="106">
        <f ca="1">IF(R2906&lt;=0,Q_max,ABS(R$23-R2912))</f>
        <v>2.7345236054457427</v>
      </c>
      <c r="T2913" s="7">
        <f>R2902</f>
        <v>18463.833481515769</v>
      </c>
      <c r="U2913" s="98"/>
      <c r="V2913" s="106">
        <f ca="1">IF(U2906&lt;=0,Q_max,ABS(U$23-U2912))</f>
        <v>25.753532338832386</v>
      </c>
      <c r="W2913" s="9">
        <f ca="1">U2902</f>
        <v>90032.549749014783</v>
      </c>
      <c r="X2913" s="98"/>
      <c r="Y2913" s="106">
        <f ca="1">IF(X2906&lt;=0,Q_max,ABS(X$23-X2912))</f>
        <v>84.133504330471226</v>
      </c>
      <c r="Z2913" s="9">
        <f ca="1">X2902</f>
        <v>220456.64309735264</v>
      </c>
      <c r="AA2913" s="98"/>
      <c r="AB2913" s="106">
        <f ca="1">IF(AA2906&lt;=0,Q_max,ABS(AA$23-AA2912))</f>
        <v>236393</v>
      </c>
      <c r="AC2913" s="9">
        <f ca="1">AA2902</f>
        <v>429393.2702066506</v>
      </c>
      <c r="AD2913" s="98"/>
      <c r="AE2913" s="106">
        <f ca="1">IF(AD2906&lt;=0,Q_max,ABS(AD$23-AD2912))</f>
        <v>236393</v>
      </c>
      <c r="AF2913" s="9">
        <f ca="1">AD2902</f>
        <v>720388.33237644238</v>
      </c>
      <c r="AG2913" s="98"/>
      <c r="AH2913" s="106">
        <f ca="1">IF(AG2906&lt;=0,Q_max,ABS(AG$23-AG2912))</f>
        <v>236393</v>
      </c>
      <c r="AI2913" s="9">
        <f ca="1">AG2902</f>
        <v>1051426.3917021689</v>
      </c>
      <c r="AJ2913" s="98"/>
      <c r="AK2913" s="106">
        <f ca="1">IF(AJ2906&lt;=0,Q_max,ABS(AJ$23-AJ2912))</f>
        <v>236393</v>
      </c>
      <c r="AL2913" s="9">
        <f ca="1">AJ2902</f>
        <v>1403132.5956516431</v>
      </c>
      <c r="AM2913" s="98"/>
      <c r="AN2913" s="106">
        <f ca="1">IF(AM2906&lt;=0,Q_max,ABS(AM$23-AM2912))</f>
        <v>236393</v>
      </c>
      <c r="AO2913" s="9">
        <f ca="1">AM2902</f>
        <v>1712088.417940473</v>
      </c>
      <c r="AP2913" s="98"/>
      <c r="AQ2913" s="106">
        <f ca="1">IF(AP2906&lt;=0,Q_max,ABS(AP$23-AP2912))</f>
        <v>236393</v>
      </c>
      <c r="AR2913" s="9">
        <f ca="1">AP2902</f>
        <v>1987681.5020774244</v>
      </c>
      <c r="AS2913" s="98"/>
      <c r="AT2913" s="106">
        <f ca="1">IF(AS2906&lt;=0,Q_max,ABS(AS$23-AS2912))</f>
        <v>236393</v>
      </c>
      <c r="AU2913" s="9">
        <f ca="1">AS2902</f>
        <v>2330712.882245848</v>
      </c>
    </row>
    <row r="2914" spans="15:47" x14ac:dyDescent="0.25">
      <c r="O2914" s="21"/>
      <c r="P2914" s="14"/>
      <c r="Q2914" s="21"/>
      <c r="R2914" s="97"/>
      <c r="S2914" s="106"/>
      <c r="T2914" s="28"/>
      <c r="U2914" s="99"/>
      <c r="V2914" s="110"/>
      <c r="W2914" s="25"/>
      <c r="X2914" s="99"/>
      <c r="Y2914" s="110"/>
      <c r="Z2914" s="25"/>
      <c r="AA2914" s="99"/>
      <c r="AB2914" s="110"/>
      <c r="AC2914" s="25"/>
      <c r="AD2914" s="99"/>
      <c r="AE2914" s="110"/>
      <c r="AF2914" s="25"/>
      <c r="AG2914" s="99"/>
      <c r="AH2914" s="110"/>
      <c r="AI2914" s="25"/>
      <c r="AJ2914" s="99"/>
      <c r="AK2914" s="110"/>
      <c r="AL2914" s="25"/>
      <c r="AM2914" s="99"/>
      <c r="AN2914" s="110"/>
      <c r="AO2914" s="25"/>
      <c r="AP2914" s="99"/>
      <c r="AQ2914" s="110"/>
      <c r="AR2914" s="25"/>
      <c r="AS2914" s="99"/>
      <c r="AT2914" s="110"/>
      <c r="AU2914" s="25"/>
    </row>
    <row r="2915" spans="15:47" x14ac:dyDescent="0.25">
      <c r="O2915" s="1"/>
      <c r="P2915" s="1"/>
      <c r="Q2915" s="1"/>
      <c r="R2915" s="98"/>
      <c r="S2915" s="108" t="s">
        <v>137</v>
      </c>
      <c r="T2915" s="26" t="s">
        <v>146</v>
      </c>
      <c r="U2915" s="98"/>
      <c r="V2915" s="108" t="s">
        <v>137</v>
      </c>
      <c r="W2915" s="26" t="s">
        <v>146</v>
      </c>
      <c r="X2915" s="98"/>
      <c r="Y2915" s="108" t="s">
        <v>137</v>
      </c>
      <c r="Z2915" s="26" t="s">
        <v>146</v>
      </c>
      <c r="AA2915" s="98"/>
      <c r="AB2915" s="108" t="s">
        <v>137</v>
      </c>
      <c r="AC2915" s="26" t="s">
        <v>146</v>
      </c>
      <c r="AD2915" s="98"/>
      <c r="AE2915" s="108" t="s">
        <v>137</v>
      </c>
      <c r="AF2915" s="26" t="s">
        <v>146</v>
      </c>
      <c r="AG2915" s="98"/>
      <c r="AH2915" s="108" t="s">
        <v>137</v>
      </c>
      <c r="AI2915" s="26" t="s">
        <v>146</v>
      </c>
      <c r="AJ2915" s="98"/>
      <c r="AK2915" s="108" t="s">
        <v>137</v>
      </c>
      <c r="AL2915" s="26" t="s">
        <v>146</v>
      </c>
      <c r="AM2915" s="98"/>
      <c r="AN2915" s="108" t="s">
        <v>137</v>
      </c>
      <c r="AO2915" s="26" t="s">
        <v>146</v>
      </c>
      <c r="AP2915" s="98"/>
      <c r="AQ2915" s="108" t="s">
        <v>137</v>
      </c>
      <c r="AR2915" s="26" t="s">
        <v>146</v>
      </c>
      <c r="AS2915" s="98"/>
      <c r="AT2915" s="108" t="s">
        <v>137</v>
      </c>
      <c r="AU2915" s="26" t="s">
        <v>146</v>
      </c>
    </row>
    <row r="2916" spans="15:47" ht="13.8" x14ac:dyDescent="0.25">
      <c r="O2916" s="20" t="s">
        <v>136</v>
      </c>
      <c r="P2916" s="1"/>
      <c r="Q2916" s="1"/>
      <c r="R2916" s="96">
        <f>R2902*1.02</f>
        <v>18833.110151146084</v>
      </c>
      <c r="S2916" s="109" t="s">
        <v>144</v>
      </c>
      <c r="T2916" s="23" t="s">
        <v>147</v>
      </c>
      <c r="U2916" s="96">
        <f ca="1">U2902*1.01</f>
        <v>90932.875246504933</v>
      </c>
      <c r="V2916" s="109" t="s">
        <v>144</v>
      </c>
      <c r="W2916" s="23" t="s">
        <v>147</v>
      </c>
      <c r="X2916" s="96">
        <f ca="1">X2902*1.01</f>
        <v>222661.20952832617</v>
      </c>
      <c r="Y2916" s="109" t="s">
        <v>144</v>
      </c>
      <c r="Z2916" s="23" t="s">
        <v>147</v>
      </c>
      <c r="AA2916" s="96">
        <f ca="1">AA2902*1.01</f>
        <v>433687.2029087171</v>
      </c>
      <c r="AB2916" s="109" t="s">
        <v>144</v>
      </c>
      <c r="AC2916" s="23" t="s">
        <v>147</v>
      </c>
      <c r="AD2916" s="96">
        <f ca="1">AD2902*1.01</f>
        <v>727592.21570020681</v>
      </c>
      <c r="AE2916" s="109" t="s">
        <v>144</v>
      </c>
      <c r="AF2916" s="23" t="s">
        <v>147</v>
      </c>
      <c r="AG2916" s="96">
        <f ca="1">AG2902*1.01</f>
        <v>1061940.6556191905</v>
      </c>
      <c r="AH2916" s="109" t="s">
        <v>144</v>
      </c>
      <c r="AI2916" s="23" t="s">
        <v>147</v>
      </c>
      <c r="AJ2916" s="96">
        <f ca="1">AJ2902*1.01</f>
        <v>1417163.9216081596</v>
      </c>
      <c r="AK2916" s="109" t="s">
        <v>144</v>
      </c>
      <c r="AL2916" s="23" t="s">
        <v>147</v>
      </c>
      <c r="AM2916" s="96">
        <f ca="1">AM2902*1.01</f>
        <v>1729209.3021198777</v>
      </c>
      <c r="AN2916" s="109" t="s">
        <v>144</v>
      </c>
      <c r="AO2916" s="23" t="s">
        <v>147</v>
      </c>
      <c r="AP2916" s="96">
        <f ca="1">AP2902*1.01</f>
        <v>2007558.3170981987</v>
      </c>
      <c r="AQ2916" s="109" t="s">
        <v>144</v>
      </c>
      <c r="AR2916" s="23" t="s">
        <v>147</v>
      </c>
      <c r="AS2916" s="96">
        <f ca="1">AS2902*1.01</f>
        <v>2354020.0110683064</v>
      </c>
      <c r="AT2916" s="109" t="s">
        <v>144</v>
      </c>
      <c r="AU2916" s="23" t="s">
        <v>147</v>
      </c>
    </row>
    <row r="2917" spans="15:47" x14ac:dyDescent="0.25">
      <c r="O2917" s="1"/>
      <c r="P2917" s="1"/>
      <c r="Q2917" s="1"/>
      <c r="R2917" s="98"/>
      <c r="S2917" s="107"/>
      <c r="T2917" s="1"/>
      <c r="U2917" s="47"/>
      <c r="V2917" s="107"/>
      <c r="W2917" s="1"/>
      <c r="X2917" s="47"/>
      <c r="Y2917" s="107"/>
      <c r="Z2917" s="1"/>
      <c r="AA2917" s="47"/>
      <c r="AB2917" s="107"/>
      <c r="AC2917" s="1"/>
      <c r="AD2917" s="47"/>
      <c r="AE2917" s="107"/>
      <c r="AF2917" s="1"/>
      <c r="AG2917" s="47"/>
      <c r="AH2917" s="107"/>
      <c r="AI2917" s="1"/>
      <c r="AJ2917" s="47"/>
      <c r="AK2917" s="107"/>
      <c r="AL2917" s="1"/>
      <c r="AM2917" s="47"/>
      <c r="AN2917" s="107"/>
      <c r="AO2917" s="1"/>
      <c r="AP2917" s="47"/>
      <c r="AQ2917" s="107"/>
      <c r="AR2917" s="1"/>
      <c r="AS2917" s="47"/>
      <c r="AT2917" s="107"/>
      <c r="AU2917" s="1"/>
    </row>
    <row r="2918" spans="15:47" x14ac:dyDescent="0.25">
      <c r="O2918" s="8" t="s">
        <v>132</v>
      </c>
      <c r="P2918" s="8"/>
      <c r="Q2918" s="8"/>
      <c r="R2918" s="96">
        <f>P_1_minQ-(R2916^2*R_up)+dpup_minQ</f>
        <v>90.120395129785706</v>
      </c>
      <c r="S2918" s="106"/>
      <c r="T2918" s="22"/>
      <c r="U2918" s="96">
        <f ca="1">P_1_minQ-(U2916^2*R_up)+dpup_minQ</f>
        <v>88.677963731190388</v>
      </c>
      <c r="V2918" s="107"/>
      <c r="W2918" s="1"/>
      <c r="X2918" s="96">
        <f ca="1">P_1_minQ-(X2916^2*R_up)+dpup_minQ</f>
        <v>81.148906481407167</v>
      </c>
      <c r="Y2918" s="107"/>
      <c r="Z2918" s="1"/>
      <c r="AA2918" s="96">
        <f ca="1">P_1_minQ-(AA2916^2*R_up)+dpup_minQ</f>
        <v>55.904571780025584</v>
      </c>
      <c r="AB2918" s="107"/>
      <c r="AC2918" s="1"/>
      <c r="AD2918" s="96">
        <f ca="1">P_1_minQ-(AD2916^2*R_up)+dpup_minQ</f>
        <v>-6.3021420505454708</v>
      </c>
      <c r="AE2918" s="107"/>
      <c r="AF2918" s="1"/>
      <c r="AG2918" s="96">
        <f ca="1">P_1_minQ-(AG2916^2*R_up)+dpup_minQ</f>
        <v>-115.35386171850894</v>
      </c>
      <c r="AH2918" s="107"/>
      <c r="AI2918" s="1"/>
      <c r="AJ2918" s="96">
        <f ca="1">P_1_minQ-(AJ2916^2*R_up)+dpup_minQ</f>
        <v>-275.85931310352345</v>
      </c>
      <c r="AK2918" s="107"/>
      <c r="AL2918" s="1"/>
      <c r="AM2918" s="96">
        <f ca="1">P_1_minQ-(AM2916^2*R_up)+dpup_minQ</f>
        <v>-454.80512247981977</v>
      </c>
      <c r="AN2918" s="107"/>
      <c r="AO2918" s="1"/>
      <c r="AP2918" s="96">
        <f ca="1">P_1_minQ-(AP2916^2*R_up)+dpup_minQ</f>
        <v>-644.37935954997806</v>
      </c>
      <c r="AQ2918" s="107"/>
      <c r="AR2918" s="1"/>
      <c r="AS2918" s="96">
        <f ca="1">P_1_minQ-(AS2916^2*R_up)+dpup_minQ</f>
        <v>-919.79743414084896</v>
      </c>
      <c r="AT2918" s="107"/>
      <c r="AU2918" s="1"/>
    </row>
    <row r="2919" spans="15:47" x14ac:dyDescent="0.25">
      <c r="O2919" s="8" t="s">
        <v>134</v>
      </c>
      <c r="P2919" s="1"/>
      <c r="Q2919" s="8"/>
      <c r="R2919" s="97">
        <f>P_2_minQ+(R2916^2*R_dn)-dpdn_minQ</f>
        <v>60</v>
      </c>
      <c r="S2919" s="106"/>
      <c r="T2919" s="22"/>
      <c r="U2919" s="97">
        <f ca="1">P_2_minQ+(U2916^2*R_dn)-dpdn_minQ</f>
        <v>60</v>
      </c>
      <c r="V2919" s="107"/>
      <c r="W2919" s="1"/>
      <c r="X2919" s="97">
        <f ca="1">P_2_minQ+(X2916^2*R_dn)-dpdn_minQ</f>
        <v>60</v>
      </c>
      <c r="Y2919" s="107"/>
      <c r="Z2919" s="1"/>
      <c r="AA2919" s="97">
        <f ca="1">P_2_minQ+(AA2916^2*R_dn)-dpdn_minQ</f>
        <v>60</v>
      </c>
      <c r="AB2919" s="107"/>
      <c r="AC2919" s="1"/>
      <c r="AD2919" s="97">
        <f ca="1">P_2_minQ+(AD2916^2*R_dn)-dpdn_minQ</f>
        <v>60</v>
      </c>
      <c r="AE2919" s="107"/>
      <c r="AF2919" s="1"/>
      <c r="AG2919" s="97">
        <f ca="1">P_2_minQ+(AG2916^2*R_dn)-dpdn_minQ</f>
        <v>60</v>
      </c>
      <c r="AH2919" s="107"/>
      <c r="AI2919" s="1"/>
      <c r="AJ2919" s="97">
        <f ca="1">P_2_minQ+(AJ2916^2*R_dn)-dpdn_minQ</f>
        <v>60</v>
      </c>
      <c r="AK2919" s="107"/>
      <c r="AL2919" s="1"/>
      <c r="AM2919" s="97">
        <f ca="1">P_2_minQ+(AM2916^2*R_dn)-dpdn_minQ</f>
        <v>60</v>
      </c>
      <c r="AN2919" s="107"/>
      <c r="AO2919" s="1"/>
      <c r="AP2919" s="97">
        <f ca="1">P_2_minQ+(AP2916^2*R_dn)-dpdn_minQ</f>
        <v>60</v>
      </c>
      <c r="AQ2919" s="107"/>
      <c r="AR2919" s="1"/>
      <c r="AS2919" s="97">
        <f ca="1">P_2_minQ+(AS2916^2*R_dn)-dpdn_minQ</f>
        <v>60</v>
      </c>
      <c r="AT2919" s="107"/>
      <c r="AU2919" s="1"/>
    </row>
    <row r="2920" spans="15:47" x14ac:dyDescent="0.25">
      <c r="O2920" s="8" t="s">
        <v>138</v>
      </c>
      <c r="P2920" s="1"/>
      <c r="Q2920" s="8"/>
      <c r="R2920" s="97">
        <f>R2918-R2919</f>
        <v>30.120395129785706</v>
      </c>
      <c r="S2920" s="106"/>
      <c r="T2920" s="22"/>
      <c r="U2920" s="97">
        <f ca="1">U2918-U2919</f>
        <v>28.677963731190388</v>
      </c>
      <c r="V2920" s="110"/>
      <c r="W2920" s="25"/>
      <c r="X2920" s="97">
        <f ca="1">X2918-X2919</f>
        <v>21.148906481407167</v>
      </c>
      <c r="Y2920" s="110"/>
      <c r="Z2920" s="25"/>
      <c r="AA2920" s="97">
        <f ca="1">AA2918-AA2919</f>
        <v>-4.0954282199744156</v>
      </c>
      <c r="AB2920" s="110"/>
      <c r="AC2920" s="25"/>
      <c r="AD2920" s="97">
        <f ca="1">AD2918-AD2919</f>
        <v>-66.30214205054547</v>
      </c>
      <c r="AE2920" s="110"/>
      <c r="AF2920" s="25"/>
      <c r="AG2920" s="97">
        <f ca="1">AG2918-AG2919</f>
        <v>-175.35386171850894</v>
      </c>
      <c r="AH2920" s="110"/>
      <c r="AI2920" s="25"/>
      <c r="AJ2920" s="97">
        <f ca="1">AJ2918-AJ2919</f>
        <v>-335.85931310352345</v>
      </c>
      <c r="AK2920" s="110"/>
      <c r="AL2920" s="25"/>
      <c r="AM2920" s="97">
        <f ca="1">AM2918-AM2919</f>
        <v>-514.80512247981983</v>
      </c>
      <c r="AN2920" s="110"/>
      <c r="AO2920" s="25"/>
      <c r="AP2920" s="97">
        <f ca="1">AP2918-AP2919</f>
        <v>-704.37935954997806</v>
      </c>
      <c r="AQ2920" s="110"/>
      <c r="AR2920" s="25"/>
      <c r="AS2920" s="97">
        <f ca="1">AS2918-AS2919</f>
        <v>-979.79743414084896</v>
      </c>
      <c r="AT2920" s="110"/>
      <c r="AU2920" s="25"/>
    </row>
    <row r="2921" spans="15:47" ht="14.4" x14ac:dyDescent="0.3">
      <c r="O2921" s="2" t="s">
        <v>140</v>
      </c>
      <c r="P2921" s="11"/>
      <c r="Q2921" s="2"/>
      <c r="R2921" s="96">
        <f>R2920/R2918</f>
        <v>0.33422395770023217</v>
      </c>
      <c r="S2921" s="106"/>
      <c r="T2921" s="22"/>
      <c r="U2921" s="96">
        <f ca="1">U2920/U2918</f>
        <v>0.32339447732609122</v>
      </c>
      <c r="V2921" s="111"/>
      <c r="W2921" s="28"/>
      <c r="X2921" s="96">
        <f ca="1">X2920/X2918</f>
        <v>0.26061850243481471</v>
      </c>
      <c r="Y2921" s="111"/>
      <c r="Z2921" s="28"/>
      <c r="AA2921" s="96">
        <f ca="1">AA2920/AA2918</f>
        <v>-7.3257483056827402E-2</v>
      </c>
      <c r="AB2921" s="111"/>
      <c r="AC2921" s="28"/>
      <c r="AD2921" s="96">
        <f ca="1">AD2920/AD2918</f>
        <v>10.520572452791159</v>
      </c>
      <c r="AE2921" s="111"/>
      <c r="AF2921" s="28"/>
      <c r="AG2921" s="96">
        <f ca="1">AG2920/AG2918</f>
        <v>1.5201386334721447</v>
      </c>
      <c r="AH2921" s="111"/>
      <c r="AI2921" s="28"/>
      <c r="AJ2921" s="96">
        <f ca="1">AJ2920/AJ2918</f>
        <v>1.2175021728466475</v>
      </c>
      <c r="AK2921" s="111"/>
      <c r="AL2921" s="28"/>
      <c r="AM2921" s="96">
        <f ca="1">AM2920/AM2918</f>
        <v>1.1319246354853056</v>
      </c>
      <c r="AN2921" s="111"/>
      <c r="AO2921" s="28"/>
      <c r="AP2921" s="96">
        <f ca="1">AP2920/AP2918</f>
        <v>1.0931128520967879</v>
      </c>
      <c r="AQ2921" s="111"/>
      <c r="AR2921" s="28"/>
      <c r="AS2921" s="96">
        <f ca="1">AS2920/AS2918</f>
        <v>1.0652317540503295</v>
      </c>
      <c r="AT2921" s="111"/>
      <c r="AU2921" s="28"/>
    </row>
    <row r="2922" spans="15:47" x14ac:dyDescent="0.25">
      <c r="O2922" s="2" t="s">
        <v>21</v>
      </c>
      <c r="P2922" s="8">
        <v>12</v>
      </c>
      <c r="Q2922" s="2"/>
      <c r="R2922" s="96">
        <f ca="1">1-R2921/(3*F_GAMMA*R$29)</f>
        <v>0.82593309914703217</v>
      </c>
      <c r="S2922" s="106"/>
      <c r="T2922" s="22"/>
      <c r="U2922" s="96">
        <f ca="1">1-U2921/(3*F_GAMMA*U$29)</f>
        <v>0.83161231987526962</v>
      </c>
      <c r="V2922" s="111"/>
      <c r="W2922" s="28"/>
      <c r="X2922" s="96">
        <f ca="1">1-X2921/(3*F_GAMMA*X$29)</f>
        <v>0.86300658035526845</v>
      </c>
      <c r="Y2922" s="111"/>
      <c r="Z2922" s="28"/>
      <c r="AA2922" s="96">
        <f ca="1">1-AA2921/(3*F_GAMMA*AA$29)</f>
        <v>1.0390504065578363</v>
      </c>
      <c r="AB2922" s="111"/>
      <c r="AC2922" s="28"/>
      <c r="AD2922" s="96">
        <f ca="1">1-AD2921/(3*F_GAMMA*AD$29)</f>
        <v>-4.7819932028650909</v>
      </c>
      <c r="AE2922" s="111"/>
      <c r="AF2922" s="28"/>
      <c r="AG2922" s="96">
        <f ca="1">1-AG2921/(3*F_GAMMA*AG$29)</f>
        <v>0.11441592510192711</v>
      </c>
      <c r="AH2922" s="111"/>
      <c r="AI2922" s="28"/>
      <c r="AJ2922" s="96">
        <f ca="1">1-AJ2921/(3*F_GAMMA*AJ$29)</f>
        <v>0.23691422903964254</v>
      </c>
      <c r="AK2922" s="111"/>
      <c r="AL2922" s="28"/>
      <c r="AM2922" s="96">
        <f ca="1">1-AM2921/(3*F_GAMMA*AM$29)</f>
        <v>0.20677764256126674</v>
      </c>
      <c r="AN2922" s="111"/>
      <c r="AO2922" s="28"/>
      <c r="AP2922" s="96">
        <f ca="1">1-AP2921/(3*F_GAMMA*AP$29)</f>
        <v>0.38298849496784626</v>
      </c>
      <c r="AQ2922" s="111"/>
      <c r="AR2922" s="28"/>
      <c r="AS2922" s="96">
        <f ca="1">1-AS2921/(3*F_GAMMA*AS$29)</f>
        <v>5.7375312905930564E-2</v>
      </c>
      <c r="AT2922" s="111"/>
      <c r="AU2922" s="28"/>
    </row>
    <row r="2923" spans="15:47" x14ac:dyDescent="0.25">
      <c r="O2923" s="2" t="s">
        <v>57</v>
      </c>
      <c r="P2923" s="143">
        <v>7</v>
      </c>
      <c r="Q2923" s="2"/>
      <c r="R2923" s="96">
        <f ca="1">(R2916/(N_9*R$27*R2918*R2922))*SQRT(M*'Valve Sizing'!$W$6*'Valve Sizing'!$G$8/R2921)</f>
        <v>7.614148347817312</v>
      </c>
      <c r="S2923" s="107"/>
      <c r="T2923" s="22"/>
      <c r="U2923" s="96">
        <f ca="1">(U2916/(N_9*U$27*U2918*U2922))*SQRT(M*'Valve Sizing'!$W$6*'Valve Sizing'!$G$8/U2921)</f>
        <v>37.747560983427391</v>
      </c>
      <c r="V2923" s="111"/>
      <c r="W2923" s="28"/>
      <c r="X2923" s="96">
        <f ca="1">(X2916/(N_9*X$27*X2918*X2922))*SQRT(M*'Valve Sizing'!$W$6*'Valve Sizing'!$G$8/X2921)</f>
        <v>108.67124949631101</v>
      </c>
      <c r="Y2923" s="111"/>
      <c r="Z2923" s="28"/>
      <c r="AA2923" s="96" t="e">
        <f ca="1">(AA2916/(N_9*AA$27*AA2918*AA2922))*SQRT(M*'Valve Sizing'!$W$6*'Valve Sizing'!$G$8/AA2921)</f>
        <v>#NUM!</v>
      </c>
      <c r="AB2923" s="111"/>
      <c r="AC2923" s="28"/>
      <c r="AD2923" s="96">
        <f ca="1">(AD2916/(N_9*AD$27*AD2918*AD2922))*SQRT(M*'Valve Sizing'!$W$6*'Valve Sizing'!$G$8/AD2921)</f>
        <v>132.26874774390299</v>
      </c>
      <c r="AE2923" s="111"/>
      <c r="AF2923" s="28"/>
      <c r="AG2923" s="96">
        <f ca="1">(AG2916/(N_9*AG$27*AG2918*AG2922))*SQRT(M*'Valve Sizing'!$W$6*'Valve Sizing'!$G$8/AG2921)</f>
        <v>-1185.7451985428054</v>
      </c>
      <c r="AH2923" s="111"/>
      <c r="AI2923" s="28"/>
      <c r="AJ2923" s="96">
        <f ca="1">(AJ2916/(N_9*AJ$27*AJ2918*AJ2922))*SQRT(M*'Valve Sizing'!$W$6*'Valve Sizing'!$G$8/AJ2921)</f>
        <v>-369.98217243272092</v>
      </c>
      <c r="AK2923" s="111"/>
      <c r="AL2923" s="28"/>
      <c r="AM2923" s="96">
        <f ca="1">(AM2916/(N_9*AM$27*AM2918*AM2922))*SQRT(M*'Valve Sizing'!$W$6*'Valve Sizing'!$G$8/AM2921)</f>
        <v>-345.22556661286802</v>
      </c>
      <c r="AN2923" s="111"/>
      <c r="AO2923" s="28"/>
      <c r="AP2923" s="96">
        <f ca="1">(AP2916/(N_9*AP$27*AP2918*AP2922))*SQRT(M*'Valve Sizing'!$W$6*'Valve Sizing'!$G$8/AP2921)</f>
        <v>-176.89593698472424</v>
      </c>
      <c r="AQ2923" s="111"/>
      <c r="AR2923" s="28"/>
      <c r="AS2923" s="96">
        <f ca="1">(AS2916/(N_9*AS$27*AS2918*AS2922))*SQRT(M*'Valve Sizing'!$W$6*'Valve Sizing'!$G$8/AS2921)</f>
        <v>-1316.0954704218107</v>
      </c>
      <c r="AT2923" s="111"/>
      <c r="AU2923" s="28"/>
    </row>
    <row r="2924" spans="15:47" x14ac:dyDescent="0.25">
      <c r="O2924" s="2" t="s">
        <v>59</v>
      </c>
      <c r="P2924" s="143">
        <v>7</v>
      </c>
      <c r="Q2924" s="2"/>
      <c r="R2924" s="96">
        <f ca="1">(R2916/(N_9*R$27*R2918*0.667))*SQRT(M*'Valve Sizing'!$W$6*'Valve Sizing'!$G$8/R2925)</f>
        <v>6.8133248613050146</v>
      </c>
      <c r="S2924" s="107"/>
      <c r="T2924" s="22"/>
      <c r="U2924" s="96">
        <f ca="1">(U2916/(N_9*U$27*U2918*0.667))*SQRT(M*'Valve Sizing'!$W$6*'Valve Sizing'!$G$8/U2925)</f>
        <v>33.450280216947583</v>
      </c>
      <c r="V2924" s="111"/>
      <c r="W2924" s="28"/>
      <c r="X2924" s="96">
        <f ca="1">(X2916/(N_9*X$27*X2918*0.667))*SQRT(M*'Valve Sizing'!$W$6*'Valve Sizing'!$G$8/X2925)</f>
        <v>90.139140900194135</v>
      </c>
      <c r="Y2924" s="111"/>
      <c r="Z2924" s="28"/>
      <c r="AA2924" s="96">
        <f ca="1">(AA2916/(N_9*AA$27*AA2918*0.667))*SQRT(M*'Valve Sizing'!$W$6*'Valve Sizing'!$G$8/AA2925)</f>
        <v>258.16060843482683</v>
      </c>
      <c r="AB2924" s="111"/>
      <c r="AC2924" s="28"/>
      <c r="AD2924" s="96">
        <f ca="1">(AD2916/(N_9*AD$27*AD2918*0.667))*SQRT(M*'Valve Sizing'!$W$6*'Valve Sizing'!$G$8/AD2925)</f>
        <v>-3949.4787202049338</v>
      </c>
      <c r="AE2924" s="111"/>
      <c r="AF2924" s="28"/>
      <c r="AG2924" s="96">
        <f ca="1">(AG2916/(N_9*AG$27*AG2918*0.667))*SQRT(M*'Valve Sizing'!$W$6*'Valve Sizing'!$G$8/AG2925)</f>
        <v>-331.53359555569551</v>
      </c>
      <c r="AH2924" s="111"/>
      <c r="AI2924" s="28"/>
      <c r="AJ2924" s="96">
        <f ca="1">(AJ2916/(N_9*AJ$27*AJ2918*0.667))*SQRT(M*'Valve Sizing'!$W$6*'Valve Sizing'!$G$8/AJ2925)</f>
        <v>-198.83526593238332</v>
      </c>
      <c r="AK2924" s="111"/>
      <c r="AL2924" s="28"/>
      <c r="AM2924" s="96">
        <f ca="1">(AM2916/(N_9*AM$27*AM2918*0.667))*SQRT(M*'Valve Sizing'!$W$6*'Valve Sizing'!$G$8/AM2925)</f>
        <v>-165.09685394324529</v>
      </c>
      <c r="AN2924" s="111"/>
      <c r="AO2924" s="28"/>
      <c r="AP2924" s="96">
        <f ca="1">(AP2916/(N_9*AP$27*AP2918*0.667))*SQRT(M*'Valve Sizing'!$W$6*'Valve Sizing'!$G$8/AP2925)</f>
        <v>-138.19267080469785</v>
      </c>
      <c r="AQ2924" s="111"/>
      <c r="AR2924" s="28"/>
      <c r="AS2924" s="96">
        <f ca="1">(AS2916/(N_9*AS$27*AS2918*0.667))*SQRT(M*'Valve Sizing'!$W$6*'Valve Sizing'!$G$8/AS2925)</f>
        <v>-190.37795601911796</v>
      </c>
      <c r="AT2924" s="111"/>
      <c r="AU2924" s="28"/>
    </row>
    <row r="2925" spans="15:47" ht="15.6" x14ac:dyDescent="0.35">
      <c r="O2925" s="2" t="s">
        <v>68</v>
      </c>
      <c r="P2925" s="143">
        <v>10</v>
      </c>
      <c r="Q2925" s="2"/>
      <c r="R2925" s="96">
        <f ca="1">F_GAMMA*R$29</f>
        <v>0.64002969751372984</v>
      </c>
      <c r="S2925" s="107"/>
      <c r="T2925" s="1"/>
      <c r="U2925" s="96">
        <f ca="1">F_GAMMA*U$29</f>
        <v>0.64017842058782071</v>
      </c>
      <c r="V2925" s="111"/>
      <c r="W2925" s="28"/>
      <c r="X2925" s="96">
        <f ca="1">F_GAMMA*X$29</f>
        <v>0.63413873724904268</v>
      </c>
      <c r="Y2925" s="111"/>
      <c r="Z2925" s="28"/>
      <c r="AA2925" s="96">
        <f ca="1">F_GAMMA*AA$29</f>
        <v>0.62532411750377137</v>
      </c>
      <c r="AB2925" s="111"/>
      <c r="AC2925" s="28"/>
      <c r="AD2925" s="96">
        <f ca="1">F_GAMMA*AD$29</f>
        <v>0.60651359509139569</v>
      </c>
      <c r="AE2925" s="111"/>
      <c r="AF2925" s="28"/>
      <c r="AG2925" s="96">
        <f ca="1">F_GAMMA*AG$29</f>
        <v>0.57217930198481592</v>
      </c>
      <c r="AH2925" s="111"/>
      <c r="AI2925" s="28"/>
      <c r="AJ2925" s="96">
        <f ca="1">F_GAMMA*AJ$29</f>
        <v>0.53183282018848232</v>
      </c>
      <c r="AK2925" s="111"/>
      <c r="AL2925" s="28"/>
      <c r="AM2925" s="96">
        <f ca="1">F_GAMMA*AM$29</f>
        <v>0.47566512503094399</v>
      </c>
      <c r="AN2925" s="111"/>
      <c r="AO2925" s="28"/>
      <c r="AP2925" s="96">
        <f ca="1">F_GAMMA*AP$29</f>
        <v>0.59054158265645496</v>
      </c>
      <c r="AQ2925" s="111"/>
      <c r="AR2925" s="28"/>
      <c r="AS2925" s="96">
        <f ca="1">F_GAMMA*AS$29</f>
        <v>0.3766899554102966</v>
      </c>
      <c r="AT2925" s="111"/>
      <c r="AU2925" s="28"/>
    </row>
    <row r="2926" spans="15:47" x14ac:dyDescent="0.25">
      <c r="O2926" s="2" t="s">
        <v>145</v>
      </c>
      <c r="P2926" s="12"/>
      <c r="Q2926" s="2"/>
      <c r="R2926" s="96">
        <f ca="1">IF(R2921&lt;R2925,R2923,R2924)</f>
        <v>7.614148347817312</v>
      </c>
      <c r="S2926" s="116"/>
      <c r="T2926" s="1"/>
      <c r="U2926" s="96">
        <f ca="1">IF(U2921&lt;U2925,U2923,U2924)</f>
        <v>37.747560983427391</v>
      </c>
      <c r="V2926" s="111"/>
      <c r="W2926" s="28"/>
      <c r="X2926" s="96">
        <f ca="1">IF(X2921&lt;X2925,X2923,X2924)</f>
        <v>108.67124949631101</v>
      </c>
      <c r="Y2926" s="111"/>
      <c r="Z2926" s="28"/>
      <c r="AA2926" s="96" t="e">
        <f ca="1">IF(AA2921&lt;AA2925,AA2923,AA2924)</f>
        <v>#NUM!</v>
      </c>
      <c r="AB2926" s="111"/>
      <c r="AC2926" s="28"/>
      <c r="AD2926" s="96">
        <f ca="1">IF(AD2921&lt;AD2925,AD2923,AD2924)</f>
        <v>-3949.4787202049338</v>
      </c>
      <c r="AE2926" s="111"/>
      <c r="AF2926" s="28"/>
      <c r="AG2926" s="96">
        <f ca="1">IF(AG2921&lt;AG2925,AG2923,AG2924)</f>
        <v>-331.53359555569551</v>
      </c>
      <c r="AH2926" s="111"/>
      <c r="AI2926" s="28"/>
      <c r="AJ2926" s="96">
        <f ca="1">IF(AJ2921&lt;AJ2925,AJ2923,AJ2924)</f>
        <v>-198.83526593238332</v>
      </c>
      <c r="AK2926" s="111"/>
      <c r="AL2926" s="28"/>
      <c r="AM2926" s="96">
        <f ca="1">IF(AM2921&lt;AM2925,AM2923,AM2924)</f>
        <v>-165.09685394324529</v>
      </c>
      <c r="AN2926" s="111"/>
      <c r="AO2926" s="28"/>
      <c r="AP2926" s="96">
        <f ca="1">IF(AP2921&lt;AP2925,AP2923,AP2924)</f>
        <v>-138.19267080469785</v>
      </c>
      <c r="AQ2926" s="111"/>
      <c r="AR2926" s="28"/>
      <c r="AS2926" s="96">
        <f ca="1">IF(AS2921&lt;AS2925,AS2923,AS2924)</f>
        <v>-190.37795601911796</v>
      </c>
      <c r="AT2926" s="111"/>
      <c r="AU2926" s="28"/>
    </row>
    <row r="2927" spans="15:47" x14ac:dyDescent="0.25">
      <c r="O2927" s="13" t="s">
        <v>143</v>
      </c>
      <c r="P2927" s="1"/>
      <c r="Q2927" s="1"/>
      <c r="R2927" s="113"/>
      <c r="S2927" s="106">
        <f ca="1">IF(R2920&lt;=0,Q_max,ABS(R$23-R2926))</f>
        <v>2.8841483478173116</v>
      </c>
      <c r="T2927" s="7">
        <f>R2916</f>
        <v>18833.110151146084</v>
      </c>
      <c r="U2927" s="98"/>
      <c r="V2927" s="106">
        <f ca="1">IF(U2920&lt;=0,Q_max,ABS(U$23-U2926))</f>
        <v>26.14756098342739</v>
      </c>
      <c r="W2927" s="9">
        <f ca="1">U2916</f>
        <v>90932.875246504933</v>
      </c>
      <c r="X2927" s="98"/>
      <c r="Y2927" s="106">
        <f ca="1">IF(X2920&lt;=0,Q_max,ABS(X$23-X2926))</f>
        <v>85.671249496311006</v>
      </c>
      <c r="Z2927" s="9">
        <f ca="1">X2916</f>
        <v>222661.20952832617</v>
      </c>
      <c r="AA2927" s="98"/>
      <c r="AB2927" s="106">
        <f ca="1">IF(AA2920&lt;=0,Q_max,ABS(AA$23-AA2926))</f>
        <v>236393</v>
      </c>
      <c r="AC2927" s="9">
        <f ca="1">AA2916</f>
        <v>433687.2029087171</v>
      </c>
      <c r="AD2927" s="98"/>
      <c r="AE2927" s="106">
        <f ca="1">IF(AD2920&lt;=0,Q_max,ABS(AD$23-AD2926))</f>
        <v>236393</v>
      </c>
      <c r="AF2927" s="9">
        <f ca="1">AD2916</f>
        <v>727592.21570020681</v>
      </c>
      <c r="AG2927" s="98"/>
      <c r="AH2927" s="106">
        <f ca="1">IF(AG2920&lt;=0,Q_max,ABS(AG$23-AG2926))</f>
        <v>236393</v>
      </c>
      <c r="AI2927" s="9">
        <f ca="1">AG2916</f>
        <v>1061940.6556191905</v>
      </c>
      <c r="AJ2927" s="98"/>
      <c r="AK2927" s="106">
        <f ca="1">IF(AJ2920&lt;=0,Q_max,ABS(AJ$23-AJ2926))</f>
        <v>236393</v>
      </c>
      <c r="AL2927" s="9">
        <f ca="1">AJ2916</f>
        <v>1417163.9216081596</v>
      </c>
      <c r="AM2927" s="98"/>
      <c r="AN2927" s="106">
        <f ca="1">IF(AM2920&lt;=0,Q_max,ABS(AM$23-AM2926))</f>
        <v>236393</v>
      </c>
      <c r="AO2927" s="9">
        <f ca="1">AM2916</f>
        <v>1729209.3021198777</v>
      </c>
      <c r="AP2927" s="98"/>
      <c r="AQ2927" s="106">
        <f ca="1">IF(AP2920&lt;=0,Q_max,ABS(AP$23-AP2926))</f>
        <v>236393</v>
      </c>
      <c r="AR2927" s="9">
        <f ca="1">AP2916</f>
        <v>2007558.3170981987</v>
      </c>
      <c r="AS2927" s="98"/>
      <c r="AT2927" s="106">
        <f ca="1">IF(AS2920&lt;=0,Q_max,ABS(AS$23-AS2926))</f>
        <v>236393</v>
      </c>
      <c r="AU2927" s="9">
        <f ca="1">AS2916</f>
        <v>2354020.0110683064</v>
      </c>
    </row>
    <row r="2928" spans="15:47" x14ac:dyDescent="0.25">
      <c r="O2928" s="21"/>
      <c r="P2928" s="14"/>
      <c r="Q2928" s="21"/>
      <c r="R2928" s="97"/>
      <c r="S2928" s="106"/>
      <c r="T2928" s="28"/>
      <c r="U2928" s="97"/>
      <c r="V2928" s="111"/>
      <c r="W2928" s="28"/>
      <c r="X2928" s="97"/>
      <c r="Y2928" s="111"/>
      <c r="Z2928" s="28"/>
      <c r="AA2928" s="97"/>
      <c r="AB2928" s="111"/>
      <c r="AC2928" s="28"/>
      <c r="AD2928" s="97"/>
      <c r="AE2928" s="111"/>
      <c r="AF2928" s="28"/>
      <c r="AG2928" s="97"/>
      <c r="AH2928" s="111"/>
      <c r="AI2928" s="28"/>
      <c r="AJ2928" s="97"/>
      <c r="AK2928" s="111"/>
      <c r="AL2928" s="28"/>
      <c r="AM2928" s="97"/>
      <c r="AN2928" s="111"/>
      <c r="AO2928" s="28"/>
      <c r="AP2928" s="97"/>
      <c r="AQ2928" s="111"/>
      <c r="AR2928" s="28"/>
      <c r="AS2928" s="97"/>
      <c r="AT2928" s="111"/>
      <c r="AU2928" s="28"/>
    </row>
    <row r="2929" spans="15:47" x14ac:dyDescent="0.25">
      <c r="O2929" s="1"/>
      <c r="P2929" s="1"/>
      <c r="Q2929" s="1"/>
      <c r="R2929" s="98"/>
      <c r="S2929" s="108" t="s">
        <v>137</v>
      </c>
      <c r="T2929" s="26" t="s">
        <v>146</v>
      </c>
      <c r="U2929" s="98"/>
      <c r="V2929" s="108" t="s">
        <v>137</v>
      </c>
      <c r="W2929" s="26" t="s">
        <v>146</v>
      </c>
      <c r="X2929" s="98"/>
      <c r="Y2929" s="108" t="s">
        <v>137</v>
      </c>
      <c r="Z2929" s="26" t="s">
        <v>146</v>
      </c>
      <c r="AA2929" s="98"/>
      <c r="AB2929" s="108" t="s">
        <v>137</v>
      </c>
      <c r="AC2929" s="26" t="s">
        <v>146</v>
      </c>
      <c r="AD2929" s="98"/>
      <c r="AE2929" s="108" t="s">
        <v>137</v>
      </c>
      <c r="AF2929" s="26" t="s">
        <v>146</v>
      </c>
      <c r="AG2929" s="98"/>
      <c r="AH2929" s="108" t="s">
        <v>137</v>
      </c>
      <c r="AI2929" s="26" t="s">
        <v>146</v>
      </c>
      <c r="AJ2929" s="98"/>
      <c r="AK2929" s="108" t="s">
        <v>137</v>
      </c>
      <c r="AL2929" s="26" t="s">
        <v>146</v>
      </c>
      <c r="AM2929" s="98"/>
      <c r="AN2929" s="108" t="s">
        <v>137</v>
      </c>
      <c r="AO2929" s="26" t="s">
        <v>146</v>
      </c>
      <c r="AP2929" s="98"/>
      <c r="AQ2929" s="108" t="s">
        <v>137</v>
      </c>
      <c r="AR2929" s="26" t="s">
        <v>146</v>
      </c>
      <c r="AS2929" s="98"/>
      <c r="AT2929" s="108" t="s">
        <v>137</v>
      </c>
      <c r="AU2929" s="26" t="s">
        <v>146</v>
      </c>
    </row>
    <row r="2930" spans="15:47" ht="13.8" x14ac:dyDescent="0.25">
      <c r="O2930" s="20" t="s">
        <v>136</v>
      </c>
      <c r="P2930" s="1"/>
      <c r="Q2930" s="1"/>
      <c r="R2930" s="96">
        <f>R2916*1.02</f>
        <v>19209.772354169007</v>
      </c>
      <c r="S2930" s="109" t="s">
        <v>144</v>
      </c>
      <c r="T2930" s="23" t="s">
        <v>147</v>
      </c>
      <c r="U2930" s="96">
        <f ca="1">U2916*1.01</f>
        <v>91842.203998969984</v>
      </c>
      <c r="V2930" s="109" t="s">
        <v>144</v>
      </c>
      <c r="W2930" s="23" t="s">
        <v>147</v>
      </c>
      <c r="X2930" s="96">
        <f ca="1">X2916*1.01</f>
        <v>224887.82162360943</v>
      </c>
      <c r="Y2930" s="109" t="s">
        <v>144</v>
      </c>
      <c r="Z2930" s="23" t="s">
        <v>147</v>
      </c>
      <c r="AA2930" s="96">
        <f ca="1">AA2916*1.01</f>
        <v>438024.07493780425</v>
      </c>
      <c r="AB2930" s="109" t="s">
        <v>144</v>
      </c>
      <c r="AC2930" s="23" t="s">
        <v>147</v>
      </c>
      <c r="AD2930" s="96">
        <f ca="1">AD2916*1.01</f>
        <v>734868.13785720884</v>
      </c>
      <c r="AE2930" s="109" t="s">
        <v>144</v>
      </c>
      <c r="AF2930" s="23" t="s">
        <v>147</v>
      </c>
      <c r="AG2930" s="96">
        <f ca="1">AG2916*1.01</f>
        <v>1072560.0621753824</v>
      </c>
      <c r="AH2930" s="109" t="s">
        <v>144</v>
      </c>
      <c r="AI2930" s="23" t="s">
        <v>147</v>
      </c>
      <c r="AJ2930" s="96">
        <f ca="1">AJ2916*1.01</f>
        <v>1431335.5608242413</v>
      </c>
      <c r="AK2930" s="109" t="s">
        <v>144</v>
      </c>
      <c r="AL2930" s="23" t="s">
        <v>147</v>
      </c>
      <c r="AM2930" s="96">
        <f ca="1">AM2916*1.01</f>
        <v>1746501.3951410765</v>
      </c>
      <c r="AN2930" s="109" t="s">
        <v>144</v>
      </c>
      <c r="AO2930" s="23" t="s">
        <v>147</v>
      </c>
      <c r="AP2930" s="96">
        <f ca="1">AP2916*1.01</f>
        <v>2027633.9002691808</v>
      </c>
      <c r="AQ2930" s="109" t="s">
        <v>144</v>
      </c>
      <c r="AR2930" s="23" t="s">
        <v>147</v>
      </c>
      <c r="AS2930" s="96">
        <f ca="1">AS2916*1.01</f>
        <v>2377560.2111789896</v>
      </c>
      <c r="AT2930" s="109" t="s">
        <v>144</v>
      </c>
      <c r="AU2930" s="23" t="s">
        <v>147</v>
      </c>
    </row>
    <row r="2931" spans="15:47" x14ac:dyDescent="0.25">
      <c r="O2931" s="1"/>
      <c r="P2931" s="1"/>
      <c r="Q2931" s="1"/>
      <c r="R2931" s="98"/>
      <c r="S2931" s="107"/>
      <c r="T2931" s="1"/>
      <c r="U2931" s="47"/>
      <c r="V2931" s="107"/>
      <c r="W2931" s="1"/>
      <c r="X2931" s="47"/>
      <c r="Y2931" s="107"/>
      <c r="Z2931" s="1"/>
      <c r="AA2931" s="47"/>
      <c r="AB2931" s="107"/>
      <c r="AC2931" s="1"/>
      <c r="AD2931" s="47"/>
      <c r="AE2931" s="107"/>
      <c r="AF2931" s="1"/>
      <c r="AG2931" s="47"/>
      <c r="AH2931" s="107"/>
      <c r="AI2931" s="1"/>
      <c r="AJ2931" s="47"/>
      <c r="AK2931" s="107"/>
      <c r="AL2931" s="1"/>
      <c r="AM2931" s="47"/>
      <c r="AN2931" s="107"/>
      <c r="AO2931" s="1"/>
      <c r="AP2931" s="47"/>
      <c r="AQ2931" s="107"/>
      <c r="AR2931" s="1"/>
      <c r="AS2931" s="47"/>
      <c r="AT2931" s="107"/>
      <c r="AU2931" s="1"/>
    </row>
    <row r="2932" spans="15:47" x14ac:dyDescent="0.25">
      <c r="O2932" s="8" t="s">
        <v>132</v>
      </c>
      <c r="P2932" s="8"/>
      <c r="Q2932" s="8"/>
      <c r="R2932" s="96">
        <f>P_1_minQ-(R2930^2*R_up)+dpup_minQ</f>
        <v>90.117783455606727</v>
      </c>
      <c r="S2932" s="106"/>
      <c r="T2932" s="22"/>
      <c r="U2932" s="96">
        <f ca="1">P_1_minQ-(U2930^2*R_up)+dpup_minQ</f>
        <v>88.64767148752918</v>
      </c>
      <c r="V2932" s="107"/>
      <c r="W2932" s="1"/>
      <c r="X2932" s="96">
        <f ca="1">P_1_minQ-(X2930^2*R_up)+dpup_minQ</f>
        <v>80.967280187025324</v>
      </c>
      <c r="Y2932" s="107"/>
      <c r="Z2932" s="1"/>
      <c r="AA2932" s="96">
        <f ca="1">P_1_minQ-(AA2930^2*R_up)+dpup_minQ</f>
        <v>55.215534358145966</v>
      </c>
      <c r="AB2932" s="107"/>
      <c r="AC2932" s="1"/>
      <c r="AD2932" s="96">
        <f ca="1">P_1_minQ-(AD2930^2*R_up)+dpup_minQ</f>
        <v>-8.2415344204195566</v>
      </c>
      <c r="AE2932" s="107"/>
      <c r="AF2932" s="1"/>
      <c r="AG2932" s="96">
        <f ca="1">P_1_minQ-(AG2930^2*R_up)+dpup_minQ</f>
        <v>-119.48519365370908</v>
      </c>
      <c r="AH2932" s="107"/>
      <c r="AI2932" s="1"/>
      <c r="AJ2932" s="96">
        <f ca="1">P_1_minQ-(AJ2930^2*R_up)+dpup_minQ</f>
        <v>-283.21680461156245</v>
      </c>
      <c r="AK2932" s="107"/>
      <c r="AL2932" s="1"/>
      <c r="AM2932" s="96">
        <f ca="1">P_1_minQ-(AM2930^2*R_up)+dpup_minQ</f>
        <v>-465.75942475632229</v>
      </c>
      <c r="AN2932" s="107"/>
      <c r="AO2932" s="1"/>
      <c r="AP2932" s="96">
        <f ca="1">P_1_minQ-(AP2930^2*R_up)+dpup_minQ</f>
        <v>-659.14410399159078</v>
      </c>
      <c r="AQ2932" s="107"/>
      <c r="AR2932" s="1"/>
      <c r="AS2932" s="96">
        <f ca="1">P_1_minQ-(AS2930^2*R_up)+dpup_minQ</f>
        <v>-940.09808188173815</v>
      </c>
      <c r="AT2932" s="107"/>
      <c r="AU2932" s="1"/>
    </row>
    <row r="2933" spans="15:47" x14ac:dyDescent="0.25">
      <c r="O2933" s="8" t="s">
        <v>134</v>
      </c>
      <c r="P2933" s="1"/>
      <c r="Q2933" s="8"/>
      <c r="R2933" s="97">
        <f>P_2_minQ+(R2930^2*R_dn)-dpdn_minQ</f>
        <v>60</v>
      </c>
      <c r="S2933" s="106"/>
      <c r="T2933" s="22"/>
      <c r="U2933" s="97">
        <f ca="1">P_2_minQ+(U2930^2*R_dn)-dpdn_minQ</f>
        <v>60</v>
      </c>
      <c r="V2933" s="107"/>
      <c r="W2933" s="1"/>
      <c r="X2933" s="97">
        <f ca="1">P_2_minQ+(X2930^2*R_dn)-dpdn_minQ</f>
        <v>60</v>
      </c>
      <c r="Y2933" s="107"/>
      <c r="Z2933" s="1"/>
      <c r="AA2933" s="97">
        <f ca="1">P_2_minQ+(AA2930^2*R_dn)-dpdn_minQ</f>
        <v>60</v>
      </c>
      <c r="AB2933" s="107"/>
      <c r="AC2933" s="1"/>
      <c r="AD2933" s="97">
        <f ca="1">P_2_minQ+(AD2930^2*R_dn)-dpdn_minQ</f>
        <v>60</v>
      </c>
      <c r="AE2933" s="107"/>
      <c r="AF2933" s="1"/>
      <c r="AG2933" s="97">
        <f ca="1">P_2_minQ+(AG2930^2*R_dn)-dpdn_minQ</f>
        <v>60</v>
      </c>
      <c r="AH2933" s="107"/>
      <c r="AI2933" s="1"/>
      <c r="AJ2933" s="97">
        <f ca="1">P_2_minQ+(AJ2930^2*R_dn)-dpdn_minQ</f>
        <v>60</v>
      </c>
      <c r="AK2933" s="107"/>
      <c r="AL2933" s="1"/>
      <c r="AM2933" s="97">
        <f ca="1">P_2_minQ+(AM2930^2*R_dn)-dpdn_minQ</f>
        <v>60</v>
      </c>
      <c r="AN2933" s="107"/>
      <c r="AO2933" s="1"/>
      <c r="AP2933" s="97">
        <f ca="1">P_2_minQ+(AP2930^2*R_dn)-dpdn_minQ</f>
        <v>60</v>
      </c>
      <c r="AQ2933" s="107"/>
      <c r="AR2933" s="1"/>
      <c r="AS2933" s="97">
        <f ca="1">P_2_minQ+(AS2930^2*R_dn)-dpdn_minQ</f>
        <v>60</v>
      </c>
      <c r="AT2933" s="107"/>
      <c r="AU2933" s="1"/>
    </row>
    <row r="2934" spans="15:47" x14ac:dyDescent="0.25">
      <c r="O2934" s="8" t="s">
        <v>138</v>
      </c>
      <c r="P2934" s="1"/>
      <c r="Q2934" s="8"/>
      <c r="R2934" s="97">
        <f>R2932-R2933</f>
        <v>30.117783455606727</v>
      </c>
      <c r="S2934" s="106"/>
      <c r="T2934" s="22"/>
      <c r="U2934" s="97">
        <f ca="1">U2932-U2933</f>
        <v>28.64767148752918</v>
      </c>
      <c r="V2934" s="110"/>
      <c r="W2934" s="25"/>
      <c r="X2934" s="97">
        <f ca="1">X2932-X2933</f>
        <v>20.967280187025324</v>
      </c>
      <c r="Y2934" s="110"/>
      <c r="Z2934" s="25"/>
      <c r="AA2934" s="97">
        <f ca="1">AA2932-AA2933</f>
        <v>-4.7844656418540339</v>
      </c>
      <c r="AB2934" s="110"/>
      <c r="AC2934" s="25"/>
      <c r="AD2934" s="97">
        <f ca="1">AD2932-AD2933</f>
        <v>-68.241534420419555</v>
      </c>
      <c r="AE2934" s="110"/>
      <c r="AF2934" s="25"/>
      <c r="AG2934" s="97">
        <f ca="1">AG2932-AG2933</f>
        <v>-179.48519365370908</v>
      </c>
      <c r="AH2934" s="110"/>
      <c r="AI2934" s="25"/>
      <c r="AJ2934" s="97">
        <f ca="1">AJ2932-AJ2933</f>
        <v>-343.21680461156245</v>
      </c>
      <c r="AK2934" s="110"/>
      <c r="AL2934" s="25"/>
      <c r="AM2934" s="97">
        <f ca="1">AM2932-AM2933</f>
        <v>-525.75942475632223</v>
      </c>
      <c r="AN2934" s="110"/>
      <c r="AO2934" s="25"/>
      <c r="AP2934" s="97">
        <f ca="1">AP2932-AP2933</f>
        <v>-719.14410399159078</v>
      </c>
      <c r="AQ2934" s="110"/>
      <c r="AR2934" s="25"/>
      <c r="AS2934" s="97">
        <f ca="1">AS2932-AS2933</f>
        <v>-1000.0980818817382</v>
      </c>
      <c r="AT2934" s="110"/>
      <c r="AU2934" s="25"/>
    </row>
    <row r="2935" spans="15:47" ht="14.4" x14ac:dyDescent="0.3">
      <c r="O2935" s="2" t="s">
        <v>140</v>
      </c>
      <c r="P2935" s="11"/>
      <c r="Q2935" s="2"/>
      <c r="R2935" s="96">
        <f>R2934/R2932</f>
        <v>0.3342046630612388</v>
      </c>
      <c r="S2935" s="106"/>
      <c r="T2935" s="22"/>
      <c r="U2935" s="96">
        <f ca="1">U2934/U2932</f>
        <v>0.32316327103480991</v>
      </c>
      <c r="V2935" s="111"/>
      <c r="W2935" s="28"/>
      <c r="X2935" s="96">
        <f ca="1">X2934/X2932</f>
        <v>0.25895991737147722</v>
      </c>
      <c r="Y2935" s="111"/>
      <c r="Z2935" s="28"/>
      <c r="AA2935" s="96">
        <f ca="1">AA2934/AA2932</f>
        <v>-8.6650717003306149E-2</v>
      </c>
      <c r="AB2935" s="111"/>
      <c r="AC2935" s="28"/>
      <c r="AD2935" s="96">
        <f ca="1">AD2934/AD2932</f>
        <v>8.280197708249764</v>
      </c>
      <c r="AE2935" s="111"/>
      <c r="AF2935" s="28"/>
      <c r="AG2935" s="96">
        <f ca="1">AG2934/AG2932</f>
        <v>1.5021542683681082</v>
      </c>
      <c r="AH2935" s="111"/>
      <c r="AI2935" s="28"/>
      <c r="AJ2935" s="96">
        <f ca="1">AJ2934/AJ2932</f>
        <v>1.2118518358481278</v>
      </c>
      <c r="AK2935" s="111"/>
      <c r="AL2935" s="28"/>
      <c r="AM2935" s="96">
        <f ca="1">AM2934/AM2932</f>
        <v>1.1288218698556469</v>
      </c>
      <c r="AN2935" s="111"/>
      <c r="AO2935" s="28"/>
      <c r="AP2935" s="96">
        <f ca="1">AP2934/AP2932</f>
        <v>1.0910271360035795</v>
      </c>
      <c r="AQ2935" s="111"/>
      <c r="AR2935" s="28"/>
      <c r="AS2935" s="96">
        <f ca="1">AS2934/AS2932</f>
        <v>1.0638231277739676</v>
      </c>
      <c r="AT2935" s="111"/>
      <c r="AU2935" s="28"/>
    </row>
    <row r="2936" spans="15:47" x14ac:dyDescent="0.25">
      <c r="O2936" s="2" t="s">
        <v>21</v>
      </c>
      <c r="P2936" s="8">
        <v>12</v>
      </c>
      <c r="Q2936" s="2"/>
      <c r="R2936" s="96">
        <f ca="1">1-R2935/(3*F_GAMMA*R$29)</f>
        <v>0.82594314797188528</v>
      </c>
      <c r="S2936" s="106"/>
      <c r="T2936" s="22"/>
      <c r="U2936" s="96">
        <f ca="1">1-U2935/(3*F_GAMMA*U$29)</f>
        <v>0.83173270625706874</v>
      </c>
      <c r="V2936" s="111"/>
      <c r="W2936" s="28"/>
      <c r="X2936" s="96">
        <f ca="1">1-X2935/(3*F_GAMMA*X$29)</f>
        <v>0.86387841116342501</v>
      </c>
      <c r="Y2936" s="111"/>
      <c r="Z2936" s="28"/>
      <c r="AA2936" s="96">
        <f ca="1">1-AA2935/(3*F_GAMMA*AA$29)</f>
        <v>1.0461897622783776</v>
      </c>
      <c r="AB2936" s="111"/>
      <c r="AC2936" s="28"/>
      <c r="AD2936" s="96">
        <f ca="1">1-AD2935/(3*F_GAMMA*AD$29)</f>
        <v>-3.5507073956586357</v>
      </c>
      <c r="AE2936" s="111"/>
      <c r="AF2936" s="28"/>
      <c r="AG2936" s="96">
        <f ca="1">1-AG2935/(3*F_GAMMA*AG$29)</f>
        <v>0.12489304013775082</v>
      </c>
      <c r="AH2936" s="111"/>
      <c r="AI2936" s="28"/>
      <c r="AJ2936" s="96">
        <f ca="1">1-AJ2935/(3*F_GAMMA*AJ$29)</f>
        <v>0.24045565332689456</v>
      </c>
      <c r="AK2936" s="111"/>
      <c r="AL2936" s="28"/>
      <c r="AM2936" s="96">
        <f ca="1">1-AM2935/(3*F_GAMMA*AM$29)</f>
        <v>0.20895197730951831</v>
      </c>
      <c r="AN2936" s="111"/>
      <c r="AO2936" s="28"/>
      <c r="AP2936" s="96">
        <f ca="1">1-AP2935/(3*F_GAMMA*AP$29)</f>
        <v>0.38416578496427412</v>
      </c>
      <c r="AQ2936" s="111"/>
      <c r="AR2936" s="28"/>
      <c r="AS2936" s="96">
        <f ca="1">1-AS2935/(3*F_GAMMA*AS$29)</f>
        <v>5.8621807762978762E-2</v>
      </c>
      <c r="AT2936" s="111"/>
      <c r="AU2936" s="28"/>
    </row>
    <row r="2937" spans="15:47" x14ac:dyDescent="0.25">
      <c r="O2937" s="2" t="s">
        <v>57</v>
      </c>
      <c r="P2937" s="143">
        <v>7</v>
      </c>
      <c r="Q2937" s="2"/>
      <c r="R2937" s="96">
        <f ca="1">(R2930/(N_9*R$27*R2932*R2936))*SQRT(M*'Valve Sizing'!$W$6*'Valve Sizing'!$G$8/R2935)</f>
        <v>7.7667860885233644</v>
      </c>
      <c r="S2937" s="107"/>
      <c r="T2937" s="22"/>
      <c r="U2937" s="96">
        <f ca="1">(U2930/(N_9*U$27*U2932*U2936))*SQRT(M*'Valve Sizing'!$W$6*'Valve Sizing'!$G$8/U2935)</f>
        <v>38.146182798998012</v>
      </c>
      <c r="V2937" s="111"/>
      <c r="W2937" s="28"/>
      <c r="X2937" s="96">
        <f ca="1">(X2930/(N_9*X$27*X2932*X2936))*SQRT(M*'Valve Sizing'!$W$6*'Valve Sizing'!$G$8/X2935)</f>
        <v>110.24451474726899</v>
      </c>
      <c r="Y2937" s="111"/>
      <c r="Z2937" s="28"/>
      <c r="AA2937" s="96" t="e">
        <f ca="1">(AA2930/(N_9*AA$27*AA2932*AA2936))*SQRT(M*'Valve Sizing'!$W$6*'Valve Sizing'!$G$8/AA2935)</f>
        <v>#NUM!</v>
      </c>
      <c r="AB2937" s="111"/>
      <c r="AC2937" s="28"/>
      <c r="AD2937" s="96">
        <f ca="1">(AD2930/(N_9*AD$27*AD2932*AD2936))*SQRT(M*'Valve Sizing'!$W$6*'Valve Sizing'!$G$8/AD2935)</f>
        <v>155.07869190544019</v>
      </c>
      <c r="AE2937" s="111"/>
      <c r="AF2937" s="28"/>
      <c r="AG2937" s="96">
        <f ca="1">(AG2930/(N_9*AG$27*AG2932*AG2936))*SQRT(M*'Valve Sizing'!$W$6*'Valve Sizing'!$G$8/AG2935)</f>
        <v>-1065.5243134796551</v>
      </c>
      <c r="AH2937" s="111"/>
      <c r="AI2937" s="28"/>
      <c r="AJ2937" s="96">
        <f ca="1">(AJ2930/(N_9*AJ$27*AJ2932*AJ2936))*SQRT(M*'Valve Sizing'!$W$6*'Valve Sizing'!$G$8/AJ2935)</f>
        <v>-359.44882372106412</v>
      </c>
      <c r="AK2937" s="111"/>
      <c r="AL2937" s="28"/>
      <c r="AM2937" s="96">
        <f ca="1">(AM2930/(N_9*AM$27*AM2932*AM2936))*SQRT(M*'Valve Sizing'!$W$6*'Valve Sizing'!$G$8/AM2935)</f>
        <v>-337.39695887779959</v>
      </c>
      <c r="AN2937" s="111"/>
      <c r="AO2937" s="28"/>
      <c r="AP2937" s="96">
        <f ca="1">(AP2930/(N_9*AP$27*AP2932*AP2936))*SQRT(M*'Valve Sizing'!$W$6*'Valve Sizing'!$G$8/AP2935)</f>
        <v>-174.29392506068666</v>
      </c>
      <c r="AQ2937" s="111"/>
      <c r="AR2937" s="28"/>
      <c r="AS2937" s="96">
        <f ca="1">(AS2930/(N_9*AS$27*AS2932*AS2936))*SQRT(M*'Valve Sizing'!$W$6*'Valve Sizing'!$G$8/AS2935)</f>
        <v>-1273.7406047235884</v>
      </c>
      <c r="AT2937" s="111"/>
      <c r="AU2937" s="28"/>
    </row>
    <row r="2938" spans="15:47" x14ac:dyDescent="0.25">
      <c r="O2938" s="2" t="s">
        <v>59</v>
      </c>
      <c r="P2938" s="143">
        <v>7</v>
      </c>
      <c r="Q2938" s="2"/>
      <c r="R2938" s="96">
        <f ca="1">(R2930/(N_9*R$27*R2932*0.667))*SQRT(M*'Valve Sizing'!$W$6*'Valve Sizing'!$G$8/R2939)</f>
        <v>6.9497927623784967</v>
      </c>
      <c r="S2938" s="107"/>
      <c r="T2938" s="22"/>
      <c r="U2938" s="96">
        <f ca="1">(U2930/(N_9*U$27*U2932*0.667))*SQRT(M*'Valve Sizing'!$W$6*'Valve Sizing'!$G$8/U2939)</f>
        <v>33.796327787999118</v>
      </c>
      <c r="V2938" s="111"/>
      <c r="W2938" s="28"/>
      <c r="X2938" s="96">
        <f ca="1">(X2930/(N_9*X$27*X2932*0.667))*SQRT(M*'Valve Sizing'!$W$6*'Valve Sizing'!$G$8/X2939)</f>
        <v>91.244754983882387</v>
      </c>
      <c r="Y2938" s="111"/>
      <c r="Z2938" s="28"/>
      <c r="AA2938" s="96">
        <f ca="1">(AA2930/(N_9*AA$27*AA2932*0.667))*SQRT(M*'Valve Sizing'!$W$6*'Valve Sizing'!$G$8/AA2939)</f>
        <v>263.99602968832897</v>
      </c>
      <c r="AB2938" s="111"/>
      <c r="AC2938" s="28"/>
      <c r="AD2938" s="96">
        <f ca="1">(AD2930/(N_9*AD$27*AD2932*0.667))*SQRT(M*'Valve Sizing'!$W$6*'Valve Sizing'!$G$8/AD2939)</f>
        <v>-3050.290928501835</v>
      </c>
      <c r="AE2938" s="111"/>
      <c r="AF2938" s="28"/>
      <c r="AG2938" s="96">
        <f ca="1">(AG2930/(N_9*AG$27*AG2932*0.667))*SQRT(M*'Valve Sizing'!$W$6*'Valve Sizing'!$G$8/AG2939)</f>
        <v>-323.27116156404583</v>
      </c>
      <c r="AH2938" s="111"/>
      <c r="AI2938" s="28"/>
      <c r="AJ2938" s="96">
        <f ca="1">(AJ2930/(N_9*AJ$27*AJ2932*0.667))*SQRT(M*'Valve Sizing'!$W$6*'Valve Sizing'!$G$8/AJ2939)</f>
        <v>-195.60656210232037</v>
      </c>
      <c r="AK2938" s="111"/>
      <c r="AL2938" s="28"/>
      <c r="AM2938" s="96">
        <f ca="1">(AM2930/(N_9*AM$27*AM2932*0.667))*SQRT(M*'Valve Sizing'!$W$6*'Valve Sizing'!$G$8/AM2939)</f>
        <v>-162.82604236544347</v>
      </c>
      <c r="AN2938" s="111"/>
      <c r="AO2938" s="28"/>
      <c r="AP2938" s="96">
        <f ca="1">(AP2930/(N_9*AP$27*AP2932*0.667))*SQRT(M*'Valve Sizing'!$W$6*'Valve Sizing'!$G$8/AP2939)</f>
        <v>-136.44814420710634</v>
      </c>
      <c r="AQ2938" s="111"/>
      <c r="AR2938" s="28"/>
      <c r="AS2938" s="96">
        <f ca="1">(AS2930/(N_9*AS$27*AS2932*0.667))*SQRT(M*'Valve Sizing'!$W$6*'Valve Sizing'!$G$8/AS2939)</f>
        <v>-188.12956905941897</v>
      </c>
      <c r="AT2938" s="111"/>
      <c r="AU2938" s="28"/>
    </row>
    <row r="2939" spans="15:47" ht="15.6" x14ac:dyDescent="0.35">
      <c r="O2939" s="2" t="s">
        <v>68</v>
      </c>
      <c r="P2939" s="143">
        <v>10</v>
      </c>
      <c r="Q2939" s="2"/>
      <c r="R2939" s="96">
        <f ca="1">F_GAMMA*R$29</f>
        <v>0.64002969751372984</v>
      </c>
      <c r="S2939" s="107"/>
      <c r="T2939" s="1"/>
      <c r="U2939" s="96">
        <f ca="1">F_GAMMA*U$29</f>
        <v>0.64017842058782071</v>
      </c>
      <c r="V2939" s="111"/>
      <c r="W2939" s="28"/>
      <c r="X2939" s="96">
        <f ca="1">F_GAMMA*X$29</f>
        <v>0.63413873724904268</v>
      </c>
      <c r="Y2939" s="111"/>
      <c r="Z2939" s="28"/>
      <c r="AA2939" s="96">
        <f ca="1">F_GAMMA*AA$29</f>
        <v>0.62532411750377137</v>
      </c>
      <c r="AB2939" s="111"/>
      <c r="AC2939" s="28"/>
      <c r="AD2939" s="96">
        <f ca="1">F_GAMMA*AD$29</f>
        <v>0.60651359509139569</v>
      </c>
      <c r="AE2939" s="111"/>
      <c r="AF2939" s="28"/>
      <c r="AG2939" s="96">
        <f ca="1">F_GAMMA*AG$29</f>
        <v>0.57217930198481592</v>
      </c>
      <c r="AH2939" s="111"/>
      <c r="AI2939" s="28"/>
      <c r="AJ2939" s="96">
        <f ca="1">F_GAMMA*AJ$29</f>
        <v>0.53183282018848232</v>
      </c>
      <c r="AK2939" s="111"/>
      <c r="AL2939" s="28"/>
      <c r="AM2939" s="96">
        <f ca="1">F_GAMMA*AM$29</f>
        <v>0.47566512503094399</v>
      </c>
      <c r="AN2939" s="111"/>
      <c r="AO2939" s="28"/>
      <c r="AP2939" s="96">
        <f ca="1">F_GAMMA*AP$29</f>
        <v>0.59054158265645496</v>
      </c>
      <c r="AQ2939" s="111"/>
      <c r="AR2939" s="28"/>
      <c r="AS2939" s="96">
        <f ca="1">F_GAMMA*AS$29</f>
        <v>0.3766899554102966</v>
      </c>
      <c r="AT2939" s="111"/>
      <c r="AU2939" s="28"/>
    </row>
    <row r="2940" spans="15:47" x14ac:dyDescent="0.25">
      <c r="O2940" s="2" t="s">
        <v>145</v>
      </c>
      <c r="P2940" s="12"/>
      <c r="Q2940" s="2"/>
      <c r="R2940" s="96">
        <f ca="1">IF(R2935&lt;R2939,R2937,R2938)</f>
        <v>7.7667860885233644</v>
      </c>
      <c r="S2940" s="116"/>
      <c r="T2940" s="1"/>
      <c r="U2940" s="96">
        <f ca="1">IF(U2935&lt;U2939,U2937,U2938)</f>
        <v>38.146182798998012</v>
      </c>
      <c r="V2940" s="111"/>
      <c r="W2940" s="28"/>
      <c r="X2940" s="96">
        <f ca="1">IF(X2935&lt;X2939,X2937,X2938)</f>
        <v>110.24451474726899</v>
      </c>
      <c r="Y2940" s="111"/>
      <c r="Z2940" s="28"/>
      <c r="AA2940" s="96" t="e">
        <f ca="1">IF(AA2935&lt;AA2939,AA2937,AA2938)</f>
        <v>#NUM!</v>
      </c>
      <c r="AB2940" s="111"/>
      <c r="AC2940" s="28"/>
      <c r="AD2940" s="96">
        <f ca="1">IF(AD2935&lt;AD2939,AD2937,AD2938)</f>
        <v>-3050.290928501835</v>
      </c>
      <c r="AE2940" s="111"/>
      <c r="AF2940" s="28"/>
      <c r="AG2940" s="96">
        <f ca="1">IF(AG2935&lt;AG2939,AG2937,AG2938)</f>
        <v>-323.27116156404583</v>
      </c>
      <c r="AH2940" s="111"/>
      <c r="AI2940" s="28"/>
      <c r="AJ2940" s="96">
        <f ca="1">IF(AJ2935&lt;AJ2939,AJ2937,AJ2938)</f>
        <v>-195.60656210232037</v>
      </c>
      <c r="AK2940" s="111"/>
      <c r="AL2940" s="28"/>
      <c r="AM2940" s="96">
        <f ca="1">IF(AM2935&lt;AM2939,AM2937,AM2938)</f>
        <v>-162.82604236544347</v>
      </c>
      <c r="AN2940" s="111"/>
      <c r="AO2940" s="28"/>
      <c r="AP2940" s="96">
        <f ca="1">IF(AP2935&lt;AP2939,AP2937,AP2938)</f>
        <v>-136.44814420710634</v>
      </c>
      <c r="AQ2940" s="111"/>
      <c r="AR2940" s="28"/>
      <c r="AS2940" s="96">
        <f ca="1">IF(AS2935&lt;AS2939,AS2937,AS2938)</f>
        <v>-188.12956905941897</v>
      </c>
      <c r="AT2940" s="111"/>
      <c r="AU2940" s="28"/>
    </row>
    <row r="2941" spans="15:47" x14ac:dyDescent="0.25">
      <c r="O2941" s="13" t="s">
        <v>143</v>
      </c>
      <c r="P2941" s="1"/>
      <c r="Q2941" s="1"/>
      <c r="R2941" s="113"/>
      <c r="S2941" s="106">
        <f ca="1">IF(R2934&lt;=0,Q_max,ABS(R$23-R2940))</f>
        <v>3.036786088523364</v>
      </c>
      <c r="T2941" s="7">
        <f>R2930</f>
        <v>19209.772354169007</v>
      </c>
      <c r="U2941" s="98"/>
      <c r="V2941" s="106">
        <f ca="1">IF(U2934&lt;=0,Q_max,ABS(U$23-U2940))</f>
        <v>26.546182798998011</v>
      </c>
      <c r="W2941" s="9">
        <f ca="1">U2930</f>
        <v>91842.203998969984</v>
      </c>
      <c r="X2941" s="98"/>
      <c r="Y2941" s="106">
        <f ca="1">IF(X2934&lt;=0,Q_max,ABS(X$23-X2940))</f>
        <v>87.244514747268994</v>
      </c>
      <c r="Z2941" s="9">
        <f ca="1">X2930</f>
        <v>224887.82162360943</v>
      </c>
      <c r="AA2941" s="98"/>
      <c r="AB2941" s="106">
        <f ca="1">IF(AA2934&lt;=0,Q_max,ABS(AA$23-AA2940))</f>
        <v>236393</v>
      </c>
      <c r="AC2941" s="9">
        <f ca="1">AA2930</f>
        <v>438024.07493780425</v>
      </c>
      <c r="AD2941" s="98"/>
      <c r="AE2941" s="106">
        <f ca="1">IF(AD2934&lt;=0,Q_max,ABS(AD$23-AD2940))</f>
        <v>236393</v>
      </c>
      <c r="AF2941" s="9">
        <f ca="1">AD2930</f>
        <v>734868.13785720884</v>
      </c>
      <c r="AG2941" s="98"/>
      <c r="AH2941" s="106">
        <f ca="1">IF(AG2934&lt;=0,Q_max,ABS(AG$23-AG2940))</f>
        <v>236393</v>
      </c>
      <c r="AI2941" s="9">
        <f ca="1">AG2930</f>
        <v>1072560.0621753824</v>
      </c>
      <c r="AJ2941" s="98"/>
      <c r="AK2941" s="106">
        <f ca="1">IF(AJ2934&lt;=0,Q_max,ABS(AJ$23-AJ2940))</f>
        <v>236393</v>
      </c>
      <c r="AL2941" s="9">
        <f ca="1">AJ2930</f>
        <v>1431335.5608242413</v>
      </c>
      <c r="AM2941" s="98"/>
      <c r="AN2941" s="106">
        <f ca="1">IF(AM2934&lt;=0,Q_max,ABS(AM$23-AM2940))</f>
        <v>236393</v>
      </c>
      <c r="AO2941" s="9">
        <f ca="1">AM2930</f>
        <v>1746501.3951410765</v>
      </c>
      <c r="AP2941" s="98"/>
      <c r="AQ2941" s="106">
        <f ca="1">IF(AP2934&lt;=0,Q_max,ABS(AP$23-AP2940))</f>
        <v>236393</v>
      </c>
      <c r="AR2941" s="9">
        <f ca="1">AP2930</f>
        <v>2027633.9002691808</v>
      </c>
      <c r="AS2941" s="98"/>
      <c r="AT2941" s="106">
        <f ca="1">IF(AS2934&lt;=0,Q_max,ABS(AS$23-AS2940))</f>
        <v>236393</v>
      </c>
      <c r="AU2941" s="9">
        <f ca="1">AS2930</f>
        <v>2377560.2111789896</v>
      </c>
    </row>
    <row r="2942" spans="15:47" x14ac:dyDescent="0.25">
      <c r="O2942" s="21"/>
      <c r="P2942" s="14"/>
      <c r="Q2942" s="21"/>
      <c r="R2942" s="97"/>
      <c r="S2942" s="106"/>
      <c r="T2942" s="28"/>
      <c r="U2942" s="97"/>
      <c r="V2942" s="111"/>
      <c r="W2942" s="28"/>
      <c r="X2942" s="97"/>
      <c r="Y2942" s="111"/>
      <c r="Z2942" s="28"/>
      <c r="AA2942" s="97"/>
      <c r="AB2942" s="111"/>
      <c r="AC2942" s="28"/>
      <c r="AD2942" s="97"/>
      <c r="AE2942" s="111"/>
      <c r="AF2942" s="28"/>
      <c r="AG2942" s="97"/>
      <c r="AH2942" s="111"/>
      <c r="AI2942" s="28"/>
      <c r="AJ2942" s="97"/>
      <c r="AK2942" s="111"/>
      <c r="AL2942" s="28"/>
      <c r="AM2942" s="97"/>
      <c r="AN2942" s="111"/>
      <c r="AO2942" s="28"/>
      <c r="AP2942" s="97"/>
      <c r="AQ2942" s="111"/>
      <c r="AR2942" s="28"/>
      <c r="AS2942" s="97"/>
      <c r="AT2942" s="111"/>
      <c r="AU2942" s="28"/>
    </row>
    <row r="2943" spans="15:47" x14ac:dyDescent="0.25">
      <c r="O2943" s="1"/>
      <c r="P2943" s="1"/>
      <c r="Q2943" s="1"/>
      <c r="R2943" s="98"/>
      <c r="S2943" s="108" t="s">
        <v>137</v>
      </c>
      <c r="T2943" s="26" t="s">
        <v>146</v>
      </c>
      <c r="U2943" s="98"/>
      <c r="V2943" s="108" t="s">
        <v>137</v>
      </c>
      <c r="W2943" s="26" t="s">
        <v>146</v>
      </c>
      <c r="X2943" s="98"/>
      <c r="Y2943" s="108" t="s">
        <v>137</v>
      </c>
      <c r="Z2943" s="26" t="s">
        <v>146</v>
      </c>
      <c r="AA2943" s="98"/>
      <c r="AB2943" s="108" t="s">
        <v>137</v>
      </c>
      <c r="AC2943" s="26" t="s">
        <v>146</v>
      </c>
      <c r="AD2943" s="98"/>
      <c r="AE2943" s="108" t="s">
        <v>137</v>
      </c>
      <c r="AF2943" s="26" t="s">
        <v>146</v>
      </c>
      <c r="AG2943" s="98"/>
      <c r="AH2943" s="108" t="s">
        <v>137</v>
      </c>
      <c r="AI2943" s="26" t="s">
        <v>146</v>
      </c>
      <c r="AJ2943" s="98"/>
      <c r="AK2943" s="108" t="s">
        <v>137</v>
      </c>
      <c r="AL2943" s="26" t="s">
        <v>146</v>
      </c>
      <c r="AM2943" s="98"/>
      <c r="AN2943" s="108" t="s">
        <v>137</v>
      </c>
      <c r="AO2943" s="26" t="s">
        <v>146</v>
      </c>
      <c r="AP2943" s="98"/>
      <c r="AQ2943" s="108" t="s">
        <v>137</v>
      </c>
      <c r="AR2943" s="26" t="s">
        <v>146</v>
      </c>
      <c r="AS2943" s="98"/>
      <c r="AT2943" s="108" t="s">
        <v>137</v>
      </c>
      <c r="AU2943" s="26" t="s">
        <v>146</v>
      </c>
    </row>
    <row r="2944" spans="15:47" ht="13.8" x14ac:dyDescent="0.25">
      <c r="O2944" s="20" t="s">
        <v>136</v>
      </c>
      <c r="P2944" s="1"/>
      <c r="Q2944" s="1"/>
      <c r="R2944" s="96">
        <f>R2930*1.02</f>
        <v>19593.967801252387</v>
      </c>
      <c r="S2944" s="109" t="s">
        <v>144</v>
      </c>
      <c r="T2944" s="23" t="s">
        <v>147</v>
      </c>
      <c r="U2944" s="96">
        <f ca="1">U2930*1.01</f>
        <v>92760.626038959686</v>
      </c>
      <c r="V2944" s="109" t="s">
        <v>144</v>
      </c>
      <c r="W2944" s="23" t="s">
        <v>147</v>
      </c>
      <c r="X2944" s="96">
        <f ca="1">X2930*1.01</f>
        <v>227136.69983984553</v>
      </c>
      <c r="Y2944" s="109" t="s">
        <v>144</v>
      </c>
      <c r="Z2944" s="23" t="s">
        <v>147</v>
      </c>
      <c r="AA2944" s="96">
        <f ca="1">AA2930*1.01</f>
        <v>442404.3156871823</v>
      </c>
      <c r="AB2944" s="109" t="s">
        <v>144</v>
      </c>
      <c r="AC2944" s="23" t="s">
        <v>147</v>
      </c>
      <c r="AD2944" s="96">
        <f ca="1">AD2930*1.01</f>
        <v>742216.81923578097</v>
      </c>
      <c r="AE2944" s="109" t="s">
        <v>144</v>
      </c>
      <c r="AF2944" s="23" t="s">
        <v>147</v>
      </c>
      <c r="AG2944" s="96">
        <f ca="1">AG2930*1.01</f>
        <v>1083285.6627971362</v>
      </c>
      <c r="AH2944" s="109" t="s">
        <v>144</v>
      </c>
      <c r="AI2944" s="23" t="s">
        <v>147</v>
      </c>
      <c r="AJ2944" s="96">
        <f ca="1">AJ2930*1.01</f>
        <v>1445648.9164324836</v>
      </c>
      <c r="AK2944" s="109" t="s">
        <v>144</v>
      </c>
      <c r="AL2944" s="23" t="s">
        <v>147</v>
      </c>
      <c r="AM2944" s="96">
        <f ca="1">AM2930*1.01</f>
        <v>1763966.4090924873</v>
      </c>
      <c r="AN2944" s="109" t="s">
        <v>144</v>
      </c>
      <c r="AO2944" s="23" t="s">
        <v>147</v>
      </c>
      <c r="AP2944" s="96">
        <f ca="1">AP2930*1.01</f>
        <v>2047910.2392718727</v>
      </c>
      <c r="AQ2944" s="109" t="s">
        <v>144</v>
      </c>
      <c r="AR2944" s="23" t="s">
        <v>147</v>
      </c>
      <c r="AS2944" s="96">
        <f ca="1">AS2930*1.01</f>
        <v>2401335.8132907795</v>
      </c>
      <c r="AT2944" s="109" t="s">
        <v>144</v>
      </c>
      <c r="AU2944" s="23" t="s">
        <v>147</v>
      </c>
    </row>
    <row r="2945" spans="15:47" x14ac:dyDescent="0.25">
      <c r="O2945" s="1"/>
      <c r="P2945" s="1"/>
      <c r="Q2945" s="1"/>
      <c r="R2945" s="98"/>
      <c r="S2945" s="107"/>
      <c r="T2945" s="1"/>
      <c r="U2945" s="47"/>
      <c r="V2945" s="107"/>
      <c r="W2945" s="1"/>
      <c r="X2945" s="47"/>
      <c r="Y2945" s="107"/>
      <c r="Z2945" s="1"/>
      <c r="AA2945" s="47"/>
      <c r="AB2945" s="107"/>
      <c r="AC2945" s="1"/>
      <c r="AD2945" s="47"/>
      <c r="AE2945" s="107"/>
      <c r="AF2945" s="1"/>
      <c r="AG2945" s="47"/>
      <c r="AH2945" s="107"/>
      <c r="AI2945" s="1"/>
      <c r="AJ2945" s="47"/>
      <c r="AK2945" s="107"/>
      <c r="AL2945" s="1"/>
      <c r="AM2945" s="47"/>
      <c r="AN2945" s="107"/>
      <c r="AO2945" s="1"/>
      <c r="AP2945" s="47"/>
      <c r="AQ2945" s="107"/>
      <c r="AR2945" s="1"/>
      <c r="AS2945" s="47"/>
      <c r="AT2945" s="107"/>
      <c r="AU2945" s="1"/>
    </row>
    <row r="2946" spans="15:47" x14ac:dyDescent="0.25">
      <c r="O2946" s="8" t="s">
        <v>132</v>
      </c>
      <c r="P2946" s="8"/>
      <c r="Q2946" s="8"/>
      <c r="R2946" s="96">
        <f>P_1_minQ-(R2944^2*R_up)+dpup_minQ</f>
        <v>90.115066269790915</v>
      </c>
      <c r="S2946" s="106"/>
      <c r="T2946" s="22"/>
      <c r="U2946" s="96">
        <f ca="1">P_1_minQ-(U2944^2*R_up)+dpup_minQ</f>
        <v>88.616770369770379</v>
      </c>
      <c r="V2946" s="107"/>
      <c r="W2946" s="1"/>
      <c r="X2946" s="96">
        <f ca="1">P_1_minQ-(X2944^2*R_up)+dpup_minQ</f>
        <v>80.782003204126397</v>
      </c>
      <c r="Y2946" s="107"/>
      <c r="Z2946" s="1"/>
      <c r="AA2946" s="96">
        <f ca="1">P_1_minQ-(AA2944^2*R_up)+dpup_minQ</f>
        <v>54.512647284086562</v>
      </c>
      <c r="AB2946" s="107"/>
      <c r="AC2946" s="1"/>
      <c r="AD2946" s="96">
        <f ca="1">P_1_minQ-(AD2944^2*R_up)+dpup_minQ</f>
        <v>-10.21990857692815</v>
      </c>
      <c r="AE2946" s="107"/>
      <c r="AF2946" s="1"/>
      <c r="AG2946" s="96">
        <f ca="1">P_1_minQ-(AG2944^2*R_up)+dpup_minQ</f>
        <v>-123.69956536080679</v>
      </c>
      <c r="AH2946" s="107"/>
      <c r="AI2946" s="1"/>
      <c r="AJ2946" s="96">
        <f ca="1">P_1_minQ-(AJ2944^2*R_up)+dpup_minQ</f>
        <v>-290.72218169891295</v>
      </c>
      <c r="AK2946" s="107"/>
      <c r="AL2946" s="1"/>
      <c r="AM2946" s="96">
        <f ca="1">P_1_minQ-(AM2944^2*R_up)+dpup_minQ</f>
        <v>-476.93390850858253</v>
      </c>
      <c r="AN2946" s="107"/>
      <c r="AO2946" s="1"/>
      <c r="AP2946" s="96">
        <f ca="1">P_1_minQ-(AP2944^2*R_up)+dpup_minQ</f>
        <v>-674.20561979647994</v>
      </c>
      <c r="AQ2946" s="107"/>
      <c r="AR2946" s="1"/>
      <c r="AS2946" s="96">
        <f ca="1">P_1_minQ-(AS2944^2*R_up)+dpup_minQ</f>
        <v>-960.80677264221936</v>
      </c>
      <c r="AT2946" s="107"/>
      <c r="AU2946" s="1"/>
    </row>
    <row r="2947" spans="15:47" x14ac:dyDescent="0.25">
      <c r="O2947" s="8" t="s">
        <v>134</v>
      </c>
      <c r="P2947" s="1"/>
      <c r="Q2947" s="8"/>
      <c r="R2947" s="97">
        <f>P_2_minQ+(R2944^2*R_dn)-dpdn_minQ</f>
        <v>60</v>
      </c>
      <c r="S2947" s="106"/>
      <c r="T2947" s="22"/>
      <c r="U2947" s="97">
        <f ca="1">P_2_minQ+(U2944^2*R_dn)-dpdn_minQ</f>
        <v>60</v>
      </c>
      <c r="V2947" s="107"/>
      <c r="W2947" s="1"/>
      <c r="X2947" s="97">
        <f ca="1">P_2_minQ+(X2944^2*R_dn)-dpdn_minQ</f>
        <v>60</v>
      </c>
      <c r="Y2947" s="107"/>
      <c r="Z2947" s="1"/>
      <c r="AA2947" s="97">
        <f ca="1">P_2_minQ+(AA2944^2*R_dn)-dpdn_minQ</f>
        <v>60</v>
      </c>
      <c r="AB2947" s="107"/>
      <c r="AC2947" s="1"/>
      <c r="AD2947" s="97">
        <f ca="1">P_2_minQ+(AD2944^2*R_dn)-dpdn_minQ</f>
        <v>60</v>
      </c>
      <c r="AE2947" s="107"/>
      <c r="AF2947" s="1"/>
      <c r="AG2947" s="97">
        <f ca="1">P_2_minQ+(AG2944^2*R_dn)-dpdn_minQ</f>
        <v>60</v>
      </c>
      <c r="AH2947" s="107"/>
      <c r="AI2947" s="1"/>
      <c r="AJ2947" s="97">
        <f ca="1">P_2_minQ+(AJ2944^2*R_dn)-dpdn_minQ</f>
        <v>60</v>
      </c>
      <c r="AK2947" s="107"/>
      <c r="AL2947" s="1"/>
      <c r="AM2947" s="97">
        <f ca="1">P_2_minQ+(AM2944^2*R_dn)-dpdn_minQ</f>
        <v>60</v>
      </c>
      <c r="AN2947" s="107"/>
      <c r="AO2947" s="1"/>
      <c r="AP2947" s="97">
        <f ca="1">P_2_minQ+(AP2944^2*R_dn)-dpdn_minQ</f>
        <v>60</v>
      </c>
      <c r="AQ2947" s="107"/>
      <c r="AR2947" s="1"/>
      <c r="AS2947" s="97">
        <f ca="1">P_2_minQ+(AS2944^2*R_dn)-dpdn_minQ</f>
        <v>60</v>
      </c>
      <c r="AT2947" s="107"/>
      <c r="AU2947" s="1"/>
    </row>
    <row r="2948" spans="15:47" x14ac:dyDescent="0.25">
      <c r="O2948" s="8" t="s">
        <v>138</v>
      </c>
      <c r="P2948" s="1"/>
      <c r="Q2948" s="8"/>
      <c r="R2948" s="97">
        <f>R2946-R2947</f>
        <v>30.115066269790915</v>
      </c>
      <c r="S2948" s="106"/>
      <c r="T2948" s="22"/>
      <c r="U2948" s="97">
        <f ca="1">U2946-U2947</f>
        <v>28.616770369770379</v>
      </c>
      <c r="V2948" s="110"/>
      <c r="W2948" s="25"/>
      <c r="X2948" s="97">
        <f ca="1">X2946-X2947</f>
        <v>20.782003204126397</v>
      </c>
      <c r="Y2948" s="110"/>
      <c r="Z2948" s="25"/>
      <c r="AA2948" s="97">
        <f ca="1">AA2946-AA2947</f>
        <v>-5.4873527159134383</v>
      </c>
      <c r="AB2948" s="110"/>
      <c r="AC2948" s="25"/>
      <c r="AD2948" s="97">
        <f ca="1">AD2946-AD2947</f>
        <v>-70.219908576928148</v>
      </c>
      <c r="AE2948" s="110"/>
      <c r="AF2948" s="25"/>
      <c r="AG2948" s="97">
        <f ca="1">AG2946-AG2947</f>
        <v>-183.69956536080679</v>
      </c>
      <c r="AH2948" s="110"/>
      <c r="AI2948" s="25"/>
      <c r="AJ2948" s="97">
        <f ca="1">AJ2946-AJ2947</f>
        <v>-350.72218169891295</v>
      </c>
      <c r="AK2948" s="110"/>
      <c r="AL2948" s="25"/>
      <c r="AM2948" s="97">
        <f ca="1">AM2946-AM2947</f>
        <v>-536.93390850858259</v>
      </c>
      <c r="AN2948" s="110"/>
      <c r="AO2948" s="25"/>
      <c r="AP2948" s="97">
        <f ca="1">AP2946-AP2947</f>
        <v>-734.20561979647994</v>
      </c>
      <c r="AQ2948" s="110"/>
      <c r="AR2948" s="25"/>
      <c r="AS2948" s="97">
        <f ca="1">AS2946-AS2947</f>
        <v>-1020.8067726422194</v>
      </c>
      <c r="AT2948" s="110"/>
      <c r="AU2948" s="25"/>
    </row>
    <row r="2949" spans="15:47" ht="14.4" x14ac:dyDescent="0.3">
      <c r="O2949" s="2" t="s">
        <v>140</v>
      </c>
      <c r="P2949" s="11"/>
      <c r="Q2949" s="2"/>
      <c r="R2949" s="96">
        <f>R2948/R2946</f>
        <v>0.33418458773176674</v>
      </c>
      <c r="S2949" s="106"/>
      <c r="T2949" s="22"/>
      <c r="U2949" s="96">
        <f ca="1">U2948/U2946</f>
        <v>0.32292725463094002</v>
      </c>
      <c r="V2949" s="111"/>
      <c r="W2949" s="28"/>
      <c r="X2949" s="96">
        <f ca="1">X2948/X2946</f>
        <v>0.25726031021554119</v>
      </c>
      <c r="Y2949" s="111"/>
      <c r="Z2949" s="28"/>
      <c r="AA2949" s="96">
        <f ca="1">AA2948/AA2946</f>
        <v>-0.10066201128183545</v>
      </c>
      <c r="AB2949" s="111"/>
      <c r="AC2949" s="28"/>
      <c r="AD2949" s="96">
        <f ca="1">AD2948/AD2946</f>
        <v>6.8708940053976981</v>
      </c>
      <c r="AE2949" s="111"/>
      <c r="AF2949" s="28"/>
      <c r="AG2949" s="96">
        <f ca="1">AG2948/AG2946</f>
        <v>1.4850461666942163</v>
      </c>
      <c r="AH2949" s="111"/>
      <c r="AI2949" s="28"/>
      <c r="AJ2949" s="96">
        <f ca="1">AJ2948/AJ2946</f>
        <v>1.2063826009056959</v>
      </c>
      <c r="AK2949" s="111"/>
      <c r="AL2949" s="28"/>
      <c r="AM2949" s="96">
        <f ca="1">AM2948/AM2946</f>
        <v>1.1258035944385372</v>
      </c>
      <c r="AN2949" s="111"/>
      <c r="AO2949" s="28"/>
      <c r="AP2949" s="96">
        <f ca="1">AP2948/AP2946</f>
        <v>1.0889936218836502</v>
      </c>
      <c r="AQ2949" s="111"/>
      <c r="AR2949" s="28"/>
      <c r="AS2949" s="96">
        <f ca="1">AS2948/AS2946</f>
        <v>1.0624475198431418</v>
      </c>
      <c r="AT2949" s="111"/>
      <c r="AU2949" s="28"/>
    </row>
    <row r="2950" spans="15:47" x14ac:dyDescent="0.25">
      <c r="O2950" s="2" t="s">
        <v>21</v>
      </c>
      <c r="P2950" s="8">
        <v>12</v>
      </c>
      <c r="Q2950" s="2"/>
      <c r="R2950" s="96">
        <f ca="1">1-R2949/(3*F_GAMMA*R$29)</f>
        <v>0.82595360338749602</v>
      </c>
      <c r="S2950" s="106"/>
      <c r="T2950" s="22"/>
      <c r="U2950" s="96">
        <f ca="1">1-U2949/(3*F_GAMMA*U$29)</f>
        <v>0.83185559720761193</v>
      </c>
      <c r="V2950" s="111"/>
      <c r="W2950" s="28"/>
      <c r="X2950" s="96">
        <f ca="1">1-X2949/(3*F_GAMMA*X$29)</f>
        <v>0.86477180512497831</v>
      </c>
      <c r="Y2950" s="111"/>
      <c r="Z2950" s="28"/>
      <c r="AA2950" s="96">
        <f ca="1">1-AA2949/(3*F_GAMMA*AA$29)</f>
        <v>1.053658579321322</v>
      </c>
      <c r="AB2950" s="111"/>
      <c r="AC2950" s="28"/>
      <c r="AD2950" s="96">
        <f ca="1">1-AD2949/(3*F_GAMMA*AD$29)</f>
        <v>-2.776169273590821</v>
      </c>
      <c r="AE2950" s="111"/>
      <c r="AF2950" s="28"/>
      <c r="AG2950" s="96">
        <f ca="1">1-AG2949/(3*F_GAMMA*AG$29)</f>
        <v>0.13485967216757433</v>
      </c>
      <c r="AH2950" s="111"/>
      <c r="AI2950" s="28"/>
      <c r="AJ2950" s="96">
        <f ca="1">1-AJ2949/(3*F_GAMMA*AJ$29)</f>
        <v>0.24388356947824807</v>
      </c>
      <c r="AK2950" s="111"/>
      <c r="AL2950" s="28"/>
      <c r="AM2950" s="96">
        <f ca="1">1-AM2949/(3*F_GAMMA*AM$29)</f>
        <v>0.21106710358798531</v>
      </c>
      <c r="AN2950" s="111"/>
      <c r="AO2950" s="28"/>
      <c r="AP2950" s="96">
        <f ca="1">1-AP2949/(3*F_GAMMA*AP$29)</f>
        <v>0.38531360936798043</v>
      </c>
      <c r="AQ2950" s="111"/>
      <c r="AR2950" s="28"/>
      <c r="AS2950" s="96">
        <f ca="1">1-AS2949/(3*F_GAMMA*AS$29)</f>
        <v>5.9839084651719943E-2</v>
      </c>
      <c r="AT2950" s="111"/>
      <c r="AU2950" s="28"/>
    </row>
    <row r="2951" spans="15:47" x14ac:dyDescent="0.25">
      <c r="O2951" s="2" t="s">
        <v>57</v>
      </c>
      <c r="P2951" s="143">
        <v>7</v>
      </c>
      <c r="Q2951" s="2"/>
      <c r="R2951" s="96">
        <f ca="1">(R2944/(N_9*R$27*R2946*R2950))*SQRT(M*'Valve Sizing'!$W$6*'Valve Sizing'!$G$8/R2949)</f>
        <v>7.9224983470430503</v>
      </c>
      <c r="S2951" s="107"/>
      <c r="T2951" s="22"/>
      <c r="U2951" s="96">
        <f ca="1">(U2944/(N_9*U$27*U2946*U2950))*SQRT(M*'Valve Sizing'!$W$6*'Valve Sizing'!$G$8/U2949)</f>
        <v>38.549465216591294</v>
      </c>
      <c r="V2951" s="111"/>
      <c r="W2951" s="28"/>
      <c r="X2951" s="96">
        <f ca="1">(X2944/(N_9*X$27*X2946*X2950))*SQRT(M*'Valve Sizing'!$W$6*'Valve Sizing'!$G$8/X2949)</f>
        <v>111.8547097542705</v>
      </c>
      <c r="Y2951" s="111"/>
      <c r="Z2951" s="28"/>
      <c r="AA2951" s="96" t="e">
        <f ca="1">(AA2944/(N_9*AA$27*AA2946*AA2950))*SQRT(M*'Valve Sizing'!$W$6*'Valve Sizing'!$G$8/AA2949)</f>
        <v>#NUM!</v>
      </c>
      <c r="AB2951" s="111"/>
      <c r="AC2951" s="28"/>
      <c r="AD2951" s="96">
        <f ca="1">(AD2944/(N_9*AD$27*AD2946*AD2950))*SQRT(M*'Valve Sizing'!$W$6*'Valve Sizing'!$G$8/AD2949)</f>
        <v>177.3443019702955</v>
      </c>
      <c r="AE2951" s="111"/>
      <c r="AF2951" s="28"/>
      <c r="AG2951" s="96">
        <f ca="1">(AG2944/(N_9*AG$27*AG2946*AG2950))*SQRT(M*'Valve Sizing'!$W$6*'Valve Sizing'!$G$8/AG2949)</f>
        <v>-968.22007756017717</v>
      </c>
      <c r="AH2951" s="111"/>
      <c r="AI2951" s="28"/>
      <c r="AJ2951" s="96">
        <f ca="1">(AJ2944/(N_9*AJ$27*AJ2946*AJ2950))*SQRT(M*'Valve Sizing'!$W$6*'Valve Sizing'!$G$8/AJ2949)</f>
        <v>-349.48936891186207</v>
      </c>
      <c r="AK2951" s="111"/>
      <c r="AL2951" s="28"/>
      <c r="AM2951" s="96">
        <f ca="1">(AM2944/(N_9*AM$27*AM2946*AM2950))*SQRT(M*'Valve Sizing'!$W$6*'Valve Sizing'!$G$8/AM2949)</f>
        <v>-329.89316339646768</v>
      </c>
      <c r="AN2951" s="111"/>
      <c r="AO2951" s="28"/>
      <c r="AP2951" s="96">
        <f ca="1">(AP2944/(N_9*AP$27*AP2946*AP2950))*SQRT(M*'Valve Sizing'!$W$6*'Valve Sizing'!$G$8/AP2949)</f>
        <v>-171.75170994811961</v>
      </c>
      <c r="AQ2951" s="111"/>
      <c r="AR2951" s="28"/>
      <c r="AS2951" s="96">
        <f ca="1">(AS2944/(N_9*AS$27*AS2946*AS2950))*SQRT(M*'Valve Sizing'!$W$6*'Valve Sizing'!$G$8/AS2949)</f>
        <v>-1233.9419071682246</v>
      </c>
      <c r="AT2951" s="111"/>
      <c r="AU2951" s="28"/>
    </row>
    <row r="2952" spans="15:47" x14ac:dyDescent="0.25">
      <c r="O2952" s="2" t="s">
        <v>59</v>
      </c>
      <c r="P2952" s="143">
        <v>7</v>
      </c>
      <c r="Q2952" s="2"/>
      <c r="R2952" s="96">
        <f ca="1">(R2944/(N_9*R$27*R2946*0.667))*SQRT(M*'Valve Sizing'!$W$6*'Valve Sizing'!$G$8/R2953)</f>
        <v>7.0890023616389204</v>
      </c>
      <c r="S2952" s="107"/>
      <c r="T2952" s="22"/>
      <c r="U2952" s="96">
        <f ca="1">(U2944/(N_9*U$27*U2946*0.667))*SQRT(M*'Valve Sizing'!$W$6*'Valve Sizing'!$G$8/U2953)</f>
        <v>34.146193866482641</v>
      </c>
      <c r="V2952" s="111"/>
      <c r="W2952" s="28"/>
      <c r="X2952" s="96">
        <f ca="1">(X2944/(N_9*X$27*X2946*0.667))*SQRT(M*'Valve Sizing'!$W$6*'Valve Sizing'!$G$8/X2953)</f>
        <v>92.368569023293247</v>
      </c>
      <c r="Y2952" s="111"/>
      <c r="Z2952" s="28"/>
      <c r="AA2952" s="96">
        <f ca="1">(AA2944/(N_9*AA$27*AA2946*0.667))*SQRT(M*'Valve Sizing'!$W$6*'Valve Sizing'!$G$8/AA2953)</f>
        <v>270.07399933124435</v>
      </c>
      <c r="AB2952" s="111"/>
      <c r="AC2952" s="28"/>
      <c r="AD2952" s="96">
        <f ca="1">(AD2944/(N_9*AD$27*AD2946*0.667))*SQRT(M*'Valve Sizing'!$W$6*'Valve Sizing'!$G$8/AD2953)</f>
        <v>-2484.412484242453</v>
      </c>
      <c r="AE2952" s="111"/>
      <c r="AF2952" s="28"/>
      <c r="AG2952" s="96">
        <f ca="1">(AG2944/(N_9*AG$27*AG2946*0.667))*SQRT(M*'Valve Sizing'!$W$6*'Valve Sizing'!$G$8/AG2953)</f>
        <v>-315.38007754327685</v>
      </c>
      <c r="AH2952" s="111"/>
      <c r="AI2952" s="28"/>
      <c r="AJ2952" s="96">
        <f ca="1">(AJ2944/(N_9*AJ$27*AJ2946*0.667))*SQRT(M*'Valve Sizing'!$W$6*'Valve Sizing'!$G$8/AJ2953)</f>
        <v>-192.46228756090224</v>
      </c>
      <c r="AK2952" s="111"/>
      <c r="AL2952" s="28"/>
      <c r="AM2952" s="96">
        <f ca="1">(AM2944/(N_9*AM$27*AM2946*0.667))*SQRT(M*'Valve Sizing'!$W$6*'Valve Sizing'!$G$8/AM2953)</f>
        <v>-160.60116527523834</v>
      </c>
      <c r="AN2952" s="111"/>
      <c r="AO2952" s="28"/>
      <c r="AP2952" s="96">
        <f ca="1">(AP2944/(N_9*AP$27*AP2946*0.667))*SQRT(M*'Valve Sizing'!$W$6*'Valve Sizing'!$G$8/AP2953)</f>
        <v>-134.73394018827167</v>
      </c>
      <c r="AQ2952" s="111"/>
      <c r="AR2952" s="28"/>
      <c r="AS2952" s="96">
        <f ca="1">(AS2944/(N_9*AS$27*AS2946*0.667))*SQRT(M*'Valve Sizing'!$W$6*'Valve Sizing'!$G$8/AS2953)</f>
        <v>-185.91547704950938</v>
      </c>
      <c r="AT2952" s="111"/>
      <c r="AU2952" s="28"/>
    </row>
    <row r="2953" spans="15:47" ht="15.6" x14ac:dyDescent="0.35">
      <c r="O2953" s="2" t="s">
        <v>68</v>
      </c>
      <c r="P2953" s="143">
        <v>10</v>
      </c>
      <c r="Q2953" s="2"/>
      <c r="R2953" s="96">
        <f ca="1">F_GAMMA*R$29</f>
        <v>0.64002969751372984</v>
      </c>
      <c r="S2953" s="107"/>
      <c r="T2953" s="1"/>
      <c r="U2953" s="96">
        <f ca="1">F_GAMMA*U$29</f>
        <v>0.64017842058782071</v>
      </c>
      <c r="V2953" s="111"/>
      <c r="W2953" s="28"/>
      <c r="X2953" s="96">
        <f ca="1">F_GAMMA*X$29</f>
        <v>0.63413873724904268</v>
      </c>
      <c r="Y2953" s="111"/>
      <c r="Z2953" s="28"/>
      <c r="AA2953" s="96">
        <f ca="1">F_GAMMA*AA$29</f>
        <v>0.62532411750377137</v>
      </c>
      <c r="AB2953" s="111"/>
      <c r="AC2953" s="28"/>
      <c r="AD2953" s="96">
        <f ca="1">F_GAMMA*AD$29</f>
        <v>0.60651359509139569</v>
      </c>
      <c r="AE2953" s="111"/>
      <c r="AF2953" s="28"/>
      <c r="AG2953" s="96">
        <f ca="1">F_GAMMA*AG$29</f>
        <v>0.57217930198481592</v>
      </c>
      <c r="AH2953" s="111"/>
      <c r="AI2953" s="28"/>
      <c r="AJ2953" s="96">
        <f ca="1">F_GAMMA*AJ$29</f>
        <v>0.53183282018848232</v>
      </c>
      <c r="AK2953" s="111"/>
      <c r="AL2953" s="28"/>
      <c r="AM2953" s="96">
        <f ca="1">F_GAMMA*AM$29</f>
        <v>0.47566512503094399</v>
      </c>
      <c r="AN2953" s="111"/>
      <c r="AO2953" s="28"/>
      <c r="AP2953" s="96">
        <f ca="1">F_GAMMA*AP$29</f>
        <v>0.59054158265645496</v>
      </c>
      <c r="AQ2953" s="111"/>
      <c r="AR2953" s="28"/>
      <c r="AS2953" s="96">
        <f ca="1">F_GAMMA*AS$29</f>
        <v>0.3766899554102966</v>
      </c>
      <c r="AT2953" s="111"/>
      <c r="AU2953" s="28"/>
    </row>
    <row r="2954" spans="15:47" x14ac:dyDescent="0.25">
      <c r="O2954" s="2" t="s">
        <v>145</v>
      </c>
      <c r="P2954" s="12"/>
      <c r="Q2954" s="2"/>
      <c r="R2954" s="96">
        <f ca="1">IF(R2949&lt;R2953,R2951,R2952)</f>
        <v>7.9224983470430503</v>
      </c>
      <c r="S2954" s="116"/>
      <c r="T2954" s="1"/>
      <c r="U2954" s="96">
        <f ca="1">IF(U2949&lt;U2953,U2951,U2952)</f>
        <v>38.549465216591294</v>
      </c>
      <c r="V2954" s="111"/>
      <c r="W2954" s="28"/>
      <c r="X2954" s="96">
        <f ca="1">IF(X2949&lt;X2953,X2951,X2952)</f>
        <v>111.8547097542705</v>
      </c>
      <c r="Y2954" s="111"/>
      <c r="Z2954" s="28"/>
      <c r="AA2954" s="96" t="e">
        <f ca="1">IF(AA2949&lt;AA2953,AA2951,AA2952)</f>
        <v>#NUM!</v>
      </c>
      <c r="AB2954" s="111"/>
      <c r="AC2954" s="28"/>
      <c r="AD2954" s="96">
        <f ca="1">IF(AD2949&lt;AD2953,AD2951,AD2952)</f>
        <v>-2484.412484242453</v>
      </c>
      <c r="AE2954" s="111"/>
      <c r="AF2954" s="28"/>
      <c r="AG2954" s="96">
        <f ca="1">IF(AG2949&lt;AG2953,AG2951,AG2952)</f>
        <v>-315.38007754327685</v>
      </c>
      <c r="AH2954" s="111"/>
      <c r="AI2954" s="28"/>
      <c r="AJ2954" s="96">
        <f ca="1">IF(AJ2949&lt;AJ2953,AJ2951,AJ2952)</f>
        <v>-192.46228756090224</v>
      </c>
      <c r="AK2954" s="111"/>
      <c r="AL2954" s="28"/>
      <c r="AM2954" s="96">
        <f ca="1">IF(AM2949&lt;AM2953,AM2951,AM2952)</f>
        <v>-160.60116527523834</v>
      </c>
      <c r="AN2954" s="111"/>
      <c r="AO2954" s="28"/>
      <c r="AP2954" s="96">
        <f ca="1">IF(AP2949&lt;AP2953,AP2951,AP2952)</f>
        <v>-134.73394018827167</v>
      </c>
      <c r="AQ2954" s="111"/>
      <c r="AR2954" s="28"/>
      <c r="AS2954" s="96">
        <f ca="1">IF(AS2949&lt;AS2953,AS2951,AS2952)</f>
        <v>-185.91547704950938</v>
      </c>
      <c r="AT2954" s="111"/>
      <c r="AU2954" s="28"/>
    </row>
    <row r="2955" spans="15:47" x14ac:dyDescent="0.25">
      <c r="O2955" s="13" t="s">
        <v>143</v>
      </c>
      <c r="P2955" s="1"/>
      <c r="Q2955" s="1"/>
      <c r="R2955" s="113"/>
      <c r="S2955" s="106">
        <f ca="1">IF(R2948&lt;=0,Q_max,ABS(R$23-R2954))</f>
        <v>3.1924983470430499</v>
      </c>
      <c r="T2955" s="7">
        <f>R2944</f>
        <v>19593.967801252387</v>
      </c>
      <c r="U2955" s="98"/>
      <c r="V2955" s="106">
        <f ca="1">IF(U2948&lt;=0,Q_max,ABS(U$23-U2954))</f>
        <v>26.949465216591292</v>
      </c>
      <c r="W2955" s="9">
        <f ca="1">U2944</f>
        <v>92760.626038959686</v>
      </c>
      <c r="X2955" s="98"/>
      <c r="Y2955" s="106">
        <f ca="1">IF(X2948&lt;=0,Q_max,ABS(X$23-X2954))</f>
        <v>88.854709754270502</v>
      </c>
      <c r="Z2955" s="9">
        <f ca="1">X2944</f>
        <v>227136.69983984553</v>
      </c>
      <c r="AA2955" s="98"/>
      <c r="AB2955" s="106">
        <f ca="1">IF(AA2948&lt;=0,Q_max,ABS(AA$23-AA2954))</f>
        <v>236393</v>
      </c>
      <c r="AC2955" s="9">
        <f ca="1">AA2944</f>
        <v>442404.3156871823</v>
      </c>
      <c r="AD2955" s="98"/>
      <c r="AE2955" s="106">
        <f ca="1">IF(AD2948&lt;=0,Q_max,ABS(AD$23-AD2954))</f>
        <v>236393</v>
      </c>
      <c r="AF2955" s="9">
        <f ca="1">AD2944</f>
        <v>742216.81923578097</v>
      </c>
      <c r="AG2955" s="98"/>
      <c r="AH2955" s="106">
        <f ca="1">IF(AG2948&lt;=0,Q_max,ABS(AG$23-AG2954))</f>
        <v>236393</v>
      </c>
      <c r="AI2955" s="9">
        <f ca="1">AG2944</f>
        <v>1083285.6627971362</v>
      </c>
      <c r="AJ2955" s="98"/>
      <c r="AK2955" s="106">
        <f ca="1">IF(AJ2948&lt;=0,Q_max,ABS(AJ$23-AJ2954))</f>
        <v>236393</v>
      </c>
      <c r="AL2955" s="9">
        <f ca="1">AJ2944</f>
        <v>1445648.9164324836</v>
      </c>
      <c r="AM2955" s="98"/>
      <c r="AN2955" s="106">
        <f ca="1">IF(AM2948&lt;=0,Q_max,ABS(AM$23-AM2954))</f>
        <v>236393</v>
      </c>
      <c r="AO2955" s="9">
        <f ca="1">AM2944</f>
        <v>1763966.4090924873</v>
      </c>
      <c r="AP2955" s="98"/>
      <c r="AQ2955" s="106">
        <f ca="1">IF(AP2948&lt;=0,Q_max,ABS(AP$23-AP2954))</f>
        <v>236393</v>
      </c>
      <c r="AR2955" s="9">
        <f ca="1">AP2944</f>
        <v>2047910.2392718727</v>
      </c>
      <c r="AS2955" s="98"/>
      <c r="AT2955" s="106">
        <f ca="1">IF(AS2948&lt;=0,Q_max,ABS(AS$23-AS2954))</f>
        <v>236393</v>
      </c>
      <c r="AU2955" s="9">
        <f ca="1">AS2944</f>
        <v>2401335.8132907795</v>
      </c>
    </row>
    <row r="2956" spans="15:47" x14ac:dyDescent="0.25">
      <c r="O2956" s="21"/>
      <c r="P2956" s="14"/>
      <c r="Q2956" s="21"/>
      <c r="R2956" s="97"/>
      <c r="S2956" s="106"/>
      <c r="T2956" s="28"/>
      <c r="U2956" s="97"/>
      <c r="V2956" s="111"/>
      <c r="W2956" s="28"/>
      <c r="X2956" s="97"/>
      <c r="Y2956" s="111"/>
      <c r="Z2956" s="28"/>
      <c r="AA2956" s="97"/>
      <c r="AB2956" s="111"/>
      <c r="AC2956" s="28"/>
      <c r="AD2956" s="97"/>
      <c r="AE2956" s="111"/>
      <c r="AF2956" s="28"/>
      <c r="AG2956" s="97"/>
      <c r="AH2956" s="111"/>
      <c r="AI2956" s="28"/>
      <c r="AJ2956" s="97"/>
      <c r="AK2956" s="111"/>
      <c r="AL2956" s="28"/>
      <c r="AM2956" s="97"/>
      <c r="AN2956" s="111"/>
      <c r="AO2956" s="28"/>
      <c r="AP2956" s="97"/>
      <c r="AQ2956" s="111"/>
      <c r="AR2956" s="28"/>
      <c r="AS2956" s="97"/>
      <c r="AT2956" s="111"/>
      <c r="AU2956" s="28"/>
    </row>
    <row r="2957" spans="15:47" x14ac:dyDescent="0.25">
      <c r="O2957" s="1"/>
      <c r="P2957" s="1"/>
      <c r="Q2957" s="1"/>
      <c r="R2957" s="98"/>
      <c r="S2957" s="108" t="s">
        <v>137</v>
      </c>
      <c r="T2957" s="26" t="s">
        <v>146</v>
      </c>
      <c r="U2957" s="98"/>
      <c r="V2957" s="108" t="s">
        <v>137</v>
      </c>
      <c r="W2957" s="26" t="s">
        <v>146</v>
      </c>
      <c r="X2957" s="98"/>
      <c r="Y2957" s="108" t="s">
        <v>137</v>
      </c>
      <c r="Z2957" s="26" t="s">
        <v>146</v>
      </c>
      <c r="AA2957" s="98"/>
      <c r="AB2957" s="108" t="s">
        <v>137</v>
      </c>
      <c r="AC2957" s="26" t="s">
        <v>146</v>
      </c>
      <c r="AD2957" s="98"/>
      <c r="AE2957" s="108" t="s">
        <v>137</v>
      </c>
      <c r="AF2957" s="26" t="s">
        <v>146</v>
      </c>
      <c r="AG2957" s="98"/>
      <c r="AH2957" s="108" t="s">
        <v>137</v>
      </c>
      <c r="AI2957" s="26" t="s">
        <v>146</v>
      </c>
      <c r="AJ2957" s="98"/>
      <c r="AK2957" s="108" t="s">
        <v>137</v>
      </c>
      <c r="AL2957" s="26" t="s">
        <v>146</v>
      </c>
      <c r="AM2957" s="98"/>
      <c r="AN2957" s="108" t="s">
        <v>137</v>
      </c>
      <c r="AO2957" s="26" t="s">
        <v>146</v>
      </c>
      <c r="AP2957" s="98"/>
      <c r="AQ2957" s="108" t="s">
        <v>137</v>
      </c>
      <c r="AR2957" s="26" t="s">
        <v>146</v>
      </c>
      <c r="AS2957" s="98"/>
      <c r="AT2957" s="108" t="s">
        <v>137</v>
      </c>
      <c r="AU2957" s="26" t="s">
        <v>146</v>
      </c>
    </row>
    <row r="2958" spans="15:47" ht="13.8" x14ac:dyDescent="0.25">
      <c r="O2958" s="20" t="s">
        <v>136</v>
      </c>
      <c r="P2958" s="1"/>
      <c r="Q2958" s="1"/>
      <c r="R2958" s="96">
        <f>R2944*1.02</f>
        <v>19985.847157277436</v>
      </c>
      <c r="S2958" s="109" t="s">
        <v>144</v>
      </c>
      <c r="T2958" s="23" t="s">
        <v>147</v>
      </c>
      <c r="U2958" s="96">
        <f ca="1">U2944*1.01</f>
        <v>93688.232299349285</v>
      </c>
      <c r="V2958" s="109" t="s">
        <v>144</v>
      </c>
      <c r="W2958" s="23" t="s">
        <v>147</v>
      </c>
      <c r="X2958" s="96">
        <f ca="1">X2944*1.01</f>
        <v>229408.06683824398</v>
      </c>
      <c r="Y2958" s="109" t="s">
        <v>144</v>
      </c>
      <c r="Z2958" s="23" t="s">
        <v>147</v>
      </c>
      <c r="AA2958" s="96">
        <f ca="1">AA2944*1.01</f>
        <v>446828.35884405411</v>
      </c>
      <c r="AB2958" s="109" t="s">
        <v>144</v>
      </c>
      <c r="AC2958" s="23" t="s">
        <v>147</v>
      </c>
      <c r="AD2958" s="96">
        <f ca="1">AD2944*1.01</f>
        <v>749638.98742813885</v>
      </c>
      <c r="AE2958" s="109" t="s">
        <v>144</v>
      </c>
      <c r="AF2958" s="23" t="s">
        <v>147</v>
      </c>
      <c r="AG2958" s="96">
        <f ca="1">AG2944*1.01</f>
        <v>1094118.5194251076</v>
      </c>
      <c r="AH2958" s="109" t="s">
        <v>144</v>
      </c>
      <c r="AI2958" s="23" t="s">
        <v>147</v>
      </c>
      <c r="AJ2958" s="96">
        <f ca="1">AJ2944*1.01</f>
        <v>1460105.4055968085</v>
      </c>
      <c r="AK2958" s="109" t="s">
        <v>144</v>
      </c>
      <c r="AL2958" s="23" t="s">
        <v>147</v>
      </c>
      <c r="AM2958" s="96">
        <f ca="1">AM2944*1.01</f>
        <v>1781606.0731834122</v>
      </c>
      <c r="AN2958" s="109" t="s">
        <v>144</v>
      </c>
      <c r="AO2958" s="23" t="s">
        <v>147</v>
      </c>
      <c r="AP2958" s="96">
        <f ca="1">AP2944*1.01</f>
        <v>2068389.3416645913</v>
      </c>
      <c r="AQ2958" s="109" t="s">
        <v>144</v>
      </c>
      <c r="AR2958" s="23" t="s">
        <v>147</v>
      </c>
      <c r="AS2958" s="96">
        <f ca="1">AS2944*1.01</f>
        <v>2425349.1714236871</v>
      </c>
      <c r="AT2958" s="109" t="s">
        <v>144</v>
      </c>
      <c r="AU2958" s="23" t="s">
        <v>147</v>
      </c>
    </row>
    <row r="2959" spans="15:47" x14ac:dyDescent="0.25">
      <c r="O2959" s="1"/>
      <c r="P2959" s="1"/>
      <c r="Q2959" s="1"/>
      <c r="R2959" s="98"/>
      <c r="S2959" s="107"/>
      <c r="T2959" s="1"/>
      <c r="U2959" s="47"/>
      <c r="V2959" s="107"/>
      <c r="W2959" s="1"/>
      <c r="X2959" s="47"/>
      <c r="Y2959" s="107"/>
      <c r="Z2959" s="1"/>
      <c r="AA2959" s="47"/>
      <c r="AB2959" s="107"/>
      <c r="AC2959" s="1"/>
      <c r="AD2959" s="47"/>
      <c r="AE2959" s="107"/>
      <c r="AF2959" s="1"/>
      <c r="AG2959" s="47"/>
      <c r="AH2959" s="107"/>
      <c r="AI2959" s="1"/>
      <c r="AJ2959" s="47"/>
      <c r="AK2959" s="107"/>
      <c r="AL2959" s="1"/>
      <c r="AM2959" s="47"/>
      <c r="AN2959" s="107"/>
      <c r="AO2959" s="1"/>
      <c r="AP2959" s="47"/>
      <c r="AQ2959" s="107"/>
      <c r="AR2959" s="1"/>
      <c r="AS2959" s="47"/>
      <c r="AT2959" s="107"/>
      <c r="AU2959" s="1"/>
    </row>
    <row r="2960" spans="15:47" x14ac:dyDescent="0.25">
      <c r="O2960" s="8" t="s">
        <v>132</v>
      </c>
      <c r="P2960" s="8"/>
      <c r="Q2960" s="8"/>
      <c r="R2960" s="96">
        <f>P_1_minQ-(R2958^2*R_up)+dpup_minQ</f>
        <v>90.112239309668141</v>
      </c>
      <c r="S2960" s="106"/>
      <c r="T2960" s="22"/>
      <c r="U2960" s="96">
        <f ca="1">P_1_minQ-(U2958^2*R_up)+dpup_minQ</f>
        <v>88.585248139544618</v>
      </c>
      <c r="V2960" s="107"/>
      <c r="W2960" s="1"/>
      <c r="X2960" s="96">
        <f ca="1">P_1_minQ-(X2958^2*R_up)+dpup_minQ</f>
        <v>80.593002153871197</v>
      </c>
      <c r="Y2960" s="107"/>
      <c r="Z2960" s="1"/>
      <c r="AA2960" s="96">
        <f ca="1">P_1_minQ-(AA2958^2*R_up)+dpup_minQ</f>
        <v>53.795632179838563</v>
      </c>
      <c r="AB2960" s="107"/>
      <c r="AC2960" s="1"/>
      <c r="AD2960" s="96">
        <f ca="1">P_1_minQ-(AD2958^2*R_up)+dpup_minQ</f>
        <v>-12.238048053982554</v>
      </c>
      <c r="AE2960" s="107"/>
      <c r="AF2960" s="1"/>
      <c r="AG2960" s="96">
        <f ca="1">P_1_minQ-(AG2958^2*R_up)+dpup_minQ</f>
        <v>-127.99864593921714</v>
      </c>
      <c r="AH2960" s="107"/>
      <c r="AI2960" s="1"/>
      <c r="AJ2960" s="96">
        <f ca="1">P_1_minQ-(AJ2958^2*R_up)+dpup_minQ</f>
        <v>-298.37841686571926</v>
      </c>
      <c r="AK2960" s="107"/>
      <c r="AL2960" s="1"/>
      <c r="AM2960" s="96">
        <f ca="1">P_1_minQ-(AM2958^2*R_up)+dpup_minQ</f>
        <v>-488.33299938426325</v>
      </c>
      <c r="AN2960" s="107"/>
      <c r="AO2960" s="1"/>
      <c r="AP2960" s="96">
        <f ca="1">P_1_minQ-(AP2958^2*R_up)+dpup_minQ</f>
        <v>-689.56987206904728</v>
      </c>
      <c r="AQ2960" s="107"/>
      <c r="AR2960" s="1"/>
      <c r="AS2960" s="96">
        <f ca="1">P_1_minQ-(AS2958^2*R_up)+dpup_minQ</f>
        <v>-981.93170808698596</v>
      </c>
      <c r="AT2960" s="107"/>
      <c r="AU2960" s="1"/>
    </row>
    <row r="2961" spans="15:47" x14ac:dyDescent="0.25">
      <c r="O2961" s="8" t="s">
        <v>134</v>
      </c>
      <c r="P2961" s="1"/>
      <c r="Q2961" s="8"/>
      <c r="R2961" s="97">
        <f>P_2_minQ+(R2958^2*R_dn)-dpdn_minQ</f>
        <v>60</v>
      </c>
      <c r="S2961" s="106"/>
      <c r="T2961" s="22"/>
      <c r="U2961" s="97">
        <f ca="1">P_2_minQ+(U2958^2*R_dn)-dpdn_minQ</f>
        <v>60</v>
      </c>
      <c r="V2961" s="107"/>
      <c r="W2961" s="1"/>
      <c r="X2961" s="97">
        <f ca="1">P_2_minQ+(X2958^2*R_dn)-dpdn_minQ</f>
        <v>60</v>
      </c>
      <c r="Y2961" s="107"/>
      <c r="Z2961" s="1"/>
      <c r="AA2961" s="97">
        <f ca="1">P_2_minQ+(AA2958^2*R_dn)-dpdn_minQ</f>
        <v>60</v>
      </c>
      <c r="AB2961" s="107"/>
      <c r="AC2961" s="1"/>
      <c r="AD2961" s="97">
        <f ca="1">P_2_minQ+(AD2958^2*R_dn)-dpdn_minQ</f>
        <v>60</v>
      </c>
      <c r="AE2961" s="107"/>
      <c r="AF2961" s="1"/>
      <c r="AG2961" s="97">
        <f ca="1">P_2_minQ+(AG2958^2*R_dn)-dpdn_minQ</f>
        <v>60</v>
      </c>
      <c r="AH2961" s="107"/>
      <c r="AI2961" s="1"/>
      <c r="AJ2961" s="97">
        <f ca="1">P_2_minQ+(AJ2958^2*R_dn)-dpdn_minQ</f>
        <v>60</v>
      </c>
      <c r="AK2961" s="107"/>
      <c r="AL2961" s="1"/>
      <c r="AM2961" s="97">
        <f ca="1">P_2_minQ+(AM2958^2*R_dn)-dpdn_minQ</f>
        <v>60</v>
      </c>
      <c r="AN2961" s="107"/>
      <c r="AO2961" s="1"/>
      <c r="AP2961" s="97">
        <f ca="1">P_2_minQ+(AP2958^2*R_dn)-dpdn_minQ</f>
        <v>60</v>
      </c>
      <c r="AQ2961" s="107"/>
      <c r="AR2961" s="1"/>
      <c r="AS2961" s="97">
        <f ca="1">P_2_minQ+(AS2958^2*R_dn)-dpdn_minQ</f>
        <v>60</v>
      </c>
      <c r="AT2961" s="107"/>
      <c r="AU2961" s="1"/>
    </row>
    <row r="2962" spans="15:47" x14ac:dyDescent="0.25">
      <c r="O2962" s="8" t="s">
        <v>138</v>
      </c>
      <c r="P2962" s="1"/>
      <c r="Q2962" s="8"/>
      <c r="R2962" s="97">
        <f>R2960-R2961</f>
        <v>30.112239309668141</v>
      </c>
      <c r="S2962" s="106"/>
      <c r="T2962" s="22"/>
      <c r="U2962" s="97">
        <f ca="1">U2960-U2961</f>
        <v>28.585248139544618</v>
      </c>
      <c r="V2962" s="110"/>
      <c r="W2962" s="25"/>
      <c r="X2962" s="97">
        <f ca="1">X2960-X2961</f>
        <v>20.593002153871197</v>
      </c>
      <c r="Y2962" s="110"/>
      <c r="Z2962" s="25"/>
      <c r="AA2962" s="97">
        <f ca="1">AA2960-AA2961</f>
        <v>-6.204367820161437</v>
      </c>
      <c r="AB2962" s="110"/>
      <c r="AC2962" s="25"/>
      <c r="AD2962" s="97">
        <f ca="1">AD2960-AD2961</f>
        <v>-72.238048053982553</v>
      </c>
      <c r="AE2962" s="110"/>
      <c r="AF2962" s="25"/>
      <c r="AG2962" s="97">
        <f ca="1">AG2960-AG2961</f>
        <v>-187.99864593921714</v>
      </c>
      <c r="AH2962" s="110"/>
      <c r="AI2962" s="25"/>
      <c r="AJ2962" s="97">
        <f ca="1">AJ2960-AJ2961</f>
        <v>-358.37841686571926</v>
      </c>
      <c r="AK2962" s="110"/>
      <c r="AL2962" s="25"/>
      <c r="AM2962" s="97">
        <f ca="1">AM2960-AM2961</f>
        <v>-548.3329993842633</v>
      </c>
      <c r="AN2962" s="110"/>
      <c r="AO2962" s="25"/>
      <c r="AP2962" s="97">
        <f ca="1">AP2960-AP2961</f>
        <v>-749.56987206904728</v>
      </c>
      <c r="AQ2962" s="110"/>
      <c r="AR2962" s="25"/>
      <c r="AS2962" s="97">
        <f ca="1">AS2960-AS2961</f>
        <v>-1041.931708086986</v>
      </c>
      <c r="AT2962" s="110"/>
      <c r="AU2962" s="25"/>
    </row>
    <row r="2963" spans="15:47" ht="14.4" x14ac:dyDescent="0.3">
      <c r="O2963" s="2" t="s">
        <v>140</v>
      </c>
      <c r="P2963" s="11"/>
      <c r="Q2963" s="2"/>
      <c r="R2963" s="96">
        <f>R2962/R2960</f>
        <v>0.33416370007395207</v>
      </c>
      <c r="S2963" s="106"/>
      <c r="T2963" s="22"/>
      <c r="U2963" s="96">
        <f ca="1">U2962/U2960</f>
        <v>0.3226863246408192</v>
      </c>
      <c r="V2963" s="111"/>
      <c r="W2963" s="28"/>
      <c r="X2963" s="96">
        <f ca="1">X2962/X2960</f>
        <v>0.25551848924245635</v>
      </c>
      <c r="Y2963" s="111"/>
      <c r="Z2963" s="28"/>
      <c r="AA2963" s="96">
        <f ca="1">AA2962/AA2960</f>
        <v>-0.11533218532352706</v>
      </c>
      <c r="AB2963" s="111"/>
      <c r="AC2963" s="28"/>
      <c r="AD2963" s="96">
        <f ca="1">AD2962/AD2960</f>
        <v>5.9027426379874814</v>
      </c>
      <c r="AE2963" s="111"/>
      <c r="AF2963" s="28"/>
      <c r="AG2963" s="96">
        <f ca="1">AG2962/AG2960</f>
        <v>1.4687549587711441</v>
      </c>
      <c r="AH2963" s="111"/>
      <c r="AI2963" s="28"/>
      <c r="AJ2963" s="96">
        <f ca="1">AJ2962/AJ2960</f>
        <v>1.2010869305838636</v>
      </c>
      <c r="AK2963" s="111"/>
      <c r="AL2963" s="28"/>
      <c r="AM2963" s="96">
        <f ca="1">AM2962/AM2960</f>
        <v>1.1228669782211191</v>
      </c>
      <c r="AN2963" s="111"/>
      <c r="AO2963" s="28"/>
      <c r="AP2963" s="96">
        <f ca="1">AP2962/AP2960</f>
        <v>1.0870107619695892</v>
      </c>
      <c r="AQ2963" s="111"/>
      <c r="AR2963" s="28"/>
      <c r="AS2963" s="96">
        <f ca="1">AS2962/AS2960</f>
        <v>1.0611040457354135</v>
      </c>
      <c r="AT2963" s="111"/>
      <c r="AU2963" s="28"/>
    </row>
    <row r="2964" spans="15:47" x14ac:dyDescent="0.25">
      <c r="O2964" s="2" t="s">
        <v>21</v>
      </c>
      <c r="P2964" s="8">
        <v>12</v>
      </c>
      <c r="Q2964" s="2"/>
      <c r="R2964" s="96">
        <f ca="1">1-R2963/(3*F_GAMMA*R$29)</f>
        <v>0.82596448187115379</v>
      </c>
      <c r="S2964" s="106"/>
      <c r="T2964" s="22"/>
      <c r="U2964" s="96">
        <f ca="1">1-U2963/(3*F_GAMMA*U$29)</f>
        <v>0.83198104660441163</v>
      </c>
      <c r="V2964" s="111"/>
      <c r="W2964" s="28"/>
      <c r="X2964" s="96">
        <f ca="1">1-X2963/(3*F_GAMMA*X$29)</f>
        <v>0.86568738866675499</v>
      </c>
      <c r="Y2964" s="111"/>
      <c r="Z2964" s="28"/>
      <c r="AA2964" s="96">
        <f ca="1">1-AA2963/(3*F_GAMMA*AA$29)</f>
        <v>1.061478616765932</v>
      </c>
      <c r="AB2964" s="111"/>
      <c r="AC2964" s="28"/>
      <c r="AD2964" s="96">
        <f ca="1">1-AD2963/(3*F_GAMMA*AD$29)</f>
        <v>-2.2440837192324854</v>
      </c>
      <c r="AE2964" s="111"/>
      <c r="AF2964" s="28"/>
      <c r="AG2964" s="96">
        <f ca="1">1-AG2963/(3*F_GAMMA*AG$29)</f>
        <v>0.14435040806484756</v>
      </c>
      <c r="AH2964" s="111"/>
      <c r="AI2964" s="28"/>
      <c r="AJ2964" s="96">
        <f ca="1">1-AJ2963/(3*F_GAMMA*AJ$29)</f>
        <v>0.2472027016822087</v>
      </c>
      <c r="AK2964" s="111"/>
      <c r="AL2964" s="28"/>
      <c r="AM2964" s="96">
        <f ca="1">1-AM2963/(3*F_GAMMA*AM$29)</f>
        <v>0.21312500529437806</v>
      </c>
      <c r="AN2964" s="111"/>
      <c r="AO2964" s="28"/>
      <c r="AP2964" s="96">
        <f ca="1">1-AP2963/(3*F_GAMMA*AP$29)</f>
        <v>0.38643284182188109</v>
      </c>
      <c r="AQ2964" s="111"/>
      <c r="AR2964" s="28"/>
      <c r="AS2964" s="96">
        <f ca="1">1-AS2963/(3*F_GAMMA*AS$29)</f>
        <v>6.1027926286980283E-2</v>
      </c>
      <c r="AT2964" s="111"/>
      <c r="AU2964" s="28"/>
    </row>
    <row r="2965" spans="15:47" x14ac:dyDescent="0.25">
      <c r="O2965" s="2" t="s">
        <v>57</v>
      </c>
      <c r="P2965" s="143">
        <v>7</v>
      </c>
      <c r="Q2965" s="2"/>
      <c r="R2965" s="96">
        <f ca="1">(R2958/(N_9*R$27*R2960*R2964))*SQRT(M*'Valve Sizing'!$W$6*'Valve Sizing'!$G$8/R2963)</f>
        <v>8.0813479508108887</v>
      </c>
      <c r="S2965" s="107"/>
      <c r="T2965" s="22"/>
      <c r="U2965" s="96">
        <f ca="1">(U2958/(N_9*U$27*U2960*U2964))*SQRT(M*'Valve Sizing'!$W$6*'Valve Sizing'!$G$8/U2963)</f>
        <v>38.957477087282932</v>
      </c>
      <c r="V2965" s="111"/>
      <c r="W2965" s="28"/>
      <c r="X2965" s="96">
        <f ca="1">(X2958/(N_9*X$27*X2960*X2964))*SQRT(M*'Valve Sizing'!$W$6*'Valve Sizing'!$G$8/X2963)</f>
        <v>113.50332741222842</v>
      </c>
      <c r="Y2965" s="111"/>
      <c r="Z2965" s="28"/>
      <c r="AA2965" s="96" t="e">
        <f ca="1">(AA2958/(N_9*AA$27*AA2960*AA2964))*SQRT(M*'Valve Sizing'!$W$6*'Valve Sizing'!$G$8/AA2963)</f>
        <v>#NUM!</v>
      </c>
      <c r="AB2965" s="111"/>
      <c r="AC2965" s="28"/>
      <c r="AD2965" s="96">
        <f ca="1">(AD2958/(N_9*AD$27*AD2960*AD2964))*SQRT(M*'Valve Sizing'!$W$6*'Valve Sizing'!$G$8/AD2963)</f>
        <v>199.64574482121833</v>
      </c>
      <c r="AE2965" s="111"/>
      <c r="AF2965" s="28"/>
      <c r="AG2965" s="96">
        <f ca="1">(AG2958/(N_9*AG$27*AG2960*AG2964))*SQRT(M*'Valve Sizing'!$W$6*'Valve Sizing'!$G$8/AG2963)</f>
        <v>-887.80511842370754</v>
      </c>
      <c r="AH2965" s="111"/>
      <c r="AI2965" s="28"/>
      <c r="AJ2965" s="96">
        <f ca="1">(AJ2958/(N_9*AJ$27*AJ2960*AJ2964))*SQRT(M*'Valve Sizing'!$W$6*'Valve Sizing'!$G$8/AJ2963)</f>
        <v>-340.05624018157289</v>
      </c>
      <c r="AK2965" s="111"/>
      <c r="AL2965" s="28"/>
      <c r="AM2965" s="96">
        <f ca="1">(AM2958/(N_9*AM$27*AM2960*AM2964))*SQRT(M*'Valve Sizing'!$W$6*'Valve Sizing'!$G$8/AM2963)</f>
        <v>-322.69342795079683</v>
      </c>
      <c r="AN2965" s="111"/>
      <c r="AO2965" s="28"/>
      <c r="AP2965" s="96">
        <f ca="1">(AP2958/(N_9*AP$27*AP2960*AP2964))*SQRT(M*'Valve Sizing'!$W$6*'Valve Sizing'!$G$8/AP2963)</f>
        <v>-169.26711772756317</v>
      </c>
      <c r="AQ2965" s="111"/>
      <c r="AR2965" s="28"/>
      <c r="AS2965" s="96">
        <f ca="1">(AS2958/(N_9*AS$27*AS2960*AS2964))*SQRT(M*'Valve Sizing'!$W$6*'Valve Sizing'!$G$8/AS2963)</f>
        <v>-1196.4703648079535</v>
      </c>
      <c r="AT2965" s="111"/>
      <c r="AU2965" s="28"/>
    </row>
    <row r="2966" spans="15:47" x14ac:dyDescent="0.25">
      <c r="O2966" s="2" t="s">
        <v>59</v>
      </c>
      <c r="P2966" s="143">
        <v>7</v>
      </c>
      <c r="Q2966" s="2"/>
      <c r="R2966" s="96">
        <f ca="1">(R2958/(N_9*R$27*R2960*0.667))*SQRT(M*'Valve Sizing'!$W$6*'Valve Sizing'!$G$8/R2967)</f>
        <v>7.2310092496835905</v>
      </c>
      <c r="S2966" s="107"/>
      <c r="T2966" s="22"/>
      <c r="U2966" s="96">
        <f ca="1">(U2958/(N_9*U$27*U2960*0.667))*SQRT(M*'Valve Sizing'!$W$6*'Valve Sizing'!$G$8/U2967)</f>
        <v>34.499927914207035</v>
      </c>
      <c r="V2966" s="111"/>
      <c r="W2966" s="28"/>
      <c r="X2966" s="96">
        <f ca="1">(X2958/(N_9*X$27*X2960*0.667))*SQRT(M*'Valve Sizing'!$W$6*'Valve Sizing'!$G$8/X2967)</f>
        <v>93.511037159275844</v>
      </c>
      <c r="Y2966" s="111"/>
      <c r="Z2966" s="28"/>
      <c r="AA2966" s="96">
        <f ca="1">(AA2958/(N_9*AA$27*AA2960*0.667))*SQRT(M*'Valve Sizing'!$W$6*'Valve Sizing'!$G$8/AA2967)</f>
        <v>276.41041754280286</v>
      </c>
      <c r="AB2966" s="111"/>
      <c r="AC2966" s="28"/>
      <c r="AD2966" s="96">
        <f ca="1">(AD2958/(N_9*AD$27*AD2960*0.667))*SQRT(M*'Valve Sizing'!$W$6*'Valve Sizing'!$G$8/AD2967)</f>
        <v>-2095.462693705872</v>
      </c>
      <c r="AE2966" s="111"/>
      <c r="AF2966" s="28"/>
      <c r="AG2966" s="96">
        <f ca="1">(AG2958/(N_9*AG$27*AG2960*0.667))*SQRT(M*'Valve Sizing'!$W$6*'Valve Sizing'!$G$8/AG2967)</f>
        <v>-307.83530569087111</v>
      </c>
      <c r="AH2966" s="111"/>
      <c r="AI2966" s="28"/>
      <c r="AJ2966" s="96">
        <f ca="1">(AJ2958/(N_9*AJ$27*AJ2960*0.667))*SQRT(M*'Valve Sizing'!$W$6*'Valve Sizing'!$G$8/AJ2967)</f>
        <v>-189.39904330026118</v>
      </c>
      <c r="AK2966" s="111"/>
      <c r="AL2966" s="28"/>
      <c r="AM2966" s="96">
        <f ca="1">(AM2958/(N_9*AM$27*AM2960*0.667))*SQRT(M*'Valve Sizing'!$W$6*'Valve Sizing'!$G$8/AM2967)</f>
        <v>-158.42079682912131</v>
      </c>
      <c r="AN2966" s="111"/>
      <c r="AO2966" s="28"/>
      <c r="AP2966" s="96">
        <f ca="1">(AP2958/(N_9*AP$27*AP2960*0.667))*SQRT(M*'Valve Sizing'!$W$6*'Valve Sizing'!$G$8/AP2967)</f>
        <v>-133.04926326536412</v>
      </c>
      <c r="AQ2966" s="111"/>
      <c r="AR2966" s="28"/>
      <c r="AS2966" s="96">
        <f ca="1">(AS2958/(N_9*AS$27*AS2960*0.667))*SQRT(M*'Valve Sizing'!$W$6*'Valve Sizing'!$G$8/AS2967)</f>
        <v>-183.73491404463041</v>
      </c>
      <c r="AT2966" s="111"/>
      <c r="AU2966" s="28"/>
    </row>
    <row r="2967" spans="15:47" ht="15.6" x14ac:dyDescent="0.35">
      <c r="O2967" s="2" t="s">
        <v>68</v>
      </c>
      <c r="P2967" s="143">
        <v>10</v>
      </c>
      <c r="Q2967" s="2"/>
      <c r="R2967" s="96">
        <f ca="1">F_GAMMA*R$29</f>
        <v>0.64002969751372984</v>
      </c>
      <c r="S2967" s="107"/>
      <c r="T2967" s="1"/>
      <c r="U2967" s="96">
        <f ca="1">F_GAMMA*U$29</f>
        <v>0.64017842058782071</v>
      </c>
      <c r="V2967" s="111"/>
      <c r="W2967" s="28"/>
      <c r="X2967" s="96">
        <f ca="1">F_GAMMA*X$29</f>
        <v>0.63413873724904268</v>
      </c>
      <c r="Y2967" s="111"/>
      <c r="Z2967" s="28"/>
      <c r="AA2967" s="96">
        <f ca="1">F_GAMMA*AA$29</f>
        <v>0.62532411750377137</v>
      </c>
      <c r="AB2967" s="111"/>
      <c r="AC2967" s="28"/>
      <c r="AD2967" s="96">
        <f ca="1">F_GAMMA*AD$29</f>
        <v>0.60651359509139569</v>
      </c>
      <c r="AE2967" s="111"/>
      <c r="AF2967" s="28"/>
      <c r="AG2967" s="96">
        <f ca="1">F_GAMMA*AG$29</f>
        <v>0.57217930198481592</v>
      </c>
      <c r="AH2967" s="111"/>
      <c r="AI2967" s="28"/>
      <c r="AJ2967" s="96">
        <f ca="1">F_GAMMA*AJ$29</f>
        <v>0.53183282018848232</v>
      </c>
      <c r="AK2967" s="111"/>
      <c r="AL2967" s="28"/>
      <c r="AM2967" s="96">
        <f ca="1">F_GAMMA*AM$29</f>
        <v>0.47566512503094399</v>
      </c>
      <c r="AN2967" s="111"/>
      <c r="AO2967" s="28"/>
      <c r="AP2967" s="96">
        <f ca="1">F_GAMMA*AP$29</f>
        <v>0.59054158265645496</v>
      </c>
      <c r="AQ2967" s="111"/>
      <c r="AR2967" s="28"/>
      <c r="AS2967" s="96">
        <f ca="1">F_GAMMA*AS$29</f>
        <v>0.3766899554102966</v>
      </c>
      <c r="AT2967" s="111"/>
      <c r="AU2967" s="28"/>
    </row>
    <row r="2968" spans="15:47" x14ac:dyDescent="0.25">
      <c r="O2968" s="2" t="s">
        <v>145</v>
      </c>
      <c r="P2968" s="12"/>
      <c r="Q2968" s="2"/>
      <c r="R2968" s="96">
        <f ca="1">IF(R2963&lt;R2967,R2965,R2966)</f>
        <v>8.0813479508108887</v>
      </c>
      <c r="S2968" s="116"/>
      <c r="T2968" s="1"/>
      <c r="U2968" s="96">
        <f ca="1">IF(U2963&lt;U2967,U2965,U2966)</f>
        <v>38.957477087282932</v>
      </c>
      <c r="V2968" s="111"/>
      <c r="W2968" s="28"/>
      <c r="X2968" s="96">
        <f ca="1">IF(X2963&lt;X2967,X2965,X2966)</f>
        <v>113.50332741222842</v>
      </c>
      <c r="Y2968" s="111"/>
      <c r="Z2968" s="28"/>
      <c r="AA2968" s="96" t="e">
        <f ca="1">IF(AA2963&lt;AA2967,AA2965,AA2966)</f>
        <v>#NUM!</v>
      </c>
      <c r="AB2968" s="111"/>
      <c r="AC2968" s="28"/>
      <c r="AD2968" s="96">
        <f ca="1">IF(AD2963&lt;AD2967,AD2965,AD2966)</f>
        <v>-2095.462693705872</v>
      </c>
      <c r="AE2968" s="111"/>
      <c r="AF2968" s="28"/>
      <c r="AG2968" s="96">
        <f ca="1">IF(AG2963&lt;AG2967,AG2965,AG2966)</f>
        <v>-307.83530569087111</v>
      </c>
      <c r="AH2968" s="111"/>
      <c r="AI2968" s="28"/>
      <c r="AJ2968" s="96">
        <f ca="1">IF(AJ2963&lt;AJ2967,AJ2965,AJ2966)</f>
        <v>-189.39904330026118</v>
      </c>
      <c r="AK2968" s="111"/>
      <c r="AL2968" s="28"/>
      <c r="AM2968" s="96">
        <f ca="1">IF(AM2963&lt;AM2967,AM2965,AM2966)</f>
        <v>-158.42079682912131</v>
      </c>
      <c r="AN2968" s="111"/>
      <c r="AO2968" s="28"/>
      <c r="AP2968" s="96">
        <f ca="1">IF(AP2963&lt;AP2967,AP2965,AP2966)</f>
        <v>-133.04926326536412</v>
      </c>
      <c r="AQ2968" s="111"/>
      <c r="AR2968" s="28"/>
      <c r="AS2968" s="96">
        <f ca="1">IF(AS2963&lt;AS2967,AS2965,AS2966)</f>
        <v>-183.73491404463041</v>
      </c>
      <c r="AT2968" s="111"/>
      <c r="AU2968" s="28"/>
    </row>
    <row r="2969" spans="15:47" x14ac:dyDescent="0.25">
      <c r="O2969" s="13" t="s">
        <v>143</v>
      </c>
      <c r="P2969" s="1"/>
      <c r="Q2969" s="1"/>
      <c r="R2969" s="113"/>
      <c r="S2969" s="106">
        <f ca="1">IF(R2962&lt;=0,Q_max,ABS(R$23-R2968))</f>
        <v>3.3513479508108883</v>
      </c>
      <c r="T2969" s="7">
        <f>R2958</f>
        <v>19985.847157277436</v>
      </c>
      <c r="U2969" s="98"/>
      <c r="V2969" s="106">
        <f ca="1">IF(U2962&lt;=0,Q_max,ABS(U$23-U2968))</f>
        <v>27.35747708728293</v>
      </c>
      <c r="W2969" s="9">
        <f ca="1">U2958</f>
        <v>93688.232299349285</v>
      </c>
      <c r="X2969" s="98"/>
      <c r="Y2969" s="106">
        <f ca="1">IF(X2962&lt;=0,Q_max,ABS(X$23-X2968))</f>
        <v>90.503327412228415</v>
      </c>
      <c r="Z2969" s="9">
        <f ca="1">X2958</f>
        <v>229408.06683824398</v>
      </c>
      <c r="AA2969" s="98"/>
      <c r="AB2969" s="106">
        <f ca="1">IF(AA2962&lt;=0,Q_max,ABS(AA$23-AA2968))</f>
        <v>236393</v>
      </c>
      <c r="AC2969" s="9">
        <f ca="1">AA2958</f>
        <v>446828.35884405411</v>
      </c>
      <c r="AD2969" s="98"/>
      <c r="AE2969" s="106">
        <f ca="1">IF(AD2962&lt;=0,Q_max,ABS(AD$23-AD2968))</f>
        <v>236393</v>
      </c>
      <c r="AF2969" s="9">
        <f ca="1">AD2958</f>
        <v>749638.98742813885</v>
      </c>
      <c r="AG2969" s="98"/>
      <c r="AH2969" s="106">
        <f ca="1">IF(AG2962&lt;=0,Q_max,ABS(AG$23-AG2968))</f>
        <v>236393</v>
      </c>
      <c r="AI2969" s="9">
        <f ca="1">AG2958</f>
        <v>1094118.5194251076</v>
      </c>
      <c r="AJ2969" s="98"/>
      <c r="AK2969" s="106">
        <f ca="1">IF(AJ2962&lt;=0,Q_max,ABS(AJ$23-AJ2968))</f>
        <v>236393</v>
      </c>
      <c r="AL2969" s="9">
        <f ca="1">AJ2958</f>
        <v>1460105.4055968085</v>
      </c>
      <c r="AM2969" s="98"/>
      <c r="AN2969" s="106">
        <f ca="1">IF(AM2962&lt;=0,Q_max,ABS(AM$23-AM2968))</f>
        <v>236393</v>
      </c>
      <c r="AO2969" s="9">
        <f ca="1">AM2958</f>
        <v>1781606.0731834122</v>
      </c>
      <c r="AP2969" s="98"/>
      <c r="AQ2969" s="106">
        <f ca="1">IF(AP2962&lt;=0,Q_max,ABS(AP$23-AP2968))</f>
        <v>236393</v>
      </c>
      <c r="AR2969" s="9">
        <f ca="1">AP2958</f>
        <v>2068389.3416645913</v>
      </c>
      <c r="AS2969" s="98"/>
      <c r="AT2969" s="106">
        <f ca="1">IF(AS2962&lt;=0,Q_max,ABS(AS$23-AS2968))</f>
        <v>236393</v>
      </c>
      <c r="AU2969" s="9">
        <f ca="1">AS2958</f>
        <v>2425349.1714236871</v>
      </c>
    </row>
    <row r="2970" spans="15:47" x14ac:dyDescent="0.25">
      <c r="O2970" s="21"/>
      <c r="P2970" s="14"/>
      <c r="Q2970" s="21"/>
      <c r="R2970" s="97"/>
      <c r="S2970" s="106"/>
      <c r="T2970" s="28"/>
      <c r="U2970" s="97"/>
      <c r="V2970" s="111"/>
      <c r="W2970" s="28"/>
      <c r="X2970" s="97"/>
      <c r="Y2970" s="111"/>
      <c r="Z2970" s="28"/>
      <c r="AA2970" s="97"/>
      <c r="AB2970" s="111"/>
      <c r="AC2970" s="28"/>
      <c r="AD2970" s="97"/>
      <c r="AE2970" s="111"/>
      <c r="AF2970" s="28"/>
      <c r="AG2970" s="97"/>
      <c r="AH2970" s="111"/>
      <c r="AI2970" s="28"/>
      <c r="AJ2970" s="97"/>
      <c r="AK2970" s="111"/>
      <c r="AL2970" s="28"/>
      <c r="AM2970" s="97"/>
      <c r="AN2970" s="111"/>
      <c r="AO2970" s="28"/>
      <c r="AP2970" s="97"/>
      <c r="AQ2970" s="111"/>
      <c r="AR2970" s="28"/>
      <c r="AS2970" s="97"/>
      <c r="AT2970" s="111"/>
      <c r="AU2970" s="28"/>
    </row>
    <row r="2971" spans="15:47" x14ac:dyDescent="0.25">
      <c r="O2971" s="1"/>
      <c r="P2971" s="1"/>
      <c r="Q2971" s="1"/>
      <c r="R2971" s="98"/>
      <c r="S2971" s="108" t="s">
        <v>137</v>
      </c>
      <c r="T2971" s="26" t="s">
        <v>146</v>
      </c>
      <c r="U2971" s="98"/>
      <c r="V2971" s="108" t="s">
        <v>137</v>
      </c>
      <c r="W2971" s="26" t="s">
        <v>146</v>
      </c>
      <c r="X2971" s="98"/>
      <c r="Y2971" s="108" t="s">
        <v>137</v>
      </c>
      <c r="Z2971" s="26" t="s">
        <v>146</v>
      </c>
      <c r="AA2971" s="98"/>
      <c r="AB2971" s="108" t="s">
        <v>137</v>
      </c>
      <c r="AC2971" s="26" t="s">
        <v>146</v>
      </c>
      <c r="AD2971" s="98"/>
      <c r="AE2971" s="108" t="s">
        <v>137</v>
      </c>
      <c r="AF2971" s="26" t="s">
        <v>146</v>
      </c>
      <c r="AG2971" s="98"/>
      <c r="AH2971" s="108" t="s">
        <v>137</v>
      </c>
      <c r="AI2971" s="26" t="s">
        <v>146</v>
      </c>
      <c r="AJ2971" s="98"/>
      <c r="AK2971" s="108" t="s">
        <v>137</v>
      </c>
      <c r="AL2971" s="26" t="s">
        <v>146</v>
      </c>
      <c r="AM2971" s="98"/>
      <c r="AN2971" s="108" t="s">
        <v>137</v>
      </c>
      <c r="AO2971" s="26" t="s">
        <v>146</v>
      </c>
      <c r="AP2971" s="98"/>
      <c r="AQ2971" s="108" t="s">
        <v>137</v>
      </c>
      <c r="AR2971" s="26" t="s">
        <v>146</v>
      </c>
      <c r="AS2971" s="98"/>
      <c r="AT2971" s="108" t="s">
        <v>137</v>
      </c>
      <c r="AU2971" s="26" t="s">
        <v>146</v>
      </c>
    </row>
    <row r="2972" spans="15:47" ht="13.8" x14ac:dyDescent="0.25">
      <c r="O2972" s="20" t="s">
        <v>136</v>
      </c>
      <c r="P2972" s="1"/>
      <c r="Q2972" s="1"/>
      <c r="R2972" s="96">
        <f>R2958*1.02</f>
        <v>20385.564100422984</v>
      </c>
      <c r="S2972" s="109" t="s">
        <v>144</v>
      </c>
      <c r="T2972" s="23" t="s">
        <v>147</v>
      </c>
      <c r="U2972" s="96">
        <f ca="1">U2958*1.01</f>
        <v>94625.114622342779</v>
      </c>
      <c r="V2972" s="109" t="s">
        <v>144</v>
      </c>
      <c r="W2972" s="23" t="s">
        <v>147</v>
      </c>
      <c r="X2972" s="96">
        <f ca="1">X2958*1.01</f>
        <v>231702.14750662641</v>
      </c>
      <c r="Y2972" s="109" t="s">
        <v>144</v>
      </c>
      <c r="Z2972" s="23" t="s">
        <v>147</v>
      </c>
      <c r="AA2972" s="96">
        <f ca="1">AA2958*1.01</f>
        <v>451296.64243249467</v>
      </c>
      <c r="AB2972" s="109" t="s">
        <v>144</v>
      </c>
      <c r="AC2972" s="23" t="s">
        <v>147</v>
      </c>
      <c r="AD2972" s="96">
        <f ca="1">AD2958*1.01</f>
        <v>757135.37730242021</v>
      </c>
      <c r="AE2972" s="109" t="s">
        <v>144</v>
      </c>
      <c r="AF2972" s="23" t="s">
        <v>147</v>
      </c>
      <c r="AG2972" s="96">
        <f ca="1">AG2958*1.01</f>
        <v>1105059.7046193588</v>
      </c>
      <c r="AH2972" s="109" t="s">
        <v>144</v>
      </c>
      <c r="AI2972" s="23" t="s">
        <v>147</v>
      </c>
      <c r="AJ2972" s="96">
        <f ca="1">AJ2958*1.01</f>
        <v>1474706.4596527766</v>
      </c>
      <c r="AK2972" s="109" t="s">
        <v>144</v>
      </c>
      <c r="AL2972" s="23" t="s">
        <v>147</v>
      </c>
      <c r="AM2972" s="96">
        <f ca="1">AM2958*1.01</f>
        <v>1799422.1339152462</v>
      </c>
      <c r="AN2972" s="109" t="s">
        <v>144</v>
      </c>
      <c r="AO2972" s="23" t="s">
        <v>147</v>
      </c>
      <c r="AP2972" s="96">
        <f ca="1">AP2958*1.01</f>
        <v>2089073.2350812373</v>
      </c>
      <c r="AQ2972" s="109" t="s">
        <v>144</v>
      </c>
      <c r="AR2972" s="23" t="s">
        <v>147</v>
      </c>
      <c r="AS2972" s="96">
        <f ca="1">AS2958*1.01</f>
        <v>2449602.6631379239</v>
      </c>
      <c r="AT2972" s="109" t="s">
        <v>144</v>
      </c>
      <c r="AU2972" s="23" t="s">
        <v>147</v>
      </c>
    </row>
    <row r="2973" spans="15:47" x14ac:dyDescent="0.25">
      <c r="O2973" s="1"/>
      <c r="P2973" s="1"/>
      <c r="Q2973" s="1"/>
      <c r="R2973" s="98"/>
      <c r="S2973" s="107"/>
      <c r="T2973" s="1"/>
      <c r="U2973" s="47"/>
      <c r="V2973" s="107"/>
      <c r="W2973" s="1"/>
      <c r="X2973" s="47"/>
      <c r="Y2973" s="107"/>
      <c r="Z2973" s="1"/>
      <c r="AA2973" s="47"/>
      <c r="AB2973" s="107"/>
      <c r="AC2973" s="1"/>
      <c r="AD2973" s="47"/>
      <c r="AE2973" s="107"/>
      <c r="AF2973" s="1"/>
      <c r="AG2973" s="47"/>
      <c r="AH2973" s="107"/>
      <c r="AI2973" s="1"/>
      <c r="AJ2973" s="47"/>
      <c r="AK2973" s="107"/>
      <c r="AL2973" s="1"/>
      <c r="AM2973" s="47"/>
      <c r="AN2973" s="107"/>
      <c r="AO2973" s="1"/>
      <c r="AP2973" s="47"/>
      <c r="AQ2973" s="107"/>
      <c r="AR2973" s="1"/>
      <c r="AS2973" s="47"/>
      <c r="AT2973" s="107"/>
      <c r="AU2973" s="1"/>
    </row>
    <row r="2974" spans="15:47" x14ac:dyDescent="0.25">
      <c r="O2974" s="8" t="s">
        <v>132</v>
      </c>
      <c r="P2974" s="8"/>
      <c r="Q2974" s="8"/>
      <c r="R2974" s="96">
        <f>P_1_minQ-(R2972^2*R_up)+dpup_minQ</f>
        <v>90.109298140356415</v>
      </c>
      <c r="S2974" s="106"/>
      <c r="T2974" s="22"/>
      <c r="U2974" s="96">
        <f ca="1">P_1_minQ-(U2972^2*R_up)+dpup_minQ</f>
        <v>88.55309231249133</v>
      </c>
      <c r="V2974" s="107"/>
      <c r="W2974" s="1"/>
      <c r="X2974" s="96">
        <f ca="1">P_1_minQ-(X2972^2*R_up)+dpup_minQ</f>
        <v>80.400202182505865</v>
      </c>
      <c r="Y2974" s="107"/>
      <c r="Z2974" s="1"/>
      <c r="AA2974" s="96">
        <f ca="1">P_1_minQ-(AA2972^2*R_up)+dpup_minQ</f>
        <v>53.064205071995175</v>
      </c>
      <c r="AB2974" s="107"/>
      <c r="AC2974" s="1"/>
      <c r="AD2974" s="96">
        <f ca="1">P_1_minQ-(AD2972^2*R_up)+dpup_minQ</f>
        <v>-14.296752134525734</v>
      </c>
      <c r="AE2974" s="107"/>
      <c r="AF2974" s="1"/>
      <c r="AG2974" s="96">
        <f ca="1">P_1_minQ-(AG2972^2*R_up)+dpup_minQ</f>
        <v>-132.38413803725354</v>
      </c>
      <c r="AH2974" s="107"/>
      <c r="AI2974" s="1"/>
      <c r="AJ2974" s="96">
        <f ca="1">P_1_minQ-(AJ2972^2*R_up)+dpup_minQ</f>
        <v>-306.1885423593784</v>
      </c>
      <c r="AK2974" s="107"/>
      <c r="AL2974" s="1"/>
      <c r="AM2974" s="96">
        <f ca="1">P_1_minQ-(AM2972^2*R_up)+dpup_minQ</f>
        <v>-499.96121198654492</v>
      </c>
      <c r="AN2974" s="107"/>
      <c r="AO2974" s="1"/>
      <c r="AP2974" s="96">
        <f ca="1">P_1_minQ-(AP2972^2*R_up)+dpup_minQ</f>
        <v>-705.24294581229333</v>
      </c>
      <c r="AQ2974" s="107"/>
      <c r="AR2974" s="1"/>
      <c r="AS2974" s="96">
        <f ca="1">P_1_minQ-(AS2972^2*R_up)+dpup_minQ</f>
        <v>-1003.4812547341924</v>
      </c>
      <c r="AT2974" s="107"/>
      <c r="AU2974" s="1"/>
    </row>
    <row r="2975" spans="15:47" x14ac:dyDescent="0.25">
      <c r="O2975" s="8" t="s">
        <v>134</v>
      </c>
      <c r="P2975" s="1"/>
      <c r="Q2975" s="8"/>
      <c r="R2975" s="97">
        <f>P_2_minQ+(R2972^2*R_dn)-dpdn_minQ</f>
        <v>60</v>
      </c>
      <c r="S2975" s="106"/>
      <c r="T2975" s="22"/>
      <c r="U2975" s="97">
        <f ca="1">P_2_minQ+(U2972^2*R_dn)-dpdn_minQ</f>
        <v>60</v>
      </c>
      <c r="V2975" s="107"/>
      <c r="W2975" s="1"/>
      <c r="X2975" s="97">
        <f ca="1">P_2_minQ+(X2972^2*R_dn)-dpdn_minQ</f>
        <v>60</v>
      </c>
      <c r="Y2975" s="107"/>
      <c r="Z2975" s="1"/>
      <c r="AA2975" s="97">
        <f ca="1">P_2_minQ+(AA2972^2*R_dn)-dpdn_minQ</f>
        <v>60</v>
      </c>
      <c r="AB2975" s="107"/>
      <c r="AC2975" s="1"/>
      <c r="AD2975" s="97">
        <f ca="1">P_2_minQ+(AD2972^2*R_dn)-dpdn_minQ</f>
        <v>60</v>
      </c>
      <c r="AE2975" s="107"/>
      <c r="AF2975" s="1"/>
      <c r="AG2975" s="97">
        <f ca="1">P_2_minQ+(AG2972^2*R_dn)-dpdn_minQ</f>
        <v>60</v>
      </c>
      <c r="AH2975" s="107"/>
      <c r="AI2975" s="1"/>
      <c r="AJ2975" s="97">
        <f ca="1">P_2_minQ+(AJ2972^2*R_dn)-dpdn_minQ</f>
        <v>60</v>
      </c>
      <c r="AK2975" s="107"/>
      <c r="AL2975" s="1"/>
      <c r="AM2975" s="97">
        <f ca="1">P_2_minQ+(AM2972^2*R_dn)-dpdn_minQ</f>
        <v>60</v>
      </c>
      <c r="AN2975" s="107"/>
      <c r="AO2975" s="1"/>
      <c r="AP2975" s="97">
        <f ca="1">P_2_minQ+(AP2972^2*R_dn)-dpdn_minQ</f>
        <v>60</v>
      </c>
      <c r="AQ2975" s="107"/>
      <c r="AR2975" s="1"/>
      <c r="AS2975" s="97">
        <f ca="1">P_2_minQ+(AS2972^2*R_dn)-dpdn_minQ</f>
        <v>60</v>
      </c>
      <c r="AT2975" s="107"/>
      <c r="AU2975" s="1"/>
    </row>
    <row r="2976" spans="15:47" x14ac:dyDescent="0.25">
      <c r="O2976" s="8" t="s">
        <v>138</v>
      </c>
      <c r="P2976" s="1"/>
      <c r="Q2976" s="8"/>
      <c r="R2976" s="97">
        <f>R2974-R2975</f>
        <v>30.109298140356415</v>
      </c>
      <c r="S2976" s="106"/>
      <c r="T2976" s="22"/>
      <c r="U2976" s="97">
        <f ca="1">U2974-U2975</f>
        <v>28.55309231249133</v>
      </c>
      <c r="V2976" s="110"/>
      <c r="W2976" s="25"/>
      <c r="X2976" s="97">
        <f ca="1">X2974-X2975</f>
        <v>20.400202182505865</v>
      </c>
      <c r="Y2976" s="110"/>
      <c r="Z2976" s="25"/>
      <c r="AA2976" s="97">
        <f ca="1">AA2974-AA2975</f>
        <v>-6.9357949280048246</v>
      </c>
      <c r="AB2976" s="110"/>
      <c r="AC2976" s="25"/>
      <c r="AD2976" s="97">
        <f ca="1">AD2974-AD2975</f>
        <v>-74.296752134525732</v>
      </c>
      <c r="AE2976" s="110"/>
      <c r="AF2976" s="25"/>
      <c r="AG2976" s="97">
        <f ca="1">AG2974-AG2975</f>
        <v>-192.38413803725354</v>
      </c>
      <c r="AH2976" s="110"/>
      <c r="AI2976" s="25"/>
      <c r="AJ2976" s="97">
        <f ca="1">AJ2974-AJ2975</f>
        <v>-366.1885423593784</v>
      </c>
      <c r="AK2976" s="110"/>
      <c r="AL2976" s="25"/>
      <c r="AM2976" s="97">
        <f ca="1">AM2974-AM2975</f>
        <v>-559.96121198654487</v>
      </c>
      <c r="AN2976" s="110"/>
      <c r="AO2976" s="25"/>
      <c r="AP2976" s="97">
        <f ca="1">AP2974-AP2975</f>
        <v>-765.24294581229333</v>
      </c>
      <c r="AQ2976" s="110"/>
      <c r="AR2976" s="25"/>
      <c r="AS2976" s="97">
        <f ca="1">AS2974-AS2975</f>
        <v>-1063.4812547341924</v>
      </c>
      <c r="AT2976" s="110"/>
      <c r="AU2976" s="25"/>
    </row>
    <row r="2977" spans="15:47" ht="14.4" x14ac:dyDescent="0.3">
      <c r="O2977" s="2" t="s">
        <v>140</v>
      </c>
      <c r="P2977" s="11"/>
      <c r="Q2977" s="2"/>
      <c r="R2977" s="96">
        <f>R2976/R2974</f>
        <v>0.33414196716367101</v>
      </c>
      <c r="S2977" s="106"/>
      <c r="T2977" s="22"/>
      <c r="U2977" s="96">
        <f ca="1">U2976/U2974</f>
        <v>0.32244037522406904</v>
      </c>
      <c r="V2977" s="111"/>
      <c r="W2977" s="28"/>
      <c r="X2977" s="96">
        <f ca="1">X2976/X2974</f>
        <v>0.25373321992646319</v>
      </c>
      <c r="Y2977" s="111"/>
      <c r="Z2977" s="28"/>
      <c r="AA2977" s="96">
        <f ca="1">AA2976/AA2974</f>
        <v>-0.13070571619031404</v>
      </c>
      <c r="AB2977" s="111"/>
      <c r="AC2977" s="28"/>
      <c r="AD2977" s="96">
        <f ca="1">AD2976/AD2974</f>
        <v>5.19675737785954</v>
      </c>
      <c r="AE2977" s="111"/>
      <c r="AF2977" s="28"/>
      <c r="AG2977" s="96">
        <f ca="1">AG2976/AG2974</f>
        <v>1.4532265034887768</v>
      </c>
      <c r="AH2977" s="111"/>
      <c r="AI2977" s="28"/>
      <c r="AJ2977" s="96">
        <f ca="1">AJ2976/AJ2974</f>
        <v>1.1959576917466004</v>
      </c>
      <c r="AK2977" s="111"/>
      <c r="AL2977" s="28"/>
      <c r="AM2977" s="96">
        <f ca="1">AM2976/AM2974</f>
        <v>1.12000930984545</v>
      </c>
      <c r="AN2977" s="111"/>
      <c r="AO2977" s="28"/>
      <c r="AP2977" s="96">
        <f ca="1">AP2976/AP2974</f>
        <v>1.0850770650827177</v>
      </c>
      <c r="AQ2977" s="111"/>
      <c r="AR2977" s="28"/>
      <c r="AS2977" s="96">
        <f ca="1">AS2976/AS2974</f>
        <v>1.059791849341414</v>
      </c>
      <c r="AT2977" s="111"/>
      <c r="AU2977" s="28"/>
    </row>
    <row r="2978" spans="15:47" x14ac:dyDescent="0.25">
      <c r="O2978" s="2" t="s">
        <v>21</v>
      </c>
      <c r="P2978" s="8">
        <v>12</v>
      </c>
      <c r="Q2978" s="2"/>
      <c r="R2978" s="96">
        <f ca="1">1-R2977/(3*F_GAMMA*R$29)</f>
        <v>0.82597580057004416</v>
      </c>
      <c r="S2978" s="106"/>
      <c r="T2978" s="22"/>
      <c r="U2978" s="96">
        <f ca="1">1-U2977/(3*F_GAMMA*U$29)</f>
        <v>0.83210910955730133</v>
      </c>
      <c r="V2978" s="111"/>
      <c r="W2978" s="28"/>
      <c r="X2978" s="96">
        <f ca="1">1-X2977/(3*F_GAMMA*X$29)</f>
        <v>0.86662581071392286</v>
      </c>
      <c r="Y2978" s="111"/>
      <c r="Z2978" s="28"/>
      <c r="AA2978" s="96">
        <f ca="1">1-AA2977/(3*F_GAMMA*AA$29)</f>
        <v>1.0696735834168034</v>
      </c>
      <c r="AB2978" s="111"/>
      <c r="AC2978" s="28"/>
      <c r="AD2978" s="96">
        <f ca="1">1-AD2977/(3*F_GAMMA*AD$29)</f>
        <v>-1.8560818311508416</v>
      </c>
      <c r="AE2978" s="111"/>
      <c r="AF2978" s="28"/>
      <c r="AG2978" s="96">
        <f ca="1">1-AG2977/(3*F_GAMMA*AG$29)</f>
        <v>0.15339678870607965</v>
      </c>
      <c r="AH2978" s="111"/>
      <c r="AI2978" s="28"/>
      <c r="AJ2978" s="96">
        <f ca="1">1-AJ2977/(3*F_GAMMA*AJ$29)</f>
        <v>0.25041752072718937</v>
      </c>
      <c r="AK2978" s="111"/>
      <c r="AL2978" s="28"/>
      <c r="AM2978" s="96">
        <f ca="1">1-AM2977/(3*F_GAMMA*AM$29)</f>
        <v>0.21512758247545916</v>
      </c>
      <c r="AN2978" s="111"/>
      <c r="AO2978" s="28"/>
      <c r="AP2978" s="96">
        <f ca="1">1-AP2977/(3*F_GAMMA*AP$29)</f>
        <v>0.38752432402717762</v>
      </c>
      <c r="AQ2978" s="111"/>
      <c r="AR2978" s="28"/>
      <c r="AS2978" s="96">
        <f ca="1">1-AS2977/(3*F_GAMMA*AS$29)</f>
        <v>6.2189090240830303E-2</v>
      </c>
      <c r="AT2978" s="111"/>
      <c r="AU2978" s="28"/>
    </row>
    <row r="2979" spans="15:47" x14ac:dyDescent="0.25">
      <c r="O2979" s="2" t="s">
        <v>57</v>
      </c>
      <c r="P2979" s="143">
        <v>7</v>
      </c>
      <c r="Q2979" s="2"/>
      <c r="R2979" s="96">
        <f ca="1">(R2972/(N_9*R$27*R2974*R2978))*SQRT(M*'Valve Sizing'!$W$6*'Valve Sizing'!$G$8/R2977)</f>
        <v>8.2433990661730387</v>
      </c>
      <c r="S2979" s="107"/>
      <c r="T2979" s="22"/>
      <c r="U2979" s="96">
        <f ca="1">(U2972/(N_9*U$27*U2974*U2978))*SQRT(M*'Valve Sizing'!$W$6*'Valve Sizing'!$G$8/U2977)</f>
        <v>39.370288724301929</v>
      </c>
      <c r="V2979" s="111"/>
      <c r="W2979" s="28"/>
      <c r="X2979" s="96">
        <f ca="1">(X2972/(N_9*X$27*X2974*X2978))*SQRT(M*'Valve Sizing'!$W$6*'Valve Sizing'!$G$8/X2977)</f>
        <v>115.19195034683739</v>
      </c>
      <c r="Y2979" s="111"/>
      <c r="Z2979" s="28"/>
      <c r="AA2979" s="96" t="e">
        <f ca="1">(AA2972/(N_9*AA$27*AA2974*AA2978))*SQRT(M*'Valve Sizing'!$W$6*'Valve Sizing'!$G$8/AA2977)</f>
        <v>#NUM!</v>
      </c>
      <c r="AB2979" s="111"/>
      <c r="AC2979" s="28"/>
      <c r="AD2979" s="96">
        <f ca="1">(AD2972/(N_9*AD$27*AD2974*AD2978))*SQRT(M*'Valve Sizing'!$W$6*'Valve Sizing'!$G$8/AD2977)</f>
        <v>222.41231845617492</v>
      </c>
      <c r="AE2979" s="111"/>
      <c r="AF2979" s="28"/>
      <c r="AG2979" s="96">
        <f ca="1">(AG2972/(N_9*AG$27*AG2974*AG2978))*SQRT(M*'Valve Sizing'!$W$6*'Valve Sizing'!$G$8/AG2977)</f>
        <v>-820.19705893914499</v>
      </c>
      <c r="AH2979" s="111"/>
      <c r="AI2979" s="28"/>
      <c r="AJ2979" s="96">
        <f ca="1">(AJ2972/(N_9*AJ$27*AJ2974*AJ2978))*SQRT(M*'Valve Sizing'!$W$6*'Valve Sizing'!$G$8/AJ2977)</f>
        <v>-331.10703363952842</v>
      </c>
      <c r="AK2979" s="111"/>
      <c r="AL2979" s="28"/>
      <c r="AM2979" s="96">
        <f ca="1">(AM2972/(N_9*AM$27*AM2974*AM2978))*SQRT(M*'Valve Sizing'!$W$6*'Valve Sizing'!$G$8/AM2977)</f>
        <v>-315.7787521004218</v>
      </c>
      <c r="AN2979" s="111"/>
      <c r="AO2979" s="28"/>
      <c r="AP2979" s="96">
        <f ca="1">(AP2972/(N_9*AP$27*AP2974*AP2978))*SQRT(M*'Valve Sizing'!$W$6*'Valve Sizing'!$G$8/AP2977)</f>
        <v>-166.83808330590688</v>
      </c>
      <c r="AQ2979" s="111"/>
      <c r="AR2979" s="28"/>
      <c r="AS2979" s="96">
        <f ca="1">(AS2972/(N_9*AS$27*AS2974*AS2978))*SQRT(M*'Valve Sizing'!$W$6*'Valve Sizing'!$G$8/AS2977)</f>
        <v>-1161.1235860868985</v>
      </c>
      <c r="AT2979" s="111"/>
      <c r="AU2979" s="28"/>
    </row>
    <row r="2980" spans="15:47" x14ac:dyDescent="0.25">
      <c r="O2980" s="2" t="s">
        <v>59</v>
      </c>
      <c r="P2980" s="143">
        <v>7</v>
      </c>
      <c r="Q2980" s="2"/>
      <c r="R2980" s="96">
        <f ca="1">(R2972/(N_9*R$27*R2974*0.667))*SQRT(M*'Valve Sizing'!$W$6*'Valve Sizing'!$G$8/R2981)</f>
        <v>7.3758701753710145</v>
      </c>
      <c r="S2980" s="107"/>
      <c r="T2980" s="22"/>
      <c r="U2980" s="96">
        <f ca="1">(U2972/(N_9*U$27*U2974*0.667))*SQRT(M*'Valve Sizing'!$W$6*'Valve Sizing'!$G$8/U2981)</f>
        <v>34.857580251794076</v>
      </c>
      <c r="V2980" s="111"/>
      <c r="W2980" s="28"/>
      <c r="X2980" s="96">
        <f ca="1">(X2972/(N_9*X$27*X2974*0.667))*SQRT(M*'Valve Sizing'!$W$6*'Valve Sizing'!$G$8/X2981)</f>
        <v>94.67262972923649</v>
      </c>
      <c r="Y2980" s="111"/>
      <c r="Z2980" s="28"/>
      <c r="AA2980" s="96">
        <f ca="1">(AA2972/(N_9*AA$27*AA2974*0.667))*SQRT(M*'Valve Sizing'!$W$6*'Valve Sizing'!$G$8/AA2981)</f>
        <v>283.02261126799203</v>
      </c>
      <c r="AB2980" s="111"/>
      <c r="AC2980" s="28"/>
      <c r="AD2980" s="96">
        <f ca="1">(AD2972/(N_9*AD$27*AD2974*0.667))*SQRT(M*'Valve Sizing'!$W$6*'Valve Sizing'!$G$8/AD2981)</f>
        <v>-1811.6574050242075</v>
      </c>
      <c r="AE2980" s="111"/>
      <c r="AF2980" s="28"/>
      <c r="AG2980" s="96">
        <f ca="1">(AG2972/(N_9*AG$27*AG2974*0.667))*SQRT(M*'Valve Sizing'!$W$6*'Valve Sizing'!$G$8/AG2981)</f>
        <v>-300.6140154987807</v>
      </c>
      <c r="AH2980" s="111"/>
      <c r="AI2980" s="28"/>
      <c r="AJ2980" s="96">
        <f ca="1">(AJ2972/(N_9*AJ$27*AJ2974*0.667))*SQRT(M*'Valve Sizing'!$W$6*'Valve Sizing'!$G$8/AJ2981)</f>
        <v>-186.41361339961196</v>
      </c>
      <c r="AK2980" s="111"/>
      <c r="AL2980" s="28"/>
      <c r="AM2980" s="96">
        <f ca="1">(AM2972/(N_9*AM$27*AM2974*0.667))*SQRT(M*'Valve Sizing'!$W$6*'Valve Sizing'!$G$8/AM2981)</f>
        <v>-156.28357167698979</v>
      </c>
      <c r="AN2980" s="111"/>
      <c r="AO2980" s="28"/>
      <c r="AP2980" s="96">
        <f ca="1">(AP2972/(N_9*AP$27*AP2974*0.667))*SQRT(M*'Valve Sizing'!$W$6*'Valve Sizing'!$G$8/AP2981)</f>
        <v>-131.39334697851669</v>
      </c>
      <c r="AQ2980" s="111"/>
      <c r="AR2980" s="28"/>
      <c r="AS2980" s="96">
        <f ca="1">(AS2972/(N_9*AS$27*AS2974*0.667))*SQRT(M*'Valve Sizing'!$W$6*'Valve Sizing'!$G$8/AS2981)</f>
        <v>-181.58713827809106</v>
      </c>
      <c r="AT2980" s="111"/>
      <c r="AU2980" s="28"/>
    </row>
    <row r="2981" spans="15:47" ht="15.6" x14ac:dyDescent="0.35">
      <c r="O2981" s="2" t="s">
        <v>68</v>
      </c>
      <c r="P2981" s="143">
        <v>10</v>
      </c>
      <c r="Q2981" s="2"/>
      <c r="R2981" s="96">
        <f ca="1">F_GAMMA*R$29</f>
        <v>0.64002969751372984</v>
      </c>
      <c r="S2981" s="107"/>
      <c r="T2981" s="1"/>
      <c r="U2981" s="96">
        <f ca="1">F_GAMMA*U$29</f>
        <v>0.64017842058782071</v>
      </c>
      <c r="V2981" s="111"/>
      <c r="W2981" s="28"/>
      <c r="X2981" s="96">
        <f ca="1">F_GAMMA*X$29</f>
        <v>0.63413873724904268</v>
      </c>
      <c r="Y2981" s="111"/>
      <c r="Z2981" s="28"/>
      <c r="AA2981" s="96">
        <f ca="1">F_GAMMA*AA$29</f>
        <v>0.62532411750377137</v>
      </c>
      <c r="AB2981" s="111"/>
      <c r="AC2981" s="28"/>
      <c r="AD2981" s="96">
        <f ca="1">F_GAMMA*AD$29</f>
        <v>0.60651359509139569</v>
      </c>
      <c r="AE2981" s="111"/>
      <c r="AF2981" s="28"/>
      <c r="AG2981" s="96">
        <f ca="1">F_GAMMA*AG$29</f>
        <v>0.57217930198481592</v>
      </c>
      <c r="AH2981" s="111"/>
      <c r="AI2981" s="28"/>
      <c r="AJ2981" s="96">
        <f ca="1">F_GAMMA*AJ$29</f>
        <v>0.53183282018848232</v>
      </c>
      <c r="AK2981" s="111"/>
      <c r="AL2981" s="28"/>
      <c r="AM2981" s="96">
        <f ca="1">F_GAMMA*AM$29</f>
        <v>0.47566512503094399</v>
      </c>
      <c r="AN2981" s="111"/>
      <c r="AO2981" s="28"/>
      <c r="AP2981" s="96">
        <f ca="1">F_GAMMA*AP$29</f>
        <v>0.59054158265645496</v>
      </c>
      <c r="AQ2981" s="111"/>
      <c r="AR2981" s="28"/>
      <c r="AS2981" s="96">
        <f ca="1">F_GAMMA*AS$29</f>
        <v>0.3766899554102966</v>
      </c>
      <c r="AT2981" s="111"/>
      <c r="AU2981" s="28"/>
    </row>
    <row r="2982" spans="15:47" x14ac:dyDescent="0.25">
      <c r="O2982" s="2" t="s">
        <v>145</v>
      </c>
      <c r="P2982" s="12"/>
      <c r="Q2982" s="2"/>
      <c r="R2982" s="96">
        <f ca="1">IF(R2977&lt;R2981,R2979,R2980)</f>
        <v>8.2433990661730387</v>
      </c>
      <c r="S2982" s="116"/>
      <c r="T2982" s="1"/>
      <c r="U2982" s="96">
        <f ca="1">IF(U2977&lt;U2981,U2979,U2980)</f>
        <v>39.370288724301929</v>
      </c>
      <c r="V2982" s="111"/>
      <c r="W2982" s="28"/>
      <c r="X2982" s="96">
        <f ca="1">IF(X2977&lt;X2981,X2979,X2980)</f>
        <v>115.19195034683739</v>
      </c>
      <c r="Y2982" s="111"/>
      <c r="Z2982" s="28"/>
      <c r="AA2982" s="96" t="e">
        <f ca="1">IF(AA2977&lt;AA2981,AA2979,AA2980)</f>
        <v>#NUM!</v>
      </c>
      <c r="AB2982" s="111"/>
      <c r="AC2982" s="28"/>
      <c r="AD2982" s="96">
        <f ca="1">IF(AD2977&lt;AD2981,AD2979,AD2980)</f>
        <v>-1811.6574050242075</v>
      </c>
      <c r="AE2982" s="111"/>
      <c r="AF2982" s="28"/>
      <c r="AG2982" s="96">
        <f ca="1">IF(AG2977&lt;AG2981,AG2979,AG2980)</f>
        <v>-300.6140154987807</v>
      </c>
      <c r="AH2982" s="111"/>
      <c r="AI2982" s="28"/>
      <c r="AJ2982" s="96">
        <f ca="1">IF(AJ2977&lt;AJ2981,AJ2979,AJ2980)</f>
        <v>-186.41361339961196</v>
      </c>
      <c r="AK2982" s="111"/>
      <c r="AL2982" s="28"/>
      <c r="AM2982" s="96">
        <f ca="1">IF(AM2977&lt;AM2981,AM2979,AM2980)</f>
        <v>-156.28357167698979</v>
      </c>
      <c r="AN2982" s="111"/>
      <c r="AO2982" s="28"/>
      <c r="AP2982" s="96">
        <f ca="1">IF(AP2977&lt;AP2981,AP2979,AP2980)</f>
        <v>-131.39334697851669</v>
      </c>
      <c r="AQ2982" s="111"/>
      <c r="AR2982" s="28"/>
      <c r="AS2982" s="96">
        <f ca="1">IF(AS2977&lt;AS2981,AS2979,AS2980)</f>
        <v>-181.58713827809106</v>
      </c>
      <c r="AT2982" s="111"/>
      <c r="AU2982" s="28"/>
    </row>
    <row r="2983" spans="15:47" x14ac:dyDescent="0.25">
      <c r="O2983" s="13" t="s">
        <v>143</v>
      </c>
      <c r="P2983" s="1"/>
      <c r="Q2983" s="1"/>
      <c r="R2983" s="113"/>
      <c r="S2983" s="106">
        <f ca="1">IF(R2976&lt;=0,Q_max,ABS(R$23-R2982))</f>
        <v>3.5133990661730383</v>
      </c>
      <c r="T2983" s="7">
        <f>R2972</f>
        <v>20385.564100422984</v>
      </c>
      <c r="U2983" s="98"/>
      <c r="V2983" s="106">
        <f ca="1">IF(U2976&lt;=0,Q_max,ABS(U$23-U2982))</f>
        <v>27.770288724301928</v>
      </c>
      <c r="W2983" s="9">
        <f ca="1">U2972</f>
        <v>94625.114622342779</v>
      </c>
      <c r="X2983" s="98"/>
      <c r="Y2983" s="106">
        <f ca="1">IF(X2976&lt;=0,Q_max,ABS(X$23-X2982))</f>
        <v>92.191950346837388</v>
      </c>
      <c r="Z2983" s="9">
        <f ca="1">X2972</f>
        <v>231702.14750662641</v>
      </c>
      <c r="AA2983" s="98"/>
      <c r="AB2983" s="106">
        <f ca="1">IF(AA2976&lt;=0,Q_max,ABS(AA$23-AA2982))</f>
        <v>236393</v>
      </c>
      <c r="AC2983" s="9">
        <f ca="1">AA2972</f>
        <v>451296.64243249467</v>
      </c>
      <c r="AD2983" s="98"/>
      <c r="AE2983" s="106">
        <f ca="1">IF(AD2976&lt;=0,Q_max,ABS(AD$23-AD2982))</f>
        <v>236393</v>
      </c>
      <c r="AF2983" s="9">
        <f ca="1">AD2972</f>
        <v>757135.37730242021</v>
      </c>
      <c r="AG2983" s="98"/>
      <c r="AH2983" s="106">
        <f ca="1">IF(AG2976&lt;=0,Q_max,ABS(AG$23-AG2982))</f>
        <v>236393</v>
      </c>
      <c r="AI2983" s="9">
        <f ca="1">AG2972</f>
        <v>1105059.7046193588</v>
      </c>
      <c r="AJ2983" s="98"/>
      <c r="AK2983" s="106">
        <f ca="1">IF(AJ2976&lt;=0,Q_max,ABS(AJ$23-AJ2982))</f>
        <v>236393</v>
      </c>
      <c r="AL2983" s="9">
        <f ca="1">AJ2972</f>
        <v>1474706.4596527766</v>
      </c>
      <c r="AM2983" s="98"/>
      <c r="AN2983" s="106">
        <f ca="1">IF(AM2976&lt;=0,Q_max,ABS(AM$23-AM2982))</f>
        <v>236393</v>
      </c>
      <c r="AO2983" s="9">
        <f ca="1">AM2972</f>
        <v>1799422.1339152462</v>
      </c>
      <c r="AP2983" s="98"/>
      <c r="AQ2983" s="106">
        <f ca="1">IF(AP2976&lt;=0,Q_max,ABS(AP$23-AP2982))</f>
        <v>236393</v>
      </c>
      <c r="AR2983" s="9">
        <f ca="1">AP2972</f>
        <v>2089073.2350812373</v>
      </c>
      <c r="AS2983" s="98"/>
      <c r="AT2983" s="106">
        <f ca="1">IF(AS2976&lt;=0,Q_max,ABS(AS$23-AS2982))</f>
        <v>236393</v>
      </c>
      <c r="AU2983" s="9">
        <f ca="1">AS2972</f>
        <v>2449602.6631379239</v>
      </c>
    </row>
    <row r="2984" spans="15:47" x14ac:dyDescent="0.25">
      <c r="O2984" s="21"/>
      <c r="P2984" s="14"/>
      <c r="Q2984" s="21"/>
      <c r="R2984" s="97"/>
      <c r="S2984" s="106"/>
      <c r="T2984" s="28"/>
      <c r="U2984" s="97"/>
      <c r="V2984" s="111"/>
      <c r="W2984" s="28"/>
      <c r="X2984" s="97"/>
      <c r="Y2984" s="111"/>
      <c r="Z2984" s="28"/>
      <c r="AA2984" s="97"/>
      <c r="AB2984" s="111"/>
      <c r="AC2984" s="28"/>
      <c r="AD2984" s="97"/>
      <c r="AE2984" s="111"/>
      <c r="AF2984" s="28"/>
      <c r="AG2984" s="97"/>
      <c r="AH2984" s="111"/>
      <c r="AI2984" s="28"/>
      <c r="AJ2984" s="97"/>
      <c r="AK2984" s="111"/>
      <c r="AL2984" s="28"/>
      <c r="AM2984" s="97"/>
      <c r="AN2984" s="111"/>
      <c r="AO2984" s="28"/>
      <c r="AP2984" s="97"/>
      <c r="AQ2984" s="111"/>
      <c r="AR2984" s="28"/>
      <c r="AS2984" s="97"/>
      <c r="AT2984" s="111"/>
      <c r="AU2984" s="28"/>
    </row>
    <row r="2985" spans="15:47" x14ac:dyDescent="0.25">
      <c r="O2985" s="1"/>
      <c r="P2985" s="1"/>
      <c r="Q2985" s="1"/>
      <c r="R2985" s="98"/>
      <c r="S2985" s="108" t="s">
        <v>137</v>
      </c>
      <c r="T2985" s="26" t="s">
        <v>146</v>
      </c>
      <c r="U2985" s="98"/>
      <c r="V2985" s="108" t="s">
        <v>137</v>
      </c>
      <c r="W2985" s="26" t="s">
        <v>146</v>
      </c>
      <c r="X2985" s="98"/>
      <c r="Y2985" s="108" t="s">
        <v>137</v>
      </c>
      <c r="Z2985" s="26" t="s">
        <v>146</v>
      </c>
      <c r="AA2985" s="98"/>
      <c r="AB2985" s="108" t="s">
        <v>137</v>
      </c>
      <c r="AC2985" s="26" t="s">
        <v>146</v>
      </c>
      <c r="AD2985" s="98"/>
      <c r="AE2985" s="108" t="s">
        <v>137</v>
      </c>
      <c r="AF2985" s="26" t="s">
        <v>146</v>
      </c>
      <c r="AG2985" s="98"/>
      <c r="AH2985" s="108" t="s">
        <v>137</v>
      </c>
      <c r="AI2985" s="26" t="s">
        <v>146</v>
      </c>
      <c r="AJ2985" s="98"/>
      <c r="AK2985" s="108" t="s">
        <v>137</v>
      </c>
      <c r="AL2985" s="26" t="s">
        <v>146</v>
      </c>
      <c r="AM2985" s="98"/>
      <c r="AN2985" s="108" t="s">
        <v>137</v>
      </c>
      <c r="AO2985" s="26" t="s">
        <v>146</v>
      </c>
      <c r="AP2985" s="98"/>
      <c r="AQ2985" s="108" t="s">
        <v>137</v>
      </c>
      <c r="AR2985" s="26" t="s">
        <v>146</v>
      </c>
      <c r="AS2985" s="98"/>
      <c r="AT2985" s="108" t="s">
        <v>137</v>
      </c>
      <c r="AU2985" s="26" t="s">
        <v>146</v>
      </c>
    </row>
    <row r="2986" spans="15:47" ht="13.8" x14ac:dyDescent="0.25">
      <c r="O2986" s="20" t="s">
        <v>136</v>
      </c>
      <c r="P2986" s="1"/>
      <c r="Q2986" s="1"/>
      <c r="R2986" s="96">
        <f>R2972*1.02</f>
        <v>20793.275382431442</v>
      </c>
      <c r="S2986" s="109" t="s">
        <v>144</v>
      </c>
      <c r="T2986" s="23" t="s">
        <v>147</v>
      </c>
      <c r="U2986" s="96">
        <f ca="1">U2972*1.01</f>
        <v>95571.365768566204</v>
      </c>
      <c r="V2986" s="109" t="s">
        <v>144</v>
      </c>
      <c r="W2986" s="23" t="s">
        <v>147</v>
      </c>
      <c r="X2986" s="96">
        <f ca="1">X2972*1.01</f>
        <v>234019.16898169267</v>
      </c>
      <c r="Y2986" s="109" t="s">
        <v>144</v>
      </c>
      <c r="Z2986" s="23" t="s">
        <v>147</v>
      </c>
      <c r="AA2986" s="96">
        <f ca="1">AA2972*1.01</f>
        <v>455809.60885681963</v>
      </c>
      <c r="AB2986" s="109" t="s">
        <v>144</v>
      </c>
      <c r="AC2986" s="23" t="s">
        <v>147</v>
      </c>
      <c r="AD2986" s="96">
        <f ca="1">AD2972*1.01</f>
        <v>764706.73107544438</v>
      </c>
      <c r="AE2986" s="109" t="s">
        <v>144</v>
      </c>
      <c r="AF2986" s="23" t="s">
        <v>147</v>
      </c>
      <c r="AG2986" s="96">
        <f ca="1">AG2972*1.01</f>
        <v>1116110.3016655524</v>
      </c>
      <c r="AH2986" s="109" t="s">
        <v>144</v>
      </c>
      <c r="AI2986" s="23" t="s">
        <v>147</v>
      </c>
      <c r="AJ2986" s="96">
        <f ca="1">AJ2972*1.01</f>
        <v>1489453.5242493043</v>
      </c>
      <c r="AK2986" s="109" t="s">
        <v>144</v>
      </c>
      <c r="AL2986" s="23" t="s">
        <v>147</v>
      </c>
      <c r="AM2986" s="96">
        <f ca="1">AM2972*1.01</f>
        <v>1817416.3552543987</v>
      </c>
      <c r="AN2986" s="109" t="s">
        <v>144</v>
      </c>
      <c r="AO2986" s="23" t="s">
        <v>147</v>
      </c>
      <c r="AP2986" s="96">
        <f ca="1">AP2972*1.01</f>
        <v>2109963.9674320496</v>
      </c>
      <c r="AQ2986" s="109" t="s">
        <v>144</v>
      </c>
      <c r="AR2986" s="23" t="s">
        <v>147</v>
      </c>
      <c r="AS2986" s="96">
        <f ca="1">AS2972*1.01</f>
        <v>2474098.689769303</v>
      </c>
      <c r="AT2986" s="109" t="s">
        <v>144</v>
      </c>
      <c r="AU2986" s="23" t="s">
        <v>147</v>
      </c>
    </row>
    <row r="2987" spans="15:47" x14ac:dyDescent="0.25">
      <c r="O2987" s="1"/>
      <c r="P2987" s="1"/>
      <c r="Q2987" s="1"/>
      <c r="R2987" s="98"/>
      <c r="S2987" s="107"/>
      <c r="T2987" s="1"/>
      <c r="U2987" s="47"/>
      <c r="V2987" s="107"/>
      <c r="W2987" s="1"/>
      <c r="X2987" s="47"/>
      <c r="Y2987" s="107"/>
      <c r="Z2987" s="1"/>
      <c r="AA2987" s="47"/>
      <c r="AB2987" s="107"/>
      <c r="AC2987" s="1"/>
      <c r="AD2987" s="47"/>
      <c r="AE2987" s="107"/>
      <c r="AF2987" s="1"/>
      <c r="AG2987" s="47"/>
      <c r="AH2987" s="107"/>
      <c r="AI2987" s="1"/>
      <c r="AJ2987" s="47"/>
      <c r="AK2987" s="107"/>
      <c r="AL2987" s="1"/>
      <c r="AM2987" s="47"/>
      <c r="AN2987" s="107"/>
      <c r="AO2987" s="1"/>
      <c r="AP2987" s="47"/>
      <c r="AQ2987" s="107"/>
      <c r="AR2987" s="1"/>
      <c r="AS2987" s="47"/>
      <c r="AT2987" s="107"/>
      <c r="AU2987" s="1"/>
    </row>
    <row r="2988" spans="15:47" x14ac:dyDescent="0.25">
      <c r="O2988" s="8" t="s">
        <v>132</v>
      </c>
      <c r="P2988" s="8"/>
      <c r="Q2988" s="8"/>
      <c r="R2988" s="96">
        <f>P_1_minQ-(R2986^2*R_up)+dpup_minQ</f>
        <v>90.10623814780449</v>
      </c>
      <c r="S2988" s="106"/>
      <c r="T2988" s="22"/>
      <c r="U2988" s="96">
        <f ca="1">P_1_minQ-(U2986^2*R_up)+dpup_minQ</f>
        <v>88.520290153314278</v>
      </c>
      <c r="V2988" s="107"/>
      <c r="W2988" s="1"/>
      <c r="X2988" s="96">
        <f ca="1">P_1_minQ-(X2986^2*R_up)+dpup_minQ</f>
        <v>80.203526931716098</v>
      </c>
      <c r="Y2988" s="107"/>
      <c r="Z2988" s="1"/>
      <c r="AA2988" s="96">
        <f ca="1">P_1_minQ-(AA2986^2*R_up)+dpup_minQ</f>
        <v>52.318076279284142</v>
      </c>
      <c r="AB2988" s="107"/>
      <c r="AC2988" s="1"/>
      <c r="AD2988" s="96">
        <f ca="1">P_1_minQ-(AD2986^2*R_up)+dpup_minQ</f>
        <v>-16.396836167087827</v>
      </c>
      <c r="AE2988" s="107"/>
      <c r="AF2988" s="1"/>
      <c r="AG2988" s="96">
        <f ca="1">P_1_minQ-(AG2986^2*R_up)+dpup_minQ</f>
        <v>-136.85777852646052</v>
      </c>
      <c r="AH2988" s="107"/>
      <c r="AI2988" s="1"/>
      <c r="AJ2988" s="96">
        <f ca="1">P_1_minQ-(AJ2986^2*R_up)+dpup_minQ</f>
        <v>-314.15565137545997</v>
      </c>
      <c r="AK2988" s="107"/>
      <c r="AL2988" s="1"/>
      <c r="AM2988" s="96">
        <f ca="1">P_1_minQ-(AM2986^2*R_up)+dpup_minQ</f>
        <v>-511.8231516621326</v>
      </c>
      <c r="AN2988" s="107"/>
      <c r="AO2988" s="1"/>
      <c r="AP2988" s="96">
        <f ca="1">P_1_minQ-(AP2986^2*R_up)+dpup_minQ</f>
        <v>-721.23104833777836</v>
      </c>
      <c r="AQ2988" s="107"/>
      <c r="AR2988" s="1"/>
      <c r="AS2988" s="96">
        <f ca="1">P_1_minQ-(AS2986^2*R_up)+dpup_minQ</f>
        <v>-1025.4639472690076</v>
      </c>
      <c r="AT2988" s="107"/>
      <c r="AU2988" s="1"/>
    </row>
    <row r="2989" spans="15:47" x14ac:dyDescent="0.25">
      <c r="O2989" s="8" t="s">
        <v>134</v>
      </c>
      <c r="P2989" s="1"/>
      <c r="Q2989" s="8"/>
      <c r="R2989" s="97">
        <f>P_2_minQ+(R2986^2*R_dn)-dpdn_minQ</f>
        <v>60</v>
      </c>
      <c r="S2989" s="106"/>
      <c r="T2989" s="22"/>
      <c r="U2989" s="97">
        <f ca="1">P_2_minQ+(U2986^2*R_dn)-dpdn_minQ</f>
        <v>60</v>
      </c>
      <c r="V2989" s="107"/>
      <c r="W2989" s="1"/>
      <c r="X2989" s="97">
        <f ca="1">P_2_minQ+(X2986^2*R_dn)-dpdn_minQ</f>
        <v>60</v>
      </c>
      <c r="Y2989" s="107"/>
      <c r="Z2989" s="1"/>
      <c r="AA2989" s="97">
        <f ca="1">P_2_minQ+(AA2986^2*R_dn)-dpdn_minQ</f>
        <v>60</v>
      </c>
      <c r="AB2989" s="107"/>
      <c r="AC2989" s="1"/>
      <c r="AD2989" s="97">
        <f ca="1">P_2_minQ+(AD2986^2*R_dn)-dpdn_minQ</f>
        <v>60</v>
      </c>
      <c r="AE2989" s="107"/>
      <c r="AF2989" s="1"/>
      <c r="AG2989" s="97">
        <f ca="1">P_2_minQ+(AG2986^2*R_dn)-dpdn_minQ</f>
        <v>60</v>
      </c>
      <c r="AH2989" s="107"/>
      <c r="AI2989" s="1"/>
      <c r="AJ2989" s="97">
        <f ca="1">P_2_minQ+(AJ2986^2*R_dn)-dpdn_minQ</f>
        <v>60</v>
      </c>
      <c r="AK2989" s="107"/>
      <c r="AL2989" s="1"/>
      <c r="AM2989" s="97">
        <f ca="1">P_2_minQ+(AM2986^2*R_dn)-dpdn_minQ</f>
        <v>60</v>
      </c>
      <c r="AN2989" s="107"/>
      <c r="AO2989" s="1"/>
      <c r="AP2989" s="97">
        <f ca="1">P_2_minQ+(AP2986^2*R_dn)-dpdn_minQ</f>
        <v>60</v>
      </c>
      <c r="AQ2989" s="107"/>
      <c r="AR2989" s="1"/>
      <c r="AS2989" s="97">
        <f ca="1">P_2_minQ+(AS2986^2*R_dn)-dpdn_minQ</f>
        <v>60</v>
      </c>
      <c r="AT2989" s="107"/>
      <c r="AU2989" s="1"/>
    </row>
    <row r="2990" spans="15:47" x14ac:dyDescent="0.25">
      <c r="O2990" s="8" t="s">
        <v>138</v>
      </c>
      <c r="P2990" s="1"/>
      <c r="Q2990" s="8"/>
      <c r="R2990" s="97">
        <f>R2988-R2989</f>
        <v>30.10623814780449</v>
      </c>
      <c r="S2990" s="106"/>
      <c r="T2990" s="22"/>
      <c r="U2990" s="97">
        <f ca="1">U2988-U2989</f>
        <v>28.520290153314278</v>
      </c>
      <c r="V2990" s="110"/>
      <c r="W2990" s="25"/>
      <c r="X2990" s="97">
        <f ca="1">X2988-X2989</f>
        <v>20.203526931716098</v>
      </c>
      <c r="Y2990" s="110"/>
      <c r="Z2990" s="25"/>
      <c r="AA2990" s="97">
        <f ca="1">AA2988-AA2989</f>
        <v>-7.6819237207158579</v>
      </c>
      <c r="AB2990" s="110"/>
      <c r="AC2990" s="25"/>
      <c r="AD2990" s="97">
        <f ca="1">AD2988-AD2989</f>
        <v>-76.396836167087827</v>
      </c>
      <c r="AE2990" s="110"/>
      <c r="AF2990" s="25"/>
      <c r="AG2990" s="97">
        <f ca="1">AG2988-AG2989</f>
        <v>-196.85777852646052</v>
      </c>
      <c r="AH2990" s="110"/>
      <c r="AI2990" s="25"/>
      <c r="AJ2990" s="97">
        <f ca="1">AJ2988-AJ2989</f>
        <v>-374.15565137545997</v>
      </c>
      <c r="AK2990" s="110"/>
      <c r="AL2990" s="25"/>
      <c r="AM2990" s="97">
        <f ca="1">AM2988-AM2989</f>
        <v>-571.82315166213266</v>
      </c>
      <c r="AN2990" s="110"/>
      <c r="AO2990" s="25"/>
      <c r="AP2990" s="97">
        <f ca="1">AP2988-AP2989</f>
        <v>-781.23104833777836</v>
      </c>
      <c r="AQ2990" s="110"/>
      <c r="AR2990" s="25"/>
      <c r="AS2990" s="97">
        <f ca="1">AS2988-AS2989</f>
        <v>-1085.4639472690076</v>
      </c>
      <c r="AT2990" s="110"/>
      <c r="AU2990" s="25"/>
    </row>
    <row r="2991" spans="15:47" ht="14.4" x14ac:dyDescent="0.3">
      <c r="O2991" s="2" t="s">
        <v>140</v>
      </c>
      <c r="P2991" s="11"/>
      <c r="Q2991" s="2"/>
      <c r="R2991" s="96">
        <f>R2990/R2988</f>
        <v>0.33411935473790561</v>
      </c>
      <c r="S2991" s="106"/>
      <c r="T2991" s="22"/>
      <c r="U2991" s="96">
        <f ca="1">U2990/U2988</f>
        <v>0.32218929811366476</v>
      </c>
      <c r="V2991" s="111"/>
      <c r="W2991" s="28"/>
      <c r="X2991" s="96">
        <f ca="1">X2990/X2988</f>
        <v>0.25190322302056656</v>
      </c>
      <c r="Y2991" s="111"/>
      <c r="Z2991" s="28"/>
      <c r="AA2991" s="96">
        <f ca="1">AA2990/AA2988</f>
        <v>-0.14683115792920681</v>
      </c>
      <c r="AB2991" s="111"/>
      <c r="AC2991" s="28"/>
      <c r="AD2991" s="96">
        <f ca="1">AD2990/AD2988</f>
        <v>4.6592425141402352</v>
      </c>
      <c r="AE2991" s="111"/>
      <c r="AF2991" s="28"/>
      <c r="AG2991" s="96">
        <f ca="1">AG2990/AG2988</f>
        <v>1.4384113248513632</v>
      </c>
      <c r="AH2991" s="111"/>
      <c r="AI2991" s="28"/>
      <c r="AJ2991" s="96">
        <f ca="1">AJ2990/AJ2988</f>
        <v>1.1909881287740758</v>
      </c>
      <c r="AK2991" s="111"/>
      <c r="AL2991" s="28"/>
      <c r="AM2991" s="96">
        <f ca="1">AM2990/AM2988</f>
        <v>1.1172279913582486</v>
      </c>
      <c r="AN2991" s="111"/>
      <c r="AO2991" s="28"/>
      <c r="AP2991" s="96">
        <f ca="1">AP2990/AP2988</f>
        <v>1.0831910940859826</v>
      </c>
      <c r="AQ2991" s="111"/>
      <c r="AR2991" s="28"/>
      <c r="AS2991" s="96">
        <f ca="1">AS2990/AS2988</f>
        <v>1.0585101018517429</v>
      </c>
      <c r="AT2991" s="111"/>
      <c r="AU2991" s="28"/>
    </row>
    <row r="2992" spans="15:47" x14ac:dyDescent="0.25">
      <c r="O2992" s="2" t="s">
        <v>21</v>
      </c>
      <c r="P2992" s="8">
        <v>12</v>
      </c>
      <c r="Q2992" s="2"/>
      <c r="R2992" s="96">
        <f ca="1">1-R2991/(3*F_GAMMA*R$29)</f>
        <v>0.82598757732866079</v>
      </c>
      <c r="S2992" s="106"/>
      <c r="T2992" s="22"/>
      <c r="U2992" s="96">
        <f ca="1">1-U2991/(3*F_GAMMA*U$29)</f>
        <v>0.83223984243964044</v>
      </c>
      <c r="V2992" s="111"/>
      <c r="W2992" s="28"/>
      <c r="X2992" s="96">
        <f ca="1">1-X2991/(3*F_GAMMA*X$29)</f>
        <v>0.86758774369924785</v>
      </c>
      <c r="Y2992" s="111"/>
      <c r="Z2992" s="28"/>
      <c r="AA2992" s="96">
        <f ca="1">1-AA2991/(3*F_GAMMA*AA$29)</f>
        <v>1.0782693613435443</v>
      </c>
      <c r="AB2992" s="111"/>
      <c r="AC2992" s="28"/>
      <c r="AD2992" s="96">
        <f ca="1">1-AD2991/(3*F_GAMMA*AD$29)</f>
        <v>-1.5606694567377519</v>
      </c>
      <c r="AE2992" s="111"/>
      <c r="AF2992" s="28"/>
      <c r="AG2992" s="96">
        <f ca="1">1-AG2991/(3*F_GAMMA*AG$29)</f>
        <v>0.16202763722158386</v>
      </c>
      <c r="AH2992" s="111"/>
      <c r="AI2992" s="28"/>
      <c r="AJ2992" s="96">
        <f ca="1">1-AJ2991/(3*F_GAMMA*AJ$29)</f>
        <v>0.25353226078827562</v>
      </c>
      <c r="AK2992" s="111"/>
      <c r="AL2992" s="28"/>
      <c r="AM2992" s="96">
        <f ca="1">1-AM2991/(3*F_GAMMA*AM$29)</f>
        <v>0.21707665570705281</v>
      </c>
      <c r="AN2992" s="111"/>
      <c r="AO2992" s="28"/>
      <c r="AP2992" s="96">
        <f ca="1">1-AP2991/(3*F_GAMMA*AP$29)</f>
        <v>0.38858886718108021</v>
      </c>
      <c r="AQ2992" s="111"/>
      <c r="AR2992" s="28"/>
      <c r="AS2992" s="96">
        <f ca="1">1-AS2991/(3*F_GAMMA*AS$29)</f>
        <v>6.3323309927570737E-2</v>
      </c>
      <c r="AT2992" s="111"/>
      <c r="AU2992" s="28"/>
    </row>
    <row r="2993" spans="15:47" x14ac:dyDescent="0.25">
      <c r="O2993" s="2" t="s">
        <v>57</v>
      </c>
      <c r="P2993" s="143">
        <v>7</v>
      </c>
      <c r="Q2993" s="2"/>
      <c r="R2993" s="96">
        <f ca="1">(R2986/(N_9*R$27*R2988*R2992))*SQRT(M*'Valve Sizing'!$W$6*'Valve Sizing'!$G$8/R2991)</f>
        <v>8.4087172302615265</v>
      </c>
      <c r="S2993" s="107"/>
      <c r="T2993" s="22"/>
      <c r="U2993" s="96">
        <f ca="1">(U2986/(N_9*U$27*U2988*U2992))*SQRT(M*'Valve Sizing'!$W$6*'Valve Sizing'!$G$8/U2991)</f>
        <v>39.787971946735489</v>
      </c>
      <c r="V2993" s="111"/>
      <c r="W2993" s="28"/>
      <c r="X2993" s="96">
        <f ca="1">(X2986/(N_9*X$27*X2988*X2992))*SQRT(M*'Valve Sizing'!$W$6*'Valve Sizing'!$G$8/X2991)</f>
        <v>116.92225805745184</v>
      </c>
      <c r="Y2993" s="111"/>
      <c r="Z2993" s="28"/>
      <c r="AA2993" s="96" t="e">
        <f ca="1">(AA2986/(N_9*AA$27*AA2988*AA2992))*SQRT(M*'Valve Sizing'!$W$6*'Valve Sizing'!$G$8/AA2991)</f>
        <v>#NUM!</v>
      </c>
      <c r="AB2993" s="111"/>
      <c r="AC2993" s="28"/>
      <c r="AD2993" s="96">
        <f ca="1">(AD2986/(N_9*AD$27*AD2988*AD2992))*SQRT(M*'Valve Sizing'!$W$6*'Valve Sizing'!$G$8/AD2991)</f>
        <v>246.00973466845221</v>
      </c>
      <c r="AE2993" s="111"/>
      <c r="AF2993" s="28"/>
      <c r="AG2993" s="96">
        <f ca="1">(AG2986/(N_9*AG$27*AG2988*AG2992))*SQRT(M*'Valve Sizing'!$W$6*'Valve Sizing'!$G$8/AG2991)</f>
        <v>-762.53243993487888</v>
      </c>
      <c r="AH2993" s="111"/>
      <c r="AI2993" s="28"/>
      <c r="AJ2993" s="96">
        <f ca="1">(AJ2986/(N_9*AJ$27*AJ2988*AJ2992))*SQRT(M*'Valve Sizing'!$W$6*'Valve Sizing'!$G$8/AJ2991)</f>
        <v>-322.60382549909724</v>
      </c>
      <c r="AK2993" s="111"/>
      <c r="AL2993" s="28"/>
      <c r="AM2993" s="96">
        <f ca="1">(AM2986/(N_9*AM$27*AM2988*AM2992))*SQRT(M*'Valve Sizing'!$W$6*'Valve Sizing'!$G$8/AM2991)</f>
        <v>-309.13170574062497</v>
      </c>
      <c r="AN2993" s="111"/>
      <c r="AO2993" s="28"/>
      <c r="AP2993" s="96">
        <f ca="1">(AP2986/(N_9*AP$27*AP2988*AP2992))*SQRT(M*'Valve Sizing'!$W$6*'Valve Sizing'!$G$8/AP2991)</f>
        <v>-164.46264361900242</v>
      </c>
      <c r="AQ2993" s="111"/>
      <c r="AR2993" s="28"/>
      <c r="AS2993" s="96">
        <f ca="1">(AS2986/(N_9*AS$27*AS2988*AS2992))*SQRT(M*'Valve Sizing'!$W$6*'Valve Sizing'!$G$8/AS2991)</f>
        <v>-1127.7220415351105</v>
      </c>
      <c r="AT2993" s="111"/>
      <c r="AU2993" s="28"/>
    </row>
    <row r="2994" spans="15:47" x14ac:dyDescent="0.25">
      <c r="O2994" s="2" t="s">
        <v>59</v>
      </c>
      <c r="P2994" s="143">
        <v>7</v>
      </c>
      <c r="Q2994" s="2"/>
      <c r="R2994" s="96">
        <f ca="1">(R2986/(N_9*R$27*R2988*0.667))*SQRT(M*'Valve Sizing'!$W$6*'Valve Sizing'!$G$8/R2995)</f>
        <v>7.523643071843515</v>
      </c>
      <c r="S2994" s="107"/>
      <c r="T2994" s="22"/>
      <c r="U2994" s="96">
        <f ca="1">(U2986/(N_9*U$27*U2988*0.667))*SQRT(M*'Valve Sizing'!$W$6*'Valve Sizing'!$G$8/U2995)</f>
        <v>35.219202079499077</v>
      </c>
      <c r="V2994" s="111"/>
      <c r="W2994" s="28"/>
      <c r="X2994" s="96">
        <f ca="1">(X2986/(N_9*X$27*X2988*0.667))*SQRT(M*'Valve Sizing'!$W$6*'Valve Sizing'!$G$8/X2995)</f>
        <v>95.853834004571937</v>
      </c>
      <c r="Y2994" s="111"/>
      <c r="Z2994" s="28"/>
      <c r="AA2994" s="96">
        <f ca="1">(AA2986/(N_9*AA$27*AA2988*0.667))*SQRT(M*'Valve Sizing'!$W$6*'Valve Sizing'!$G$8/AA2995)</f>
        <v>289.92949783181928</v>
      </c>
      <c r="AB2994" s="111"/>
      <c r="AC2994" s="28"/>
      <c r="AD2994" s="96">
        <f ca="1">(AD2986/(N_9*AD$27*AD2988*0.667))*SQRT(M*'Valve Sizing'!$W$6*'Valve Sizing'!$G$8/AD2995)</f>
        <v>-1595.4190658769276</v>
      </c>
      <c r="AE2994" s="111"/>
      <c r="AF2994" s="28"/>
      <c r="AG2994" s="96">
        <f ca="1">(AG2986/(N_9*AG$27*AG2988*0.667))*SQRT(M*'Valve Sizing'!$W$6*'Valve Sizing'!$G$8/AG2995)</f>
        <v>-293.69534585269895</v>
      </c>
      <c r="AH2994" s="111"/>
      <c r="AI2994" s="28"/>
      <c r="AJ2994" s="96">
        <f ca="1">(AJ2986/(N_9*AJ$27*AJ2988*0.667))*SQRT(M*'Valve Sizing'!$W$6*'Valve Sizing'!$G$8/AJ2995)</f>
        <v>-183.50295287065072</v>
      </c>
      <c r="AK2994" s="111"/>
      <c r="AL2994" s="28"/>
      <c r="AM2994" s="96">
        <f ca="1">(AM2986/(N_9*AM$27*AM2988*0.667))*SQRT(M*'Valve Sizing'!$W$6*'Valve Sizing'!$G$8/AM2995)</f>
        <v>-154.18818178119693</v>
      </c>
      <c r="AN2994" s="111"/>
      <c r="AO2994" s="28"/>
      <c r="AP2994" s="96">
        <f ca="1">(AP2986/(N_9*AP$27*AP2988*0.667))*SQRT(M*'Valve Sizing'!$W$6*'Valve Sizing'!$G$8/AP2995)</f>
        <v>-129.765452568629</v>
      </c>
      <c r="AQ2994" s="111"/>
      <c r="AR2994" s="28"/>
      <c r="AS2994" s="96">
        <f ca="1">(AS2986/(N_9*AS$27*AS2988*0.667))*SQRT(M*'Valve Sizing'!$W$6*'Valve Sizing'!$G$8/AS2995)</f>
        <v>-179.47143119624445</v>
      </c>
      <c r="AT2994" s="111"/>
      <c r="AU2994" s="28"/>
    </row>
    <row r="2995" spans="15:47" ht="15.6" x14ac:dyDescent="0.35">
      <c r="O2995" s="2" t="s">
        <v>68</v>
      </c>
      <c r="P2995" s="143">
        <v>10</v>
      </c>
      <c r="Q2995" s="2"/>
      <c r="R2995" s="96">
        <f ca="1">F_GAMMA*R$29</f>
        <v>0.64002969751372984</v>
      </c>
      <c r="S2995" s="107"/>
      <c r="T2995" s="1"/>
      <c r="U2995" s="96">
        <f ca="1">F_GAMMA*U$29</f>
        <v>0.64017842058782071</v>
      </c>
      <c r="V2995" s="111"/>
      <c r="W2995" s="28"/>
      <c r="X2995" s="96">
        <f ca="1">F_GAMMA*X$29</f>
        <v>0.63413873724904268</v>
      </c>
      <c r="Y2995" s="111"/>
      <c r="Z2995" s="28"/>
      <c r="AA2995" s="96">
        <f ca="1">F_GAMMA*AA$29</f>
        <v>0.62532411750377137</v>
      </c>
      <c r="AB2995" s="111"/>
      <c r="AC2995" s="28"/>
      <c r="AD2995" s="96">
        <f ca="1">F_GAMMA*AD$29</f>
        <v>0.60651359509139569</v>
      </c>
      <c r="AE2995" s="111"/>
      <c r="AF2995" s="28"/>
      <c r="AG2995" s="96">
        <f ca="1">F_GAMMA*AG$29</f>
        <v>0.57217930198481592</v>
      </c>
      <c r="AH2995" s="111"/>
      <c r="AI2995" s="28"/>
      <c r="AJ2995" s="96">
        <f ca="1">F_GAMMA*AJ$29</f>
        <v>0.53183282018848232</v>
      </c>
      <c r="AK2995" s="111"/>
      <c r="AL2995" s="28"/>
      <c r="AM2995" s="96">
        <f ca="1">F_GAMMA*AM$29</f>
        <v>0.47566512503094399</v>
      </c>
      <c r="AN2995" s="111"/>
      <c r="AO2995" s="28"/>
      <c r="AP2995" s="96">
        <f ca="1">F_GAMMA*AP$29</f>
        <v>0.59054158265645496</v>
      </c>
      <c r="AQ2995" s="111"/>
      <c r="AR2995" s="28"/>
      <c r="AS2995" s="96">
        <f ca="1">F_GAMMA*AS$29</f>
        <v>0.3766899554102966</v>
      </c>
      <c r="AT2995" s="111"/>
      <c r="AU2995" s="28"/>
    </row>
    <row r="2996" spans="15:47" x14ac:dyDescent="0.25">
      <c r="O2996" s="2" t="s">
        <v>145</v>
      </c>
      <c r="P2996" s="12"/>
      <c r="Q2996" s="2"/>
      <c r="R2996" s="96">
        <f ca="1">IF(R2991&lt;R2995,R2993,R2994)</f>
        <v>8.4087172302615265</v>
      </c>
      <c r="S2996" s="116"/>
      <c r="T2996" s="1"/>
      <c r="U2996" s="96">
        <f ca="1">IF(U2991&lt;U2995,U2993,U2994)</f>
        <v>39.787971946735489</v>
      </c>
      <c r="V2996" s="111"/>
      <c r="W2996" s="28"/>
      <c r="X2996" s="96">
        <f ca="1">IF(X2991&lt;X2995,X2993,X2994)</f>
        <v>116.92225805745184</v>
      </c>
      <c r="Y2996" s="111"/>
      <c r="Z2996" s="28"/>
      <c r="AA2996" s="96" t="e">
        <f ca="1">IF(AA2991&lt;AA2995,AA2993,AA2994)</f>
        <v>#NUM!</v>
      </c>
      <c r="AB2996" s="111"/>
      <c r="AC2996" s="28"/>
      <c r="AD2996" s="96">
        <f ca="1">IF(AD2991&lt;AD2995,AD2993,AD2994)</f>
        <v>-1595.4190658769276</v>
      </c>
      <c r="AE2996" s="111"/>
      <c r="AF2996" s="28"/>
      <c r="AG2996" s="96">
        <f ca="1">IF(AG2991&lt;AG2995,AG2993,AG2994)</f>
        <v>-293.69534585269895</v>
      </c>
      <c r="AH2996" s="111"/>
      <c r="AI2996" s="28"/>
      <c r="AJ2996" s="96">
        <f ca="1">IF(AJ2991&lt;AJ2995,AJ2993,AJ2994)</f>
        <v>-183.50295287065072</v>
      </c>
      <c r="AK2996" s="111"/>
      <c r="AL2996" s="28"/>
      <c r="AM2996" s="96">
        <f ca="1">IF(AM2991&lt;AM2995,AM2993,AM2994)</f>
        <v>-154.18818178119693</v>
      </c>
      <c r="AN2996" s="111"/>
      <c r="AO2996" s="28"/>
      <c r="AP2996" s="96">
        <f ca="1">IF(AP2991&lt;AP2995,AP2993,AP2994)</f>
        <v>-129.765452568629</v>
      </c>
      <c r="AQ2996" s="111"/>
      <c r="AR2996" s="28"/>
      <c r="AS2996" s="96">
        <f ca="1">IF(AS2991&lt;AS2995,AS2993,AS2994)</f>
        <v>-179.47143119624445</v>
      </c>
      <c r="AT2996" s="111"/>
      <c r="AU2996" s="28"/>
    </row>
    <row r="2997" spans="15:47" x14ac:dyDescent="0.25">
      <c r="O2997" s="13" t="s">
        <v>143</v>
      </c>
      <c r="P2997" s="1"/>
      <c r="Q2997" s="1"/>
      <c r="R2997" s="113"/>
      <c r="S2997" s="106">
        <f ca="1">IF(R2990&lt;=0,Q_max,ABS(R$23-R2996))</f>
        <v>3.6787172302615261</v>
      </c>
      <c r="T2997" s="7">
        <f>R2986</f>
        <v>20793.275382431442</v>
      </c>
      <c r="U2997" s="98"/>
      <c r="V2997" s="106">
        <f ca="1">IF(U2990&lt;=0,Q_max,ABS(U$23-U2996))</f>
        <v>28.187971946735487</v>
      </c>
      <c r="W2997" s="9">
        <f ca="1">U2986</f>
        <v>95571.365768566204</v>
      </c>
      <c r="X2997" s="98"/>
      <c r="Y2997" s="106">
        <f ca="1">IF(X2990&lt;=0,Q_max,ABS(X$23-X2996))</f>
        <v>93.922258057451842</v>
      </c>
      <c r="Z2997" s="9">
        <f ca="1">X2986</f>
        <v>234019.16898169267</v>
      </c>
      <c r="AA2997" s="98"/>
      <c r="AB2997" s="106">
        <f ca="1">IF(AA2990&lt;=0,Q_max,ABS(AA$23-AA2996))</f>
        <v>236393</v>
      </c>
      <c r="AC2997" s="9">
        <f ca="1">AA2986</f>
        <v>455809.60885681963</v>
      </c>
      <c r="AD2997" s="98"/>
      <c r="AE2997" s="106">
        <f ca="1">IF(AD2990&lt;=0,Q_max,ABS(AD$23-AD2996))</f>
        <v>236393</v>
      </c>
      <c r="AF2997" s="9">
        <f ca="1">AD2986</f>
        <v>764706.73107544438</v>
      </c>
      <c r="AG2997" s="98"/>
      <c r="AH2997" s="106">
        <f ca="1">IF(AG2990&lt;=0,Q_max,ABS(AG$23-AG2996))</f>
        <v>236393</v>
      </c>
      <c r="AI2997" s="9">
        <f ca="1">AG2986</f>
        <v>1116110.3016655524</v>
      </c>
      <c r="AJ2997" s="98"/>
      <c r="AK2997" s="106">
        <f ca="1">IF(AJ2990&lt;=0,Q_max,ABS(AJ$23-AJ2996))</f>
        <v>236393</v>
      </c>
      <c r="AL2997" s="9">
        <f ca="1">AJ2986</f>
        <v>1489453.5242493043</v>
      </c>
      <c r="AM2997" s="98"/>
      <c r="AN2997" s="106">
        <f ca="1">IF(AM2990&lt;=0,Q_max,ABS(AM$23-AM2996))</f>
        <v>236393</v>
      </c>
      <c r="AO2997" s="9">
        <f ca="1">AM2986</f>
        <v>1817416.3552543987</v>
      </c>
      <c r="AP2997" s="98"/>
      <c r="AQ2997" s="106">
        <f ca="1">IF(AP2990&lt;=0,Q_max,ABS(AP$23-AP2996))</f>
        <v>236393</v>
      </c>
      <c r="AR2997" s="9">
        <f ca="1">AP2986</f>
        <v>2109963.9674320496</v>
      </c>
      <c r="AS2997" s="98"/>
      <c r="AT2997" s="106">
        <f ca="1">IF(AS2990&lt;=0,Q_max,ABS(AS$23-AS2996))</f>
        <v>236393</v>
      </c>
      <c r="AU2997" s="9">
        <f ca="1">AS2986</f>
        <v>2474098.689769303</v>
      </c>
    </row>
    <row r="2998" spans="15:47" x14ac:dyDescent="0.25">
      <c r="O2998" s="21"/>
      <c r="P2998" s="14"/>
      <c r="Q2998" s="21"/>
      <c r="R2998" s="97"/>
      <c r="S2998" s="106"/>
      <c r="T2998" s="28"/>
      <c r="U2998" s="97"/>
      <c r="V2998" s="111"/>
      <c r="W2998" s="28"/>
      <c r="X2998" s="97"/>
      <c r="Y2998" s="111"/>
      <c r="Z2998" s="28"/>
      <c r="AA2998" s="97"/>
      <c r="AB2998" s="111"/>
      <c r="AC2998" s="28"/>
      <c r="AD2998" s="97"/>
      <c r="AE2998" s="111"/>
      <c r="AF2998" s="28"/>
      <c r="AG2998" s="97"/>
      <c r="AH2998" s="111"/>
      <c r="AI2998" s="28"/>
      <c r="AJ2998" s="97"/>
      <c r="AK2998" s="111"/>
      <c r="AL2998" s="28"/>
      <c r="AM2998" s="97"/>
      <c r="AN2998" s="111"/>
      <c r="AO2998" s="28"/>
      <c r="AP2998" s="97"/>
      <c r="AQ2998" s="111"/>
      <c r="AR2998" s="28"/>
      <c r="AS2998" s="97"/>
      <c r="AT2998" s="111"/>
      <c r="AU2998" s="28"/>
    </row>
    <row r="2999" spans="15:47" x14ac:dyDescent="0.25">
      <c r="O2999" s="1"/>
      <c r="P2999" s="1"/>
      <c r="Q2999" s="1"/>
      <c r="R2999" s="98"/>
      <c r="S2999" s="108" t="s">
        <v>137</v>
      </c>
      <c r="T2999" s="26" t="s">
        <v>146</v>
      </c>
      <c r="U2999" s="98"/>
      <c r="V2999" s="108" t="s">
        <v>137</v>
      </c>
      <c r="W2999" s="26" t="s">
        <v>146</v>
      </c>
      <c r="X2999" s="98"/>
      <c r="Y2999" s="108" t="s">
        <v>137</v>
      </c>
      <c r="Z2999" s="26" t="s">
        <v>146</v>
      </c>
      <c r="AA2999" s="98"/>
      <c r="AB2999" s="108" t="s">
        <v>137</v>
      </c>
      <c r="AC2999" s="26" t="s">
        <v>146</v>
      </c>
      <c r="AD2999" s="98"/>
      <c r="AE2999" s="108" t="s">
        <v>137</v>
      </c>
      <c r="AF2999" s="26" t="s">
        <v>146</v>
      </c>
      <c r="AG2999" s="98"/>
      <c r="AH2999" s="108" t="s">
        <v>137</v>
      </c>
      <c r="AI2999" s="26" t="s">
        <v>146</v>
      </c>
      <c r="AJ2999" s="98"/>
      <c r="AK2999" s="108" t="s">
        <v>137</v>
      </c>
      <c r="AL2999" s="26" t="s">
        <v>146</v>
      </c>
      <c r="AM2999" s="98"/>
      <c r="AN2999" s="108" t="s">
        <v>137</v>
      </c>
      <c r="AO2999" s="26" t="s">
        <v>146</v>
      </c>
      <c r="AP2999" s="98"/>
      <c r="AQ2999" s="108" t="s">
        <v>137</v>
      </c>
      <c r="AR2999" s="26" t="s">
        <v>146</v>
      </c>
      <c r="AS2999" s="98"/>
      <c r="AT2999" s="108" t="s">
        <v>137</v>
      </c>
      <c r="AU2999" s="26" t="s">
        <v>146</v>
      </c>
    </row>
    <row r="3000" spans="15:47" ht="13.8" x14ac:dyDescent="0.25">
      <c r="O3000" s="20" t="s">
        <v>136</v>
      </c>
      <c r="P3000" s="1"/>
      <c r="Q3000" s="1"/>
      <c r="R3000" s="96">
        <f>R2986*1.02</f>
        <v>21209.140890080071</v>
      </c>
      <c r="S3000" s="109" t="s">
        <v>144</v>
      </c>
      <c r="T3000" s="23" t="s">
        <v>147</v>
      </c>
      <c r="U3000" s="96">
        <f ca="1">U2986*1.01</f>
        <v>96527.079426251861</v>
      </c>
      <c r="V3000" s="109" t="s">
        <v>144</v>
      </c>
      <c r="W3000" s="23" t="s">
        <v>147</v>
      </c>
      <c r="X3000" s="96">
        <f ca="1">X2986*1.01</f>
        <v>236359.36067150958</v>
      </c>
      <c r="Y3000" s="109" t="s">
        <v>144</v>
      </c>
      <c r="Z3000" s="23" t="s">
        <v>147</v>
      </c>
      <c r="AA3000" s="96">
        <f ca="1">AA2986*1.01</f>
        <v>460367.70494538784</v>
      </c>
      <c r="AB3000" s="109" t="s">
        <v>144</v>
      </c>
      <c r="AC3000" s="23" t="s">
        <v>147</v>
      </c>
      <c r="AD3000" s="96">
        <f ca="1">AD2986*1.01</f>
        <v>772353.79838619882</v>
      </c>
      <c r="AE3000" s="109" t="s">
        <v>144</v>
      </c>
      <c r="AF3000" s="23" t="s">
        <v>147</v>
      </c>
      <c r="AG3000" s="96">
        <f ca="1">AG2986*1.01</f>
        <v>1127271.4046822079</v>
      </c>
      <c r="AH3000" s="109" t="s">
        <v>144</v>
      </c>
      <c r="AI3000" s="23" t="s">
        <v>147</v>
      </c>
      <c r="AJ3000" s="96">
        <f ca="1">AJ2986*1.01</f>
        <v>1504348.0594917974</v>
      </c>
      <c r="AK3000" s="109" t="s">
        <v>144</v>
      </c>
      <c r="AL3000" s="23" t="s">
        <v>147</v>
      </c>
      <c r="AM3000" s="96">
        <f ca="1">AM2986*1.01</f>
        <v>1835590.5188069427</v>
      </c>
      <c r="AN3000" s="109" t="s">
        <v>144</v>
      </c>
      <c r="AO3000" s="23" t="s">
        <v>147</v>
      </c>
      <c r="AP3000" s="96">
        <f ca="1">AP2986*1.01</f>
        <v>2131063.6071063699</v>
      </c>
      <c r="AQ3000" s="109" t="s">
        <v>144</v>
      </c>
      <c r="AR3000" s="23" t="s">
        <v>147</v>
      </c>
      <c r="AS3000" s="96">
        <f ca="1">AS2986*1.01</f>
        <v>2498839.676666996</v>
      </c>
      <c r="AT3000" s="109" t="s">
        <v>144</v>
      </c>
      <c r="AU3000" s="23" t="s">
        <v>147</v>
      </c>
    </row>
    <row r="3001" spans="15:47" x14ac:dyDescent="0.25">
      <c r="O3001" s="1"/>
      <c r="P3001" s="1"/>
      <c r="Q3001" s="1"/>
      <c r="R3001" s="98"/>
      <c r="S3001" s="107"/>
      <c r="T3001" s="1"/>
      <c r="U3001" s="47"/>
      <c r="V3001" s="107"/>
      <c r="W3001" s="1"/>
      <c r="X3001" s="47"/>
      <c r="Y3001" s="107"/>
      <c r="Z3001" s="1"/>
      <c r="AA3001" s="47"/>
      <c r="AB3001" s="107"/>
      <c r="AC3001" s="1"/>
      <c r="AD3001" s="47"/>
      <c r="AE3001" s="107"/>
      <c r="AF3001" s="1"/>
      <c r="AG3001" s="47"/>
      <c r="AH3001" s="107"/>
      <c r="AI3001" s="1"/>
      <c r="AJ3001" s="47"/>
      <c r="AK3001" s="107"/>
      <c r="AL3001" s="1"/>
      <c r="AM3001" s="47"/>
      <c r="AN3001" s="107"/>
      <c r="AO3001" s="1"/>
      <c r="AP3001" s="47"/>
      <c r="AQ3001" s="107"/>
      <c r="AR3001" s="1"/>
      <c r="AS3001" s="47"/>
      <c r="AT3001" s="107"/>
      <c r="AU3001" s="1"/>
    </row>
    <row r="3002" spans="15:47" x14ac:dyDescent="0.25">
      <c r="O3002" s="8" t="s">
        <v>132</v>
      </c>
      <c r="P3002" s="8"/>
      <c r="Q3002" s="8"/>
      <c r="R3002" s="96">
        <f>P_1_minQ-(R3000^2*R_up)+dpup_minQ</f>
        <v>90.103054531553468</v>
      </c>
      <c r="S3002" s="106"/>
      <c r="T3002" s="22"/>
      <c r="U3002" s="96">
        <f ca="1">P_1_minQ-(U3000^2*R_up)+dpup_minQ</f>
        <v>88.486828670737751</v>
      </c>
      <c r="V3002" s="107"/>
      <c r="W3002" s="1"/>
      <c r="X3002" s="96">
        <f ca="1">P_1_minQ-(X3000^2*R_up)+dpup_minQ</f>
        <v>80.002898508385456</v>
      </c>
      <c r="Y3002" s="107"/>
      <c r="Z3002" s="1"/>
      <c r="AA3002" s="96">
        <f ca="1">P_1_minQ-(AA3000^2*R_up)+dpup_minQ</f>
        <v>51.556950297839613</v>
      </c>
      <c r="AB3002" s="107"/>
      <c r="AC3002" s="1"/>
      <c r="AD3002" s="96">
        <f ca="1">P_1_minQ-(AD3000^2*R_up)+dpup_minQ</f>
        <v>-18.539131888704432</v>
      </c>
      <c r="AE3002" s="107"/>
      <c r="AF3002" s="1"/>
      <c r="AG3002" s="96">
        <f ca="1">P_1_minQ-(AG3000^2*R_up)+dpup_minQ</f>
        <v>-141.42133918950046</v>
      </c>
      <c r="AH3002" s="107"/>
      <c r="AI3002" s="1"/>
      <c r="AJ3002" s="96">
        <f ca="1">P_1_minQ-(AJ3000^2*R_up)+dpup_minQ</f>
        <v>-322.2828992827649</v>
      </c>
      <c r="AK3002" s="107"/>
      <c r="AL3002" s="1"/>
      <c r="AM3002" s="96">
        <f ca="1">P_1_minQ-(AM3000^2*R_up)+dpup_minQ</f>
        <v>-523.92351632519978</v>
      </c>
      <c r="AN3002" s="107"/>
      <c r="AO3002" s="1"/>
      <c r="AP3002" s="96">
        <f ca="1">P_1_minQ-(AP3000^2*R_up)+dpup_minQ</f>
        <v>-737.54051172402592</v>
      </c>
      <c r="AQ3002" s="107"/>
      <c r="AR3002" s="1"/>
      <c r="AS3002" s="96">
        <f ca="1">P_1_minQ-(AS3000^2*R_up)+dpup_minQ</f>
        <v>-1047.8884919237728</v>
      </c>
      <c r="AT3002" s="107"/>
      <c r="AU3002" s="1"/>
    </row>
    <row r="3003" spans="15:47" x14ac:dyDescent="0.25">
      <c r="O3003" s="8" t="s">
        <v>134</v>
      </c>
      <c r="P3003" s="1"/>
      <c r="Q3003" s="8"/>
      <c r="R3003" s="97">
        <f>P_2_minQ+(R3000^2*R_dn)-dpdn_minQ</f>
        <v>60</v>
      </c>
      <c r="S3003" s="106"/>
      <c r="T3003" s="22"/>
      <c r="U3003" s="97">
        <f ca="1">P_2_minQ+(U3000^2*R_dn)-dpdn_minQ</f>
        <v>60</v>
      </c>
      <c r="V3003" s="107"/>
      <c r="W3003" s="1"/>
      <c r="X3003" s="97">
        <f ca="1">P_2_minQ+(X3000^2*R_dn)-dpdn_minQ</f>
        <v>60</v>
      </c>
      <c r="Y3003" s="107"/>
      <c r="Z3003" s="1"/>
      <c r="AA3003" s="97">
        <f ca="1">P_2_minQ+(AA3000^2*R_dn)-dpdn_minQ</f>
        <v>60</v>
      </c>
      <c r="AB3003" s="107"/>
      <c r="AC3003" s="1"/>
      <c r="AD3003" s="97">
        <f ca="1">P_2_minQ+(AD3000^2*R_dn)-dpdn_minQ</f>
        <v>60</v>
      </c>
      <c r="AE3003" s="107"/>
      <c r="AF3003" s="1"/>
      <c r="AG3003" s="97">
        <f ca="1">P_2_minQ+(AG3000^2*R_dn)-dpdn_minQ</f>
        <v>60</v>
      </c>
      <c r="AH3003" s="107"/>
      <c r="AI3003" s="1"/>
      <c r="AJ3003" s="97">
        <f ca="1">P_2_minQ+(AJ3000^2*R_dn)-dpdn_minQ</f>
        <v>60</v>
      </c>
      <c r="AK3003" s="107"/>
      <c r="AL3003" s="1"/>
      <c r="AM3003" s="97">
        <f ca="1">P_2_minQ+(AM3000^2*R_dn)-dpdn_minQ</f>
        <v>60</v>
      </c>
      <c r="AN3003" s="107"/>
      <c r="AO3003" s="1"/>
      <c r="AP3003" s="97">
        <f ca="1">P_2_minQ+(AP3000^2*R_dn)-dpdn_minQ</f>
        <v>60</v>
      </c>
      <c r="AQ3003" s="107"/>
      <c r="AR3003" s="1"/>
      <c r="AS3003" s="97">
        <f ca="1">P_2_minQ+(AS3000^2*R_dn)-dpdn_minQ</f>
        <v>60</v>
      </c>
      <c r="AT3003" s="107"/>
      <c r="AU3003" s="1"/>
    </row>
    <row r="3004" spans="15:47" x14ac:dyDescent="0.25">
      <c r="O3004" s="8" t="s">
        <v>138</v>
      </c>
      <c r="P3004" s="1"/>
      <c r="Q3004" s="8"/>
      <c r="R3004" s="97">
        <f>R3002-R3003</f>
        <v>30.103054531553468</v>
      </c>
      <c r="S3004" s="106"/>
      <c r="T3004" s="22"/>
      <c r="U3004" s="97">
        <f ca="1">U3002-U3003</f>
        <v>28.486828670737751</v>
      </c>
      <c r="V3004" s="110"/>
      <c r="W3004" s="25"/>
      <c r="X3004" s="97">
        <f ca="1">X3002-X3003</f>
        <v>20.002898508385456</v>
      </c>
      <c r="Y3004" s="110"/>
      <c r="Z3004" s="25"/>
      <c r="AA3004" s="97">
        <f ca="1">AA3002-AA3003</f>
        <v>-8.443049702160387</v>
      </c>
      <c r="AB3004" s="110"/>
      <c r="AC3004" s="25"/>
      <c r="AD3004" s="97">
        <f ca="1">AD3002-AD3003</f>
        <v>-78.539131888704432</v>
      </c>
      <c r="AE3004" s="110"/>
      <c r="AF3004" s="25"/>
      <c r="AG3004" s="97">
        <f ca="1">AG3002-AG3003</f>
        <v>-201.42133918950046</v>
      </c>
      <c r="AH3004" s="110"/>
      <c r="AI3004" s="25"/>
      <c r="AJ3004" s="97">
        <f ca="1">AJ3002-AJ3003</f>
        <v>-382.2828992827649</v>
      </c>
      <c r="AK3004" s="110"/>
      <c r="AL3004" s="25"/>
      <c r="AM3004" s="97">
        <f ca="1">AM3002-AM3003</f>
        <v>-583.92351632519978</v>
      </c>
      <c r="AN3004" s="110"/>
      <c r="AO3004" s="25"/>
      <c r="AP3004" s="97">
        <f ca="1">AP3002-AP3003</f>
        <v>-797.54051172402592</v>
      </c>
      <c r="AQ3004" s="110"/>
      <c r="AR3004" s="25"/>
      <c r="AS3004" s="97">
        <f ca="1">AS3002-AS3003</f>
        <v>-1107.8884919237728</v>
      </c>
      <c r="AT3004" s="110"/>
      <c r="AU3004" s="25"/>
    </row>
    <row r="3005" spans="15:47" ht="14.4" x14ac:dyDescent="0.3">
      <c r="O3005" s="2" t="s">
        <v>140</v>
      </c>
      <c r="P3005" s="11"/>
      <c r="Q3005" s="2"/>
      <c r="R3005" s="96">
        <f>R3004/R3002</f>
        <v>0.3340958271399288</v>
      </c>
      <c r="S3005" s="106"/>
      <c r="T3005" s="22"/>
      <c r="U3005" s="96">
        <f ca="1">U3004/U3002</f>
        <v>0.32193298255425257</v>
      </c>
      <c r="V3005" s="111"/>
      <c r="W3005" s="28"/>
      <c r="X3005" s="96">
        <f ca="1">X3004/X3002</f>
        <v>0.25002717253161599</v>
      </c>
      <c r="Y3005" s="111"/>
      <c r="Z3005" s="28"/>
      <c r="AA3005" s="96">
        <f ca="1">AA3004/AA3002</f>
        <v>-0.16376161998306124</v>
      </c>
      <c r="AB3005" s="111"/>
      <c r="AC3005" s="28"/>
      <c r="AD3005" s="96">
        <f ca="1">AD3004/AD3002</f>
        <v>4.2363974947800518</v>
      </c>
      <c r="AE3005" s="111"/>
      <c r="AF3005" s="28"/>
      <c r="AG3005" s="96">
        <f ca="1">AG3004/AG3002</f>
        <v>1.4242641198553618</v>
      </c>
      <c r="AH3005" s="111"/>
      <c r="AI3005" s="28"/>
      <c r="AJ3005" s="96">
        <f ca="1">AJ3004/AJ3002</f>
        <v>1.1861718388829472</v>
      </c>
      <c r="AK3005" s="111"/>
      <c r="AL3005" s="28"/>
      <c r="AM3005" s="96">
        <f ca="1">AM3004/AM3002</f>
        <v>1.1145205323495309</v>
      </c>
      <c r="AN3005" s="111"/>
      <c r="AO3005" s="28"/>
      <c r="AP3005" s="96">
        <f ca="1">AP3004/AP3002</f>
        <v>1.0813514634738477</v>
      </c>
      <c r="AQ3005" s="111"/>
      <c r="AR3005" s="28"/>
      <c r="AS3005" s="96">
        <f ca="1">AS3004/AS3002</f>
        <v>1.0572580006960937</v>
      </c>
      <c r="AT3005" s="111"/>
      <c r="AU3005" s="28"/>
    </row>
    <row r="3006" spans="15:47" x14ac:dyDescent="0.25">
      <c r="O3006" s="2" t="s">
        <v>21</v>
      </c>
      <c r="P3006" s="8">
        <v>12</v>
      </c>
      <c r="Q3006" s="2"/>
      <c r="R3006" s="96">
        <f ca="1">1-R3005/(3*F_GAMMA*R$29)</f>
        <v>0.82599983071735417</v>
      </c>
      <c r="S3006" s="106"/>
      <c r="T3006" s="22"/>
      <c r="U3006" s="96">
        <f ca="1">1-U3005/(3*F_GAMMA*U$29)</f>
        <v>0.8323733029204321</v>
      </c>
      <c r="V3006" s="111"/>
      <c r="W3006" s="28"/>
      <c r="X3006" s="96">
        <f ca="1">1-X3005/(3*F_GAMMA*X$29)</f>
        <v>0.86857388462748764</v>
      </c>
      <c r="Y3006" s="111"/>
      <c r="Z3006" s="28"/>
      <c r="AA3006" s="96">
        <f ca="1">1-AA3005/(3*F_GAMMA*AA$29)</f>
        <v>1.0872942609009337</v>
      </c>
      <c r="AB3006" s="111"/>
      <c r="AC3006" s="28"/>
      <c r="AD3006" s="96">
        <f ca="1">1-AD3005/(3*F_GAMMA*AD$29)</f>
        <v>-1.328278392584461</v>
      </c>
      <c r="AE3006" s="111"/>
      <c r="AF3006" s="28"/>
      <c r="AG3006" s="96">
        <f ca="1">1-AG3005/(3*F_GAMMA*AG$29)</f>
        <v>0.17026934569008112</v>
      </c>
      <c r="AH3006" s="111"/>
      <c r="AI3006" s="28"/>
      <c r="AJ3006" s="96">
        <f ca="1">1-AJ3005/(3*F_GAMMA*AJ$29)</f>
        <v>0.2565509348955648</v>
      </c>
      <c r="AK3006" s="111"/>
      <c r="AL3006" s="28"/>
      <c r="AM3006" s="96">
        <f ca="1">1-AM3005/(3*F_GAMMA*AM$29)</f>
        <v>0.21897397020153153</v>
      </c>
      <c r="AN3006" s="111"/>
      <c r="AO3006" s="28"/>
      <c r="AP3006" s="96">
        <f ca="1">1-AP3005/(3*F_GAMMA*AP$29)</f>
        <v>0.38962725333720238</v>
      </c>
      <c r="AQ3006" s="111"/>
      <c r="AR3006" s="28"/>
      <c r="AS3006" s="96">
        <f ca="1">1-AS3005/(3*F_GAMMA*AS$29)</f>
        <v>6.4431295542500266E-2</v>
      </c>
      <c r="AT3006" s="111"/>
      <c r="AU3006" s="28"/>
    </row>
    <row r="3007" spans="15:47" x14ac:dyDescent="0.25">
      <c r="O3007" s="2" t="s">
        <v>57</v>
      </c>
      <c r="P3007" s="143">
        <v>7</v>
      </c>
      <c r="Q3007" s="2"/>
      <c r="R3007" s="96">
        <f ca="1">(R3000/(N_9*R$27*R3002*R3006))*SQRT(M*'Valve Sizing'!$W$6*'Valve Sizing'!$G$8/R3005)</f>
        <v>8.5773693838235534</v>
      </c>
      <c r="S3007" s="107"/>
      <c r="T3007" s="22"/>
      <c r="U3007" s="96">
        <f ca="1">(U3000/(N_9*U$27*U3002*U3006))*SQRT(M*'Valve Sizing'!$W$6*'Valve Sizing'!$G$8/U3005)</f>
        <v>40.210600124884287</v>
      </c>
      <c r="V3007" s="111"/>
      <c r="W3007" s="28"/>
      <c r="X3007" s="96">
        <f ca="1">(X3000/(N_9*X$27*X3002*X3006))*SQRT(M*'Valve Sizing'!$W$6*'Valve Sizing'!$G$8/X3005)</f>
        <v>118.6960347711036</v>
      </c>
      <c r="Y3007" s="111"/>
      <c r="Z3007" s="28"/>
      <c r="AA3007" s="96" t="e">
        <f ca="1">(AA3000/(N_9*AA$27*AA3002*AA3006))*SQRT(M*'Valve Sizing'!$W$6*'Valve Sizing'!$G$8/AA3005)</f>
        <v>#NUM!</v>
      </c>
      <c r="AB3007" s="111"/>
      <c r="AC3007" s="28"/>
      <c r="AD3007" s="96">
        <f ca="1">(AD3000/(N_9*AD$27*AD3002*AD3006))*SQRT(M*'Valve Sizing'!$W$6*'Valve Sizing'!$G$8/AD3005)</f>
        <v>270.78553396505089</v>
      </c>
      <c r="AE3007" s="111"/>
      <c r="AF3007" s="28"/>
      <c r="AG3007" s="96">
        <f ca="1">(AG3000/(N_9*AG$27*AG3002*AG3006))*SQRT(M*'Valve Sizing'!$W$6*'Valve Sizing'!$G$8/AG3005)</f>
        <v>-712.74331179074625</v>
      </c>
      <c r="AH3007" s="111"/>
      <c r="AI3007" s="28"/>
      <c r="AJ3007" s="96">
        <f ca="1">(AJ3000/(N_9*AJ$27*AJ3002*AJ3006))*SQRT(M*'Valve Sizing'!$W$6*'Valve Sizing'!$G$8/AJ3005)</f>
        <v>-314.51259420313067</v>
      </c>
      <c r="AK3007" s="111"/>
      <c r="AL3007" s="28"/>
      <c r="AM3007" s="96">
        <f ca="1">(AM3000/(N_9*AM$27*AM3002*AM3006))*SQRT(M*'Valve Sizing'!$W$6*'Valve Sizing'!$G$8/AM3005)</f>
        <v>-302.73626977391081</v>
      </c>
      <c r="AN3007" s="111"/>
      <c r="AO3007" s="28"/>
      <c r="AP3007" s="96">
        <f ca="1">(AP3000/(N_9*AP$27*AP3002*AP3006))*SQRT(M*'Valve Sizing'!$W$6*'Valve Sizing'!$G$8/AP3005)</f>
        <v>-162.1389313394437</v>
      </c>
      <c r="AQ3007" s="111"/>
      <c r="AR3007" s="28"/>
      <c r="AS3007" s="96">
        <f ca="1">(AS3000/(N_9*AS$27*AS3002*AS3006))*SQRT(M*'Valve Sizing'!$W$6*'Valve Sizing'!$G$8/AS3005)</f>
        <v>-1096.1059240240224</v>
      </c>
      <c r="AT3007" s="111"/>
      <c r="AU3007" s="28"/>
    </row>
    <row r="3008" spans="15:47" x14ac:dyDescent="0.25">
      <c r="O3008" s="2" t="s">
        <v>59</v>
      </c>
      <c r="P3008" s="143">
        <v>7</v>
      </c>
      <c r="Q3008" s="2"/>
      <c r="R3008" s="96">
        <f ca="1">(R3000/(N_9*R$27*R3002*0.667))*SQRT(M*'Valve Sizing'!$W$6*'Valve Sizing'!$G$8/R3009)</f>
        <v>7.6743870832466596</v>
      </c>
      <c r="S3008" s="107"/>
      <c r="T3008" s="22"/>
      <c r="U3008" s="96">
        <f ca="1">(U3000/(N_9*U$27*U3002*0.667))*SQRT(M*'Valve Sizing'!$W$6*'Valve Sizing'!$G$8/U3009)</f>
        <v>35.58484549867493</v>
      </c>
      <c r="V3008" s="111"/>
      <c r="W3008" s="28"/>
      <c r="X3008" s="96">
        <f ca="1">(X3000/(N_9*X$27*X3002*0.667))*SQRT(M*'Valve Sizing'!$W$6*'Valve Sizing'!$G$8/X3009)</f>
        <v>97.055154968554262</v>
      </c>
      <c r="Y3008" s="111"/>
      <c r="Z3008" s="28"/>
      <c r="AA3008" s="96">
        <f ca="1">(AA3000/(N_9*AA$27*AA3002*0.667))*SQRT(M*'Valve Sizing'!$W$6*'Valve Sizing'!$G$8/AA3009)</f>
        <v>297.15177159447751</v>
      </c>
      <c r="AB3008" s="111"/>
      <c r="AC3008" s="28"/>
      <c r="AD3008" s="96">
        <f ca="1">(AD3000/(N_9*AD$27*AD3002*0.667))*SQRT(M*'Valve Sizing'!$W$6*'Valve Sizing'!$G$8/AD3009)</f>
        <v>-1425.1704691491361</v>
      </c>
      <c r="AE3008" s="111"/>
      <c r="AF3008" s="28"/>
      <c r="AG3008" s="96">
        <f ca="1">(AG3000/(N_9*AG$27*AG3002*0.667))*SQRT(M*'Valve Sizing'!$W$6*'Valve Sizing'!$G$8/AG3009)</f>
        <v>-287.06019724882162</v>
      </c>
      <c r="AH3008" s="111"/>
      <c r="AI3008" s="28"/>
      <c r="AJ3008" s="96">
        <f ca="1">(AJ3000/(N_9*AJ$27*AJ3002*0.667))*SQRT(M*'Valve Sizing'!$W$6*'Valve Sizing'!$G$8/AJ3009)</f>
        <v>-180.6641764575852</v>
      </c>
      <c r="AK3008" s="111"/>
      <c r="AL3008" s="28"/>
      <c r="AM3008" s="96">
        <f ca="1">(AM3000/(N_9*AM$27*AM3002*0.667))*SQRT(M*'Valve Sizing'!$W$6*'Valve Sizing'!$G$8/AM3009)</f>
        <v>-152.13337343368144</v>
      </c>
      <c r="AN3008" s="111"/>
      <c r="AO3008" s="28"/>
      <c r="AP3008" s="96">
        <f ca="1">(AP3000/(N_9*AP$27*AP3002*0.667))*SQRT(M*'Valve Sizing'!$W$6*'Valve Sizing'!$G$8/AP3009)</f>
        <v>-128.16486772649273</v>
      </c>
      <c r="AQ3008" s="111"/>
      <c r="AR3008" s="28"/>
      <c r="AS3008" s="96">
        <f ca="1">(AS3000/(N_9*AS$27*AS3002*0.667))*SQRT(M*'Valve Sizing'!$W$6*'Valve Sizing'!$G$8/AS3009)</f>
        <v>-177.38709653909044</v>
      </c>
      <c r="AT3008" s="111"/>
      <c r="AU3008" s="28"/>
    </row>
    <row r="3009" spans="15:47" ht="15.6" x14ac:dyDescent="0.35">
      <c r="O3009" s="2" t="s">
        <v>68</v>
      </c>
      <c r="P3009" s="143">
        <v>10</v>
      </c>
      <c r="Q3009" s="2"/>
      <c r="R3009" s="96">
        <f ca="1">F_GAMMA*R$29</f>
        <v>0.64002969751372984</v>
      </c>
      <c r="S3009" s="107"/>
      <c r="T3009" s="1"/>
      <c r="U3009" s="96">
        <f ca="1">F_GAMMA*U$29</f>
        <v>0.64017842058782071</v>
      </c>
      <c r="V3009" s="111"/>
      <c r="W3009" s="28"/>
      <c r="X3009" s="96">
        <f ca="1">F_GAMMA*X$29</f>
        <v>0.63413873724904268</v>
      </c>
      <c r="Y3009" s="111"/>
      <c r="Z3009" s="28"/>
      <c r="AA3009" s="96">
        <f ca="1">F_GAMMA*AA$29</f>
        <v>0.62532411750377137</v>
      </c>
      <c r="AB3009" s="111"/>
      <c r="AC3009" s="28"/>
      <c r="AD3009" s="96">
        <f ca="1">F_GAMMA*AD$29</f>
        <v>0.60651359509139569</v>
      </c>
      <c r="AE3009" s="111"/>
      <c r="AF3009" s="28"/>
      <c r="AG3009" s="96">
        <f ca="1">F_GAMMA*AG$29</f>
        <v>0.57217930198481592</v>
      </c>
      <c r="AH3009" s="111"/>
      <c r="AI3009" s="28"/>
      <c r="AJ3009" s="96">
        <f ca="1">F_GAMMA*AJ$29</f>
        <v>0.53183282018848232</v>
      </c>
      <c r="AK3009" s="111"/>
      <c r="AL3009" s="28"/>
      <c r="AM3009" s="96">
        <f ca="1">F_GAMMA*AM$29</f>
        <v>0.47566512503094399</v>
      </c>
      <c r="AN3009" s="111"/>
      <c r="AO3009" s="28"/>
      <c r="AP3009" s="96">
        <f ca="1">F_GAMMA*AP$29</f>
        <v>0.59054158265645496</v>
      </c>
      <c r="AQ3009" s="111"/>
      <c r="AR3009" s="28"/>
      <c r="AS3009" s="96">
        <f ca="1">F_GAMMA*AS$29</f>
        <v>0.3766899554102966</v>
      </c>
      <c r="AT3009" s="111"/>
      <c r="AU3009" s="28"/>
    </row>
    <row r="3010" spans="15:47" x14ac:dyDescent="0.25">
      <c r="O3010" s="2" t="s">
        <v>145</v>
      </c>
      <c r="P3010" s="12"/>
      <c r="Q3010" s="2"/>
      <c r="R3010" s="96">
        <f ca="1">IF(R3005&lt;R3009,R3007,R3008)</f>
        <v>8.5773693838235534</v>
      </c>
      <c r="S3010" s="116"/>
      <c r="T3010" s="1"/>
      <c r="U3010" s="96">
        <f ca="1">IF(U3005&lt;U3009,U3007,U3008)</f>
        <v>40.210600124884287</v>
      </c>
      <c r="V3010" s="111"/>
      <c r="W3010" s="28"/>
      <c r="X3010" s="96">
        <f ca="1">IF(X3005&lt;X3009,X3007,X3008)</f>
        <v>118.6960347711036</v>
      </c>
      <c r="Y3010" s="111"/>
      <c r="Z3010" s="28"/>
      <c r="AA3010" s="96" t="e">
        <f ca="1">IF(AA3005&lt;AA3009,AA3007,AA3008)</f>
        <v>#NUM!</v>
      </c>
      <c r="AB3010" s="111"/>
      <c r="AC3010" s="28"/>
      <c r="AD3010" s="96">
        <f ca="1">IF(AD3005&lt;AD3009,AD3007,AD3008)</f>
        <v>-1425.1704691491361</v>
      </c>
      <c r="AE3010" s="111"/>
      <c r="AF3010" s="28"/>
      <c r="AG3010" s="96">
        <f ca="1">IF(AG3005&lt;AG3009,AG3007,AG3008)</f>
        <v>-287.06019724882162</v>
      </c>
      <c r="AH3010" s="111"/>
      <c r="AI3010" s="28"/>
      <c r="AJ3010" s="96">
        <f ca="1">IF(AJ3005&lt;AJ3009,AJ3007,AJ3008)</f>
        <v>-180.6641764575852</v>
      </c>
      <c r="AK3010" s="111"/>
      <c r="AL3010" s="28"/>
      <c r="AM3010" s="96">
        <f ca="1">IF(AM3005&lt;AM3009,AM3007,AM3008)</f>
        <v>-152.13337343368144</v>
      </c>
      <c r="AN3010" s="111"/>
      <c r="AO3010" s="28"/>
      <c r="AP3010" s="96">
        <f ca="1">IF(AP3005&lt;AP3009,AP3007,AP3008)</f>
        <v>-128.16486772649273</v>
      </c>
      <c r="AQ3010" s="111"/>
      <c r="AR3010" s="28"/>
      <c r="AS3010" s="96">
        <f ca="1">IF(AS3005&lt;AS3009,AS3007,AS3008)</f>
        <v>-177.38709653909044</v>
      </c>
      <c r="AT3010" s="111"/>
      <c r="AU3010" s="28"/>
    </row>
    <row r="3011" spans="15:47" x14ac:dyDescent="0.25">
      <c r="O3011" s="13" t="s">
        <v>143</v>
      </c>
      <c r="P3011" s="1"/>
      <c r="Q3011" s="1"/>
      <c r="R3011" s="113"/>
      <c r="S3011" s="106">
        <f ca="1">IF(R3004&lt;=0,Q_max,ABS(R$23-R3010))</f>
        <v>3.847369383823553</v>
      </c>
      <c r="T3011" s="7">
        <f>R3000</f>
        <v>21209.140890080071</v>
      </c>
      <c r="U3011" s="98"/>
      <c r="V3011" s="106">
        <f ca="1">IF(U3004&lt;=0,Q_max,ABS(U$23-U3010))</f>
        <v>28.610600124884286</v>
      </c>
      <c r="W3011" s="9">
        <f ca="1">U3000</f>
        <v>96527.079426251861</v>
      </c>
      <c r="X3011" s="98"/>
      <c r="Y3011" s="106">
        <f ca="1">IF(X3004&lt;=0,Q_max,ABS(X$23-X3010))</f>
        <v>95.696034771103598</v>
      </c>
      <c r="Z3011" s="9">
        <f ca="1">X3000</f>
        <v>236359.36067150958</v>
      </c>
      <c r="AA3011" s="98"/>
      <c r="AB3011" s="106">
        <f ca="1">IF(AA3004&lt;=0,Q_max,ABS(AA$23-AA3010))</f>
        <v>236393</v>
      </c>
      <c r="AC3011" s="9">
        <f ca="1">AA3000</f>
        <v>460367.70494538784</v>
      </c>
      <c r="AD3011" s="98"/>
      <c r="AE3011" s="106">
        <f ca="1">IF(AD3004&lt;=0,Q_max,ABS(AD$23-AD3010))</f>
        <v>236393</v>
      </c>
      <c r="AF3011" s="9">
        <f ca="1">AD3000</f>
        <v>772353.79838619882</v>
      </c>
      <c r="AG3011" s="98"/>
      <c r="AH3011" s="106">
        <f ca="1">IF(AG3004&lt;=0,Q_max,ABS(AG$23-AG3010))</f>
        <v>236393</v>
      </c>
      <c r="AI3011" s="9">
        <f ca="1">AG3000</f>
        <v>1127271.4046822079</v>
      </c>
      <c r="AJ3011" s="98"/>
      <c r="AK3011" s="106">
        <f ca="1">IF(AJ3004&lt;=0,Q_max,ABS(AJ$23-AJ3010))</f>
        <v>236393</v>
      </c>
      <c r="AL3011" s="9">
        <f ca="1">AJ3000</f>
        <v>1504348.0594917974</v>
      </c>
      <c r="AM3011" s="98"/>
      <c r="AN3011" s="106">
        <f ca="1">IF(AM3004&lt;=0,Q_max,ABS(AM$23-AM3010))</f>
        <v>236393</v>
      </c>
      <c r="AO3011" s="9">
        <f ca="1">AM3000</f>
        <v>1835590.5188069427</v>
      </c>
      <c r="AP3011" s="98"/>
      <c r="AQ3011" s="106">
        <f ca="1">IF(AP3004&lt;=0,Q_max,ABS(AP$23-AP3010))</f>
        <v>236393</v>
      </c>
      <c r="AR3011" s="9">
        <f ca="1">AP3000</f>
        <v>2131063.6071063699</v>
      </c>
      <c r="AS3011" s="98"/>
      <c r="AT3011" s="106">
        <f ca="1">IF(AS3004&lt;=0,Q_max,ABS(AS$23-AS3010))</f>
        <v>236393</v>
      </c>
      <c r="AU3011" s="9">
        <f ca="1">AS3000</f>
        <v>2498839.676666996</v>
      </c>
    </row>
    <row r="3012" spans="15:47" x14ac:dyDescent="0.25">
      <c r="O3012" s="21"/>
      <c r="P3012" s="14"/>
      <c r="Q3012" s="21"/>
      <c r="R3012" s="97"/>
      <c r="S3012" s="106"/>
      <c r="T3012" s="28"/>
      <c r="U3012" s="97"/>
      <c r="V3012" s="111"/>
      <c r="W3012" s="28"/>
      <c r="X3012" s="97"/>
      <c r="Y3012" s="111"/>
      <c r="Z3012" s="28"/>
      <c r="AA3012" s="97"/>
      <c r="AB3012" s="111"/>
      <c r="AC3012" s="28"/>
      <c r="AD3012" s="97"/>
      <c r="AE3012" s="111"/>
      <c r="AF3012" s="28"/>
      <c r="AG3012" s="97"/>
      <c r="AH3012" s="111"/>
      <c r="AI3012" s="28"/>
      <c r="AJ3012" s="97"/>
      <c r="AK3012" s="111"/>
      <c r="AL3012" s="28"/>
      <c r="AM3012" s="97"/>
      <c r="AN3012" s="111"/>
      <c r="AO3012" s="28"/>
      <c r="AP3012" s="97"/>
      <c r="AQ3012" s="111"/>
      <c r="AR3012" s="28"/>
      <c r="AS3012" s="97"/>
      <c r="AT3012" s="111"/>
      <c r="AU3012" s="28"/>
    </row>
    <row r="3013" spans="15:47" x14ac:dyDescent="0.25">
      <c r="O3013" s="1"/>
      <c r="P3013" s="1"/>
      <c r="Q3013" s="1"/>
      <c r="R3013" s="98"/>
      <c r="S3013" s="108" t="s">
        <v>137</v>
      </c>
      <c r="T3013" s="26" t="s">
        <v>146</v>
      </c>
      <c r="U3013" s="98"/>
      <c r="V3013" s="108" t="s">
        <v>137</v>
      </c>
      <c r="W3013" s="26" t="s">
        <v>146</v>
      </c>
      <c r="X3013" s="98"/>
      <c r="Y3013" s="108" t="s">
        <v>137</v>
      </c>
      <c r="Z3013" s="26" t="s">
        <v>146</v>
      </c>
      <c r="AA3013" s="98"/>
      <c r="AB3013" s="108" t="s">
        <v>137</v>
      </c>
      <c r="AC3013" s="26" t="s">
        <v>146</v>
      </c>
      <c r="AD3013" s="98"/>
      <c r="AE3013" s="108" t="s">
        <v>137</v>
      </c>
      <c r="AF3013" s="26" t="s">
        <v>146</v>
      </c>
      <c r="AG3013" s="98"/>
      <c r="AH3013" s="108" t="s">
        <v>137</v>
      </c>
      <c r="AI3013" s="26" t="s">
        <v>146</v>
      </c>
      <c r="AJ3013" s="98"/>
      <c r="AK3013" s="108" t="s">
        <v>137</v>
      </c>
      <c r="AL3013" s="26" t="s">
        <v>146</v>
      </c>
      <c r="AM3013" s="98"/>
      <c r="AN3013" s="108" t="s">
        <v>137</v>
      </c>
      <c r="AO3013" s="26" t="s">
        <v>146</v>
      </c>
      <c r="AP3013" s="98"/>
      <c r="AQ3013" s="108" t="s">
        <v>137</v>
      </c>
      <c r="AR3013" s="26" t="s">
        <v>146</v>
      </c>
      <c r="AS3013" s="98"/>
      <c r="AT3013" s="108" t="s">
        <v>137</v>
      </c>
      <c r="AU3013" s="26" t="s">
        <v>146</v>
      </c>
    </row>
    <row r="3014" spans="15:47" ht="13.8" x14ac:dyDescent="0.25">
      <c r="O3014" s="20" t="s">
        <v>136</v>
      </c>
      <c r="P3014" s="1"/>
      <c r="Q3014" s="1"/>
      <c r="R3014" s="96">
        <f>R3000*1.02</f>
        <v>21633.323707881671</v>
      </c>
      <c r="S3014" s="109" t="s">
        <v>144</v>
      </c>
      <c r="T3014" s="23" t="s">
        <v>147</v>
      </c>
      <c r="U3014" s="96">
        <f ca="1">U3000*1.01</f>
        <v>97492.350220514374</v>
      </c>
      <c r="V3014" s="109" t="s">
        <v>144</v>
      </c>
      <c r="W3014" s="23" t="s">
        <v>147</v>
      </c>
      <c r="X3014" s="96">
        <f ca="1">X3000*1.01</f>
        <v>238722.95427822467</v>
      </c>
      <c r="Y3014" s="109" t="s">
        <v>144</v>
      </c>
      <c r="Z3014" s="23" t="s">
        <v>147</v>
      </c>
      <c r="AA3014" s="96">
        <f ca="1">AA3000*1.01</f>
        <v>464971.38199484174</v>
      </c>
      <c r="AB3014" s="109" t="s">
        <v>144</v>
      </c>
      <c r="AC3014" s="23" t="s">
        <v>147</v>
      </c>
      <c r="AD3014" s="96">
        <f ca="1">AD3000*1.01</f>
        <v>780077.3363700608</v>
      </c>
      <c r="AE3014" s="109" t="s">
        <v>144</v>
      </c>
      <c r="AF3014" s="23" t="s">
        <v>147</v>
      </c>
      <c r="AG3014" s="96">
        <f ca="1">AG3000*1.01</f>
        <v>1138544.11872903</v>
      </c>
      <c r="AH3014" s="109" t="s">
        <v>144</v>
      </c>
      <c r="AI3014" s="23" t="s">
        <v>147</v>
      </c>
      <c r="AJ3014" s="96">
        <f ca="1">AJ3000*1.01</f>
        <v>1519391.5400867152</v>
      </c>
      <c r="AK3014" s="109" t="s">
        <v>144</v>
      </c>
      <c r="AL3014" s="23" t="s">
        <v>147</v>
      </c>
      <c r="AM3014" s="96">
        <f ca="1">AM3000*1.01</f>
        <v>1853946.4239950122</v>
      </c>
      <c r="AN3014" s="109" t="s">
        <v>144</v>
      </c>
      <c r="AO3014" s="23" t="s">
        <v>147</v>
      </c>
      <c r="AP3014" s="96">
        <f ca="1">AP3000*1.01</f>
        <v>2152374.2431774335</v>
      </c>
      <c r="AQ3014" s="109" t="s">
        <v>144</v>
      </c>
      <c r="AR3014" s="23" t="s">
        <v>147</v>
      </c>
      <c r="AS3014" s="96">
        <f ca="1">AS3000*1.01</f>
        <v>2523828.073433666</v>
      </c>
      <c r="AT3014" s="109" t="s">
        <v>144</v>
      </c>
      <c r="AU3014" s="23" t="s">
        <v>147</v>
      </c>
    </row>
    <row r="3015" spans="15:47" x14ac:dyDescent="0.25">
      <c r="O3015" s="1"/>
      <c r="P3015" s="1"/>
      <c r="Q3015" s="1"/>
      <c r="R3015" s="98"/>
      <c r="S3015" s="107"/>
      <c r="T3015" s="1"/>
      <c r="U3015" s="47"/>
      <c r="V3015" s="107"/>
      <c r="W3015" s="1"/>
      <c r="X3015" s="47"/>
      <c r="Y3015" s="107"/>
      <c r="Z3015" s="1"/>
      <c r="AA3015" s="47"/>
      <c r="AB3015" s="107"/>
      <c r="AC3015" s="1"/>
      <c r="AD3015" s="47"/>
      <c r="AE3015" s="107"/>
      <c r="AF3015" s="1"/>
      <c r="AG3015" s="47"/>
      <c r="AH3015" s="107"/>
      <c r="AI3015" s="1"/>
      <c r="AJ3015" s="47"/>
      <c r="AK3015" s="107"/>
      <c r="AL3015" s="1"/>
      <c r="AM3015" s="47"/>
      <c r="AN3015" s="107"/>
      <c r="AO3015" s="1"/>
      <c r="AP3015" s="47"/>
      <c r="AQ3015" s="107"/>
      <c r="AR3015" s="1"/>
      <c r="AS3015" s="47"/>
      <c r="AT3015" s="107"/>
      <c r="AU3015" s="1"/>
    </row>
    <row r="3016" spans="15:47" x14ac:dyDescent="0.25">
      <c r="O3016" s="8" t="s">
        <v>132</v>
      </c>
      <c r="P3016" s="8"/>
      <c r="Q3016" s="8"/>
      <c r="R3016" s="96">
        <f>P_1_minQ-(R3014^2*R_up)+dpup_minQ</f>
        <v>90.099742297205893</v>
      </c>
      <c r="S3016" s="106"/>
      <c r="T3016" s="22"/>
      <c r="U3016" s="96">
        <f ca="1">P_1_minQ-(U3014^2*R_up)+dpup_minQ</f>
        <v>88.452694612361441</v>
      </c>
      <c r="V3016" s="107"/>
      <c r="W3016" s="1"/>
      <c r="X3016" s="96">
        <f ca="1">P_1_minQ-(X3014^2*R_up)+dpup_minQ</f>
        <v>79.79823745374587</v>
      </c>
      <c r="Y3016" s="107"/>
      <c r="Z3016" s="1"/>
      <c r="AA3016" s="96">
        <f ca="1">P_1_minQ-(AA3014^2*R_up)+dpup_minQ</f>
        <v>50.780525684168055</v>
      </c>
      <c r="AB3016" s="107"/>
      <c r="AC3016" s="1"/>
      <c r="AD3016" s="96">
        <f ca="1">P_1_minQ-(AD3014^2*R_up)+dpup_minQ</f>
        <v>-20.724487754325523</v>
      </c>
      <c r="AE3016" s="107"/>
      <c r="AF3016" s="1"/>
      <c r="AG3016" s="96">
        <f ca="1">P_1_minQ-(AG3014^2*R_up)+dpup_minQ</f>
        <v>-146.07662742186761</v>
      </c>
      <c r="AH3016" s="107"/>
      <c r="AI3016" s="1"/>
      <c r="AJ3016" s="96">
        <f ca="1">P_1_minQ-(AJ3014^2*R_up)+dpup_minQ</f>
        <v>-330.57350487300653</v>
      </c>
      <c r="AK3016" s="107"/>
      <c r="AL3016" s="1"/>
      <c r="AM3016" s="96">
        <f ca="1">P_1_minQ-(AM3014^2*R_up)+dpup_minQ</f>
        <v>-536.2670983179944</v>
      </c>
      <c r="AN3016" s="107"/>
      <c r="AO3016" s="1"/>
      <c r="AP3016" s="96">
        <f ca="1">P_1_minQ-(AP3014^2*R_up)+dpup_minQ</f>
        <v>-754.1777953243369</v>
      </c>
      <c r="AQ3016" s="107"/>
      <c r="AR3016" s="1"/>
      <c r="AS3016" s="96">
        <f ca="1">P_1_minQ-(AS3014^2*R_up)+dpup_minQ</f>
        <v>-1070.763769926099</v>
      </c>
      <c r="AT3016" s="107"/>
      <c r="AU3016" s="1"/>
    </row>
    <row r="3017" spans="15:47" x14ac:dyDescent="0.25">
      <c r="O3017" s="8" t="s">
        <v>134</v>
      </c>
      <c r="P3017" s="1"/>
      <c r="Q3017" s="8"/>
      <c r="R3017" s="97">
        <f>P_2_minQ+(R3014^2*R_dn)-dpdn_minQ</f>
        <v>60</v>
      </c>
      <c r="S3017" s="106"/>
      <c r="T3017" s="22"/>
      <c r="U3017" s="97">
        <f ca="1">P_2_minQ+(U3014^2*R_dn)-dpdn_minQ</f>
        <v>60</v>
      </c>
      <c r="V3017" s="107"/>
      <c r="W3017" s="1"/>
      <c r="X3017" s="97">
        <f ca="1">P_2_minQ+(X3014^2*R_dn)-dpdn_minQ</f>
        <v>60</v>
      </c>
      <c r="Y3017" s="107"/>
      <c r="Z3017" s="1"/>
      <c r="AA3017" s="97">
        <f ca="1">P_2_minQ+(AA3014^2*R_dn)-dpdn_minQ</f>
        <v>60</v>
      </c>
      <c r="AB3017" s="107"/>
      <c r="AC3017" s="1"/>
      <c r="AD3017" s="97">
        <f ca="1">P_2_minQ+(AD3014^2*R_dn)-dpdn_minQ</f>
        <v>60</v>
      </c>
      <c r="AE3017" s="107"/>
      <c r="AF3017" s="1"/>
      <c r="AG3017" s="97">
        <f ca="1">P_2_minQ+(AG3014^2*R_dn)-dpdn_minQ</f>
        <v>60</v>
      </c>
      <c r="AH3017" s="107"/>
      <c r="AI3017" s="1"/>
      <c r="AJ3017" s="97">
        <f ca="1">P_2_minQ+(AJ3014^2*R_dn)-dpdn_minQ</f>
        <v>60</v>
      </c>
      <c r="AK3017" s="107"/>
      <c r="AL3017" s="1"/>
      <c r="AM3017" s="97">
        <f ca="1">P_2_minQ+(AM3014^2*R_dn)-dpdn_minQ</f>
        <v>60</v>
      </c>
      <c r="AN3017" s="107"/>
      <c r="AO3017" s="1"/>
      <c r="AP3017" s="97">
        <f ca="1">P_2_minQ+(AP3014^2*R_dn)-dpdn_minQ</f>
        <v>60</v>
      </c>
      <c r="AQ3017" s="107"/>
      <c r="AR3017" s="1"/>
      <c r="AS3017" s="97">
        <f ca="1">P_2_minQ+(AS3014^2*R_dn)-dpdn_minQ</f>
        <v>60</v>
      </c>
      <c r="AT3017" s="107"/>
      <c r="AU3017" s="1"/>
    </row>
    <row r="3018" spans="15:47" x14ac:dyDescent="0.25">
      <c r="O3018" s="8" t="s">
        <v>138</v>
      </c>
      <c r="P3018" s="1"/>
      <c r="Q3018" s="8"/>
      <c r="R3018" s="97">
        <f>R3016-R3017</f>
        <v>30.099742297205893</v>
      </c>
      <c r="S3018" s="106"/>
      <c r="T3018" s="22"/>
      <c r="U3018" s="97">
        <f ca="1">U3016-U3017</f>
        <v>28.452694612361441</v>
      </c>
      <c r="V3018" s="110"/>
      <c r="W3018" s="25"/>
      <c r="X3018" s="97">
        <f ca="1">X3016-X3017</f>
        <v>19.79823745374587</v>
      </c>
      <c r="Y3018" s="110"/>
      <c r="Z3018" s="25"/>
      <c r="AA3018" s="97">
        <f ca="1">AA3016-AA3017</f>
        <v>-9.2194743158319454</v>
      </c>
      <c r="AB3018" s="110"/>
      <c r="AC3018" s="25"/>
      <c r="AD3018" s="97">
        <f ca="1">AD3016-AD3017</f>
        <v>-80.724487754325523</v>
      </c>
      <c r="AE3018" s="110"/>
      <c r="AF3018" s="25"/>
      <c r="AG3018" s="97">
        <f ca="1">AG3016-AG3017</f>
        <v>-206.07662742186761</v>
      </c>
      <c r="AH3018" s="110"/>
      <c r="AI3018" s="25"/>
      <c r="AJ3018" s="97">
        <f ca="1">AJ3016-AJ3017</f>
        <v>-390.57350487300653</v>
      </c>
      <c r="AK3018" s="110"/>
      <c r="AL3018" s="25"/>
      <c r="AM3018" s="97">
        <f ca="1">AM3016-AM3017</f>
        <v>-596.2670983179944</v>
      </c>
      <c r="AN3018" s="110"/>
      <c r="AO3018" s="25"/>
      <c r="AP3018" s="97">
        <f ca="1">AP3016-AP3017</f>
        <v>-814.1777953243369</v>
      </c>
      <c r="AQ3018" s="110"/>
      <c r="AR3018" s="25"/>
      <c r="AS3018" s="97">
        <f ca="1">AS3016-AS3017</f>
        <v>-1130.763769926099</v>
      </c>
      <c r="AT3018" s="110"/>
      <c r="AU3018" s="25"/>
    </row>
    <row r="3019" spans="15:47" ht="14.4" x14ac:dyDescent="0.3">
      <c r="O3019" s="2" t="s">
        <v>140</v>
      </c>
      <c r="P3019" s="11"/>
      <c r="Q3019" s="2"/>
      <c r="R3019" s="96">
        <f>R3018/R3016</f>
        <v>0.33407134726221438</v>
      </c>
      <c r="S3019" s="106"/>
      <c r="T3019" s="22"/>
      <c r="U3019" s="96">
        <f ca="1">U3018/U3016</f>
        <v>0.3216713152386555</v>
      </c>
      <c r="V3019" s="111"/>
      <c r="W3019" s="28"/>
      <c r="X3019" s="96">
        <f ca="1">X3018/X3016</f>
        <v>0.24810369358372972</v>
      </c>
      <c r="Y3019" s="111"/>
      <c r="Z3019" s="28"/>
      <c r="AA3019" s="96">
        <f ca="1">AA3018/AA3016</f>
        <v>-0.18155531459388416</v>
      </c>
      <c r="AB3019" s="111"/>
      <c r="AC3019" s="28"/>
      <c r="AD3019" s="96">
        <f ca="1">AD3018/AD3016</f>
        <v>3.8951258391164369</v>
      </c>
      <c r="AE3019" s="111"/>
      <c r="AF3019" s="28"/>
      <c r="AG3019" s="96">
        <f ca="1">AG3018/AG3016</f>
        <v>1.4107433273820096</v>
      </c>
      <c r="AH3019" s="111"/>
      <c r="AI3019" s="28"/>
      <c r="AJ3019" s="96">
        <f ca="1">AJ3018/AJ3016</f>
        <v>1.1815027493599333</v>
      </c>
      <c r="AK3019" s="111"/>
      <c r="AL3019" s="28"/>
      <c r="AM3019" s="96">
        <f ca="1">AM3018/AM3016</f>
        <v>1.1118845444521777</v>
      </c>
      <c r="AN3019" s="111"/>
      <c r="AO3019" s="28"/>
      <c r="AP3019" s="96">
        <f ca="1">AP3018/AP3016</f>
        <v>1.079556837090645</v>
      </c>
      <c r="AQ3019" s="111"/>
      <c r="AR3019" s="28"/>
      <c r="AS3019" s="96">
        <f ca="1">AS3018/AS3016</f>
        <v>1.0560347685317566</v>
      </c>
      <c r="AT3019" s="111"/>
      <c r="AU3019" s="28"/>
    </row>
    <row r="3020" spans="15:47" x14ac:dyDescent="0.25">
      <c r="O3020" s="2" t="s">
        <v>21</v>
      </c>
      <c r="P3020" s="8">
        <v>12</v>
      </c>
      <c r="Q3020" s="2"/>
      <c r="R3020" s="96">
        <f ca="1">1-R3019/(3*F_GAMMA*R$29)</f>
        <v>0.82601258006206402</v>
      </c>
      <c r="S3020" s="106"/>
      <c r="T3020" s="22"/>
      <c r="U3020" s="96">
        <f ca="1">1-U3019/(3*F_GAMMA*U$29)</f>
        <v>0.83250954999738336</v>
      </c>
      <c r="V3020" s="111"/>
      <c r="W3020" s="28"/>
      <c r="X3020" s="96">
        <f ca="1">1-X3019/(3*F_GAMMA*X$29)</f>
        <v>0.86958495619847676</v>
      </c>
      <c r="Y3020" s="111"/>
      <c r="Z3020" s="28"/>
      <c r="AA3020" s="96">
        <f ca="1">1-AA3019/(3*F_GAMMA*AA$29)</f>
        <v>1.0967793125260299</v>
      </c>
      <c r="AB3020" s="111"/>
      <c r="AC3020" s="28"/>
      <c r="AD3020" s="96">
        <f ca="1">1-AD3019/(3*F_GAMMA*AD$29)</f>
        <v>-1.1407191697159345</v>
      </c>
      <c r="AE3020" s="111"/>
      <c r="AF3020" s="28"/>
      <c r="AG3020" s="96">
        <f ca="1">1-AG3019/(3*F_GAMMA*AG$29)</f>
        <v>0.17814612628808035</v>
      </c>
      <c r="AH3020" s="111"/>
      <c r="AI3020" s="28"/>
      <c r="AJ3020" s="96">
        <f ca="1">1-AJ3019/(3*F_GAMMA*AJ$29)</f>
        <v>0.25947734920332866</v>
      </c>
      <c r="AK3020" s="111"/>
      <c r="AL3020" s="28"/>
      <c r="AM3020" s="96">
        <f ca="1">1-AM3019/(3*F_GAMMA*AM$29)</f>
        <v>0.22082119966237101</v>
      </c>
      <c r="AN3020" s="111"/>
      <c r="AO3020" s="28"/>
      <c r="AP3020" s="96">
        <f ca="1">1-AP3019/(3*F_GAMMA*AP$29)</f>
        <v>0.39064023669344627</v>
      </c>
      <c r="AQ3020" s="111"/>
      <c r="AR3020" s="28"/>
      <c r="AS3020" s="96">
        <f ca="1">1-AS3019/(3*F_GAMMA*AS$29)</f>
        <v>6.5513734956991421E-2</v>
      </c>
      <c r="AT3020" s="111"/>
      <c r="AU3020" s="28"/>
    </row>
    <row r="3021" spans="15:47" x14ac:dyDescent="0.25">
      <c r="O3021" s="2" t="s">
        <v>57</v>
      </c>
      <c r="P3021" s="143">
        <v>7</v>
      </c>
      <c r="Q3021" s="2"/>
      <c r="R3021" s="96">
        <f ca="1">(R3014/(N_9*R$27*R3016*R3020))*SQRT(M*'Valve Sizing'!$W$6*'Valve Sizing'!$G$8/R3019)</f>
        <v>8.7494239050451448</v>
      </c>
      <c r="S3021" s="107"/>
      <c r="T3021" s="22"/>
      <c r="U3021" s="96">
        <f ca="1">(U3014/(N_9*U$27*U3016*U3020))*SQRT(M*'Valve Sizing'!$W$6*'Valve Sizing'!$G$8/U3019)</f>
        <v>40.638248227341926</v>
      </c>
      <c r="V3021" s="111"/>
      <c r="W3021" s="28"/>
      <c r="X3021" s="96">
        <f ca="1">(X3014/(N_9*X$27*X3016*X3020))*SQRT(M*'Valve Sizing'!$W$6*'Valve Sizing'!$G$8/X3019)</f>
        <v>120.51517809314213</v>
      </c>
      <c r="Y3021" s="111"/>
      <c r="Z3021" s="28"/>
      <c r="AA3021" s="96" t="e">
        <f ca="1">(AA3014/(N_9*AA$27*AA3016*AA3020))*SQRT(M*'Valve Sizing'!$W$6*'Valve Sizing'!$G$8/AA3019)</f>
        <v>#NUM!</v>
      </c>
      <c r="AB3021" s="111"/>
      <c r="AC3021" s="28"/>
      <c r="AD3021" s="96">
        <f ca="1">(AD3014/(N_9*AD$27*AD3016*AD3020))*SQRT(M*'Valve Sizing'!$W$6*'Valve Sizing'!$G$8/AD3019)</f>
        <v>297.09845633927938</v>
      </c>
      <c r="AE3021" s="111"/>
      <c r="AF3021" s="28"/>
      <c r="AG3021" s="96">
        <f ca="1">(AG3014/(N_9*AG$27*AG3016*AG3020))*SQRT(M*'Valve Sizing'!$W$6*'Valve Sizing'!$G$8/AG3019)</f>
        <v>-669.29885931448632</v>
      </c>
      <c r="AH3021" s="111"/>
      <c r="AI3021" s="28"/>
      <c r="AJ3021" s="96">
        <f ca="1">(AJ3014/(N_9*AJ$27*AJ3016*AJ3020))*SQRT(M*'Valve Sizing'!$W$6*'Valve Sizing'!$G$8/AJ3019)</f>
        <v>-306.80272982667788</v>
      </c>
      <c r="AK3021" s="111"/>
      <c r="AL3021" s="28"/>
      <c r="AM3021" s="96">
        <f ca="1">(AM3014/(N_9*AM$27*AM3016*AM3020))*SQRT(M*'Valve Sizing'!$W$6*'Valve Sizing'!$G$8/AM3019)</f>
        <v>-296.57769581227797</v>
      </c>
      <c r="AN3021" s="111"/>
      <c r="AO3021" s="28"/>
      <c r="AP3021" s="96">
        <f ca="1">(AP3014/(N_9*AP$27*AP3016*AP3020))*SQRT(M*'Valve Sizing'!$W$6*'Valve Sizing'!$G$8/AP3019)</f>
        <v>-159.86516904613006</v>
      </c>
      <c r="AQ3021" s="111"/>
      <c r="AR3021" s="28"/>
      <c r="AS3021" s="96">
        <f ca="1">(AS3014/(N_9*AS$27*AS3016*AS3020))*SQRT(M*'Valve Sizing'!$W$6*'Valve Sizing'!$G$8/AS3019)</f>
        <v>-1066.1325126401459</v>
      </c>
      <c r="AT3021" s="111"/>
      <c r="AU3021" s="28"/>
    </row>
    <row r="3022" spans="15:47" x14ac:dyDescent="0.25">
      <c r="O3022" s="2" t="s">
        <v>59</v>
      </c>
      <c r="P3022" s="143">
        <v>7</v>
      </c>
      <c r="Q3022" s="2"/>
      <c r="R3022" s="96">
        <f ca="1">(R3014/(N_9*R$27*R3016*0.667))*SQRT(M*'Valve Sizing'!$W$6*'Valve Sizing'!$G$8/R3023)</f>
        <v>7.8281625921704387</v>
      </c>
      <c r="S3022" s="107"/>
      <c r="T3022" s="22"/>
      <c r="U3022" s="96">
        <f ca="1">(U3014/(N_9*U$27*U3016*0.667))*SQRT(M*'Valve Sizing'!$W$6*'Valve Sizing'!$G$8/U3023)</f>
        <v>35.954563533903134</v>
      </c>
      <c r="V3022" s="111"/>
      <c r="W3022" s="28"/>
      <c r="X3022" s="96">
        <f ca="1">(X3014/(N_9*X$27*X3016*0.667))*SQRT(M*'Valve Sizing'!$W$6*'Valve Sizing'!$G$8/X3023)</f>
        <v>98.277116137273595</v>
      </c>
      <c r="Y3022" s="111"/>
      <c r="Z3022" s="28"/>
      <c r="AA3022" s="96">
        <f ca="1">(AA3014/(N_9*AA$27*AA3016*0.667))*SQRT(M*'Valve Sizing'!$W$6*'Valve Sizing'!$G$8/AA3023)</f>
        <v>304.71211752393822</v>
      </c>
      <c r="AB3022" s="111"/>
      <c r="AC3022" s="28"/>
      <c r="AD3022" s="96">
        <f ca="1">(AD3014/(N_9*AD$27*AD3016*0.667))*SQRT(M*'Valve Sizing'!$W$6*'Valve Sizing'!$G$8/AD3023)</f>
        <v>-1287.6379788343536</v>
      </c>
      <c r="AE3022" s="111"/>
      <c r="AF3022" s="28"/>
      <c r="AG3022" s="96">
        <f ca="1">(AG3014/(N_9*AG$27*AG3016*0.667))*SQRT(M*'Valve Sizing'!$W$6*'Valve Sizing'!$G$8/AG3023)</f>
        <v>-280.69104977174305</v>
      </c>
      <c r="AH3022" s="111"/>
      <c r="AI3022" s="28"/>
      <c r="AJ3022" s="96">
        <f ca="1">(AJ3014/(N_9*AJ$27*AJ3016*0.667))*SQRT(M*'Valve Sizing'!$W$6*'Valve Sizing'!$G$8/AJ3023)</f>
        <v>-177.8945483054604</v>
      </c>
      <c r="AK3022" s="111"/>
      <c r="AL3022" s="28"/>
      <c r="AM3022" s="96">
        <f ca="1">(AM3014/(N_9*AM$27*AM3016*0.667))*SQRT(M*'Valve Sizing'!$W$6*'Valve Sizing'!$G$8/AM3023)</f>
        <v>-150.11794445694358</v>
      </c>
      <c r="AN3022" s="111"/>
      <c r="AO3022" s="28"/>
      <c r="AP3022" s="96">
        <f ca="1">(AP3014/(N_9*AP$27*AP3016*0.667))*SQRT(M*'Valve Sizing'!$W$6*'Valve Sizing'!$G$8/AP3023)</f>
        <v>-126.59090540879929</v>
      </c>
      <c r="AQ3022" s="111"/>
      <c r="AR3022" s="28"/>
      <c r="AS3022" s="96">
        <f ca="1">(AS3014/(N_9*AS$27*AS3016*0.667))*SQRT(M*'Valve Sizing'!$W$6*'Valve Sizing'!$G$8/AS3023)</f>
        <v>-175.33345946401636</v>
      </c>
      <c r="AT3022" s="111"/>
      <c r="AU3022" s="28"/>
    </row>
    <row r="3023" spans="15:47" ht="15.6" x14ac:dyDescent="0.35">
      <c r="O3023" s="2" t="s">
        <v>68</v>
      </c>
      <c r="P3023" s="143">
        <v>10</v>
      </c>
      <c r="Q3023" s="2"/>
      <c r="R3023" s="96">
        <f ca="1">F_GAMMA*R$29</f>
        <v>0.64002969751372984</v>
      </c>
      <c r="S3023" s="107"/>
      <c r="T3023" s="1"/>
      <c r="U3023" s="96">
        <f ca="1">F_GAMMA*U$29</f>
        <v>0.64017842058782071</v>
      </c>
      <c r="V3023" s="111"/>
      <c r="W3023" s="28"/>
      <c r="X3023" s="96">
        <f ca="1">F_GAMMA*X$29</f>
        <v>0.63413873724904268</v>
      </c>
      <c r="Y3023" s="111"/>
      <c r="Z3023" s="28"/>
      <c r="AA3023" s="96">
        <f ca="1">F_GAMMA*AA$29</f>
        <v>0.62532411750377137</v>
      </c>
      <c r="AB3023" s="111"/>
      <c r="AC3023" s="28"/>
      <c r="AD3023" s="96">
        <f ca="1">F_GAMMA*AD$29</f>
        <v>0.60651359509139569</v>
      </c>
      <c r="AE3023" s="111"/>
      <c r="AF3023" s="28"/>
      <c r="AG3023" s="96">
        <f ca="1">F_GAMMA*AG$29</f>
        <v>0.57217930198481592</v>
      </c>
      <c r="AH3023" s="111"/>
      <c r="AI3023" s="28"/>
      <c r="AJ3023" s="96">
        <f ca="1">F_GAMMA*AJ$29</f>
        <v>0.53183282018848232</v>
      </c>
      <c r="AK3023" s="111"/>
      <c r="AL3023" s="28"/>
      <c r="AM3023" s="96">
        <f ca="1">F_GAMMA*AM$29</f>
        <v>0.47566512503094399</v>
      </c>
      <c r="AN3023" s="111"/>
      <c r="AO3023" s="28"/>
      <c r="AP3023" s="96">
        <f ca="1">F_GAMMA*AP$29</f>
        <v>0.59054158265645496</v>
      </c>
      <c r="AQ3023" s="111"/>
      <c r="AR3023" s="28"/>
      <c r="AS3023" s="96">
        <f ca="1">F_GAMMA*AS$29</f>
        <v>0.3766899554102966</v>
      </c>
      <c r="AT3023" s="111"/>
      <c r="AU3023" s="28"/>
    </row>
    <row r="3024" spans="15:47" x14ac:dyDescent="0.25">
      <c r="O3024" s="2" t="s">
        <v>145</v>
      </c>
      <c r="P3024" s="12"/>
      <c r="Q3024" s="2"/>
      <c r="R3024" s="96">
        <f ca="1">IF(R3019&lt;R3023,R3021,R3022)</f>
        <v>8.7494239050451448</v>
      </c>
      <c r="S3024" s="116"/>
      <c r="T3024" s="1"/>
      <c r="U3024" s="96">
        <f ca="1">IF(U3019&lt;U3023,U3021,U3022)</f>
        <v>40.638248227341926</v>
      </c>
      <c r="V3024" s="111"/>
      <c r="W3024" s="28"/>
      <c r="X3024" s="96">
        <f ca="1">IF(X3019&lt;X3023,X3021,X3022)</f>
        <v>120.51517809314213</v>
      </c>
      <c r="Y3024" s="111"/>
      <c r="Z3024" s="28"/>
      <c r="AA3024" s="96" t="e">
        <f ca="1">IF(AA3019&lt;AA3023,AA3021,AA3022)</f>
        <v>#NUM!</v>
      </c>
      <c r="AB3024" s="111"/>
      <c r="AC3024" s="28"/>
      <c r="AD3024" s="96">
        <f ca="1">IF(AD3019&lt;AD3023,AD3021,AD3022)</f>
        <v>-1287.6379788343536</v>
      </c>
      <c r="AE3024" s="111"/>
      <c r="AF3024" s="28"/>
      <c r="AG3024" s="96">
        <f ca="1">IF(AG3019&lt;AG3023,AG3021,AG3022)</f>
        <v>-280.69104977174305</v>
      </c>
      <c r="AH3024" s="111"/>
      <c r="AI3024" s="28"/>
      <c r="AJ3024" s="96">
        <f ca="1">IF(AJ3019&lt;AJ3023,AJ3021,AJ3022)</f>
        <v>-177.8945483054604</v>
      </c>
      <c r="AK3024" s="111"/>
      <c r="AL3024" s="28"/>
      <c r="AM3024" s="96">
        <f ca="1">IF(AM3019&lt;AM3023,AM3021,AM3022)</f>
        <v>-150.11794445694358</v>
      </c>
      <c r="AN3024" s="111"/>
      <c r="AO3024" s="28"/>
      <c r="AP3024" s="96">
        <f ca="1">IF(AP3019&lt;AP3023,AP3021,AP3022)</f>
        <v>-126.59090540879929</v>
      </c>
      <c r="AQ3024" s="111"/>
      <c r="AR3024" s="28"/>
      <c r="AS3024" s="96">
        <f ca="1">IF(AS3019&lt;AS3023,AS3021,AS3022)</f>
        <v>-175.33345946401636</v>
      </c>
      <c r="AT3024" s="111"/>
      <c r="AU3024" s="28"/>
    </row>
    <row r="3025" spans="15:47" x14ac:dyDescent="0.25">
      <c r="O3025" s="13" t="s">
        <v>143</v>
      </c>
      <c r="P3025" s="1"/>
      <c r="Q3025" s="1"/>
      <c r="R3025" s="113"/>
      <c r="S3025" s="106">
        <f ca="1">IF(R3018&lt;=0,Q_max,ABS(R$23-R3024))</f>
        <v>4.0194239050451444</v>
      </c>
      <c r="T3025" s="7">
        <f>R3014</f>
        <v>21633.323707881671</v>
      </c>
      <c r="U3025" s="98"/>
      <c r="V3025" s="106">
        <f ca="1">IF(U3018&lt;=0,Q_max,ABS(U$23-U3024))</f>
        <v>29.038248227341924</v>
      </c>
      <c r="W3025" s="9">
        <f ca="1">U3014</f>
        <v>97492.350220514374</v>
      </c>
      <c r="X3025" s="98"/>
      <c r="Y3025" s="106">
        <f ca="1">IF(X3018&lt;=0,Q_max,ABS(X$23-X3024))</f>
        <v>97.515178093142126</v>
      </c>
      <c r="Z3025" s="9">
        <f ca="1">X3014</f>
        <v>238722.95427822467</v>
      </c>
      <c r="AA3025" s="98"/>
      <c r="AB3025" s="106">
        <f ca="1">IF(AA3018&lt;=0,Q_max,ABS(AA$23-AA3024))</f>
        <v>236393</v>
      </c>
      <c r="AC3025" s="9">
        <f ca="1">AA3014</f>
        <v>464971.38199484174</v>
      </c>
      <c r="AD3025" s="98"/>
      <c r="AE3025" s="106">
        <f ca="1">IF(AD3018&lt;=0,Q_max,ABS(AD$23-AD3024))</f>
        <v>236393</v>
      </c>
      <c r="AF3025" s="9">
        <f ca="1">AD3014</f>
        <v>780077.3363700608</v>
      </c>
      <c r="AG3025" s="98"/>
      <c r="AH3025" s="106">
        <f ca="1">IF(AG3018&lt;=0,Q_max,ABS(AG$23-AG3024))</f>
        <v>236393</v>
      </c>
      <c r="AI3025" s="9">
        <f ca="1">AG3014</f>
        <v>1138544.11872903</v>
      </c>
      <c r="AJ3025" s="98"/>
      <c r="AK3025" s="106">
        <f ca="1">IF(AJ3018&lt;=0,Q_max,ABS(AJ$23-AJ3024))</f>
        <v>236393</v>
      </c>
      <c r="AL3025" s="9">
        <f ca="1">AJ3014</f>
        <v>1519391.5400867152</v>
      </c>
      <c r="AM3025" s="98"/>
      <c r="AN3025" s="106">
        <f ca="1">IF(AM3018&lt;=0,Q_max,ABS(AM$23-AM3024))</f>
        <v>236393</v>
      </c>
      <c r="AO3025" s="9">
        <f ca="1">AM3014</f>
        <v>1853946.4239950122</v>
      </c>
      <c r="AP3025" s="98"/>
      <c r="AQ3025" s="106">
        <f ca="1">IF(AP3018&lt;=0,Q_max,ABS(AP$23-AP3024))</f>
        <v>236393</v>
      </c>
      <c r="AR3025" s="9">
        <f ca="1">AP3014</f>
        <v>2152374.2431774335</v>
      </c>
      <c r="AS3025" s="98"/>
      <c r="AT3025" s="106">
        <f ca="1">IF(AS3018&lt;=0,Q_max,ABS(AS$23-AS3024))</f>
        <v>236393</v>
      </c>
      <c r="AU3025" s="9">
        <f ca="1">AS3014</f>
        <v>2523828.073433666</v>
      </c>
    </row>
    <row r="3026" spans="15:47" x14ac:dyDescent="0.25">
      <c r="O3026" s="21"/>
      <c r="P3026" s="14"/>
      <c r="Q3026" s="21"/>
      <c r="R3026" s="97"/>
      <c r="S3026" s="106"/>
      <c r="T3026" s="28"/>
      <c r="U3026" s="97"/>
      <c r="V3026" s="111"/>
      <c r="W3026" s="28"/>
      <c r="X3026" s="97"/>
      <c r="Y3026" s="111"/>
      <c r="Z3026" s="28"/>
      <c r="AA3026" s="97"/>
      <c r="AB3026" s="111"/>
      <c r="AC3026" s="28"/>
      <c r="AD3026" s="97"/>
      <c r="AE3026" s="111"/>
      <c r="AF3026" s="28"/>
      <c r="AG3026" s="97"/>
      <c r="AH3026" s="111"/>
      <c r="AI3026" s="28"/>
      <c r="AJ3026" s="97"/>
      <c r="AK3026" s="111"/>
      <c r="AL3026" s="28"/>
      <c r="AM3026" s="97"/>
      <c r="AN3026" s="111"/>
      <c r="AO3026" s="28"/>
      <c r="AP3026" s="97"/>
      <c r="AQ3026" s="111"/>
      <c r="AR3026" s="28"/>
      <c r="AS3026" s="97"/>
      <c r="AT3026" s="111"/>
      <c r="AU3026" s="28"/>
    </row>
    <row r="3027" spans="15:47" x14ac:dyDescent="0.25">
      <c r="O3027" s="1"/>
      <c r="P3027" s="1"/>
      <c r="Q3027" s="1"/>
      <c r="R3027" s="98"/>
      <c r="S3027" s="108" t="s">
        <v>137</v>
      </c>
      <c r="T3027" s="26" t="s">
        <v>146</v>
      </c>
      <c r="U3027" s="98"/>
      <c r="V3027" s="108" t="s">
        <v>137</v>
      </c>
      <c r="W3027" s="26" t="s">
        <v>146</v>
      </c>
      <c r="X3027" s="98"/>
      <c r="Y3027" s="108" t="s">
        <v>137</v>
      </c>
      <c r="Z3027" s="26" t="s">
        <v>146</v>
      </c>
      <c r="AA3027" s="98"/>
      <c r="AB3027" s="108" t="s">
        <v>137</v>
      </c>
      <c r="AC3027" s="26" t="s">
        <v>146</v>
      </c>
      <c r="AD3027" s="98"/>
      <c r="AE3027" s="108" t="s">
        <v>137</v>
      </c>
      <c r="AF3027" s="26" t="s">
        <v>146</v>
      </c>
      <c r="AG3027" s="98"/>
      <c r="AH3027" s="108" t="s">
        <v>137</v>
      </c>
      <c r="AI3027" s="26" t="s">
        <v>146</v>
      </c>
      <c r="AJ3027" s="98"/>
      <c r="AK3027" s="108" t="s">
        <v>137</v>
      </c>
      <c r="AL3027" s="26" t="s">
        <v>146</v>
      </c>
      <c r="AM3027" s="98"/>
      <c r="AN3027" s="108" t="s">
        <v>137</v>
      </c>
      <c r="AO3027" s="26" t="s">
        <v>146</v>
      </c>
      <c r="AP3027" s="98"/>
      <c r="AQ3027" s="108" t="s">
        <v>137</v>
      </c>
      <c r="AR3027" s="26" t="s">
        <v>146</v>
      </c>
      <c r="AS3027" s="98"/>
      <c r="AT3027" s="108" t="s">
        <v>137</v>
      </c>
      <c r="AU3027" s="26" t="s">
        <v>146</v>
      </c>
    </row>
    <row r="3028" spans="15:47" ht="13.8" x14ac:dyDescent="0.25">
      <c r="O3028" s="20" t="s">
        <v>136</v>
      </c>
      <c r="P3028" s="1"/>
      <c r="Q3028" s="1"/>
      <c r="R3028" s="96">
        <f>R3014*1.02</f>
        <v>22065.990182039306</v>
      </c>
      <c r="S3028" s="109" t="s">
        <v>144</v>
      </c>
      <c r="T3028" s="23" t="s">
        <v>147</v>
      </c>
      <c r="U3028" s="96">
        <f ca="1">U3014*1.01</f>
        <v>98467.273722719518</v>
      </c>
      <c r="V3028" s="109" t="s">
        <v>144</v>
      </c>
      <c r="W3028" s="23" t="s">
        <v>147</v>
      </c>
      <c r="X3028" s="96">
        <f ca="1">X3014*1.01</f>
        <v>241110.18382100691</v>
      </c>
      <c r="Y3028" s="109" t="s">
        <v>144</v>
      </c>
      <c r="Z3028" s="23" t="s">
        <v>147</v>
      </c>
      <c r="AA3028" s="96">
        <f ca="1">AA3014*1.01</f>
        <v>469621.09581479017</v>
      </c>
      <c r="AB3028" s="109" t="s">
        <v>144</v>
      </c>
      <c r="AC3028" s="23" t="s">
        <v>147</v>
      </c>
      <c r="AD3028" s="96">
        <f ca="1">AD3014*1.01</f>
        <v>787878.1097337614</v>
      </c>
      <c r="AE3028" s="109" t="s">
        <v>144</v>
      </c>
      <c r="AF3028" s="23" t="s">
        <v>147</v>
      </c>
      <c r="AG3028" s="96">
        <f ca="1">AG3014*1.01</f>
        <v>1149929.5599163203</v>
      </c>
      <c r="AH3028" s="109" t="s">
        <v>144</v>
      </c>
      <c r="AI3028" s="23" t="s">
        <v>147</v>
      </c>
      <c r="AJ3028" s="96">
        <f ca="1">AJ3014*1.01</f>
        <v>1534585.4554875824</v>
      </c>
      <c r="AK3028" s="109" t="s">
        <v>144</v>
      </c>
      <c r="AL3028" s="23" t="s">
        <v>147</v>
      </c>
      <c r="AM3028" s="96">
        <f ca="1">AM3014*1.01</f>
        <v>1872485.8882349622</v>
      </c>
      <c r="AN3028" s="109" t="s">
        <v>144</v>
      </c>
      <c r="AO3028" s="23" t="s">
        <v>147</v>
      </c>
      <c r="AP3028" s="96">
        <f ca="1">AP3014*1.01</f>
        <v>2173897.9856092078</v>
      </c>
      <c r="AQ3028" s="109" t="s">
        <v>144</v>
      </c>
      <c r="AR3028" s="23" t="s">
        <v>147</v>
      </c>
      <c r="AS3028" s="96">
        <f ca="1">AS3014*1.01</f>
        <v>2549066.3541680025</v>
      </c>
      <c r="AT3028" s="109" t="s">
        <v>144</v>
      </c>
      <c r="AU3028" s="23" t="s">
        <v>147</v>
      </c>
    </row>
    <row r="3029" spans="15:47" x14ac:dyDescent="0.25">
      <c r="O3029" s="1"/>
      <c r="P3029" s="1"/>
      <c r="Q3029" s="1"/>
      <c r="R3029" s="98"/>
      <c r="S3029" s="107"/>
      <c r="T3029" s="1"/>
      <c r="U3029" s="47"/>
      <c r="V3029" s="107"/>
      <c r="W3029" s="1"/>
      <c r="X3029" s="47"/>
      <c r="Y3029" s="107"/>
      <c r="Z3029" s="1"/>
      <c r="AA3029" s="47"/>
      <c r="AB3029" s="107"/>
      <c r="AC3029" s="1"/>
      <c r="AD3029" s="47"/>
      <c r="AE3029" s="107"/>
      <c r="AF3029" s="1"/>
      <c r="AG3029" s="47"/>
      <c r="AH3029" s="107"/>
      <c r="AI3029" s="1"/>
      <c r="AJ3029" s="47"/>
      <c r="AK3029" s="107"/>
      <c r="AL3029" s="1"/>
      <c r="AM3029" s="47"/>
      <c r="AN3029" s="107"/>
      <c r="AO3029" s="1"/>
      <c r="AP3029" s="47"/>
      <c r="AQ3029" s="107"/>
      <c r="AR3029" s="1"/>
      <c r="AS3029" s="47"/>
      <c r="AT3029" s="107"/>
      <c r="AU3029" s="1"/>
    </row>
    <row r="3030" spans="15:47" x14ac:dyDescent="0.25">
      <c r="O3030" s="8" t="s">
        <v>132</v>
      </c>
      <c r="P3030" s="8"/>
      <c r="Q3030" s="8"/>
      <c r="R3030" s="96">
        <f>P_1_minQ-(R3028^2*R_up)+dpup_minQ</f>
        <v>90.09629624859069</v>
      </c>
      <c r="S3030" s="106"/>
      <c r="T3030" s="22"/>
      <c r="U3030" s="96">
        <f ca="1">P_1_minQ-(U3028^2*R_up)+dpup_minQ</f>
        <v>88.417874459411777</v>
      </c>
      <c r="V3030" s="107"/>
      <c r="W3030" s="1"/>
      <c r="X3030" s="96">
        <f ca="1">P_1_minQ-(X3028^2*R_up)+dpup_minQ</f>
        <v>79.589462711908027</v>
      </c>
      <c r="Y3030" s="107"/>
      <c r="Z3030" s="1"/>
      <c r="AA3030" s="96">
        <f ca="1">P_1_minQ-(AA3028^2*R_up)+dpup_minQ</f>
        <v>49.988494935761686</v>
      </c>
      <c r="AB3030" s="107"/>
      <c r="AC3030" s="1"/>
      <c r="AD3030" s="96">
        <f ca="1">P_1_minQ-(AD3028^2*R_up)+dpup_minQ</f>
        <v>-22.953769272845605</v>
      </c>
      <c r="AE3030" s="107"/>
      <c r="AF3030" s="1"/>
      <c r="AG3030" s="96">
        <f ca="1">P_1_minQ-(AG3028^2*R_up)+dpup_minQ</f>
        <v>-150.82548694770526</v>
      </c>
      <c r="AH3030" s="107"/>
      <c r="AI3030" s="1"/>
      <c r="AJ3030" s="96">
        <f ca="1">P_1_minQ-(AJ3028^2*R_up)+dpup_minQ</f>
        <v>-339.03075163561209</v>
      </c>
      <c r="AK3030" s="107"/>
      <c r="AL3030" s="1"/>
      <c r="AM3030" s="96">
        <f ca="1">P_1_minQ-(AM3028^2*R_up)+dpup_minQ</f>
        <v>-548.85878630884417</v>
      </c>
      <c r="AN3030" s="107"/>
      <c r="AO3030" s="1"/>
      <c r="AP3030" s="96">
        <f ca="1">P_1_minQ-(AP3028^2*R_up)+dpup_minQ</f>
        <v>-771.14948832501409</v>
      </c>
      <c r="AQ3030" s="107"/>
      <c r="AR3030" s="1"/>
      <c r="AS3030" s="96">
        <f ca="1">P_1_minQ-(AS3028^2*R_up)+dpup_minQ</f>
        <v>-1094.0988410162715</v>
      </c>
      <c r="AT3030" s="107"/>
      <c r="AU3030" s="1"/>
    </row>
    <row r="3031" spans="15:47" x14ac:dyDescent="0.25">
      <c r="O3031" s="8" t="s">
        <v>134</v>
      </c>
      <c r="P3031" s="1"/>
      <c r="Q3031" s="8"/>
      <c r="R3031" s="97">
        <f>P_2_minQ+(R3028^2*R_dn)-dpdn_minQ</f>
        <v>60</v>
      </c>
      <c r="S3031" s="106"/>
      <c r="T3031" s="22"/>
      <c r="U3031" s="97">
        <f ca="1">P_2_minQ+(U3028^2*R_dn)-dpdn_minQ</f>
        <v>60</v>
      </c>
      <c r="V3031" s="107"/>
      <c r="W3031" s="1"/>
      <c r="X3031" s="97">
        <f ca="1">P_2_minQ+(X3028^2*R_dn)-dpdn_minQ</f>
        <v>60</v>
      </c>
      <c r="Y3031" s="107"/>
      <c r="Z3031" s="1"/>
      <c r="AA3031" s="97">
        <f ca="1">P_2_minQ+(AA3028^2*R_dn)-dpdn_minQ</f>
        <v>60</v>
      </c>
      <c r="AB3031" s="107"/>
      <c r="AC3031" s="1"/>
      <c r="AD3031" s="97">
        <f ca="1">P_2_minQ+(AD3028^2*R_dn)-dpdn_minQ</f>
        <v>60</v>
      </c>
      <c r="AE3031" s="107"/>
      <c r="AF3031" s="1"/>
      <c r="AG3031" s="97">
        <f ca="1">P_2_minQ+(AG3028^2*R_dn)-dpdn_minQ</f>
        <v>60</v>
      </c>
      <c r="AH3031" s="107"/>
      <c r="AI3031" s="1"/>
      <c r="AJ3031" s="97">
        <f ca="1">P_2_minQ+(AJ3028^2*R_dn)-dpdn_minQ</f>
        <v>60</v>
      </c>
      <c r="AK3031" s="107"/>
      <c r="AL3031" s="1"/>
      <c r="AM3031" s="97">
        <f ca="1">P_2_minQ+(AM3028^2*R_dn)-dpdn_minQ</f>
        <v>60</v>
      </c>
      <c r="AN3031" s="107"/>
      <c r="AO3031" s="1"/>
      <c r="AP3031" s="97">
        <f ca="1">P_2_minQ+(AP3028^2*R_dn)-dpdn_minQ</f>
        <v>60</v>
      </c>
      <c r="AQ3031" s="107"/>
      <c r="AR3031" s="1"/>
      <c r="AS3031" s="97">
        <f ca="1">P_2_minQ+(AS3028^2*R_dn)-dpdn_minQ</f>
        <v>60</v>
      </c>
      <c r="AT3031" s="107"/>
      <c r="AU3031" s="1"/>
    </row>
    <row r="3032" spans="15:47" x14ac:dyDescent="0.25">
      <c r="O3032" s="8" t="s">
        <v>138</v>
      </c>
      <c r="P3032" s="1"/>
      <c r="Q3032" s="8"/>
      <c r="R3032" s="97">
        <f>R3030-R3031</f>
        <v>30.09629624859069</v>
      </c>
      <c r="S3032" s="106"/>
      <c r="T3032" s="22"/>
      <c r="U3032" s="97">
        <f ca="1">U3030-U3031</f>
        <v>28.417874459411777</v>
      </c>
      <c r="V3032" s="110"/>
      <c r="W3032" s="25"/>
      <c r="X3032" s="97">
        <f ca="1">X3030-X3031</f>
        <v>19.589462711908027</v>
      </c>
      <c r="Y3032" s="110"/>
      <c r="Z3032" s="25"/>
      <c r="AA3032" s="97">
        <f ca="1">AA3030-AA3031</f>
        <v>-10.011505064238314</v>
      </c>
      <c r="AB3032" s="110"/>
      <c r="AC3032" s="25"/>
      <c r="AD3032" s="97">
        <f ca="1">AD3030-AD3031</f>
        <v>-82.953769272845605</v>
      </c>
      <c r="AE3032" s="110"/>
      <c r="AF3032" s="25"/>
      <c r="AG3032" s="97">
        <f ca="1">AG3030-AG3031</f>
        <v>-210.82548694770526</v>
      </c>
      <c r="AH3032" s="110"/>
      <c r="AI3032" s="25"/>
      <c r="AJ3032" s="97">
        <f ca="1">AJ3030-AJ3031</f>
        <v>-399.03075163561209</v>
      </c>
      <c r="AK3032" s="110"/>
      <c r="AL3032" s="25"/>
      <c r="AM3032" s="97">
        <f ca="1">AM3030-AM3031</f>
        <v>-608.85878630884417</v>
      </c>
      <c r="AN3032" s="110"/>
      <c r="AO3032" s="25"/>
      <c r="AP3032" s="97">
        <f ca="1">AP3030-AP3031</f>
        <v>-831.14948832501409</v>
      </c>
      <c r="AQ3032" s="110"/>
      <c r="AR3032" s="25"/>
      <c r="AS3032" s="97">
        <f ca="1">AS3030-AS3031</f>
        <v>-1154.0988410162715</v>
      </c>
      <c r="AT3032" s="110"/>
      <c r="AU3032" s="25"/>
    </row>
    <row r="3033" spans="15:47" ht="14.4" x14ac:dyDescent="0.3">
      <c r="O3033" s="2" t="s">
        <v>140</v>
      </c>
      <c r="P3033" s="11"/>
      <c r="Q3033" s="2"/>
      <c r="R3033" s="96">
        <f>R3032/R3030</f>
        <v>0.33404587648697559</v>
      </c>
      <c r="S3033" s="106"/>
      <c r="T3033" s="22"/>
      <c r="U3033" s="96">
        <f ca="1">U3032/U3030</f>
        <v>0.32140418024250289</v>
      </c>
      <c r="V3033" s="111"/>
      <c r="W3033" s="28"/>
      <c r="X3033" s="96">
        <f ca="1">X3032/X3030</f>
        <v>0.24613136016279563</v>
      </c>
      <c r="Y3033" s="111"/>
      <c r="Z3033" s="28"/>
      <c r="AA3033" s="96">
        <f ca="1">AA3032/AA3030</f>
        <v>-0.20027618509226411</v>
      </c>
      <c r="AB3033" s="111"/>
      <c r="AC3033" s="28"/>
      <c r="AD3033" s="96">
        <f ca="1">AD3032/AD3030</f>
        <v>3.6139497738604622</v>
      </c>
      <c r="AE3033" s="111"/>
      <c r="AF3033" s="28"/>
      <c r="AG3033" s="96">
        <f ca="1">AG3032/AG3030</f>
        <v>1.3978107494577718</v>
      </c>
      <c r="AH3033" s="111"/>
      <c r="AI3033" s="28"/>
      <c r="AJ3033" s="96">
        <f ca="1">AJ3032/AJ3030</f>
        <v>1.1769750965378136</v>
      </c>
      <c r="AK3033" s="111"/>
      <c r="AL3033" s="28"/>
      <c r="AM3033" s="96">
        <f ca="1">AM3032/AM3030</f>
        <v>1.1093177361767474</v>
      </c>
      <c r="AN3033" s="111"/>
      <c r="AO3033" s="28"/>
      <c r="AP3033" s="96">
        <f ca="1">AP3032/AP3030</f>
        <v>1.0778059259694561</v>
      </c>
      <c r="AQ3033" s="111"/>
      <c r="AR3033" s="28"/>
      <c r="AS3033" s="96">
        <f ca="1">AS3032/AS3030</f>
        <v>1.054839652278827</v>
      </c>
      <c r="AT3033" s="111"/>
      <c r="AU3033" s="28"/>
    </row>
    <row r="3034" spans="15:47" x14ac:dyDescent="0.25">
      <c r="O3034" s="2" t="s">
        <v>21</v>
      </c>
      <c r="P3034" s="8">
        <v>12</v>
      </c>
      <c r="Q3034" s="2"/>
      <c r="R3034" s="96">
        <f ca="1">1-R3033/(3*F_GAMMA*R$29)</f>
        <v>0.82602584547528768</v>
      </c>
      <c r="S3034" s="106"/>
      <c r="T3034" s="22"/>
      <c r="U3034" s="96">
        <f ca="1">1-U3033/(3*F_GAMMA*U$29)</f>
        <v>0.83264864403094319</v>
      </c>
      <c r="V3034" s="111"/>
      <c r="W3034" s="28"/>
      <c r="X3034" s="96">
        <f ca="1">1-X3033/(3*F_GAMMA*X$29)</f>
        <v>0.87062170799272409</v>
      </c>
      <c r="Y3034" s="111"/>
      <c r="Z3034" s="28"/>
      <c r="AA3034" s="96">
        <f ca="1">1-AA3033/(3*F_GAMMA*AA$29)</f>
        <v>1.1067586016521831</v>
      </c>
      <c r="AB3034" s="111"/>
      <c r="AC3034" s="28"/>
      <c r="AD3034" s="96">
        <f ca="1">1-AD3033/(3*F_GAMMA*AD$29)</f>
        <v>-0.98618783547403432</v>
      </c>
      <c r="AE3034" s="111"/>
      <c r="AF3034" s="28"/>
      <c r="AG3034" s="96">
        <f ca="1">1-AG3033/(3*F_GAMMA*AG$29)</f>
        <v>0.18568023193140837</v>
      </c>
      <c r="AH3034" s="111"/>
      <c r="AI3034" s="28"/>
      <c r="AJ3034" s="96">
        <f ca="1">1-AJ3033/(3*F_GAMMA*AJ$29)</f>
        <v>0.2623151161670868</v>
      </c>
      <c r="AK3034" s="111"/>
      <c r="AL3034" s="28"/>
      <c r="AM3034" s="96">
        <f ca="1">1-AM3033/(3*F_GAMMA*AM$29)</f>
        <v>0.22261994990377476</v>
      </c>
      <c r="AN3034" s="111"/>
      <c r="AO3034" s="28"/>
      <c r="AP3034" s="96">
        <f ca="1">1-AP3033/(3*F_GAMMA*AP$29)</f>
        <v>0.39162854481185327</v>
      </c>
      <c r="AQ3034" s="111"/>
      <c r="AR3034" s="28"/>
      <c r="AS3034" s="96">
        <f ca="1">1-AS3033/(3*F_GAMMA*AS$29)</f>
        <v>6.6571294572235096E-2</v>
      </c>
      <c r="AT3034" s="111"/>
      <c r="AU3034" s="28"/>
    </row>
    <row r="3035" spans="15:47" x14ac:dyDescent="0.25">
      <c r="O3035" s="2" t="s">
        <v>57</v>
      </c>
      <c r="P3035" s="143">
        <v>7</v>
      </c>
      <c r="Q3035" s="2"/>
      <c r="R3035" s="96">
        <f ca="1">(R3028/(N_9*R$27*R3030*R3034))*SQRT(M*'Valve Sizing'!$W$6*'Valve Sizing'!$G$8/R3033)</f>
        <v>8.92495064441027</v>
      </c>
      <c r="S3035" s="107"/>
      <c r="T3035" s="22"/>
      <c r="U3035" s="96">
        <f ca="1">(U3028/(N_9*U$27*U3030*U3034))*SQRT(M*'Valve Sizing'!$W$6*'Valve Sizing'!$G$8/U3033)</f>
        <v>41.070992869876243</v>
      </c>
      <c r="V3035" s="111"/>
      <c r="W3035" s="28"/>
      <c r="X3035" s="96">
        <f ca="1">(X3028/(N_9*X$27*X3030*X3034))*SQRT(M*'Valve Sizing'!$W$6*'Valve Sizing'!$G$8/X3033)</f>
        <v>122.38170855207713</v>
      </c>
      <c r="Y3035" s="111"/>
      <c r="Z3035" s="28"/>
      <c r="AA3035" s="96" t="e">
        <f ca="1">(AA3028/(N_9*AA$27*AA3030*AA3034))*SQRT(M*'Valve Sizing'!$W$6*'Valve Sizing'!$G$8/AA3033)</f>
        <v>#NUM!</v>
      </c>
      <c r="AB3035" s="111"/>
      <c r="AC3035" s="28"/>
      <c r="AD3035" s="96">
        <f ca="1">(AD3028/(N_9*AD$27*AD3030*AD3034))*SQRT(M*'Valve Sizing'!$W$6*'Valve Sizing'!$G$8/AD3033)</f>
        <v>325.34216396941105</v>
      </c>
      <c r="AE3035" s="111"/>
      <c r="AF3035" s="28"/>
      <c r="AG3035" s="96">
        <f ca="1">(AG3028/(N_9*AG$27*AG3030*AG3034))*SQRT(M*'Valve Sizing'!$W$6*'Valve Sizing'!$G$8/AG3033)</f>
        <v>-631.04159066458305</v>
      </c>
      <c r="AH3035" s="111"/>
      <c r="AI3035" s="28"/>
      <c r="AJ3035" s="96">
        <f ca="1">(AJ3028/(N_9*AJ$27*AJ3030*AJ3034))*SQRT(M*'Valve Sizing'!$W$6*'Valve Sizing'!$G$8/AJ3033)</f>
        <v>-299.4466157505866</v>
      </c>
      <c r="AK3035" s="111"/>
      <c r="AL3035" s="28"/>
      <c r="AM3035" s="96">
        <f ca="1">(AM3028/(N_9*AM$27*AM3030*AM3034))*SQRT(M*'Valve Sizing'!$W$6*'Valve Sizing'!$G$8/AM3033)</f>
        <v>-290.64238230893409</v>
      </c>
      <c r="AN3035" s="111"/>
      <c r="AO3035" s="28"/>
      <c r="AP3035" s="96">
        <f ca="1">(AP3028/(N_9*AP$27*AP3030*AP3034))*SQRT(M*'Valve Sizing'!$W$6*'Valve Sizing'!$G$8/AP3033)</f>
        <v>-157.63966381644144</v>
      </c>
      <c r="AQ3035" s="111"/>
      <c r="AR3035" s="28"/>
      <c r="AS3035" s="96">
        <f ca="1">(AS3028/(N_9*AS$27*AS3030*AS3034))*SQRT(M*'Valve Sizing'!$W$6*'Valve Sizing'!$G$8/AS3033)</f>
        <v>-1037.6739483853469</v>
      </c>
      <c r="AT3035" s="111"/>
      <c r="AU3035" s="28"/>
    </row>
    <row r="3036" spans="15:47" x14ac:dyDescent="0.25">
      <c r="O3036" s="2" t="s">
        <v>59</v>
      </c>
      <c r="P3036" s="143">
        <v>7</v>
      </c>
      <c r="Q3036" s="2"/>
      <c r="R3036" s="96">
        <f ca="1">(R3028/(N_9*R$27*R3030*0.667))*SQRT(M*'Valve Sizing'!$W$6*'Valve Sizing'!$G$8/R3037)</f>
        <v>7.9850312478382355</v>
      </c>
      <c r="S3036" s="107"/>
      <c r="T3036" s="22"/>
      <c r="U3036" s="96">
        <f ca="1">(U3028/(N_9*U$27*U3030*0.667))*SQRT(M*'Valve Sizing'!$W$6*'Valve Sizing'!$G$8/U3037)</f>
        <v>36.328410155815696</v>
      </c>
      <c r="V3036" s="111"/>
      <c r="W3036" s="28"/>
      <c r="X3036" s="96">
        <f ca="1">(X3028/(N_9*X$27*X3030*0.667))*SQRT(M*'Valve Sizing'!$W$6*'Valve Sizing'!$G$8/X3037)</f>
        <v>99.520260426438881</v>
      </c>
      <c r="Y3036" s="111"/>
      <c r="Z3036" s="28"/>
      <c r="AA3036" s="96">
        <f ca="1">(AA3028/(N_9*AA$27*AA3030*0.667))*SQRT(M*'Valve Sizing'!$W$6*'Valve Sizing'!$G$8/AA3037)</f>
        <v>312.63545632623607</v>
      </c>
      <c r="AB3036" s="111"/>
      <c r="AC3036" s="28"/>
      <c r="AD3036" s="96">
        <f ca="1">(AD3028/(N_9*AD$27*AD3030*0.667))*SQRT(M*'Valve Sizing'!$W$6*'Valve Sizing'!$G$8/AD3037)</f>
        <v>-1174.2077555639414</v>
      </c>
      <c r="AE3036" s="111"/>
      <c r="AF3036" s="28"/>
      <c r="AG3036" s="96">
        <f ca="1">(AG3028/(N_9*AG$27*AG3030*0.667))*SQRT(M*'Valve Sizing'!$W$6*'Valve Sizing'!$G$8/AG3037)</f>
        <v>-274.57180318270792</v>
      </c>
      <c r="AH3036" s="111"/>
      <c r="AI3036" s="28"/>
      <c r="AJ3036" s="96">
        <f ca="1">(AJ3028/(N_9*AJ$27*AJ3030*0.667))*SQRT(M*'Valve Sizing'!$W$6*'Valve Sizing'!$G$8/AJ3037)</f>
        <v>-175.19147241924955</v>
      </c>
      <c r="AK3036" s="111"/>
      <c r="AL3036" s="28"/>
      <c r="AM3036" s="96">
        <f ca="1">(AM3028/(N_9*AM$27*AM3030*0.667))*SQRT(M*'Valve Sizing'!$W$6*'Valve Sizing'!$G$8/AM3037)</f>
        <v>-148.14074157579114</v>
      </c>
      <c r="AN3036" s="111"/>
      <c r="AO3036" s="28"/>
      <c r="AP3036" s="96">
        <f ca="1">(AP3028/(N_9*AP$27*AP3030*0.667))*SQRT(M*'Valve Sizing'!$W$6*'Valve Sizing'!$G$8/AP3037)</f>
        <v>-125.04290271690154</v>
      </c>
      <c r="AQ3036" s="111"/>
      <c r="AR3036" s="28"/>
      <c r="AS3036" s="96">
        <f ca="1">(AS3028/(N_9*AS$27*AS3030*0.667))*SQRT(M*'Valve Sizing'!$W$6*'Valve Sizing'!$G$8/AS3037)</f>
        <v>-173.30986571034467</v>
      </c>
      <c r="AT3036" s="111"/>
      <c r="AU3036" s="28"/>
    </row>
    <row r="3037" spans="15:47" ht="15.6" x14ac:dyDescent="0.35">
      <c r="O3037" s="2" t="s">
        <v>68</v>
      </c>
      <c r="P3037" s="143">
        <v>10</v>
      </c>
      <c r="Q3037" s="2"/>
      <c r="R3037" s="96">
        <f ca="1">F_GAMMA*R$29</f>
        <v>0.64002969751372984</v>
      </c>
      <c r="S3037" s="107"/>
      <c r="T3037" s="1"/>
      <c r="U3037" s="96">
        <f ca="1">F_GAMMA*U$29</f>
        <v>0.64017842058782071</v>
      </c>
      <c r="V3037" s="111"/>
      <c r="W3037" s="28"/>
      <c r="X3037" s="96">
        <f ca="1">F_GAMMA*X$29</f>
        <v>0.63413873724904268</v>
      </c>
      <c r="Y3037" s="111"/>
      <c r="Z3037" s="28"/>
      <c r="AA3037" s="96">
        <f ca="1">F_GAMMA*AA$29</f>
        <v>0.62532411750377137</v>
      </c>
      <c r="AB3037" s="111"/>
      <c r="AC3037" s="28"/>
      <c r="AD3037" s="96">
        <f ca="1">F_GAMMA*AD$29</f>
        <v>0.60651359509139569</v>
      </c>
      <c r="AE3037" s="111"/>
      <c r="AF3037" s="28"/>
      <c r="AG3037" s="96">
        <f ca="1">F_GAMMA*AG$29</f>
        <v>0.57217930198481592</v>
      </c>
      <c r="AH3037" s="111"/>
      <c r="AI3037" s="28"/>
      <c r="AJ3037" s="96">
        <f ca="1">F_GAMMA*AJ$29</f>
        <v>0.53183282018848232</v>
      </c>
      <c r="AK3037" s="111"/>
      <c r="AL3037" s="28"/>
      <c r="AM3037" s="96">
        <f ca="1">F_GAMMA*AM$29</f>
        <v>0.47566512503094399</v>
      </c>
      <c r="AN3037" s="111"/>
      <c r="AO3037" s="28"/>
      <c r="AP3037" s="96">
        <f ca="1">F_GAMMA*AP$29</f>
        <v>0.59054158265645496</v>
      </c>
      <c r="AQ3037" s="111"/>
      <c r="AR3037" s="28"/>
      <c r="AS3037" s="96">
        <f ca="1">F_GAMMA*AS$29</f>
        <v>0.3766899554102966</v>
      </c>
      <c r="AT3037" s="111"/>
      <c r="AU3037" s="28"/>
    </row>
    <row r="3038" spans="15:47" x14ac:dyDescent="0.25">
      <c r="O3038" s="2" t="s">
        <v>145</v>
      </c>
      <c r="P3038" s="12"/>
      <c r="Q3038" s="2"/>
      <c r="R3038" s="96">
        <f ca="1">IF(R3033&lt;R3037,R3035,R3036)</f>
        <v>8.92495064441027</v>
      </c>
      <c r="S3038" s="116"/>
      <c r="T3038" s="1"/>
      <c r="U3038" s="96">
        <f ca="1">IF(U3033&lt;U3037,U3035,U3036)</f>
        <v>41.070992869876243</v>
      </c>
      <c r="V3038" s="111"/>
      <c r="W3038" s="28"/>
      <c r="X3038" s="96">
        <f ca="1">IF(X3033&lt;X3037,X3035,X3036)</f>
        <v>122.38170855207713</v>
      </c>
      <c r="Y3038" s="111"/>
      <c r="Z3038" s="28"/>
      <c r="AA3038" s="96" t="e">
        <f ca="1">IF(AA3033&lt;AA3037,AA3035,AA3036)</f>
        <v>#NUM!</v>
      </c>
      <c r="AB3038" s="111"/>
      <c r="AC3038" s="28"/>
      <c r="AD3038" s="96">
        <f ca="1">IF(AD3033&lt;AD3037,AD3035,AD3036)</f>
        <v>-1174.2077555639414</v>
      </c>
      <c r="AE3038" s="111"/>
      <c r="AF3038" s="28"/>
      <c r="AG3038" s="96">
        <f ca="1">IF(AG3033&lt;AG3037,AG3035,AG3036)</f>
        <v>-274.57180318270792</v>
      </c>
      <c r="AH3038" s="111"/>
      <c r="AI3038" s="28"/>
      <c r="AJ3038" s="96">
        <f ca="1">IF(AJ3033&lt;AJ3037,AJ3035,AJ3036)</f>
        <v>-175.19147241924955</v>
      </c>
      <c r="AK3038" s="111"/>
      <c r="AL3038" s="28"/>
      <c r="AM3038" s="96">
        <f ca="1">IF(AM3033&lt;AM3037,AM3035,AM3036)</f>
        <v>-148.14074157579114</v>
      </c>
      <c r="AN3038" s="111"/>
      <c r="AO3038" s="28"/>
      <c r="AP3038" s="96">
        <f ca="1">IF(AP3033&lt;AP3037,AP3035,AP3036)</f>
        <v>-125.04290271690154</v>
      </c>
      <c r="AQ3038" s="111"/>
      <c r="AR3038" s="28"/>
      <c r="AS3038" s="96">
        <f ca="1">IF(AS3033&lt;AS3037,AS3035,AS3036)</f>
        <v>-173.30986571034467</v>
      </c>
      <c r="AT3038" s="111"/>
      <c r="AU3038" s="28"/>
    </row>
    <row r="3039" spans="15:47" x14ac:dyDescent="0.25">
      <c r="O3039" s="13" t="s">
        <v>143</v>
      </c>
      <c r="P3039" s="1"/>
      <c r="Q3039" s="1"/>
      <c r="R3039" s="113"/>
      <c r="S3039" s="106">
        <f ca="1">IF(R3032&lt;=0,Q_max,ABS(R$23-R3038))</f>
        <v>4.1949506444102695</v>
      </c>
      <c r="T3039" s="7">
        <f>R3028</f>
        <v>22065.990182039306</v>
      </c>
      <c r="U3039" s="98"/>
      <c r="V3039" s="106">
        <f ca="1">IF(U3032&lt;=0,Q_max,ABS(U$23-U3038))</f>
        <v>29.470992869876241</v>
      </c>
      <c r="W3039" s="9">
        <f ca="1">U3028</f>
        <v>98467.273722719518</v>
      </c>
      <c r="X3039" s="98"/>
      <c r="Y3039" s="106">
        <f ca="1">IF(X3032&lt;=0,Q_max,ABS(X$23-X3038))</f>
        <v>99.381708552077129</v>
      </c>
      <c r="Z3039" s="9">
        <f ca="1">X3028</f>
        <v>241110.18382100691</v>
      </c>
      <c r="AA3039" s="98"/>
      <c r="AB3039" s="106">
        <f ca="1">IF(AA3032&lt;=0,Q_max,ABS(AA$23-AA3038))</f>
        <v>236393</v>
      </c>
      <c r="AC3039" s="9">
        <f ca="1">AA3028</f>
        <v>469621.09581479017</v>
      </c>
      <c r="AD3039" s="98"/>
      <c r="AE3039" s="106">
        <f ca="1">IF(AD3032&lt;=0,Q_max,ABS(AD$23-AD3038))</f>
        <v>236393</v>
      </c>
      <c r="AF3039" s="9">
        <f ca="1">AD3028</f>
        <v>787878.1097337614</v>
      </c>
      <c r="AG3039" s="98"/>
      <c r="AH3039" s="106">
        <f ca="1">IF(AG3032&lt;=0,Q_max,ABS(AG$23-AG3038))</f>
        <v>236393</v>
      </c>
      <c r="AI3039" s="9">
        <f ca="1">AG3028</f>
        <v>1149929.5599163203</v>
      </c>
      <c r="AJ3039" s="98"/>
      <c r="AK3039" s="106">
        <f ca="1">IF(AJ3032&lt;=0,Q_max,ABS(AJ$23-AJ3038))</f>
        <v>236393</v>
      </c>
      <c r="AL3039" s="9">
        <f ca="1">AJ3028</f>
        <v>1534585.4554875824</v>
      </c>
      <c r="AM3039" s="98"/>
      <c r="AN3039" s="106">
        <f ca="1">IF(AM3032&lt;=0,Q_max,ABS(AM$23-AM3038))</f>
        <v>236393</v>
      </c>
      <c r="AO3039" s="9">
        <f ca="1">AM3028</f>
        <v>1872485.8882349622</v>
      </c>
      <c r="AP3039" s="98"/>
      <c r="AQ3039" s="106">
        <f ca="1">IF(AP3032&lt;=0,Q_max,ABS(AP$23-AP3038))</f>
        <v>236393</v>
      </c>
      <c r="AR3039" s="9">
        <f ca="1">AP3028</f>
        <v>2173897.9856092078</v>
      </c>
      <c r="AS3039" s="98"/>
      <c r="AT3039" s="106">
        <f ca="1">IF(AS3032&lt;=0,Q_max,ABS(AS$23-AS3038))</f>
        <v>236393</v>
      </c>
      <c r="AU3039" s="9">
        <f ca="1">AS3028</f>
        <v>2549066.3541680025</v>
      </c>
    </row>
    <row r="3040" spans="15:47" x14ac:dyDescent="0.25">
      <c r="O3040" s="21"/>
      <c r="P3040" s="14"/>
      <c r="Q3040" s="21"/>
      <c r="R3040" s="97"/>
      <c r="S3040" s="106"/>
      <c r="T3040" s="28"/>
      <c r="U3040" s="99"/>
      <c r="V3040" s="110"/>
      <c r="W3040" s="25"/>
      <c r="X3040" s="99"/>
      <c r="Y3040" s="110"/>
      <c r="Z3040" s="25"/>
      <c r="AA3040" s="99"/>
      <c r="AB3040" s="110"/>
      <c r="AC3040" s="25"/>
      <c r="AD3040" s="99"/>
      <c r="AE3040" s="110"/>
      <c r="AF3040" s="25"/>
      <c r="AG3040" s="99"/>
      <c r="AH3040" s="110"/>
      <c r="AI3040" s="25"/>
      <c r="AJ3040" s="99"/>
      <c r="AK3040" s="110"/>
      <c r="AL3040" s="25"/>
      <c r="AM3040" s="99"/>
      <c r="AN3040" s="110"/>
      <c r="AO3040" s="25"/>
      <c r="AP3040" s="99"/>
      <c r="AQ3040" s="110"/>
      <c r="AR3040" s="25"/>
      <c r="AS3040" s="99"/>
      <c r="AT3040" s="110"/>
      <c r="AU3040" s="25"/>
    </row>
    <row r="3041" spans="15:47" x14ac:dyDescent="0.25">
      <c r="O3041" s="1"/>
      <c r="P3041" s="1"/>
      <c r="Q3041" s="1"/>
      <c r="R3041" s="98"/>
      <c r="S3041" s="108" t="s">
        <v>137</v>
      </c>
      <c r="T3041" s="26" t="s">
        <v>146</v>
      </c>
      <c r="U3041" s="98"/>
      <c r="V3041" s="108" t="s">
        <v>137</v>
      </c>
      <c r="W3041" s="26" t="s">
        <v>146</v>
      </c>
      <c r="X3041" s="98"/>
      <c r="Y3041" s="108" t="s">
        <v>137</v>
      </c>
      <c r="Z3041" s="26" t="s">
        <v>146</v>
      </c>
      <c r="AA3041" s="98"/>
      <c r="AB3041" s="108" t="s">
        <v>137</v>
      </c>
      <c r="AC3041" s="26" t="s">
        <v>146</v>
      </c>
      <c r="AD3041" s="98"/>
      <c r="AE3041" s="108" t="s">
        <v>137</v>
      </c>
      <c r="AF3041" s="26" t="s">
        <v>146</v>
      </c>
      <c r="AG3041" s="98"/>
      <c r="AH3041" s="108" t="s">
        <v>137</v>
      </c>
      <c r="AI3041" s="26" t="s">
        <v>146</v>
      </c>
      <c r="AJ3041" s="98"/>
      <c r="AK3041" s="108" t="s">
        <v>137</v>
      </c>
      <c r="AL3041" s="26" t="s">
        <v>146</v>
      </c>
      <c r="AM3041" s="98"/>
      <c r="AN3041" s="108" t="s">
        <v>137</v>
      </c>
      <c r="AO3041" s="26" t="s">
        <v>146</v>
      </c>
      <c r="AP3041" s="98"/>
      <c r="AQ3041" s="108" t="s">
        <v>137</v>
      </c>
      <c r="AR3041" s="26" t="s">
        <v>146</v>
      </c>
      <c r="AS3041" s="98"/>
      <c r="AT3041" s="108" t="s">
        <v>137</v>
      </c>
      <c r="AU3041" s="26" t="s">
        <v>146</v>
      </c>
    </row>
    <row r="3042" spans="15:47" ht="13.8" x14ac:dyDescent="0.25">
      <c r="O3042" s="20" t="s">
        <v>136</v>
      </c>
      <c r="P3042" s="1"/>
      <c r="Q3042" s="1"/>
      <c r="R3042" s="96">
        <f>R3028*1.02</f>
        <v>22507.309985680091</v>
      </c>
      <c r="S3042" s="109" t="s">
        <v>144</v>
      </c>
      <c r="T3042" s="23" t="s">
        <v>147</v>
      </c>
      <c r="U3042" s="96">
        <f ca="1">U3028*1.01</f>
        <v>99451.946459946717</v>
      </c>
      <c r="V3042" s="109" t="s">
        <v>144</v>
      </c>
      <c r="W3042" s="23" t="s">
        <v>147</v>
      </c>
      <c r="X3042" s="96">
        <f ca="1">X3028*1.01</f>
        <v>243521.28565921698</v>
      </c>
      <c r="Y3042" s="109" t="s">
        <v>144</v>
      </c>
      <c r="Z3042" s="23" t="s">
        <v>147</v>
      </c>
      <c r="AA3042" s="96">
        <f ca="1">AA3028*1.01</f>
        <v>474317.30677293806</v>
      </c>
      <c r="AB3042" s="109" t="s">
        <v>144</v>
      </c>
      <c r="AC3042" s="23" t="s">
        <v>147</v>
      </c>
      <c r="AD3042" s="96">
        <f ca="1">AD3028*1.01</f>
        <v>795756.89083109901</v>
      </c>
      <c r="AE3042" s="109" t="s">
        <v>144</v>
      </c>
      <c r="AF3042" s="23" t="s">
        <v>147</v>
      </c>
      <c r="AG3042" s="96">
        <f ca="1">AG3028*1.01</f>
        <v>1161428.8555154835</v>
      </c>
      <c r="AH3042" s="109" t="s">
        <v>144</v>
      </c>
      <c r="AI3042" s="23" t="s">
        <v>147</v>
      </c>
      <c r="AJ3042" s="96">
        <f ca="1">AJ3028*1.01</f>
        <v>1549931.3100424581</v>
      </c>
      <c r="AK3042" s="109" t="s">
        <v>144</v>
      </c>
      <c r="AL3042" s="23" t="s">
        <v>147</v>
      </c>
      <c r="AM3042" s="96">
        <f ca="1">AM3028*1.01</f>
        <v>1891210.7471173119</v>
      </c>
      <c r="AN3042" s="109" t="s">
        <v>144</v>
      </c>
      <c r="AO3042" s="23" t="s">
        <v>147</v>
      </c>
      <c r="AP3042" s="96">
        <f ca="1">AP3028*1.01</f>
        <v>2195636.9654652998</v>
      </c>
      <c r="AQ3042" s="109" t="s">
        <v>144</v>
      </c>
      <c r="AR3042" s="23" t="s">
        <v>147</v>
      </c>
      <c r="AS3042" s="96">
        <f ca="1">AS3028*1.01</f>
        <v>2574557.0177096827</v>
      </c>
      <c r="AT3042" s="109" t="s">
        <v>144</v>
      </c>
      <c r="AU3042" s="23" t="s">
        <v>147</v>
      </c>
    </row>
    <row r="3043" spans="15:47" x14ac:dyDescent="0.25">
      <c r="O3043" s="1"/>
      <c r="P3043" s="1"/>
      <c r="Q3043" s="1"/>
      <c r="R3043" s="98"/>
      <c r="S3043" s="107"/>
      <c r="T3043" s="1"/>
      <c r="U3043" s="47"/>
      <c r="V3043" s="107"/>
      <c r="W3043" s="1"/>
      <c r="X3043" s="47"/>
      <c r="Y3043" s="107"/>
      <c r="Z3043" s="1"/>
      <c r="AA3043" s="47"/>
      <c r="AB3043" s="107"/>
      <c r="AC3043" s="1"/>
      <c r="AD3043" s="47"/>
      <c r="AE3043" s="107"/>
      <c r="AF3043" s="1"/>
      <c r="AG3043" s="47"/>
      <c r="AH3043" s="107"/>
      <c r="AI3043" s="1"/>
      <c r="AJ3043" s="47"/>
      <c r="AK3043" s="107"/>
      <c r="AL3043" s="1"/>
      <c r="AM3043" s="47"/>
      <c r="AN3043" s="107"/>
      <c r="AO3043" s="1"/>
      <c r="AP3043" s="47"/>
      <c r="AQ3043" s="107"/>
      <c r="AR3043" s="1"/>
      <c r="AS3043" s="47"/>
      <c r="AT3043" s="107"/>
      <c r="AU3043" s="1"/>
    </row>
    <row r="3044" spans="15:47" x14ac:dyDescent="0.25">
      <c r="O3044" s="8" t="s">
        <v>132</v>
      </c>
      <c r="P3044" s="8"/>
      <c r="Q3044" s="8"/>
      <c r="R3044" s="96">
        <f>P_1_minQ-(R3042^2*R_up)+dpup_minQ</f>
        <v>90.092710979611425</v>
      </c>
      <c r="S3044" s="106"/>
      <c r="T3044" s="22"/>
      <c r="U3044" s="96">
        <f ca="1">P_1_minQ-(U3042^2*R_up)+dpup_minQ</f>
        <v>88.382354421387817</v>
      </c>
      <c r="V3044" s="107"/>
      <c r="W3044" s="1"/>
      <c r="X3044" s="96">
        <f ca="1">P_1_minQ-(X3042^2*R_up)+dpup_minQ</f>
        <v>79.376491597759241</v>
      </c>
      <c r="Y3044" s="107"/>
      <c r="Z3044" s="1"/>
      <c r="AA3044" s="96">
        <f ca="1">P_1_minQ-(AA3042^2*R_up)+dpup_minQ</f>
        <v>49.180544369312365</v>
      </c>
      <c r="AB3044" s="107"/>
      <c r="AC3044" s="1"/>
      <c r="AD3044" s="96">
        <f ca="1">P_1_minQ-(AD3042^2*R_up)+dpup_minQ</f>
        <v>-25.227859349887922</v>
      </c>
      <c r="AE3044" s="107"/>
      <c r="AF3044" s="1"/>
      <c r="AG3044" s="96">
        <f ca="1">P_1_minQ-(AG3042^2*R_up)+dpup_minQ</f>
        <v>-155.66979855001227</v>
      </c>
      <c r="AH3044" s="107"/>
      <c r="AI3044" s="1"/>
      <c r="AJ3044" s="96">
        <f ca="1">P_1_minQ-(AJ3042^2*R_up)+dpup_minQ</f>
        <v>-347.65798905814603</v>
      </c>
      <c r="AK3044" s="107"/>
      <c r="AL3044" s="1"/>
      <c r="AM3044" s="96">
        <f ca="1">P_1_minQ-(AM3042^2*R_up)+dpup_minQ</f>
        <v>-561.70356722831013</v>
      </c>
      <c r="AN3044" s="107"/>
      <c r="AO3044" s="1"/>
      <c r="AP3044" s="96">
        <f ca="1">P_1_minQ-(AP3042^2*R_up)+dpup_minQ</f>
        <v>-788.46231235500488</v>
      </c>
      <c r="AQ3044" s="107"/>
      <c r="AR3044" s="1"/>
      <c r="AS3044" s="96">
        <f ca="1">P_1_minQ-(AS3042^2*R_up)+dpup_minQ</f>
        <v>-1117.9029470353569</v>
      </c>
      <c r="AT3044" s="107"/>
      <c r="AU3044" s="1"/>
    </row>
    <row r="3045" spans="15:47" x14ac:dyDescent="0.25">
      <c r="O3045" s="8" t="s">
        <v>134</v>
      </c>
      <c r="P3045" s="1"/>
      <c r="Q3045" s="8"/>
      <c r="R3045" s="97">
        <f>P_2_minQ+(R3042^2*R_dn)-dpdn_minQ</f>
        <v>60</v>
      </c>
      <c r="S3045" s="106"/>
      <c r="T3045" s="22"/>
      <c r="U3045" s="97">
        <f ca="1">P_2_minQ+(U3042^2*R_dn)-dpdn_minQ</f>
        <v>60</v>
      </c>
      <c r="V3045" s="107"/>
      <c r="W3045" s="1"/>
      <c r="X3045" s="97">
        <f ca="1">P_2_minQ+(X3042^2*R_dn)-dpdn_minQ</f>
        <v>60</v>
      </c>
      <c r="Y3045" s="107"/>
      <c r="Z3045" s="1"/>
      <c r="AA3045" s="97">
        <f ca="1">P_2_minQ+(AA3042^2*R_dn)-dpdn_minQ</f>
        <v>60</v>
      </c>
      <c r="AB3045" s="107"/>
      <c r="AC3045" s="1"/>
      <c r="AD3045" s="97">
        <f ca="1">P_2_minQ+(AD3042^2*R_dn)-dpdn_minQ</f>
        <v>60</v>
      </c>
      <c r="AE3045" s="107"/>
      <c r="AF3045" s="1"/>
      <c r="AG3045" s="97">
        <f ca="1">P_2_minQ+(AG3042^2*R_dn)-dpdn_minQ</f>
        <v>60</v>
      </c>
      <c r="AH3045" s="107"/>
      <c r="AI3045" s="1"/>
      <c r="AJ3045" s="97">
        <f ca="1">P_2_minQ+(AJ3042^2*R_dn)-dpdn_minQ</f>
        <v>60</v>
      </c>
      <c r="AK3045" s="107"/>
      <c r="AL3045" s="1"/>
      <c r="AM3045" s="97">
        <f ca="1">P_2_minQ+(AM3042^2*R_dn)-dpdn_minQ</f>
        <v>60</v>
      </c>
      <c r="AN3045" s="107"/>
      <c r="AO3045" s="1"/>
      <c r="AP3045" s="97">
        <f ca="1">P_2_minQ+(AP3042^2*R_dn)-dpdn_minQ</f>
        <v>60</v>
      </c>
      <c r="AQ3045" s="107"/>
      <c r="AR3045" s="1"/>
      <c r="AS3045" s="97">
        <f ca="1">P_2_minQ+(AS3042^2*R_dn)-dpdn_minQ</f>
        <v>60</v>
      </c>
      <c r="AT3045" s="107"/>
      <c r="AU3045" s="1"/>
    </row>
    <row r="3046" spans="15:47" x14ac:dyDescent="0.25">
      <c r="O3046" s="8" t="s">
        <v>138</v>
      </c>
      <c r="P3046" s="1"/>
      <c r="Q3046" s="8"/>
      <c r="R3046" s="97">
        <f>R3044-R3045</f>
        <v>30.092710979611425</v>
      </c>
      <c r="S3046" s="106"/>
      <c r="T3046" s="22"/>
      <c r="U3046" s="97">
        <f ca="1">U3044-U3045</f>
        <v>28.382354421387817</v>
      </c>
      <c r="V3046" s="110"/>
      <c r="W3046" s="25"/>
      <c r="X3046" s="97">
        <f ca="1">X3044-X3045</f>
        <v>19.376491597759241</v>
      </c>
      <c r="Y3046" s="110"/>
      <c r="Z3046" s="25"/>
      <c r="AA3046" s="97">
        <f ca="1">AA3044-AA3045</f>
        <v>-10.819455630687635</v>
      </c>
      <c r="AB3046" s="110"/>
      <c r="AC3046" s="25"/>
      <c r="AD3046" s="97">
        <f ca="1">AD3044-AD3045</f>
        <v>-85.227859349887922</v>
      </c>
      <c r="AE3046" s="110"/>
      <c r="AF3046" s="25"/>
      <c r="AG3046" s="97">
        <f ca="1">AG3044-AG3045</f>
        <v>-215.66979855001227</v>
      </c>
      <c r="AH3046" s="110"/>
      <c r="AI3046" s="25"/>
      <c r="AJ3046" s="97">
        <f ca="1">AJ3044-AJ3045</f>
        <v>-407.65798905814603</v>
      </c>
      <c r="AK3046" s="110"/>
      <c r="AL3046" s="25"/>
      <c r="AM3046" s="97">
        <f ca="1">AM3044-AM3045</f>
        <v>-621.70356722831013</v>
      </c>
      <c r="AN3046" s="110"/>
      <c r="AO3046" s="25"/>
      <c r="AP3046" s="97">
        <f ca="1">AP3044-AP3045</f>
        <v>-848.46231235500488</v>
      </c>
      <c r="AQ3046" s="110"/>
      <c r="AR3046" s="25"/>
      <c r="AS3046" s="97">
        <f ca="1">AS3044-AS3045</f>
        <v>-1177.9029470353569</v>
      </c>
      <c r="AT3046" s="110"/>
      <c r="AU3046" s="25"/>
    </row>
    <row r="3047" spans="15:47" ht="14.4" x14ac:dyDescent="0.3">
      <c r="O3047" s="2" t="s">
        <v>140</v>
      </c>
      <c r="P3047" s="11"/>
      <c r="Q3047" s="2"/>
      <c r="R3047" s="96">
        <f>R3046/R3044</f>
        <v>0.33401937462423131</v>
      </c>
      <c r="S3047" s="106"/>
      <c r="T3047" s="22"/>
      <c r="U3047" s="96">
        <f ca="1">U3046/U3044</f>
        <v>0.32113145895691952</v>
      </c>
      <c r="V3047" s="111"/>
      <c r="W3047" s="28"/>
      <c r="X3047" s="96">
        <f ca="1">X3046/X3044</f>
        <v>0.24410869273423808</v>
      </c>
      <c r="Y3047" s="111"/>
      <c r="Z3047" s="28"/>
      <c r="AA3047" s="96">
        <f ca="1">AA3046/AA3044</f>
        <v>-0.21999462936890041</v>
      </c>
      <c r="AB3047" s="111"/>
      <c r="AC3047" s="28"/>
      <c r="AD3047" s="96">
        <f ca="1">AD3046/AD3044</f>
        <v>3.3783230740212034</v>
      </c>
      <c r="AE3047" s="111"/>
      <c r="AF3047" s="28"/>
      <c r="AG3047" s="96">
        <f ca="1">AG3046/AG3044</f>
        <v>1.3854312176084926</v>
      </c>
      <c r="AH3047" s="111"/>
      <c r="AI3047" s="28"/>
      <c r="AJ3047" s="96">
        <f ca="1">AJ3046/AJ3044</f>
        <v>1.172583406360223</v>
      </c>
      <c r="AK3047" s="111"/>
      <c r="AL3047" s="28"/>
      <c r="AM3047" s="96">
        <f ca="1">AM3046/AM3044</f>
        <v>1.1068179080579212</v>
      </c>
      <c r="AN3047" s="111"/>
      <c r="AO3047" s="28"/>
      <c r="AP3047" s="96">
        <f ca="1">AP3046/AP3044</f>
        <v>1.0760974862841448</v>
      </c>
      <c r="AQ3047" s="111"/>
      <c r="AR3047" s="28"/>
      <c r="AS3047" s="96">
        <f ca="1">AS3046/AS3044</f>
        <v>1.0536719221996131</v>
      </c>
      <c r="AT3047" s="111"/>
      <c r="AU3047" s="28"/>
    </row>
    <row r="3048" spans="15:47" x14ac:dyDescent="0.25">
      <c r="O3048" s="2" t="s">
        <v>21</v>
      </c>
      <c r="P3048" s="8">
        <v>12</v>
      </c>
      <c r="Q3048" s="2"/>
      <c r="R3048" s="96">
        <f ca="1">1-R3047/(3*F_GAMMA*R$29)</f>
        <v>0.82603964788833573</v>
      </c>
      <c r="S3048" s="106"/>
      <c r="T3048" s="22"/>
      <c r="U3048" s="96">
        <f ca="1">1-U3047/(3*F_GAMMA*U$29)</f>
        <v>0.83279064677935044</v>
      </c>
      <c r="V3048" s="111"/>
      <c r="W3048" s="28"/>
      <c r="X3048" s="96">
        <f ca="1">1-X3047/(3*F_GAMMA*X$29)</f>
        <v>0.87168491772362722</v>
      </c>
      <c r="Y3048" s="111"/>
      <c r="Z3048" s="28"/>
      <c r="AA3048" s="96">
        <f ca="1">1-AA3047/(3*F_GAMMA*AA$29)</f>
        <v>1.1172696543605238</v>
      </c>
      <c r="AB3048" s="111"/>
      <c r="AC3048" s="28"/>
      <c r="AD3048" s="96">
        <f ca="1">1-AD3047/(3*F_GAMMA*AD$29)</f>
        <v>-0.85668994141954524</v>
      </c>
      <c r="AE3048" s="111"/>
      <c r="AF3048" s="28"/>
      <c r="AG3048" s="96">
        <f ca="1">1-AG3047/(3*F_GAMMA*AG$29)</f>
        <v>0.19289215064659437</v>
      </c>
      <c r="AH3048" s="111"/>
      <c r="AI3048" s="28"/>
      <c r="AJ3048" s="96">
        <f ca="1">1-AJ3047/(3*F_GAMMA*AJ$29)</f>
        <v>0.26506766672488191</v>
      </c>
      <c r="AK3048" s="111"/>
      <c r="AL3048" s="28"/>
      <c r="AM3048" s="96">
        <f ca="1">1-AM3047/(3*F_GAMMA*AM$29)</f>
        <v>0.22437176225191469</v>
      </c>
      <c r="AN3048" s="111"/>
      <c r="AO3048" s="28"/>
      <c r="AP3048" s="96">
        <f ca="1">1-AP3047/(3*F_GAMMA*AP$29)</f>
        <v>0.39259287977458712</v>
      </c>
      <c r="AQ3048" s="111"/>
      <c r="AR3048" s="28"/>
      <c r="AS3048" s="96">
        <f ca="1">1-AS3047/(3*F_GAMMA*AS$29)</f>
        <v>6.7604620133873694E-2</v>
      </c>
      <c r="AT3048" s="111"/>
      <c r="AU3048" s="28"/>
    </row>
    <row r="3049" spans="15:47" x14ac:dyDescent="0.25">
      <c r="O3049" s="2" t="s">
        <v>57</v>
      </c>
      <c r="P3049" s="143">
        <v>7</v>
      </c>
      <c r="Q3049" s="2"/>
      <c r="R3049" s="96">
        <f ca="1">(R3042/(N_9*R$27*R3044*R3048))*SQRT(M*'Valve Sizing'!$W$6*'Valve Sizing'!$G$8/R3047)</f>
        <v>9.1040209606388753</v>
      </c>
      <c r="S3049" s="107"/>
      <c r="T3049" s="22"/>
      <c r="U3049" s="96">
        <f ca="1">(U3042/(N_9*U$27*U3044*U3048))*SQRT(M*'Valve Sizing'!$W$6*'Valve Sizing'!$G$8/U3047)</f>
        <v>41.508912366194146</v>
      </c>
      <c r="V3049" s="111"/>
      <c r="W3049" s="28"/>
      <c r="X3049" s="96">
        <f ca="1">(X3042/(N_9*X$27*X3044*X3048))*SQRT(M*'Valve Sizing'!$W$6*'Valve Sizing'!$G$8/X3047)</f>
        <v>124.29778015028518</v>
      </c>
      <c r="Y3049" s="111"/>
      <c r="Z3049" s="28"/>
      <c r="AA3049" s="96" t="e">
        <f ca="1">(AA3042/(N_9*AA$27*AA3044*AA3048))*SQRT(M*'Valve Sizing'!$W$6*'Valve Sizing'!$G$8/AA3047)</f>
        <v>#NUM!</v>
      </c>
      <c r="AB3049" s="111"/>
      <c r="AC3049" s="28"/>
      <c r="AD3049" s="96">
        <f ca="1">(AD3042/(N_9*AD$27*AD3044*AD3048))*SQRT(M*'Valve Sizing'!$W$6*'Valve Sizing'!$G$8/AD3047)</f>
        <v>355.96866972005563</v>
      </c>
      <c r="AE3049" s="111"/>
      <c r="AF3049" s="28"/>
      <c r="AG3049" s="96">
        <f ca="1">(AG3042/(N_9*AG$27*AG3044*AG3048))*SQRT(M*'Valve Sizing'!$W$6*'Valve Sizing'!$G$8/AG3047)</f>
        <v>-597.0800330165772</v>
      </c>
      <c r="AH3049" s="111"/>
      <c r="AI3049" s="28"/>
      <c r="AJ3049" s="96">
        <f ca="1">(AJ3042/(N_9*AJ$27*AJ3044*AJ3048))*SQRT(M*'Valve Sizing'!$W$6*'Valve Sizing'!$G$8/AJ3047)</f>
        <v>-292.41927047811424</v>
      </c>
      <c r="AK3049" s="111"/>
      <c r="AL3049" s="28"/>
      <c r="AM3049" s="96">
        <f ca="1">(AM3042/(N_9*AM$27*AM3044*AM3048))*SQRT(M*'Valve Sizing'!$W$6*'Valve Sizing'!$G$8/AM3047)</f>
        <v>-284.91776491684516</v>
      </c>
      <c r="AN3049" s="111"/>
      <c r="AO3049" s="28"/>
      <c r="AP3049" s="96">
        <f ca="1">(AP3042/(N_9*AP$27*AP3044*AP3048))*SQRT(M*'Valve Sizing'!$W$6*'Valve Sizing'!$G$8/AP3047)</f>
        <v>-155.46080220561305</v>
      </c>
      <c r="AQ3049" s="111"/>
      <c r="AR3049" s="28"/>
      <c r="AS3049" s="96">
        <f ca="1">(AS3042/(N_9*AS$27*AS3044*AS3048))*SQRT(M*'Valve Sizing'!$W$6*'Valve Sizing'!$G$8/AS3047)</f>
        <v>-1010.6153485471826</v>
      </c>
      <c r="AT3049" s="111"/>
      <c r="AU3049" s="28"/>
    </row>
    <row r="3050" spans="15:47" x14ac:dyDescent="0.25">
      <c r="O3050" s="2" t="s">
        <v>59</v>
      </c>
      <c r="P3050" s="143">
        <v>7</v>
      </c>
      <c r="Q3050" s="2"/>
      <c r="R3050" s="96">
        <f ca="1">(R3042/(N_9*R$27*R3044*0.667))*SQRT(M*'Valve Sizing'!$W$6*'Valve Sizing'!$G$8/R3051)</f>
        <v>8.1450559950709351</v>
      </c>
      <c r="S3050" s="107"/>
      <c r="T3050" s="22"/>
      <c r="U3050" s="96">
        <f ca="1">(U3042/(N_9*U$27*U3044*0.667))*SQRT(M*'Valve Sizing'!$W$6*'Valve Sizing'!$G$8/U3051)</f>
        <v>36.706440304633155</v>
      </c>
      <c r="V3050" s="111"/>
      <c r="W3050" s="28"/>
      <c r="X3050" s="96">
        <f ca="1">(X3042/(N_9*X$27*X3044*0.667))*SQRT(M*'Valve Sizing'!$W$6*'Valve Sizing'!$G$8/X3051)</f>
        <v>100.7851510670467</v>
      </c>
      <c r="Y3050" s="111"/>
      <c r="Z3050" s="28"/>
      <c r="AA3050" s="96">
        <f ca="1">(AA3042/(N_9*AA$27*AA3044*0.667))*SQRT(M*'Valve Sizing'!$W$6*'Valve Sizing'!$G$8/AA3051)</f>
        <v>320.94922671099596</v>
      </c>
      <c r="AB3050" s="111"/>
      <c r="AC3050" s="28"/>
      <c r="AD3050" s="96">
        <f ca="1">(AD3042/(N_9*AD$27*AD3044*0.667))*SQRT(M*'Valve Sizing'!$W$6*'Valve Sizing'!$G$8/AD3051)</f>
        <v>-1079.0459254212365</v>
      </c>
      <c r="AE3050" s="111"/>
      <c r="AF3050" s="28"/>
      <c r="AG3050" s="96">
        <f ca="1">(AG3042/(N_9*AG$27*AG3044*0.667))*SQRT(M*'Valve Sizing'!$W$6*'Valve Sizing'!$G$8/AG3051)</f>
        <v>-268.68763604698279</v>
      </c>
      <c r="AH3050" s="111"/>
      <c r="AI3050" s="28"/>
      <c r="AJ3050" s="96">
        <f ca="1">(AJ3042/(N_9*AJ$27*AJ3044*0.667))*SQRT(M*'Valve Sizing'!$W$6*'Valve Sizing'!$G$8/AJ3051)</f>
        <v>-172.55248384399709</v>
      </c>
      <c r="AK3050" s="111"/>
      <c r="AL3050" s="28"/>
      <c r="AM3050" s="96">
        <f ca="1">(AM3042/(N_9*AM$27*AM3044*0.667))*SQRT(M*'Valve Sizing'!$W$6*'Valve Sizing'!$G$8/AM3051)</f>
        <v>-146.20065794783099</v>
      </c>
      <c r="AN3050" s="111"/>
      <c r="AO3050" s="28"/>
      <c r="AP3050" s="96">
        <f ca="1">(AP3042/(N_9*AP$27*AP3044*0.667))*SQRT(M*'Valve Sizing'!$W$6*'Valve Sizing'!$G$8/AP3051)</f>
        <v>-123.52021983449092</v>
      </c>
      <c r="AQ3050" s="111"/>
      <c r="AR3050" s="28"/>
      <c r="AS3050" s="96">
        <f ca="1">(AS3042/(N_9*AS$27*AS3044*0.667))*SQRT(M*'Valve Sizing'!$W$6*'Valve Sizing'!$G$8/AS3051)</f>
        <v>-171.31568080249482</v>
      </c>
      <c r="AT3050" s="111"/>
      <c r="AU3050" s="28"/>
    </row>
    <row r="3051" spans="15:47" ht="15.6" x14ac:dyDescent="0.35">
      <c r="O3051" s="2" t="s">
        <v>68</v>
      </c>
      <c r="P3051" s="143">
        <v>10</v>
      </c>
      <c r="Q3051" s="2"/>
      <c r="R3051" s="96">
        <f ca="1">F_GAMMA*R$29</f>
        <v>0.64002969751372984</v>
      </c>
      <c r="S3051" s="107"/>
      <c r="T3051" s="1"/>
      <c r="U3051" s="96">
        <f ca="1">F_GAMMA*U$29</f>
        <v>0.64017842058782071</v>
      </c>
      <c r="V3051" s="111"/>
      <c r="W3051" s="28"/>
      <c r="X3051" s="96">
        <f ca="1">F_GAMMA*X$29</f>
        <v>0.63413873724904268</v>
      </c>
      <c r="Y3051" s="111"/>
      <c r="Z3051" s="28"/>
      <c r="AA3051" s="96">
        <f ca="1">F_GAMMA*AA$29</f>
        <v>0.62532411750377137</v>
      </c>
      <c r="AB3051" s="111"/>
      <c r="AC3051" s="28"/>
      <c r="AD3051" s="96">
        <f ca="1">F_GAMMA*AD$29</f>
        <v>0.60651359509139569</v>
      </c>
      <c r="AE3051" s="111"/>
      <c r="AF3051" s="28"/>
      <c r="AG3051" s="96">
        <f ca="1">F_GAMMA*AG$29</f>
        <v>0.57217930198481592</v>
      </c>
      <c r="AH3051" s="111"/>
      <c r="AI3051" s="28"/>
      <c r="AJ3051" s="96">
        <f ca="1">F_GAMMA*AJ$29</f>
        <v>0.53183282018848232</v>
      </c>
      <c r="AK3051" s="111"/>
      <c r="AL3051" s="28"/>
      <c r="AM3051" s="96">
        <f ca="1">F_GAMMA*AM$29</f>
        <v>0.47566512503094399</v>
      </c>
      <c r="AN3051" s="111"/>
      <c r="AO3051" s="28"/>
      <c r="AP3051" s="96">
        <f ca="1">F_GAMMA*AP$29</f>
        <v>0.59054158265645496</v>
      </c>
      <c r="AQ3051" s="111"/>
      <c r="AR3051" s="28"/>
      <c r="AS3051" s="96">
        <f ca="1">F_GAMMA*AS$29</f>
        <v>0.3766899554102966</v>
      </c>
      <c r="AT3051" s="111"/>
      <c r="AU3051" s="28"/>
    </row>
    <row r="3052" spans="15:47" x14ac:dyDescent="0.25">
      <c r="O3052" s="2" t="s">
        <v>145</v>
      </c>
      <c r="P3052" s="12"/>
      <c r="Q3052" s="2"/>
      <c r="R3052" s="96">
        <f ca="1">IF(R3047&lt;R3051,R3049,R3050)</f>
        <v>9.1040209606388753</v>
      </c>
      <c r="S3052" s="116"/>
      <c r="T3052" s="1"/>
      <c r="U3052" s="96">
        <f ca="1">IF(U3047&lt;U3051,U3049,U3050)</f>
        <v>41.508912366194146</v>
      </c>
      <c r="V3052" s="111"/>
      <c r="W3052" s="28"/>
      <c r="X3052" s="96">
        <f ca="1">IF(X3047&lt;X3051,X3049,X3050)</f>
        <v>124.29778015028518</v>
      </c>
      <c r="Y3052" s="111"/>
      <c r="Z3052" s="28"/>
      <c r="AA3052" s="96" t="e">
        <f ca="1">IF(AA3047&lt;AA3051,AA3049,AA3050)</f>
        <v>#NUM!</v>
      </c>
      <c r="AB3052" s="111"/>
      <c r="AC3052" s="28"/>
      <c r="AD3052" s="96">
        <f ca="1">IF(AD3047&lt;AD3051,AD3049,AD3050)</f>
        <v>-1079.0459254212365</v>
      </c>
      <c r="AE3052" s="111"/>
      <c r="AF3052" s="28"/>
      <c r="AG3052" s="96">
        <f ca="1">IF(AG3047&lt;AG3051,AG3049,AG3050)</f>
        <v>-268.68763604698279</v>
      </c>
      <c r="AH3052" s="111"/>
      <c r="AI3052" s="28"/>
      <c r="AJ3052" s="96">
        <f ca="1">IF(AJ3047&lt;AJ3051,AJ3049,AJ3050)</f>
        <v>-172.55248384399709</v>
      </c>
      <c r="AK3052" s="111"/>
      <c r="AL3052" s="28"/>
      <c r="AM3052" s="96">
        <f ca="1">IF(AM3047&lt;AM3051,AM3049,AM3050)</f>
        <v>-146.20065794783099</v>
      </c>
      <c r="AN3052" s="111"/>
      <c r="AO3052" s="28"/>
      <c r="AP3052" s="96">
        <f ca="1">IF(AP3047&lt;AP3051,AP3049,AP3050)</f>
        <v>-123.52021983449092</v>
      </c>
      <c r="AQ3052" s="111"/>
      <c r="AR3052" s="28"/>
      <c r="AS3052" s="96">
        <f ca="1">IF(AS3047&lt;AS3051,AS3049,AS3050)</f>
        <v>-171.31568080249482</v>
      </c>
      <c r="AT3052" s="111"/>
      <c r="AU3052" s="28"/>
    </row>
    <row r="3053" spans="15:47" x14ac:dyDescent="0.25">
      <c r="O3053" s="13" t="s">
        <v>143</v>
      </c>
      <c r="P3053" s="1"/>
      <c r="Q3053" s="1"/>
      <c r="R3053" s="113"/>
      <c r="S3053" s="106">
        <f ca="1">IF(R3046&lt;=0,Q_max,ABS(R$23-R3052))</f>
        <v>4.3740209606388749</v>
      </c>
      <c r="T3053" s="7">
        <f>R3042</f>
        <v>22507.309985680091</v>
      </c>
      <c r="U3053" s="98"/>
      <c r="V3053" s="106">
        <f ca="1">IF(U3046&lt;=0,Q_max,ABS(U$23-U3052))</f>
        <v>29.908912366194144</v>
      </c>
      <c r="W3053" s="9">
        <f ca="1">U3042</f>
        <v>99451.946459946717</v>
      </c>
      <c r="X3053" s="98"/>
      <c r="Y3053" s="106">
        <f ca="1">IF(X3046&lt;=0,Q_max,ABS(X$23-X3052))</f>
        <v>101.29778015028518</v>
      </c>
      <c r="Z3053" s="9">
        <f ca="1">X3042</f>
        <v>243521.28565921698</v>
      </c>
      <c r="AA3053" s="98"/>
      <c r="AB3053" s="106">
        <f ca="1">IF(AA3046&lt;=0,Q_max,ABS(AA$23-AA3052))</f>
        <v>236393</v>
      </c>
      <c r="AC3053" s="9">
        <f ca="1">AA3042</f>
        <v>474317.30677293806</v>
      </c>
      <c r="AD3053" s="98"/>
      <c r="AE3053" s="106">
        <f ca="1">IF(AD3046&lt;=0,Q_max,ABS(AD$23-AD3052))</f>
        <v>236393</v>
      </c>
      <c r="AF3053" s="9">
        <f ca="1">AD3042</f>
        <v>795756.89083109901</v>
      </c>
      <c r="AG3053" s="98"/>
      <c r="AH3053" s="106">
        <f ca="1">IF(AG3046&lt;=0,Q_max,ABS(AG$23-AG3052))</f>
        <v>236393</v>
      </c>
      <c r="AI3053" s="9">
        <f ca="1">AG3042</f>
        <v>1161428.8555154835</v>
      </c>
      <c r="AJ3053" s="98"/>
      <c r="AK3053" s="106">
        <f ca="1">IF(AJ3046&lt;=0,Q_max,ABS(AJ$23-AJ3052))</f>
        <v>236393</v>
      </c>
      <c r="AL3053" s="9">
        <f ca="1">AJ3042</f>
        <v>1549931.3100424581</v>
      </c>
      <c r="AM3053" s="98"/>
      <c r="AN3053" s="106">
        <f ca="1">IF(AM3046&lt;=0,Q_max,ABS(AM$23-AM3052))</f>
        <v>236393</v>
      </c>
      <c r="AO3053" s="9">
        <f ca="1">AM3042</f>
        <v>1891210.7471173119</v>
      </c>
      <c r="AP3053" s="98"/>
      <c r="AQ3053" s="106">
        <f ca="1">IF(AP3046&lt;=0,Q_max,ABS(AP$23-AP3052))</f>
        <v>236393</v>
      </c>
      <c r="AR3053" s="9">
        <f ca="1">AP3042</f>
        <v>2195636.9654652998</v>
      </c>
      <c r="AS3053" s="98"/>
      <c r="AT3053" s="106">
        <f ca="1">IF(AS3046&lt;=0,Q_max,ABS(AS$23-AS3052))</f>
        <v>236393</v>
      </c>
      <c r="AU3053" s="9">
        <f ca="1">AS3042</f>
        <v>2574557.0177096827</v>
      </c>
    </row>
    <row r="3054" spans="15:47" x14ac:dyDescent="0.25">
      <c r="O3054" s="21"/>
      <c r="P3054" s="14"/>
      <c r="Q3054" s="21"/>
      <c r="R3054" s="97"/>
      <c r="S3054" s="106"/>
      <c r="T3054" s="28"/>
      <c r="U3054" s="97"/>
      <c r="V3054" s="111"/>
      <c r="W3054" s="28"/>
      <c r="X3054" s="97"/>
      <c r="Y3054" s="111"/>
      <c r="Z3054" s="28"/>
      <c r="AA3054" s="97"/>
      <c r="AB3054" s="111"/>
      <c r="AC3054" s="28"/>
      <c r="AD3054" s="97"/>
      <c r="AE3054" s="111"/>
      <c r="AF3054" s="28"/>
      <c r="AG3054" s="97"/>
      <c r="AH3054" s="111"/>
      <c r="AI3054" s="28"/>
      <c r="AJ3054" s="97"/>
      <c r="AK3054" s="111"/>
      <c r="AL3054" s="28"/>
      <c r="AM3054" s="97"/>
      <c r="AN3054" s="111"/>
      <c r="AO3054" s="28"/>
      <c r="AP3054" s="97"/>
      <c r="AQ3054" s="111"/>
      <c r="AR3054" s="28"/>
      <c r="AS3054" s="97"/>
      <c r="AT3054" s="111"/>
      <c r="AU3054" s="28"/>
    </row>
    <row r="3055" spans="15:47" x14ac:dyDescent="0.25">
      <c r="O3055" s="1"/>
      <c r="P3055" s="1"/>
      <c r="Q3055" s="1"/>
      <c r="R3055" s="98"/>
      <c r="S3055" s="108" t="s">
        <v>137</v>
      </c>
      <c r="T3055" s="26" t="s">
        <v>146</v>
      </c>
      <c r="U3055" s="98"/>
      <c r="V3055" s="108" t="s">
        <v>137</v>
      </c>
      <c r="W3055" s="26" t="s">
        <v>146</v>
      </c>
      <c r="X3055" s="98"/>
      <c r="Y3055" s="108" t="s">
        <v>137</v>
      </c>
      <c r="Z3055" s="26" t="s">
        <v>146</v>
      </c>
      <c r="AA3055" s="98"/>
      <c r="AB3055" s="108" t="s">
        <v>137</v>
      </c>
      <c r="AC3055" s="26" t="s">
        <v>146</v>
      </c>
      <c r="AD3055" s="98"/>
      <c r="AE3055" s="108" t="s">
        <v>137</v>
      </c>
      <c r="AF3055" s="26" t="s">
        <v>146</v>
      </c>
      <c r="AG3055" s="98"/>
      <c r="AH3055" s="108" t="s">
        <v>137</v>
      </c>
      <c r="AI3055" s="26" t="s">
        <v>146</v>
      </c>
      <c r="AJ3055" s="98"/>
      <c r="AK3055" s="108" t="s">
        <v>137</v>
      </c>
      <c r="AL3055" s="26" t="s">
        <v>146</v>
      </c>
      <c r="AM3055" s="98"/>
      <c r="AN3055" s="108" t="s">
        <v>137</v>
      </c>
      <c r="AO3055" s="26" t="s">
        <v>146</v>
      </c>
      <c r="AP3055" s="98"/>
      <c r="AQ3055" s="108" t="s">
        <v>137</v>
      </c>
      <c r="AR3055" s="26" t="s">
        <v>146</v>
      </c>
      <c r="AS3055" s="98"/>
      <c r="AT3055" s="108" t="s">
        <v>137</v>
      </c>
      <c r="AU3055" s="26" t="s">
        <v>146</v>
      </c>
    </row>
    <row r="3056" spans="15:47" ht="13.8" x14ac:dyDescent="0.25">
      <c r="O3056" s="20" t="s">
        <v>136</v>
      </c>
      <c r="P3056" s="1"/>
      <c r="Q3056" s="1"/>
      <c r="R3056" s="96">
        <f>R3042*1.02</f>
        <v>22957.456185393694</v>
      </c>
      <c r="S3056" s="109" t="s">
        <v>144</v>
      </c>
      <c r="T3056" s="23" t="s">
        <v>147</v>
      </c>
      <c r="U3056" s="96">
        <f ca="1">U3042*1.01</f>
        <v>100446.46592454618</v>
      </c>
      <c r="V3056" s="109" t="s">
        <v>144</v>
      </c>
      <c r="W3056" s="23" t="s">
        <v>147</v>
      </c>
      <c r="X3056" s="96">
        <f ca="1">X3042*1.01</f>
        <v>245956.49851580916</v>
      </c>
      <c r="Y3056" s="109" t="s">
        <v>144</v>
      </c>
      <c r="Z3056" s="23" t="s">
        <v>147</v>
      </c>
      <c r="AA3056" s="96">
        <f ca="1">AA3042*1.01</f>
        <v>479060.47984066745</v>
      </c>
      <c r="AB3056" s="109" t="s">
        <v>144</v>
      </c>
      <c r="AC3056" s="23" t="s">
        <v>147</v>
      </c>
      <c r="AD3056" s="96">
        <f ca="1">AD3042*1.01</f>
        <v>803714.45973940997</v>
      </c>
      <c r="AE3056" s="109" t="s">
        <v>144</v>
      </c>
      <c r="AF3056" s="23" t="s">
        <v>147</v>
      </c>
      <c r="AG3056" s="96">
        <f ca="1">AG3042*1.01</f>
        <v>1173043.1440706383</v>
      </c>
      <c r="AH3056" s="109" t="s">
        <v>144</v>
      </c>
      <c r="AI3056" s="23" t="s">
        <v>147</v>
      </c>
      <c r="AJ3056" s="96">
        <f ca="1">AJ3042*1.01</f>
        <v>1565430.6231428827</v>
      </c>
      <c r="AK3056" s="109" t="s">
        <v>144</v>
      </c>
      <c r="AL3056" s="23" t="s">
        <v>147</v>
      </c>
      <c r="AM3056" s="96">
        <f ca="1">AM3042*1.01</f>
        <v>1910122.8545884851</v>
      </c>
      <c r="AN3056" s="109" t="s">
        <v>144</v>
      </c>
      <c r="AO3056" s="23" t="s">
        <v>147</v>
      </c>
      <c r="AP3056" s="96">
        <f ca="1">AP3042*1.01</f>
        <v>2217593.3351199529</v>
      </c>
      <c r="AQ3056" s="109" t="s">
        <v>144</v>
      </c>
      <c r="AR3056" s="23" t="s">
        <v>147</v>
      </c>
      <c r="AS3056" s="96">
        <f ca="1">AS3042*1.01</f>
        <v>2600302.5878867796</v>
      </c>
      <c r="AT3056" s="109" t="s">
        <v>144</v>
      </c>
      <c r="AU3056" s="23" t="s">
        <v>147</v>
      </c>
    </row>
    <row r="3057" spans="15:47" x14ac:dyDescent="0.25">
      <c r="O3057" s="1"/>
      <c r="P3057" s="1"/>
      <c r="Q3057" s="1"/>
      <c r="R3057" s="98"/>
      <c r="S3057" s="107"/>
      <c r="T3057" s="1"/>
      <c r="U3057" s="47"/>
      <c r="V3057" s="107"/>
      <c r="W3057" s="1"/>
      <c r="X3057" s="47"/>
      <c r="Y3057" s="107"/>
      <c r="Z3057" s="1"/>
      <c r="AA3057" s="47"/>
      <c r="AB3057" s="107"/>
      <c r="AC3057" s="1"/>
      <c r="AD3057" s="47"/>
      <c r="AE3057" s="107"/>
      <c r="AF3057" s="1"/>
      <c r="AG3057" s="47"/>
      <c r="AH3057" s="107"/>
      <c r="AI3057" s="1"/>
      <c r="AJ3057" s="47"/>
      <c r="AK3057" s="107"/>
      <c r="AL3057" s="1"/>
      <c r="AM3057" s="47"/>
      <c r="AN3057" s="107"/>
      <c r="AO3057" s="1"/>
      <c r="AP3057" s="47"/>
      <c r="AQ3057" s="107"/>
      <c r="AR3057" s="1"/>
      <c r="AS3057" s="47"/>
      <c r="AT3057" s="107"/>
      <c r="AU3057" s="1"/>
    </row>
    <row r="3058" spans="15:47" x14ac:dyDescent="0.25">
      <c r="O3058" s="8" t="s">
        <v>132</v>
      </c>
      <c r="P3058" s="8"/>
      <c r="Q3058" s="8"/>
      <c r="R3058" s="96">
        <f>P_1_minQ-(R3056^2*R_up)+dpup_minQ</f>
        <v>90.088980865765407</v>
      </c>
      <c r="S3058" s="106"/>
      <c r="T3058" s="22"/>
      <c r="U3058" s="96">
        <f ca="1">P_1_minQ-(U3056^2*R_up)+dpup_minQ</f>
        <v>88.346120430599569</v>
      </c>
      <c r="V3058" s="107"/>
      <c r="W3058" s="1"/>
      <c r="X3058" s="96">
        <f ca="1">P_1_minQ-(X3056^2*R_up)+dpup_minQ</f>
        <v>79.159239764216068</v>
      </c>
      <c r="Y3058" s="107"/>
      <c r="Z3058" s="1"/>
      <c r="AA3058" s="96">
        <f ca="1">P_1_minQ-(AA3056^2*R_up)+dpup_minQ</f>
        <v>48.356353996477409</v>
      </c>
      <c r="AB3058" s="107"/>
      <c r="AC3058" s="1"/>
      <c r="AD3058" s="96">
        <f ca="1">P_1_minQ-(AD3056^2*R_up)+dpup_minQ</f>
        <v>-27.547658637478804</v>
      </c>
      <c r="AE3058" s="107"/>
      <c r="AF3058" s="1"/>
      <c r="AG3058" s="96">
        <f ca="1">P_1_minQ-(AG3056^2*R_up)+dpup_minQ</f>
        <v>-160.61148081552568</v>
      </c>
      <c r="AH3058" s="107"/>
      <c r="AI3058" s="1"/>
      <c r="AJ3058" s="96">
        <f ca="1">P_1_minQ-(AJ3056^2*R_up)+dpup_minQ</f>
        <v>-356.45863395287284</v>
      </c>
      <c r="AK3058" s="107"/>
      <c r="AL3058" s="1"/>
      <c r="AM3058" s="96">
        <f ca="1">P_1_minQ-(AM3056^2*R_up)+dpup_minQ</f>
        <v>-574.80652824425738</v>
      </c>
      <c r="AN3058" s="107"/>
      <c r="AO3058" s="1"/>
      <c r="AP3058" s="96">
        <f ca="1">P_1_minQ-(AP3056^2*R_up)+dpup_minQ</f>
        <v>-806.12312414799874</v>
      </c>
      <c r="AQ3058" s="107"/>
      <c r="AR3058" s="1"/>
      <c r="AS3058" s="96">
        <f ca="1">P_1_minQ-(AS3056^2*R_up)+dpup_minQ</f>
        <v>-1142.1855155854255</v>
      </c>
      <c r="AT3058" s="107"/>
      <c r="AU3058" s="1"/>
    </row>
    <row r="3059" spans="15:47" x14ac:dyDescent="0.25">
      <c r="O3059" s="8" t="s">
        <v>134</v>
      </c>
      <c r="P3059" s="1"/>
      <c r="Q3059" s="8"/>
      <c r="R3059" s="97">
        <f>P_2_minQ+(R3056^2*R_dn)-dpdn_minQ</f>
        <v>60</v>
      </c>
      <c r="S3059" s="106"/>
      <c r="T3059" s="22"/>
      <c r="U3059" s="97">
        <f ca="1">P_2_minQ+(U3056^2*R_dn)-dpdn_minQ</f>
        <v>60</v>
      </c>
      <c r="V3059" s="107"/>
      <c r="W3059" s="1"/>
      <c r="X3059" s="97">
        <f ca="1">P_2_minQ+(X3056^2*R_dn)-dpdn_minQ</f>
        <v>60</v>
      </c>
      <c r="Y3059" s="107"/>
      <c r="Z3059" s="1"/>
      <c r="AA3059" s="97">
        <f ca="1">P_2_minQ+(AA3056^2*R_dn)-dpdn_minQ</f>
        <v>60</v>
      </c>
      <c r="AB3059" s="107"/>
      <c r="AC3059" s="1"/>
      <c r="AD3059" s="97">
        <f ca="1">P_2_minQ+(AD3056^2*R_dn)-dpdn_minQ</f>
        <v>60</v>
      </c>
      <c r="AE3059" s="107"/>
      <c r="AF3059" s="1"/>
      <c r="AG3059" s="97">
        <f ca="1">P_2_minQ+(AG3056^2*R_dn)-dpdn_minQ</f>
        <v>60</v>
      </c>
      <c r="AH3059" s="107"/>
      <c r="AI3059" s="1"/>
      <c r="AJ3059" s="97">
        <f ca="1">P_2_minQ+(AJ3056^2*R_dn)-dpdn_minQ</f>
        <v>60</v>
      </c>
      <c r="AK3059" s="107"/>
      <c r="AL3059" s="1"/>
      <c r="AM3059" s="97">
        <f ca="1">P_2_minQ+(AM3056^2*R_dn)-dpdn_minQ</f>
        <v>60</v>
      </c>
      <c r="AN3059" s="107"/>
      <c r="AO3059" s="1"/>
      <c r="AP3059" s="97">
        <f ca="1">P_2_minQ+(AP3056^2*R_dn)-dpdn_minQ</f>
        <v>60</v>
      </c>
      <c r="AQ3059" s="107"/>
      <c r="AR3059" s="1"/>
      <c r="AS3059" s="97">
        <f ca="1">P_2_minQ+(AS3056^2*R_dn)-dpdn_minQ</f>
        <v>60</v>
      </c>
      <c r="AT3059" s="107"/>
      <c r="AU3059" s="1"/>
    </row>
    <row r="3060" spans="15:47" x14ac:dyDescent="0.25">
      <c r="O3060" s="8" t="s">
        <v>138</v>
      </c>
      <c r="P3060" s="1"/>
      <c r="Q3060" s="8"/>
      <c r="R3060" s="97">
        <f>R3058-R3059</f>
        <v>30.088980865765407</v>
      </c>
      <c r="S3060" s="106"/>
      <c r="T3060" s="22"/>
      <c r="U3060" s="97">
        <f ca="1">U3058-U3059</f>
        <v>28.346120430599569</v>
      </c>
      <c r="V3060" s="110"/>
      <c r="W3060" s="25"/>
      <c r="X3060" s="97">
        <f ca="1">X3058-X3059</f>
        <v>19.159239764216068</v>
      </c>
      <c r="Y3060" s="110"/>
      <c r="Z3060" s="25"/>
      <c r="AA3060" s="97">
        <f ca="1">AA3058-AA3059</f>
        <v>-11.643646003522591</v>
      </c>
      <c r="AB3060" s="110"/>
      <c r="AC3060" s="25"/>
      <c r="AD3060" s="97">
        <f ca="1">AD3058-AD3059</f>
        <v>-87.547658637478804</v>
      </c>
      <c r="AE3060" s="110"/>
      <c r="AF3060" s="25"/>
      <c r="AG3060" s="97">
        <f ca="1">AG3058-AG3059</f>
        <v>-220.61148081552568</v>
      </c>
      <c r="AH3060" s="110"/>
      <c r="AI3060" s="25"/>
      <c r="AJ3060" s="97">
        <f ca="1">AJ3058-AJ3059</f>
        <v>-416.45863395287284</v>
      </c>
      <c r="AK3060" s="110"/>
      <c r="AL3060" s="25"/>
      <c r="AM3060" s="97">
        <f ca="1">AM3058-AM3059</f>
        <v>-634.80652824425738</v>
      </c>
      <c r="AN3060" s="110"/>
      <c r="AO3060" s="25"/>
      <c r="AP3060" s="97">
        <f ca="1">AP3058-AP3059</f>
        <v>-866.12312414799874</v>
      </c>
      <c r="AQ3060" s="110"/>
      <c r="AR3060" s="25"/>
      <c r="AS3060" s="97">
        <f ca="1">AS3058-AS3059</f>
        <v>-1202.1855155854255</v>
      </c>
      <c r="AT3060" s="110"/>
      <c r="AU3060" s="25"/>
    </row>
    <row r="3061" spans="15:47" ht="14.4" x14ac:dyDescent="0.3">
      <c r="O3061" s="2" t="s">
        <v>140</v>
      </c>
      <c r="P3061" s="11"/>
      <c r="Q3061" s="2"/>
      <c r="R3061" s="96">
        <f>R3060/R3058</f>
        <v>0.33399179984729388</v>
      </c>
      <c r="S3061" s="106"/>
      <c r="T3061" s="22"/>
      <c r="U3061" s="96">
        <f ca="1">U3060/U3058</f>
        <v>0.32085303001920618</v>
      </c>
      <c r="V3061" s="111"/>
      <c r="W3061" s="28"/>
      <c r="X3061" s="96">
        <f ca="1">X3060/X3058</f>
        <v>0.2420341557256466</v>
      </c>
      <c r="Y3061" s="111"/>
      <c r="Z3061" s="28"/>
      <c r="AA3061" s="96">
        <f ca="1">AA3060/AA3058</f>
        <v>-0.24078833578666392</v>
      </c>
      <c r="AB3061" s="111"/>
      <c r="AC3061" s="28"/>
      <c r="AD3061" s="96">
        <f ca="1">AD3060/AD3058</f>
        <v>3.178043542269307</v>
      </c>
      <c r="AE3061" s="111"/>
      <c r="AF3061" s="28"/>
      <c r="AG3061" s="96">
        <f ca="1">AG3060/AG3058</f>
        <v>1.3735722981653753</v>
      </c>
      <c r="AH3061" s="111"/>
      <c r="AI3061" s="28"/>
      <c r="AJ3061" s="96">
        <f ca="1">AJ3060/AJ3058</f>
        <v>1.1683224763968898</v>
      </c>
      <c r="AK3061" s="111"/>
      <c r="AL3061" s="28"/>
      <c r="AM3061" s="96">
        <f ca="1">AM3060/AM3058</f>
        <v>1.1043829480908465</v>
      </c>
      <c r="AN3061" s="111"/>
      <c r="AO3061" s="28"/>
      <c r="AP3061" s="96">
        <f ca="1">AP3060/AP3058</f>
        <v>1.0744303174076724</v>
      </c>
      <c r="AQ3061" s="111"/>
      <c r="AR3061" s="28"/>
      <c r="AS3061" s="96">
        <f ca="1">AS3060/AS3058</f>
        <v>1.052530871019886</v>
      </c>
      <c r="AT3061" s="111"/>
      <c r="AU3061" s="28"/>
    </row>
    <row r="3062" spans="15:47" x14ac:dyDescent="0.25">
      <c r="O3062" s="2" t="s">
        <v>21</v>
      </c>
      <c r="P3062" s="8">
        <v>12</v>
      </c>
      <c r="Q3062" s="2"/>
      <c r="R3062" s="96">
        <f ca="1">1-R3061/(3*F_GAMMA*R$29)</f>
        <v>0.82605400908493043</v>
      </c>
      <c r="S3062" s="106"/>
      <c r="T3062" s="22"/>
      <c r="U3062" s="96">
        <f ca="1">1-U3061/(3*F_GAMMA*U$29)</f>
        <v>0.83293562143472721</v>
      </c>
      <c r="V3062" s="111"/>
      <c r="W3062" s="28"/>
      <c r="X3062" s="96">
        <f ca="1">1-X3061/(3*F_GAMMA*X$29)</f>
        <v>0.87277539256072201</v>
      </c>
      <c r="Y3062" s="111"/>
      <c r="Z3062" s="28"/>
      <c r="AA3062" s="96">
        <f ca="1">1-AA3061/(3*F_GAMMA*AA$29)</f>
        <v>1.1283538829686519</v>
      </c>
      <c r="AB3062" s="111"/>
      <c r="AC3062" s="28"/>
      <c r="AD3062" s="96">
        <f ca="1">1-AD3061/(3*F_GAMMA*AD$29)</f>
        <v>-0.7466184698851952</v>
      </c>
      <c r="AE3062" s="111"/>
      <c r="AF3062" s="28"/>
      <c r="AG3062" s="96">
        <f ca="1">1-AG3061/(3*F_GAMMA*AG$29)</f>
        <v>0.19980077725016676</v>
      </c>
      <c r="AH3062" s="111"/>
      <c r="AI3062" s="28"/>
      <c r="AJ3062" s="96">
        <f ca="1">1-AJ3061/(3*F_GAMMA*AJ$29)</f>
        <v>0.26773826156946923</v>
      </c>
      <c r="AK3062" s="111"/>
      <c r="AL3062" s="28"/>
      <c r="AM3062" s="96">
        <f ca="1">1-AM3061/(3*F_GAMMA*AM$29)</f>
        <v>0.22607811674301903</v>
      </c>
      <c r="AN3062" s="111"/>
      <c r="AO3062" s="28"/>
      <c r="AP3062" s="96">
        <f ca="1">1-AP3061/(3*F_GAMMA*AP$29)</f>
        <v>0.39353391927992443</v>
      </c>
      <c r="AQ3062" s="111"/>
      <c r="AR3062" s="28"/>
      <c r="AS3062" s="96">
        <f ca="1">1-AS3061/(3*F_GAMMA*AS$29)</f>
        <v>6.8614337509608103E-2</v>
      </c>
      <c r="AT3062" s="111"/>
      <c r="AU3062" s="28"/>
    </row>
    <row r="3063" spans="15:47" x14ac:dyDescent="0.25">
      <c r="O3063" s="2" t="s">
        <v>57</v>
      </c>
      <c r="P3063" s="143">
        <v>7</v>
      </c>
      <c r="Q3063" s="2"/>
      <c r="R3063" s="96">
        <f ca="1">(R3056/(N_9*R$27*R3058*R3062))*SQRT(M*'Valve Sizing'!$W$6*'Valve Sizing'!$G$8/R3061)</f>
        <v>9.2867077577496246</v>
      </c>
      <c r="S3063" s="107"/>
      <c r="T3063" s="22"/>
      <c r="U3063" s="96">
        <f ca="1">(U3056/(N_9*U$27*U3058*U3062))*SQRT(M*'Valve Sizing'!$W$6*'Valve Sizing'!$G$8/U3061)</f>
        <v>41.952086780675927</v>
      </c>
      <c r="V3063" s="111"/>
      <c r="W3063" s="28"/>
      <c r="X3063" s="96">
        <f ca="1">(X3056/(N_9*X$27*X3058*X3062))*SQRT(M*'Valve Sizing'!$W$6*'Valve Sizing'!$G$8/X3061)</f>
        <v>126.26569204866826</v>
      </c>
      <c r="Y3063" s="111"/>
      <c r="Z3063" s="28"/>
      <c r="AA3063" s="96" t="e">
        <f ca="1">(AA3056/(N_9*AA$27*AA3058*AA3062))*SQRT(M*'Valve Sizing'!$W$6*'Valve Sizing'!$G$8/AA3061)</f>
        <v>#NUM!</v>
      </c>
      <c r="AB3063" s="111"/>
      <c r="AC3063" s="28"/>
      <c r="AD3063" s="96">
        <f ca="1">(AD3056/(N_9*AD$27*AD3058*AD3062))*SQRT(M*'Valve Sizing'!$W$6*'Valve Sizing'!$G$8/AD3061)</f>
        <v>389.51524895446403</v>
      </c>
      <c r="AE3063" s="111"/>
      <c r="AF3063" s="28"/>
      <c r="AG3063" s="96">
        <f ca="1">(AG3056/(N_9*AG$27*AG3058*AG3062))*SQRT(M*'Valve Sizing'!$W$6*'Valve Sizing'!$G$8/AG3061)</f>
        <v>-566.71643024910759</v>
      </c>
      <c r="AH3063" s="111"/>
      <c r="AI3063" s="28"/>
      <c r="AJ3063" s="96">
        <f ca="1">(AJ3056/(N_9*AJ$27*AJ3058*AJ3062))*SQRT(M*'Valve Sizing'!$W$6*'Valve Sizing'!$G$8/AJ3061)</f>
        <v>-285.69803973850009</v>
      </c>
      <c r="AK3063" s="111"/>
      <c r="AL3063" s="28"/>
      <c r="AM3063" s="96">
        <f ca="1">(AM3056/(N_9*AM$27*AM3058*AM3062))*SQRT(M*'Valve Sizing'!$W$6*'Valve Sizing'!$G$8/AM3061)</f>
        <v>-279.39221920269614</v>
      </c>
      <c r="AN3063" s="111"/>
      <c r="AO3063" s="28"/>
      <c r="AP3063" s="96">
        <f ca="1">(AP3056/(N_9*AP$27*AP3058*AP3062))*SQRT(M*'Valve Sizing'!$W$6*'Valve Sizing'!$G$8/AP3061)</f>
        <v>-153.32704558125485</v>
      </c>
      <c r="AQ3063" s="111"/>
      <c r="AR3063" s="28"/>
      <c r="AS3063" s="96">
        <f ca="1">(AS3056/(N_9*AS$27*AS3058*AS3062))*SQRT(M*'Valve Sizing'!$W$6*'Valve Sizing'!$G$8/AS3061)</f>
        <v>-984.85320106724294</v>
      </c>
      <c r="AT3063" s="111"/>
      <c r="AU3063" s="28"/>
    </row>
    <row r="3064" spans="15:47" x14ac:dyDescent="0.25">
      <c r="O3064" s="2" t="s">
        <v>59</v>
      </c>
      <c r="P3064" s="143">
        <v>7</v>
      </c>
      <c r="Q3064" s="2"/>
      <c r="R3064" s="96">
        <f ca="1">(R3056/(N_9*R$27*R3058*0.667))*SQRT(M*'Valve Sizing'!$W$6*'Valve Sizing'!$G$8/R3065)</f>
        <v>8.3083011040548023</v>
      </c>
      <c r="S3064" s="107"/>
      <c r="T3064" s="22"/>
      <c r="U3064" s="96">
        <f ca="1">(U3056/(N_9*U$27*U3058*0.667))*SQRT(M*'Valve Sizing'!$W$6*'Valve Sizing'!$G$8/U3065)</f>
        <v>37.088709914444856</v>
      </c>
      <c r="V3064" s="111"/>
      <c r="W3064" s="28"/>
      <c r="X3064" s="96">
        <f ca="1">(X3056/(N_9*X$27*X3058*0.667))*SQRT(M*'Valve Sizing'!$W$6*'Valve Sizing'!$G$8/X3065)</f>
        <v>102.07237257315604</v>
      </c>
      <c r="Y3064" s="111"/>
      <c r="Z3064" s="28"/>
      <c r="AA3064" s="96">
        <f ca="1">(AA3056/(N_9*AA$27*AA3058*0.667))*SQRT(M*'Valve Sizing'!$W$6*'Valve Sizing'!$G$8/AA3065)</f>
        <v>329.68371152555335</v>
      </c>
      <c r="AB3064" s="111"/>
      <c r="AC3064" s="28"/>
      <c r="AD3064" s="96">
        <f ca="1">(AD3056/(N_9*AD$27*AD3058*0.667))*SQRT(M*'Valve Sizing'!$W$6*'Valve Sizing'!$G$8/AD3065)</f>
        <v>-998.06082937213557</v>
      </c>
      <c r="AE3064" s="111"/>
      <c r="AF3064" s="28"/>
      <c r="AG3064" s="96">
        <f ca="1">(AG3056/(N_9*AG$27*AG3058*0.667))*SQRT(M*'Valve Sizing'!$W$6*'Valve Sizing'!$G$8/AG3065)</f>
        <v>-263.02488130719178</v>
      </c>
      <c r="AH3064" s="111"/>
      <c r="AI3064" s="28"/>
      <c r="AJ3064" s="96">
        <f ca="1">(AJ3056/(N_9*AJ$27*AJ3058*0.667))*SQRT(M*'Valve Sizing'!$W$6*'Valve Sizing'!$G$8/AJ3065)</f>
        <v>-169.97524050323503</v>
      </c>
      <c r="AK3064" s="111"/>
      <c r="AL3064" s="28"/>
      <c r="AM3064" s="96">
        <f ca="1">(AM3056/(N_9*AM$27*AM3058*0.667))*SQRT(M*'Valve Sizing'!$W$6*'Valve Sizing'!$G$8/AM3065)</f>
        <v>-144.29663084164099</v>
      </c>
      <c r="AN3064" s="111"/>
      <c r="AO3064" s="28"/>
      <c r="AP3064" s="96">
        <f ca="1">(AP3056/(N_9*AP$27*AP3058*0.667))*SQRT(M*'Valve Sizing'!$W$6*'Valve Sizing'!$G$8/AP3065)</f>
        <v>-122.0222390206178</v>
      </c>
      <c r="AQ3064" s="111"/>
      <c r="AR3064" s="28"/>
      <c r="AS3064" s="96">
        <f ca="1">(AS3056/(N_9*AS$27*AS3058*0.667))*SQRT(M*'Valve Sizing'!$W$6*'Valve Sizing'!$G$8/AS3065)</f>
        <v>-169.35028928970468</v>
      </c>
      <c r="AT3064" s="111"/>
      <c r="AU3064" s="28"/>
    </row>
    <row r="3065" spans="15:47" ht="15.6" x14ac:dyDescent="0.35">
      <c r="O3065" s="2" t="s">
        <v>68</v>
      </c>
      <c r="P3065" s="143">
        <v>10</v>
      </c>
      <c r="Q3065" s="2"/>
      <c r="R3065" s="96">
        <f ca="1">F_GAMMA*R$29</f>
        <v>0.64002969751372984</v>
      </c>
      <c r="S3065" s="107"/>
      <c r="T3065" s="1"/>
      <c r="U3065" s="96">
        <f ca="1">F_GAMMA*U$29</f>
        <v>0.64017842058782071</v>
      </c>
      <c r="V3065" s="111"/>
      <c r="W3065" s="28"/>
      <c r="X3065" s="96">
        <f ca="1">F_GAMMA*X$29</f>
        <v>0.63413873724904268</v>
      </c>
      <c r="Y3065" s="111"/>
      <c r="Z3065" s="28"/>
      <c r="AA3065" s="96">
        <f ca="1">F_GAMMA*AA$29</f>
        <v>0.62532411750377137</v>
      </c>
      <c r="AB3065" s="111"/>
      <c r="AC3065" s="28"/>
      <c r="AD3065" s="96">
        <f ca="1">F_GAMMA*AD$29</f>
        <v>0.60651359509139569</v>
      </c>
      <c r="AE3065" s="111"/>
      <c r="AF3065" s="28"/>
      <c r="AG3065" s="96">
        <f ca="1">F_GAMMA*AG$29</f>
        <v>0.57217930198481592</v>
      </c>
      <c r="AH3065" s="111"/>
      <c r="AI3065" s="28"/>
      <c r="AJ3065" s="96">
        <f ca="1">F_GAMMA*AJ$29</f>
        <v>0.53183282018848232</v>
      </c>
      <c r="AK3065" s="111"/>
      <c r="AL3065" s="28"/>
      <c r="AM3065" s="96">
        <f ca="1">F_GAMMA*AM$29</f>
        <v>0.47566512503094399</v>
      </c>
      <c r="AN3065" s="111"/>
      <c r="AO3065" s="28"/>
      <c r="AP3065" s="96">
        <f ca="1">F_GAMMA*AP$29</f>
        <v>0.59054158265645496</v>
      </c>
      <c r="AQ3065" s="111"/>
      <c r="AR3065" s="28"/>
      <c r="AS3065" s="96">
        <f ca="1">F_GAMMA*AS$29</f>
        <v>0.3766899554102966</v>
      </c>
      <c r="AT3065" s="111"/>
      <c r="AU3065" s="28"/>
    </row>
    <row r="3066" spans="15:47" x14ac:dyDescent="0.25">
      <c r="O3066" s="2" t="s">
        <v>145</v>
      </c>
      <c r="P3066" s="12"/>
      <c r="Q3066" s="2"/>
      <c r="R3066" s="96">
        <f ca="1">IF(R3061&lt;R3065,R3063,R3064)</f>
        <v>9.2867077577496246</v>
      </c>
      <c r="S3066" s="116"/>
      <c r="T3066" s="1"/>
      <c r="U3066" s="96">
        <f ca="1">IF(U3061&lt;U3065,U3063,U3064)</f>
        <v>41.952086780675927</v>
      </c>
      <c r="V3066" s="111"/>
      <c r="W3066" s="28"/>
      <c r="X3066" s="96">
        <f ca="1">IF(X3061&lt;X3065,X3063,X3064)</f>
        <v>126.26569204866826</v>
      </c>
      <c r="Y3066" s="111"/>
      <c r="Z3066" s="28"/>
      <c r="AA3066" s="96" t="e">
        <f ca="1">IF(AA3061&lt;AA3065,AA3063,AA3064)</f>
        <v>#NUM!</v>
      </c>
      <c r="AB3066" s="111"/>
      <c r="AC3066" s="28"/>
      <c r="AD3066" s="96">
        <f ca="1">IF(AD3061&lt;AD3065,AD3063,AD3064)</f>
        <v>-998.06082937213557</v>
      </c>
      <c r="AE3066" s="111"/>
      <c r="AF3066" s="28"/>
      <c r="AG3066" s="96">
        <f ca="1">IF(AG3061&lt;AG3065,AG3063,AG3064)</f>
        <v>-263.02488130719178</v>
      </c>
      <c r="AH3066" s="111"/>
      <c r="AI3066" s="28"/>
      <c r="AJ3066" s="96">
        <f ca="1">IF(AJ3061&lt;AJ3065,AJ3063,AJ3064)</f>
        <v>-169.97524050323503</v>
      </c>
      <c r="AK3066" s="111"/>
      <c r="AL3066" s="28"/>
      <c r="AM3066" s="96">
        <f ca="1">IF(AM3061&lt;AM3065,AM3063,AM3064)</f>
        <v>-144.29663084164099</v>
      </c>
      <c r="AN3066" s="111"/>
      <c r="AO3066" s="28"/>
      <c r="AP3066" s="96">
        <f ca="1">IF(AP3061&lt;AP3065,AP3063,AP3064)</f>
        <v>-122.0222390206178</v>
      </c>
      <c r="AQ3066" s="111"/>
      <c r="AR3066" s="28"/>
      <c r="AS3066" s="96">
        <f ca="1">IF(AS3061&lt;AS3065,AS3063,AS3064)</f>
        <v>-169.35028928970468</v>
      </c>
      <c r="AT3066" s="111"/>
      <c r="AU3066" s="28"/>
    </row>
    <row r="3067" spans="15:47" x14ac:dyDescent="0.25">
      <c r="O3067" s="13" t="s">
        <v>143</v>
      </c>
      <c r="P3067" s="1"/>
      <c r="Q3067" s="1"/>
      <c r="R3067" s="113"/>
      <c r="S3067" s="106">
        <f ca="1">IF(R3060&lt;=0,Q_max,ABS(R$23-R3066))</f>
        <v>4.5567077577496242</v>
      </c>
      <c r="T3067" s="7">
        <f>R3056</f>
        <v>22957.456185393694</v>
      </c>
      <c r="U3067" s="98"/>
      <c r="V3067" s="106">
        <f ca="1">IF(U3060&lt;=0,Q_max,ABS(U$23-U3066))</f>
        <v>30.352086780675926</v>
      </c>
      <c r="W3067" s="9">
        <f ca="1">U3056</f>
        <v>100446.46592454618</v>
      </c>
      <c r="X3067" s="98"/>
      <c r="Y3067" s="106">
        <f ca="1">IF(X3060&lt;=0,Q_max,ABS(X$23-X3066))</f>
        <v>103.26569204866826</v>
      </c>
      <c r="Z3067" s="9">
        <f ca="1">X3056</f>
        <v>245956.49851580916</v>
      </c>
      <c r="AA3067" s="98"/>
      <c r="AB3067" s="106">
        <f ca="1">IF(AA3060&lt;=0,Q_max,ABS(AA$23-AA3066))</f>
        <v>236393</v>
      </c>
      <c r="AC3067" s="9">
        <f ca="1">AA3056</f>
        <v>479060.47984066745</v>
      </c>
      <c r="AD3067" s="98"/>
      <c r="AE3067" s="106">
        <f ca="1">IF(AD3060&lt;=0,Q_max,ABS(AD$23-AD3066))</f>
        <v>236393</v>
      </c>
      <c r="AF3067" s="9">
        <f ca="1">AD3056</f>
        <v>803714.45973940997</v>
      </c>
      <c r="AG3067" s="98"/>
      <c r="AH3067" s="106">
        <f ca="1">IF(AG3060&lt;=0,Q_max,ABS(AG$23-AG3066))</f>
        <v>236393</v>
      </c>
      <c r="AI3067" s="9">
        <f ca="1">AG3056</f>
        <v>1173043.1440706383</v>
      </c>
      <c r="AJ3067" s="98"/>
      <c r="AK3067" s="106">
        <f ca="1">IF(AJ3060&lt;=0,Q_max,ABS(AJ$23-AJ3066))</f>
        <v>236393</v>
      </c>
      <c r="AL3067" s="9">
        <f ca="1">AJ3056</f>
        <v>1565430.6231428827</v>
      </c>
      <c r="AM3067" s="98"/>
      <c r="AN3067" s="106">
        <f ca="1">IF(AM3060&lt;=0,Q_max,ABS(AM$23-AM3066))</f>
        <v>236393</v>
      </c>
      <c r="AO3067" s="9">
        <f ca="1">AM3056</f>
        <v>1910122.8545884851</v>
      </c>
      <c r="AP3067" s="98"/>
      <c r="AQ3067" s="106">
        <f ca="1">IF(AP3060&lt;=0,Q_max,ABS(AP$23-AP3066))</f>
        <v>236393</v>
      </c>
      <c r="AR3067" s="9">
        <f ca="1">AP3056</f>
        <v>2217593.3351199529</v>
      </c>
      <c r="AS3067" s="98"/>
      <c r="AT3067" s="106">
        <f ca="1">IF(AS3060&lt;=0,Q_max,ABS(AS$23-AS3066))</f>
        <v>236393</v>
      </c>
      <c r="AU3067" s="9">
        <f ca="1">AS3056</f>
        <v>2600302.5878867796</v>
      </c>
    </row>
    <row r="3068" spans="15:47" x14ac:dyDescent="0.25">
      <c r="O3068" s="21"/>
      <c r="P3068" s="14"/>
      <c r="Q3068" s="21"/>
      <c r="R3068" s="97"/>
      <c r="S3068" s="106"/>
      <c r="T3068" s="28"/>
      <c r="U3068" s="97"/>
      <c r="V3068" s="111"/>
      <c r="W3068" s="28"/>
      <c r="X3068" s="97"/>
      <c r="Y3068" s="111"/>
      <c r="Z3068" s="28"/>
      <c r="AA3068" s="97"/>
      <c r="AB3068" s="111"/>
      <c r="AC3068" s="28"/>
      <c r="AD3068" s="97"/>
      <c r="AE3068" s="111"/>
      <c r="AF3068" s="28"/>
      <c r="AG3068" s="97"/>
      <c r="AH3068" s="111"/>
      <c r="AI3068" s="28"/>
      <c r="AJ3068" s="97"/>
      <c r="AK3068" s="111"/>
      <c r="AL3068" s="28"/>
      <c r="AM3068" s="97"/>
      <c r="AN3068" s="111"/>
      <c r="AO3068" s="28"/>
      <c r="AP3068" s="97"/>
      <c r="AQ3068" s="111"/>
      <c r="AR3068" s="28"/>
      <c r="AS3068" s="97"/>
      <c r="AT3068" s="111"/>
      <c r="AU3068" s="28"/>
    </row>
    <row r="3069" spans="15:47" x14ac:dyDescent="0.25">
      <c r="O3069" s="1"/>
      <c r="P3069" s="1"/>
      <c r="Q3069" s="1"/>
      <c r="R3069" s="98"/>
      <c r="S3069" s="108" t="s">
        <v>137</v>
      </c>
      <c r="T3069" s="26" t="s">
        <v>146</v>
      </c>
      <c r="U3069" s="98"/>
      <c r="V3069" s="108" t="s">
        <v>137</v>
      </c>
      <c r="W3069" s="26" t="s">
        <v>146</v>
      </c>
      <c r="X3069" s="98"/>
      <c r="Y3069" s="108" t="s">
        <v>137</v>
      </c>
      <c r="Z3069" s="26" t="s">
        <v>146</v>
      </c>
      <c r="AA3069" s="98"/>
      <c r="AB3069" s="108" t="s">
        <v>137</v>
      </c>
      <c r="AC3069" s="26" t="s">
        <v>146</v>
      </c>
      <c r="AD3069" s="98"/>
      <c r="AE3069" s="108" t="s">
        <v>137</v>
      </c>
      <c r="AF3069" s="26" t="s">
        <v>146</v>
      </c>
      <c r="AG3069" s="98"/>
      <c r="AH3069" s="108" t="s">
        <v>137</v>
      </c>
      <c r="AI3069" s="26" t="s">
        <v>146</v>
      </c>
      <c r="AJ3069" s="98"/>
      <c r="AK3069" s="108" t="s">
        <v>137</v>
      </c>
      <c r="AL3069" s="26" t="s">
        <v>146</v>
      </c>
      <c r="AM3069" s="98"/>
      <c r="AN3069" s="108" t="s">
        <v>137</v>
      </c>
      <c r="AO3069" s="26" t="s">
        <v>146</v>
      </c>
      <c r="AP3069" s="98"/>
      <c r="AQ3069" s="108" t="s">
        <v>137</v>
      </c>
      <c r="AR3069" s="26" t="s">
        <v>146</v>
      </c>
      <c r="AS3069" s="98"/>
      <c r="AT3069" s="108" t="s">
        <v>137</v>
      </c>
      <c r="AU3069" s="26" t="s">
        <v>146</v>
      </c>
    </row>
    <row r="3070" spans="15:47" ht="13.8" x14ac:dyDescent="0.25">
      <c r="O3070" s="20" t="s">
        <v>136</v>
      </c>
      <c r="P3070" s="1"/>
      <c r="Q3070" s="1"/>
      <c r="R3070" s="96">
        <f>R3056*1.02</f>
        <v>23416.605309101567</v>
      </c>
      <c r="S3070" s="109" t="s">
        <v>144</v>
      </c>
      <c r="T3070" s="23" t="s">
        <v>147</v>
      </c>
      <c r="U3070" s="96">
        <f ca="1">U3056*1.01</f>
        <v>101450.93058379165</v>
      </c>
      <c r="V3070" s="109" t="s">
        <v>144</v>
      </c>
      <c r="W3070" s="23" t="s">
        <v>147</v>
      </c>
      <c r="X3070" s="96">
        <f ca="1">X3056*1.01</f>
        <v>248416.06350096726</v>
      </c>
      <c r="Y3070" s="109" t="s">
        <v>144</v>
      </c>
      <c r="Z3070" s="23" t="s">
        <v>147</v>
      </c>
      <c r="AA3070" s="96">
        <f ca="1">AA3056*1.01</f>
        <v>483851.08463907411</v>
      </c>
      <c r="AB3070" s="109" t="s">
        <v>144</v>
      </c>
      <c r="AC3070" s="23" t="s">
        <v>147</v>
      </c>
      <c r="AD3070" s="96">
        <f ca="1">AD3056*1.01</f>
        <v>811751.60433680413</v>
      </c>
      <c r="AE3070" s="109" t="s">
        <v>144</v>
      </c>
      <c r="AF3070" s="23" t="s">
        <v>147</v>
      </c>
      <c r="AG3070" s="96">
        <f ca="1">AG3056*1.01</f>
        <v>1184773.5755113447</v>
      </c>
      <c r="AH3070" s="109" t="s">
        <v>144</v>
      </c>
      <c r="AI3070" s="23" t="s">
        <v>147</v>
      </c>
      <c r="AJ3070" s="96">
        <f ca="1">AJ3056*1.01</f>
        <v>1581084.9293743116</v>
      </c>
      <c r="AK3070" s="109" t="s">
        <v>144</v>
      </c>
      <c r="AL3070" s="23" t="s">
        <v>147</v>
      </c>
      <c r="AM3070" s="96">
        <f ca="1">AM3056*1.01</f>
        <v>1929224.0831343699</v>
      </c>
      <c r="AN3070" s="109" t="s">
        <v>144</v>
      </c>
      <c r="AO3070" s="23" t="s">
        <v>147</v>
      </c>
      <c r="AP3070" s="96">
        <f ca="1">AP3056*1.01</f>
        <v>2239769.2684711525</v>
      </c>
      <c r="AQ3070" s="109" t="s">
        <v>144</v>
      </c>
      <c r="AR3070" s="23" t="s">
        <v>147</v>
      </c>
      <c r="AS3070" s="96">
        <f ca="1">AS3056*1.01</f>
        <v>2626305.6137656472</v>
      </c>
      <c r="AT3070" s="109" t="s">
        <v>144</v>
      </c>
      <c r="AU3070" s="23" t="s">
        <v>147</v>
      </c>
    </row>
    <row r="3071" spans="15:47" x14ac:dyDescent="0.25">
      <c r="O3071" s="1"/>
      <c r="P3071" s="1"/>
      <c r="Q3071" s="1"/>
      <c r="R3071" s="98"/>
      <c r="S3071" s="107"/>
      <c r="T3071" s="1"/>
      <c r="U3071" s="47"/>
      <c r="V3071" s="107"/>
      <c r="W3071" s="1"/>
      <c r="X3071" s="47"/>
      <c r="Y3071" s="107"/>
      <c r="Z3071" s="1"/>
      <c r="AA3071" s="47"/>
      <c r="AB3071" s="107"/>
      <c r="AC3071" s="1"/>
      <c r="AD3071" s="47"/>
      <c r="AE3071" s="107"/>
      <c r="AF3071" s="1"/>
      <c r="AG3071" s="47"/>
      <c r="AH3071" s="107"/>
      <c r="AI3071" s="1"/>
      <c r="AJ3071" s="47"/>
      <c r="AK3071" s="107"/>
      <c r="AL3071" s="1"/>
      <c r="AM3071" s="47"/>
      <c r="AN3071" s="107"/>
      <c r="AO3071" s="1"/>
      <c r="AP3071" s="47"/>
      <c r="AQ3071" s="107"/>
      <c r="AR3071" s="1"/>
      <c r="AS3071" s="47"/>
      <c r="AT3071" s="107"/>
      <c r="AU3071" s="1"/>
    </row>
    <row r="3072" spans="15:47" x14ac:dyDescent="0.25">
      <c r="O3072" s="8" t="s">
        <v>132</v>
      </c>
      <c r="P3072" s="8"/>
      <c r="Q3072" s="8"/>
      <c r="R3072" s="96">
        <f>P_1_minQ-(R3070^2*R_up)+dpup_minQ</f>
        <v>90.085100055320012</v>
      </c>
      <c r="S3072" s="106"/>
      <c r="T3072" s="22"/>
      <c r="U3072" s="96">
        <f ca="1">P_1_minQ-(U3070^2*R_up)+dpup_minQ</f>
        <v>88.309158136596494</v>
      </c>
      <c r="V3072" s="107"/>
      <c r="W3072" s="1"/>
      <c r="X3072" s="96">
        <f ca="1">P_1_minQ-(X3070^2*R_up)+dpup_minQ</f>
        <v>78.93762116881868</v>
      </c>
      <c r="Y3072" s="107"/>
      <c r="Z3072" s="1"/>
      <c r="AA3072" s="96">
        <f ca="1">P_1_minQ-(AA3070^2*R_up)+dpup_minQ</f>
        <v>47.515597397148468</v>
      </c>
      <c r="AB3072" s="107"/>
      <c r="AC3072" s="1"/>
      <c r="AD3072" s="96">
        <f ca="1">P_1_minQ-(AD3070^2*R_up)+dpup_minQ</f>
        <v>-29.914085890750272</v>
      </c>
      <c r="AE3072" s="107"/>
      <c r="AF3072" s="1"/>
      <c r="AG3072" s="96">
        <f ca="1">P_1_minQ-(AG3070^2*R_up)+dpup_minQ</f>
        <v>-165.65249089457586</v>
      </c>
      <c r="AH3072" s="107"/>
      <c r="AI3072" s="1"/>
      <c r="AJ3072" s="96">
        <f ca="1">P_1_minQ-(AJ3070^2*R_up)+dpup_minQ</f>
        <v>-365.43617180998376</v>
      </c>
      <c r="AK3072" s="107"/>
      <c r="AL3072" s="1"/>
      <c r="AM3072" s="96">
        <f ca="1">P_1_minQ-(AM3070^2*R_up)+dpup_minQ</f>
        <v>-588.17285877662505</v>
      </c>
      <c r="AN3072" s="107"/>
      <c r="AO3072" s="1"/>
      <c r="AP3072" s="96">
        <f ca="1">P_1_minQ-(AP3070^2*R_up)+dpup_minQ</f>
        <v>-824.13891825803171</v>
      </c>
      <c r="AQ3072" s="107"/>
      <c r="AR3072" s="1"/>
      <c r="AS3072" s="96">
        <f ca="1">P_1_minQ-(AS3070^2*R_up)+dpup_minQ</f>
        <v>-1166.9561637633508</v>
      </c>
      <c r="AT3072" s="107"/>
      <c r="AU3072" s="1"/>
    </row>
    <row r="3073" spans="15:47" x14ac:dyDescent="0.25">
      <c r="O3073" s="8" t="s">
        <v>134</v>
      </c>
      <c r="P3073" s="1"/>
      <c r="Q3073" s="8"/>
      <c r="R3073" s="97">
        <f>P_2_minQ+(R3070^2*R_dn)-dpdn_minQ</f>
        <v>60</v>
      </c>
      <c r="S3073" s="106"/>
      <c r="T3073" s="22"/>
      <c r="U3073" s="97">
        <f ca="1">P_2_minQ+(U3070^2*R_dn)-dpdn_minQ</f>
        <v>60</v>
      </c>
      <c r="V3073" s="107"/>
      <c r="W3073" s="1"/>
      <c r="X3073" s="97">
        <f ca="1">P_2_minQ+(X3070^2*R_dn)-dpdn_minQ</f>
        <v>60</v>
      </c>
      <c r="Y3073" s="107"/>
      <c r="Z3073" s="1"/>
      <c r="AA3073" s="97">
        <f ca="1">P_2_minQ+(AA3070^2*R_dn)-dpdn_minQ</f>
        <v>60</v>
      </c>
      <c r="AB3073" s="107"/>
      <c r="AC3073" s="1"/>
      <c r="AD3073" s="97">
        <f ca="1">P_2_minQ+(AD3070^2*R_dn)-dpdn_minQ</f>
        <v>60</v>
      </c>
      <c r="AE3073" s="107"/>
      <c r="AF3073" s="1"/>
      <c r="AG3073" s="97">
        <f ca="1">P_2_minQ+(AG3070^2*R_dn)-dpdn_minQ</f>
        <v>60</v>
      </c>
      <c r="AH3073" s="107"/>
      <c r="AI3073" s="1"/>
      <c r="AJ3073" s="97">
        <f ca="1">P_2_minQ+(AJ3070^2*R_dn)-dpdn_minQ</f>
        <v>60</v>
      </c>
      <c r="AK3073" s="107"/>
      <c r="AL3073" s="1"/>
      <c r="AM3073" s="97">
        <f ca="1">P_2_minQ+(AM3070^2*R_dn)-dpdn_minQ</f>
        <v>60</v>
      </c>
      <c r="AN3073" s="107"/>
      <c r="AO3073" s="1"/>
      <c r="AP3073" s="97">
        <f ca="1">P_2_minQ+(AP3070^2*R_dn)-dpdn_minQ</f>
        <v>60</v>
      </c>
      <c r="AQ3073" s="107"/>
      <c r="AR3073" s="1"/>
      <c r="AS3073" s="97">
        <f ca="1">P_2_minQ+(AS3070^2*R_dn)-dpdn_minQ</f>
        <v>60</v>
      </c>
      <c r="AT3073" s="107"/>
      <c r="AU3073" s="1"/>
    </row>
    <row r="3074" spans="15:47" x14ac:dyDescent="0.25">
      <c r="O3074" s="8" t="s">
        <v>138</v>
      </c>
      <c r="P3074" s="1"/>
      <c r="Q3074" s="8"/>
      <c r="R3074" s="97">
        <f>R3072-R3073</f>
        <v>30.085100055320012</v>
      </c>
      <c r="S3074" s="106"/>
      <c r="T3074" s="22"/>
      <c r="U3074" s="97">
        <f ca="1">U3072-U3073</f>
        <v>28.309158136596494</v>
      </c>
      <c r="V3074" s="110"/>
      <c r="W3074" s="25"/>
      <c r="X3074" s="97">
        <f ca="1">X3072-X3073</f>
        <v>18.93762116881868</v>
      </c>
      <c r="Y3074" s="110"/>
      <c r="Z3074" s="25"/>
      <c r="AA3074" s="97">
        <f ca="1">AA3072-AA3073</f>
        <v>-12.484402602851532</v>
      </c>
      <c r="AB3074" s="110"/>
      <c r="AC3074" s="25"/>
      <c r="AD3074" s="97">
        <f ca="1">AD3072-AD3073</f>
        <v>-89.914085890750272</v>
      </c>
      <c r="AE3074" s="110"/>
      <c r="AF3074" s="25"/>
      <c r="AG3074" s="97">
        <f ca="1">AG3072-AG3073</f>
        <v>-225.65249089457586</v>
      </c>
      <c r="AH3074" s="110"/>
      <c r="AI3074" s="25"/>
      <c r="AJ3074" s="97">
        <f ca="1">AJ3072-AJ3073</f>
        <v>-425.43617180998376</v>
      </c>
      <c r="AK3074" s="110"/>
      <c r="AL3074" s="25"/>
      <c r="AM3074" s="97">
        <f ca="1">AM3072-AM3073</f>
        <v>-648.17285877662505</v>
      </c>
      <c r="AN3074" s="110"/>
      <c r="AO3074" s="25"/>
      <c r="AP3074" s="97">
        <f ca="1">AP3072-AP3073</f>
        <v>-884.13891825803171</v>
      </c>
      <c r="AQ3074" s="110"/>
      <c r="AR3074" s="25"/>
      <c r="AS3074" s="97">
        <f ca="1">AS3072-AS3073</f>
        <v>-1226.9561637633508</v>
      </c>
      <c r="AT3074" s="110"/>
      <c r="AU3074" s="25"/>
    </row>
    <row r="3075" spans="15:47" ht="14.4" x14ac:dyDescent="0.3">
      <c r="O3075" s="2" t="s">
        <v>140</v>
      </c>
      <c r="P3075" s="11"/>
      <c r="Q3075" s="2"/>
      <c r="R3075" s="96">
        <f>R3074/R3072</f>
        <v>0.33396310862556816</v>
      </c>
      <c r="S3075" s="106"/>
      <c r="T3075" s="22"/>
      <c r="U3075" s="96">
        <f ca="1">U3074/U3072</f>
        <v>0.32056876924144068</v>
      </c>
      <c r="V3075" s="111"/>
      <c r="W3075" s="28"/>
      <c r="X3075" s="96">
        <f ca="1">X3074/X3072</f>
        <v>0.23990615486521996</v>
      </c>
      <c r="Y3075" s="111"/>
      <c r="Z3075" s="28"/>
      <c r="AA3075" s="96">
        <f ca="1">AA3074/AA3072</f>
        <v>-0.26274325246304808</v>
      </c>
      <c r="AB3075" s="111"/>
      <c r="AC3075" s="28"/>
      <c r="AD3075" s="96">
        <f ca="1">AD3074/AD3072</f>
        <v>3.0057440571350567</v>
      </c>
      <c r="AE3075" s="111"/>
      <c r="AF3075" s="28"/>
      <c r="AG3075" s="96">
        <f ca="1">AG3074/AG3072</f>
        <v>1.3622040313187023</v>
      </c>
      <c r="AH3075" s="111"/>
      <c r="AI3075" s="28"/>
      <c r="AJ3075" s="96">
        <f ca="1">AJ3074/AJ3072</f>
        <v>1.1641873591845699</v>
      </c>
      <c r="AK3075" s="111"/>
      <c r="AL3075" s="28"/>
      <c r="AM3075" s="96">
        <f ca="1">AM3074/AM3072</f>
        <v>1.1020108274373583</v>
      </c>
      <c r="AN3075" s="111"/>
      <c r="AO3075" s="28"/>
      <c r="AP3075" s="96">
        <f ca="1">AP3074/AP3072</f>
        <v>1.0728032600703059</v>
      </c>
      <c r="AQ3075" s="111"/>
      <c r="AR3075" s="28"/>
      <c r="AS3075" s="96">
        <f ca="1">AS3074/AS3072</f>
        <v>1.0514158130897602</v>
      </c>
      <c r="AT3075" s="111"/>
      <c r="AU3075" s="28"/>
    </row>
    <row r="3076" spans="15:47" x14ac:dyDescent="0.25">
      <c r="O3076" s="2" t="s">
        <v>21</v>
      </c>
      <c r="P3076" s="8">
        <v>12</v>
      </c>
      <c r="Q3076" s="2"/>
      <c r="R3076" s="96">
        <f ca="1">1-R3075/(3*F_GAMMA*R$29)</f>
        <v>0.82606895173620487</v>
      </c>
      <c r="S3076" s="106"/>
      <c r="T3076" s="22"/>
      <c r="U3076" s="96">
        <f ca="1">1-U3075/(3*F_GAMMA*U$29)</f>
        <v>0.83308363266025642</v>
      </c>
      <c r="V3076" s="111"/>
      <c r="W3076" s="28"/>
      <c r="X3076" s="96">
        <f ca="1">1-X3075/(3*F_GAMMA*X$29)</f>
        <v>0.8738939705287222</v>
      </c>
      <c r="Y3076" s="111"/>
      <c r="Z3076" s="28"/>
      <c r="AA3076" s="96">
        <f ca="1">1-AA3075/(3*F_GAMMA*AA$29)</f>
        <v>1.1400571027133319</v>
      </c>
      <c r="AB3076" s="111"/>
      <c r="AC3076" s="28"/>
      <c r="AD3076" s="96">
        <f ca="1">1-AD3075/(3*F_GAMMA*AD$29)</f>
        <v>-0.65192453033259179</v>
      </c>
      <c r="AE3076" s="111"/>
      <c r="AF3076" s="28"/>
      <c r="AG3076" s="96">
        <f ca="1">1-AG3075/(3*F_GAMMA*AG$29)</f>
        <v>0.20642356536759665</v>
      </c>
      <c r="AH3076" s="111"/>
      <c r="AI3076" s="28"/>
      <c r="AJ3076" s="96">
        <f ca="1">1-AJ3075/(3*F_GAMMA*AJ$29)</f>
        <v>0.27033000158960963</v>
      </c>
      <c r="AK3076" s="111"/>
      <c r="AL3076" s="28"/>
      <c r="AM3076" s="96">
        <f ca="1">1-AM3075/(3*F_GAMMA*AM$29)</f>
        <v>0.22774043513233666</v>
      </c>
      <c r="AN3076" s="111"/>
      <c r="AO3076" s="28"/>
      <c r="AP3076" s="96">
        <f ca="1">1-AP3075/(3*F_GAMMA*AP$29)</f>
        <v>0.39445231768186106</v>
      </c>
      <c r="AQ3076" s="111"/>
      <c r="AR3076" s="28"/>
      <c r="AS3076" s="96">
        <f ca="1">1-AS3075/(3*F_GAMMA*AS$29)</f>
        <v>6.9601053431734949E-2</v>
      </c>
      <c r="AT3076" s="111"/>
      <c r="AU3076" s="28"/>
    </row>
    <row r="3077" spans="15:47" x14ac:dyDescent="0.25">
      <c r="O3077" s="2" t="s">
        <v>57</v>
      </c>
      <c r="P3077" s="143">
        <v>7</v>
      </c>
      <c r="Q3077" s="2"/>
      <c r="R3077" s="96">
        <f ca="1">(R3070/(N_9*R$27*R3072*R3076))*SQRT(M*'Valve Sizing'!$W$6*'Valve Sizing'!$G$8/R3075)</f>
        <v>9.4730855232955324</v>
      </c>
      <c r="S3077" s="107"/>
      <c r="T3077" s="22"/>
      <c r="U3077" s="96">
        <f ca="1">(U3070/(N_9*U$27*U3072*U3076))*SQRT(M*'Valve Sizing'!$W$6*'Valve Sizing'!$G$8/U3075)</f>
        <v>42.400597983169419</v>
      </c>
      <c r="V3077" s="111"/>
      <c r="W3077" s="28"/>
      <c r="X3077" s="96">
        <f ca="1">(X3070/(N_9*X$27*X3072*X3076))*SQRT(M*'Valve Sizing'!$W$6*'Valve Sizing'!$G$8/X3075)</f>
        <v>128.28790153257819</v>
      </c>
      <c r="Y3077" s="111"/>
      <c r="Z3077" s="28"/>
      <c r="AA3077" s="96" t="e">
        <f ca="1">(AA3070/(N_9*AA$27*AA3072*AA3076))*SQRT(M*'Valve Sizing'!$W$6*'Valve Sizing'!$G$8/AA3075)</f>
        <v>#NUM!</v>
      </c>
      <c r="AB3077" s="111"/>
      <c r="AC3077" s="28"/>
      <c r="AD3077" s="96">
        <f ca="1">(AD3070/(N_9*AD$27*AD3072*AD3076))*SQRT(M*'Valve Sizing'!$W$6*'Valve Sizing'!$G$8/AD3075)</f>
        <v>426.63857891237626</v>
      </c>
      <c r="AE3077" s="111"/>
      <c r="AF3077" s="28"/>
      <c r="AG3077" s="96">
        <f ca="1">(AG3070/(N_9*AG$27*AG3072*AG3076))*SQRT(M*'Valve Sizing'!$W$6*'Valve Sizing'!$G$8/AG3075)</f>
        <v>-539.39680885956841</v>
      </c>
      <c r="AH3077" s="111"/>
      <c r="AI3077" s="28"/>
      <c r="AJ3077" s="96">
        <f ca="1">(AJ3070/(N_9*AJ$27*AJ3072*AJ3076))*SQRT(M*'Valve Sizing'!$W$6*'Valve Sizing'!$G$8/AJ3075)</f>
        <v>-279.26233082544826</v>
      </c>
      <c r="AK3077" s="111"/>
      <c r="AL3077" s="28"/>
      <c r="AM3077" s="96">
        <f ca="1">(AM3070/(N_9*AM$27*AM3072*AM3076))*SQRT(M*'Valve Sizing'!$W$6*'Valve Sizing'!$G$8/AM3075)</f>
        <v>-274.05497412104734</v>
      </c>
      <c r="AN3077" s="111"/>
      <c r="AO3077" s="28"/>
      <c r="AP3077" s="96">
        <f ca="1">(AP3070/(N_9*AP$27*AP3072*AP3076))*SQRT(M*'Valve Sizing'!$W$6*'Valve Sizing'!$G$8/AP3075)</f>
        <v>-151.23692578396384</v>
      </c>
      <c r="AQ3077" s="111"/>
      <c r="AR3077" s="28"/>
      <c r="AS3077" s="96">
        <f ca="1">(AS3070/(N_9*AS$27*AS3072*AS3076))*SQRT(M*'Valve Sizing'!$W$6*'Valve Sizing'!$G$8/AS3075)</f>
        <v>-960.29399157150783</v>
      </c>
      <c r="AT3077" s="111"/>
      <c r="AU3077" s="28"/>
    </row>
    <row r="3078" spans="15:47" x14ac:dyDescent="0.25">
      <c r="O3078" s="2" t="s">
        <v>59</v>
      </c>
      <c r="P3078" s="143">
        <v>7</v>
      </c>
      <c r="Q3078" s="2"/>
      <c r="R3078" s="96">
        <f ca="1">(R3070/(N_9*R$27*R3072*0.667))*SQRT(M*'Valve Sizing'!$W$6*'Valve Sizing'!$G$8/R3079)</f>
        <v>8.4748322009431867</v>
      </c>
      <c r="S3078" s="107"/>
      <c r="T3078" s="22"/>
      <c r="U3078" s="96">
        <f ca="1">(U3070/(N_9*U$27*U3072*0.667))*SQRT(M*'Valve Sizing'!$W$6*'Valve Sizing'!$G$8/U3079)</f>
        <v>37.475275938258832</v>
      </c>
      <c r="V3078" s="111"/>
      <c r="W3078" s="28"/>
      <c r="X3078" s="96">
        <f ca="1">(X3070/(N_9*X$27*X3072*0.667))*SQRT(M*'Valve Sizing'!$W$6*'Valve Sizing'!$G$8/X3079)</f>
        <v>103.38253176525497</v>
      </c>
      <c r="Y3078" s="111"/>
      <c r="Z3078" s="28"/>
      <c r="AA3078" s="96">
        <f ca="1">(AA3070/(N_9*AA$27*AA3072*0.667))*SQRT(M*'Valve Sizing'!$W$6*'Valve Sizing'!$G$8/AA3079)</f>
        <v>338.87241592341894</v>
      </c>
      <c r="AB3078" s="111"/>
      <c r="AC3078" s="28"/>
      <c r="AD3078" s="96">
        <f ca="1">(AD3070/(N_9*AD$27*AD3072*0.667))*SQRT(M*'Valve Sizing'!$W$6*'Valve Sizing'!$G$8/AD3079)</f>
        <v>-928.2978433193208</v>
      </c>
      <c r="AE3078" s="111"/>
      <c r="AF3078" s="28"/>
      <c r="AG3078" s="96">
        <f ca="1">(AG3070/(N_9*AG$27*AG3072*0.667))*SQRT(M*'Valve Sizing'!$W$6*'Valve Sizing'!$G$8/AG3079)</f>
        <v>-257.57091610539624</v>
      </c>
      <c r="AH3078" s="111"/>
      <c r="AI3078" s="28"/>
      <c r="AJ3078" s="96">
        <f ca="1">(AJ3070/(N_9*AJ$27*AJ3072*0.667))*SQRT(M*'Valve Sizing'!$W$6*'Valve Sizing'!$G$8/AJ3079)</f>
        <v>-167.45751563906427</v>
      </c>
      <c r="AK3078" s="111"/>
      <c r="AL3078" s="28"/>
      <c r="AM3078" s="96">
        <f ca="1">(AM3070/(N_9*AM$27*AM3072*0.667))*SQRT(M*'Valve Sizing'!$W$6*'Valve Sizing'!$G$8/AM3079)</f>
        <v>-142.42763945242828</v>
      </c>
      <c r="AN3078" s="111"/>
      <c r="AO3078" s="28"/>
      <c r="AP3078" s="96">
        <f ca="1">(AP3070/(N_9*AP$27*AP3072*0.667))*SQRT(M*'Valve Sizing'!$W$6*'Valve Sizing'!$G$8/AP3079)</f>
        <v>-120.54836365472708</v>
      </c>
      <c r="AQ3078" s="111"/>
      <c r="AR3078" s="28"/>
      <c r="AS3078" s="96">
        <f ca="1">(AS3070/(N_9*AS$27*AS3072*0.667))*SQRT(M*'Valve Sizing'!$W$6*'Valve Sizing'!$G$8/AS3079)</f>
        <v>-167.41309402037612</v>
      </c>
      <c r="AT3078" s="111"/>
      <c r="AU3078" s="28"/>
    </row>
    <row r="3079" spans="15:47" ht="15.6" x14ac:dyDescent="0.35">
      <c r="O3079" s="2" t="s">
        <v>68</v>
      </c>
      <c r="P3079" s="143">
        <v>10</v>
      </c>
      <c r="Q3079" s="2"/>
      <c r="R3079" s="96">
        <f ca="1">F_GAMMA*R$29</f>
        <v>0.64002969751372984</v>
      </c>
      <c r="S3079" s="107"/>
      <c r="T3079" s="1"/>
      <c r="U3079" s="96">
        <f ca="1">F_GAMMA*U$29</f>
        <v>0.64017842058782071</v>
      </c>
      <c r="V3079" s="111"/>
      <c r="W3079" s="28"/>
      <c r="X3079" s="96">
        <f ca="1">F_GAMMA*X$29</f>
        <v>0.63413873724904268</v>
      </c>
      <c r="Y3079" s="111"/>
      <c r="Z3079" s="28"/>
      <c r="AA3079" s="96">
        <f ca="1">F_GAMMA*AA$29</f>
        <v>0.62532411750377137</v>
      </c>
      <c r="AB3079" s="111"/>
      <c r="AC3079" s="28"/>
      <c r="AD3079" s="96">
        <f ca="1">F_GAMMA*AD$29</f>
        <v>0.60651359509139569</v>
      </c>
      <c r="AE3079" s="111"/>
      <c r="AF3079" s="28"/>
      <c r="AG3079" s="96">
        <f ca="1">F_GAMMA*AG$29</f>
        <v>0.57217930198481592</v>
      </c>
      <c r="AH3079" s="111"/>
      <c r="AI3079" s="28"/>
      <c r="AJ3079" s="96">
        <f ca="1">F_GAMMA*AJ$29</f>
        <v>0.53183282018848232</v>
      </c>
      <c r="AK3079" s="111"/>
      <c r="AL3079" s="28"/>
      <c r="AM3079" s="96">
        <f ca="1">F_GAMMA*AM$29</f>
        <v>0.47566512503094399</v>
      </c>
      <c r="AN3079" s="111"/>
      <c r="AO3079" s="28"/>
      <c r="AP3079" s="96">
        <f ca="1">F_GAMMA*AP$29</f>
        <v>0.59054158265645496</v>
      </c>
      <c r="AQ3079" s="111"/>
      <c r="AR3079" s="28"/>
      <c r="AS3079" s="96">
        <f ca="1">F_GAMMA*AS$29</f>
        <v>0.3766899554102966</v>
      </c>
      <c r="AT3079" s="111"/>
      <c r="AU3079" s="28"/>
    </row>
    <row r="3080" spans="15:47" x14ac:dyDescent="0.25">
      <c r="O3080" s="2" t="s">
        <v>145</v>
      </c>
      <c r="P3080" s="12"/>
      <c r="Q3080" s="2"/>
      <c r="R3080" s="96">
        <f ca="1">IF(R3075&lt;R3079,R3077,R3078)</f>
        <v>9.4730855232955324</v>
      </c>
      <c r="S3080" s="116"/>
      <c r="T3080" s="1"/>
      <c r="U3080" s="96">
        <f ca="1">IF(U3075&lt;U3079,U3077,U3078)</f>
        <v>42.400597983169419</v>
      </c>
      <c r="V3080" s="111"/>
      <c r="W3080" s="28"/>
      <c r="X3080" s="96">
        <f ca="1">IF(X3075&lt;X3079,X3077,X3078)</f>
        <v>128.28790153257819</v>
      </c>
      <c r="Y3080" s="111"/>
      <c r="Z3080" s="28"/>
      <c r="AA3080" s="96" t="e">
        <f ca="1">IF(AA3075&lt;AA3079,AA3077,AA3078)</f>
        <v>#NUM!</v>
      </c>
      <c r="AB3080" s="111"/>
      <c r="AC3080" s="28"/>
      <c r="AD3080" s="96">
        <f ca="1">IF(AD3075&lt;AD3079,AD3077,AD3078)</f>
        <v>-928.2978433193208</v>
      </c>
      <c r="AE3080" s="111"/>
      <c r="AF3080" s="28"/>
      <c r="AG3080" s="96">
        <f ca="1">IF(AG3075&lt;AG3079,AG3077,AG3078)</f>
        <v>-257.57091610539624</v>
      </c>
      <c r="AH3080" s="111"/>
      <c r="AI3080" s="28"/>
      <c r="AJ3080" s="96">
        <f ca="1">IF(AJ3075&lt;AJ3079,AJ3077,AJ3078)</f>
        <v>-167.45751563906427</v>
      </c>
      <c r="AK3080" s="111"/>
      <c r="AL3080" s="28"/>
      <c r="AM3080" s="96">
        <f ca="1">IF(AM3075&lt;AM3079,AM3077,AM3078)</f>
        <v>-142.42763945242828</v>
      </c>
      <c r="AN3080" s="111"/>
      <c r="AO3080" s="28"/>
      <c r="AP3080" s="96">
        <f ca="1">IF(AP3075&lt;AP3079,AP3077,AP3078)</f>
        <v>-120.54836365472708</v>
      </c>
      <c r="AQ3080" s="111"/>
      <c r="AR3080" s="28"/>
      <c r="AS3080" s="96">
        <f ca="1">IF(AS3075&lt;AS3079,AS3077,AS3078)</f>
        <v>-167.41309402037612</v>
      </c>
      <c r="AT3080" s="111"/>
      <c r="AU3080" s="28"/>
    </row>
    <row r="3081" spans="15:47" x14ac:dyDescent="0.25">
      <c r="O3081" s="13" t="s">
        <v>143</v>
      </c>
      <c r="P3081" s="1"/>
      <c r="Q3081" s="1"/>
      <c r="R3081" s="113"/>
      <c r="S3081" s="106">
        <f ca="1">IF(R3074&lt;=0,Q_max,ABS(R$23-R3080))</f>
        <v>4.743085523295532</v>
      </c>
      <c r="T3081" s="7">
        <f>R3070</f>
        <v>23416.605309101567</v>
      </c>
      <c r="U3081" s="98"/>
      <c r="V3081" s="106">
        <f ca="1">IF(U3074&lt;=0,Q_max,ABS(U$23-U3080))</f>
        <v>30.800597983169418</v>
      </c>
      <c r="W3081" s="9">
        <f ca="1">U3070</f>
        <v>101450.93058379165</v>
      </c>
      <c r="X3081" s="98"/>
      <c r="Y3081" s="106">
        <f ca="1">IF(X3074&lt;=0,Q_max,ABS(X$23-X3080))</f>
        <v>105.28790153257819</v>
      </c>
      <c r="Z3081" s="9">
        <f ca="1">X3070</f>
        <v>248416.06350096726</v>
      </c>
      <c r="AA3081" s="98"/>
      <c r="AB3081" s="106">
        <f ca="1">IF(AA3074&lt;=0,Q_max,ABS(AA$23-AA3080))</f>
        <v>236393</v>
      </c>
      <c r="AC3081" s="9">
        <f ca="1">AA3070</f>
        <v>483851.08463907411</v>
      </c>
      <c r="AD3081" s="98"/>
      <c r="AE3081" s="106">
        <f ca="1">IF(AD3074&lt;=0,Q_max,ABS(AD$23-AD3080))</f>
        <v>236393</v>
      </c>
      <c r="AF3081" s="9">
        <f ca="1">AD3070</f>
        <v>811751.60433680413</v>
      </c>
      <c r="AG3081" s="98"/>
      <c r="AH3081" s="106">
        <f ca="1">IF(AG3074&lt;=0,Q_max,ABS(AG$23-AG3080))</f>
        <v>236393</v>
      </c>
      <c r="AI3081" s="9">
        <f ca="1">AG3070</f>
        <v>1184773.5755113447</v>
      </c>
      <c r="AJ3081" s="98"/>
      <c r="AK3081" s="106">
        <f ca="1">IF(AJ3074&lt;=0,Q_max,ABS(AJ$23-AJ3080))</f>
        <v>236393</v>
      </c>
      <c r="AL3081" s="9">
        <f ca="1">AJ3070</f>
        <v>1581084.9293743116</v>
      </c>
      <c r="AM3081" s="98"/>
      <c r="AN3081" s="106">
        <f ca="1">IF(AM3074&lt;=0,Q_max,ABS(AM$23-AM3080))</f>
        <v>236393</v>
      </c>
      <c r="AO3081" s="9">
        <f ca="1">AM3070</f>
        <v>1929224.0831343699</v>
      </c>
      <c r="AP3081" s="98"/>
      <c r="AQ3081" s="106">
        <f ca="1">IF(AP3074&lt;=0,Q_max,ABS(AP$23-AP3080))</f>
        <v>236393</v>
      </c>
      <c r="AR3081" s="9">
        <f ca="1">AP3070</f>
        <v>2239769.2684711525</v>
      </c>
      <c r="AS3081" s="98"/>
      <c r="AT3081" s="106">
        <f ca="1">IF(AS3074&lt;=0,Q_max,ABS(AS$23-AS3080))</f>
        <v>236393</v>
      </c>
      <c r="AU3081" s="9">
        <f ca="1">AS3070</f>
        <v>2626305.6137656472</v>
      </c>
    </row>
    <row r="3082" spans="15:47" x14ac:dyDescent="0.25">
      <c r="O3082" s="21"/>
      <c r="P3082" s="14"/>
      <c r="Q3082" s="21"/>
      <c r="R3082" s="97"/>
      <c r="S3082" s="106"/>
      <c r="T3082" s="28"/>
      <c r="U3082" s="97"/>
      <c r="V3082" s="111"/>
      <c r="W3082" s="28"/>
      <c r="X3082" s="97"/>
      <c r="Y3082" s="111"/>
      <c r="Z3082" s="28"/>
      <c r="AA3082" s="97"/>
      <c r="AB3082" s="111"/>
      <c r="AC3082" s="28"/>
      <c r="AD3082" s="97"/>
      <c r="AE3082" s="111"/>
      <c r="AF3082" s="28"/>
      <c r="AG3082" s="97"/>
      <c r="AH3082" s="111"/>
      <c r="AI3082" s="28"/>
      <c r="AJ3082" s="97"/>
      <c r="AK3082" s="111"/>
      <c r="AL3082" s="28"/>
      <c r="AM3082" s="97"/>
      <c r="AN3082" s="111"/>
      <c r="AO3082" s="28"/>
      <c r="AP3082" s="97"/>
      <c r="AQ3082" s="111"/>
      <c r="AR3082" s="28"/>
      <c r="AS3082" s="97"/>
      <c r="AT3082" s="111"/>
      <c r="AU3082" s="28"/>
    </row>
    <row r="3083" spans="15:47" x14ac:dyDescent="0.25">
      <c r="O3083" s="1"/>
      <c r="P3083" s="1"/>
      <c r="Q3083" s="1"/>
      <c r="R3083" s="98"/>
      <c r="S3083" s="108" t="s">
        <v>137</v>
      </c>
      <c r="T3083" s="26" t="s">
        <v>146</v>
      </c>
      <c r="U3083" s="98"/>
      <c r="V3083" s="108" t="s">
        <v>137</v>
      </c>
      <c r="W3083" s="26" t="s">
        <v>146</v>
      </c>
      <c r="X3083" s="98"/>
      <c r="Y3083" s="108" t="s">
        <v>137</v>
      </c>
      <c r="Z3083" s="26" t="s">
        <v>146</v>
      </c>
      <c r="AA3083" s="98"/>
      <c r="AB3083" s="108" t="s">
        <v>137</v>
      </c>
      <c r="AC3083" s="26" t="s">
        <v>146</v>
      </c>
      <c r="AD3083" s="98"/>
      <c r="AE3083" s="108" t="s">
        <v>137</v>
      </c>
      <c r="AF3083" s="26" t="s">
        <v>146</v>
      </c>
      <c r="AG3083" s="98"/>
      <c r="AH3083" s="108" t="s">
        <v>137</v>
      </c>
      <c r="AI3083" s="26" t="s">
        <v>146</v>
      </c>
      <c r="AJ3083" s="98"/>
      <c r="AK3083" s="108" t="s">
        <v>137</v>
      </c>
      <c r="AL3083" s="26" t="s">
        <v>146</v>
      </c>
      <c r="AM3083" s="98"/>
      <c r="AN3083" s="108" t="s">
        <v>137</v>
      </c>
      <c r="AO3083" s="26" t="s">
        <v>146</v>
      </c>
      <c r="AP3083" s="98"/>
      <c r="AQ3083" s="108" t="s">
        <v>137</v>
      </c>
      <c r="AR3083" s="26" t="s">
        <v>146</v>
      </c>
      <c r="AS3083" s="98"/>
      <c r="AT3083" s="108" t="s">
        <v>137</v>
      </c>
      <c r="AU3083" s="26" t="s">
        <v>146</v>
      </c>
    </row>
    <row r="3084" spans="15:47" ht="13.8" x14ac:dyDescent="0.25">
      <c r="O3084" s="20" t="s">
        <v>136</v>
      </c>
      <c r="P3084" s="1"/>
      <c r="Q3084" s="1"/>
      <c r="R3084" s="96">
        <f>R3070*1.02</f>
        <v>23884.937415283599</v>
      </c>
      <c r="S3084" s="109" t="s">
        <v>144</v>
      </c>
      <c r="T3084" s="23" t="s">
        <v>147</v>
      </c>
      <c r="U3084" s="96">
        <f ca="1">U3070*1.01</f>
        <v>102465.43988962956</v>
      </c>
      <c r="V3084" s="109" t="s">
        <v>144</v>
      </c>
      <c r="W3084" s="23" t="s">
        <v>147</v>
      </c>
      <c r="X3084" s="96">
        <f ca="1">X3070*1.01</f>
        <v>250900.22413597693</v>
      </c>
      <c r="Y3084" s="109" t="s">
        <v>144</v>
      </c>
      <c r="Z3084" s="23" t="s">
        <v>147</v>
      </c>
      <c r="AA3084" s="96">
        <f ca="1">AA3070*1.01</f>
        <v>488689.59548546484</v>
      </c>
      <c r="AB3084" s="109" t="s">
        <v>144</v>
      </c>
      <c r="AC3084" s="23" t="s">
        <v>147</v>
      </c>
      <c r="AD3084" s="96">
        <f ca="1">AD3070*1.01</f>
        <v>819869.12038017216</v>
      </c>
      <c r="AE3084" s="109" t="s">
        <v>144</v>
      </c>
      <c r="AF3084" s="23" t="s">
        <v>147</v>
      </c>
      <c r="AG3084" s="96">
        <f ca="1">AG3070*1.01</f>
        <v>1196621.3112664581</v>
      </c>
      <c r="AH3084" s="109" t="s">
        <v>144</v>
      </c>
      <c r="AI3084" s="23" t="s">
        <v>147</v>
      </c>
      <c r="AJ3084" s="96">
        <f ca="1">AJ3070*1.01</f>
        <v>1596895.7786680546</v>
      </c>
      <c r="AK3084" s="109" t="s">
        <v>144</v>
      </c>
      <c r="AL3084" s="23" t="s">
        <v>147</v>
      </c>
      <c r="AM3084" s="96">
        <f ca="1">AM3070*1.01</f>
        <v>1948516.3239657136</v>
      </c>
      <c r="AN3084" s="109" t="s">
        <v>144</v>
      </c>
      <c r="AO3084" s="23" t="s">
        <v>147</v>
      </c>
      <c r="AP3084" s="96">
        <f ca="1">AP3070*1.01</f>
        <v>2262166.9611558639</v>
      </c>
      <c r="AQ3084" s="109" t="s">
        <v>144</v>
      </c>
      <c r="AR3084" s="23" t="s">
        <v>147</v>
      </c>
      <c r="AS3084" s="96">
        <f ca="1">AS3070*1.01</f>
        <v>2652568.6699033035</v>
      </c>
      <c r="AT3084" s="109" t="s">
        <v>144</v>
      </c>
      <c r="AU3084" s="23" t="s">
        <v>147</v>
      </c>
    </row>
    <row r="3085" spans="15:47" x14ac:dyDescent="0.25">
      <c r="O3085" s="1"/>
      <c r="P3085" s="1"/>
      <c r="Q3085" s="1"/>
      <c r="R3085" s="98"/>
      <c r="S3085" s="107"/>
      <c r="T3085" s="1"/>
      <c r="U3085" s="47"/>
      <c r="V3085" s="107"/>
      <c r="W3085" s="1"/>
      <c r="X3085" s="47"/>
      <c r="Y3085" s="107"/>
      <c r="Z3085" s="1"/>
      <c r="AA3085" s="47"/>
      <c r="AB3085" s="107"/>
      <c r="AC3085" s="1"/>
      <c r="AD3085" s="47"/>
      <c r="AE3085" s="107"/>
      <c r="AF3085" s="1"/>
      <c r="AG3085" s="47"/>
      <c r="AH3085" s="107"/>
      <c r="AI3085" s="1"/>
      <c r="AJ3085" s="47"/>
      <c r="AK3085" s="107"/>
      <c r="AL3085" s="1"/>
      <c r="AM3085" s="47"/>
      <c r="AN3085" s="107"/>
      <c r="AO3085" s="1"/>
      <c r="AP3085" s="47"/>
      <c r="AQ3085" s="107"/>
      <c r="AR3085" s="1"/>
      <c r="AS3085" s="47"/>
      <c r="AT3085" s="107"/>
      <c r="AU3085" s="1"/>
    </row>
    <row r="3086" spans="15:47" x14ac:dyDescent="0.25">
      <c r="O3086" s="8" t="s">
        <v>132</v>
      </c>
      <c r="P3086" s="8"/>
      <c r="Q3086" s="8"/>
      <c r="R3086" s="96">
        <f>P_1_minQ-(R3084^2*R_up)+dpup_minQ</f>
        <v>90.081062460132614</v>
      </c>
      <c r="S3086" s="106"/>
      <c r="T3086" s="22"/>
      <c r="U3086" s="96">
        <f ca="1">P_1_minQ-(U3084^2*R_up)+dpup_minQ</f>
        <v>88.271452900483936</v>
      </c>
      <c r="V3086" s="107"/>
      <c r="W3086" s="1"/>
      <c r="X3086" s="96">
        <f ca="1">P_1_minQ-(X3084^2*R_up)+dpup_minQ</f>
        <v>78.711548039653792</v>
      </c>
      <c r="Y3086" s="107"/>
      <c r="Z3086" s="1"/>
      <c r="AA3086" s="96">
        <f ca="1">P_1_minQ-(AA3084^2*R_up)+dpup_minQ</f>
        <v>46.657941590173017</v>
      </c>
      <c r="AB3086" s="107"/>
      <c r="AC3086" s="1"/>
      <c r="AD3086" s="96">
        <f ca="1">P_1_minQ-(AD3084^2*R_up)+dpup_minQ</f>
        <v>-32.328078331812506</v>
      </c>
      <c r="AE3086" s="107"/>
      <c r="AF3086" s="1"/>
      <c r="AG3086" s="96">
        <f ca="1">P_1_minQ-(AG3084^2*R_up)+dpup_minQ</f>
        <v>-170.79482527621497</v>
      </c>
      <c r="AH3086" s="107"/>
      <c r="AI3086" s="1"/>
      <c r="AJ3086" s="96">
        <f ca="1">P_1_minQ-(AJ3084^2*R_up)+dpup_minQ</f>
        <v>-374.59415817802255</v>
      </c>
      <c r="AK3086" s="107"/>
      <c r="AL3086" s="1"/>
      <c r="AM3086" s="96">
        <f ca="1">P_1_minQ-(AM3084^2*R_up)+dpup_minQ</f>
        <v>-601.80785255269336</v>
      </c>
      <c r="AN3086" s="107"/>
      <c r="AO3086" s="1"/>
      <c r="AP3086" s="96">
        <f ca="1">P_1_minQ-(AP3084^2*R_up)+dpup_minQ</f>
        <v>-842.51682982967623</v>
      </c>
      <c r="AQ3086" s="107"/>
      <c r="AR3086" s="1"/>
      <c r="AS3086" s="96">
        <f ca="1">P_1_minQ-(AS3084^2*R_up)+dpup_minQ</f>
        <v>-1192.224701969652</v>
      </c>
      <c r="AT3086" s="107"/>
      <c r="AU3086" s="1"/>
    </row>
    <row r="3087" spans="15:47" x14ac:dyDescent="0.25">
      <c r="O3087" s="8" t="s">
        <v>134</v>
      </c>
      <c r="P3087" s="1"/>
      <c r="Q3087" s="8"/>
      <c r="R3087" s="97">
        <f>P_2_minQ+(R3084^2*R_dn)-dpdn_minQ</f>
        <v>60</v>
      </c>
      <c r="S3087" s="106"/>
      <c r="T3087" s="22"/>
      <c r="U3087" s="97">
        <f ca="1">P_2_minQ+(U3084^2*R_dn)-dpdn_minQ</f>
        <v>60</v>
      </c>
      <c r="V3087" s="107"/>
      <c r="W3087" s="1"/>
      <c r="X3087" s="97">
        <f ca="1">P_2_minQ+(X3084^2*R_dn)-dpdn_minQ</f>
        <v>60</v>
      </c>
      <c r="Y3087" s="107"/>
      <c r="Z3087" s="1"/>
      <c r="AA3087" s="97">
        <f ca="1">P_2_minQ+(AA3084^2*R_dn)-dpdn_minQ</f>
        <v>60</v>
      </c>
      <c r="AB3087" s="107"/>
      <c r="AC3087" s="1"/>
      <c r="AD3087" s="97">
        <f ca="1">P_2_minQ+(AD3084^2*R_dn)-dpdn_minQ</f>
        <v>60</v>
      </c>
      <c r="AE3087" s="107"/>
      <c r="AF3087" s="1"/>
      <c r="AG3087" s="97">
        <f ca="1">P_2_minQ+(AG3084^2*R_dn)-dpdn_minQ</f>
        <v>60</v>
      </c>
      <c r="AH3087" s="107"/>
      <c r="AI3087" s="1"/>
      <c r="AJ3087" s="97">
        <f ca="1">P_2_minQ+(AJ3084^2*R_dn)-dpdn_minQ</f>
        <v>60</v>
      </c>
      <c r="AK3087" s="107"/>
      <c r="AL3087" s="1"/>
      <c r="AM3087" s="97">
        <f ca="1">P_2_minQ+(AM3084^2*R_dn)-dpdn_minQ</f>
        <v>60</v>
      </c>
      <c r="AN3087" s="107"/>
      <c r="AO3087" s="1"/>
      <c r="AP3087" s="97">
        <f ca="1">P_2_minQ+(AP3084^2*R_dn)-dpdn_minQ</f>
        <v>60</v>
      </c>
      <c r="AQ3087" s="107"/>
      <c r="AR3087" s="1"/>
      <c r="AS3087" s="97">
        <f ca="1">P_2_minQ+(AS3084^2*R_dn)-dpdn_minQ</f>
        <v>60</v>
      </c>
      <c r="AT3087" s="107"/>
      <c r="AU3087" s="1"/>
    </row>
    <row r="3088" spans="15:47" x14ac:dyDescent="0.25">
      <c r="O3088" s="8" t="s">
        <v>138</v>
      </c>
      <c r="P3088" s="1"/>
      <c r="Q3088" s="8"/>
      <c r="R3088" s="97">
        <f>R3086-R3087</f>
        <v>30.081062460132614</v>
      </c>
      <c r="S3088" s="106"/>
      <c r="T3088" s="22"/>
      <c r="U3088" s="97">
        <f ca="1">U3086-U3087</f>
        <v>28.271452900483936</v>
      </c>
      <c r="V3088" s="110"/>
      <c r="W3088" s="25"/>
      <c r="X3088" s="97">
        <f ca="1">X3086-X3087</f>
        <v>18.711548039653792</v>
      </c>
      <c r="Y3088" s="110"/>
      <c r="Z3088" s="25"/>
      <c r="AA3088" s="97">
        <f ca="1">AA3086-AA3087</f>
        <v>-13.342058409826983</v>
      </c>
      <c r="AB3088" s="110"/>
      <c r="AC3088" s="25"/>
      <c r="AD3088" s="97">
        <f ca="1">AD3086-AD3087</f>
        <v>-92.328078331812506</v>
      </c>
      <c r="AE3088" s="110"/>
      <c r="AF3088" s="25"/>
      <c r="AG3088" s="97">
        <f ca="1">AG3086-AG3087</f>
        <v>-230.79482527621497</v>
      </c>
      <c r="AH3088" s="110"/>
      <c r="AI3088" s="25"/>
      <c r="AJ3088" s="97">
        <f ca="1">AJ3086-AJ3087</f>
        <v>-434.59415817802255</v>
      </c>
      <c r="AK3088" s="110"/>
      <c r="AL3088" s="25"/>
      <c r="AM3088" s="97">
        <f ca="1">AM3086-AM3087</f>
        <v>-661.80785255269336</v>
      </c>
      <c r="AN3088" s="110"/>
      <c r="AO3088" s="25"/>
      <c r="AP3088" s="97">
        <f ca="1">AP3086-AP3087</f>
        <v>-902.51682982967623</v>
      </c>
      <c r="AQ3088" s="110"/>
      <c r="AR3088" s="25"/>
      <c r="AS3088" s="97">
        <f ca="1">AS3086-AS3087</f>
        <v>-1252.224701969652</v>
      </c>
      <c r="AT3088" s="110"/>
      <c r="AU3088" s="25"/>
    </row>
    <row r="3089" spans="15:47" ht="14.4" x14ac:dyDescent="0.3">
      <c r="O3089" s="2" t="s">
        <v>140</v>
      </c>
      <c r="P3089" s="11"/>
      <c r="Q3089" s="2"/>
      <c r="R3089" s="96">
        <f>R3088/R3086</f>
        <v>0.33393325565454623</v>
      </c>
      <c r="S3089" s="106"/>
      <c r="T3089" s="22"/>
      <c r="U3089" s="96">
        <f ca="1">U3088/U3086</f>
        <v>0.32027854953692442</v>
      </c>
      <c r="V3089" s="111"/>
      <c r="W3089" s="28"/>
      <c r="X3089" s="96">
        <f ca="1">X3088/X3086</f>
        <v>0.23772303436628095</v>
      </c>
      <c r="Y3089" s="111"/>
      <c r="Z3089" s="28"/>
      <c r="AA3089" s="96">
        <f ca="1">AA3088/AA3086</f>
        <v>-0.28595471542698864</v>
      </c>
      <c r="AB3089" s="111"/>
      <c r="AC3089" s="28"/>
      <c r="AD3089" s="96">
        <f ca="1">AD3088/AD3086</f>
        <v>2.8559717464231977</v>
      </c>
      <c r="AE3089" s="111"/>
      <c r="AF3089" s="28"/>
      <c r="AG3089" s="96">
        <f ca="1">AG3088/AG3086</f>
        <v>1.351298699494941</v>
      </c>
      <c r="AH3089" s="111"/>
      <c r="AI3089" s="28"/>
      <c r="AJ3089" s="96">
        <f ca="1">AJ3088/AJ3086</f>
        <v>1.1601733467810396</v>
      </c>
      <c r="AK3089" s="111"/>
      <c r="AL3089" s="28"/>
      <c r="AM3089" s="96">
        <f ca="1">AM3088/AM3086</f>
        <v>1.0996995963836256</v>
      </c>
      <c r="AN3089" s="111"/>
      <c r="AO3089" s="28"/>
      <c r="AP3089" s="96">
        <f ca="1">AP3088/AP3086</f>
        <v>1.0712151946117558</v>
      </c>
      <c r="AQ3089" s="111"/>
      <c r="AR3089" s="28"/>
      <c r="AS3089" s="96">
        <f ca="1">AS3088/AS3086</f>
        <v>1.050326083582126</v>
      </c>
      <c r="AT3089" s="111"/>
      <c r="AU3089" s="28"/>
    </row>
    <row r="3090" spans="15:47" x14ac:dyDescent="0.25">
      <c r="O3090" s="2" t="s">
        <v>21</v>
      </c>
      <c r="P3090" s="8">
        <v>12</v>
      </c>
      <c r="Q3090" s="2"/>
      <c r="R3090" s="96">
        <f ca="1">1-R3089/(3*F_GAMMA*R$29)</f>
        <v>0.82608449943716211</v>
      </c>
      <c r="S3090" s="106"/>
      <c r="T3090" s="22"/>
      <c r="U3090" s="96">
        <f ca="1">1-U3089/(3*F_GAMMA*U$29)</f>
        <v>0.83323474662847885</v>
      </c>
      <c r="V3090" s="111"/>
      <c r="W3090" s="28"/>
      <c r="X3090" s="96">
        <f ca="1">1-X3089/(3*F_GAMMA*X$29)</f>
        <v>0.87504152198747165</v>
      </c>
      <c r="Y3090" s="111"/>
      <c r="Z3090" s="28"/>
      <c r="AA3090" s="96">
        <f ca="1">1-AA3089/(3*F_GAMMA*AA$29)</f>
        <v>1.1524301331222653</v>
      </c>
      <c r="AB3090" s="111"/>
      <c r="AC3090" s="28"/>
      <c r="AD3090" s="96">
        <f ca="1">1-AD3089/(3*F_GAMMA*AD$29)</f>
        <v>-0.56961128298799357</v>
      </c>
      <c r="AE3090" s="111"/>
      <c r="AF3090" s="28"/>
      <c r="AG3090" s="96">
        <f ca="1">1-AG3089/(3*F_GAMMA*AG$29)</f>
        <v>0.21277666236937687</v>
      </c>
      <c r="AH3090" s="111"/>
      <c r="AI3090" s="28"/>
      <c r="AJ3090" s="96">
        <f ca="1">1-AJ3089/(3*F_GAMMA*AJ$29)</f>
        <v>0.27284583755106073</v>
      </c>
      <c r="AK3090" s="111"/>
      <c r="AL3090" s="28"/>
      <c r="AM3090" s="96">
        <f ca="1">1-AM3089/(3*F_GAMMA*AM$29)</f>
        <v>0.22936008372691075</v>
      </c>
      <c r="AN3090" s="111"/>
      <c r="AO3090" s="28"/>
      <c r="AP3090" s="96">
        <f ca="1">1-AP3089/(3*F_GAMMA*AP$29)</f>
        <v>0.39534870697669922</v>
      </c>
      <c r="AQ3090" s="111"/>
      <c r="AR3090" s="28"/>
      <c r="AS3090" s="96">
        <f ca="1">1-AS3089/(3*F_GAMMA*AS$29)</f>
        <v>7.056535620645521E-2</v>
      </c>
      <c r="AT3090" s="111"/>
      <c r="AU3090" s="28"/>
    </row>
    <row r="3091" spans="15:47" x14ac:dyDescent="0.25">
      <c r="O3091" s="2" t="s">
        <v>57</v>
      </c>
      <c r="P3091" s="143">
        <v>7</v>
      </c>
      <c r="Q3091" s="2"/>
      <c r="R3091" s="96">
        <f ca="1">(R3084/(N_9*R$27*R3086*R3090))*SQRT(M*'Valve Sizing'!$W$6*'Valve Sizing'!$G$8/R3089)</f>
        <v>9.6632303678234344</v>
      </c>
      <c r="S3091" s="107"/>
      <c r="T3091" s="22"/>
      <c r="U3091" s="96">
        <f ca="1">(U3084/(N_9*U$27*U3086*U3090))*SQRT(M*'Valve Sizing'!$W$6*'Valve Sizing'!$G$8/U3089)</f>
        <v>42.854529705939768</v>
      </c>
      <c r="V3091" s="111"/>
      <c r="W3091" s="28"/>
      <c r="X3091" s="96">
        <f ca="1">(X3084/(N_9*X$27*X3086*X3090))*SQRT(M*'Valve Sizing'!$W$6*'Valve Sizing'!$G$8/X3089)</f>
        <v>130.3670384288844</v>
      </c>
      <c r="Y3091" s="111"/>
      <c r="Z3091" s="28"/>
      <c r="AA3091" s="96" t="e">
        <f ca="1">(AA3084/(N_9*AA$27*AA3086*AA3090))*SQRT(M*'Valve Sizing'!$W$6*'Valve Sizing'!$G$8/AA3089)</f>
        <v>#NUM!</v>
      </c>
      <c r="AB3091" s="111"/>
      <c r="AC3091" s="28"/>
      <c r="AD3091" s="96">
        <f ca="1">(AD3084/(N_9*AD$27*AD3086*AD3090))*SQRT(M*'Valve Sizing'!$W$6*'Valve Sizing'!$G$8/AD3089)</f>
        <v>468.16088893688476</v>
      </c>
      <c r="AE3091" s="111"/>
      <c r="AF3091" s="28"/>
      <c r="AG3091" s="96">
        <f ca="1">(AG3084/(N_9*AG$27*AG3086*AG3090))*SQRT(M*'Valve Sizing'!$W$6*'Valve Sizing'!$G$8/AG3089)</f>
        <v>-514.67573433970483</v>
      </c>
      <c r="AH3091" s="111"/>
      <c r="AI3091" s="28"/>
      <c r="AJ3091" s="96">
        <f ca="1">(AJ3084/(N_9*AJ$27*AJ3086*AJ3090))*SQRT(M*'Valve Sizing'!$W$6*'Valve Sizing'!$G$8/AJ3089)</f>
        <v>-273.09338255929055</v>
      </c>
      <c r="AK3091" s="111"/>
      <c r="AL3091" s="28"/>
      <c r="AM3091" s="96">
        <f ca="1">(AM3084/(N_9*AM$27*AM3086*AM3090))*SQRT(M*'Valve Sizing'!$W$6*'Valve Sizing'!$G$8/AM3089)</f>
        <v>-268.89603488463371</v>
      </c>
      <c r="AN3091" s="111"/>
      <c r="AO3091" s="28"/>
      <c r="AP3091" s="96">
        <f ca="1">(AP3084/(N_9*AP$27*AP3086*AP3090))*SQRT(M*'Valve Sizing'!$W$6*'Valve Sizing'!$G$8/AP3089)</f>
        <v>-149.18904108766705</v>
      </c>
      <c r="AQ3091" s="111"/>
      <c r="AR3091" s="28"/>
      <c r="AS3091" s="96">
        <f ca="1">(AS3084/(N_9*AS$27*AS3086*AS3090))*SQRT(M*'Valve Sizing'!$W$6*'Valve Sizing'!$G$8/AS3089)</f>
        <v>-936.85302465686198</v>
      </c>
      <c r="AT3091" s="111"/>
      <c r="AU3091" s="28"/>
    </row>
    <row r="3092" spans="15:47" x14ac:dyDescent="0.25">
      <c r="O3092" s="2" t="s">
        <v>59</v>
      </c>
      <c r="P3092" s="143">
        <v>7</v>
      </c>
      <c r="Q3092" s="2"/>
      <c r="R3092" s="96">
        <f ca="1">(R3084/(N_9*R$27*R3086*0.667))*SQRT(M*'Valve Sizing'!$W$6*'Valve Sizing'!$G$8/R3093)</f>
        <v>8.6447162993235942</v>
      </c>
      <c r="S3092" s="107"/>
      <c r="T3092" s="22"/>
      <c r="U3092" s="96">
        <f ca="1">(U3084/(N_9*U$27*U3086*0.667))*SQRT(M*'Valve Sizing'!$W$6*'Valve Sizing'!$G$8/U3093)</f>
        <v>37.866196373849498</v>
      </c>
      <c r="V3092" s="111"/>
      <c r="W3092" s="28"/>
      <c r="X3092" s="96">
        <f ca="1">(X3084/(N_9*X$27*X3086*0.667))*SQRT(M*'Valve Sizing'!$W$6*'Valve Sizing'!$G$8/X3093)</f>
        <v>104.71625885297357</v>
      </c>
      <c r="Y3092" s="111"/>
      <c r="Z3092" s="28"/>
      <c r="AA3092" s="96">
        <f ca="1">(AA3084/(N_9*AA$27*AA3086*0.667))*SQRT(M*'Valve Sizing'!$W$6*'Valve Sizing'!$G$8/AA3093)</f>
        <v>348.55250751742551</v>
      </c>
      <c r="AB3092" s="111"/>
      <c r="AC3092" s="28"/>
      <c r="AD3092" s="96">
        <f ca="1">(AD3084/(N_9*AD$27*AD3086*0.667))*SQRT(M*'Valve Sizing'!$W$6*'Valve Sizing'!$G$8/AD3093)</f>
        <v>-867.57007155062922</v>
      </c>
      <c r="AE3092" s="111"/>
      <c r="AF3092" s="28"/>
      <c r="AG3092" s="96">
        <f ca="1">(AG3084/(N_9*AG$27*AG3086*0.667))*SQRT(M*'Valve Sizing'!$W$6*'Valve Sizing'!$G$8/AG3093)</f>
        <v>-252.31406398591034</v>
      </c>
      <c r="AH3092" s="111"/>
      <c r="AI3092" s="28"/>
      <c r="AJ3092" s="96">
        <f ca="1">(AJ3084/(N_9*AJ$27*AJ3086*0.667))*SQRT(M*'Valve Sizing'!$W$6*'Valve Sizing'!$G$8/AJ3093)</f>
        <v>-164.99719080278985</v>
      </c>
      <c r="AK3092" s="111"/>
      <c r="AL3092" s="28"/>
      <c r="AM3092" s="96">
        <f ca="1">(AM3084/(N_9*AM$27*AM3086*0.667))*SQRT(M*'Valve Sizing'!$W$6*'Valve Sizing'!$G$8/AM3093)</f>
        <v>-140.59270284577795</v>
      </c>
      <c r="AN3092" s="111"/>
      <c r="AO3092" s="28"/>
      <c r="AP3092" s="96">
        <f ca="1">(AP3084/(N_9*AP$27*AP3086*0.667))*SQRT(M*'Valve Sizing'!$W$6*'Valve Sizing'!$G$8/AP3093)</f>
        <v>-119.0980173306089</v>
      </c>
      <c r="AQ3092" s="111"/>
      <c r="AR3092" s="28"/>
      <c r="AS3092" s="96">
        <f ca="1">(AS3084/(N_9*AS$27*AS3086*0.667))*SQRT(M*'Valve Sizing'!$W$6*'Valve Sizing'!$G$8/AS3093)</f>
        <v>-165.50351544923089</v>
      </c>
      <c r="AT3092" s="111"/>
      <c r="AU3092" s="28"/>
    </row>
    <row r="3093" spans="15:47" ht="15.6" x14ac:dyDescent="0.35">
      <c r="O3093" s="2" t="s">
        <v>68</v>
      </c>
      <c r="P3093" s="143">
        <v>10</v>
      </c>
      <c r="Q3093" s="2"/>
      <c r="R3093" s="96">
        <f ca="1">F_GAMMA*R$29</f>
        <v>0.64002969751372984</v>
      </c>
      <c r="S3093" s="107"/>
      <c r="T3093" s="1"/>
      <c r="U3093" s="96">
        <f ca="1">F_GAMMA*U$29</f>
        <v>0.64017842058782071</v>
      </c>
      <c r="V3093" s="111"/>
      <c r="W3093" s="28"/>
      <c r="X3093" s="96">
        <f ca="1">F_GAMMA*X$29</f>
        <v>0.63413873724904268</v>
      </c>
      <c r="Y3093" s="111"/>
      <c r="Z3093" s="28"/>
      <c r="AA3093" s="96">
        <f ca="1">F_GAMMA*AA$29</f>
        <v>0.62532411750377137</v>
      </c>
      <c r="AB3093" s="111"/>
      <c r="AC3093" s="28"/>
      <c r="AD3093" s="96">
        <f ca="1">F_GAMMA*AD$29</f>
        <v>0.60651359509139569</v>
      </c>
      <c r="AE3093" s="111"/>
      <c r="AF3093" s="28"/>
      <c r="AG3093" s="96">
        <f ca="1">F_GAMMA*AG$29</f>
        <v>0.57217930198481592</v>
      </c>
      <c r="AH3093" s="111"/>
      <c r="AI3093" s="28"/>
      <c r="AJ3093" s="96">
        <f ca="1">F_GAMMA*AJ$29</f>
        <v>0.53183282018848232</v>
      </c>
      <c r="AK3093" s="111"/>
      <c r="AL3093" s="28"/>
      <c r="AM3093" s="96">
        <f ca="1">F_GAMMA*AM$29</f>
        <v>0.47566512503094399</v>
      </c>
      <c r="AN3093" s="111"/>
      <c r="AO3093" s="28"/>
      <c r="AP3093" s="96">
        <f ca="1">F_GAMMA*AP$29</f>
        <v>0.59054158265645496</v>
      </c>
      <c r="AQ3093" s="111"/>
      <c r="AR3093" s="28"/>
      <c r="AS3093" s="96">
        <f ca="1">F_GAMMA*AS$29</f>
        <v>0.3766899554102966</v>
      </c>
      <c r="AT3093" s="111"/>
      <c r="AU3093" s="28"/>
    </row>
    <row r="3094" spans="15:47" x14ac:dyDescent="0.25">
      <c r="O3094" s="2" t="s">
        <v>145</v>
      </c>
      <c r="P3094" s="12"/>
      <c r="Q3094" s="2"/>
      <c r="R3094" s="96">
        <f ca="1">IF(R3089&lt;R3093,R3091,R3092)</f>
        <v>9.6632303678234344</v>
      </c>
      <c r="S3094" s="116"/>
      <c r="T3094" s="1"/>
      <c r="U3094" s="96">
        <f ca="1">IF(U3089&lt;U3093,U3091,U3092)</f>
        <v>42.854529705939768</v>
      </c>
      <c r="V3094" s="111"/>
      <c r="W3094" s="28"/>
      <c r="X3094" s="96">
        <f ca="1">IF(X3089&lt;X3093,X3091,X3092)</f>
        <v>130.3670384288844</v>
      </c>
      <c r="Y3094" s="111"/>
      <c r="Z3094" s="28"/>
      <c r="AA3094" s="96" t="e">
        <f ca="1">IF(AA3089&lt;AA3093,AA3091,AA3092)</f>
        <v>#NUM!</v>
      </c>
      <c r="AB3094" s="111"/>
      <c r="AC3094" s="28"/>
      <c r="AD3094" s="96">
        <f ca="1">IF(AD3089&lt;AD3093,AD3091,AD3092)</f>
        <v>-867.57007155062922</v>
      </c>
      <c r="AE3094" s="111"/>
      <c r="AF3094" s="28"/>
      <c r="AG3094" s="96">
        <f ca="1">IF(AG3089&lt;AG3093,AG3091,AG3092)</f>
        <v>-252.31406398591034</v>
      </c>
      <c r="AH3094" s="111"/>
      <c r="AI3094" s="28"/>
      <c r="AJ3094" s="96">
        <f ca="1">IF(AJ3089&lt;AJ3093,AJ3091,AJ3092)</f>
        <v>-164.99719080278985</v>
      </c>
      <c r="AK3094" s="111"/>
      <c r="AL3094" s="28"/>
      <c r="AM3094" s="96">
        <f ca="1">IF(AM3089&lt;AM3093,AM3091,AM3092)</f>
        <v>-140.59270284577795</v>
      </c>
      <c r="AN3094" s="111"/>
      <c r="AO3094" s="28"/>
      <c r="AP3094" s="96">
        <f ca="1">IF(AP3089&lt;AP3093,AP3091,AP3092)</f>
        <v>-119.0980173306089</v>
      </c>
      <c r="AQ3094" s="111"/>
      <c r="AR3094" s="28"/>
      <c r="AS3094" s="96">
        <f ca="1">IF(AS3089&lt;AS3093,AS3091,AS3092)</f>
        <v>-165.50351544923089</v>
      </c>
      <c r="AT3094" s="111"/>
      <c r="AU3094" s="28"/>
    </row>
    <row r="3095" spans="15:47" x14ac:dyDescent="0.25">
      <c r="O3095" s="13" t="s">
        <v>143</v>
      </c>
      <c r="P3095" s="1"/>
      <c r="Q3095" s="1"/>
      <c r="R3095" s="113"/>
      <c r="S3095" s="106">
        <f ca="1">IF(R3088&lt;=0,Q_max,ABS(R$23-R3094))</f>
        <v>4.9332303678234339</v>
      </c>
      <c r="T3095" s="7">
        <f>R3084</f>
        <v>23884.937415283599</v>
      </c>
      <c r="U3095" s="98"/>
      <c r="V3095" s="106">
        <f ca="1">IF(U3088&lt;=0,Q_max,ABS(U$23-U3094))</f>
        <v>31.254529705939767</v>
      </c>
      <c r="W3095" s="9">
        <f ca="1">U3084</f>
        <v>102465.43988962956</v>
      </c>
      <c r="X3095" s="98"/>
      <c r="Y3095" s="106">
        <f ca="1">IF(X3088&lt;=0,Q_max,ABS(X$23-X3094))</f>
        <v>107.3670384288844</v>
      </c>
      <c r="Z3095" s="9">
        <f ca="1">X3084</f>
        <v>250900.22413597693</v>
      </c>
      <c r="AA3095" s="98"/>
      <c r="AB3095" s="106">
        <f ca="1">IF(AA3088&lt;=0,Q_max,ABS(AA$23-AA3094))</f>
        <v>236393</v>
      </c>
      <c r="AC3095" s="9">
        <f ca="1">AA3084</f>
        <v>488689.59548546484</v>
      </c>
      <c r="AD3095" s="98"/>
      <c r="AE3095" s="106">
        <f ca="1">IF(AD3088&lt;=0,Q_max,ABS(AD$23-AD3094))</f>
        <v>236393</v>
      </c>
      <c r="AF3095" s="9">
        <f ca="1">AD3084</f>
        <v>819869.12038017216</v>
      </c>
      <c r="AG3095" s="98"/>
      <c r="AH3095" s="106">
        <f ca="1">IF(AG3088&lt;=0,Q_max,ABS(AG$23-AG3094))</f>
        <v>236393</v>
      </c>
      <c r="AI3095" s="9">
        <f ca="1">AG3084</f>
        <v>1196621.3112664581</v>
      </c>
      <c r="AJ3095" s="98"/>
      <c r="AK3095" s="106">
        <f ca="1">IF(AJ3088&lt;=0,Q_max,ABS(AJ$23-AJ3094))</f>
        <v>236393</v>
      </c>
      <c r="AL3095" s="9">
        <f ca="1">AJ3084</f>
        <v>1596895.7786680546</v>
      </c>
      <c r="AM3095" s="98"/>
      <c r="AN3095" s="106">
        <f ca="1">IF(AM3088&lt;=0,Q_max,ABS(AM$23-AM3094))</f>
        <v>236393</v>
      </c>
      <c r="AO3095" s="9">
        <f ca="1">AM3084</f>
        <v>1948516.3239657136</v>
      </c>
      <c r="AP3095" s="98"/>
      <c r="AQ3095" s="106">
        <f ca="1">IF(AP3088&lt;=0,Q_max,ABS(AP$23-AP3094))</f>
        <v>236393</v>
      </c>
      <c r="AR3095" s="9">
        <f ca="1">AP3084</f>
        <v>2262166.9611558639</v>
      </c>
      <c r="AS3095" s="98"/>
      <c r="AT3095" s="106">
        <f ca="1">IF(AS3088&lt;=0,Q_max,ABS(AS$23-AS3094))</f>
        <v>236393</v>
      </c>
      <c r="AU3095" s="9">
        <f ca="1">AS3084</f>
        <v>2652568.6699033035</v>
      </c>
    </row>
    <row r="3096" spans="15:47" x14ac:dyDescent="0.25">
      <c r="O3096" s="21"/>
      <c r="P3096" s="14"/>
      <c r="Q3096" s="21"/>
      <c r="R3096" s="97"/>
      <c r="S3096" s="106"/>
      <c r="T3096" s="28"/>
      <c r="U3096" s="97"/>
      <c r="V3096" s="111"/>
      <c r="W3096" s="28"/>
      <c r="X3096" s="97"/>
      <c r="Y3096" s="111"/>
      <c r="Z3096" s="28"/>
      <c r="AA3096" s="97"/>
      <c r="AB3096" s="111"/>
      <c r="AC3096" s="28"/>
      <c r="AD3096" s="97"/>
      <c r="AE3096" s="111"/>
      <c r="AF3096" s="28"/>
      <c r="AG3096" s="97"/>
      <c r="AH3096" s="111"/>
      <c r="AI3096" s="28"/>
      <c r="AJ3096" s="97"/>
      <c r="AK3096" s="111"/>
      <c r="AL3096" s="28"/>
      <c r="AM3096" s="97"/>
      <c r="AN3096" s="111"/>
      <c r="AO3096" s="28"/>
      <c r="AP3096" s="97"/>
      <c r="AQ3096" s="111"/>
      <c r="AR3096" s="28"/>
      <c r="AS3096" s="97"/>
      <c r="AT3096" s="111"/>
      <c r="AU3096" s="28"/>
    </row>
    <row r="3097" spans="15:47" x14ac:dyDescent="0.25">
      <c r="O3097" s="1"/>
      <c r="P3097" s="1"/>
      <c r="Q3097" s="1"/>
      <c r="R3097" s="98"/>
      <c r="S3097" s="108" t="s">
        <v>137</v>
      </c>
      <c r="T3097" s="26" t="s">
        <v>146</v>
      </c>
      <c r="U3097" s="98"/>
      <c r="V3097" s="108" t="s">
        <v>137</v>
      </c>
      <c r="W3097" s="26" t="s">
        <v>146</v>
      </c>
      <c r="X3097" s="98"/>
      <c r="Y3097" s="108" t="s">
        <v>137</v>
      </c>
      <c r="Z3097" s="26" t="s">
        <v>146</v>
      </c>
      <c r="AA3097" s="98"/>
      <c r="AB3097" s="108" t="s">
        <v>137</v>
      </c>
      <c r="AC3097" s="26" t="s">
        <v>146</v>
      </c>
      <c r="AD3097" s="98"/>
      <c r="AE3097" s="108" t="s">
        <v>137</v>
      </c>
      <c r="AF3097" s="26" t="s">
        <v>146</v>
      </c>
      <c r="AG3097" s="98"/>
      <c r="AH3097" s="108" t="s">
        <v>137</v>
      </c>
      <c r="AI3097" s="26" t="s">
        <v>146</v>
      </c>
      <c r="AJ3097" s="98"/>
      <c r="AK3097" s="108" t="s">
        <v>137</v>
      </c>
      <c r="AL3097" s="26" t="s">
        <v>146</v>
      </c>
      <c r="AM3097" s="98"/>
      <c r="AN3097" s="108" t="s">
        <v>137</v>
      </c>
      <c r="AO3097" s="26" t="s">
        <v>146</v>
      </c>
      <c r="AP3097" s="98"/>
      <c r="AQ3097" s="108" t="s">
        <v>137</v>
      </c>
      <c r="AR3097" s="26" t="s">
        <v>146</v>
      </c>
      <c r="AS3097" s="98"/>
      <c r="AT3097" s="108" t="s">
        <v>137</v>
      </c>
      <c r="AU3097" s="26" t="s">
        <v>146</v>
      </c>
    </row>
    <row r="3098" spans="15:47" ht="13.8" x14ac:dyDescent="0.25">
      <c r="O3098" s="20" t="s">
        <v>136</v>
      </c>
      <c r="P3098" s="1"/>
      <c r="Q3098" s="1"/>
      <c r="R3098" s="96">
        <f>R3084*1.02</f>
        <v>24362.636163589272</v>
      </c>
      <c r="S3098" s="109" t="s">
        <v>144</v>
      </c>
      <c r="T3098" s="23" t="s">
        <v>147</v>
      </c>
      <c r="U3098" s="96">
        <f ca="1">U3084*1.01</f>
        <v>103490.09428852586</v>
      </c>
      <c r="V3098" s="109" t="s">
        <v>144</v>
      </c>
      <c r="W3098" s="23" t="s">
        <v>147</v>
      </c>
      <c r="X3098" s="96">
        <f ca="1">X3084*1.01</f>
        <v>253409.22637733669</v>
      </c>
      <c r="Y3098" s="109" t="s">
        <v>144</v>
      </c>
      <c r="Z3098" s="23" t="s">
        <v>147</v>
      </c>
      <c r="AA3098" s="96">
        <f ca="1">AA3084*1.01</f>
        <v>493576.49144031951</v>
      </c>
      <c r="AB3098" s="109" t="s">
        <v>144</v>
      </c>
      <c r="AC3098" s="23" t="s">
        <v>147</v>
      </c>
      <c r="AD3098" s="96">
        <f ca="1">AD3084*1.01</f>
        <v>828067.81158397393</v>
      </c>
      <c r="AE3098" s="109" t="s">
        <v>144</v>
      </c>
      <c r="AF3098" s="23" t="s">
        <v>147</v>
      </c>
      <c r="AG3098" s="96">
        <f ca="1">AG3084*1.01</f>
        <v>1208587.5243791228</v>
      </c>
      <c r="AH3098" s="109" t="s">
        <v>144</v>
      </c>
      <c r="AI3098" s="23" t="s">
        <v>147</v>
      </c>
      <c r="AJ3098" s="96">
        <f ca="1">AJ3084*1.01</f>
        <v>1612864.7364547353</v>
      </c>
      <c r="AK3098" s="109" t="s">
        <v>144</v>
      </c>
      <c r="AL3098" s="23" t="s">
        <v>147</v>
      </c>
      <c r="AM3098" s="96">
        <f ca="1">AM3084*1.01</f>
        <v>1968001.4872053708</v>
      </c>
      <c r="AN3098" s="109" t="s">
        <v>144</v>
      </c>
      <c r="AO3098" s="23" t="s">
        <v>147</v>
      </c>
      <c r="AP3098" s="96">
        <f ca="1">AP3084*1.01</f>
        <v>2284788.6307674227</v>
      </c>
      <c r="AQ3098" s="109" t="s">
        <v>144</v>
      </c>
      <c r="AR3098" s="23" t="s">
        <v>147</v>
      </c>
      <c r="AS3098" s="96">
        <f ca="1">AS3084*1.01</f>
        <v>2679094.3566023367</v>
      </c>
      <c r="AT3098" s="109" t="s">
        <v>144</v>
      </c>
      <c r="AU3098" s="23" t="s">
        <v>147</v>
      </c>
    </row>
    <row r="3099" spans="15:47" x14ac:dyDescent="0.25">
      <c r="O3099" s="1"/>
      <c r="P3099" s="1"/>
      <c r="Q3099" s="1"/>
      <c r="R3099" s="98"/>
      <c r="S3099" s="107"/>
      <c r="T3099" s="1"/>
      <c r="U3099" s="47"/>
      <c r="V3099" s="107"/>
      <c r="W3099" s="1"/>
      <c r="X3099" s="47"/>
      <c r="Y3099" s="107"/>
      <c r="Z3099" s="1"/>
      <c r="AA3099" s="47"/>
      <c r="AB3099" s="107"/>
      <c r="AC3099" s="1"/>
      <c r="AD3099" s="47"/>
      <c r="AE3099" s="107"/>
      <c r="AF3099" s="1"/>
      <c r="AG3099" s="47"/>
      <c r="AH3099" s="107"/>
      <c r="AI3099" s="1"/>
      <c r="AJ3099" s="47"/>
      <c r="AK3099" s="107"/>
      <c r="AL3099" s="1"/>
      <c r="AM3099" s="47"/>
      <c r="AN3099" s="107"/>
      <c r="AO3099" s="1"/>
      <c r="AP3099" s="47"/>
      <c r="AQ3099" s="107"/>
      <c r="AR3099" s="1"/>
      <c r="AS3099" s="47"/>
      <c r="AT3099" s="107"/>
      <c r="AU3099" s="1"/>
    </row>
    <row r="3100" spans="15:47" x14ac:dyDescent="0.25">
      <c r="O3100" s="8" t="s">
        <v>132</v>
      </c>
      <c r="P3100" s="8"/>
      <c r="Q3100" s="8"/>
      <c r="R3100" s="96">
        <f>P_1_minQ-(R3098^2*R_up)+dpup_minQ</f>
        <v>90.076861746099638</v>
      </c>
      <c r="S3100" s="106"/>
      <c r="T3100" s="22"/>
      <c r="U3100" s="96">
        <f ca="1">P_1_minQ-(U3098^2*R_up)+dpup_minQ</f>
        <v>88.232989789125526</v>
      </c>
      <c r="V3100" s="107"/>
      <c r="W3100" s="1"/>
      <c r="X3100" s="96">
        <f ca="1">P_1_minQ-(X3098^2*R_up)+dpup_minQ</f>
        <v>78.480930840592691</v>
      </c>
      <c r="Y3100" s="107"/>
      <c r="Z3100" s="1"/>
      <c r="AA3100" s="96">
        <f ca="1">P_1_minQ-(AA3098^2*R_up)+dpup_minQ</f>
        <v>45.783046901477356</v>
      </c>
      <c r="AB3100" s="107"/>
      <c r="AC3100" s="1"/>
      <c r="AD3100" s="96">
        <f ca="1">P_1_minQ-(AD3098^2*R_up)+dpup_minQ</f>
        <v>-34.790592020940096</v>
      </c>
      <c r="AE3100" s="107"/>
      <c r="AF3100" s="1"/>
      <c r="AG3100" s="96">
        <f ca="1">P_1_minQ-(AG3098^2*R_up)+dpup_minQ</f>
        <v>-176.04052057892505</v>
      </c>
      <c r="AH3100" s="107"/>
      <c r="AI3100" s="1"/>
      <c r="AJ3100" s="96">
        <f ca="1">P_1_minQ-(AJ3098^2*R_up)+dpup_minQ</f>
        <v>-383.93622007205897</v>
      </c>
      <c r="AK3100" s="107"/>
      <c r="AL3100" s="1"/>
      <c r="AM3100" s="96">
        <f ca="1">P_1_minQ-(AM3098^2*R_up)+dpup_minQ</f>
        <v>-615.71690970366069</v>
      </c>
      <c r="AN3100" s="107"/>
      <c r="AO3100" s="1"/>
      <c r="AP3100" s="96">
        <f ca="1">P_1_minQ-(AP3098^2*R_up)+dpup_minQ</f>
        <v>-861.26413742391094</v>
      </c>
      <c r="AQ3100" s="107"/>
      <c r="AR3100" s="1"/>
      <c r="AS3100" s="96">
        <f ca="1">P_1_minQ-(AS3098^2*R_up)+dpup_minQ</f>
        <v>-1218.0011377939002</v>
      </c>
      <c r="AT3100" s="107"/>
      <c r="AU3100" s="1"/>
    </row>
    <row r="3101" spans="15:47" x14ac:dyDescent="0.25">
      <c r="O3101" s="8" t="s">
        <v>134</v>
      </c>
      <c r="P3101" s="1"/>
      <c r="Q3101" s="8"/>
      <c r="R3101" s="97">
        <f>P_2_minQ+(R3098^2*R_dn)-dpdn_minQ</f>
        <v>60</v>
      </c>
      <c r="S3101" s="106"/>
      <c r="T3101" s="22"/>
      <c r="U3101" s="97">
        <f ca="1">P_2_minQ+(U3098^2*R_dn)-dpdn_minQ</f>
        <v>60</v>
      </c>
      <c r="V3101" s="107"/>
      <c r="W3101" s="1"/>
      <c r="X3101" s="97">
        <f ca="1">P_2_minQ+(X3098^2*R_dn)-dpdn_minQ</f>
        <v>60</v>
      </c>
      <c r="Y3101" s="107"/>
      <c r="Z3101" s="1"/>
      <c r="AA3101" s="97">
        <f ca="1">P_2_minQ+(AA3098^2*R_dn)-dpdn_minQ</f>
        <v>60</v>
      </c>
      <c r="AB3101" s="107"/>
      <c r="AC3101" s="1"/>
      <c r="AD3101" s="97">
        <f ca="1">P_2_minQ+(AD3098^2*R_dn)-dpdn_minQ</f>
        <v>60</v>
      </c>
      <c r="AE3101" s="107"/>
      <c r="AF3101" s="1"/>
      <c r="AG3101" s="97">
        <f ca="1">P_2_minQ+(AG3098^2*R_dn)-dpdn_minQ</f>
        <v>60</v>
      </c>
      <c r="AH3101" s="107"/>
      <c r="AI3101" s="1"/>
      <c r="AJ3101" s="97">
        <f ca="1">P_2_minQ+(AJ3098^2*R_dn)-dpdn_minQ</f>
        <v>60</v>
      </c>
      <c r="AK3101" s="107"/>
      <c r="AL3101" s="1"/>
      <c r="AM3101" s="97">
        <f ca="1">P_2_minQ+(AM3098^2*R_dn)-dpdn_minQ</f>
        <v>60</v>
      </c>
      <c r="AN3101" s="107"/>
      <c r="AO3101" s="1"/>
      <c r="AP3101" s="97">
        <f ca="1">P_2_minQ+(AP3098^2*R_dn)-dpdn_minQ</f>
        <v>60</v>
      </c>
      <c r="AQ3101" s="107"/>
      <c r="AR3101" s="1"/>
      <c r="AS3101" s="97">
        <f ca="1">P_2_minQ+(AS3098^2*R_dn)-dpdn_minQ</f>
        <v>60</v>
      </c>
      <c r="AT3101" s="107"/>
      <c r="AU3101" s="1"/>
    </row>
    <row r="3102" spans="15:47" x14ac:dyDescent="0.25">
      <c r="O3102" s="8" t="s">
        <v>138</v>
      </c>
      <c r="P3102" s="1"/>
      <c r="Q3102" s="8"/>
      <c r="R3102" s="97">
        <f>R3100-R3101</f>
        <v>30.076861746099638</v>
      </c>
      <c r="S3102" s="106"/>
      <c r="T3102" s="22"/>
      <c r="U3102" s="97">
        <f ca="1">U3100-U3101</f>
        <v>28.232989789125526</v>
      </c>
      <c r="V3102" s="110"/>
      <c r="W3102" s="25"/>
      <c r="X3102" s="97">
        <f ca="1">X3100-X3101</f>
        <v>18.480930840592691</v>
      </c>
      <c r="Y3102" s="110"/>
      <c r="Z3102" s="25"/>
      <c r="AA3102" s="97">
        <f ca="1">AA3100-AA3101</f>
        <v>-14.216953098522644</v>
      </c>
      <c r="AB3102" s="110"/>
      <c r="AC3102" s="25"/>
      <c r="AD3102" s="97">
        <f ca="1">AD3100-AD3101</f>
        <v>-94.790592020940096</v>
      </c>
      <c r="AE3102" s="110"/>
      <c r="AF3102" s="25"/>
      <c r="AG3102" s="97">
        <f ca="1">AG3100-AG3101</f>
        <v>-236.04052057892505</v>
      </c>
      <c r="AH3102" s="110"/>
      <c r="AI3102" s="25"/>
      <c r="AJ3102" s="97">
        <f ca="1">AJ3100-AJ3101</f>
        <v>-443.93622007205897</v>
      </c>
      <c r="AK3102" s="110"/>
      <c r="AL3102" s="25"/>
      <c r="AM3102" s="97">
        <f ca="1">AM3100-AM3101</f>
        <v>-675.71690970366069</v>
      </c>
      <c r="AN3102" s="110"/>
      <c r="AO3102" s="25"/>
      <c r="AP3102" s="97">
        <f ca="1">AP3100-AP3101</f>
        <v>-921.26413742391094</v>
      </c>
      <c r="AQ3102" s="110"/>
      <c r="AR3102" s="25"/>
      <c r="AS3102" s="97">
        <f ca="1">AS3100-AS3101</f>
        <v>-1278.0011377939002</v>
      </c>
      <c r="AT3102" s="110"/>
      <c r="AU3102" s="25"/>
    </row>
    <row r="3103" spans="15:47" ht="14.4" x14ac:dyDescent="0.3">
      <c r="O3103" s="2" t="s">
        <v>140</v>
      </c>
      <c r="P3103" s="11"/>
      <c r="Q3103" s="2"/>
      <c r="R3103" s="96">
        <f>R3102/R3100</f>
        <v>0.33390219378287761</v>
      </c>
      <c r="S3103" s="106"/>
      <c r="T3103" s="22"/>
      <c r="U3103" s="96">
        <f ca="1">U3102/U3100</f>
        <v>0.31998224084440086</v>
      </c>
      <c r="V3103" s="111"/>
      <c r="W3103" s="28"/>
      <c r="X3103" s="96">
        <f ca="1">X3102/X3100</f>
        <v>0.2354830739473569</v>
      </c>
      <c r="Y3103" s="111"/>
      <c r="Z3103" s="28"/>
      <c r="AA3103" s="96">
        <f ca="1">AA3102/AA3100</f>
        <v>-0.31052876688431769</v>
      </c>
      <c r="AB3103" s="111"/>
      <c r="AC3103" s="28"/>
      <c r="AD3103" s="96">
        <f ca="1">AD3102/AD3100</f>
        <v>2.7246041678131441</v>
      </c>
      <c r="AE3103" s="111"/>
      <c r="AF3103" s="28"/>
      <c r="AG3103" s="96">
        <f ca="1">AG3102/AG3100</f>
        <v>1.3408306212835808</v>
      </c>
      <c r="AH3103" s="111"/>
      <c r="AI3103" s="28"/>
      <c r="AJ3103" s="96">
        <f ca="1">AJ3102/AJ3100</f>
        <v>1.1562759564303127</v>
      </c>
      <c r="AK3103" s="111"/>
      <c r="AL3103" s="28"/>
      <c r="AM3103" s="96">
        <f ca="1">AM3102/AM3100</f>
        <v>1.0974473805321954</v>
      </c>
      <c r="AN3103" s="111"/>
      <c r="AO3103" s="28"/>
      <c r="AP3103" s="96">
        <f ca="1">AP3102/AP3100</f>
        <v>1.0696650393216922</v>
      </c>
      <c r="AQ3103" s="111"/>
      <c r="AR3103" s="28"/>
      <c r="AS3103" s="96">
        <f ca="1">AS3102/AS3100</f>
        <v>1.0492610377266762</v>
      </c>
      <c r="AT3103" s="111"/>
      <c r="AU3103" s="28"/>
    </row>
    <row r="3104" spans="15:47" x14ac:dyDescent="0.25">
      <c r="O3104" s="2" t="s">
        <v>21</v>
      </c>
      <c r="P3104" s="8">
        <v>12</v>
      </c>
      <c r="Q3104" s="2"/>
      <c r="R3104" s="96">
        <f ca="1">1-R3103/(3*F_GAMMA*R$29)</f>
        <v>0.82610067674465748</v>
      </c>
      <c r="S3104" s="106"/>
      <c r="T3104" s="22"/>
      <c r="U3104" s="96">
        <f ca="1">1-U3103/(3*F_GAMMA*U$29)</f>
        <v>0.83338903106075302</v>
      </c>
      <c r="V3104" s="111"/>
      <c r="W3104" s="28"/>
      <c r="X3104" s="96">
        <f ca="1">1-X3103/(3*F_GAMMA*X$29)</f>
        <v>0.87621895119833137</v>
      </c>
      <c r="Y3104" s="111"/>
      <c r="Z3104" s="28"/>
      <c r="AA3104" s="96">
        <f ca="1">1-AA3103/(3*F_GAMMA*AA$29)</f>
        <v>1.1655295007245821</v>
      </c>
      <c r="AB3104" s="111"/>
      <c r="AC3104" s="28"/>
      <c r="AD3104" s="96">
        <f ca="1">1-AD3103/(3*F_GAMMA*AD$29)</f>
        <v>-0.4974130779940571</v>
      </c>
      <c r="AE3104" s="111"/>
      <c r="AF3104" s="28"/>
      <c r="AG3104" s="96">
        <f ca="1">1-AG3103/(3*F_GAMMA*AG$29)</f>
        <v>0.21887502942264603</v>
      </c>
      <c r="AH3104" s="111"/>
      <c r="AI3104" s="28"/>
      <c r="AJ3104" s="96">
        <f ca="1">1-AJ3103/(3*F_GAMMA*AJ$29)</f>
        <v>0.27528857908109372</v>
      </c>
      <c r="AK3104" s="111"/>
      <c r="AL3104" s="28"/>
      <c r="AM3104" s="96">
        <f ca="1">1-AM3103/(3*F_GAMMA*AM$29)</f>
        <v>0.23093837605409062</v>
      </c>
      <c r="AN3104" s="111"/>
      <c r="AO3104" s="28"/>
      <c r="AP3104" s="96">
        <f ca="1">1-AP3103/(3*F_GAMMA*AP$29)</f>
        <v>0.39622369773974897</v>
      </c>
      <c r="AQ3104" s="111"/>
      <c r="AR3104" s="28"/>
      <c r="AS3104" s="96">
        <f ca="1">1-AS3103/(3*F_GAMMA*AS$29)</f>
        <v>7.1507816391684242E-2</v>
      </c>
      <c r="AT3104" s="111"/>
      <c r="AU3104" s="28"/>
    </row>
    <row r="3105" spans="15:47" x14ac:dyDescent="0.25">
      <c r="O3105" s="2" t="s">
        <v>57</v>
      </c>
      <c r="P3105" s="143">
        <v>7</v>
      </c>
      <c r="Q3105" s="2"/>
      <c r="R3105" s="96">
        <f ca="1">(R3098/(N_9*R$27*R3100*R3104))*SQRT(M*'Valve Sizing'!$W$6*'Valve Sizing'!$G$8/R3103)</f>
        <v>9.8572200656108908</v>
      </c>
      <c r="S3105" s="107"/>
      <c r="T3105" s="22"/>
      <c r="U3105" s="96">
        <f ca="1">(U3098/(N_9*U$27*U3100*U3104))*SQRT(M*'Valve Sizing'!$W$6*'Valve Sizing'!$G$8/U3103)</f>
        <v>43.313967602874648</v>
      </c>
      <c r="V3105" s="111"/>
      <c r="W3105" s="28"/>
      <c r="X3105" s="96">
        <f ca="1">(X3098/(N_9*X$27*X3100*X3104))*SQRT(M*'Valve Sizing'!$W$6*'Valve Sizing'!$G$8/X3103)</f>
        <v>132.50592117062811</v>
      </c>
      <c r="Y3105" s="111"/>
      <c r="Z3105" s="28"/>
      <c r="AA3105" s="96" t="e">
        <f ca="1">(AA3098/(N_9*AA$27*AA3100*AA3104))*SQRT(M*'Valve Sizing'!$W$6*'Valve Sizing'!$G$8/AA3103)</f>
        <v>#NUM!</v>
      </c>
      <c r="AB3105" s="111"/>
      <c r="AC3105" s="28"/>
      <c r="AD3105" s="96">
        <f ca="1">(AD3098/(N_9*AD$27*AD3100*AD3104))*SQRT(M*'Valve Sizing'!$W$6*'Valve Sizing'!$G$8/AD3103)</f>
        <v>515.13517084952434</v>
      </c>
      <c r="AE3105" s="111"/>
      <c r="AF3105" s="28"/>
      <c r="AG3105" s="96">
        <f ca="1">(AG3098/(N_9*AG$27*AG3100*AG3104))*SQRT(M*'Valve Sizing'!$W$6*'Valve Sizing'!$G$8/AG3103)</f>
        <v>-492.19095131206433</v>
      </c>
      <c r="AH3105" s="111"/>
      <c r="AI3105" s="28"/>
      <c r="AJ3105" s="96">
        <f ca="1">(AJ3098/(N_9*AJ$27*AJ3100*AJ3104))*SQRT(M*'Valve Sizing'!$W$6*'Valve Sizing'!$G$8/AJ3103)</f>
        <v>-267.17406541868075</v>
      </c>
      <c r="AK3105" s="111"/>
      <c r="AL3105" s="28"/>
      <c r="AM3105" s="96">
        <f ca="1">(AM3098/(N_9*AM$27*AM3100*AM3104))*SQRT(M*'Valve Sizing'!$W$6*'Valve Sizing'!$G$8/AM3103)</f>
        <v>-263.90611406091102</v>
      </c>
      <c r="AN3105" s="111"/>
      <c r="AO3105" s="28"/>
      <c r="AP3105" s="96">
        <f ca="1">(AP3098/(N_9*AP$27*AP3100*AP3104))*SQRT(M*'Valve Sizing'!$W$6*'Valve Sizing'!$G$8/AP3103)</f>
        <v>-147.18205243574607</v>
      </c>
      <c r="AQ3105" s="111"/>
      <c r="AR3105" s="28"/>
      <c r="AS3105" s="96">
        <f ca="1">(AS3098/(N_9*AS$27*AS3100*AS3104))*SQRT(M*'Valve Sizing'!$W$6*'Valve Sizing'!$G$8/AS3103)</f>
        <v>-914.45340810640323</v>
      </c>
      <c r="AT3105" s="111"/>
      <c r="AU3105" s="28"/>
    </row>
    <row r="3106" spans="15:47" x14ac:dyDescent="0.25">
      <c r="O3106" s="2" t="s">
        <v>59</v>
      </c>
      <c r="P3106" s="143">
        <v>7</v>
      </c>
      <c r="Q3106" s="2"/>
      <c r="R3106" s="96">
        <f ca="1">(R3098/(N_9*R$27*R3100*0.667))*SQRT(M*'Valve Sizing'!$W$6*'Valve Sizing'!$G$8/R3107)</f>
        <v>8.8180218325832023</v>
      </c>
      <c r="S3106" s="107"/>
      <c r="T3106" s="22"/>
      <c r="U3106" s="96">
        <f ca="1">(U3098/(N_9*U$27*U3100*0.667))*SQRT(M*'Valve Sizing'!$W$6*'Valve Sizing'!$G$8/U3107)</f>
        <v>38.261530290432852</v>
      </c>
      <c r="V3106" s="111"/>
      <c r="W3106" s="28"/>
      <c r="X3106" s="96">
        <f ca="1">(X3098/(N_9*X$27*X3100*0.667))*SQRT(M*'Valve Sizing'!$W$6*'Valve Sizing'!$G$8/X3107)</f>
        <v>106.07420858119076</v>
      </c>
      <c r="Y3106" s="111"/>
      <c r="Z3106" s="28"/>
      <c r="AA3106" s="96">
        <f ca="1">(AA3098/(N_9*AA$27*AA3100*0.667))*SQRT(M*'Valve Sizing'!$W$6*'Valve Sizing'!$G$8/AA3107)</f>
        <v>358.76533070355617</v>
      </c>
      <c r="AB3106" s="111"/>
      <c r="AC3106" s="28"/>
      <c r="AD3106" s="96">
        <f ca="1">(AD3098/(N_9*AD$27*AD3100*0.667))*SQRT(M*'Valve Sizing'!$W$6*'Valve Sizing'!$G$8/AD3107)</f>
        <v>-814.22420022887911</v>
      </c>
      <c r="AE3106" s="111"/>
      <c r="AF3106" s="28"/>
      <c r="AG3106" s="96">
        <f ca="1">(AG3098/(N_9*AG$27*AG3100*0.667))*SQRT(M*'Valve Sizing'!$W$6*'Valve Sizing'!$G$8/AG3107)</f>
        <v>-247.24350788558155</v>
      </c>
      <c r="AH3106" s="111"/>
      <c r="AI3106" s="28"/>
      <c r="AJ3106" s="96">
        <f ca="1">(AJ3098/(N_9*AJ$27*AJ3100*0.667))*SQRT(M*'Valve Sizing'!$W$6*'Valve Sizing'!$G$8/AJ3107)</f>
        <v>-162.59224934990112</v>
      </c>
      <c r="AK3106" s="111"/>
      <c r="AL3106" s="28"/>
      <c r="AM3106" s="96">
        <f ca="1">(AM3098/(N_9*AM$27*AM3100*0.667))*SQRT(M*'Valve Sizing'!$W$6*'Valve Sizing'!$G$8/AM3107)</f>
        <v>-138.79087802082248</v>
      </c>
      <c r="AN3106" s="111"/>
      <c r="AO3106" s="28"/>
      <c r="AP3106" s="96">
        <f ca="1">(AP3098/(N_9*AP$27*AP3100*0.667))*SQRT(M*'Valve Sizing'!$W$6*'Valve Sizing'!$G$8/AP3107)</f>
        <v>-117.67064299637315</v>
      </c>
      <c r="AQ3106" s="111"/>
      <c r="AR3106" s="28"/>
      <c r="AS3106" s="96">
        <f ca="1">(AS3098/(N_9*AS$27*AS3100*0.667))*SQRT(M*'Valve Sizing'!$W$6*'Valve Sizing'!$G$8/AS3107)</f>
        <v>-163.62099097556438</v>
      </c>
      <c r="AT3106" s="111"/>
      <c r="AU3106" s="28"/>
    </row>
    <row r="3107" spans="15:47" ht="15.6" x14ac:dyDescent="0.35">
      <c r="O3107" s="2" t="s">
        <v>68</v>
      </c>
      <c r="P3107" s="143">
        <v>10</v>
      </c>
      <c r="Q3107" s="2"/>
      <c r="R3107" s="96">
        <f ca="1">F_GAMMA*R$29</f>
        <v>0.64002969751372984</v>
      </c>
      <c r="S3107" s="107"/>
      <c r="T3107" s="1"/>
      <c r="U3107" s="96">
        <f ca="1">F_GAMMA*U$29</f>
        <v>0.64017842058782071</v>
      </c>
      <c r="V3107" s="111"/>
      <c r="W3107" s="28"/>
      <c r="X3107" s="96">
        <f ca="1">F_GAMMA*X$29</f>
        <v>0.63413873724904268</v>
      </c>
      <c r="Y3107" s="111"/>
      <c r="Z3107" s="28"/>
      <c r="AA3107" s="96">
        <f ca="1">F_GAMMA*AA$29</f>
        <v>0.62532411750377137</v>
      </c>
      <c r="AB3107" s="111"/>
      <c r="AC3107" s="28"/>
      <c r="AD3107" s="96">
        <f ca="1">F_GAMMA*AD$29</f>
        <v>0.60651359509139569</v>
      </c>
      <c r="AE3107" s="111"/>
      <c r="AF3107" s="28"/>
      <c r="AG3107" s="96">
        <f ca="1">F_GAMMA*AG$29</f>
        <v>0.57217930198481592</v>
      </c>
      <c r="AH3107" s="111"/>
      <c r="AI3107" s="28"/>
      <c r="AJ3107" s="96">
        <f ca="1">F_GAMMA*AJ$29</f>
        <v>0.53183282018848232</v>
      </c>
      <c r="AK3107" s="111"/>
      <c r="AL3107" s="28"/>
      <c r="AM3107" s="96">
        <f ca="1">F_GAMMA*AM$29</f>
        <v>0.47566512503094399</v>
      </c>
      <c r="AN3107" s="111"/>
      <c r="AO3107" s="28"/>
      <c r="AP3107" s="96">
        <f ca="1">F_GAMMA*AP$29</f>
        <v>0.59054158265645496</v>
      </c>
      <c r="AQ3107" s="111"/>
      <c r="AR3107" s="28"/>
      <c r="AS3107" s="96">
        <f ca="1">F_GAMMA*AS$29</f>
        <v>0.3766899554102966</v>
      </c>
      <c r="AT3107" s="111"/>
      <c r="AU3107" s="28"/>
    </row>
    <row r="3108" spans="15:47" x14ac:dyDescent="0.25">
      <c r="O3108" s="2" t="s">
        <v>145</v>
      </c>
      <c r="P3108" s="12"/>
      <c r="Q3108" s="2"/>
      <c r="R3108" s="96">
        <f ca="1">IF(R3103&lt;R3107,R3105,R3106)</f>
        <v>9.8572200656108908</v>
      </c>
      <c r="S3108" s="116"/>
      <c r="T3108" s="1"/>
      <c r="U3108" s="96">
        <f ca="1">IF(U3103&lt;U3107,U3105,U3106)</f>
        <v>43.313967602874648</v>
      </c>
      <c r="V3108" s="111"/>
      <c r="W3108" s="28"/>
      <c r="X3108" s="96">
        <f ca="1">IF(X3103&lt;X3107,X3105,X3106)</f>
        <v>132.50592117062811</v>
      </c>
      <c r="Y3108" s="111"/>
      <c r="Z3108" s="28"/>
      <c r="AA3108" s="96" t="e">
        <f ca="1">IF(AA3103&lt;AA3107,AA3105,AA3106)</f>
        <v>#NUM!</v>
      </c>
      <c r="AB3108" s="111"/>
      <c r="AC3108" s="28"/>
      <c r="AD3108" s="96">
        <f ca="1">IF(AD3103&lt;AD3107,AD3105,AD3106)</f>
        <v>-814.22420022887911</v>
      </c>
      <c r="AE3108" s="111"/>
      <c r="AF3108" s="28"/>
      <c r="AG3108" s="96">
        <f ca="1">IF(AG3103&lt;AG3107,AG3105,AG3106)</f>
        <v>-247.24350788558155</v>
      </c>
      <c r="AH3108" s="111"/>
      <c r="AI3108" s="28"/>
      <c r="AJ3108" s="96">
        <f ca="1">IF(AJ3103&lt;AJ3107,AJ3105,AJ3106)</f>
        <v>-162.59224934990112</v>
      </c>
      <c r="AK3108" s="111"/>
      <c r="AL3108" s="28"/>
      <c r="AM3108" s="96">
        <f ca="1">IF(AM3103&lt;AM3107,AM3105,AM3106)</f>
        <v>-138.79087802082248</v>
      </c>
      <c r="AN3108" s="111"/>
      <c r="AO3108" s="28"/>
      <c r="AP3108" s="96">
        <f ca="1">IF(AP3103&lt;AP3107,AP3105,AP3106)</f>
        <v>-117.67064299637315</v>
      </c>
      <c r="AQ3108" s="111"/>
      <c r="AR3108" s="28"/>
      <c r="AS3108" s="96">
        <f ca="1">IF(AS3103&lt;AS3107,AS3105,AS3106)</f>
        <v>-163.62099097556438</v>
      </c>
      <c r="AT3108" s="111"/>
      <c r="AU3108" s="28"/>
    </row>
    <row r="3109" spans="15:47" x14ac:dyDescent="0.25">
      <c r="O3109" s="13" t="s">
        <v>143</v>
      </c>
      <c r="P3109" s="1"/>
      <c r="Q3109" s="1"/>
      <c r="R3109" s="113"/>
      <c r="S3109" s="106">
        <f ca="1">IF(R3102&lt;=0,Q_max,ABS(R$23-R3108))</f>
        <v>5.1272200656108904</v>
      </c>
      <c r="T3109" s="7">
        <f>R3098</f>
        <v>24362.636163589272</v>
      </c>
      <c r="U3109" s="98"/>
      <c r="V3109" s="106">
        <f ca="1">IF(U3102&lt;=0,Q_max,ABS(U$23-U3108))</f>
        <v>31.713967602874646</v>
      </c>
      <c r="W3109" s="9">
        <f ca="1">U3098</f>
        <v>103490.09428852586</v>
      </c>
      <c r="X3109" s="98"/>
      <c r="Y3109" s="106">
        <f ca="1">IF(X3102&lt;=0,Q_max,ABS(X$23-X3108))</f>
        <v>109.50592117062811</v>
      </c>
      <c r="Z3109" s="9">
        <f ca="1">X3098</f>
        <v>253409.22637733669</v>
      </c>
      <c r="AA3109" s="98"/>
      <c r="AB3109" s="106">
        <f ca="1">IF(AA3102&lt;=0,Q_max,ABS(AA$23-AA3108))</f>
        <v>236393</v>
      </c>
      <c r="AC3109" s="9">
        <f ca="1">AA3098</f>
        <v>493576.49144031951</v>
      </c>
      <c r="AD3109" s="98"/>
      <c r="AE3109" s="106">
        <f ca="1">IF(AD3102&lt;=0,Q_max,ABS(AD$23-AD3108))</f>
        <v>236393</v>
      </c>
      <c r="AF3109" s="9">
        <f ca="1">AD3098</f>
        <v>828067.81158397393</v>
      </c>
      <c r="AG3109" s="98"/>
      <c r="AH3109" s="106">
        <f ca="1">IF(AG3102&lt;=0,Q_max,ABS(AG$23-AG3108))</f>
        <v>236393</v>
      </c>
      <c r="AI3109" s="9">
        <f ca="1">AG3098</f>
        <v>1208587.5243791228</v>
      </c>
      <c r="AJ3109" s="98"/>
      <c r="AK3109" s="106">
        <f ca="1">IF(AJ3102&lt;=0,Q_max,ABS(AJ$23-AJ3108))</f>
        <v>236393</v>
      </c>
      <c r="AL3109" s="9">
        <f ca="1">AJ3098</f>
        <v>1612864.7364547353</v>
      </c>
      <c r="AM3109" s="98"/>
      <c r="AN3109" s="106">
        <f ca="1">IF(AM3102&lt;=0,Q_max,ABS(AM$23-AM3108))</f>
        <v>236393</v>
      </c>
      <c r="AO3109" s="9">
        <f ca="1">AM3098</f>
        <v>1968001.4872053708</v>
      </c>
      <c r="AP3109" s="98"/>
      <c r="AQ3109" s="106">
        <f ca="1">IF(AP3102&lt;=0,Q_max,ABS(AP$23-AP3108))</f>
        <v>236393</v>
      </c>
      <c r="AR3109" s="9">
        <f ca="1">AP3098</f>
        <v>2284788.6307674227</v>
      </c>
      <c r="AS3109" s="98"/>
      <c r="AT3109" s="106">
        <f ca="1">IF(AS3102&lt;=0,Q_max,ABS(AS$23-AS3108))</f>
        <v>236393</v>
      </c>
      <c r="AU3109" s="9">
        <f ca="1">AS3098</f>
        <v>2679094.3566023367</v>
      </c>
    </row>
    <row r="3110" spans="15:47" x14ac:dyDescent="0.25">
      <c r="O3110" s="21"/>
      <c r="P3110" s="14"/>
      <c r="Q3110" s="21"/>
      <c r="R3110" s="97"/>
      <c r="S3110" s="106"/>
      <c r="T3110" s="28"/>
      <c r="U3110" s="97"/>
      <c r="V3110" s="111"/>
      <c r="W3110" s="28"/>
      <c r="X3110" s="97"/>
      <c r="Y3110" s="111"/>
      <c r="Z3110" s="28"/>
      <c r="AA3110" s="97"/>
      <c r="AB3110" s="111"/>
      <c r="AC3110" s="28"/>
      <c r="AD3110" s="97"/>
      <c r="AE3110" s="111"/>
      <c r="AF3110" s="28"/>
      <c r="AG3110" s="97"/>
      <c r="AH3110" s="111"/>
      <c r="AI3110" s="28"/>
      <c r="AJ3110" s="97"/>
      <c r="AK3110" s="111"/>
      <c r="AL3110" s="28"/>
      <c r="AM3110" s="97"/>
      <c r="AN3110" s="111"/>
      <c r="AO3110" s="28"/>
      <c r="AP3110" s="97"/>
      <c r="AQ3110" s="111"/>
      <c r="AR3110" s="28"/>
      <c r="AS3110" s="97"/>
      <c r="AT3110" s="111"/>
      <c r="AU3110" s="28"/>
    </row>
    <row r="3111" spans="15:47" x14ac:dyDescent="0.25">
      <c r="O3111" s="1"/>
      <c r="P3111" s="1"/>
      <c r="Q3111" s="1"/>
      <c r="R3111" s="98"/>
      <c r="S3111" s="108" t="s">
        <v>137</v>
      </c>
      <c r="T3111" s="26" t="s">
        <v>146</v>
      </c>
      <c r="U3111" s="98"/>
      <c r="V3111" s="108" t="s">
        <v>137</v>
      </c>
      <c r="W3111" s="26" t="s">
        <v>146</v>
      </c>
      <c r="X3111" s="98"/>
      <c r="Y3111" s="108" t="s">
        <v>137</v>
      </c>
      <c r="Z3111" s="26" t="s">
        <v>146</v>
      </c>
      <c r="AA3111" s="98"/>
      <c r="AB3111" s="108" t="s">
        <v>137</v>
      </c>
      <c r="AC3111" s="26" t="s">
        <v>146</v>
      </c>
      <c r="AD3111" s="98"/>
      <c r="AE3111" s="108" t="s">
        <v>137</v>
      </c>
      <c r="AF3111" s="26" t="s">
        <v>146</v>
      </c>
      <c r="AG3111" s="98"/>
      <c r="AH3111" s="108" t="s">
        <v>137</v>
      </c>
      <c r="AI3111" s="26" t="s">
        <v>146</v>
      </c>
      <c r="AJ3111" s="98"/>
      <c r="AK3111" s="108" t="s">
        <v>137</v>
      </c>
      <c r="AL3111" s="26" t="s">
        <v>146</v>
      </c>
      <c r="AM3111" s="98"/>
      <c r="AN3111" s="108" t="s">
        <v>137</v>
      </c>
      <c r="AO3111" s="26" t="s">
        <v>146</v>
      </c>
      <c r="AP3111" s="98"/>
      <c r="AQ3111" s="108" t="s">
        <v>137</v>
      </c>
      <c r="AR3111" s="26" t="s">
        <v>146</v>
      </c>
      <c r="AS3111" s="98"/>
      <c r="AT3111" s="108" t="s">
        <v>137</v>
      </c>
      <c r="AU3111" s="26" t="s">
        <v>146</v>
      </c>
    </row>
    <row r="3112" spans="15:47" ht="13.8" x14ac:dyDescent="0.25">
      <c r="O3112" s="20" t="s">
        <v>136</v>
      </c>
      <c r="P3112" s="1"/>
      <c r="Q3112" s="1"/>
      <c r="R3112" s="96">
        <f>R3098*1.02</f>
        <v>24849.888886861059</v>
      </c>
      <c r="S3112" s="109" t="s">
        <v>144</v>
      </c>
      <c r="T3112" s="23" t="s">
        <v>147</v>
      </c>
      <c r="U3112" s="96">
        <f ca="1">U3098*1.01</f>
        <v>104524.99523141111</v>
      </c>
      <c r="V3112" s="109" t="s">
        <v>144</v>
      </c>
      <c r="W3112" s="23" t="s">
        <v>147</v>
      </c>
      <c r="X3112" s="96">
        <f ca="1">X3098*1.01</f>
        <v>255943.31864111006</v>
      </c>
      <c r="Y3112" s="109" t="s">
        <v>144</v>
      </c>
      <c r="Z3112" s="23" t="s">
        <v>147</v>
      </c>
      <c r="AA3112" s="96">
        <f ca="1">AA3098*1.01</f>
        <v>498512.25635472272</v>
      </c>
      <c r="AB3112" s="109" t="s">
        <v>144</v>
      </c>
      <c r="AC3112" s="23" t="s">
        <v>147</v>
      </c>
      <c r="AD3112" s="96">
        <f ca="1">AD3098*1.01</f>
        <v>836348.48969981365</v>
      </c>
      <c r="AE3112" s="109" t="s">
        <v>144</v>
      </c>
      <c r="AF3112" s="23" t="s">
        <v>147</v>
      </c>
      <c r="AG3112" s="96">
        <f ca="1">AG3098*1.01</f>
        <v>1220673.3996229139</v>
      </c>
      <c r="AH3112" s="109" t="s">
        <v>144</v>
      </c>
      <c r="AI3112" s="23" t="s">
        <v>147</v>
      </c>
      <c r="AJ3112" s="96">
        <f ca="1">AJ3098*1.01</f>
        <v>1628993.3838192828</v>
      </c>
      <c r="AK3112" s="109" t="s">
        <v>144</v>
      </c>
      <c r="AL3112" s="23" t="s">
        <v>147</v>
      </c>
      <c r="AM3112" s="96">
        <f ca="1">AM3098*1.01</f>
        <v>1987681.5020774244</v>
      </c>
      <c r="AN3112" s="109" t="s">
        <v>144</v>
      </c>
      <c r="AO3112" s="23" t="s">
        <v>147</v>
      </c>
      <c r="AP3112" s="96">
        <f ca="1">AP3098*1.01</f>
        <v>2307636.5170750972</v>
      </c>
      <c r="AQ3112" s="109" t="s">
        <v>144</v>
      </c>
      <c r="AR3112" s="23" t="s">
        <v>147</v>
      </c>
      <c r="AS3112" s="96">
        <f ca="1">AS3098*1.01</f>
        <v>2705885.3001683601</v>
      </c>
      <c r="AT3112" s="109" t="s">
        <v>144</v>
      </c>
      <c r="AU3112" s="23" t="s">
        <v>147</v>
      </c>
    </row>
    <row r="3113" spans="15:47" x14ac:dyDescent="0.25">
      <c r="O3113" s="1"/>
      <c r="P3113" s="1"/>
      <c r="Q3113" s="1"/>
      <c r="R3113" s="98"/>
      <c r="S3113" s="107"/>
      <c r="T3113" s="1"/>
      <c r="U3113" s="47"/>
      <c r="V3113" s="107"/>
      <c r="W3113" s="1"/>
      <c r="X3113" s="47"/>
      <c r="Y3113" s="107"/>
      <c r="Z3113" s="1"/>
      <c r="AA3113" s="47"/>
      <c r="AB3113" s="107"/>
      <c r="AC3113" s="1"/>
      <c r="AD3113" s="47"/>
      <c r="AE3113" s="107"/>
      <c r="AF3113" s="1"/>
      <c r="AG3113" s="47"/>
      <c r="AH3113" s="107"/>
      <c r="AI3113" s="1"/>
      <c r="AJ3113" s="47"/>
      <c r="AK3113" s="107"/>
      <c r="AL3113" s="1"/>
      <c r="AM3113" s="47"/>
      <c r="AN3113" s="107"/>
      <c r="AO3113" s="1"/>
      <c r="AP3113" s="47"/>
      <c r="AQ3113" s="107"/>
      <c r="AR3113" s="1"/>
      <c r="AS3113" s="47"/>
      <c r="AT3113" s="107"/>
      <c r="AU3113" s="1"/>
    </row>
    <row r="3114" spans="15:47" x14ac:dyDescent="0.25">
      <c r="O3114" s="8" t="s">
        <v>132</v>
      </c>
      <c r="P3114" s="8"/>
      <c r="Q3114" s="8"/>
      <c r="R3114" s="96">
        <f>P_1_minQ-(R3112^2*R_up)+dpup_minQ</f>
        <v>90.072491323219751</v>
      </c>
      <c r="S3114" s="106"/>
      <c r="T3114" s="22"/>
      <c r="U3114" s="96">
        <f ca="1">P_1_minQ-(U3112^2*R_up)+dpup_minQ</f>
        <v>88.193753569228818</v>
      </c>
      <c r="V3114" s="107"/>
      <c r="W3114" s="1"/>
      <c r="X3114" s="96">
        <f ca="1">P_1_minQ-(X3112^2*R_up)+dpup_minQ</f>
        <v>78.245678235830468</v>
      </c>
      <c r="Y3114" s="107"/>
      <c r="Z3114" s="1"/>
      <c r="AA3114" s="96">
        <f ca="1">P_1_minQ-(AA3112^2*R_up)+dpup_minQ</f>
        <v>44.890566829538912</v>
      </c>
      <c r="AB3114" s="107"/>
      <c r="AC3114" s="1"/>
      <c r="AD3114" s="96">
        <f ca="1">P_1_minQ-(AD3112^2*R_up)+dpup_minQ</f>
        <v>-37.302602235219112</v>
      </c>
      <c r="AE3114" s="107"/>
      <c r="AF3114" s="1"/>
      <c r="AG3114" s="96">
        <f ca="1">P_1_minQ-(AG3112^2*R_up)+dpup_minQ</f>
        <v>-181.39165435721952</v>
      </c>
      <c r="AH3114" s="107"/>
      <c r="AI3114" s="1"/>
      <c r="AJ3114" s="96">
        <f ca="1">P_1_minQ-(AJ3112^2*R_up)+dpup_minQ</f>
        <v>-393.4660574101656</v>
      </c>
      <c r="AK3114" s="107"/>
      <c r="AL3114" s="1"/>
      <c r="AM3114" s="96">
        <f ca="1">P_1_minQ-(AM3112^2*R_up)+dpup_minQ</f>
        <v>-629.9055389033623</v>
      </c>
      <c r="AN3114" s="107"/>
      <c r="AO3114" s="1"/>
      <c r="AP3114" s="96">
        <f ca="1">P_1_minQ-(AP3112^2*R_up)+dpup_minQ</f>
        <v>-880.38826590078997</v>
      </c>
      <c r="AQ3114" s="107"/>
      <c r="AR3114" s="1"/>
      <c r="AS3114" s="96">
        <f ca="1">P_1_minQ-(AS3112^2*R_up)+dpup_minQ</f>
        <v>-1244.295679978216</v>
      </c>
      <c r="AT3114" s="107"/>
      <c r="AU3114" s="1"/>
    </row>
    <row r="3115" spans="15:47" x14ac:dyDescent="0.25">
      <c r="O3115" s="8" t="s">
        <v>134</v>
      </c>
      <c r="P3115" s="1"/>
      <c r="Q3115" s="8"/>
      <c r="R3115" s="97">
        <f>P_2_minQ+(R3112^2*R_dn)-dpdn_minQ</f>
        <v>60</v>
      </c>
      <c r="S3115" s="106"/>
      <c r="T3115" s="22"/>
      <c r="U3115" s="97">
        <f ca="1">P_2_minQ+(U3112^2*R_dn)-dpdn_minQ</f>
        <v>60</v>
      </c>
      <c r="V3115" s="107"/>
      <c r="W3115" s="1"/>
      <c r="X3115" s="97">
        <f ca="1">P_2_minQ+(X3112^2*R_dn)-dpdn_minQ</f>
        <v>60</v>
      </c>
      <c r="Y3115" s="107"/>
      <c r="Z3115" s="1"/>
      <c r="AA3115" s="97">
        <f ca="1">P_2_minQ+(AA3112^2*R_dn)-dpdn_minQ</f>
        <v>60</v>
      </c>
      <c r="AB3115" s="107"/>
      <c r="AC3115" s="1"/>
      <c r="AD3115" s="97">
        <f ca="1">P_2_minQ+(AD3112^2*R_dn)-dpdn_minQ</f>
        <v>60</v>
      </c>
      <c r="AE3115" s="107"/>
      <c r="AF3115" s="1"/>
      <c r="AG3115" s="97">
        <f ca="1">P_2_minQ+(AG3112^2*R_dn)-dpdn_minQ</f>
        <v>60</v>
      </c>
      <c r="AH3115" s="107"/>
      <c r="AI3115" s="1"/>
      <c r="AJ3115" s="97">
        <f ca="1">P_2_minQ+(AJ3112^2*R_dn)-dpdn_minQ</f>
        <v>60</v>
      </c>
      <c r="AK3115" s="107"/>
      <c r="AL3115" s="1"/>
      <c r="AM3115" s="97">
        <f ca="1">P_2_minQ+(AM3112^2*R_dn)-dpdn_minQ</f>
        <v>60</v>
      </c>
      <c r="AN3115" s="107"/>
      <c r="AO3115" s="1"/>
      <c r="AP3115" s="97">
        <f ca="1">P_2_minQ+(AP3112^2*R_dn)-dpdn_minQ</f>
        <v>60</v>
      </c>
      <c r="AQ3115" s="107"/>
      <c r="AR3115" s="1"/>
      <c r="AS3115" s="97">
        <f ca="1">P_2_minQ+(AS3112^2*R_dn)-dpdn_minQ</f>
        <v>60</v>
      </c>
      <c r="AT3115" s="107"/>
      <c r="AU3115" s="1"/>
    </row>
    <row r="3116" spans="15:47" x14ac:dyDescent="0.25">
      <c r="O3116" s="8" t="s">
        <v>138</v>
      </c>
      <c r="P3116" s="1"/>
      <c r="Q3116" s="8"/>
      <c r="R3116" s="97">
        <f>R3114-R3115</f>
        <v>30.072491323219751</v>
      </c>
      <c r="S3116" s="106"/>
      <c r="T3116" s="22"/>
      <c r="U3116" s="97">
        <f ca="1">U3114-U3115</f>
        <v>28.193753569228818</v>
      </c>
      <c r="V3116" s="110"/>
      <c r="W3116" s="25"/>
      <c r="X3116" s="97">
        <f ca="1">X3114-X3115</f>
        <v>18.245678235830468</v>
      </c>
      <c r="Y3116" s="110"/>
      <c r="Z3116" s="25"/>
      <c r="AA3116" s="97">
        <f ca="1">AA3114-AA3115</f>
        <v>-15.109433170461088</v>
      </c>
      <c r="AB3116" s="110"/>
      <c r="AC3116" s="25"/>
      <c r="AD3116" s="97">
        <f ca="1">AD3114-AD3115</f>
        <v>-97.302602235219112</v>
      </c>
      <c r="AE3116" s="110"/>
      <c r="AF3116" s="25"/>
      <c r="AG3116" s="97">
        <f ca="1">AG3114-AG3115</f>
        <v>-241.39165435721952</v>
      </c>
      <c r="AH3116" s="110"/>
      <c r="AI3116" s="25"/>
      <c r="AJ3116" s="97">
        <f ca="1">AJ3114-AJ3115</f>
        <v>-453.4660574101656</v>
      </c>
      <c r="AK3116" s="110"/>
      <c r="AL3116" s="25"/>
      <c r="AM3116" s="97">
        <f ca="1">AM3114-AM3115</f>
        <v>-689.9055389033623</v>
      </c>
      <c r="AN3116" s="110"/>
      <c r="AO3116" s="25"/>
      <c r="AP3116" s="97">
        <f ca="1">AP3114-AP3115</f>
        <v>-940.38826590078997</v>
      </c>
      <c r="AQ3116" s="110"/>
      <c r="AR3116" s="25"/>
      <c r="AS3116" s="97">
        <f ca="1">AS3114-AS3115</f>
        <v>-1304.295679978216</v>
      </c>
      <c r="AT3116" s="110"/>
      <c r="AU3116" s="25"/>
    </row>
    <row r="3117" spans="15:47" ht="14.4" x14ac:dyDescent="0.3">
      <c r="O3117" s="2" t="s">
        <v>140</v>
      </c>
      <c r="P3117" s="11"/>
      <c r="Q3117" s="2"/>
      <c r="R3117" s="96">
        <f>R3116/R3114</f>
        <v>0.33386987393638767</v>
      </c>
      <c r="S3117" s="106"/>
      <c r="T3117" s="22"/>
      <c r="U3117" s="96">
        <f ca="1">U3116/U3114</f>
        <v>0.31967971004996143</v>
      </c>
      <c r="V3117" s="111"/>
      <c r="W3117" s="28"/>
      <c r="X3117" s="96">
        <f ca="1">X3116/X3114</f>
        <v>0.23318448567649272</v>
      </c>
      <c r="Y3117" s="111"/>
      <c r="Z3117" s="28"/>
      <c r="AA3117" s="96">
        <f ca="1">AA3116/AA3114</f>
        <v>-0.33658370204670196</v>
      </c>
      <c r="AB3117" s="111"/>
      <c r="AC3117" s="28"/>
      <c r="AD3117" s="96">
        <f ca="1">AD3116/AD3114</f>
        <v>2.6084668737493928</v>
      </c>
      <c r="AE3117" s="111"/>
      <c r="AF3117" s="28"/>
      <c r="AG3117" s="96">
        <f ca="1">AG3116/AG3114</f>
        <v>1.3307759676850424</v>
      </c>
      <c r="AH3117" s="111"/>
      <c r="AI3117" s="28"/>
      <c r="AJ3117" s="96">
        <f ca="1">AJ3116/AJ3114</f>
        <v>1.1524909172469062</v>
      </c>
      <c r="AK3117" s="111"/>
      <c r="AL3117" s="28"/>
      <c r="AM3117" s="96">
        <f ca="1">AM3116/AM3114</f>
        <v>1.0952523772127125</v>
      </c>
      <c r="AN3117" s="111"/>
      <c r="AO3117" s="28"/>
      <c r="AP3117" s="96">
        <f ca="1">AP3116/AP3114</f>
        <v>1.0681517488634513</v>
      </c>
      <c r="AQ3117" s="111"/>
      <c r="AR3117" s="28"/>
      <c r="AS3117" s="96">
        <f ca="1">AS3116/AS3114</f>
        <v>1.0482200500776877</v>
      </c>
      <c r="AT3117" s="111"/>
      <c r="AU3117" s="28"/>
    </row>
    <row r="3118" spans="15:47" x14ac:dyDescent="0.25">
      <c r="O3118" s="2" t="s">
        <v>21</v>
      </c>
      <c r="P3118" s="8">
        <v>12</v>
      </c>
      <c r="Q3118" s="2"/>
      <c r="R3118" s="96">
        <f ca="1">1-R3117/(3*F_GAMMA*R$29)</f>
        <v>0.82611750921697114</v>
      </c>
      <c r="S3118" s="106"/>
      <c r="T3118" s="22"/>
      <c r="U3118" s="96">
        <f ca="1">1-U3117/(3*F_GAMMA*U$29)</f>
        <v>0.83354655526791677</v>
      </c>
      <c r="V3118" s="111"/>
      <c r="W3118" s="28"/>
      <c r="X3118" s="96">
        <f ca="1">1-X3117/(3*F_GAMMA*X$29)</f>
        <v>0.87742719798295754</v>
      </c>
      <c r="Y3118" s="111"/>
      <c r="Z3118" s="28"/>
      <c r="AA3118" s="96">
        <f ca="1">1-AA3117/(3*F_GAMMA*AA$29)</f>
        <v>1.1794182635986754</v>
      </c>
      <c r="AB3118" s="111"/>
      <c r="AC3118" s="28"/>
      <c r="AD3118" s="96">
        <f ca="1">1-AD3117/(3*F_GAMMA*AD$29)</f>
        <v>-0.43358527319645779</v>
      </c>
      <c r="AE3118" s="111"/>
      <c r="AF3118" s="28"/>
      <c r="AG3118" s="96">
        <f ca="1">1-AG3117/(3*F_GAMMA*AG$29)</f>
        <v>0.22473254853927027</v>
      </c>
      <c r="AH3118" s="111"/>
      <c r="AI3118" s="28"/>
      <c r="AJ3118" s="96">
        <f ca="1">1-AJ3117/(3*F_GAMMA*AJ$29)</f>
        <v>0.27766090301430824</v>
      </c>
      <c r="AK3118" s="111"/>
      <c r="AL3118" s="28"/>
      <c r="AM3118" s="96">
        <f ca="1">1-AM3117/(3*F_GAMMA*AM$29)</f>
        <v>0.232476575376804</v>
      </c>
      <c r="AN3118" s="111"/>
      <c r="AO3118" s="28"/>
      <c r="AP3118" s="96">
        <f ca="1">1-AP3117/(3*F_GAMMA*AP$29)</f>
        <v>0.39707788001507305</v>
      </c>
      <c r="AQ3118" s="111"/>
      <c r="AR3118" s="28"/>
      <c r="AS3118" s="96">
        <f ca="1">1-AS3117/(3*F_GAMMA*AS$29)</f>
        <v>7.2428987444993154E-2</v>
      </c>
      <c r="AT3118" s="111"/>
      <c r="AU3118" s="28"/>
    </row>
    <row r="3119" spans="15:47" x14ac:dyDescent="0.25">
      <c r="O3119" s="2" t="s">
        <v>57</v>
      </c>
      <c r="P3119" s="143">
        <v>7</v>
      </c>
      <c r="Q3119" s="2"/>
      <c r="R3119" s="96">
        <f ca="1">(R3112/(N_9*R$27*R3114*R3118))*SQRT(M*'Valve Sizing'!$W$6*'Valve Sizing'!$G$8/R3117)</f>
        <v>10.05513409673722</v>
      </c>
      <c r="S3119" s="107"/>
      <c r="T3119" s="22"/>
      <c r="U3119" s="96">
        <f ca="1">(U3112/(N_9*U$27*U3114*U3118))*SQRT(M*'Valve Sizing'!$W$6*'Valve Sizing'!$G$8/U3117)</f>
        <v>43.778999311051436</v>
      </c>
      <c r="V3119" s="111"/>
      <c r="W3119" s="28"/>
      <c r="X3119" s="96">
        <f ca="1">(X3112/(N_9*X$27*X3114*X3118))*SQRT(M*'Valve Sizing'!$W$6*'Valve Sizing'!$G$8/X3117)</f>
        <v>134.7075747370848</v>
      </c>
      <c r="Y3119" s="111"/>
      <c r="Z3119" s="28"/>
      <c r="AA3119" s="96" t="e">
        <f ca="1">(AA3112/(N_9*AA$27*AA3114*AA3118))*SQRT(M*'Valve Sizing'!$W$6*'Valve Sizing'!$G$8/AA3117)</f>
        <v>#NUM!</v>
      </c>
      <c r="AB3119" s="111"/>
      <c r="AC3119" s="28"/>
      <c r="AD3119" s="96">
        <f ca="1">(AD3112/(N_9*AD$27*AD3114*AD3118))*SQRT(M*'Valve Sizing'!$W$6*'Valve Sizing'!$G$8/AD3117)</f>
        <v>568.94068063354041</v>
      </c>
      <c r="AE3119" s="111"/>
      <c r="AF3119" s="28"/>
      <c r="AG3119" s="96">
        <f ca="1">(AG3112/(N_9*AG$27*AG3114*AG3118))*SQRT(M*'Valve Sizing'!$W$6*'Valve Sizing'!$G$8/AG3117)</f>
        <v>-471.64481790459973</v>
      </c>
      <c r="AH3119" s="111"/>
      <c r="AI3119" s="28"/>
      <c r="AJ3119" s="96">
        <f ca="1">(AJ3112/(N_9*AJ$27*AJ3114*AJ3118))*SQRT(M*'Valve Sizing'!$W$6*'Valve Sizing'!$G$8/AJ3117)</f>
        <v>-261.48870732180649</v>
      </c>
      <c r="AK3119" s="111"/>
      <c r="AL3119" s="28"/>
      <c r="AM3119" s="96">
        <f ca="1">(AM3112/(N_9*AM$27*AM3114*AM3118))*SQRT(M*'Valve Sizing'!$W$6*'Valve Sizing'!$G$8/AM3117)</f>
        <v>-259.07656988854183</v>
      </c>
      <c r="AN3119" s="111"/>
      <c r="AO3119" s="28"/>
      <c r="AP3119" s="96">
        <f ca="1">(AP3112/(N_9*AP$27*AP3114*AP3118))*SQRT(M*'Valve Sizing'!$W$6*'Valve Sizing'!$G$8/AP3117)</f>
        <v>-145.21467993116022</v>
      </c>
      <c r="AQ3119" s="111"/>
      <c r="AR3119" s="28"/>
      <c r="AS3119" s="96">
        <f ca="1">(AS3112/(N_9*AS$27*AS3114*AS3118))*SQRT(M*'Valve Sizing'!$W$6*'Valve Sizing'!$G$8/AS3117)</f>
        <v>-893.02517435003472</v>
      </c>
      <c r="AT3119" s="111"/>
      <c r="AU3119" s="28"/>
    </row>
    <row r="3120" spans="15:47" x14ac:dyDescent="0.25">
      <c r="O3120" s="2" t="s">
        <v>59</v>
      </c>
      <c r="P3120" s="143">
        <v>7</v>
      </c>
      <c r="Q3120" s="2"/>
      <c r="R3120" s="96">
        <f ca="1">(R3112/(N_9*R$27*R3114*0.667))*SQRT(M*'Valve Sizing'!$W$6*'Valve Sizing'!$G$8/R3121)</f>
        <v>8.994818687207573</v>
      </c>
      <c r="S3120" s="107"/>
      <c r="T3120" s="22"/>
      <c r="U3120" s="96">
        <f ca="1">(U3112/(N_9*U$27*U3114*0.667))*SQRT(M*'Valve Sizing'!$W$6*'Valve Sizing'!$G$8/U3121)</f>
        <v>38.661337856199999</v>
      </c>
      <c r="V3120" s="111"/>
      <c r="W3120" s="28"/>
      <c r="X3120" s="96">
        <f ca="1">(X3112/(N_9*X$27*X3114*0.667))*SQRT(M*'Valve Sizing'!$W$6*'Valve Sizing'!$G$8/X3121)</f>
        <v>107.45706144390108</v>
      </c>
      <c r="Y3120" s="111"/>
      <c r="Z3120" s="28"/>
      <c r="AA3120" s="96">
        <f ca="1">(AA3112/(N_9*AA$27*AA3114*0.667))*SQRT(M*'Valve Sizing'!$W$6*'Valve Sizing'!$G$8/AA3121)</f>
        <v>369.55701015855476</v>
      </c>
      <c r="AB3120" s="111"/>
      <c r="AC3120" s="28"/>
      <c r="AD3120" s="96">
        <f ca="1">(AD3112/(N_9*AD$27*AD3114*0.667))*SQRT(M*'Valve Sizing'!$W$6*'Valve Sizing'!$G$8/AD3121)</f>
        <v>-766.98711802909986</v>
      </c>
      <c r="AE3120" s="111"/>
      <c r="AF3120" s="28"/>
      <c r="AG3120" s="96">
        <f ca="1">(AG3112/(N_9*AG$27*AG3114*0.667))*SQRT(M*'Valve Sizing'!$W$6*'Valve Sizing'!$G$8/AG3121)</f>
        <v>-242.34921254836141</v>
      </c>
      <c r="AH3120" s="111"/>
      <c r="AI3120" s="28"/>
      <c r="AJ3120" s="96">
        <f ca="1">(AJ3112/(N_9*AJ$27*AJ3114*0.667))*SQRT(M*'Valve Sizing'!$W$6*'Valve Sizing'!$G$8/AJ3121)</f>
        <v>-160.24077039756855</v>
      </c>
      <c r="AK3120" s="111"/>
      <c r="AL3120" s="28"/>
      <c r="AM3120" s="96">
        <f ca="1">(AM3112/(N_9*AM$27*AM3114*0.667))*SQRT(M*'Valve Sizing'!$W$6*'Valve Sizing'!$G$8/AM3121)</f>
        <v>-137.02125808482583</v>
      </c>
      <c r="AN3120" s="111"/>
      <c r="AO3120" s="28"/>
      <c r="AP3120" s="96">
        <f ca="1">(AP3112/(N_9*AP$27*AP3114*0.667))*SQRT(M*'Valve Sizing'!$W$6*'Valve Sizing'!$G$8/AP3121)</f>
        <v>-116.26570213775079</v>
      </c>
      <c r="AQ3120" s="111"/>
      <c r="AR3120" s="28"/>
      <c r="AS3120" s="96">
        <f ca="1">(AS3112/(N_9*AS$27*AS3114*0.667))*SQRT(M*'Valve Sizing'!$W$6*'Valve Sizing'!$G$8/AS3121)</f>
        <v>-161.76497431099241</v>
      </c>
      <c r="AT3120" s="111"/>
      <c r="AU3120" s="28"/>
    </row>
    <row r="3121" spans="15:47" ht="15.6" x14ac:dyDescent="0.35">
      <c r="O3121" s="2" t="s">
        <v>68</v>
      </c>
      <c r="P3121" s="143">
        <v>10</v>
      </c>
      <c r="Q3121" s="2"/>
      <c r="R3121" s="96">
        <f ca="1">F_GAMMA*R$29</f>
        <v>0.64002969751372984</v>
      </c>
      <c r="S3121" s="107"/>
      <c r="T3121" s="1"/>
      <c r="U3121" s="96">
        <f ca="1">F_GAMMA*U$29</f>
        <v>0.64017842058782071</v>
      </c>
      <c r="V3121" s="111"/>
      <c r="W3121" s="28"/>
      <c r="X3121" s="96">
        <f ca="1">F_GAMMA*X$29</f>
        <v>0.63413873724904268</v>
      </c>
      <c r="Y3121" s="111"/>
      <c r="Z3121" s="28"/>
      <c r="AA3121" s="96">
        <f ca="1">F_GAMMA*AA$29</f>
        <v>0.62532411750377137</v>
      </c>
      <c r="AB3121" s="111"/>
      <c r="AC3121" s="28"/>
      <c r="AD3121" s="96">
        <f ca="1">F_GAMMA*AD$29</f>
        <v>0.60651359509139569</v>
      </c>
      <c r="AE3121" s="111"/>
      <c r="AF3121" s="28"/>
      <c r="AG3121" s="96">
        <f ca="1">F_GAMMA*AG$29</f>
        <v>0.57217930198481592</v>
      </c>
      <c r="AH3121" s="111"/>
      <c r="AI3121" s="28"/>
      <c r="AJ3121" s="96">
        <f ca="1">F_GAMMA*AJ$29</f>
        <v>0.53183282018848232</v>
      </c>
      <c r="AK3121" s="111"/>
      <c r="AL3121" s="28"/>
      <c r="AM3121" s="96">
        <f ca="1">F_GAMMA*AM$29</f>
        <v>0.47566512503094399</v>
      </c>
      <c r="AN3121" s="111"/>
      <c r="AO3121" s="28"/>
      <c r="AP3121" s="96">
        <f ca="1">F_GAMMA*AP$29</f>
        <v>0.59054158265645496</v>
      </c>
      <c r="AQ3121" s="111"/>
      <c r="AR3121" s="28"/>
      <c r="AS3121" s="96">
        <f ca="1">F_GAMMA*AS$29</f>
        <v>0.3766899554102966</v>
      </c>
      <c r="AT3121" s="111"/>
      <c r="AU3121" s="28"/>
    </row>
    <row r="3122" spans="15:47" x14ac:dyDescent="0.25">
      <c r="O3122" s="2" t="s">
        <v>145</v>
      </c>
      <c r="P3122" s="12"/>
      <c r="Q3122" s="2"/>
      <c r="R3122" s="96">
        <f ca="1">IF(R3117&lt;R3121,R3119,R3120)</f>
        <v>10.05513409673722</v>
      </c>
      <c r="S3122" s="116"/>
      <c r="T3122" s="1"/>
      <c r="U3122" s="96">
        <f ca="1">IF(U3117&lt;U3121,U3119,U3120)</f>
        <v>43.778999311051436</v>
      </c>
      <c r="V3122" s="111"/>
      <c r="W3122" s="28"/>
      <c r="X3122" s="96">
        <f ca="1">IF(X3117&lt;X3121,X3119,X3120)</f>
        <v>134.7075747370848</v>
      </c>
      <c r="Y3122" s="111"/>
      <c r="Z3122" s="28"/>
      <c r="AA3122" s="96" t="e">
        <f ca="1">IF(AA3117&lt;AA3121,AA3119,AA3120)</f>
        <v>#NUM!</v>
      </c>
      <c r="AB3122" s="111"/>
      <c r="AC3122" s="28"/>
      <c r="AD3122" s="96">
        <f ca="1">IF(AD3117&lt;AD3121,AD3119,AD3120)</f>
        <v>-766.98711802909986</v>
      </c>
      <c r="AE3122" s="111"/>
      <c r="AF3122" s="28"/>
      <c r="AG3122" s="96">
        <f ca="1">IF(AG3117&lt;AG3121,AG3119,AG3120)</f>
        <v>-242.34921254836141</v>
      </c>
      <c r="AH3122" s="111"/>
      <c r="AI3122" s="28"/>
      <c r="AJ3122" s="96">
        <f ca="1">IF(AJ3117&lt;AJ3121,AJ3119,AJ3120)</f>
        <v>-160.24077039756855</v>
      </c>
      <c r="AK3122" s="111"/>
      <c r="AL3122" s="28"/>
      <c r="AM3122" s="96">
        <f ca="1">IF(AM3117&lt;AM3121,AM3119,AM3120)</f>
        <v>-137.02125808482583</v>
      </c>
      <c r="AN3122" s="111"/>
      <c r="AO3122" s="28"/>
      <c r="AP3122" s="96">
        <f ca="1">IF(AP3117&lt;AP3121,AP3119,AP3120)</f>
        <v>-116.26570213775079</v>
      </c>
      <c r="AQ3122" s="111"/>
      <c r="AR3122" s="28"/>
      <c r="AS3122" s="96">
        <f ca="1">IF(AS3117&lt;AS3121,AS3119,AS3120)</f>
        <v>-161.76497431099241</v>
      </c>
      <c r="AT3122" s="111"/>
      <c r="AU3122" s="28"/>
    </row>
    <row r="3123" spans="15:47" x14ac:dyDescent="0.25">
      <c r="O3123" s="13" t="s">
        <v>143</v>
      </c>
      <c r="P3123" s="1"/>
      <c r="Q3123" s="1"/>
      <c r="R3123" s="113"/>
      <c r="S3123" s="106">
        <f ca="1">IF(R3116&lt;=0,Q_max,ABS(R$23-R3122))</f>
        <v>5.3251340967372194</v>
      </c>
      <c r="T3123" s="7">
        <f>R3112</f>
        <v>24849.888886861059</v>
      </c>
      <c r="U3123" s="98"/>
      <c r="V3123" s="106">
        <f ca="1">IF(U3116&lt;=0,Q_max,ABS(U$23-U3122))</f>
        <v>32.178999311051435</v>
      </c>
      <c r="W3123" s="9">
        <f ca="1">U3112</f>
        <v>104524.99523141111</v>
      </c>
      <c r="X3123" s="98"/>
      <c r="Y3123" s="106">
        <f ca="1">IF(X3116&lt;=0,Q_max,ABS(X$23-X3122))</f>
        <v>111.7075747370848</v>
      </c>
      <c r="Z3123" s="9">
        <f ca="1">X3112</f>
        <v>255943.31864111006</v>
      </c>
      <c r="AA3123" s="98"/>
      <c r="AB3123" s="106">
        <f ca="1">IF(AA3116&lt;=0,Q_max,ABS(AA$23-AA3122))</f>
        <v>236393</v>
      </c>
      <c r="AC3123" s="9">
        <f ca="1">AA3112</f>
        <v>498512.25635472272</v>
      </c>
      <c r="AD3123" s="98"/>
      <c r="AE3123" s="106">
        <f ca="1">IF(AD3116&lt;=0,Q_max,ABS(AD$23-AD3122))</f>
        <v>236393</v>
      </c>
      <c r="AF3123" s="9">
        <f ca="1">AD3112</f>
        <v>836348.48969981365</v>
      </c>
      <c r="AG3123" s="98"/>
      <c r="AH3123" s="106">
        <f ca="1">IF(AG3116&lt;=0,Q_max,ABS(AG$23-AG3122))</f>
        <v>236393</v>
      </c>
      <c r="AI3123" s="9">
        <f ca="1">AG3112</f>
        <v>1220673.3996229139</v>
      </c>
      <c r="AJ3123" s="98"/>
      <c r="AK3123" s="106">
        <f ca="1">IF(AJ3116&lt;=0,Q_max,ABS(AJ$23-AJ3122))</f>
        <v>236393</v>
      </c>
      <c r="AL3123" s="9">
        <f ca="1">AJ3112</f>
        <v>1628993.3838192828</v>
      </c>
      <c r="AM3123" s="98"/>
      <c r="AN3123" s="106">
        <f ca="1">IF(AM3116&lt;=0,Q_max,ABS(AM$23-AM3122))</f>
        <v>236393</v>
      </c>
      <c r="AO3123" s="9">
        <f ca="1">AM3112</f>
        <v>1987681.5020774244</v>
      </c>
      <c r="AP3123" s="98"/>
      <c r="AQ3123" s="106">
        <f ca="1">IF(AP3116&lt;=0,Q_max,ABS(AP$23-AP3122))</f>
        <v>236393</v>
      </c>
      <c r="AR3123" s="9">
        <f ca="1">AP3112</f>
        <v>2307636.5170750972</v>
      </c>
      <c r="AS3123" s="98"/>
      <c r="AT3123" s="106">
        <f ca="1">IF(AS3116&lt;=0,Q_max,ABS(AS$23-AS3122))</f>
        <v>236393</v>
      </c>
      <c r="AU3123" s="9">
        <f ca="1">AS3112</f>
        <v>2705885.3001683601</v>
      </c>
    </row>
    <row r="3124" spans="15:47" x14ac:dyDescent="0.25">
      <c r="O3124" s="21"/>
      <c r="P3124" s="14"/>
      <c r="Q3124" s="21"/>
      <c r="R3124" s="97"/>
      <c r="S3124" s="106"/>
      <c r="T3124" s="28"/>
      <c r="U3124" s="97"/>
      <c r="V3124" s="111"/>
      <c r="W3124" s="28"/>
      <c r="X3124" s="97"/>
      <c r="Y3124" s="111"/>
      <c r="Z3124" s="28"/>
      <c r="AA3124" s="97"/>
      <c r="AB3124" s="111"/>
      <c r="AC3124" s="28"/>
      <c r="AD3124" s="97"/>
      <c r="AE3124" s="111"/>
      <c r="AF3124" s="28"/>
      <c r="AG3124" s="97"/>
      <c r="AH3124" s="111"/>
      <c r="AI3124" s="28"/>
      <c r="AJ3124" s="97"/>
      <c r="AK3124" s="111"/>
      <c r="AL3124" s="28"/>
      <c r="AM3124" s="97"/>
      <c r="AN3124" s="111"/>
      <c r="AO3124" s="28"/>
      <c r="AP3124" s="97"/>
      <c r="AQ3124" s="111"/>
      <c r="AR3124" s="28"/>
      <c r="AS3124" s="97"/>
      <c r="AT3124" s="111"/>
      <c r="AU3124" s="28"/>
    </row>
    <row r="3125" spans="15:47" x14ac:dyDescent="0.25">
      <c r="O3125" s="1"/>
      <c r="P3125" s="1"/>
      <c r="Q3125" s="1"/>
      <c r="R3125" s="98"/>
      <c r="S3125" s="108" t="s">
        <v>137</v>
      </c>
      <c r="T3125" s="26" t="s">
        <v>146</v>
      </c>
      <c r="U3125" s="98"/>
      <c r="V3125" s="108" t="s">
        <v>137</v>
      </c>
      <c r="W3125" s="26" t="s">
        <v>146</v>
      </c>
      <c r="X3125" s="98"/>
      <c r="Y3125" s="108" t="s">
        <v>137</v>
      </c>
      <c r="Z3125" s="26" t="s">
        <v>146</v>
      </c>
      <c r="AA3125" s="98"/>
      <c r="AB3125" s="108" t="s">
        <v>137</v>
      </c>
      <c r="AC3125" s="26" t="s">
        <v>146</v>
      </c>
      <c r="AD3125" s="98"/>
      <c r="AE3125" s="108" t="s">
        <v>137</v>
      </c>
      <c r="AF3125" s="26" t="s">
        <v>146</v>
      </c>
      <c r="AG3125" s="98"/>
      <c r="AH3125" s="108" t="s">
        <v>137</v>
      </c>
      <c r="AI3125" s="26" t="s">
        <v>146</v>
      </c>
      <c r="AJ3125" s="98"/>
      <c r="AK3125" s="108" t="s">
        <v>137</v>
      </c>
      <c r="AL3125" s="26" t="s">
        <v>146</v>
      </c>
      <c r="AM3125" s="98"/>
      <c r="AN3125" s="108" t="s">
        <v>137</v>
      </c>
      <c r="AO3125" s="26" t="s">
        <v>146</v>
      </c>
      <c r="AP3125" s="98"/>
      <c r="AQ3125" s="108" t="s">
        <v>137</v>
      </c>
      <c r="AR3125" s="26" t="s">
        <v>146</v>
      </c>
      <c r="AS3125" s="98"/>
      <c r="AT3125" s="108" t="s">
        <v>137</v>
      </c>
      <c r="AU3125" s="26" t="s">
        <v>146</v>
      </c>
    </row>
    <row r="3126" spans="15:47" ht="13.8" x14ac:dyDescent="0.25">
      <c r="O3126" s="20" t="s">
        <v>136</v>
      </c>
      <c r="P3126" s="1"/>
      <c r="Q3126" s="1"/>
      <c r="R3126" s="96">
        <f>R3112*1.02</f>
        <v>25346.886664598282</v>
      </c>
      <c r="S3126" s="109" t="s">
        <v>144</v>
      </c>
      <c r="T3126" s="23" t="s">
        <v>147</v>
      </c>
      <c r="U3126" s="96">
        <f ca="1">U3112*1.01</f>
        <v>105570.24518372523</v>
      </c>
      <c r="V3126" s="109" t="s">
        <v>144</v>
      </c>
      <c r="W3126" s="23" t="s">
        <v>147</v>
      </c>
      <c r="X3126" s="96">
        <f ca="1">X3112*1.01</f>
        <v>258502.75182752116</v>
      </c>
      <c r="Y3126" s="109" t="s">
        <v>144</v>
      </c>
      <c r="Z3126" s="23" t="s">
        <v>147</v>
      </c>
      <c r="AA3126" s="96">
        <f ca="1">AA3112*1.01</f>
        <v>503497.37891826994</v>
      </c>
      <c r="AB3126" s="109" t="s">
        <v>144</v>
      </c>
      <c r="AC3126" s="23" t="s">
        <v>147</v>
      </c>
      <c r="AD3126" s="96">
        <f ca="1">AD3112*1.01</f>
        <v>844711.97459681181</v>
      </c>
      <c r="AE3126" s="109" t="s">
        <v>144</v>
      </c>
      <c r="AF3126" s="23" t="s">
        <v>147</v>
      </c>
      <c r="AG3126" s="96">
        <f ca="1">AG3112*1.01</f>
        <v>1232880.1336191432</v>
      </c>
      <c r="AH3126" s="109" t="s">
        <v>144</v>
      </c>
      <c r="AI3126" s="23" t="s">
        <v>147</v>
      </c>
      <c r="AJ3126" s="96">
        <f ca="1">AJ3112*1.01</f>
        <v>1645283.3176574756</v>
      </c>
      <c r="AK3126" s="109" t="s">
        <v>144</v>
      </c>
      <c r="AL3126" s="23" t="s">
        <v>147</v>
      </c>
      <c r="AM3126" s="96">
        <f ca="1">AM3112*1.01</f>
        <v>2007558.3170981987</v>
      </c>
      <c r="AN3126" s="109" t="s">
        <v>144</v>
      </c>
      <c r="AO3126" s="23" t="s">
        <v>147</v>
      </c>
      <c r="AP3126" s="96">
        <f ca="1">AP3112*1.01</f>
        <v>2330712.882245848</v>
      </c>
      <c r="AQ3126" s="109" t="s">
        <v>144</v>
      </c>
      <c r="AR3126" s="23" t="s">
        <v>147</v>
      </c>
      <c r="AS3126" s="96">
        <f ca="1">AS3112*1.01</f>
        <v>2732944.1531700436</v>
      </c>
      <c r="AT3126" s="109" t="s">
        <v>144</v>
      </c>
      <c r="AU3126" s="23" t="s">
        <v>147</v>
      </c>
    </row>
    <row r="3127" spans="15:47" x14ac:dyDescent="0.25">
      <c r="O3127" s="1"/>
      <c r="P3127" s="1"/>
      <c r="Q3127" s="1"/>
      <c r="R3127" s="98"/>
      <c r="S3127" s="107"/>
      <c r="T3127" s="1"/>
      <c r="U3127" s="47"/>
      <c r="V3127" s="107"/>
      <c r="W3127" s="1"/>
      <c r="X3127" s="47"/>
      <c r="Y3127" s="107"/>
      <c r="Z3127" s="1"/>
      <c r="AA3127" s="47"/>
      <c r="AB3127" s="107"/>
      <c r="AC3127" s="1"/>
      <c r="AD3127" s="47"/>
      <c r="AE3127" s="107"/>
      <c r="AF3127" s="1"/>
      <c r="AG3127" s="47"/>
      <c r="AH3127" s="107"/>
      <c r="AI3127" s="1"/>
      <c r="AJ3127" s="47"/>
      <c r="AK3127" s="107"/>
      <c r="AL3127" s="1"/>
      <c r="AM3127" s="47"/>
      <c r="AN3127" s="107"/>
      <c r="AO3127" s="1"/>
      <c r="AP3127" s="47"/>
      <c r="AQ3127" s="107"/>
      <c r="AR3127" s="1"/>
      <c r="AS3127" s="47"/>
      <c r="AT3127" s="107"/>
      <c r="AU3127" s="1"/>
    </row>
    <row r="3128" spans="15:47" x14ac:dyDescent="0.25">
      <c r="O3128" s="8" t="s">
        <v>132</v>
      </c>
      <c r="P3128" s="8"/>
      <c r="Q3128" s="8"/>
      <c r="R3128" s="96">
        <f>P_1_minQ-(R3126^2*R_up)+dpup_minQ</f>
        <v>90.067944335255504</v>
      </c>
      <c r="S3128" s="106"/>
      <c r="T3128" s="22"/>
      <c r="U3128" s="96">
        <f ca="1">P_1_minQ-(U3126^2*R_up)+dpup_minQ</f>
        <v>88.153728701312176</v>
      </c>
      <c r="V3128" s="107"/>
      <c r="W3128" s="1"/>
      <c r="X3128" s="96">
        <f ca="1">P_1_minQ-(X3126^2*R_up)+dpup_minQ</f>
        <v>78.005697053712538</v>
      </c>
      <c r="Y3128" s="107"/>
      <c r="Z3128" s="1"/>
      <c r="AA3128" s="96">
        <f ca="1">P_1_minQ-(AA3126^2*R_up)+dpup_minQ</f>
        <v>43.980147908154507</v>
      </c>
      <c r="AB3128" s="107"/>
      <c r="AC3128" s="1"/>
      <c r="AD3128" s="96">
        <f ca="1">P_1_minQ-(AD3126^2*R_up)+dpup_minQ</f>
        <v>-39.86510385480517</v>
      </c>
      <c r="AE3128" s="107"/>
      <c r="AF3128" s="1"/>
      <c r="AG3128" s="96">
        <f ca="1">P_1_minQ-(AG3126^2*R_up)+dpup_minQ</f>
        <v>-186.85034592445783</v>
      </c>
      <c r="AH3128" s="107"/>
      <c r="AI3128" s="1"/>
      <c r="AJ3128" s="96">
        <f ca="1">P_1_minQ-(AJ3126^2*R_up)+dpup_minQ</f>
        <v>-403.18744447876804</v>
      </c>
      <c r="AK3128" s="107"/>
      <c r="AL3128" s="1"/>
      <c r="AM3128" s="96">
        <f ca="1">P_1_minQ-(AM3126^2*R_up)+dpup_minQ</f>
        <v>-644.37935954997806</v>
      </c>
      <c r="AN3128" s="107"/>
      <c r="AO3128" s="1"/>
      <c r="AP3128" s="96">
        <f ca="1">P_1_minQ-(AP3126^2*R_up)+dpup_minQ</f>
        <v>-899.89678936005384</v>
      </c>
      <c r="AQ3128" s="107"/>
      <c r="AR3128" s="1"/>
      <c r="AS3128" s="96">
        <f ca="1">P_1_minQ-(AS3126^2*R_up)+dpup_minQ</f>
        <v>-1271.1187424604361</v>
      </c>
      <c r="AT3128" s="107"/>
      <c r="AU3128" s="1"/>
    </row>
    <row r="3129" spans="15:47" x14ac:dyDescent="0.25">
      <c r="O3129" s="8" t="s">
        <v>134</v>
      </c>
      <c r="P3129" s="1"/>
      <c r="Q3129" s="8"/>
      <c r="R3129" s="97">
        <f>P_2_minQ+(R3126^2*R_dn)-dpdn_minQ</f>
        <v>60</v>
      </c>
      <c r="S3129" s="106"/>
      <c r="T3129" s="22"/>
      <c r="U3129" s="97">
        <f ca="1">P_2_minQ+(U3126^2*R_dn)-dpdn_minQ</f>
        <v>60</v>
      </c>
      <c r="V3129" s="107"/>
      <c r="W3129" s="1"/>
      <c r="X3129" s="97">
        <f ca="1">P_2_minQ+(X3126^2*R_dn)-dpdn_minQ</f>
        <v>60</v>
      </c>
      <c r="Y3129" s="107"/>
      <c r="Z3129" s="1"/>
      <c r="AA3129" s="97">
        <f ca="1">P_2_minQ+(AA3126^2*R_dn)-dpdn_minQ</f>
        <v>60</v>
      </c>
      <c r="AB3129" s="107"/>
      <c r="AC3129" s="1"/>
      <c r="AD3129" s="97">
        <f ca="1">P_2_minQ+(AD3126^2*R_dn)-dpdn_minQ</f>
        <v>60</v>
      </c>
      <c r="AE3129" s="107"/>
      <c r="AF3129" s="1"/>
      <c r="AG3129" s="97">
        <f ca="1">P_2_minQ+(AG3126^2*R_dn)-dpdn_minQ</f>
        <v>60</v>
      </c>
      <c r="AH3129" s="107"/>
      <c r="AI3129" s="1"/>
      <c r="AJ3129" s="97">
        <f ca="1">P_2_minQ+(AJ3126^2*R_dn)-dpdn_minQ</f>
        <v>60</v>
      </c>
      <c r="AK3129" s="107"/>
      <c r="AL3129" s="1"/>
      <c r="AM3129" s="97">
        <f ca="1">P_2_minQ+(AM3126^2*R_dn)-dpdn_minQ</f>
        <v>60</v>
      </c>
      <c r="AN3129" s="107"/>
      <c r="AO3129" s="1"/>
      <c r="AP3129" s="97">
        <f ca="1">P_2_minQ+(AP3126^2*R_dn)-dpdn_minQ</f>
        <v>60</v>
      </c>
      <c r="AQ3129" s="107"/>
      <c r="AR3129" s="1"/>
      <c r="AS3129" s="97">
        <f ca="1">P_2_minQ+(AS3126^2*R_dn)-dpdn_minQ</f>
        <v>60</v>
      </c>
      <c r="AT3129" s="107"/>
      <c r="AU3129" s="1"/>
    </row>
    <row r="3130" spans="15:47" x14ac:dyDescent="0.25">
      <c r="O3130" s="8" t="s">
        <v>138</v>
      </c>
      <c r="P3130" s="1"/>
      <c r="Q3130" s="8"/>
      <c r="R3130" s="97">
        <f>R3128-R3129</f>
        <v>30.067944335255504</v>
      </c>
      <c r="S3130" s="106"/>
      <c r="T3130" s="22"/>
      <c r="U3130" s="97">
        <f ca="1">U3128-U3129</f>
        <v>28.153728701312176</v>
      </c>
      <c r="V3130" s="110"/>
      <c r="W3130" s="25"/>
      <c r="X3130" s="97">
        <f ca="1">X3128-X3129</f>
        <v>18.005697053712538</v>
      </c>
      <c r="Y3130" s="110"/>
      <c r="Z3130" s="25"/>
      <c r="AA3130" s="97">
        <f ca="1">AA3128-AA3129</f>
        <v>-16.019852091845493</v>
      </c>
      <c r="AB3130" s="110"/>
      <c r="AC3130" s="25"/>
      <c r="AD3130" s="97">
        <f ca="1">AD3128-AD3129</f>
        <v>-99.86510385480517</v>
      </c>
      <c r="AE3130" s="110"/>
      <c r="AF3130" s="25"/>
      <c r="AG3130" s="97">
        <f ca="1">AG3128-AG3129</f>
        <v>-246.85034592445783</v>
      </c>
      <c r="AH3130" s="110"/>
      <c r="AI3130" s="25"/>
      <c r="AJ3130" s="97">
        <f ca="1">AJ3128-AJ3129</f>
        <v>-463.18744447876804</v>
      </c>
      <c r="AK3130" s="110"/>
      <c r="AL3130" s="25"/>
      <c r="AM3130" s="97">
        <f ca="1">AM3128-AM3129</f>
        <v>-704.37935954997806</v>
      </c>
      <c r="AN3130" s="110"/>
      <c r="AO3130" s="25"/>
      <c r="AP3130" s="97">
        <f ca="1">AP3128-AP3129</f>
        <v>-959.89678936005384</v>
      </c>
      <c r="AQ3130" s="110"/>
      <c r="AR3130" s="25"/>
      <c r="AS3130" s="97">
        <f ca="1">AS3128-AS3129</f>
        <v>-1331.1187424604361</v>
      </c>
      <c r="AT3130" s="110"/>
      <c r="AU3130" s="25"/>
    </row>
    <row r="3131" spans="15:47" ht="14.4" x14ac:dyDescent="0.3">
      <c r="O3131" s="2" t="s">
        <v>140</v>
      </c>
      <c r="P3131" s="11"/>
      <c r="Q3131" s="2"/>
      <c r="R3131" s="96">
        <f>R3130/R3128</f>
        <v>0.33383624503891268</v>
      </c>
      <c r="S3131" s="106"/>
      <c r="T3131" s="22"/>
      <c r="U3131" s="96">
        <f ca="1">U3130/U3128</f>
        <v>0.31937082090655916</v>
      </c>
      <c r="V3131" s="111"/>
      <c r="W3131" s="28"/>
      <c r="X3131" s="96">
        <f ca="1">X3130/X3128</f>
        <v>0.23082541062756376</v>
      </c>
      <c r="Y3131" s="111"/>
      <c r="Z3131" s="28"/>
      <c r="AA3131" s="96">
        <f ca="1">AA3130/AA3128</f>
        <v>-0.36425189213325038</v>
      </c>
      <c r="AB3131" s="111"/>
      <c r="AC3131" s="28"/>
      <c r="AD3131" s="96">
        <f ca="1">AD3130/AD3128</f>
        <v>2.5050757228309051</v>
      </c>
      <c r="AE3131" s="111"/>
      <c r="AF3131" s="28"/>
      <c r="AG3131" s="96">
        <f ca="1">AG3130/AG3128</f>
        <v>1.3211125979090108</v>
      </c>
      <c r="AH3131" s="111"/>
      <c r="AI3131" s="28"/>
      <c r="AJ3131" s="96">
        <f ca="1">AJ3130/AJ3128</f>
        <v>1.1488141578356108</v>
      </c>
      <c r="AK3131" s="111"/>
      <c r="AL3131" s="28"/>
      <c r="AM3131" s="96">
        <f ca="1">AM3130/AM3128</f>
        <v>1.0931128520967879</v>
      </c>
      <c r="AN3131" s="111"/>
      <c r="AO3131" s="28"/>
      <c r="AP3131" s="96">
        <f ca="1">AP3130/AP3128</f>
        <v>1.0666743127760996</v>
      </c>
      <c r="AQ3131" s="111"/>
      <c r="AR3131" s="28"/>
      <c r="AS3131" s="96">
        <f ca="1">AS3130/AS3128</f>
        <v>1.0472025138138246</v>
      </c>
      <c r="AT3131" s="111"/>
      <c r="AU3131" s="28"/>
    </row>
    <row r="3132" spans="15:47" x14ac:dyDescent="0.25">
      <c r="O3132" s="2" t="s">
        <v>21</v>
      </c>
      <c r="P3132" s="8">
        <v>12</v>
      </c>
      <c r="Q3132" s="2"/>
      <c r="R3132" s="96">
        <f ca="1">1-R3131/(3*F_GAMMA*R$29)</f>
        <v>0.82613502345503731</v>
      </c>
      <c r="S3132" s="106"/>
      <c r="T3132" s="22"/>
      <c r="U3132" s="96">
        <f ca="1">1-U3131/(3*F_GAMMA*U$29)</f>
        <v>0.83370739019219653</v>
      </c>
      <c r="V3132" s="111"/>
      <c r="W3132" s="28"/>
      <c r="X3132" s="96">
        <f ca="1">1-X3131/(3*F_GAMMA*X$29)</f>
        <v>0.87866723948090208</v>
      </c>
      <c r="Y3132" s="111"/>
      <c r="Z3132" s="28"/>
      <c r="AA3132" s="96">
        <f ca="1">1-AA3131/(3*F_GAMMA*AA$29)</f>
        <v>1.1941669831357782</v>
      </c>
      <c r="AB3132" s="111"/>
      <c r="AC3132" s="28"/>
      <c r="AD3132" s="96">
        <f ca="1">1-AD3131/(3*F_GAMMA*AD$29)</f>
        <v>-0.37676261126150834</v>
      </c>
      <c r="AE3132" s="111"/>
      <c r="AF3132" s="28"/>
      <c r="AG3132" s="96">
        <f ca="1">1-AG3131/(3*F_GAMMA*AG$29)</f>
        <v>0.23036211823447517</v>
      </c>
      <c r="AH3132" s="111"/>
      <c r="AI3132" s="28"/>
      <c r="AJ3132" s="96">
        <f ca="1">1-AJ3131/(3*F_GAMMA*AJ$29)</f>
        <v>0.27996536115210702</v>
      </c>
      <c r="AK3132" s="111"/>
      <c r="AL3132" s="28"/>
      <c r="AM3132" s="96">
        <f ca="1">1-AM3131/(3*F_GAMMA*AM$29)</f>
        <v>0.2339758970657656</v>
      </c>
      <c r="AN3132" s="111"/>
      <c r="AO3132" s="28"/>
      <c r="AP3132" s="96">
        <f ca="1">1-AP3131/(3*F_GAMMA*AP$29)</f>
        <v>0.3979118241610019</v>
      </c>
      <c r="AQ3132" s="111"/>
      <c r="AR3132" s="28"/>
      <c r="AS3132" s="96">
        <f ca="1">1-AS3131/(3*F_GAMMA*AS$29)</f>
        <v>7.3329406343213055E-2</v>
      </c>
      <c r="AT3132" s="111"/>
      <c r="AU3132" s="28"/>
    </row>
    <row r="3133" spans="15:47" x14ac:dyDescent="0.25">
      <c r="O3133" s="2" t="s">
        <v>57</v>
      </c>
      <c r="P3133" s="143">
        <v>7</v>
      </c>
      <c r="Q3133" s="2"/>
      <c r="R3133" s="96">
        <f ca="1">(R3126/(N_9*R$27*R3128*R3132))*SQRT(M*'Valve Sizing'!$W$6*'Valve Sizing'!$G$8/R3131)</f>
        <v>10.257053690548529</v>
      </c>
      <c r="S3133" s="107"/>
      <c r="T3133" s="22"/>
      <c r="U3133" s="96">
        <f ca="1">(U3126/(N_9*U$27*U3128*U3132))*SQRT(M*'Valve Sizing'!$W$6*'Valve Sizing'!$G$8/U3131)</f>
        <v>44.249714514777466</v>
      </c>
      <c r="V3133" s="111"/>
      <c r="W3133" s="28"/>
      <c r="X3133" s="96">
        <f ca="1">(X3126/(N_9*X$27*X3128*X3132))*SQRT(M*'Valve Sizing'!$W$6*'Valve Sizing'!$G$8/X3131)</f>
        <v>136.97525073423918</v>
      </c>
      <c r="Y3133" s="111"/>
      <c r="Z3133" s="28"/>
      <c r="AA3133" s="96" t="e">
        <f ca="1">(AA3126/(N_9*AA$27*AA3128*AA3132))*SQRT(M*'Valve Sizing'!$W$6*'Valve Sizing'!$G$8/AA3131)</f>
        <v>#NUM!</v>
      </c>
      <c r="AB3133" s="111"/>
      <c r="AC3133" s="28"/>
      <c r="AD3133" s="96">
        <f ca="1">(AD3126/(N_9*AD$27*AD3128*AD3132))*SQRT(M*'Valve Sizing'!$W$6*'Valve Sizing'!$G$8/AD3131)</f>
        <v>631.42758329970695</v>
      </c>
      <c r="AE3133" s="111"/>
      <c r="AF3133" s="28"/>
      <c r="AG3133" s="96">
        <f ca="1">(AG3126/(N_9*AG$27*AG3128*AG3132))*SQRT(M*'Valve Sizing'!$W$6*'Valve Sizing'!$G$8/AG3131)</f>
        <v>-452.79050137915499</v>
      </c>
      <c r="AH3133" s="111"/>
      <c r="AI3133" s="28"/>
      <c r="AJ3133" s="96">
        <f ca="1">(AJ3126/(N_9*AJ$27*AJ3128*AJ3132))*SQRT(M*'Valve Sizing'!$W$6*'Valve Sizing'!$G$8/AJ3131)</f>
        <v>-256.02294129499813</v>
      </c>
      <c r="AK3133" s="111"/>
      <c r="AL3133" s="28"/>
      <c r="AM3133" s="96">
        <f ca="1">(AM3126/(N_9*AM$27*AM3128*AM3132))*SQRT(M*'Valve Sizing'!$W$6*'Valve Sizing'!$G$8/AM3131)</f>
        <v>-254.39935094583038</v>
      </c>
      <c r="AN3133" s="111"/>
      <c r="AO3133" s="28"/>
      <c r="AP3133" s="96">
        <f ca="1">(AP3126/(N_9*AP$27*AP3128*AP3132))*SQRT(M*'Valve Sizing'!$W$6*'Valve Sizing'!$G$8/AP3131)</f>
        <v>-143.28569956073449</v>
      </c>
      <c r="AQ3133" s="111"/>
      <c r="AR3133" s="28"/>
      <c r="AS3133" s="96">
        <f ca="1">(AS3126/(N_9*AS$27*AS3128*AS3132))*SQRT(M*'Valve Sizing'!$W$6*'Valve Sizing'!$G$8/AS3131)</f>
        <v>-872.50451801200279</v>
      </c>
      <c r="AT3133" s="111"/>
      <c r="AU3133" s="28"/>
    </row>
    <row r="3134" spans="15:47" x14ac:dyDescent="0.25">
      <c r="O3134" s="2" t="s">
        <v>59</v>
      </c>
      <c r="P3134" s="143">
        <v>7</v>
      </c>
      <c r="Q3134" s="2"/>
      <c r="R3134" s="96">
        <f ca="1">(R3126/(N_9*R$27*R3128*0.667))*SQRT(M*'Valve Sizing'!$W$6*'Valve Sizing'!$G$8/R3135)</f>
        <v>9.1751782370491188</v>
      </c>
      <c r="S3134" s="107"/>
      <c r="T3134" s="22"/>
      <c r="U3134" s="96">
        <f ca="1">(U3126/(N_9*U$27*U3128*0.667))*SQRT(M*'Valve Sizing'!$W$6*'Valve Sizing'!$G$8/U3135)</f>
        <v>39.065680366740999</v>
      </c>
      <c r="V3134" s="111"/>
      <c r="W3134" s="28"/>
      <c r="X3134" s="96">
        <f ca="1">(X3126/(N_9*X$27*X3128*0.667))*SQRT(M*'Valve Sizing'!$W$6*'Valve Sizing'!$G$8/X3135)</f>
        <v>108.86552497055412</v>
      </c>
      <c r="Y3134" s="111"/>
      <c r="Z3134" s="28"/>
      <c r="AA3134" s="96">
        <f ca="1">(AA3126/(N_9*AA$27*AA3128*0.667))*SQRT(M*'Valve Sizing'!$W$6*'Valve Sizing'!$G$8/AA3135)</f>
        <v>380.97916208596854</v>
      </c>
      <c r="AB3134" s="111"/>
      <c r="AC3134" s="28"/>
      <c r="AD3134" s="96">
        <f ca="1">(AD3126/(N_9*AD$27*AD3128*0.667))*SQRT(M*'Valve Sizing'!$W$6*'Valve Sizing'!$G$8/AD3135)</f>
        <v>-724.86256758433728</v>
      </c>
      <c r="AE3134" s="111"/>
      <c r="AF3134" s="28"/>
      <c r="AG3134" s="96">
        <f ca="1">(AG3126/(N_9*AG$27*AG3128*0.667))*SQRT(M*'Valve Sizing'!$W$6*'Valve Sizing'!$G$8/AG3135)</f>
        <v>-237.62185519437224</v>
      </c>
      <c r="AH3134" s="111"/>
      <c r="AI3134" s="28"/>
      <c r="AJ3134" s="96">
        <f ca="1">(AJ3126/(N_9*AJ$27*AJ3128*0.667))*SQRT(M*'Valve Sizing'!$W$6*'Valve Sizing'!$G$8/AJ3135)</f>
        <v>-157.9409232067475</v>
      </c>
      <c r="AK3134" s="111"/>
      <c r="AL3134" s="28"/>
      <c r="AM3134" s="96">
        <f ca="1">(AM3126/(N_9*AM$27*AM3128*0.667))*SQRT(M*'Valve Sizing'!$W$6*'Valve Sizing'!$G$8/AM3135)</f>
        <v>-135.28297053178522</v>
      </c>
      <c r="AN3134" s="111"/>
      <c r="AO3134" s="28"/>
      <c r="AP3134" s="96">
        <f ca="1">(AP3126/(N_9*AP$27*AP3128*0.667))*SQRT(M*'Valve Sizing'!$W$6*'Valve Sizing'!$G$8/AP3135)</f>
        <v>-114.88267400220289</v>
      </c>
      <c r="AQ3134" s="111"/>
      <c r="AR3134" s="28"/>
      <c r="AS3134" s="96">
        <f ca="1">(AS3126/(N_9*AS$27*AS3128*0.667))*SQRT(M*'Valve Sizing'!$W$6*'Valve Sizing'!$G$8/AS3135)</f>
        <v>-159.9349348751752</v>
      </c>
      <c r="AT3134" s="111"/>
      <c r="AU3134" s="28"/>
    </row>
    <row r="3135" spans="15:47" ht="15.6" x14ac:dyDescent="0.35">
      <c r="O3135" s="2" t="s">
        <v>68</v>
      </c>
      <c r="P3135" s="143">
        <v>10</v>
      </c>
      <c r="Q3135" s="2"/>
      <c r="R3135" s="96">
        <f ca="1">F_GAMMA*R$29</f>
        <v>0.64002969751372984</v>
      </c>
      <c r="S3135" s="107"/>
      <c r="T3135" s="1"/>
      <c r="U3135" s="96">
        <f ca="1">F_GAMMA*U$29</f>
        <v>0.64017842058782071</v>
      </c>
      <c r="V3135" s="111"/>
      <c r="W3135" s="28"/>
      <c r="X3135" s="96">
        <f ca="1">F_GAMMA*X$29</f>
        <v>0.63413873724904268</v>
      </c>
      <c r="Y3135" s="111"/>
      <c r="Z3135" s="28"/>
      <c r="AA3135" s="96">
        <f ca="1">F_GAMMA*AA$29</f>
        <v>0.62532411750377137</v>
      </c>
      <c r="AB3135" s="111"/>
      <c r="AC3135" s="28"/>
      <c r="AD3135" s="96">
        <f ca="1">F_GAMMA*AD$29</f>
        <v>0.60651359509139569</v>
      </c>
      <c r="AE3135" s="111"/>
      <c r="AF3135" s="28"/>
      <c r="AG3135" s="96">
        <f ca="1">F_GAMMA*AG$29</f>
        <v>0.57217930198481592</v>
      </c>
      <c r="AH3135" s="111"/>
      <c r="AI3135" s="28"/>
      <c r="AJ3135" s="96">
        <f ca="1">F_GAMMA*AJ$29</f>
        <v>0.53183282018848232</v>
      </c>
      <c r="AK3135" s="111"/>
      <c r="AL3135" s="28"/>
      <c r="AM3135" s="96">
        <f ca="1">F_GAMMA*AM$29</f>
        <v>0.47566512503094399</v>
      </c>
      <c r="AN3135" s="111"/>
      <c r="AO3135" s="28"/>
      <c r="AP3135" s="96">
        <f ca="1">F_GAMMA*AP$29</f>
        <v>0.59054158265645496</v>
      </c>
      <c r="AQ3135" s="111"/>
      <c r="AR3135" s="28"/>
      <c r="AS3135" s="96">
        <f ca="1">F_GAMMA*AS$29</f>
        <v>0.3766899554102966</v>
      </c>
      <c r="AT3135" s="111"/>
      <c r="AU3135" s="28"/>
    </row>
    <row r="3136" spans="15:47" x14ac:dyDescent="0.25">
      <c r="O3136" s="2" t="s">
        <v>145</v>
      </c>
      <c r="P3136" s="12"/>
      <c r="Q3136" s="2"/>
      <c r="R3136" s="96">
        <f ca="1">IF(R3131&lt;R3135,R3133,R3134)</f>
        <v>10.257053690548529</v>
      </c>
      <c r="S3136" s="116"/>
      <c r="T3136" s="1"/>
      <c r="U3136" s="96">
        <f ca="1">IF(U3131&lt;U3135,U3133,U3134)</f>
        <v>44.249714514777466</v>
      </c>
      <c r="V3136" s="111"/>
      <c r="W3136" s="28"/>
      <c r="X3136" s="96">
        <f ca="1">IF(X3131&lt;X3135,X3133,X3134)</f>
        <v>136.97525073423918</v>
      </c>
      <c r="Y3136" s="111"/>
      <c r="Z3136" s="28"/>
      <c r="AA3136" s="96" t="e">
        <f ca="1">IF(AA3131&lt;AA3135,AA3133,AA3134)</f>
        <v>#NUM!</v>
      </c>
      <c r="AB3136" s="111"/>
      <c r="AC3136" s="28"/>
      <c r="AD3136" s="96">
        <f ca="1">IF(AD3131&lt;AD3135,AD3133,AD3134)</f>
        <v>-724.86256758433728</v>
      </c>
      <c r="AE3136" s="111"/>
      <c r="AF3136" s="28"/>
      <c r="AG3136" s="96">
        <f ca="1">IF(AG3131&lt;AG3135,AG3133,AG3134)</f>
        <v>-237.62185519437224</v>
      </c>
      <c r="AH3136" s="111"/>
      <c r="AI3136" s="28"/>
      <c r="AJ3136" s="96">
        <f ca="1">IF(AJ3131&lt;AJ3135,AJ3133,AJ3134)</f>
        <v>-157.9409232067475</v>
      </c>
      <c r="AK3136" s="111"/>
      <c r="AL3136" s="28"/>
      <c r="AM3136" s="96">
        <f ca="1">IF(AM3131&lt;AM3135,AM3133,AM3134)</f>
        <v>-135.28297053178522</v>
      </c>
      <c r="AN3136" s="111"/>
      <c r="AO3136" s="28"/>
      <c r="AP3136" s="96">
        <f ca="1">IF(AP3131&lt;AP3135,AP3133,AP3134)</f>
        <v>-114.88267400220289</v>
      </c>
      <c r="AQ3136" s="111"/>
      <c r="AR3136" s="28"/>
      <c r="AS3136" s="96">
        <f ca="1">IF(AS3131&lt;AS3135,AS3133,AS3134)</f>
        <v>-159.9349348751752</v>
      </c>
      <c r="AT3136" s="111"/>
      <c r="AU3136" s="28"/>
    </row>
    <row r="3137" spans="15:47" x14ac:dyDescent="0.25">
      <c r="O3137" s="13" t="s">
        <v>143</v>
      </c>
      <c r="P3137" s="1"/>
      <c r="Q3137" s="1"/>
      <c r="R3137" s="113"/>
      <c r="S3137" s="106">
        <f ca="1">IF(R3130&lt;=0,Q_max,ABS(R$23-R3136))</f>
        <v>5.527053690548529</v>
      </c>
      <c r="T3137" s="7">
        <f>R3126</f>
        <v>25346.886664598282</v>
      </c>
      <c r="U3137" s="98"/>
      <c r="V3137" s="106">
        <f ca="1">IF(U3130&lt;=0,Q_max,ABS(U$23-U3136))</f>
        <v>32.649714514777465</v>
      </c>
      <c r="W3137" s="9">
        <f ca="1">U3126</f>
        <v>105570.24518372523</v>
      </c>
      <c r="X3137" s="98"/>
      <c r="Y3137" s="106">
        <f ca="1">IF(X3130&lt;=0,Q_max,ABS(X$23-X3136))</f>
        <v>113.97525073423918</v>
      </c>
      <c r="Z3137" s="9">
        <f ca="1">X3126</f>
        <v>258502.75182752116</v>
      </c>
      <c r="AA3137" s="98"/>
      <c r="AB3137" s="106">
        <f ca="1">IF(AA3130&lt;=0,Q_max,ABS(AA$23-AA3136))</f>
        <v>236393</v>
      </c>
      <c r="AC3137" s="9">
        <f ca="1">AA3126</f>
        <v>503497.37891826994</v>
      </c>
      <c r="AD3137" s="98"/>
      <c r="AE3137" s="106">
        <f ca="1">IF(AD3130&lt;=0,Q_max,ABS(AD$23-AD3136))</f>
        <v>236393</v>
      </c>
      <c r="AF3137" s="9">
        <f ca="1">AD3126</f>
        <v>844711.97459681181</v>
      </c>
      <c r="AG3137" s="98"/>
      <c r="AH3137" s="106">
        <f ca="1">IF(AG3130&lt;=0,Q_max,ABS(AG$23-AG3136))</f>
        <v>236393</v>
      </c>
      <c r="AI3137" s="9">
        <f ca="1">AG3126</f>
        <v>1232880.1336191432</v>
      </c>
      <c r="AJ3137" s="98"/>
      <c r="AK3137" s="106">
        <f ca="1">IF(AJ3130&lt;=0,Q_max,ABS(AJ$23-AJ3136))</f>
        <v>236393</v>
      </c>
      <c r="AL3137" s="9">
        <f ca="1">AJ3126</f>
        <v>1645283.3176574756</v>
      </c>
      <c r="AM3137" s="98"/>
      <c r="AN3137" s="106">
        <f ca="1">IF(AM3130&lt;=0,Q_max,ABS(AM$23-AM3136))</f>
        <v>236393</v>
      </c>
      <c r="AO3137" s="9">
        <f ca="1">AM3126</f>
        <v>2007558.3170981987</v>
      </c>
      <c r="AP3137" s="98"/>
      <c r="AQ3137" s="106">
        <f ca="1">IF(AP3130&lt;=0,Q_max,ABS(AP$23-AP3136))</f>
        <v>236393</v>
      </c>
      <c r="AR3137" s="9">
        <f ca="1">AP3126</f>
        <v>2330712.882245848</v>
      </c>
      <c r="AS3137" s="98"/>
      <c r="AT3137" s="106">
        <f ca="1">IF(AS3130&lt;=0,Q_max,ABS(AS$23-AS3136))</f>
        <v>236393</v>
      </c>
      <c r="AU3137" s="9">
        <f ca="1">AS3126</f>
        <v>2732944.1531700436</v>
      </c>
    </row>
    <row r="3138" spans="15:47" x14ac:dyDescent="0.25">
      <c r="O3138" s="21"/>
      <c r="P3138" s="14"/>
      <c r="Q3138" s="21"/>
      <c r="R3138" s="97"/>
      <c r="S3138" s="106"/>
      <c r="T3138" s="28"/>
      <c r="U3138" s="97"/>
      <c r="V3138" s="111"/>
      <c r="W3138" s="28"/>
      <c r="X3138" s="97"/>
      <c r="Y3138" s="111"/>
      <c r="Z3138" s="28"/>
      <c r="AA3138" s="97"/>
      <c r="AB3138" s="111"/>
      <c r="AC3138" s="28"/>
      <c r="AD3138" s="97"/>
      <c r="AE3138" s="111"/>
      <c r="AF3138" s="28"/>
      <c r="AG3138" s="97"/>
      <c r="AH3138" s="111"/>
      <c r="AI3138" s="28"/>
      <c r="AJ3138" s="97"/>
      <c r="AK3138" s="111"/>
      <c r="AL3138" s="28"/>
      <c r="AM3138" s="97"/>
      <c r="AN3138" s="111"/>
      <c r="AO3138" s="28"/>
      <c r="AP3138" s="97"/>
      <c r="AQ3138" s="111"/>
      <c r="AR3138" s="28"/>
      <c r="AS3138" s="97"/>
      <c r="AT3138" s="111"/>
      <c r="AU3138" s="28"/>
    </row>
    <row r="3139" spans="15:47" x14ac:dyDescent="0.25">
      <c r="O3139" s="1"/>
      <c r="P3139" s="1"/>
      <c r="Q3139" s="1"/>
      <c r="R3139" s="98"/>
      <c r="S3139" s="108" t="s">
        <v>137</v>
      </c>
      <c r="T3139" s="26" t="s">
        <v>146</v>
      </c>
      <c r="U3139" s="98"/>
      <c r="V3139" s="108" t="s">
        <v>137</v>
      </c>
      <c r="W3139" s="26" t="s">
        <v>146</v>
      </c>
      <c r="X3139" s="98"/>
      <c r="Y3139" s="108" t="s">
        <v>137</v>
      </c>
      <c r="Z3139" s="26" t="s">
        <v>146</v>
      </c>
      <c r="AA3139" s="98"/>
      <c r="AB3139" s="108" t="s">
        <v>137</v>
      </c>
      <c r="AC3139" s="26" t="s">
        <v>146</v>
      </c>
      <c r="AD3139" s="98"/>
      <c r="AE3139" s="108" t="s">
        <v>137</v>
      </c>
      <c r="AF3139" s="26" t="s">
        <v>146</v>
      </c>
      <c r="AG3139" s="98"/>
      <c r="AH3139" s="108" t="s">
        <v>137</v>
      </c>
      <c r="AI3139" s="26" t="s">
        <v>146</v>
      </c>
      <c r="AJ3139" s="98"/>
      <c r="AK3139" s="108" t="s">
        <v>137</v>
      </c>
      <c r="AL3139" s="26" t="s">
        <v>146</v>
      </c>
      <c r="AM3139" s="98"/>
      <c r="AN3139" s="108" t="s">
        <v>137</v>
      </c>
      <c r="AO3139" s="26" t="s">
        <v>146</v>
      </c>
      <c r="AP3139" s="98"/>
      <c r="AQ3139" s="108" t="s">
        <v>137</v>
      </c>
      <c r="AR3139" s="26" t="s">
        <v>146</v>
      </c>
      <c r="AS3139" s="98"/>
      <c r="AT3139" s="108" t="s">
        <v>137</v>
      </c>
      <c r="AU3139" s="26" t="s">
        <v>146</v>
      </c>
    </row>
    <row r="3140" spans="15:47" ht="13.8" x14ac:dyDescent="0.25">
      <c r="O3140" s="20" t="s">
        <v>136</v>
      </c>
      <c r="P3140" s="1"/>
      <c r="Q3140" s="1"/>
      <c r="R3140" s="96">
        <f>R3126*1.02</f>
        <v>25853.824397890246</v>
      </c>
      <c r="S3140" s="109" t="s">
        <v>144</v>
      </c>
      <c r="T3140" s="23" t="s">
        <v>147</v>
      </c>
      <c r="U3140" s="96">
        <f ca="1">U3126*1.01</f>
        <v>106625.94763556248</v>
      </c>
      <c r="V3140" s="109" t="s">
        <v>144</v>
      </c>
      <c r="W3140" s="23" t="s">
        <v>147</v>
      </c>
      <c r="X3140" s="96">
        <f ca="1">X3126*1.01</f>
        <v>261087.77934579639</v>
      </c>
      <c r="Y3140" s="109" t="s">
        <v>144</v>
      </c>
      <c r="Z3140" s="23" t="s">
        <v>147</v>
      </c>
      <c r="AA3140" s="96">
        <f ca="1">AA3126*1.01</f>
        <v>508532.35270745266</v>
      </c>
      <c r="AB3140" s="109" t="s">
        <v>144</v>
      </c>
      <c r="AC3140" s="23" t="s">
        <v>147</v>
      </c>
      <c r="AD3140" s="96">
        <f ca="1">AD3126*1.01</f>
        <v>853159.09434277995</v>
      </c>
      <c r="AE3140" s="109" t="s">
        <v>144</v>
      </c>
      <c r="AF3140" s="23" t="s">
        <v>147</v>
      </c>
      <c r="AG3140" s="96">
        <f ca="1">AG3126*1.01</f>
        <v>1245208.9349553345</v>
      </c>
      <c r="AH3140" s="109" t="s">
        <v>144</v>
      </c>
      <c r="AI3140" s="23" t="s">
        <v>147</v>
      </c>
      <c r="AJ3140" s="96">
        <f ca="1">AJ3126*1.01</f>
        <v>1661736.1508340503</v>
      </c>
      <c r="AK3140" s="109" t="s">
        <v>144</v>
      </c>
      <c r="AL3140" s="23" t="s">
        <v>147</v>
      </c>
      <c r="AM3140" s="96">
        <f ca="1">AM3126*1.01</f>
        <v>2027633.9002691808</v>
      </c>
      <c r="AN3140" s="109" t="s">
        <v>144</v>
      </c>
      <c r="AO3140" s="23" t="s">
        <v>147</v>
      </c>
      <c r="AP3140" s="96">
        <f ca="1">AP3126*1.01</f>
        <v>2354020.0110683064</v>
      </c>
      <c r="AQ3140" s="109" t="s">
        <v>144</v>
      </c>
      <c r="AR3140" s="23" t="s">
        <v>147</v>
      </c>
      <c r="AS3140" s="96">
        <f ca="1">AS3126*1.01</f>
        <v>2760273.5947017442</v>
      </c>
      <c r="AT3140" s="109" t="s">
        <v>144</v>
      </c>
      <c r="AU3140" s="23" t="s">
        <v>147</v>
      </c>
    </row>
    <row r="3141" spans="15:47" x14ac:dyDescent="0.25">
      <c r="O3141" s="1"/>
      <c r="P3141" s="1"/>
      <c r="Q3141" s="1"/>
      <c r="R3141" s="98"/>
      <c r="S3141" s="107"/>
      <c r="T3141" s="1"/>
      <c r="U3141" s="47"/>
      <c r="V3141" s="107"/>
      <c r="W3141" s="1"/>
      <c r="X3141" s="47"/>
      <c r="Y3141" s="107"/>
      <c r="Z3141" s="1"/>
      <c r="AA3141" s="47"/>
      <c r="AB3141" s="107"/>
      <c r="AC3141" s="1"/>
      <c r="AD3141" s="47"/>
      <c r="AE3141" s="107"/>
      <c r="AF3141" s="1"/>
      <c r="AG3141" s="47"/>
      <c r="AH3141" s="107"/>
      <c r="AI3141" s="1"/>
      <c r="AJ3141" s="47"/>
      <c r="AK3141" s="107"/>
      <c r="AL3141" s="1"/>
      <c r="AM3141" s="47"/>
      <c r="AN3141" s="107"/>
      <c r="AO3141" s="1"/>
      <c r="AP3141" s="47"/>
      <c r="AQ3141" s="107"/>
      <c r="AR3141" s="1"/>
      <c r="AS3141" s="47"/>
      <c r="AT3141" s="107"/>
      <c r="AU3141" s="1"/>
    </row>
    <row r="3142" spans="15:47" x14ac:dyDescent="0.25">
      <c r="O3142" s="8" t="s">
        <v>132</v>
      </c>
      <c r="P3142" s="8"/>
      <c r="Q3142" s="8"/>
      <c r="R3142" s="96">
        <f>P_1_minQ-(R3140^2*R_up)+dpup_minQ</f>
        <v>90.063213648977495</v>
      </c>
      <c r="S3142" s="106"/>
      <c r="T3142" s="22"/>
      <c r="U3142" s="96">
        <f ca="1">P_1_minQ-(U3140^2*R_up)+dpup_minQ</f>
        <v>88.112899333550416</v>
      </c>
      <c r="V3142" s="107"/>
      <c r="W3142" s="1"/>
      <c r="X3142" s="96">
        <f ca="1">P_1_minQ-(X3140^2*R_up)+dpup_minQ</f>
        <v>77.760892249834015</v>
      </c>
      <c r="Y3142" s="107"/>
      <c r="Z3142" s="1"/>
      <c r="AA3142" s="96">
        <f ca="1">P_1_minQ-(AA3140^2*R_up)+dpup_minQ</f>
        <v>43.051429566450274</v>
      </c>
      <c r="AB3142" s="107"/>
      <c r="AC3142" s="1"/>
      <c r="AD3142" s="96">
        <f ca="1">P_1_minQ-(AD3140^2*R_up)+dpup_minQ</f>
        <v>-42.479111756944889</v>
      </c>
      <c r="AE3142" s="107"/>
      <c r="AF3142" s="1"/>
      <c r="AG3142" s="96">
        <f ca="1">P_1_minQ-(AG3140^2*R_up)+dpup_minQ</f>
        <v>-192.41875719219757</v>
      </c>
      <c r="AH3142" s="107"/>
      <c r="AI3142" s="1"/>
      <c r="AJ3142" s="96">
        <f ca="1">P_1_minQ-(AJ3140^2*R_up)+dpup_minQ</f>
        <v>-413.10423142744941</v>
      </c>
      <c r="AK3142" s="107"/>
      <c r="AL3142" s="1"/>
      <c r="AM3142" s="96">
        <f ca="1">P_1_minQ-(AM3140^2*R_up)+dpup_minQ</f>
        <v>-659.14410399159078</v>
      </c>
      <c r="AN3142" s="107"/>
      <c r="AO3142" s="1"/>
      <c r="AP3142" s="96">
        <f ca="1">P_1_minQ-(AP3140^2*R_up)+dpup_minQ</f>
        <v>-919.79743414084896</v>
      </c>
      <c r="AQ3142" s="107"/>
      <c r="AR3142" s="1"/>
      <c r="AS3142" s="96">
        <f ca="1">P_1_minQ-(AS3140^2*R_up)+dpup_minQ</f>
        <v>-1298.480948498549</v>
      </c>
      <c r="AT3142" s="107"/>
      <c r="AU3142" s="1"/>
    </row>
    <row r="3143" spans="15:47" x14ac:dyDescent="0.25">
      <c r="O3143" s="8" t="s">
        <v>134</v>
      </c>
      <c r="P3143" s="1"/>
      <c r="Q3143" s="8"/>
      <c r="R3143" s="97">
        <f>P_2_minQ+(R3140^2*R_dn)-dpdn_minQ</f>
        <v>60</v>
      </c>
      <c r="S3143" s="106"/>
      <c r="T3143" s="22"/>
      <c r="U3143" s="97">
        <f ca="1">P_2_minQ+(U3140^2*R_dn)-dpdn_minQ</f>
        <v>60</v>
      </c>
      <c r="V3143" s="107"/>
      <c r="W3143" s="1"/>
      <c r="X3143" s="97">
        <f ca="1">P_2_minQ+(X3140^2*R_dn)-dpdn_minQ</f>
        <v>60</v>
      </c>
      <c r="Y3143" s="107"/>
      <c r="Z3143" s="1"/>
      <c r="AA3143" s="97">
        <f ca="1">P_2_minQ+(AA3140^2*R_dn)-dpdn_minQ</f>
        <v>60</v>
      </c>
      <c r="AB3143" s="107"/>
      <c r="AC3143" s="1"/>
      <c r="AD3143" s="97">
        <f ca="1">P_2_minQ+(AD3140^2*R_dn)-dpdn_minQ</f>
        <v>60</v>
      </c>
      <c r="AE3143" s="107"/>
      <c r="AF3143" s="1"/>
      <c r="AG3143" s="97">
        <f ca="1">P_2_minQ+(AG3140^2*R_dn)-dpdn_minQ</f>
        <v>60</v>
      </c>
      <c r="AH3143" s="107"/>
      <c r="AI3143" s="1"/>
      <c r="AJ3143" s="97">
        <f ca="1">P_2_minQ+(AJ3140^2*R_dn)-dpdn_minQ</f>
        <v>60</v>
      </c>
      <c r="AK3143" s="107"/>
      <c r="AL3143" s="1"/>
      <c r="AM3143" s="97">
        <f ca="1">P_2_minQ+(AM3140^2*R_dn)-dpdn_minQ</f>
        <v>60</v>
      </c>
      <c r="AN3143" s="107"/>
      <c r="AO3143" s="1"/>
      <c r="AP3143" s="97">
        <f ca="1">P_2_minQ+(AP3140^2*R_dn)-dpdn_minQ</f>
        <v>60</v>
      </c>
      <c r="AQ3143" s="107"/>
      <c r="AR3143" s="1"/>
      <c r="AS3143" s="97">
        <f ca="1">P_2_minQ+(AS3140^2*R_dn)-dpdn_minQ</f>
        <v>60</v>
      </c>
      <c r="AT3143" s="107"/>
      <c r="AU3143" s="1"/>
    </row>
    <row r="3144" spans="15:47" x14ac:dyDescent="0.25">
      <c r="O3144" s="8" t="s">
        <v>138</v>
      </c>
      <c r="P3144" s="1"/>
      <c r="Q3144" s="8"/>
      <c r="R3144" s="97">
        <f>R3142-R3143</f>
        <v>30.063213648977495</v>
      </c>
      <c r="S3144" s="106"/>
      <c r="T3144" s="22"/>
      <c r="U3144" s="97">
        <f ca="1">U3142-U3143</f>
        <v>28.112899333550416</v>
      </c>
      <c r="V3144" s="110"/>
      <c r="W3144" s="25"/>
      <c r="X3144" s="97">
        <f ca="1">X3142-X3143</f>
        <v>17.760892249834015</v>
      </c>
      <c r="Y3144" s="110"/>
      <c r="Z3144" s="25"/>
      <c r="AA3144" s="97">
        <f ca="1">AA3142-AA3143</f>
        <v>-16.948570433549726</v>
      </c>
      <c r="AB3144" s="110"/>
      <c r="AC3144" s="25"/>
      <c r="AD3144" s="97">
        <f ca="1">AD3142-AD3143</f>
        <v>-102.47911175694489</v>
      </c>
      <c r="AE3144" s="110"/>
      <c r="AF3144" s="25"/>
      <c r="AG3144" s="97">
        <f ca="1">AG3142-AG3143</f>
        <v>-252.41875719219757</v>
      </c>
      <c r="AH3144" s="110"/>
      <c r="AI3144" s="25"/>
      <c r="AJ3144" s="97">
        <f ca="1">AJ3142-AJ3143</f>
        <v>-473.10423142744941</v>
      </c>
      <c r="AK3144" s="110"/>
      <c r="AL3144" s="25"/>
      <c r="AM3144" s="97">
        <f ca="1">AM3142-AM3143</f>
        <v>-719.14410399159078</v>
      </c>
      <c r="AN3144" s="110"/>
      <c r="AO3144" s="25"/>
      <c r="AP3144" s="97">
        <f ca="1">AP3142-AP3143</f>
        <v>-979.79743414084896</v>
      </c>
      <c r="AQ3144" s="110"/>
      <c r="AR3144" s="25"/>
      <c r="AS3144" s="97">
        <f ca="1">AS3142-AS3143</f>
        <v>-1358.480948498549</v>
      </c>
      <c r="AT3144" s="110"/>
      <c r="AU3144" s="25"/>
    </row>
    <row r="3145" spans="15:47" ht="14.4" x14ac:dyDescent="0.3">
      <c r="O3145" s="2" t="s">
        <v>140</v>
      </c>
      <c r="P3145" s="11"/>
      <c r="Q3145" s="2"/>
      <c r="R3145" s="96">
        <f>R3144/R3142</f>
        <v>0.33380125392981475</v>
      </c>
      <c r="S3145" s="106"/>
      <c r="T3145" s="22"/>
      <c r="U3145" s="96">
        <f ca="1">U3144/U3142</f>
        <v>0.31905543395104208</v>
      </c>
      <c r="V3145" s="111"/>
      <c r="W3145" s="28"/>
      <c r="X3145" s="96">
        <f ca="1">X3144/X3142</f>
        <v>0.22840391533537124</v>
      </c>
      <c r="Y3145" s="111"/>
      <c r="Z3145" s="28"/>
      <c r="AA3145" s="96">
        <f ca="1">AA3144/AA3142</f>
        <v>-0.39368194283512592</v>
      </c>
      <c r="AB3145" s="111"/>
      <c r="AC3145" s="28"/>
      <c r="AD3145" s="96">
        <f ca="1">AD3144/AD3142</f>
        <v>2.4124589125899183</v>
      </c>
      <c r="AE3145" s="111"/>
      <c r="AF3145" s="28"/>
      <c r="AG3145" s="96">
        <f ca="1">AG3144/AG3142</f>
        <v>1.3118199123387382</v>
      </c>
      <c r="AH3145" s="111"/>
      <c r="AI3145" s="28"/>
      <c r="AJ3145" s="96">
        <f ca="1">AJ3144/AJ3142</f>
        <v>1.1452417947709581</v>
      </c>
      <c r="AK3145" s="111"/>
      <c r="AL3145" s="28"/>
      <c r="AM3145" s="96">
        <f ca="1">AM3144/AM3142</f>
        <v>1.0910271360035795</v>
      </c>
      <c r="AN3145" s="111"/>
      <c r="AO3145" s="28"/>
      <c r="AP3145" s="96">
        <f ca="1">AP3144/AP3142</f>
        <v>1.0652317540503295</v>
      </c>
      <c r="AQ3145" s="111"/>
      <c r="AR3145" s="28"/>
      <c r="AS3145" s="96">
        <f ca="1">AS3144/AS3142</f>
        <v>1.0462078400683343</v>
      </c>
      <c r="AT3145" s="111"/>
      <c r="AU3145" s="28"/>
    </row>
    <row r="3146" spans="15:47" x14ac:dyDescent="0.25">
      <c r="O3146" s="2" t="s">
        <v>21</v>
      </c>
      <c r="P3146" s="8">
        <v>12</v>
      </c>
      <c r="Q3146" s="2"/>
      <c r="R3146" s="96">
        <f ca="1">1-R3145/(3*F_GAMMA*R$29)</f>
        <v>0.82615324714540339</v>
      </c>
      <c r="S3146" s="106"/>
      <c r="T3146" s="22"/>
      <c r="U3146" s="96">
        <f ca="1">1-U3145/(3*F_GAMMA*U$29)</f>
        <v>0.8338716084504062</v>
      </c>
      <c r="V3146" s="111"/>
      <c r="W3146" s="28"/>
      <c r="X3146" s="96">
        <f ca="1">1-X3145/(3*F_GAMMA*X$29)</f>
        <v>0.87994009201298218</v>
      </c>
      <c r="Y3146" s="111"/>
      <c r="Z3146" s="28"/>
      <c r="AA3146" s="96">
        <f ca="1">1-AA3145/(3*F_GAMMA*AA$29)</f>
        <v>1.2098548746244124</v>
      </c>
      <c r="AB3146" s="111"/>
      <c r="AC3146" s="28"/>
      <c r="AD3146" s="96">
        <f ca="1">1-AD3145/(3*F_GAMMA*AD$29)</f>
        <v>-0.32586141080997222</v>
      </c>
      <c r="AE3146" s="111"/>
      <c r="AF3146" s="28"/>
      <c r="AG3146" s="96">
        <f ca="1">1-AG3145/(3*F_GAMMA*AG$29)</f>
        <v>0.23577573918513262</v>
      </c>
      <c r="AH3146" s="111"/>
      <c r="AI3146" s="28"/>
      <c r="AJ3146" s="96">
        <f ca="1">1-AJ3145/(3*F_GAMMA*AJ$29)</f>
        <v>0.28220438748334309</v>
      </c>
      <c r="AK3146" s="111"/>
      <c r="AL3146" s="28"/>
      <c r="AM3146" s="96">
        <f ca="1">1-AM3145/(3*F_GAMMA*AM$29)</f>
        <v>0.23543751083804065</v>
      </c>
      <c r="AN3146" s="111"/>
      <c r="AO3146" s="28"/>
      <c r="AP3146" s="96">
        <f ca="1">1-AP3145/(3*F_GAMMA*AP$29)</f>
        <v>0.39872608165397461</v>
      </c>
      <c r="AQ3146" s="111"/>
      <c r="AR3146" s="28"/>
      <c r="AS3146" s="96">
        <f ca="1">1-AS3145/(3*F_GAMMA*AS$29)</f>
        <v>7.4209594175145721E-2</v>
      </c>
      <c r="AT3146" s="111"/>
      <c r="AU3146" s="28"/>
    </row>
    <row r="3147" spans="15:47" x14ac:dyDescent="0.25">
      <c r="O3147" s="2" t="s">
        <v>57</v>
      </c>
      <c r="P3147" s="143">
        <v>7</v>
      </c>
      <c r="Q3147" s="2"/>
      <c r="R3147" s="96">
        <f ca="1">(R3140/(N_9*R$27*R3142*R3146))*SQRT(M*'Valve Sizing'!$W$6*'Valve Sizing'!$G$8/R3145)</f>
        <v>10.463061870579827</v>
      </c>
      <c r="S3147" s="107"/>
      <c r="T3147" s="22"/>
      <c r="U3147" s="96">
        <f ca="1">(U3140/(N_9*U$27*U3142*U3146))*SQRT(M*'Valve Sizing'!$W$6*'Valve Sizing'!$G$8/U3145)</f>
        <v>44.726205012221634</v>
      </c>
      <c r="V3147" s="111"/>
      <c r="W3147" s="28"/>
      <c r="X3147" s="96">
        <f ca="1">(X3140/(N_9*X$27*X3142*X3146))*SQRT(M*'Valve Sizing'!$W$6*'Valve Sizing'!$G$8/X3145)</f>
        <v>139.31244992490232</v>
      </c>
      <c r="Y3147" s="111"/>
      <c r="Z3147" s="28"/>
      <c r="AA3147" s="96" t="e">
        <f ca="1">(AA3140/(N_9*AA$27*AA3142*AA3146))*SQRT(M*'Valve Sizing'!$W$6*'Valve Sizing'!$G$8/AA3145)</f>
        <v>#NUM!</v>
      </c>
      <c r="AB3147" s="111"/>
      <c r="AC3147" s="28"/>
      <c r="AD3147" s="96">
        <f ca="1">(AD3140/(N_9*AD$27*AD3142*AD3146))*SQRT(M*'Valve Sizing'!$W$6*'Valve Sizing'!$G$8/AD3145)</f>
        <v>705.14385799978686</v>
      </c>
      <c r="AE3147" s="111"/>
      <c r="AF3147" s="28"/>
      <c r="AG3147" s="96">
        <f ca="1">(AG3140/(N_9*AG$27*AG3142*AG3146))*SQRT(M*'Valve Sizing'!$W$6*'Valve Sizing'!$G$8/AG3145)</f>
        <v>-435.42156875651432</v>
      </c>
      <c r="AH3147" s="111"/>
      <c r="AI3147" s="28"/>
      <c r="AJ3147" s="96">
        <f ca="1">(AJ3140/(N_9*AJ$27*AJ3142*AJ3146))*SQRT(M*'Valve Sizing'!$W$6*'Valve Sizing'!$G$8/AJ3145)</f>
        <v>-250.76357188446019</v>
      </c>
      <c r="AK3147" s="111"/>
      <c r="AL3147" s="28"/>
      <c r="AM3147" s="96">
        <f ca="1">(AM3140/(N_9*AM$27*AM3142*AM3146))*SQRT(M*'Valve Sizing'!$W$6*'Valve Sizing'!$G$8/AM3145)</f>
        <v>-249.86694642038393</v>
      </c>
      <c r="AN3147" s="111"/>
      <c r="AO3147" s="28"/>
      <c r="AP3147" s="96">
        <f ca="1">(AP3140/(N_9*AP$27*AP3142*AP3146))*SQRT(M*'Valve Sizing'!$W$6*'Valve Sizing'!$G$8/AP3145)</f>
        <v>-141.39394013553147</v>
      </c>
      <c r="AQ3147" s="111"/>
      <c r="AR3147" s="28"/>
      <c r="AS3147" s="96">
        <f ca="1">(AS3140/(N_9*AS$27*AS3142*AS3146))*SQRT(M*'Valve Sizing'!$W$6*'Valve Sizing'!$G$8/AS3145)</f>
        <v>-852.83313203458317</v>
      </c>
      <c r="AT3147" s="111"/>
      <c r="AU3147" s="28"/>
    </row>
    <row r="3148" spans="15:47" x14ac:dyDescent="0.25">
      <c r="O3148" s="2" t="s">
        <v>59</v>
      </c>
      <c r="P3148" s="143">
        <v>7</v>
      </c>
      <c r="Q3148" s="2"/>
      <c r="R3148" s="96">
        <f ca="1">(R3140/(N_9*R$27*R3142*0.667))*SQRT(M*'Valve Sizing'!$W$6*'Valve Sizing'!$G$8/R3149)</f>
        <v>9.3591733786036109</v>
      </c>
      <c r="S3148" s="107"/>
      <c r="T3148" s="22"/>
      <c r="U3148" s="96">
        <f ca="1">(U3140/(N_9*U$27*U3142*0.667))*SQRT(M*'Valve Sizing'!$W$6*'Valve Sizing'!$G$8/U3149)</f>
        <v>39.474620274392585</v>
      </c>
      <c r="V3148" s="111"/>
      <c r="W3148" s="28"/>
      <c r="X3148" s="96">
        <f ca="1">(X3140/(N_9*X$27*X3142*0.667))*SQRT(M*'Valve Sizing'!$W$6*'Valve Sizing'!$G$8/X3149)</f>
        <v>110.30033508995896</v>
      </c>
      <c r="Y3148" s="111"/>
      <c r="Z3148" s="28"/>
      <c r="AA3148" s="96">
        <f ca="1">(AA3140/(N_9*AA$27*AA3142*0.667))*SQRT(M*'Valve Sizing'!$W$6*'Valve Sizing'!$G$8/AA3149)</f>
        <v>393.08973634265504</v>
      </c>
      <c r="AB3148" s="111"/>
      <c r="AC3148" s="28"/>
      <c r="AD3148" s="96">
        <f ca="1">(AD3140/(N_9*AD$27*AD3142*0.667))*SQRT(M*'Valve Sizing'!$W$6*'Valve Sizing'!$G$8/AD3149)</f>
        <v>-687.05976997767334</v>
      </c>
      <c r="AE3148" s="111"/>
      <c r="AF3148" s="28"/>
      <c r="AG3148" s="96">
        <f ca="1">(AG3140/(N_9*AG$27*AG3142*0.667))*SQRT(M*'Valve Sizing'!$W$6*'Valve Sizing'!$G$8/AG3149)</f>
        <v>-233.05276343672926</v>
      </c>
      <c r="AH3148" s="111"/>
      <c r="AI3148" s="28"/>
      <c r="AJ3148" s="96">
        <f ca="1">(AJ3140/(N_9*AJ$27*AJ3142*0.667))*SQRT(M*'Valve Sizing'!$W$6*'Valve Sizing'!$G$8/AJ3149)</f>
        <v>-155.6909619544887</v>
      </c>
      <c r="AK3148" s="111"/>
      <c r="AL3148" s="28"/>
      <c r="AM3148" s="96">
        <f ca="1">(AM3140/(N_9*AM$27*AM3142*0.667))*SQRT(M*'Valve Sizing'!$W$6*'Valve Sizing'!$G$8/AM3149)</f>
        <v>-133.57517561820816</v>
      </c>
      <c r="AN3148" s="111"/>
      <c r="AO3148" s="28"/>
      <c r="AP3148" s="96">
        <f ca="1">(AP3140/(N_9*AP$27*AP3142*0.667))*SQRT(M*'Valve Sizing'!$W$6*'Valve Sizing'!$G$8/AP3149)</f>
        <v>-113.52105486148548</v>
      </c>
      <c r="AQ3148" s="111"/>
      <c r="AR3148" s="28"/>
      <c r="AS3148" s="96">
        <f ca="1">(AS3140/(N_9*AS$27*AS3142*0.667))*SQRT(M*'Valve Sizing'!$W$6*'Valve Sizing'!$G$8/AS3149)</f>
        <v>-158.13035721809374</v>
      </c>
      <c r="AT3148" s="111"/>
      <c r="AU3148" s="28"/>
    </row>
    <row r="3149" spans="15:47" ht="15.6" x14ac:dyDescent="0.35">
      <c r="O3149" s="2" t="s">
        <v>68</v>
      </c>
      <c r="P3149" s="143">
        <v>10</v>
      </c>
      <c r="Q3149" s="2"/>
      <c r="R3149" s="96">
        <f ca="1">F_GAMMA*R$29</f>
        <v>0.64002969751372984</v>
      </c>
      <c r="S3149" s="107"/>
      <c r="T3149" s="1"/>
      <c r="U3149" s="96">
        <f ca="1">F_GAMMA*U$29</f>
        <v>0.64017842058782071</v>
      </c>
      <c r="V3149" s="111"/>
      <c r="W3149" s="28"/>
      <c r="X3149" s="96">
        <f ca="1">F_GAMMA*X$29</f>
        <v>0.63413873724904268</v>
      </c>
      <c r="Y3149" s="111"/>
      <c r="Z3149" s="28"/>
      <c r="AA3149" s="96">
        <f ca="1">F_GAMMA*AA$29</f>
        <v>0.62532411750377137</v>
      </c>
      <c r="AB3149" s="111"/>
      <c r="AC3149" s="28"/>
      <c r="AD3149" s="96">
        <f ca="1">F_GAMMA*AD$29</f>
        <v>0.60651359509139569</v>
      </c>
      <c r="AE3149" s="111"/>
      <c r="AF3149" s="28"/>
      <c r="AG3149" s="96">
        <f ca="1">F_GAMMA*AG$29</f>
        <v>0.57217930198481592</v>
      </c>
      <c r="AH3149" s="111"/>
      <c r="AI3149" s="28"/>
      <c r="AJ3149" s="96">
        <f ca="1">F_GAMMA*AJ$29</f>
        <v>0.53183282018848232</v>
      </c>
      <c r="AK3149" s="111"/>
      <c r="AL3149" s="28"/>
      <c r="AM3149" s="96">
        <f ca="1">F_GAMMA*AM$29</f>
        <v>0.47566512503094399</v>
      </c>
      <c r="AN3149" s="111"/>
      <c r="AO3149" s="28"/>
      <c r="AP3149" s="96">
        <f ca="1">F_GAMMA*AP$29</f>
        <v>0.59054158265645496</v>
      </c>
      <c r="AQ3149" s="111"/>
      <c r="AR3149" s="28"/>
      <c r="AS3149" s="96">
        <f ca="1">F_GAMMA*AS$29</f>
        <v>0.3766899554102966</v>
      </c>
      <c r="AT3149" s="111"/>
      <c r="AU3149" s="28"/>
    </row>
    <row r="3150" spans="15:47" x14ac:dyDescent="0.25">
      <c r="O3150" s="2" t="s">
        <v>145</v>
      </c>
      <c r="P3150" s="12"/>
      <c r="Q3150" s="2"/>
      <c r="R3150" s="96">
        <f ca="1">IF(R3145&lt;R3149,R3147,R3148)</f>
        <v>10.463061870579827</v>
      </c>
      <c r="S3150" s="116"/>
      <c r="T3150" s="1"/>
      <c r="U3150" s="96">
        <f ca="1">IF(U3145&lt;U3149,U3147,U3148)</f>
        <v>44.726205012221634</v>
      </c>
      <c r="V3150" s="111"/>
      <c r="W3150" s="28"/>
      <c r="X3150" s="96">
        <f ca="1">IF(X3145&lt;X3149,X3147,X3148)</f>
        <v>139.31244992490232</v>
      </c>
      <c r="Y3150" s="111"/>
      <c r="Z3150" s="28"/>
      <c r="AA3150" s="96" t="e">
        <f ca="1">IF(AA3145&lt;AA3149,AA3147,AA3148)</f>
        <v>#NUM!</v>
      </c>
      <c r="AB3150" s="111"/>
      <c r="AC3150" s="28"/>
      <c r="AD3150" s="96">
        <f ca="1">IF(AD3145&lt;AD3149,AD3147,AD3148)</f>
        <v>-687.05976997767334</v>
      </c>
      <c r="AE3150" s="111"/>
      <c r="AF3150" s="28"/>
      <c r="AG3150" s="96">
        <f ca="1">IF(AG3145&lt;AG3149,AG3147,AG3148)</f>
        <v>-233.05276343672926</v>
      </c>
      <c r="AH3150" s="111"/>
      <c r="AI3150" s="28"/>
      <c r="AJ3150" s="96">
        <f ca="1">IF(AJ3145&lt;AJ3149,AJ3147,AJ3148)</f>
        <v>-155.6909619544887</v>
      </c>
      <c r="AK3150" s="111"/>
      <c r="AL3150" s="28"/>
      <c r="AM3150" s="96">
        <f ca="1">IF(AM3145&lt;AM3149,AM3147,AM3148)</f>
        <v>-133.57517561820816</v>
      </c>
      <c r="AN3150" s="111"/>
      <c r="AO3150" s="28"/>
      <c r="AP3150" s="96">
        <f ca="1">IF(AP3145&lt;AP3149,AP3147,AP3148)</f>
        <v>-113.52105486148548</v>
      </c>
      <c r="AQ3150" s="111"/>
      <c r="AR3150" s="28"/>
      <c r="AS3150" s="96">
        <f ca="1">IF(AS3145&lt;AS3149,AS3147,AS3148)</f>
        <v>-158.13035721809374</v>
      </c>
      <c r="AT3150" s="111"/>
      <c r="AU3150" s="28"/>
    </row>
    <row r="3151" spans="15:47" x14ac:dyDescent="0.25">
      <c r="O3151" s="13" t="s">
        <v>143</v>
      </c>
      <c r="P3151" s="1"/>
      <c r="Q3151" s="1"/>
      <c r="R3151" s="113"/>
      <c r="S3151" s="106">
        <f ca="1">IF(R3144&lt;=0,Q_max,ABS(R$23-R3150))</f>
        <v>5.7330618705798262</v>
      </c>
      <c r="T3151" s="7">
        <f>R3140</f>
        <v>25853.824397890246</v>
      </c>
      <c r="U3151" s="98"/>
      <c r="V3151" s="106">
        <f ca="1">IF(U3144&lt;=0,Q_max,ABS(U$23-U3150))</f>
        <v>33.126205012221632</v>
      </c>
      <c r="W3151" s="9">
        <f ca="1">U3140</f>
        <v>106625.94763556248</v>
      </c>
      <c r="X3151" s="98"/>
      <c r="Y3151" s="106">
        <f ca="1">IF(X3144&lt;=0,Q_max,ABS(X$23-X3150))</f>
        <v>116.31244992490232</v>
      </c>
      <c r="Z3151" s="9">
        <f ca="1">X3140</f>
        <v>261087.77934579639</v>
      </c>
      <c r="AA3151" s="98"/>
      <c r="AB3151" s="106">
        <f ca="1">IF(AA3144&lt;=0,Q_max,ABS(AA$23-AA3150))</f>
        <v>236393</v>
      </c>
      <c r="AC3151" s="9">
        <f ca="1">AA3140</f>
        <v>508532.35270745266</v>
      </c>
      <c r="AD3151" s="98"/>
      <c r="AE3151" s="106">
        <f ca="1">IF(AD3144&lt;=0,Q_max,ABS(AD$23-AD3150))</f>
        <v>236393</v>
      </c>
      <c r="AF3151" s="9">
        <f ca="1">AD3140</f>
        <v>853159.09434277995</v>
      </c>
      <c r="AG3151" s="98"/>
      <c r="AH3151" s="106">
        <f ca="1">IF(AG3144&lt;=0,Q_max,ABS(AG$23-AG3150))</f>
        <v>236393</v>
      </c>
      <c r="AI3151" s="9">
        <f ca="1">AG3140</f>
        <v>1245208.9349553345</v>
      </c>
      <c r="AJ3151" s="98"/>
      <c r="AK3151" s="106">
        <f ca="1">IF(AJ3144&lt;=0,Q_max,ABS(AJ$23-AJ3150))</f>
        <v>236393</v>
      </c>
      <c r="AL3151" s="9">
        <f ca="1">AJ3140</f>
        <v>1661736.1508340503</v>
      </c>
      <c r="AM3151" s="98"/>
      <c r="AN3151" s="106">
        <f ca="1">IF(AM3144&lt;=0,Q_max,ABS(AM$23-AM3150))</f>
        <v>236393</v>
      </c>
      <c r="AO3151" s="9">
        <f ca="1">AM3140</f>
        <v>2027633.9002691808</v>
      </c>
      <c r="AP3151" s="98"/>
      <c r="AQ3151" s="106">
        <f ca="1">IF(AP3144&lt;=0,Q_max,ABS(AP$23-AP3150))</f>
        <v>236393</v>
      </c>
      <c r="AR3151" s="9">
        <f ca="1">AP3140</f>
        <v>2354020.0110683064</v>
      </c>
      <c r="AS3151" s="98"/>
      <c r="AT3151" s="106">
        <f ca="1">IF(AS3144&lt;=0,Q_max,ABS(AS$23-AS3150))</f>
        <v>236393</v>
      </c>
      <c r="AU3151" s="9">
        <f ca="1">AS3140</f>
        <v>2760273.5947017442</v>
      </c>
    </row>
    <row r="3152" spans="15:47" x14ac:dyDescent="0.25">
      <c r="O3152" s="21"/>
      <c r="P3152" s="14"/>
      <c r="Q3152" s="21"/>
      <c r="R3152" s="97"/>
      <c r="S3152" s="106"/>
      <c r="T3152" s="28"/>
      <c r="U3152" s="97"/>
      <c r="V3152" s="111"/>
      <c r="W3152" s="28"/>
      <c r="X3152" s="97"/>
      <c r="Y3152" s="111"/>
      <c r="Z3152" s="28"/>
      <c r="AA3152" s="97"/>
      <c r="AB3152" s="111"/>
      <c r="AC3152" s="28"/>
      <c r="AD3152" s="97"/>
      <c r="AE3152" s="111"/>
      <c r="AF3152" s="28"/>
      <c r="AG3152" s="97"/>
      <c r="AH3152" s="111"/>
      <c r="AI3152" s="28"/>
      <c r="AJ3152" s="97"/>
      <c r="AK3152" s="111"/>
      <c r="AL3152" s="28"/>
      <c r="AM3152" s="97"/>
      <c r="AN3152" s="111"/>
      <c r="AO3152" s="28"/>
      <c r="AP3152" s="97"/>
      <c r="AQ3152" s="111"/>
      <c r="AR3152" s="28"/>
      <c r="AS3152" s="97"/>
      <c r="AT3152" s="111"/>
      <c r="AU3152" s="28"/>
    </row>
    <row r="3153" spans="15:47" x14ac:dyDescent="0.25">
      <c r="O3153" s="1"/>
      <c r="P3153" s="1"/>
      <c r="Q3153" s="1"/>
      <c r="R3153" s="98"/>
      <c r="S3153" s="108" t="s">
        <v>137</v>
      </c>
      <c r="T3153" s="26" t="s">
        <v>146</v>
      </c>
      <c r="U3153" s="98"/>
      <c r="V3153" s="108" t="s">
        <v>137</v>
      </c>
      <c r="W3153" s="26" t="s">
        <v>146</v>
      </c>
      <c r="X3153" s="98"/>
      <c r="Y3153" s="108" t="s">
        <v>137</v>
      </c>
      <c r="Z3153" s="26" t="s">
        <v>146</v>
      </c>
      <c r="AA3153" s="98"/>
      <c r="AB3153" s="108" t="s">
        <v>137</v>
      </c>
      <c r="AC3153" s="26" t="s">
        <v>146</v>
      </c>
      <c r="AD3153" s="98"/>
      <c r="AE3153" s="108" t="s">
        <v>137</v>
      </c>
      <c r="AF3153" s="26" t="s">
        <v>146</v>
      </c>
      <c r="AG3153" s="98"/>
      <c r="AH3153" s="108" t="s">
        <v>137</v>
      </c>
      <c r="AI3153" s="26" t="s">
        <v>146</v>
      </c>
      <c r="AJ3153" s="98"/>
      <c r="AK3153" s="108" t="s">
        <v>137</v>
      </c>
      <c r="AL3153" s="26" t="s">
        <v>146</v>
      </c>
      <c r="AM3153" s="98"/>
      <c r="AN3153" s="108" t="s">
        <v>137</v>
      </c>
      <c r="AO3153" s="26" t="s">
        <v>146</v>
      </c>
      <c r="AP3153" s="98"/>
      <c r="AQ3153" s="108" t="s">
        <v>137</v>
      </c>
      <c r="AR3153" s="26" t="s">
        <v>146</v>
      </c>
      <c r="AS3153" s="98"/>
      <c r="AT3153" s="108" t="s">
        <v>137</v>
      </c>
      <c r="AU3153" s="26" t="s">
        <v>146</v>
      </c>
    </row>
    <row r="3154" spans="15:47" ht="13.8" x14ac:dyDescent="0.25">
      <c r="O3154" s="20" t="s">
        <v>136</v>
      </c>
      <c r="P3154" s="1"/>
      <c r="Q3154" s="1"/>
      <c r="R3154" s="96">
        <f>R3140*1.02</f>
        <v>26370.900885848052</v>
      </c>
      <c r="S3154" s="109" t="s">
        <v>144</v>
      </c>
      <c r="T3154" s="23" t="s">
        <v>147</v>
      </c>
      <c r="U3154" s="96">
        <f ca="1">U3140*1.01</f>
        <v>107692.20711191811</v>
      </c>
      <c r="V3154" s="109" t="s">
        <v>144</v>
      </c>
      <c r="W3154" s="23" t="s">
        <v>147</v>
      </c>
      <c r="X3154" s="96">
        <f ca="1">X3140*1.01</f>
        <v>263698.65713925433</v>
      </c>
      <c r="Y3154" s="109" t="s">
        <v>144</v>
      </c>
      <c r="Z3154" s="23" t="s">
        <v>147</v>
      </c>
      <c r="AA3154" s="96">
        <f ca="1">AA3140*1.01</f>
        <v>513617.6762345272</v>
      </c>
      <c r="AB3154" s="109" t="s">
        <v>144</v>
      </c>
      <c r="AC3154" s="23" t="s">
        <v>147</v>
      </c>
      <c r="AD3154" s="96">
        <f ca="1">AD3140*1.01</f>
        <v>861690.68528620771</v>
      </c>
      <c r="AE3154" s="109" t="s">
        <v>144</v>
      </c>
      <c r="AF3154" s="23" t="s">
        <v>147</v>
      </c>
      <c r="AG3154" s="96">
        <f ca="1">AG3140*1.01</f>
        <v>1257661.024304888</v>
      </c>
      <c r="AH3154" s="109" t="s">
        <v>144</v>
      </c>
      <c r="AI3154" s="23" t="s">
        <v>147</v>
      </c>
      <c r="AJ3154" s="96">
        <f ca="1">AJ3140*1.01</f>
        <v>1678353.5123423908</v>
      </c>
      <c r="AK3154" s="109" t="s">
        <v>144</v>
      </c>
      <c r="AL3154" s="23" t="s">
        <v>147</v>
      </c>
      <c r="AM3154" s="96">
        <f ca="1">AM3140*1.01</f>
        <v>2047910.2392718727</v>
      </c>
      <c r="AN3154" s="109" t="s">
        <v>144</v>
      </c>
      <c r="AO3154" s="23" t="s">
        <v>147</v>
      </c>
      <c r="AP3154" s="96">
        <f ca="1">AP3140*1.01</f>
        <v>2377560.2111789896</v>
      </c>
      <c r="AQ3154" s="109" t="s">
        <v>144</v>
      </c>
      <c r="AR3154" s="23" t="s">
        <v>147</v>
      </c>
      <c r="AS3154" s="96">
        <f ca="1">AS3140*1.01</f>
        <v>2787876.3306487617</v>
      </c>
      <c r="AT3154" s="109" t="s">
        <v>144</v>
      </c>
      <c r="AU3154" s="23" t="s">
        <v>147</v>
      </c>
    </row>
    <row r="3155" spans="15:47" x14ac:dyDescent="0.25">
      <c r="O3155" s="1"/>
      <c r="P3155" s="1"/>
      <c r="Q3155" s="1"/>
      <c r="R3155" s="98"/>
      <c r="S3155" s="107"/>
      <c r="T3155" s="1"/>
      <c r="U3155" s="47"/>
      <c r="V3155" s="107"/>
      <c r="W3155" s="1"/>
      <c r="X3155" s="47"/>
      <c r="Y3155" s="107"/>
      <c r="Z3155" s="1"/>
      <c r="AA3155" s="47"/>
      <c r="AB3155" s="107"/>
      <c r="AC3155" s="1"/>
      <c r="AD3155" s="47"/>
      <c r="AE3155" s="107"/>
      <c r="AF3155" s="1"/>
      <c r="AG3155" s="47"/>
      <c r="AH3155" s="107"/>
      <c r="AI3155" s="1"/>
      <c r="AJ3155" s="47"/>
      <c r="AK3155" s="107"/>
      <c r="AL3155" s="1"/>
      <c r="AM3155" s="47"/>
      <c r="AN3155" s="107"/>
      <c r="AO3155" s="1"/>
      <c r="AP3155" s="47"/>
      <c r="AQ3155" s="107"/>
      <c r="AR3155" s="1"/>
      <c r="AS3155" s="47"/>
      <c r="AT3155" s="107"/>
      <c r="AU3155" s="1"/>
    </row>
    <row r="3156" spans="15:47" x14ac:dyDescent="0.25">
      <c r="O3156" s="8" t="s">
        <v>132</v>
      </c>
      <c r="P3156" s="8"/>
      <c r="Q3156" s="8"/>
      <c r="R3156" s="96">
        <f>P_1_minQ-(R3154^2*R_up)+dpup_minQ</f>
        <v>90.058291842973858</v>
      </c>
      <c r="S3156" s="106"/>
      <c r="T3156" s="22"/>
      <c r="U3156" s="96">
        <f ca="1">P_1_minQ-(U3154^2*R_up)+dpup_minQ</f>
        <v>88.071249295496642</v>
      </c>
      <c r="V3156" s="107"/>
      <c r="W3156" s="1"/>
      <c r="X3156" s="96">
        <f ca="1">P_1_minQ-(X3154^2*R_up)+dpup_minQ</f>
        <v>77.511166869397542</v>
      </c>
      <c r="Y3156" s="107"/>
      <c r="Z3156" s="1"/>
      <c r="AA3156" s="96">
        <f ca="1">P_1_minQ-(AA3154^2*R_up)+dpup_minQ</f>
        <v>42.104043986077784</v>
      </c>
      <c r="AB3156" s="107"/>
      <c r="AC3156" s="1"/>
      <c r="AD3156" s="96">
        <f ca="1">P_1_minQ-(AD3154^2*R_up)+dpup_minQ</f>
        <v>-45.145661217917592</v>
      </c>
      <c r="AE3156" s="107"/>
      <c r="AF3156" s="1"/>
      <c r="AG3156" s="96">
        <f ca="1">P_1_minQ-(AG3154^2*R_up)+dpup_minQ</f>
        <v>-198.09909352641893</v>
      </c>
      <c r="AH3156" s="107"/>
      <c r="AI3156" s="1"/>
      <c r="AJ3156" s="96">
        <f ca="1">P_1_minQ-(AJ3154^2*R_up)+dpup_minQ</f>
        <v>-423.22034579379937</v>
      </c>
      <c r="AK3156" s="107"/>
      <c r="AL3156" s="1"/>
      <c r="AM3156" s="96">
        <f ca="1">P_1_minQ-(AM3154^2*R_up)+dpup_minQ</f>
        <v>-674.20561979647994</v>
      </c>
      <c r="AN3156" s="107"/>
      <c r="AO3156" s="1"/>
      <c r="AP3156" s="96">
        <f ca="1">P_1_minQ-(AP3154^2*R_up)+dpup_minQ</f>
        <v>-940.09808188173815</v>
      </c>
      <c r="AQ3156" s="107"/>
      <c r="AR3156" s="1"/>
      <c r="AS3156" s="96">
        <f ca="1">P_1_minQ-(AS3154^2*R_up)+dpup_minQ</f>
        <v>-1326.3931348780281</v>
      </c>
      <c r="AT3156" s="107"/>
      <c r="AU3156" s="1"/>
    </row>
    <row r="3157" spans="15:47" x14ac:dyDescent="0.25">
      <c r="O3157" s="8" t="s">
        <v>134</v>
      </c>
      <c r="P3157" s="1"/>
      <c r="Q3157" s="8"/>
      <c r="R3157" s="97">
        <f>P_2_minQ+(R3154^2*R_dn)-dpdn_minQ</f>
        <v>60</v>
      </c>
      <c r="S3157" s="106"/>
      <c r="T3157" s="22"/>
      <c r="U3157" s="97">
        <f ca="1">P_2_minQ+(U3154^2*R_dn)-dpdn_minQ</f>
        <v>60</v>
      </c>
      <c r="V3157" s="107"/>
      <c r="W3157" s="1"/>
      <c r="X3157" s="97">
        <f ca="1">P_2_minQ+(X3154^2*R_dn)-dpdn_minQ</f>
        <v>60</v>
      </c>
      <c r="Y3157" s="107"/>
      <c r="Z3157" s="1"/>
      <c r="AA3157" s="97">
        <f ca="1">P_2_minQ+(AA3154^2*R_dn)-dpdn_minQ</f>
        <v>60</v>
      </c>
      <c r="AB3157" s="107"/>
      <c r="AC3157" s="1"/>
      <c r="AD3157" s="97">
        <f ca="1">P_2_minQ+(AD3154^2*R_dn)-dpdn_minQ</f>
        <v>60</v>
      </c>
      <c r="AE3157" s="107"/>
      <c r="AF3157" s="1"/>
      <c r="AG3157" s="97">
        <f ca="1">P_2_minQ+(AG3154^2*R_dn)-dpdn_minQ</f>
        <v>60</v>
      </c>
      <c r="AH3157" s="107"/>
      <c r="AI3157" s="1"/>
      <c r="AJ3157" s="97">
        <f ca="1">P_2_minQ+(AJ3154^2*R_dn)-dpdn_minQ</f>
        <v>60</v>
      </c>
      <c r="AK3157" s="107"/>
      <c r="AL3157" s="1"/>
      <c r="AM3157" s="97">
        <f ca="1">P_2_minQ+(AM3154^2*R_dn)-dpdn_minQ</f>
        <v>60</v>
      </c>
      <c r="AN3157" s="107"/>
      <c r="AO3157" s="1"/>
      <c r="AP3157" s="97">
        <f ca="1">P_2_minQ+(AP3154^2*R_dn)-dpdn_minQ</f>
        <v>60</v>
      </c>
      <c r="AQ3157" s="107"/>
      <c r="AR3157" s="1"/>
      <c r="AS3157" s="97">
        <f ca="1">P_2_minQ+(AS3154^2*R_dn)-dpdn_minQ</f>
        <v>60</v>
      </c>
      <c r="AT3157" s="107"/>
      <c r="AU3157" s="1"/>
    </row>
    <row r="3158" spans="15:47" x14ac:dyDescent="0.25">
      <c r="O3158" s="8" t="s">
        <v>138</v>
      </c>
      <c r="P3158" s="1"/>
      <c r="Q3158" s="8"/>
      <c r="R3158" s="97">
        <f>R3156-R3157</f>
        <v>30.058291842973858</v>
      </c>
      <c r="S3158" s="106"/>
      <c r="T3158" s="22"/>
      <c r="U3158" s="97">
        <f ca="1">U3156-U3157</f>
        <v>28.071249295496642</v>
      </c>
      <c r="V3158" s="110"/>
      <c r="W3158" s="25"/>
      <c r="X3158" s="97">
        <f ca="1">X3156-X3157</f>
        <v>17.511166869397542</v>
      </c>
      <c r="Y3158" s="110"/>
      <c r="Z3158" s="25"/>
      <c r="AA3158" s="97">
        <f ca="1">AA3156-AA3157</f>
        <v>-17.895956013922216</v>
      </c>
      <c r="AB3158" s="110"/>
      <c r="AC3158" s="25"/>
      <c r="AD3158" s="97">
        <f ca="1">AD3156-AD3157</f>
        <v>-105.14566121791759</v>
      </c>
      <c r="AE3158" s="110"/>
      <c r="AF3158" s="25"/>
      <c r="AG3158" s="97">
        <f ca="1">AG3156-AG3157</f>
        <v>-258.09909352641893</v>
      </c>
      <c r="AH3158" s="110"/>
      <c r="AI3158" s="25"/>
      <c r="AJ3158" s="97">
        <f ca="1">AJ3156-AJ3157</f>
        <v>-483.22034579379937</v>
      </c>
      <c r="AK3158" s="110"/>
      <c r="AL3158" s="25"/>
      <c r="AM3158" s="97">
        <f ca="1">AM3156-AM3157</f>
        <v>-734.20561979647994</v>
      </c>
      <c r="AN3158" s="110"/>
      <c r="AO3158" s="25"/>
      <c r="AP3158" s="97">
        <f ca="1">AP3156-AP3157</f>
        <v>-1000.0980818817382</v>
      </c>
      <c r="AQ3158" s="110"/>
      <c r="AR3158" s="25"/>
      <c r="AS3158" s="97">
        <f ca="1">AS3156-AS3157</f>
        <v>-1386.3931348780281</v>
      </c>
      <c r="AT3158" s="110"/>
      <c r="AU3158" s="25"/>
    </row>
    <row r="3159" spans="15:47" ht="14.4" x14ac:dyDescent="0.3">
      <c r="O3159" s="2" t="s">
        <v>140</v>
      </c>
      <c r="P3159" s="11"/>
      <c r="Q3159" s="2"/>
      <c r="R3159" s="96">
        <f>R3158/R3156</f>
        <v>0.33376484527803019</v>
      </c>
      <c r="S3159" s="106"/>
      <c r="T3159" s="22"/>
      <c r="U3159" s="96">
        <f ca="1">U3158/U3156</f>
        <v>0.31873340641861442</v>
      </c>
      <c r="V3159" s="111"/>
      <c r="W3159" s="28"/>
      <c r="X3159" s="96">
        <f ca="1">X3158/X3156</f>
        <v>0.2259179880352335</v>
      </c>
      <c r="Y3159" s="111"/>
      <c r="Z3159" s="28"/>
      <c r="AA3159" s="96">
        <f ca="1">AA3158/AA3156</f>
        <v>-0.42504126254095054</v>
      </c>
      <c r="AB3159" s="111"/>
      <c r="AC3159" s="28"/>
      <c r="AD3159" s="96">
        <f ca="1">AD3158/AD3156</f>
        <v>2.3290313704872032</v>
      </c>
      <c r="AE3159" s="111"/>
      <c r="AF3159" s="28"/>
      <c r="AG3159" s="96">
        <f ca="1">AG3158/AG3156</f>
        <v>1.3028787206035259</v>
      </c>
      <c r="AH3159" s="111"/>
      <c r="AI3159" s="28"/>
      <c r="AJ3159" s="96">
        <f ca="1">AJ3158/AJ3156</f>
        <v>1.1417701218675178</v>
      </c>
      <c r="AK3159" s="111"/>
      <c r="AL3159" s="28"/>
      <c r="AM3159" s="96">
        <f ca="1">AM3158/AM3156</f>
        <v>1.0889936218836502</v>
      </c>
      <c r="AN3159" s="111"/>
      <c r="AO3159" s="28"/>
      <c r="AP3159" s="96">
        <f ca="1">AP3158/AP3156</f>
        <v>1.0638231277739676</v>
      </c>
      <c r="AQ3159" s="111"/>
      <c r="AR3159" s="28"/>
      <c r="AS3159" s="96">
        <f ca="1">AS3158/AS3156</f>
        <v>1.0452354572880969</v>
      </c>
      <c r="AT3159" s="111"/>
      <c r="AU3159" s="28"/>
    </row>
    <row r="3160" spans="15:47" x14ac:dyDescent="0.25">
      <c r="O3160" s="2" t="s">
        <v>21</v>
      </c>
      <c r="P3160" s="8">
        <v>12</v>
      </c>
      <c r="Q3160" s="2"/>
      <c r="R3160" s="96">
        <f ca="1">1-R3159/(3*F_GAMMA*R$29)</f>
        <v>0.82617220910499478</v>
      </c>
      <c r="S3160" s="106"/>
      <c r="T3160" s="22"/>
      <c r="U3160" s="96">
        <f ca="1">1-U3159/(3*F_GAMMA*U$29)</f>
        <v>0.83403928437848673</v>
      </c>
      <c r="V3160" s="111"/>
      <c r="W3160" s="28"/>
      <c r="X3160" s="96">
        <f ca="1">1-X3159/(3*F_GAMMA*X$29)</f>
        <v>0.88124681305792885</v>
      </c>
      <c r="Y3160" s="111"/>
      <c r="Z3160" s="28"/>
      <c r="AA3160" s="96">
        <f ca="1">1-AA3159/(3*F_GAMMA*AA$29)</f>
        <v>1.2265711762606517</v>
      </c>
      <c r="AB3160" s="111"/>
      <c r="AC3160" s="28"/>
      <c r="AD3160" s="96">
        <f ca="1">1-AD3159/(3*F_GAMMA*AD$29)</f>
        <v>-0.28001053306218737</v>
      </c>
      <c r="AE3160" s="111"/>
      <c r="AF3160" s="28"/>
      <c r="AG3160" s="96">
        <f ca="1">1-AG3159/(3*F_GAMMA*AG$29)</f>
        <v>0.24098459108650705</v>
      </c>
      <c r="AH3160" s="111"/>
      <c r="AI3160" s="28"/>
      <c r="AJ3160" s="96">
        <f ca="1">1-AJ3159/(3*F_GAMMA*AJ$29)</f>
        <v>0.28438030490930544</v>
      </c>
      <c r="AK3160" s="111"/>
      <c r="AL3160" s="28"/>
      <c r="AM3160" s="96">
        <f ca="1">1-AM3159/(3*F_GAMMA*AM$29)</f>
        <v>0.23686254287067554</v>
      </c>
      <c r="AN3160" s="111"/>
      <c r="AO3160" s="28"/>
      <c r="AP3160" s="96">
        <f ca="1">1-AP3159/(3*F_GAMMA*AP$29)</f>
        <v>0.39952118585308705</v>
      </c>
      <c r="AQ3160" s="111"/>
      <c r="AR3160" s="28"/>
      <c r="AS3160" s="96">
        <f ca="1">1-AS3159/(3*F_GAMMA*AS$29)</f>
        <v>7.5070056708741673E-2</v>
      </c>
      <c r="AT3160" s="111"/>
      <c r="AU3160" s="28"/>
    </row>
    <row r="3161" spans="15:47" x14ac:dyDescent="0.25">
      <c r="O3161" s="2" t="s">
        <v>57</v>
      </c>
      <c r="P3161" s="143">
        <v>7</v>
      </c>
      <c r="Q3161" s="2"/>
      <c r="R3161" s="96">
        <f ca="1">(R3154/(N_9*R$27*R3156*R3160))*SQRT(M*'Valve Sizing'!$W$6*'Valve Sizing'!$G$8/R3159)</f>
        <v>10.673243501001053</v>
      </c>
      <c r="S3161" s="107"/>
      <c r="T3161" s="22"/>
      <c r="U3161" s="96">
        <f ca="1">(U3154/(N_9*U$27*U3156*U3160))*SQRT(M*'Valve Sizing'!$W$6*'Valve Sizing'!$G$8/U3159)</f>
        <v>45.208564784761144</v>
      </c>
      <c r="V3161" s="111"/>
      <c r="W3161" s="28"/>
      <c r="X3161" s="96">
        <f ca="1">(X3154/(N_9*X$27*X3156*X3160))*SQRT(M*'Valve Sizing'!$W$6*'Valve Sizing'!$G$8/X3159)</f>
        <v>141.72294757047584</v>
      </c>
      <c r="Y3161" s="111"/>
      <c r="Z3161" s="28"/>
      <c r="AA3161" s="96" t="e">
        <f ca="1">(AA3154/(N_9*AA$27*AA3156*AA3160))*SQRT(M*'Valve Sizing'!$W$6*'Valve Sizing'!$G$8/AA3159)</f>
        <v>#NUM!</v>
      </c>
      <c r="AB3161" s="111"/>
      <c r="AC3161" s="28"/>
      <c r="AD3161" s="96">
        <f ca="1">(AD3154/(N_9*AD$27*AD3156*AD3160))*SQRT(M*'Valve Sizing'!$W$6*'Valve Sizing'!$G$8/AD3159)</f>
        <v>793.70546153286386</v>
      </c>
      <c r="AE3161" s="111"/>
      <c r="AF3161" s="28"/>
      <c r="AG3161" s="96">
        <f ca="1">(AG3154/(N_9*AG$27*AG3156*AG3160))*SQRT(M*'Valve Sizing'!$W$6*'Valve Sizing'!$G$8/AG3159)</f>
        <v>-419.3640366050343</v>
      </c>
      <c r="AH3161" s="111"/>
      <c r="AI3161" s="28"/>
      <c r="AJ3161" s="96">
        <f ca="1">(AJ3154/(N_9*AJ$27*AJ3156*AJ3160))*SQRT(M*'Valve Sizing'!$W$6*'Valve Sizing'!$G$8/AJ3159)</f>
        <v>-245.69845767284039</v>
      </c>
      <c r="AK3161" s="111"/>
      <c r="AL3161" s="28"/>
      <c r="AM3161" s="96">
        <f ca="1">(AM3154/(N_9*AM$27*AM3156*AM3160))*SQRT(M*'Valve Sizing'!$W$6*'Valve Sizing'!$G$8/AM3159)</f>
        <v>-245.47234132902702</v>
      </c>
      <c r="AN3161" s="111"/>
      <c r="AO3161" s="28"/>
      <c r="AP3161" s="96">
        <f ca="1">(AP3154/(N_9*AP$27*AP3156*AP3160))*SQRT(M*'Valve Sizing'!$W$6*'Valve Sizing'!$G$8/AP3159)</f>
        <v>-139.53828043080929</v>
      </c>
      <c r="AQ3161" s="111"/>
      <c r="AR3161" s="28"/>
      <c r="AS3161" s="96">
        <f ca="1">(AS3154/(N_9*AS$27*AS3156*AS3160))*SQRT(M*'Valve Sizing'!$W$6*'Valve Sizing'!$G$8/AS3159)</f>
        <v>-833.95762782215741</v>
      </c>
      <c r="AT3161" s="111"/>
      <c r="AU3161" s="28"/>
    </row>
    <row r="3162" spans="15:47" x14ac:dyDescent="0.25">
      <c r="O3162" s="2" t="s">
        <v>59</v>
      </c>
      <c r="P3162" s="143">
        <v>7</v>
      </c>
      <c r="Q3162" s="2"/>
      <c r="R3162" s="96">
        <f ca="1">(R3154/(N_9*R$27*R3156*0.667))*SQRT(M*'Valve Sizing'!$W$6*'Valve Sizing'!$G$8/R3163)</f>
        <v>9.5468785673351331</v>
      </c>
      <c r="S3162" s="107"/>
      <c r="T3162" s="22"/>
      <c r="U3162" s="96">
        <f ca="1">(U3154/(N_9*U$27*U3156*0.667))*SQRT(M*'Valve Sizing'!$W$6*'Valve Sizing'!$G$8/U3163)</f>
        <v>39.888221218544587</v>
      </c>
      <c r="V3162" s="111"/>
      <c r="W3162" s="28"/>
      <c r="X3162" s="96">
        <f ca="1">(X3154/(N_9*X$27*X3156*0.667))*SQRT(M*'Valve Sizing'!$W$6*'Valve Sizing'!$G$8/X3163)</f>
        <v>111.76225757725746</v>
      </c>
      <c r="Y3162" s="111"/>
      <c r="Z3162" s="28"/>
      <c r="AA3162" s="96">
        <f ca="1">(AA3154/(N_9*AA$27*AA3156*0.667))*SQRT(M*'Valve Sizing'!$W$6*'Valve Sizing'!$G$8/AA3163)</f>
        <v>405.95401843292314</v>
      </c>
      <c r="AB3162" s="111"/>
      <c r="AC3162" s="28"/>
      <c r="AD3162" s="96">
        <f ca="1">(AD3154/(N_9*AD$27*AD3156*0.667))*SQRT(M*'Valve Sizing'!$W$6*'Valve Sizing'!$G$8/AD3163)</f>
        <v>-652.94304801120279</v>
      </c>
      <c r="AE3162" s="111"/>
      <c r="AF3162" s="28"/>
      <c r="AG3162" s="96">
        <f ca="1">(AG3154/(N_9*AG$27*AG3156*0.667))*SQRT(M*'Valve Sizing'!$W$6*'Valve Sizing'!$G$8/AG3163)</f>
        <v>-228.63385957730006</v>
      </c>
      <c r="AH3162" s="111"/>
      <c r="AI3162" s="28"/>
      <c r="AJ3162" s="96">
        <f ca="1">(AJ3154/(N_9*AJ$27*AJ3156*0.667))*SQRT(M*'Valve Sizing'!$W$6*'Valve Sizing'!$G$8/AJ3163)</f>
        <v>-153.48922086520622</v>
      </c>
      <c r="AK3162" s="111"/>
      <c r="AL3162" s="28"/>
      <c r="AM3162" s="96">
        <f ca="1">(AM3154/(N_9*AM$27*AM3156*0.667))*SQRT(M*'Valve Sizing'!$W$6*'Valve Sizing'!$G$8/AM3163)</f>
        <v>-131.89706482973364</v>
      </c>
      <c r="AN3162" s="111"/>
      <c r="AO3162" s="28"/>
      <c r="AP3162" s="96">
        <f ca="1">(AP3154/(N_9*AP$27*AP3156*0.667))*SQRT(M*'Valve Sizing'!$W$6*'Valve Sizing'!$G$8/AP3163)</f>
        <v>-112.18035731047169</v>
      </c>
      <c r="AQ3162" s="111"/>
      <c r="AR3162" s="28"/>
      <c r="AS3162" s="96">
        <f ca="1">(AS3154/(N_9*AS$27*AS3156*0.667))*SQRT(M*'Valve Sizing'!$W$6*'Valve Sizing'!$G$8/AS3163)</f>
        <v>-156.35074046753473</v>
      </c>
      <c r="AT3162" s="111"/>
      <c r="AU3162" s="28"/>
    </row>
    <row r="3163" spans="15:47" ht="15.6" x14ac:dyDescent="0.35">
      <c r="O3163" s="2" t="s">
        <v>68</v>
      </c>
      <c r="P3163" s="143">
        <v>10</v>
      </c>
      <c r="Q3163" s="2"/>
      <c r="R3163" s="96">
        <f ca="1">F_GAMMA*R$29</f>
        <v>0.64002969751372984</v>
      </c>
      <c r="S3163" s="107"/>
      <c r="T3163" s="1"/>
      <c r="U3163" s="96">
        <f ca="1">F_GAMMA*U$29</f>
        <v>0.64017842058782071</v>
      </c>
      <c r="V3163" s="111"/>
      <c r="W3163" s="28"/>
      <c r="X3163" s="96">
        <f ca="1">F_GAMMA*X$29</f>
        <v>0.63413873724904268</v>
      </c>
      <c r="Y3163" s="111"/>
      <c r="Z3163" s="28"/>
      <c r="AA3163" s="96">
        <f ca="1">F_GAMMA*AA$29</f>
        <v>0.62532411750377137</v>
      </c>
      <c r="AB3163" s="111"/>
      <c r="AC3163" s="28"/>
      <c r="AD3163" s="96">
        <f ca="1">F_GAMMA*AD$29</f>
        <v>0.60651359509139569</v>
      </c>
      <c r="AE3163" s="111"/>
      <c r="AF3163" s="28"/>
      <c r="AG3163" s="96">
        <f ca="1">F_GAMMA*AG$29</f>
        <v>0.57217930198481592</v>
      </c>
      <c r="AH3163" s="111"/>
      <c r="AI3163" s="28"/>
      <c r="AJ3163" s="96">
        <f ca="1">F_GAMMA*AJ$29</f>
        <v>0.53183282018848232</v>
      </c>
      <c r="AK3163" s="111"/>
      <c r="AL3163" s="28"/>
      <c r="AM3163" s="96">
        <f ca="1">F_GAMMA*AM$29</f>
        <v>0.47566512503094399</v>
      </c>
      <c r="AN3163" s="111"/>
      <c r="AO3163" s="28"/>
      <c r="AP3163" s="96">
        <f ca="1">F_GAMMA*AP$29</f>
        <v>0.59054158265645496</v>
      </c>
      <c r="AQ3163" s="111"/>
      <c r="AR3163" s="28"/>
      <c r="AS3163" s="96">
        <f ca="1">F_GAMMA*AS$29</f>
        <v>0.3766899554102966</v>
      </c>
      <c r="AT3163" s="111"/>
      <c r="AU3163" s="28"/>
    </row>
    <row r="3164" spans="15:47" x14ac:dyDescent="0.25">
      <c r="O3164" s="2" t="s">
        <v>145</v>
      </c>
      <c r="P3164" s="12"/>
      <c r="Q3164" s="2"/>
      <c r="R3164" s="96">
        <f ca="1">IF(R3159&lt;R3163,R3161,R3162)</f>
        <v>10.673243501001053</v>
      </c>
      <c r="S3164" s="116"/>
      <c r="T3164" s="1"/>
      <c r="U3164" s="96">
        <f ca="1">IF(U3159&lt;U3163,U3161,U3162)</f>
        <v>45.208564784761144</v>
      </c>
      <c r="V3164" s="111"/>
      <c r="W3164" s="28"/>
      <c r="X3164" s="96">
        <f ca="1">IF(X3159&lt;X3163,X3161,X3162)</f>
        <v>141.72294757047584</v>
      </c>
      <c r="Y3164" s="111"/>
      <c r="Z3164" s="28"/>
      <c r="AA3164" s="96" t="e">
        <f ca="1">IF(AA3159&lt;AA3163,AA3161,AA3162)</f>
        <v>#NUM!</v>
      </c>
      <c r="AB3164" s="111"/>
      <c r="AC3164" s="28"/>
      <c r="AD3164" s="96">
        <f ca="1">IF(AD3159&lt;AD3163,AD3161,AD3162)</f>
        <v>-652.94304801120279</v>
      </c>
      <c r="AE3164" s="111"/>
      <c r="AF3164" s="28"/>
      <c r="AG3164" s="96">
        <f ca="1">IF(AG3159&lt;AG3163,AG3161,AG3162)</f>
        <v>-228.63385957730006</v>
      </c>
      <c r="AH3164" s="111"/>
      <c r="AI3164" s="28"/>
      <c r="AJ3164" s="96">
        <f ca="1">IF(AJ3159&lt;AJ3163,AJ3161,AJ3162)</f>
        <v>-153.48922086520622</v>
      </c>
      <c r="AK3164" s="111"/>
      <c r="AL3164" s="28"/>
      <c r="AM3164" s="96">
        <f ca="1">IF(AM3159&lt;AM3163,AM3161,AM3162)</f>
        <v>-131.89706482973364</v>
      </c>
      <c r="AN3164" s="111"/>
      <c r="AO3164" s="28"/>
      <c r="AP3164" s="96">
        <f ca="1">IF(AP3159&lt;AP3163,AP3161,AP3162)</f>
        <v>-112.18035731047169</v>
      </c>
      <c r="AQ3164" s="111"/>
      <c r="AR3164" s="28"/>
      <c r="AS3164" s="96">
        <f ca="1">IF(AS3159&lt;AS3163,AS3161,AS3162)</f>
        <v>-156.35074046753473</v>
      </c>
      <c r="AT3164" s="111"/>
      <c r="AU3164" s="28"/>
    </row>
    <row r="3165" spans="15:47" x14ac:dyDescent="0.25">
      <c r="O3165" s="13" t="s">
        <v>143</v>
      </c>
      <c r="P3165" s="1"/>
      <c r="Q3165" s="1"/>
      <c r="R3165" s="113"/>
      <c r="S3165" s="106">
        <f ca="1">IF(R3158&lt;=0,Q_max,ABS(R$23-R3164))</f>
        <v>5.9432435010010529</v>
      </c>
      <c r="T3165" s="7">
        <f>R3154</f>
        <v>26370.900885848052</v>
      </c>
      <c r="U3165" s="98"/>
      <c r="V3165" s="106">
        <f ca="1">IF(U3158&lt;=0,Q_max,ABS(U$23-U3164))</f>
        <v>33.608564784761143</v>
      </c>
      <c r="W3165" s="9">
        <f ca="1">U3154</f>
        <v>107692.20711191811</v>
      </c>
      <c r="X3165" s="98"/>
      <c r="Y3165" s="106">
        <f ca="1">IF(X3158&lt;=0,Q_max,ABS(X$23-X3164))</f>
        <v>118.72294757047584</v>
      </c>
      <c r="Z3165" s="9">
        <f ca="1">X3154</f>
        <v>263698.65713925433</v>
      </c>
      <c r="AA3165" s="98"/>
      <c r="AB3165" s="106">
        <f ca="1">IF(AA3158&lt;=0,Q_max,ABS(AA$23-AA3164))</f>
        <v>236393</v>
      </c>
      <c r="AC3165" s="9">
        <f ca="1">AA3154</f>
        <v>513617.6762345272</v>
      </c>
      <c r="AD3165" s="98"/>
      <c r="AE3165" s="106">
        <f ca="1">IF(AD3158&lt;=0,Q_max,ABS(AD$23-AD3164))</f>
        <v>236393</v>
      </c>
      <c r="AF3165" s="9">
        <f ca="1">AD3154</f>
        <v>861690.68528620771</v>
      </c>
      <c r="AG3165" s="98"/>
      <c r="AH3165" s="106">
        <f ca="1">IF(AG3158&lt;=0,Q_max,ABS(AG$23-AG3164))</f>
        <v>236393</v>
      </c>
      <c r="AI3165" s="9">
        <f ca="1">AG3154</f>
        <v>1257661.024304888</v>
      </c>
      <c r="AJ3165" s="98"/>
      <c r="AK3165" s="106">
        <f ca="1">IF(AJ3158&lt;=0,Q_max,ABS(AJ$23-AJ3164))</f>
        <v>236393</v>
      </c>
      <c r="AL3165" s="9">
        <f ca="1">AJ3154</f>
        <v>1678353.5123423908</v>
      </c>
      <c r="AM3165" s="98"/>
      <c r="AN3165" s="106">
        <f ca="1">IF(AM3158&lt;=0,Q_max,ABS(AM$23-AM3164))</f>
        <v>236393</v>
      </c>
      <c r="AO3165" s="9">
        <f ca="1">AM3154</f>
        <v>2047910.2392718727</v>
      </c>
      <c r="AP3165" s="98"/>
      <c r="AQ3165" s="106">
        <f ca="1">IF(AP3158&lt;=0,Q_max,ABS(AP$23-AP3164))</f>
        <v>236393</v>
      </c>
      <c r="AR3165" s="9">
        <f ca="1">AP3154</f>
        <v>2377560.2111789896</v>
      </c>
      <c r="AS3165" s="98"/>
      <c r="AT3165" s="106">
        <f ca="1">IF(AS3158&lt;=0,Q_max,ABS(AS$23-AS3164))</f>
        <v>236393</v>
      </c>
      <c r="AU3165" s="9">
        <f ca="1">AS3154</f>
        <v>2787876.3306487617</v>
      </c>
    </row>
    <row r="3166" spans="15:47" x14ac:dyDescent="0.25">
      <c r="O3166" s="21"/>
      <c r="P3166" s="14"/>
      <c r="Q3166" s="21"/>
      <c r="R3166" s="97"/>
      <c r="S3166" s="106"/>
      <c r="T3166" s="28"/>
      <c r="U3166" s="99"/>
      <c r="V3166" s="110"/>
      <c r="W3166" s="25"/>
      <c r="X3166" s="99"/>
      <c r="Y3166" s="110"/>
      <c r="Z3166" s="25"/>
      <c r="AA3166" s="99"/>
      <c r="AB3166" s="110"/>
      <c r="AC3166" s="25"/>
      <c r="AD3166" s="99"/>
      <c r="AE3166" s="110"/>
      <c r="AF3166" s="25"/>
      <c r="AG3166" s="99"/>
      <c r="AH3166" s="110"/>
      <c r="AI3166" s="25"/>
      <c r="AJ3166" s="99"/>
      <c r="AK3166" s="110"/>
      <c r="AL3166" s="25"/>
      <c r="AM3166" s="99"/>
      <c r="AN3166" s="110"/>
      <c r="AO3166" s="25"/>
      <c r="AP3166" s="99"/>
      <c r="AQ3166" s="110"/>
      <c r="AR3166" s="25"/>
      <c r="AS3166" s="99"/>
      <c r="AT3166" s="110"/>
      <c r="AU3166" s="25"/>
    </row>
    <row r="3167" spans="15:47" x14ac:dyDescent="0.25">
      <c r="O3167" s="1"/>
      <c r="P3167" s="1"/>
      <c r="Q3167" s="1"/>
      <c r="R3167" s="98"/>
      <c r="S3167" s="108" t="s">
        <v>137</v>
      </c>
      <c r="T3167" s="26" t="s">
        <v>146</v>
      </c>
      <c r="U3167" s="98"/>
      <c r="V3167" s="108" t="s">
        <v>137</v>
      </c>
      <c r="W3167" s="26" t="s">
        <v>146</v>
      </c>
      <c r="X3167" s="98"/>
      <c r="Y3167" s="108" t="s">
        <v>137</v>
      </c>
      <c r="Z3167" s="26" t="s">
        <v>146</v>
      </c>
      <c r="AA3167" s="98"/>
      <c r="AB3167" s="108" t="s">
        <v>137</v>
      </c>
      <c r="AC3167" s="26" t="s">
        <v>146</v>
      </c>
      <c r="AD3167" s="98"/>
      <c r="AE3167" s="108" t="s">
        <v>137</v>
      </c>
      <c r="AF3167" s="26" t="s">
        <v>146</v>
      </c>
      <c r="AG3167" s="98"/>
      <c r="AH3167" s="108" t="s">
        <v>137</v>
      </c>
      <c r="AI3167" s="26" t="s">
        <v>146</v>
      </c>
      <c r="AJ3167" s="98"/>
      <c r="AK3167" s="108" t="s">
        <v>137</v>
      </c>
      <c r="AL3167" s="26" t="s">
        <v>146</v>
      </c>
      <c r="AM3167" s="98"/>
      <c r="AN3167" s="108" t="s">
        <v>137</v>
      </c>
      <c r="AO3167" s="26" t="s">
        <v>146</v>
      </c>
      <c r="AP3167" s="98"/>
      <c r="AQ3167" s="108" t="s">
        <v>137</v>
      </c>
      <c r="AR3167" s="26" t="s">
        <v>146</v>
      </c>
      <c r="AS3167" s="98"/>
      <c r="AT3167" s="108" t="s">
        <v>137</v>
      </c>
      <c r="AU3167" s="26" t="s">
        <v>146</v>
      </c>
    </row>
    <row r="3168" spans="15:47" ht="13.8" x14ac:dyDescent="0.25">
      <c r="O3168" s="20" t="s">
        <v>136</v>
      </c>
      <c r="P3168" s="1"/>
      <c r="Q3168" s="1"/>
      <c r="R3168" s="96">
        <f>R3154*1.02</f>
        <v>26898.318903565014</v>
      </c>
      <c r="S3168" s="109" t="s">
        <v>144</v>
      </c>
      <c r="T3168" s="23" t="s">
        <v>147</v>
      </c>
      <c r="U3168" s="96">
        <f ca="1">U3154*1.01</f>
        <v>108769.12918303729</v>
      </c>
      <c r="V3168" s="109" t="s">
        <v>144</v>
      </c>
      <c r="W3168" s="23" t="s">
        <v>147</v>
      </c>
      <c r="X3168" s="96">
        <f ca="1">X3154*1.01</f>
        <v>266335.64371064689</v>
      </c>
      <c r="Y3168" s="109" t="s">
        <v>144</v>
      </c>
      <c r="Z3168" s="23" t="s">
        <v>147</v>
      </c>
      <c r="AA3168" s="96">
        <f ca="1">AA3154*1.01</f>
        <v>518753.85299687251</v>
      </c>
      <c r="AB3168" s="109" t="s">
        <v>144</v>
      </c>
      <c r="AC3168" s="23" t="s">
        <v>147</v>
      </c>
      <c r="AD3168" s="96">
        <f ca="1">AD3154*1.01</f>
        <v>870307.59213906981</v>
      </c>
      <c r="AE3168" s="109" t="s">
        <v>144</v>
      </c>
      <c r="AF3168" s="23" t="s">
        <v>147</v>
      </c>
      <c r="AG3168" s="96">
        <f ca="1">AG3154*1.01</f>
        <v>1270237.634547937</v>
      </c>
      <c r="AH3168" s="109" t="s">
        <v>144</v>
      </c>
      <c r="AI3168" s="23" t="s">
        <v>147</v>
      </c>
      <c r="AJ3168" s="96">
        <f ca="1">AJ3154*1.01</f>
        <v>1695137.0474658147</v>
      </c>
      <c r="AK3168" s="109" t="s">
        <v>144</v>
      </c>
      <c r="AL3168" s="23" t="s">
        <v>147</v>
      </c>
      <c r="AM3168" s="96">
        <f ca="1">AM3154*1.01</f>
        <v>2068389.3416645913</v>
      </c>
      <c r="AN3168" s="109" t="s">
        <v>144</v>
      </c>
      <c r="AO3168" s="23" t="s">
        <v>147</v>
      </c>
      <c r="AP3168" s="96">
        <f ca="1">AP3154*1.01</f>
        <v>2401335.8132907795</v>
      </c>
      <c r="AQ3168" s="109" t="s">
        <v>144</v>
      </c>
      <c r="AR3168" s="23" t="s">
        <v>147</v>
      </c>
      <c r="AS3168" s="96">
        <f ca="1">AS3154*1.01</f>
        <v>2815755.0939552495</v>
      </c>
      <c r="AT3168" s="109" t="s">
        <v>144</v>
      </c>
      <c r="AU3168" s="23" t="s">
        <v>147</v>
      </c>
    </row>
    <row r="3169" spans="15:47" x14ac:dyDescent="0.25">
      <c r="O3169" s="1"/>
      <c r="P3169" s="1"/>
      <c r="Q3169" s="1"/>
      <c r="R3169" s="98"/>
      <c r="S3169" s="107"/>
      <c r="T3169" s="1"/>
      <c r="U3169" s="47"/>
      <c r="V3169" s="107"/>
      <c r="W3169" s="1"/>
      <c r="X3169" s="47"/>
      <c r="Y3169" s="107"/>
      <c r="Z3169" s="1"/>
      <c r="AA3169" s="47"/>
      <c r="AB3169" s="107"/>
      <c r="AC3169" s="1"/>
      <c r="AD3169" s="47"/>
      <c r="AE3169" s="107"/>
      <c r="AF3169" s="1"/>
      <c r="AG3169" s="47"/>
      <c r="AH3169" s="107"/>
      <c r="AI3169" s="1"/>
      <c r="AJ3169" s="47"/>
      <c r="AK3169" s="107"/>
      <c r="AL3169" s="1"/>
      <c r="AM3169" s="47"/>
      <c r="AN3169" s="107"/>
      <c r="AO3169" s="1"/>
      <c r="AP3169" s="47"/>
      <c r="AQ3169" s="107"/>
      <c r="AR3169" s="1"/>
      <c r="AS3169" s="47"/>
      <c r="AT3169" s="107"/>
      <c r="AU3169" s="1"/>
    </row>
    <row r="3170" spans="15:47" x14ac:dyDescent="0.25">
      <c r="O3170" s="8" t="s">
        <v>132</v>
      </c>
      <c r="P3170" s="8"/>
      <c r="Q3170" s="8"/>
      <c r="R3170" s="96">
        <f>P_1_minQ-(R3168^2*R_up)+dpup_minQ</f>
        <v>90.053171196007682</v>
      </c>
      <c r="S3170" s="106"/>
      <c r="T3170" s="22"/>
      <c r="U3170" s="96">
        <f ca="1">P_1_minQ-(U3168^2*R_up)+dpup_minQ</f>
        <v>88.02876209167799</v>
      </c>
      <c r="V3170" s="107"/>
      <c r="W3170" s="1"/>
      <c r="X3170" s="96">
        <f ca="1">P_1_minQ-(X3168^2*R_up)+dpup_minQ</f>
        <v>77.256422008814297</v>
      </c>
      <c r="Y3170" s="107"/>
      <c r="Z3170" s="1"/>
      <c r="AA3170" s="96">
        <f ca="1">P_1_minQ-(AA3168^2*R_up)+dpup_minQ</f>
        <v>41.137615955539808</v>
      </c>
      <c r="AB3170" s="107"/>
      <c r="AC3170" s="1"/>
      <c r="AD3170" s="96">
        <f ca="1">P_1_minQ-(AD3168^2*R_up)+dpup_minQ</f>
        <v>-47.865808323055887</v>
      </c>
      <c r="AE3170" s="107"/>
      <c r="AF3170" s="1"/>
      <c r="AG3170" s="96">
        <f ca="1">P_1_minQ-(AG3168^2*R_up)+dpup_minQ</f>
        <v>-203.89360462095811</v>
      </c>
      <c r="AH3170" s="107"/>
      <c r="AI3170" s="1"/>
      <c r="AJ3170" s="96">
        <f ca="1">P_1_minQ-(AJ3168^2*R_up)+dpup_minQ</f>
        <v>-433.53979405891272</v>
      </c>
      <c r="AK3170" s="107"/>
      <c r="AL3170" s="1"/>
      <c r="AM3170" s="96">
        <f ca="1">P_1_minQ-(AM3168^2*R_up)+dpup_minQ</f>
        <v>-689.56987206904728</v>
      </c>
      <c r="AN3170" s="107"/>
      <c r="AO3170" s="1"/>
      <c r="AP3170" s="96">
        <f ca="1">P_1_minQ-(AP3168^2*R_up)+dpup_minQ</f>
        <v>-960.80677264221936</v>
      </c>
      <c r="AQ3170" s="107"/>
      <c r="AR3170" s="1"/>
      <c r="AS3170" s="96">
        <f ca="1">P_1_minQ-(AS3168^2*R_up)+dpup_minQ</f>
        <v>-1354.866356203735</v>
      </c>
      <c r="AT3170" s="107"/>
      <c r="AU3170" s="1"/>
    </row>
    <row r="3171" spans="15:47" x14ac:dyDescent="0.25">
      <c r="O3171" s="8" t="s">
        <v>134</v>
      </c>
      <c r="P3171" s="1"/>
      <c r="Q3171" s="8"/>
      <c r="R3171" s="97">
        <f>P_2_minQ+(R3168^2*R_dn)-dpdn_minQ</f>
        <v>60</v>
      </c>
      <c r="S3171" s="106"/>
      <c r="T3171" s="22"/>
      <c r="U3171" s="97">
        <f ca="1">P_2_minQ+(U3168^2*R_dn)-dpdn_minQ</f>
        <v>60</v>
      </c>
      <c r="V3171" s="107"/>
      <c r="W3171" s="1"/>
      <c r="X3171" s="97">
        <f ca="1">P_2_minQ+(X3168^2*R_dn)-dpdn_minQ</f>
        <v>60</v>
      </c>
      <c r="Y3171" s="107"/>
      <c r="Z3171" s="1"/>
      <c r="AA3171" s="97">
        <f ca="1">P_2_minQ+(AA3168^2*R_dn)-dpdn_minQ</f>
        <v>60</v>
      </c>
      <c r="AB3171" s="107"/>
      <c r="AC3171" s="1"/>
      <c r="AD3171" s="97">
        <f ca="1">P_2_minQ+(AD3168^2*R_dn)-dpdn_minQ</f>
        <v>60</v>
      </c>
      <c r="AE3171" s="107"/>
      <c r="AF3171" s="1"/>
      <c r="AG3171" s="97">
        <f ca="1">P_2_minQ+(AG3168^2*R_dn)-dpdn_minQ</f>
        <v>60</v>
      </c>
      <c r="AH3171" s="107"/>
      <c r="AI3171" s="1"/>
      <c r="AJ3171" s="97">
        <f ca="1">P_2_minQ+(AJ3168^2*R_dn)-dpdn_minQ</f>
        <v>60</v>
      </c>
      <c r="AK3171" s="107"/>
      <c r="AL3171" s="1"/>
      <c r="AM3171" s="97">
        <f ca="1">P_2_minQ+(AM3168^2*R_dn)-dpdn_minQ</f>
        <v>60</v>
      </c>
      <c r="AN3171" s="107"/>
      <c r="AO3171" s="1"/>
      <c r="AP3171" s="97">
        <f ca="1">P_2_minQ+(AP3168^2*R_dn)-dpdn_minQ</f>
        <v>60</v>
      </c>
      <c r="AQ3171" s="107"/>
      <c r="AR3171" s="1"/>
      <c r="AS3171" s="97">
        <f ca="1">P_2_minQ+(AS3168^2*R_dn)-dpdn_minQ</f>
        <v>60</v>
      </c>
      <c r="AT3171" s="107"/>
      <c r="AU3171" s="1"/>
    </row>
    <row r="3172" spans="15:47" x14ac:dyDescent="0.25">
      <c r="O3172" s="8" t="s">
        <v>138</v>
      </c>
      <c r="P3172" s="1"/>
      <c r="Q3172" s="8"/>
      <c r="R3172" s="97">
        <f>R3170-R3171</f>
        <v>30.053171196007682</v>
      </c>
      <c r="S3172" s="106"/>
      <c r="T3172" s="22"/>
      <c r="U3172" s="97">
        <f ca="1">U3170-U3171</f>
        <v>28.02876209167799</v>
      </c>
      <c r="V3172" s="110"/>
      <c r="W3172" s="25"/>
      <c r="X3172" s="97">
        <f ca="1">X3170-X3171</f>
        <v>17.256422008814297</v>
      </c>
      <c r="Y3172" s="110"/>
      <c r="Z3172" s="25"/>
      <c r="AA3172" s="97">
        <f ca="1">AA3170-AA3171</f>
        <v>-18.862384044460192</v>
      </c>
      <c r="AB3172" s="110"/>
      <c r="AC3172" s="25"/>
      <c r="AD3172" s="97">
        <f ca="1">AD3170-AD3171</f>
        <v>-107.86580832305589</v>
      </c>
      <c r="AE3172" s="110"/>
      <c r="AF3172" s="25"/>
      <c r="AG3172" s="97">
        <f ca="1">AG3170-AG3171</f>
        <v>-263.89360462095811</v>
      </c>
      <c r="AH3172" s="110"/>
      <c r="AI3172" s="25"/>
      <c r="AJ3172" s="97">
        <f ca="1">AJ3170-AJ3171</f>
        <v>-493.53979405891272</v>
      </c>
      <c r="AK3172" s="110"/>
      <c r="AL3172" s="25"/>
      <c r="AM3172" s="97">
        <f ca="1">AM3170-AM3171</f>
        <v>-749.56987206904728</v>
      </c>
      <c r="AN3172" s="110"/>
      <c r="AO3172" s="25"/>
      <c r="AP3172" s="97">
        <f ca="1">AP3170-AP3171</f>
        <v>-1020.8067726422194</v>
      </c>
      <c r="AQ3172" s="110"/>
      <c r="AR3172" s="25"/>
      <c r="AS3172" s="97">
        <f ca="1">AS3170-AS3171</f>
        <v>-1414.866356203735</v>
      </c>
      <c r="AT3172" s="110"/>
      <c r="AU3172" s="25"/>
    </row>
    <row r="3173" spans="15:47" ht="14.4" x14ac:dyDescent="0.3">
      <c r="O3173" s="2" t="s">
        <v>140</v>
      </c>
      <c r="P3173" s="11"/>
      <c r="Q3173" s="2"/>
      <c r="R3173" s="96">
        <f>R3172/R3170</f>
        <v>0.33372696149250131</v>
      </c>
      <c r="S3173" s="106"/>
      <c r="T3173" s="22"/>
      <c r="U3173" s="96">
        <f ca="1">U3172/U3170</f>
        <v>0.31840459215463346</v>
      </c>
      <c r="V3173" s="111"/>
      <c r="W3173" s="28"/>
      <c r="X3173" s="96">
        <f ca="1">X3172/X3170</f>
        <v>0.22336553467160941</v>
      </c>
      <c r="Y3173" s="111"/>
      <c r="Z3173" s="28"/>
      <c r="AA3173" s="96">
        <f ca="1">AA3172/AA3170</f>
        <v>-0.45851913404136113</v>
      </c>
      <c r="AB3173" s="111"/>
      <c r="AC3173" s="28"/>
      <c r="AD3173" s="96">
        <f ca="1">AD3172/AD3170</f>
        <v>2.2535043719526899</v>
      </c>
      <c r="AE3173" s="111"/>
      <c r="AF3173" s="28"/>
      <c r="AG3173" s="96">
        <f ca="1">AG3172/AG3170</f>
        <v>1.2942711229787764</v>
      </c>
      <c r="AH3173" s="111"/>
      <c r="AI3173" s="28"/>
      <c r="AJ3173" s="96">
        <f ca="1">AJ3172/AJ3170</f>
        <v>1.1383956001783928</v>
      </c>
      <c r="AK3173" s="111"/>
      <c r="AL3173" s="28"/>
      <c r="AM3173" s="96">
        <f ca="1">AM3172/AM3170</f>
        <v>1.0870107619695892</v>
      </c>
      <c r="AN3173" s="111"/>
      <c r="AO3173" s="28"/>
      <c r="AP3173" s="96">
        <f ca="1">AP3172/AP3170</f>
        <v>1.0624475198431418</v>
      </c>
      <c r="AQ3173" s="111"/>
      <c r="AR3173" s="28"/>
      <c r="AS3173" s="96">
        <f ca="1">AS3172/AS3170</f>
        <v>1.0442848106200797</v>
      </c>
      <c r="AT3173" s="111"/>
      <c r="AU3173" s="28"/>
    </row>
    <row r="3174" spans="15:47" x14ac:dyDescent="0.25">
      <c r="O3174" s="2" t="s">
        <v>21</v>
      </c>
      <c r="P3174" s="8">
        <v>12</v>
      </c>
      <c r="Q3174" s="2"/>
      <c r="R3174" s="96">
        <f ca="1">1-R3173/(3*F_GAMMA*R$29)</f>
        <v>0.82619193932776214</v>
      </c>
      <c r="S3174" s="106"/>
      <c r="T3174" s="22"/>
      <c r="U3174" s="96">
        <f ca="1">1-U3173/(3*F_GAMMA*U$29)</f>
        <v>0.83421049407743242</v>
      </c>
      <c r="V3174" s="111"/>
      <c r="W3174" s="28"/>
      <c r="X3174" s="96">
        <f ca="1">1-X3173/(3*F_GAMMA*X$29)</f>
        <v>0.8825885033504437</v>
      </c>
      <c r="Y3174" s="111"/>
      <c r="Z3174" s="28"/>
      <c r="AA3174" s="96">
        <f ca="1">1-AA3173/(3*F_GAMMA*AA$29)</f>
        <v>1.2444167865414189</v>
      </c>
      <c r="AB3174" s="111"/>
      <c r="AC3174" s="28"/>
      <c r="AD3174" s="96">
        <f ca="1">1-AD3173/(3*F_GAMMA*AD$29)</f>
        <v>-0.23850170888755806</v>
      </c>
      <c r="AE3174" s="111"/>
      <c r="AF3174" s="28"/>
      <c r="AG3174" s="96">
        <f ca="1">1-AG3173/(3*F_GAMMA*AG$29)</f>
        <v>0.24599910174478667</v>
      </c>
      <c r="AH3174" s="111"/>
      <c r="AI3174" s="28"/>
      <c r="AJ3174" s="96">
        <f ca="1">1-AJ3173/(3*F_GAMMA*AJ$29)</f>
        <v>0.28649533151229511</v>
      </c>
      <c r="AK3174" s="111"/>
      <c r="AL3174" s="28"/>
      <c r="AM3174" s="96">
        <f ca="1">1-AM3173/(3*F_GAMMA*AM$29)</f>
        <v>0.23825207779746682</v>
      </c>
      <c r="AN3174" s="111"/>
      <c r="AO3174" s="28"/>
      <c r="AP3174" s="96">
        <f ca="1">1-AP3173/(3*F_GAMMA*AP$29)</f>
        <v>0.40029765272757756</v>
      </c>
      <c r="AQ3174" s="111"/>
      <c r="AR3174" s="28"/>
      <c r="AS3174" s="96">
        <f ca="1">1-AS3173/(3*F_GAMMA*AS$29)</f>
        <v>7.5911284934026435E-2</v>
      </c>
      <c r="AT3174" s="111"/>
      <c r="AU3174" s="28"/>
    </row>
    <row r="3175" spans="15:47" x14ac:dyDescent="0.25">
      <c r="O3175" s="2" t="s">
        <v>57</v>
      </c>
      <c r="P3175" s="143">
        <v>7</v>
      </c>
      <c r="Q3175" s="2"/>
      <c r="R3175" s="96">
        <f ca="1">(R3168/(N_9*R$27*R3170*R3174))*SQRT(M*'Valve Sizing'!$W$6*'Valve Sizing'!$G$8/R3173)</f>
        <v>10.887685334657636</v>
      </c>
      <c r="S3175" s="107"/>
      <c r="T3175" s="22"/>
      <c r="U3175" s="96">
        <f ca="1">(U3168/(N_9*U$27*U3170*U3174))*SQRT(M*'Valve Sizing'!$W$6*'Valve Sizing'!$G$8/U3173)</f>
        <v>45.696890069175197</v>
      </c>
      <c r="V3175" s="111"/>
      <c r="W3175" s="28"/>
      <c r="X3175" s="96">
        <f ca="1">(X3168/(N_9*X$27*X3170*X3174))*SQRT(M*'Valve Sizing'!$W$6*'Valve Sizing'!$G$8/X3173)</f>
        <v>144.21082200960615</v>
      </c>
      <c r="Y3175" s="111"/>
      <c r="Z3175" s="28"/>
      <c r="AA3175" s="96" t="e">
        <f ca="1">(AA3168/(N_9*AA$27*AA3170*AA3174))*SQRT(M*'Valve Sizing'!$W$6*'Valve Sizing'!$G$8/AA3173)</f>
        <v>#NUM!</v>
      </c>
      <c r="AB3175" s="111"/>
      <c r="AC3175" s="28"/>
      <c r="AD3175" s="96">
        <f ca="1">(AD3168/(N_9*AD$27*AD3170*AD3174))*SQRT(M*'Valve Sizing'!$W$6*'Valve Sizing'!$G$8/AD3173)</f>
        <v>902.42829366430124</v>
      </c>
      <c r="AE3175" s="111"/>
      <c r="AF3175" s="28"/>
      <c r="AG3175" s="96">
        <f ca="1">(AG3168/(N_9*AG$27*AG3170*AG3174))*SQRT(M*'Valve Sizing'!$W$6*'Valve Sizing'!$G$8/AG3173)</f>
        <v>-404.47022781252821</v>
      </c>
      <c r="AH3175" s="111"/>
      <c r="AI3175" s="28"/>
      <c r="AJ3175" s="96">
        <f ca="1">(AJ3168/(N_9*AJ$27*AJ3170*AJ3174))*SQRT(M*'Valve Sizing'!$W$6*'Valve Sizing'!$G$8/AJ3173)</f>
        <v>-240.8164076785234</v>
      </c>
      <c r="AK3175" s="111"/>
      <c r="AL3175" s="28"/>
      <c r="AM3175" s="96">
        <f ca="1">(AM3168/(N_9*AM$27*AM3170*AM3174))*SQRT(M*'Valve Sizing'!$W$6*'Valve Sizing'!$G$8/AM3173)</f>
        <v>-241.20897612207301</v>
      </c>
      <c r="AN3175" s="111"/>
      <c r="AO3175" s="28"/>
      <c r="AP3175" s="96">
        <f ca="1">(AP3168/(N_9*AP$27*AP3170*AP3174))*SQRT(M*'Valve Sizing'!$W$6*'Valve Sizing'!$G$8/AP3173)</f>
        <v>-137.71764651049435</v>
      </c>
      <c r="AQ3175" s="111"/>
      <c r="AR3175" s="28"/>
      <c r="AS3175" s="96">
        <f ca="1">(AS3168/(N_9*AS$27*AS3170*AS3174))*SQRT(M*'Valve Sizing'!$W$6*'Valve Sizing'!$G$8/AS3173)</f>
        <v>-815.82902725557392</v>
      </c>
      <c r="AT3175" s="111"/>
      <c r="AU3175" s="28"/>
    </row>
    <row r="3176" spans="15:47" x14ac:dyDescent="0.25">
      <c r="O3176" s="2" t="s">
        <v>59</v>
      </c>
      <c r="P3176" s="143">
        <v>7</v>
      </c>
      <c r="Q3176" s="2"/>
      <c r="R3176" s="96">
        <f ca="1">(R3168/(N_9*R$27*R3170*0.667))*SQRT(M*'Valve Sizing'!$W$6*'Valve Sizing'!$G$8/R3177)</f>
        <v>9.7383698550918805</v>
      </c>
      <c r="S3176" s="107"/>
      <c r="T3176" s="22"/>
      <c r="U3176" s="96">
        <f ca="1">(U3168/(N_9*U$27*U3170*0.667))*SQRT(M*'Valve Sizing'!$W$6*'Valve Sizing'!$G$8/U3177)</f>
        <v>40.306548056941431</v>
      </c>
      <c r="V3176" s="111"/>
      <c r="W3176" s="28"/>
      <c r="X3176" s="96">
        <f ca="1">(X3168/(N_9*X$27*X3170*0.667))*SQRT(M*'Valve Sizing'!$W$6*'Valve Sizing'!$G$8/X3177)</f>
        <v>113.25208958992266</v>
      </c>
      <c r="Y3176" s="111"/>
      <c r="Z3176" s="28"/>
      <c r="AA3176" s="96">
        <f ca="1">(AA3168/(N_9*AA$27*AA3170*0.667))*SQRT(M*'Valve Sizing'!$W$6*'Valve Sizing'!$G$8/AA3177)</f>
        <v>419.64582793438029</v>
      </c>
      <c r="AB3176" s="111"/>
      <c r="AC3176" s="28"/>
      <c r="AD3176" s="96">
        <f ca="1">(AD3168/(N_9*AD$27*AD3170*0.667))*SQRT(M*'Valve Sizing'!$W$6*'Valve Sizing'!$G$8/AD3177)</f>
        <v>-621.99557762756274</v>
      </c>
      <c r="AE3176" s="111"/>
      <c r="AF3176" s="28"/>
      <c r="AG3176" s="96">
        <f ca="1">(AG3168/(N_9*AG$27*AG3170*0.667))*SQRT(M*'Valve Sizing'!$W$6*'Valve Sizing'!$G$8/AG3177)</f>
        <v>-224.35761052960802</v>
      </c>
      <c r="AH3176" s="111"/>
      <c r="AI3176" s="28"/>
      <c r="AJ3176" s="96">
        <f ca="1">(AJ3168/(N_9*AJ$27*AJ3170*0.667))*SQRT(M*'Valve Sizing'!$W$6*'Valve Sizing'!$G$8/AJ3177)</f>
        <v>-151.33410967247875</v>
      </c>
      <c r="AK3176" s="111"/>
      <c r="AL3176" s="28"/>
      <c r="AM3176" s="96">
        <f ca="1">(AM3168/(N_9*AM$27*AM3170*0.667))*SQRT(M*'Valve Sizing'!$W$6*'Valve Sizing'!$G$8/AM3177)</f>
        <v>-130.24785943273122</v>
      </c>
      <c r="AN3176" s="111"/>
      <c r="AO3176" s="28"/>
      <c r="AP3176" s="96">
        <f ca="1">(AP3168/(N_9*AP$27*AP3170*0.667))*SQRT(M*'Valve Sizing'!$W$6*'Valve Sizing'!$G$8/AP3177)</f>
        <v>-110.86010960017443</v>
      </c>
      <c r="AQ3176" s="111"/>
      <c r="AR3176" s="28"/>
      <c r="AS3176" s="96">
        <f ca="1">(AS3168/(N_9*AS$27*AS3170*0.667))*SQRT(M*'Valve Sizing'!$W$6*'Valve Sizing'!$G$8/AS3177)</f>
        <v>-154.59559780051856</v>
      </c>
      <c r="AT3176" s="111"/>
      <c r="AU3176" s="28"/>
    </row>
    <row r="3177" spans="15:47" ht="15.6" x14ac:dyDescent="0.35">
      <c r="O3177" s="2" t="s">
        <v>68</v>
      </c>
      <c r="P3177" s="143">
        <v>10</v>
      </c>
      <c r="Q3177" s="2"/>
      <c r="R3177" s="96">
        <f ca="1">F_GAMMA*R$29</f>
        <v>0.64002969751372984</v>
      </c>
      <c r="S3177" s="107"/>
      <c r="T3177" s="1"/>
      <c r="U3177" s="96">
        <f ca="1">F_GAMMA*U$29</f>
        <v>0.64017842058782071</v>
      </c>
      <c r="V3177" s="111"/>
      <c r="W3177" s="28"/>
      <c r="X3177" s="96">
        <f ca="1">F_GAMMA*X$29</f>
        <v>0.63413873724904268</v>
      </c>
      <c r="Y3177" s="111"/>
      <c r="Z3177" s="28"/>
      <c r="AA3177" s="96">
        <f ca="1">F_GAMMA*AA$29</f>
        <v>0.62532411750377137</v>
      </c>
      <c r="AB3177" s="111"/>
      <c r="AC3177" s="28"/>
      <c r="AD3177" s="96">
        <f ca="1">F_GAMMA*AD$29</f>
        <v>0.60651359509139569</v>
      </c>
      <c r="AE3177" s="111"/>
      <c r="AF3177" s="28"/>
      <c r="AG3177" s="96">
        <f ca="1">F_GAMMA*AG$29</f>
        <v>0.57217930198481592</v>
      </c>
      <c r="AH3177" s="111"/>
      <c r="AI3177" s="28"/>
      <c r="AJ3177" s="96">
        <f ca="1">F_GAMMA*AJ$29</f>
        <v>0.53183282018848232</v>
      </c>
      <c r="AK3177" s="111"/>
      <c r="AL3177" s="28"/>
      <c r="AM3177" s="96">
        <f ca="1">F_GAMMA*AM$29</f>
        <v>0.47566512503094399</v>
      </c>
      <c r="AN3177" s="111"/>
      <c r="AO3177" s="28"/>
      <c r="AP3177" s="96">
        <f ca="1">F_GAMMA*AP$29</f>
        <v>0.59054158265645496</v>
      </c>
      <c r="AQ3177" s="111"/>
      <c r="AR3177" s="28"/>
      <c r="AS3177" s="96">
        <f ca="1">F_GAMMA*AS$29</f>
        <v>0.3766899554102966</v>
      </c>
      <c r="AT3177" s="111"/>
      <c r="AU3177" s="28"/>
    </row>
    <row r="3178" spans="15:47" x14ac:dyDescent="0.25">
      <c r="O3178" s="2" t="s">
        <v>145</v>
      </c>
      <c r="P3178" s="12"/>
      <c r="Q3178" s="2"/>
      <c r="R3178" s="96">
        <f ca="1">IF(R3173&lt;R3177,R3175,R3176)</f>
        <v>10.887685334657636</v>
      </c>
      <c r="S3178" s="116"/>
      <c r="T3178" s="1"/>
      <c r="U3178" s="96">
        <f ca="1">IF(U3173&lt;U3177,U3175,U3176)</f>
        <v>45.696890069175197</v>
      </c>
      <c r="V3178" s="111"/>
      <c r="W3178" s="28"/>
      <c r="X3178" s="96">
        <f ca="1">IF(X3173&lt;X3177,X3175,X3176)</f>
        <v>144.21082200960615</v>
      </c>
      <c r="Y3178" s="111"/>
      <c r="Z3178" s="28"/>
      <c r="AA3178" s="96" t="e">
        <f ca="1">IF(AA3173&lt;AA3177,AA3175,AA3176)</f>
        <v>#NUM!</v>
      </c>
      <c r="AB3178" s="111"/>
      <c r="AC3178" s="28"/>
      <c r="AD3178" s="96">
        <f ca="1">IF(AD3173&lt;AD3177,AD3175,AD3176)</f>
        <v>-621.99557762756274</v>
      </c>
      <c r="AE3178" s="111"/>
      <c r="AF3178" s="28"/>
      <c r="AG3178" s="96">
        <f ca="1">IF(AG3173&lt;AG3177,AG3175,AG3176)</f>
        <v>-224.35761052960802</v>
      </c>
      <c r="AH3178" s="111"/>
      <c r="AI3178" s="28"/>
      <c r="AJ3178" s="96">
        <f ca="1">IF(AJ3173&lt;AJ3177,AJ3175,AJ3176)</f>
        <v>-151.33410967247875</v>
      </c>
      <c r="AK3178" s="111"/>
      <c r="AL3178" s="28"/>
      <c r="AM3178" s="96">
        <f ca="1">IF(AM3173&lt;AM3177,AM3175,AM3176)</f>
        <v>-130.24785943273122</v>
      </c>
      <c r="AN3178" s="111"/>
      <c r="AO3178" s="28"/>
      <c r="AP3178" s="96">
        <f ca="1">IF(AP3173&lt;AP3177,AP3175,AP3176)</f>
        <v>-110.86010960017443</v>
      </c>
      <c r="AQ3178" s="111"/>
      <c r="AR3178" s="28"/>
      <c r="AS3178" s="96">
        <f ca="1">IF(AS3173&lt;AS3177,AS3175,AS3176)</f>
        <v>-154.59559780051856</v>
      </c>
      <c r="AT3178" s="111"/>
      <c r="AU3178" s="28"/>
    </row>
    <row r="3179" spans="15:47" x14ac:dyDescent="0.25">
      <c r="O3179" s="13" t="s">
        <v>143</v>
      </c>
      <c r="P3179" s="1"/>
      <c r="Q3179" s="1"/>
      <c r="R3179" s="113"/>
      <c r="S3179" s="106">
        <f ca="1">IF(R3172&lt;=0,Q_max,ABS(R$23-R3178))</f>
        <v>6.1576853346576357</v>
      </c>
      <c r="T3179" s="7">
        <f>R3168</f>
        <v>26898.318903565014</v>
      </c>
      <c r="U3179" s="98"/>
      <c r="V3179" s="106">
        <f ca="1">IF(U3172&lt;=0,Q_max,ABS(U$23-U3178))</f>
        <v>34.096890069175195</v>
      </c>
      <c r="W3179" s="9">
        <f ca="1">U3168</f>
        <v>108769.12918303729</v>
      </c>
      <c r="X3179" s="98"/>
      <c r="Y3179" s="106">
        <f ca="1">IF(X3172&lt;=0,Q_max,ABS(X$23-X3178))</f>
        <v>121.21082200960615</v>
      </c>
      <c r="Z3179" s="9">
        <f ca="1">X3168</f>
        <v>266335.64371064689</v>
      </c>
      <c r="AA3179" s="98"/>
      <c r="AB3179" s="106">
        <f ca="1">IF(AA3172&lt;=0,Q_max,ABS(AA$23-AA3178))</f>
        <v>236393</v>
      </c>
      <c r="AC3179" s="9">
        <f ca="1">AA3168</f>
        <v>518753.85299687251</v>
      </c>
      <c r="AD3179" s="98"/>
      <c r="AE3179" s="106">
        <f ca="1">IF(AD3172&lt;=0,Q_max,ABS(AD$23-AD3178))</f>
        <v>236393</v>
      </c>
      <c r="AF3179" s="9">
        <f ca="1">AD3168</f>
        <v>870307.59213906981</v>
      </c>
      <c r="AG3179" s="98"/>
      <c r="AH3179" s="106">
        <f ca="1">IF(AG3172&lt;=0,Q_max,ABS(AG$23-AG3178))</f>
        <v>236393</v>
      </c>
      <c r="AI3179" s="9">
        <f ca="1">AG3168</f>
        <v>1270237.634547937</v>
      </c>
      <c r="AJ3179" s="98"/>
      <c r="AK3179" s="106">
        <f ca="1">IF(AJ3172&lt;=0,Q_max,ABS(AJ$23-AJ3178))</f>
        <v>236393</v>
      </c>
      <c r="AL3179" s="9">
        <f ca="1">AJ3168</f>
        <v>1695137.0474658147</v>
      </c>
      <c r="AM3179" s="98"/>
      <c r="AN3179" s="106">
        <f ca="1">IF(AM3172&lt;=0,Q_max,ABS(AM$23-AM3178))</f>
        <v>236393</v>
      </c>
      <c r="AO3179" s="9">
        <f ca="1">AM3168</f>
        <v>2068389.3416645913</v>
      </c>
      <c r="AP3179" s="98"/>
      <c r="AQ3179" s="106">
        <f ca="1">IF(AP3172&lt;=0,Q_max,ABS(AP$23-AP3178))</f>
        <v>236393</v>
      </c>
      <c r="AR3179" s="9">
        <f ca="1">AP3168</f>
        <v>2401335.8132907795</v>
      </c>
      <c r="AS3179" s="98"/>
      <c r="AT3179" s="106">
        <f ca="1">IF(AS3172&lt;=0,Q_max,ABS(AS$23-AS3178))</f>
        <v>236393</v>
      </c>
      <c r="AU3179" s="9">
        <f ca="1">AS3168</f>
        <v>2815755.0939552495</v>
      </c>
    </row>
    <row r="3180" spans="15:47" x14ac:dyDescent="0.25">
      <c r="O3180" s="21"/>
      <c r="P3180" s="14"/>
      <c r="Q3180" s="21"/>
      <c r="R3180" s="97"/>
      <c r="S3180" s="106"/>
      <c r="T3180" s="28"/>
      <c r="U3180" s="97"/>
      <c r="V3180" s="111"/>
      <c r="W3180" s="28"/>
      <c r="X3180" s="97"/>
      <c r="Y3180" s="111"/>
      <c r="Z3180" s="28"/>
      <c r="AA3180" s="97"/>
      <c r="AB3180" s="111"/>
      <c r="AC3180" s="28"/>
      <c r="AD3180" s="97"/>
      <c r="AE3180" s="111"/>
      <c r="AF3180" s="28"/>
      <c r="AG3180" s="97"/>
      <c r="AH3180" s="111"/>
      <c r="AI3180" s="28"/>
      <c r="AJ3180" s="97"/>
      <c r="AK3180" s="111"/>
      <c r="AL3180" s="28"/>
      <c r="AM3180" s="97"/>
      <c r="AN3180" s="111"/>
      <c r="AO3180" s="28"/>
      <c r="AP3180" s="97"/>
      <c r="AQ3180" s="111"/>
      <c r="AR3180" s="28"/>
      <c r="AS3180" s="97"/>
      <c r="AT3180" s="111"/>
      <c r="AU3180" s="28"/>
    </row>
    <row r="3181" spans="15:47" x14ac:dyDescent="0.25">
      <c r="O3181" s="1"/>
      <c r="P3181" s="1"/>
      <c r="Q3181" s="1"/>
      <c r="R3181" s="98"/>
      <c r="S3181" s="108" t="s">
        <v>137</v>
      </c>
      <c r="T3181" s="26" t="s">
        <v>146</v>
      </c>
      <c r="U3181" s="98"/>
      <c r="V3181" s="108" t="s">
        <v>137</v>
      </c>
      <c r="W3181" s="26" t="s">
        <v>146</v>
      </c>
      <c r="X3181" s="98"/>
      <c r="Y3181" s="108" t="s">
        <v>137</v>
      </c>
      <c r="Z3181" s="26" t="s">
        <v>146</v>
      </c>
      <c r="AA3181" s="98"/>
      <c r="AB3181" s="108" t="s">
        <v>137</v>
      </c>
      <c r="AC3181" s="26" t="s">
        <v>146</v>
      </c>
      <c r="AD3181" s="98"/>
      <c r="AE3181" s="108" t="s">
        <v>137</v>
      </c>
      <c r="AF3181" s="26" t="s">
        <v>146</v>
      </c>
      <c r="AG3181" s="98"/>
      <c r="AH3181" s="108" t="s">
        <v>137</v>
      </c>
      <c r="AI3181" s="26" t="s">
        <v>146</v>
      </c>
      <c r="AJ3181" s="98"/>
      <c r="AK3181" s="108" t="s">
        <v>137</v>
      </c>
      <c r="AL3181" s="26" t="s">
        <v>146</v>
      </c>
      <c r="AM3181" s="98"/>
      <c r="AN3181" s="108" t="s">
        <v>137</v>
      </c>
      <c r="AO3181" s="26" t="s">
        <v>146</v>
      </c>
      <c r="AP3181" s="98"/>
      <c r="AQ3181" s="108" t="s">
        <v>137</v>
      </c>
      <c r="AR3181" s="26" t="s">
        <v>146</v>
      </c>
      <c r="AS3181" s="98"/>
      <c r="AT3181" s="108" t="s">
        <v>137</v>
      </c>
      <c r="AU3181" s="26" t="s">
        <v>146</v>
      </c>
    </row>
    <row r="3182" spans="15:47" ht="13.8" x14ac:dyDescent="0.25">
      <c r="O3182" s="20" t="s">
        <v>136</v>
      </c>
      <c r="P3182" s="1"/>
      <c r="Q3182" s="1"/>
      <c r="R3182" s="96">
        <f>R3168*1.02</f>
        <v>27436.285281636316</v>
      </c>
      <c r="S3182" s="109" t="s">
        <v>144</v>
      </c>
      <c r="T3182" s="23" t="s">
        <v>147</v>
      </c>
      <c r="U3182" s="96">
        <f ca="1">U3168*1.01</f>
        <v>109856.82047486767</v>
      </c>
      <c r="V3182" s="109" t="s">
        <v>144</v>
      </c>
      <c r="W3182" s="23" t="s">
        <v>147</v>
      </c>
      <c r="X3182" s="96">
        <f ca="1">X3168*1.01</f>
        <v>268999.0001477534</v>
      </c>
      <c r="Y3182" s="109" t="s">
        <v>144</v>
      </c>
      <c r="Z3182" s="23" t="s">
        <v>147</v>
      </c>
      <c r="AA3182" s="96">
        <f ca="1">AA3168*1.01</f>
        <v>523941.39152684121</v>
      </c>
      <c r="AB3182" s="109" t="s">
        <v>144</v>
      </c>
      <c r="AC3182" s="23" t="s">
        <v>147</v>
      </c>
      <c r="AD3182" s="96">
        <f ca="1">AD3168*1.01</f>
        <v>879010.66806046048</v>
      </c>
      <c r="AE3182" s="109" t="s">
        <v>144</v>
      </c>
      <c r="AF3182" s="23" t="s">
        <v>147</v>
      </c>
      <c r="AG3182" s="96">
        <f ca="1">AG3168*1.01</f>
        <v>1282940.0108934164</v>
      </c>
      <c r="AH3182" s="109" t="s">
        <v>144</v>
      </c>
      <c r="AI3182" s="23" t="s">
        <v>147</v>
      </c>
      <c r="AJ3182" s="96">
        <f ca="1">AJ3168*1.01</f>
        <v>1712088.417940473</v>
      </c>
      <c r="AK3182" s="109" t="s">
        <v>144</v>
      </c>
      <c r="AL3182" s="23" t="s">
        <v>147</v>
      </c>
      <c r="AM3182" s="96">
        <f ca="1">AM3168*1.01</f>
        <v>2089073.2350812373</v>
      </c>
      <c r="AN3182" s="109" t="s">
        <v>144</v>
      </c>
      <c r="AO3182" s="23" t="s">
        <v>147</v>
      </c>
      <c r="AP3182" s="96">
        <f ca="1">AP3168*1.01</f>
        <v>2425349.1714236871</v>
      </c>
      <c r="AQ3182" s="109" t="s">
        <v>144</v>
      </c>
      <c r="AR3182" s="23" t="s">
        <v>147</v>
      </c>
      <c r="AS3182" s="96">
        <f ca="1">AS3168*1.01</f>
        <v>2843912.644894802</v>
      </c>
      <c r="AT3182" s="109" t="s">
        <v>144</v>
      </c>
      <c r="AU3182" s="23" t="s">
        <v>147</v>
      </c>
    </row>
    <row r="3183" spans="15:47" x14ac:dyDescent="0.25">
      <c r="O3183" s="1"/>
      <c r="P3183" s="1"/>
      <c r="Q3183" s="1"/>
      <c r="R3183" s="98"/>
      <c r="S3183" s="107"/>
      <c r="T3183" s="1"/>
      <c r="U3183" s="47"/>
      <c r="V3183" s="107"/>
      <c r="W3183" s="1"/>
      <c r="X3183" s="47"/>
      <c r="Y3183" s="107"/>
      <c r="Z3183" s="1"/>
      <c r="AA3183" s="47"/>
      <c r="AB3183" s="107"/>
      <c r="AC3183" s="1"/>
      <c r="AD3183" s="47"/>
      <c r="AE3183" s="107"/>
      <c r="AF3183" s="1"/>
      <c r="AG3183" s="47"/>
      <c r="AH3183" s="107"/>
      <c r="AI3183" s="1"/>
      <c r="AJ3183" s="47"/>
      <c r="AK3183" s="107"/>
      <c r="AL3183" s="1"/>
      <c r="AM3183" s="47"/>
      <c r="AN3183" s="107"/>
      <c r="AO3183" s="1"/>
      <c r="AP3183" s="47"/>
      <c r="AQ3183" s="107"/>
      <c r="AR3183" s="1"/>
      <c r="AS3183" s="47"/>
      <c r="AT3183" s="107"/>
      <c r="AU3183" s="1"/>
    </row>
    <row r="3184" spans="15:47" x14ac:dyDescent="0.25">
      <c r="O3184" s="8" t="s">
        <v>132</v>
      </c>
      <c r="P3184" s="8"/>
      <c r="Q3184" s="8"/>
      <c r="R3184" s="96">
        <f>P_1_minQ-(R3182^2*R_up)+dpup_minQ</f>
        <v>90.047843674904072</v>
      </c>
      <c r="S3184" s="106"/>
      <c r="T3184" s="22"/>
      <c r="U3184" s="96">
        <f ca="1">P_1_minQ-(U3182^2*R_up)+dpup_minQ</f>
        <v>87.985420895062589</v>
      </c>
      <c r="V3184" s="107"/>
      <c r="W3184" s="1"/>
      <c r="X3184" s="96">
        <f ca="1">P_1_minQ-(X3182^2*R_up)+dpup_minQ</f>
        <v>76.996556776533325</v>
      </c>
      <c r="Y3184" s="107"/>
      <c r="Z3184" s="1"/>
      <c r="AA3184" s="96">
        <f ca="1">P_1_minQ-(AA3182^2*R_up)+dpup_minQ</f>
        <v>40.151762721588021</v>
      </c>
      <c r="AB3184" s="107"/>
      <c r="AC3184" s="1"/>
      <c r="AD3184" s="96">
        <f ca="1">P_1_minQ-(AD3182^2*R_up)+dpup_minQ</f>
        <v>-50.640630385007427</v>
      </c>
      <c r="AE3184" s="107"/>
      <c r="AF3184" s="1"/>
      <c r="AG3184" s="96">
        <f ca="1">P_1_minQ-(AG3182^2*R_up)+dpup_minQ</f>
        <v>-209.80458538849751</v>
      </c>
      <c r="AH3184" s="107"/>
      <c r="AI3184" s="1"/>
      <c r="AJ3184" s="96">
        <f ca="1">P_1_minQ-(AJ3182^2*R_up)+dpup_minQ</f>
        <v>-444.0666632341551</v>
      </c>
      <c r="AK3184" s="107"/>
      <c r="AL3184" s="1"/>
      <c r="AM3184" s="96">
        <f ca="1">P_1_minQ-(AM3182^2*R_up)+dpup_minQ</f>
        <v>-705.24294581229333</v>
      </c>
      <c r="AN3184" s="107"/>
      <c r="AO3184" s="1"/>
      <c r="AP3184" s="96">
        <f ca="1">P_1_minQ-(AP3182^2*R_up)+dpup_minQ</f>
        <v>-981.93170808698596</v>
      </c>
      <c r="AQ3184" s="107"/>
      <c r="AR3184" s="1"/>
      <c r="AS3184" s="96">
        <f ca="1">P_1_minQ-(AS3182^2*R_up)+dpup_minQ</f>
        <v>-1383.911889278088</v>
      </c>
      <c r="AT3184" s="107"/>
      <c r="AU3184" s="1"/>
    </row>
    <row r="3185" spans="15:47" x14ac:dyDescent="0.25">
      <c r="O3185" s="8" t="s">
        <v>134</v>
      </c>
      <c r="P3185" s="1"/>
      <c r="Q3185" s="8"/>
      <c r="R3185" s="97">
        <f>P_2_minQ+(R3182^2*R_dn)-dpdn_minQ</f>
        <v>60</v>
      </c>
      <c r="S3185" s="106"/>
      <c r="T3185" s="22"/>
      <c r="U3185" s="97">
        <f ca="1">P_2_minQ+(U3182^2*R_dn)-dpdn_minQ</f>
        <v>60</v>
      </c>
      <c r="V3185" s="107"/>
      <c r="W3185" s="1"/>
      <c r="X3185" s="97">
        <f ca="1">P_2_minQ+(X3182^2*R_dn)-dpdn_minQ</f>
        <v>60</v>
      </c>
      <c r="Y3185" s="107"/>
      <c r="Z3185" s="1"/>
      <c r="AA3185" s="97">
        <f ca="1">P_2_minQ+(AA3182^2*R_dn)-dpdn_minQ</f>
        <v>60</v>
      </c>
      <c r="AB3185" s="107"/>
      <c r="AC3185" s="1"/>
      <c r="AD3185" s="97">
        <f ca="1">P_2_minQ+(AD3182^2*R_dn)-dpdn_minQ</f>
        <v>60</v>
      </c>
      <c r="AE3185" s="107"/>
      <c r="AF3185" s="1"/>
      <c r="AG3185" s="97">
        <f ca="1">P_2_minQ+(AG3182^2*R_dn)-dpdn_minQ</f>
        <v>60</v>
      </c>
      <c r="AH3185" s="107"/>
      <c r="AI3185" s="1"/>
      <c r="AJ3185" s="97">
        <f ca="1">P_2_minQ+(AJ3182^2*R_dn)-dpdn_minQ</f>
        <v>60</v>
      </c>
      <c r="AK3185" s="107"/>
      <c r="AL3185" s="1"/>
      <c r="AM3185" s="97">
        <f ca="1">P_2_minQ+(AM3182^2*R_dn)-dpdn_minQ</f>
        <v>60</v>
      </c>
      <c r="AN3185" s="107"/>
      <c r="AO3185" s="1"/>
      <c r="AP3185" s="97">
        <f ca="1">P_2_minQ+(AP3182^2*R_dn)-dpdn_minQ</f>
        <v>60</v>
      </c>
      <c r="AQ3185" s="107"/>
      <c r="AR3185" s="1"/>
      <c r="AS3185" s="97">
        <f ca="1">P_2_minQ+(AS3182^2*R_dn)-dpdn_minQ</f>
        <v>60</v>
      </c>
      <c r="AT3185" s="107"/>
      <c r="AU3185" s="1"/>
    </row>
    <row r="3186" spans="15:47" x14ac:dyDescent="0.25">
      <c r="O3186" s="8" t="s">
        <v>138</v>
      </c>
      <c r="P3186" s="1"/>
      <c r="Q3186" s="8"/>
      <c r="R3186" s="97">
        <f>R3184-R3185</f>
        <v>30.047843674904072</v>
      </c>
      <c r="S3186" s="106"/>
      <c r="T3186" s="22"/>
      <c r="U3186" s="97">
        <f ca="1">U3184-U3185</f>
        <v>27.985420895062589</v>
      </c>
      <c r="V3186" s="110"/>
      <c r="W3186" s="25"/>
      <c r="X3186" s="97">
        <f ca="1">X3184-X3185</f>
        <v>16.996556776533325</v>
      </c>
      <c r="Y3186" s="110"/>
      <c r="Z3186" s="25"/>
      <c r="AA3186" s="97">
        <f ca="1">AA3184-AA3185</f>
        <v>-19.848237278411979</v>
      </c>
      <c r="AB3186" s="110"/>
      <c r="AC3186" s="25"/>
      <c r="AD3186" s="97">
        <f ca="1">AD3184-AD3185</f>
        <v>-110.64063038500743</v>
      </c>
      <c r="AE3186" s="110"/>
      <c r="AF3186" s="25"/>
      <c r="AG3186" s="97">
        <f ca="1">AG3184-AG3185</f>
        <v>-269.80458538849751</v>
      </c>
      <c r="AH3186" s="110"/>
      <c r="AI3186" s="25"/>
      <c r="AJ3186" s="97">
        <f ca="1">AJ3184-AJ3185</f>
        <v>-504.0666632341551</v>
      </c>
      <c r="AK3186" s="110"/>
      <c r="AL3186" s="25"/>
      <c r="AM3186" s="97">
        <f ca="1">AM3184-AM3185</f>
        <v>-765.24294581229333</v>
      </c>
      <c r="AN3186" s="110"/>
      <c r="AO3186" s="25"/>
      <c r="AP3186" s="97">
        <f ca="1">AP3184-AP3185</f>
        <v>-1041.931708086986</v>
      </c>
      <c r="AQ3186" s="110"/>
      <c r="AR3186" s="25"/>
      <c r="AS3186" s="97">
        <f ca="1">AS3184-AS3185</f>
        <v>-1443.911889278088</v>
      </c>
      <c r="AT3186" s="110"/>
      <c r="AU3186" s="25"/>
    </row>
    <row r="3187" spans="15:47" ht="14.4" x14ac:dyDescent="0.3">
      <c r="O3187" s="2" t="s">
        <v>140</v>
      </c>
      <c r="P3187" s="11"/>
      <c r="Q3187" s="2"/>
      <c r="R3187" s="96">
        <f>R3186/R3184</f>
        <v>0.33368754262883332</v>
      </c>
      <c r="S3187" s="106"/>
      <c r="T3187" s="22"/>
      <c r="U3187" s="96">
        <f ca="1">U3186/U3184</f>
        <v>0.31806884152364184</v>
      </c>
      <c r="V3187" s="111"/>
      <c r="W3187" s="28"/>
      <c r="X3187" s="96">
        <f ca="1">X3186/X3184</f>
        <v>0.22074437465901672</v>
      </c>
      <c r="Y3187" s="111"/>
      <c r="Z3187" s="28"/>
      <c r="AA3187" s="96">
        <f ca="1">AA3186/AA3184</f>
        <v>-0.49433040875538858</v>
      </c>
      <c r="AB3187" s="111"/>
      <c r="AC3187" s="28"/>
      <c r="AD3187" s="96">
        <f ca="1">AD3186/AD3184</f>
        <v>2.1848193741633102</v>
      </c>
      <c r="AE3187" s="111"/>
      <c r="AF3187" s="28"/>
      <c r="AG3187" s="96">
        <f ca="1">AG3186/AG3184</f>
        <v>1.2859804035688607</v>
      </c>
      <c r="AH3187" s="111"/>
      <c r="AI3187" s="28"/>
      <c r="AJ3187" s="96">
        <f ca="1">AJ3186/AJ3184</f>
        <v>1.1351148486648774</v>
      </c>
      <c r="AK3187" s="111"/>
      <c r="AL3187" s="28"/>
      <c r="AM3187" s="96">
        <f ca="1">AM3186/AM3184</f>
        <v>1.0850770650827177</v>
      </c>
      <c r="AN3187" s="111"/>
      <c r="AO3187" s="28"/>
      <c r="AP3187" s="96">
        <f ca="1">AP3186/AP3184</f>
        <v>1.0611040457354135</v>
      </c>
      <c r="AQ3187" s="111"/>
      <c r="AR3187" s="28"/>
      <c r="AS3187" s="96">
        <f ca="1">AS3186/AS3184</f>
        <v>1.0433553613238331</v>
      </c>
      <c r="AT3187" s="111"/>
      <c r="AU3187" s="28"/>
    </row>
    <row r="3188" spans="15:47" x14ac:dyDescent="0.25">
      <c r="O3188" s="2" t="s">
        <v>21</v>
      </c>
      <c r="P3188" s="8">
        <v>12</v>
      </c>
      <c r="Q3188" s="2"/>
      <c r="R3188" s="96">
        <f ca="1">1-R3187/(3*F_GAMMA*R$29)</f>
        <v>0.82621246903329559</v>
      </c>
      <c r="S3188" s="106"/>
      <c r="T3188" s="22"/>
      <c r="U3188" s="96">
        <f ca="1">1-U3187/(3*F_GAMMA*U$29)</f>
        <v>0.8343853154606562</v>
      </c>
      <c r="V3188" s="111"/>
      <c r="W3188" s="28"/>
      <c r="X3188" s="96">
        <f ca="1">1-X3187/(3*F_GAMMA*X$29)</f>
        <v>0.88396630910946083</v>
      </c>
      <c r="Y3188" s="111"/>
      <c r="Z3188" s="28"/>
      <c r="AA3188" s="96">
        <f ca="1">1-AA3187/(3*F_GAMMA*AA$29)</f>
        <v>1.2635062334973335</v>
      </c>
      <c r="AB3188" s="111"/>
      <c r="AC3188" s="28"/>
      <c r="AD3188" s="96">
        <f ca="1">1-AD3187/(3*F_GAMMA*AD$29)</f>
        <v>-0.20075317456216268</v>
      </c>
      <c r="AE3188" s="111"/>
      <c r="AF3188" s="28"/>
      <c r="AG3188" s="96">
        <f ca="1">1-AG3187/(3*F_GAMMA*AG$29)</f>
        <v>0.25082900930532248</v>
      </c>
      <c r="AH3188" s="111"/>
      <c r="AI3188" s="28"/>
      <c r="AJ3188" s="96">
        <f ca="1">1-AJ3187/(3*F_GAMMA*AJ$29)</f>
        <v>0.28855158640354239</v>
      </c>
      <c r="AK3188" s="111"/>
      <c r="AL3188" s="28"/>
      <c r="AM3188" s="96">
        <f ca="1">1-AM3187/(3*F_GAMMA*AM$29)</f>
        <v>0.23960716059634812</v>
      </c>
      <c r="AN3188" s="111"/>
      <c r="AO3188" s="28"/>
      <c r="AP3188" s="96">
        <f ca="1">1-AP3187/(3*F_GAMMA*AP$29)</f>
        <v>0.40105598154933753</v>
      </c>
      <c r="AQ3188" s="111"/>
      <c r="AR3188" s="28"/>
      <c r="AS3188" s="96">
        <f ca="1">1-AS3187/(3*F_GAMMA*AS$29)</f>
        <v>7.6733755582984231E-2</v>
      </c>
      <c r="AT3188" s="111"/>
      <c r="AU3188" s="28"/>
    </row>
    <row r="3189" spans="15:47" x14ac:dyDescent="0.25">
      <c r="O3189" s="2" t="s">
        <v>57</v>
      </c>
      <c r="P3189" s="143">
        <v>7</v>
      </c>
      <c r="Q3189" s="2"/>
      <c r="R3189" s="96">
        <f ca="1">(R3182/(N_9*R$27*R3184*R3188))*SQRT(M*'Valve Sizing'!$W$6*'Valve Sizing'!$G$8/R3187)</f>
        <v>11.10647606278015</v>
      </c>
      <c r="S3189" s="107"/>
      <c r="T3189" s="22"/>
      <c r="U3189" s="96">
        <f ca="1">(U3182/(N_9*U$27*U3184*U3188))*SQRT(M*'Valve Sizing'!$W$6*'Valve Sizing'!$G$8/U3187)</f>
        <v>46.191279432823656</v>
      </c>
      <c r="V3189" s="111"/>
      <c r="W3189" s="28"/>
      <c r="X3189" s="96">
        <f ca="1">(X3182/(N_9*X$27*X3184*X3188))*SQRT(M*'Valve Sizing'!$W$6*'Valve Sizing'!$G$8/X3187)</f>
        <v>146.78048697502697</v>
      </c>
      <c r="Y3189" s="111"/>
      <c r="Z3189" s="28"/>
      <c r="AA3189" s="96" t="e">
        <f ca="1">(AA3182/(N_9*AA$27*AA3184*AA3188))*SQRT(M*'Valve Sizing'!$W$6*'Valve Sizing'!$G$8/AA3187)</f>
        <v>#NUM!</v>
      </c>
      <c r="AB3189" s="111"/>
      <c r="AC3189" s="28"/>
      <c r="AD3189" s="96">
        <f ca="1">(AD3182/(N_9*AD$27*AD3184*AD3188))*SQRT(M*'Valve Sizing'!$W$6*'Valve Sizing'!$G$8/AD3187)</f>
        <v>1039.4674108588758</v>
      </c>
      <c r="AE3189" s="111"/>
      <c r="AF3189" s="28"/>
      <c r="AG3189" s="96">
        <f ca="1">(AG3182/(N_9*AG$27*AG3184*AG3188))*SQRT(M*'Valve Sizing'!$W$6*'Valve Sizing'!$G$8/AG3187)</f>
        <v>-390.61397362113667</v>
      </c>
      <c r="AH3189" s="111"/>
      <c r="AI3189" s="28"/>
      <c r="AJ3189" s="96">
        <f ca="1">(AJ3182/(N_9*AJ$27*AJ3184*AJ3188))*SQRT(M*'Valve Sizing'!$W$6*'Valve Sizing'!$G$8/AJ3187)</f>
        <v>-236.10708975927096</v>
      </c>
      <c r="AK3189" s="111"/>
      <c r="AL3189" s="28"/>
      <c r="AM3189" s="96">
        <f ca="1">(AM3182/(N_9*AM$27*AM3184*AM3188))*SQRT(M*'Valve Sizing'!$W$6*'Valve Sizing'!$G$8/AM3187)</f>
        <v>-237.07071017882524</v>
      </c>
      <c r="AN3189" s="111"/>
      <c r="AO3189" s="28"/>
      <c r="AP3189" s="96">
        <f ca="1">(AP3182/(N_9*AP$27*AP3184*AP3188))*SQRT(M*'Valve Sizing'!$W$6*'Valve Sizing'!$G$8/AP3187)</f>
        <v>-135.93100922238636</v>
      </c>
      <c r="AQ3189" s="111"/>
      <c r="AR3189" s="28"/>
      <c r="AS3189" s="96">
        <f ca="1">(AS3182/(N_9*AS$27*AS3184*AS3188))*SQRT(M*'Valve Sizing'!$W$6*'Valve Sizing'!$G$8/AS3187)</f>
        <v>-798.40231639405806</v>
      </c>
      <c r="AT3189" s="111"/>
      <c r="AU3189" s="28"/>
    </row>
    <row r="3190" spans="15:47" x14ac:dyDescent="0.25">
      <c r="O3190" s="2" t="s">
        <v>59</v>
      </c>
      <c r="P3190" s="143">
        <v>7</v>
      </c>
      <c r="Q3190" s="2"/>
      <c r="R3190" s="96">
        <f ca="1">(R3182/(N_9*R$27*R3184*0.667))*SQRT(M*'Valve Sizing'!$W$6*'Valve Sizing'!$G$8/R3191)</f>
        <v>9.9337249286574334</v>
      </c>
      <c r="S3190" s="107"/>
      <c r="T3190" s="22"/>
      <c r="U3190" s="96">
        <f ca="1">(U3182/(N_9*U$27*U3184*0.667))*SQRT(M*'Valve Sizing'!$W$6*'Valve Sizing'!$G$8/U3191)</f>
        <v>40.729666898016681</v>
      </c>
      <c r="V3190" s="111"/>
      <c r="W3190" s="28"/>
      <c r="X3190" s="96">
        <f ca="1">(X3182/(N_9*X$27*X3184*0.667))*SQRT(M*'Valve Sizing'!$W$6*'Valve Sizing'!$G$8/X3191)</f>
        <v>114.7706612992308</v>
      </c>
      <c r="Y3190" s="111"/>
      <c r="Z3190" s="28"/>
      <c r="AA3190" s="96">
        <f ca="1">(AA3182/(N_9*AA$27*AA3184*0.667))*SQRT(M*'Valve Sizing'!$W$6*'Valve Sizing'!$G$8/AA3191)</f>
        <v>434.24895979980454</v>
      </c>
      <c r="AB3190" s="111"/>
      <c r="AC3190" s="28"/>
      <c r="AD3190" s="96">
        <f ca="1">(AD3182/(N_9*AD$27*AD3184*0.667))*SQRT(M*'Valve Sizing'!$W$6*'Valve Sizing'!$G$8/AD3191)</f>
        <v>-593.79285129074765</v>
      </c>
      <c r="AE3190" s="111"/>
      <c r="AF3190" s="28"/>
      <c r="AG3190" s="96">
        <f ca="1">(AG3182/(N_9*AG$27*AG3184*0.667))*SQRT(M*'Valve Sizing'!$W$6*'Valve Sizing'!$G$8/AG3191)</f>
        <v>-220.21698271667091</v>
      </c>
      <c r="AH3190" s="111"/>
      <c r="AI3190" s="28"/>
      <c r="AJ3190" s="96">
        <f ca="1">(AJ3182/(N_9*AJ$27*AJ3184*0.667))*SQRT(M*'Valve Sizing'!$W$6*'Valve Sizing'!$G$8/AJ3191)</f>
        <v>-149.22410938550621</v>
      </c>
      <c r="AK3190" s="111"/>
      <c r="AL3190" s="28"/>
      <c r="AM3190" s="96">
        <f ca="1">(AM3182/(N_9*AM$27*AM3184*0.667))*SQRT(M*'Valve Sizing'!$W$6*'Valve Sizing'!$G$8/AM3191)</f>
        <v>-128.62680910544375</v>
      </c>
      <c r="AN3190" s="111"/>
      <c r="AO3190" s="28"/>
      <c r="AP3190" s="96">
        <f ca="1">(AP3182/(N_9*AP$27*AP3184*0.667))*SQRT(M*'Valve Sizing'!$W$6*'Valve Sizing'!$G$8/AP3191)</f>
        <v>-109.55985500304588</v>
      </c>
      <c r="AQ3190" s="111"/>
      <c r="AR3190" s="28"/>
      <c r="AS3190" s="96">
        <f ca="1">(AS3182/(N_9*AS$27*AS3184*0.667))*SQRT(M*'Valve Sizing'!$W$6*'Valve Sizing'!$G$8/AS3191)</f>
        <v>-152.86445593747496</v>
      </c>
      <c r="AT3190" s="111"/>
      <c r="AU3190" s="28"/>
    </row>
    <row r="3191" spans="15:47" ht="15.6" x14ac:dyDescent="0.35">
      <c r="O3191" s="2" t="s">
        <v>68</v>
      </c>
      <c r="P3191" s="143">
        <v>10</v>
      </c>
      <c r="Q3191" s="2"/>
      <c r="R3191" s="96">
        <f ca="1">F_GAMMA*R$29</f>
        <v>0.64002969751372984</v>
      </c>
      <c r="S3191" s="107"/>
      <c r="T3191" s="1"/>
      <c r="U3191" s="96">
        <f ca="1">F_GAMMA*U$29</f>
        <v>0.64017842058782071</v>
      </c>
      <c r="V3191" s="111"/>
      <c r="W3191" s="28"/>
      <c r="X3191" s="96">
        <f ca="1">F_GAMMA*X$29</f>
        <v>0.63413873724904268</v>
      </c>
      <c r="Y3191" s="111"/>
      <c r="Z3191" s="28"/>
      <c r="AA3191" s="96">
        <f ca="1">F_GAMMA*AA$29</f>
        <v>0.62532411750377137</v>
      </c>
      <c r="AB3191" s="111"/>
      <c r="AC3191" s="28"/>
      <c r="AD3191" s="96">
        <f ca="1">F_GAMMA*AD$29</f>
        <v>0.60651359509139569</v>
      </c>
      <c r="AE3191" s="111"/>
      <c r="AF3191" s="28"/>
      <c r="AG3191" s="96">
        <f ca="1">F_GAMMA*AG$29</f>
        <v>0.57217930198481592</v>
      </c>
      <c r="AH3191" s="111"/>
      <c r="AI3191" s="28"/>
      <c r="AJ3191" s="96">
        <f ca="1">F_GAMMA*AJ$29</f>
        <v>0.53183282018848232</v>
      </c>
      <c r="AK3191" s="111"/>
      <c r="AL3191" s="28"/>
      <c r="AM3191" s="96">
        <f ca="1">F_GAMMA*AM$29</f>
        <v>0.47566512503094399</v>
      </c>
      <c r="AN3191" s="111"/>
      <c r="AO3191" s="28"/>
      <c r="AP3191" s="96">
        <f ca="1">F_GAMMA*AP$29</f>
        <v>0.59054158265645496</v>
      </c>
      <c r="AQ3191" s="111"/>
      <c r="AR3191" s="28"/>
      <c r="AS3191" s="96">
        <f ca="1">F_GAMMA*AS$29</f>
        <v>0.3766899554102966</v>
      </c>
      <c r="AT3191" s="111"/>
      <c r="AU3191" s="28"/>
    </row>
    <row r="3192" spans="15:47" x14ac:dyDescent="0.25">
      <c r="O3192" s="2" t="s">
        <v>145</v>
      </c>
      <c r="P3192" s="12"/>
      <c r="Q3192" s="2"/>
      <c r="R3192" s="96">
        <f ca="1">IF(R3187&lt;R3191,R3189,R3190)</f>
        <v>11.10647606278015</v>
      </c>
      <c r="S3192" s="116"/>
      <c r="T3192" s="1"/>
      <c r="U3192" s="96">
        <f ca="1">IF(U3187&lt;U3191,U3189,U3190)</f>
        <v>46.191279432823656</v>
      </c>
      <c r="V3192" s="111"/>
      <c r="W3192" s="28"/>
      <c r="X3192" s="96">
        <f ca="1">IF(X3187&lt;X3191,X3189,X3190)</f>
        <v>146.78048697502697</v>
      </c>
      <c r="Y3192" s="111"/>
      <c r="Z3192" s="28"/>
      <c r="AA3192" s="96" t="e">
        <f ca="1">IF(AA3187&lt;AA3191,AA3189,AA3190)</f>
        <v>#NUM!</v>
      </c>
      <c r="AB3192" s="111"/>
      <c r="AC3192" s="28"/>
      <c r="AD3192" s="96">
        <f ca="1">IF(AD3187&lt;AD3191,AD3189,AD3190)</f>
        <v>-593.79285129074765</v>
      </c>
      <c r="AE3192" s="111"/>
      <c r="AF3192" s="28"/>
      <c r="AG3192" s="96">
        <f ca="1">IF(AG3187&lt;AG3191,AG3189,AG3190)</f>
        <v>-220.21698271667091</v>
      </c>
      <c r="AH3192" s="111"/>
      <c r="AI3192" s="28"/>
      <c r="AJ3192" s="96">
        <f ca="1">IF(AJ3187&lt;AJ3191,AJ3189,AJ3190)</f>
        <v>-149.22410938550621</v>
      </c>
      <c r="AK3192" s="111"/>
      <c r="AL3192" s="28"/>
      <c r="AM3192" s="96">
        <f ca="1">IF(AM3187&lt;AM3191,AM3189,AM3190)</f>
        <v>-128.62680910544375</v>
      </c>
      <c r="AN3192" s="111"/>
      <c r="AO3192" s="28"/>
      <c r="AP3192" s="96">
        <f ca="1">IF(AP3187&lt;AP3191,AP3189,AP3190)</f>
        <v>-109.55985500304588</v>
      </c>
      <c r="AQ3192" s="111"/>
      <c r="AR3192" s="28"/>
      <c r="AS3192" s="96">
        <f ca="1">IF(AS3187&lt;AS3191,AS3189,AS3190)</f>
        <v>-152.86445593747496</v>
      </c>
      <c r="AT3192" s="111"/>
      <c r="AU3192" s="28"/>
    </row>
    <row r="3193" spans="15:47" x14ac:dyDescent="0.25">
      <c r="O3193" s="13" t="s">
        <v>143</v>
      </c>
      <c r="P3193" s="1"/>
      <c r="Q3193" s="1"/>
      <c r="R3193" s="113"/>
      <c r="S3193" s="106">
        <f ca="1">IF(R3186&lt;=0,Q_max,ABS(R$23-R3192))</f>
        <v>6.3764760627801493</v>
      </c>
      <c r="T3193" s="7">
        <f>R3182</f>
        <v>27436.285281636316</v>
      </c>
      <c r="U3193" s="98"/>
      <c r="V3193" s="106">
        <f ca="1">IF(U3186&lt;=0,Q_max,ABS(U$23-U3192))</f>
        <v>34.591279432823654</v>
      </c>
      <c r="W3193" s="9">
        <f ca="1">U3182</f>
        <v>109856.82047486767</v>
      </c>
      <c r="X3193" s="98"/>
      <c r="Y3193" s="106">
        <f ca="1">IF(X3186&lt;=0,Q_max,ABS(X$23-X3192))</f>
        <v>123.78048697502697</v>
      </c>
      <c r="Z3193" s="9">
        <f ca="1">X3182</f>
        <v>268999.0001477534</v>
      </c>
      <c r="AA3193" s="98"/>
      <c r="AB3193" s="106">
        <f ca="1">IF(AA3186&lt;=0,Q_max,ABS(AA$23-AA3192))</f>
        <v>236393</v>
      </c>
      <c r="AC3193" s="9">
        <f ca="1">AA3182</f>
        <v>523941.39152684121</v>
      </c>
      <c r="AD3193" s="98"/>
      <c r="AE3193" s="106">
        <f ca="1">IF(AD3186&lt;=0,Q_max,ABS(AD$23-AD3192))</f>
        <v>236393</v>
      </c>
      <c r="AF3193" s="9">
        <f ca="1">AD3182</f>
        <v>879010.66806046048</v>
      </c>
      <c r="AG3193" s="98"/>
      <c r="AH3193" s="106">
        <f ca="1">IF(AG3186&lt;=0,Q_max,ABS(AG$23-AG3192))</f>
        <v>236393</v>
      </c>
      <c r="AI3193" s="9">
        <f ca="1">AG3182</f>
        <v>1282940.0108934164</v>
      </c>
      <c r="AJ3193" s="98"/>
      <c r="AK3193" s="106">
        <f ca="1">IF(AJ3186&lt;=0,Q_max,ABS(AJ$23-AJ3192))</f>
        <v>236393</v>
      </c>
      <c r="AL3193" s="9">
        <f ca="1">AJ3182</f>
        <v>1712088.417940473</v>
      </c>
      <c r="AM3193" s="98"/>
      <c r="AN3193" s="106">
        <f ca="1">IF(AM3186&lt;=0,Q_max,ABS(AM$23-AM3192))</f>
        <v>236393</v>
      </c>
      <c r="AO3193" s="9">
        <f ca="1">AM3182</f>
        <v>2089073.2350812373</v>
      </c>
      <c r="AP3193" s="98"/>
      <c r="AQ3193" s="106">
        <f ca="1">IF(AP3186&lt;=0,Q_max,ABS(AP$23-AP3192))</f>
        <v>236393</v>
      </c>
      <c r="AR3193" s="9">
        <f ca="1">AP3182</f>
        <v>2425349.1714236871</v>
      </c>
      <c r="AS3193" s="98"/>
      <c r="AT3193" s="106">
        <f ca="1">IF(AS3186&lt;=0,Q_max,ABS(AS$23-AS3192))</f>
        <v>236393</v>
      </c>
      <c r="AU3193" s="9">
        <f ca="1">AS3182</f>
        <v>2843912.644894802</v>
      </c>
    </row>
    <row r="3194" spans="15:47" x14ac:dyDescent="0.25">
      <c r="O3194" s="21"/>
      <c r="P3194" s="14"/>
      <c r="Q3194" s="21"/>
      <c r="R3194" s="97"/>
      <c r="S3194" s="106"/>
      <c r="T3194" s="28"/>
      <c r="U3194" s="97"/>
      <c r="V3194" s="111"/>
      <c r="W3194" s="28"/>
      <c r="X3194" s="97"/>
      <c r="Y3194" s="111"/>
      <c r="Z3194" s="28"/>
      <c r="AA3194" s="97"/>
      <c r="AB3194" s="111"/>
      <c r="AC3194" s="28"/>
      <c r="AD3194" s="97"/>
      <c r="AE3194" s="111"/>
      <c r="AF3194" s="28"/>
      <c r="AG3194" s="97"/>
      <c r="AH3194" s="111"/>
      <c r="AI3194" s="28"/>
      <c r="AJ3194" s="97"/>
      <c r="AK3194" s="111"/>
      <c r="AL3194" s="28"/>
      <c r="AM3194" s="97"/>
      <c r="AN3194" s="111"/>
      <c r="AO3194" s="28"/>
      <c r="AP3194" s="97"/>
      <c r="AQ3194" s="111"/>
      <c r="AR3194" s="28"/>
      <c r="AS3194" s="97"/>
      <c r="AT3194" s="111"/>
      <c r="AU3194" s="28"/>
    </row>
    <row r="3195" spans="15:47" x14ac:dyDescent="0.25">
      <c r="O3195" s="1"/>
      <c r="P3195" s="1"/>
      <c r="Q3195" s="1"/>
      <c r="R3195" s="98"/>
      <c r="S3195" s="108" t="s">
        <v>137</v>
      </c>
      <c r="T3195" s="26" t="s">
        <v>146</v>
      </c>
      <c r="U3195" s="98"/>
      <c r="V3195" s="108" t="s">
        <v>137</v>
      </c>
      <c r="W3195" s="26" t="s">
        <v>146</v>
      </c>
      <c r="X3195" s="98"/>
      <c r="Y3195" s="108" t="s">
        <v>137</v>
      </c>
      <c r="Z3195" s="26" t="s">
        <v>146</v>
      </c>
      <c r="AA3195" s="98"/>
      <c r="AB3195" s="108" t="s">
        <v>137</v>
      </c>
      <c r="AC3195" s="26" t="s">
        <v>146</v>
      </c>
      <c r="AD3195" s="98"/>
      <c r="AE3195" s="108" t="s">
        <v>137</v>
      </c>
      <c r="AF3195" s="26" t="s">
        <v>146</v>
      </c>
      <c r="AG3195" s="98"/>
      <c r="AH3195" s="108" t="s">
        <v>137</v>
      </c>
      <c r="AI3195" s="26" t="s">
        <v>146</v>
      </c>
      <c r="AJ3195" s="98"/>
      <c r="AK3195" s="108" t="s">
        <v>137</v>
      </c>
      <c r="AL3195" s="26" t="s">
        <v>146</v>
      </c>
      <c r="AM3195" s="98"/>
      <c r="AN3195" s="108" t="s">
        <v>137</v>
      </c>
      <c r="AO3195" s="26" t="s">
        <v>146</v>
      </c>
      <c r="AP3195" s="98"/>
      <c r="AQ3195" s="108" t="s">
        <v>137</v>
      </c>
      <c r="AR3195" s="26" t="s">
        <v>146</v>
      </c>
      <c r="AS3195" s="98"/>
      <c r="AT3195" s="108" t="s">
        <v>137</v>
      </c>
      <c r="AU3195" s="26" t="s">
        <v>146</v>
      </c>
    </row>
    <row r="3196" spans="15:47" ht="13.8" x14ac:dyDescent="0.25">
      <c r="O3196" s="20" t="s">
        <v>136</v>
      </c>
      <c r="P3196" s="1"/>
      <c r="Q3196" s="1"/>
      <c r="R3196" s="96">
        <f>R3182*1.02</f>
        <v>27985.010987269041</v>
      </c>
      <c r="S3196" s="109" t="s">
        <v>144</v>
      </c>
      <c r="T3196" s="23" t="s">
        <v>147</v>
      </c>
      <c r="U3196" s="96">
        <f ca="1">U3182*1.01</f>
        <v>110955.38867961634</v>
      </c>
      <c r="V3196" s="109" t="s">
        <v>144</v>
      </c>
      <c r="W3196" s="23" t="s">
        <v>147</v>
      </c>
      <c r="X3196" s="96">
        <f ca="1">X3182*1.01</f>
        <v>271688.99014923093</v>
      </c>
      <c r="Y3196" s="109" t="s">
        <v>144</v>
      </c>
      <c r="Z3196" s="23" t="s">
        <v>147</v>
      </c>
      <c r="AA3196" s="96">
        <f ca="1">AA3182*1.01</f>
        <v>529180.80544210959</v>
      </c>
      <c r="AB3196" s="109" t="s">
        <v>144</v>
      </c>
      <c r="AC3196" s="23" t="s">
        <v>147</v>
      </c>
      <c r="AD3196" s="96">
        <f ca="1">AD3182*1.01</f>
        <v>887800.77474106511</v>
      </c>
      <c r="AE3196" s="109" t="s">
        <v>144</v>
      </c>
      <c r="AF3196" s="23" t="s">
        <v>147</v>
      </c>
      <c r="AG3196" s="96">
        <f ca="1">AG3182*1.01</f>
        <v>1295769.4110023505</v>
      </c>
      <c r="AH3196" s="109" t="s">
        <v>144</v>
      </c>
      <c r="AI3196" s="23" t="s">
        <v>147</v>
      </c>
      <c r="AJ3196" s="96">
        <f ca="1">AJ3182*1.01</f>
        <v>1729209.3021198777</v>
      </c>
      <c r="AK3196" s="109" t="s">
        <v>144</v>
      </c>
      <c r="AL3196" s="23" t="s">
        <v>147</v>
      </c>
      <c r="AM3196" s="96">
        <f ca="1">AM3182*1.01</f>
        <v>2109963.9674320496</v>
      </c>
      <c r="AN3196" s="109" t="s">
        <v>144</v>
      </c>
      <c r="AO3196" s="23" t="s">
        <v>147</v>
      </c>
      <c r="AP3196" s="96">
        <f ca="1">AP3182*1.01</f>
        <v>2449602.6631379239</v>
      </c>
      <c r="AQ3196" s="109" t="s">
        <v>144</v>
      </c>
      <c r="AR3196" s="23" t="s">
        <v>147</v>
      </c>
      <c r="AS3196" s="96">
        <f ca="1">AS3182*1.01</f>
        <v>2872351.7713437499</v>
      </c>
      <c r="AT3196" s="109" t="s">
        <v>144</v>
      </c>
      <c r="AU3196" s="23" t="s">
        <v>147</v>
      </c>
    </row>
    <row r="3197" spans="15:47" x14ac:dyDescent="0.25">
      <c r="O3197" s="1"/>
      <c r="P3197" s="1"/>
      <c r="Q3197" s="1"/>
      <c r="R3197" s="98"/>
      <c r="S3197" s="107"/>
      <c r="T3197" s="1"/>
      <c r="U3197" s="47"/>
      <c r="V3197" s="107"/>
      <c r="W3197" s="1"/>
      <c r="X3197" s="47"/>
      <c r="Y3197" s="107"/>
      <c r="Z3197" s="1"/>
      <c r="AA3197" s="47"/>
      <c r="AB3197" s="107"/>
      <c r="AC3197" s="1"/>
      <c r="AD3197" s="47"/>
      <c r="AE3197" s="107"/>
      <c r="AF3197" s="1"/>
      <c r="AG3197" s="47"/>
      <c r="AH3197" s="107"/>
      <c r="AI3197" s="1"/>
      <c r="AJ3197" s="47"/>
      <c r="AK3197" s="107"/>
      <c r="AL3197" s="1"/>
      <c r="AM3197" s="47"/>
      <c r="AN3197" s="107"/>
      <c r="AO3197" s="1"/>
      <c r="AP3197" s="47"/>
      <c r="AQ3197" s="107"/>
      <c r="AR3197" s="1"/>
      <c r="AS3197" s="47"/>
      <c r="AT3197" s="107"/>
      <c r="AU3197" s="1"/>
    </row>
    <row r="3198" spans="15:47" x14ac:dyDescent="0.25">
      <c r="O3198" s="8" t="s">
        <v>132</v>
      </c>
      <c r="P3198" s="8"/>
      <c r="Q3198" s="8"/>
      <c r="R3198" s="96">
        <f>P_1_minQ-(R3196^2*R_up)+dpup_minQ</f>
        <v>90.04230092194787</v>
      </c>
      <c r="S3198" s="106"/>
      <c r="T3198" s="22"/>
      <c r="U3198" s="96">
        <f ca="1">P_1_minQ-(U3196^2*R_up)+dpup_minQ</f>
        <v>87.941208540395209</v>
      </c>
      <c r="V3198" s="107"/>
      <c r="W3198" s="1"/>
      <c r="X3198" s="96">
        <f ca="1">P_1_minQ-(X3196^2*R_up)+dpup_minQ</f>
        <v>76.731468253083506</v>
      </c>
      <c r="Y3198" s="107"/>
      <c r="Z3198" s="1"/>
      <c r="AA3198" s="96">
        <f ca="1">P_1_minQ-(AA3196^2*R_up)+dpup_minQ</f>
        <v>39.146093837633806</v>
      </c>
      <c r="AB3198" s="107"/>
      <c r="AC3198" s="1"/>
      <c r="AD3198" s="96">
        <f ca="1">P_1_minQ-(AD3196^2*R_up)+dpup_minQ</f>
        <v>-53.471226370404224</v>
      </c>
      <c r="AE3198" s="107"/>
      <c r="AF3198" s="1"/>
      <c r="AG3198" s="96">
        <f ca="1">P_1_minQ-(AG3196^2*R_up)+dpup_minQ</f>
        <v>-215.83437686946445</v>
      </c>
      <c r="AH3198" s="107"/>
      <c r="AI3198" s="1"/>
      <c r="AJ3198" s="96">
        <f ca="1">P_1_minQ-(AJ3196^2*R_up)+dpup_minQ</f>
        <v>-454.80512247981977</v>
      </c>
      <c r="AK3198" s="107"/>
      <c r="AL3198" s="1"/>
      <c r="AM3198" s="96">
        <f ca="1">P_1_minQ-(AM3196^2*R_up)+dpup_minQ</f>
        <v>-721.23104833777836</v>
      </c>
      <c r="AN3198" s="107"/>
      <c r="AO3198" s="1"/>
      <c r="AP3198" s="96">
        <f ca="1">P_1_minQ-(AP3196^2*R_up)+dpup_minQ</f>
        <v>-1003.4812547341924</v>
      </c>
      <c r="AQ3198" s="107"/>
      <c r="AR3198" s="1"/>
      <c r="AS3198" s="96">
        <f ca="1">P_1_minQ-(AS3196^2*R_up)+dpup_minQ</f>
        <v>-1413.5412375672356</v>
      </c>
      <c r="AT3198" s="107"/>
      <c r="AU3198" s="1"/>
    </row>
    <row r="3199" spans="15:47" x14ac:dyDescent="0.25">
      <c r="O3199" s="8" t="s">
        <v>134</v>
      </c>
      <c r="P3199" s="1"/>
      <c r="Q3199" s="8"/>
      <c r="R3199" s="97">
        <f>P_2_minQ+(R3196^2*R_dn)-dpdn_minQ</f>
        <v>60</v>
      </c>
      <c r="S3199" s="106"/>
      <c r="T3199" s="22"/>
      <c r="U3199" s="97">
        <f ca="1">P_2_minQ+(U3196^2*R_dn)-dpdn_minQ</f>
        <v>60</v>
      </c>
      <c r="V3199" s="107"/>
      <c r="W3199" s="1"/>
      <c r="X3199" s="97">
        <f ca="1">P_2_minQ+(X3196^2*R_dn)-dpdn_minQ</f>
        <v>60</v>
      </c>
      <c r="Y3199" s="107"/>
      <c r="Z3199" s="1"/>
      <c r="AA3199" s="97">
        <f ca="1">P_2_minQ+(AA3196^2*R_dn)-dpdn_minQ</f>
        <v>60</v>
      </c>
      <c r="AB3199" s="107"/>
      <c r="AC3199" s="1"/>
      <c r="AD3199" s="97">
        <f ca="1">P_2_minQ+(AD3196^2*R_dn)-dpdn_minQ</f>
        <v>60</v>
      </c>
      <c r="AE3199" s="107"/>
      <c r="AF3199" s="1"/>
      <c r="AG3199" s="97">
        <f ca="1">P_2_minQ+(AG3196^2*R_dn)-dpdn_minQ</f>
        <v>60</v>
      </c>
      <c r="AH3199" s="107"/>
      <c r="AI3199" s="1"/>
      <c r="AJ3199" s="97">
        <f ca="1">P_2_minQ+(AJ3196^2*R_dn)-dpdn_minQ</f>
        <v>60</v>
      </c>
      <c r="AK3199" s="107"/>
      <c r="AL3199" s="1"/>
      <c r="AM3199" s="97">
        <f ca="1">P_2_minQ+(AM3196^2*R_dn)-dpdn_minQ</f>
        <v>60</v>
      </c>
      <c r="AN3199" s="107"/>
      <c r="AO3199" s="1"/>
      <c r="AP3199" s="97">
        <f ca="1">P_2_minQ+(AP3196^2*R_dn)-dpdn_minQ</f>
        <v>60</v>
      </c>
      <c r="AQ3199" s="107"/>
      <c r="AR3199" s="1"/>
      <c r="AS3199" s="97">
        <f ca="1">P_2_minQ+(AS3196^2*R_dn)-dpdn_minQ</f>
        <v>60</v>
      </c>
      <c r="AT3199" s="107"/>
      <c r="AU3199" s="1"/>
    </row>
    <row r="3200" spans="15:47" x14ac:dyDescent="0.25">
      <c r="O3200" s="8" t="s">
        <v>138</v>
      </c>
      <c r="P3200" s="1"/>
      <c r="Q3200" s="8"/>
      <c r="R3200" s="97">
        <f>R3198-R3199</f>
        <v>30.04230092194787</v>
      </c>
      <c r="S3200" s="106"/>
      <c r="T3200" s="22"/>
      <c r="U3200" s="97">
        <f ca="1">U3198-U3199</f>
        <v>27.941208540395209</v>
      </c>
      <c r="V3200" s="110"/>
      <c r="W3200" s="25"/>
      <c r="X3200" s="97">
        <f ca="1">X3198-X3199</f>
        <v>16.731468253083506</v>
      </c>
      <c r="Y3200" s="110"/>
      <c r="Z3200" s="25"/>
      <c r="AA3200" s="97">
        <f ca="1">AA3198-AA3199</f>
        <v>-20.853906162366194</v>
      </c>
      <c r="AB3200" s="110"/>
      <c r="AC3200" s="25"/>
      <c r="AD3200" s="97">
        <f ca="1">AD3198-AD3199</f>
        <v>-113.47122637040422</v>
      </c>
      <c r="AE3200" s="110"/>
      <c r="AF3200" s="25"/>
      <c r="AG3200" s="97">
        <f ca="1">AG3198-AG3199</f>
        <v>-275.83437686946445</v>
      </c>
      <c r="AH3200" s="110"/>
      <c r="AI3200" s="25"/>
      <c r="AJ3200" s="97">
        <f ca="1">AJ3198-AJ3199</f>
        <v>-514.80512247981983</v>
      </c>
      <c r="AK3200" s="110"/>
      <c r="AL3200" s="25"/>
      <c r="AM3200" s="97">
        <f ca="1">AM3198-AM3199</f>
        <v>-781.23104833777836</v>
      </c>
      <c r="AN3200" s="110"/>
      <c r="AO3200" s="25"/>
      <c r="AP3200" s="97">
        <f ca="1">AP3198-AP3199</f>
        <v>-1063.4812547341924</v>
      </c>
      <c r="AQ3200" s="110"/>
      <c r="AR3200" s="25"/>
      <c r="AS3200" s="97">
        <f ca="1">AS3198-AS3199</f>
        <v>-1473.5412375672356</v>
      </c>
      <c r="AT3200" s="110"/>
      <c r="AU3200" s="25"/>
    </row>
    <row r="3201" spans="15:47" ht="14.4" x14ac:dyDescent="0.3">
      <c r="O3201" s="2" t="s">
        <v>140</v>
      </c>
      <c r="P3201" s="11"/>
      <c r="Q3201" s="2"/>
      <c r="R3201" s="96">
        <f>R3200/R3198</f>
        <v>0.33364652629201125</v>
      </c>
      <c r="S3201" s="106"/>
      <c r="T3201" s="22"/>
      <c r="U3201" s="96">
        <f ca="1">U3200/U3198</f>
        <v>0.31772600131553347</v>
      </c>
      <c r="V3201" s="111"/>
      <c r="W3201" s="28"/>
      <c r="X3201" s="96">
        <f ca="1">X3200/X3198</f>
        <v>0.21805223637710255</v>
      </c>
      <c r="Y3201" s="111"/>
      <c r="Z3201" s="28"/>
      <c r="AA3201" s="96">
        <f ca="1">AA3200/AA3198</f>
        <v>-0.53271997581321673</v>
      </c>
      <c r="AB3201" s="111"/>
      <c r="AC3201" s="28"/>
      <c r="AD3201" s="96">
        <f ca="1">AD3200/AD3198</f>
        <v>2.1220988197347457</v>
      </c>
      <c r="AE3201" s="111"/>
      <c r="AF3201" s="28"/>
      <c r="AG3201" s="96">
        <f ca="1">AG3200/AG3198</f>
        <v>1.277990933929342</v>
      </c>
      <c r="AH3201" s="111"/>
      <c r="AI3201" s="28"/>
      <c r="AJ3201" s="96">
        <f ca="1">AJ3200/AJ3198</f>
        <v>1.1319246354853056</v>
      </c>
      <c r="AK3201" s="111"/>
      <c r="AL3201" s="28"/>
      <c r="AM3201" s="96">
        <f ca="1">AM3200/AM3198</f>
        <v>1.0831910940859826</v>
      </c>
      <c r="AN3201" s="111"/>
      <c r="AO3201" s="28"/>
      <c r="AP3201" s="96">
        <f ca="1">AP3200/AP3198</f>
        <v>1.059791849341414</v>
      </c>
      <c r="AQ3201" s="111"/>
      <c r="AR3201" s="28"/>
      <c r="AS3201" s="96">
        <f ca="1">AS3200/AS3198</f>
        <v>1.0424465862087353</v>
      </c>
      <c r="AT3201" s="111"/>
      <c r="AU3201" s="28"/>
    </row>
    <row r="3202" spans="15:47" x14ac:dyDescent="0.25">
      <c r="O3202" s="2" t="s">
        <v>21</v>
      </c>
      <c r="P3202" s="8">
        <v>12</v>
      </c>
      <c r="Q3202" s="2"/>
      <c r="R3202" s="96">
        <f ca="1">1-R3201/(3*F_GAMMA*R$29)</f>
        <v>0.82623383071749112</v>
      </c>
      <c r="S3202" s="106"/>
      <c r="T3202" s="22"/>
      <c r="U3202" s="96">
        <f ca="1">1-U3201/(3*F_GAMMA*U$29)</f>
        <v>0.8345638283028487</v>
      </c>
      <c r="V3202" s="111"/>
      <c r="W3202" s="28"/>
      <c r="X3202" s="96">
        <f ca="1">1-X3201/(3*F_GAMMA*X$29)</f>
        <v>0.88538142440615075</v>
      </c>
      <c r="Y3202" s="111"/>
      <c r="Z3202" s="28"/>
      <c r="AA3202" s="96">
        <f ca="1">1-AA3201/(3*F_GAMMA*AA$29)</f>
        <v>1.2839700569680992</v>
      </c>
      <c r="AB3202" s="111"/>
      <c r="AC3202" s="28"/>
      <c r="AD3202" s="96">
        <f ca="1">1-AD3201/(3*F_GAMMA*AD$29)</f>
        <v>-0.16628263400810006</v>
      </c>
      <c r="AE3202" s="111"/>
      <c r="AF3202" s="28"/>
      <c r="AG3202" s="96">
        <f ca="1">1-AG3201/(3*F_GAMMA*AG$29)</f>
        <v>0.25548341839923427</v>
      </c>
      <c r="AH3202" s="111"/>
      <c r="AI3202" s="28"/>
      <c r="AJ3202" s="96">
        <f ca="1">1-AJ3201/(3*F_GAMMA*AJ$29)</f>
        <v>0.29055109518303768</v>
      </c>
      <c r="AK3202" s="111"/>
      <c r="AL3202" s="28"/>
      <c r="AM3202" s="96">
        <f ca="1">1-AM3201/(3*F_GAMMA*AM$29)</f>
        <v>0.2409287983743349</v>
      </c>
      <c r="AN3202" s="111"/>
      <c r="AO3202" s="28"/>
      <c r="AP3202" s="96">
        <f ca="1">1-AP3201/(3*F_GAMMA*AP$29)</f>
        <v>0.40179665555239796</v>
      </c>
      <c r="AQ3202" s="111"/>
      <c r="AR3202" s="28"/>
      <c r="AS3202" s="96">
        <f ca="1">1-AS3201/(3*F_GAMMA*AS$29)</f>
        <v>7.7537931627540524E-2</v>
      </c>
      <c r="AT3202" s="111"/>
      <c r="AU3202" s="28"/>
    </row>
    <row r="3203" spans="15:47" x14ac:dyDescent="0.25">
      <c r="O3203" s="2" t="s">
        <v>57</v>
      </c>
      <c r="P3203" s="143">
        <v>7</v>
      </c>
      <c r="Q3203" s="2"/>
      <c r="R3203" s="96">
        <f ca="1">(R3196/(N_9*R$27*R3198*R3202))*SQRT(M*'Valve Sizing'!$W$6*'Valve Sizing'!$G$8/R3201)</f>
        <v>11.329706366442085</v>
      </c>
      <c r="S3203" s="107"/>
      <c r="T3203" s="22"/>
      <c r="U3203" s="96">
        <f ca="1">(U3196/(N_9*U$27*U3198*U3202))*SQRT(M*'Valve Sizing'!$W$6*'Valve Sizing'!$G$8/U3201)</f>
        <v>46.691833851957533</v>
      </c>
      <c r="V3203" s="111"/>
      <c r="W3203" s="28"/>
      <c r="X3203" s="96">
        <f ca="1">(X3196/(N_9*X$27*X3198*X3202))*SQRT(M*'Valve Sizing'!$W$6*'Valve Sizing'!$G$8/X3201)</f>
        <v>149.4367282417505</v>
      </c>
      <c r="Y3203" s="111"/>
      <c r="Z3203" s="28"/>
      <c r="AA3203" s="96" t="e">
        <f ca="1">(AA3196/(N_9*AA$27*AA3198*AA3202))*SQRT(M*'Valve Sizing'!$W$6*'Valve Sizing'!$G$8/AA3201)</f>
        <v>#NUM!</v>
      </c>
      <c r="AB3203" s="111"/>
      <c r="AC3203" s="28"/>
      <c r="AD3203" s="96">
        <f ca="1">(AD3196/(N_9*AD$27*AD3198*AD3202))*SQRT(M*'Valve Sizing'!$W$6*'Valve Sizing'!$G$8/AD3201)</f>
        <v>1218.0123832272916</v>
      </c>
      <c r="AE3203" s="111"/>
      <c r="AF3203" s="28"/>
      <c r="AG3203" s="96">
        <f ca="1">(AG3196/(N_9*AG$27*AG3198*AG3202))*SQRT(M*'Valve Sizing'!$W$6*'Valve Sizing'!$G$8/AG3201)</f>
        <v>-377.68682929428297</v>
      </c>
      <c r="AH3203" s="111"/>
      <c r="AI3203" s="28"/>
      <c r="AJ3203" s="96">
        <f ca="1">(AJ3196/(N_9*AJ$27*AJ3198*AJ3202))*SQRT(M*'Valve Sizing'!$W$6*'Valve Sizing'!$G$8/AJ3201)</f>
        <v>-231.5609494268875</v>
      </c>
      <c r="AK3203" s="111"/>
      <c r="AL3203" s="28"/>
      <c r="AM3203" s="96">
        <f ca="1">(AM3196/(N_9*AM$27*AM3198*AM3202))*SQRT(M*'Valve Sizing'!$W$6*'Valve Sizing'!$G$8/AM3201)</f>
        <v>-233.05178876358528</v>
      </c>
      <c r="AN3203" s="111"/>
      <c r="AO3203" s="28"/>
      <c r="AP3203" s="96">
        <f ca="1">(AP3196/(N_9*AP$27*AP3198*AP3202))*SQRT(M*'Valve Sizing'!$W$6*'Valve Sizing'!$G$8/AP3201)</f>
        <v>-134.1773818514817</v>
      </c>
      <c r="AQ3203" s="111"/>
      <c r="AR3203" s="28"/>
      <c r="AS3203" s="96">
        <f ca="1">(AS3196/(N_9*AS$27*AS3198*AS3202))*SQRT(M*'Valve Sizing'!$W$6*'Valve Sizing'!$G$8/AS3201)</f>
        <v>-781.63605229806808</v>
      </c>
      <c r="AT3203" s="111"/>
      <c r="AU3203" s="28"/>
    </row>
    <row r="3204" spans="15:47" x14ac:dyDescent="0.25">
      <c r="O3204" s="2" t="s">
        <v>59</v>
      </c>
      <c r="P3204" s="143">
        <v>7</v>
      </c>
      <c r="Q3204" s="2"/>
      <c r="R3204" s="96">
        <f ca="1">(R3196/(N_9*R$27*R3198*0.667))*SQRT(M*'Valve Sizing'!$W$6*'Valve Sizing'!$G$8/R3205)</f>
        <v>10.133023149484496</v>
      </c>
      <c r="S3204" s="107"/>
      <c r="T3204" s="22"/>
      <c r="U3204" s="96">
        <f ca="1">(U3196/(N_9*U$27*U3198*0.667))*SQRT(M*'Valve Sizing'!$W$6*'Valve Sizing'!$G$8/U3205)</f>
        <v>41.157645134300161</v>
      </c>
      <c r="V3204" s="111"/>
      <c r="W3204" s="28"/>
      <c r="X3204" s="96">
        <f ca="1">(X3196/(N_9*X$27*X3198*0.667))*SQRT(M*'Valve Sizing'!$W$6*'Valve Sizing'!$G$8/X3205)</f>
        <v>116.31883762419594</v>
      </c>
      <c r="Y3204" s="111"/>
      <c r="Z3204" s="28"/>
      <c r="AA3204" s="96">
        <f ca="1">(AA3196/(N_9*AA$27*AA3198*0.667))*SQRT(M*'Valve Sizing'!$W$6*'Valve Sizing'!$G$8/AA3205)</f>
        <v>449.85892796813471</v>
      </c>
      <c r="AB3204" s="111"/>
      <c r="AC3204" s="28"/>
      <c r="AD3204" s="96">
        <f ca="1">(AD3196/(N_9*AD$27*AD3198*0.667))*SQRT(M*'Valve Sizing'!$W$6*'Valve Sizing'!$G$8/AD3205)</f>
        <v>-567.9829473176078</v>
      </c>
      <c r="AE3204" s="111"/>
      <c r="AF3204" s="28"/>
      <c r="AG3204" s="96">
        <f ca="1">(AG3196/(N_9*AG$27*AG3198*0.667))*SQRT(M*'Valve Sizing'!$W$6*'Valve Sizing'!$G$8/AG3205)</f>
        <v>-216.20540137655334</v>
      </c>
      <c r="AH3204" s="111"/>
      <c r="AI3204" s="28"/>
      <c r="AJ3204" s="96">
        <f ca="1">(AJ3196/(N_9*AJ$27*AJ3198*0.667))*SQRT(M*'Valve Sizing'!$W$6*'Valve Sizing'!$G$8/AJ3205)</f>
        <v>-147.15776833663321</v>
      </c>
      <c r="AK3204" s="111"/>
      <c r="AL3204" s="28"/>
      <c r="AM3204" s="96">
        <f ca="1">(AM3196/(N_9*AM$27*AM3198*0.667))*SQRT(M*'Valve Sizing'!$W$6*'Valve Sizing'!$G$8/AM3205)</f>
        <v>-127.03319064363018</v>
      </c>
      <c r="AN3204" s="111"/>
      <c r="AO3204" s="28"/>
      <c r="AP3204" s="96">
        <f ca="1">(AP3196/(N_9*AP$27*AP3198*0.667))*SQRT(M*'Valve Sizing'!$W$6*'Valve Sizing'!$G$8/AP3205)</f>
        <v>-108.27915120875258</v>
      </c>
      <c r="AQ3204" s="111"/>
      <c r="AR3204" s="28"/>
      <c r="AS3204" s="96">
        <f ca="1">(AS3196/(N_9*AS$27*AS3198*0.667))*SQRT(M*'Valve Sizing'!$W$6*'Valve Sizing'!$G$8/AS3205)</f>
        <v>-151.15685465804023</v>
      </c>
      <c r="AT3204" s="111"/>
      <c r="AU3204" s="28"/>
    </row>
    <row r="3205" spans="15:47" ht="15.6" x14ac:dyDescent="0.35">
      <c r="O3205" s="2" t="s">
        <v>68</v>
      </c>
      <c r="P3205" s="143">
        <v>10</v>
      </c>
      <c r="Q3205" s="2"/>
      <c r="R3205" s="96">
        <f ca="1">F_GAMMA*R$29</f>
        <v>0.64002969751372984</v>
      </c>
      <c r="S3205" s="107"/>
      <c r="T3205" s="1"/>
      <c r="U3205" s="96">
        <f ca="1">F_GAMMA*U$29</f>
        <v>0.64017842058782071</v>
      </c>
      <c r="V3205" s="111"/>
      <c r="W3205" s="28"/>
      <c r="X3205" s="96">
        <f ca="1">F_GAMMA*X$29</f>
        <v>0.63413873724904268</v>
      </c>
      <c r="Y3205" s="111"/>
      <c r="Z3205" s="28"/>
      <c r="AA3205" s="96">
        <f ca="1">F_GAMMA*AA$29</f>
        <v>0.62532411750377137</v>
      </c>
      <c r="AB3205" s="111"/>
      <c r="AC3205" s="28"/>
      <c r="AD3205" s="96">
        <f ca="1">F_GAMMA*AD$29</f>
        <v>0.60651359509139569</v>
      </c>
      <c r="AE3205" s="111"/>
      <c r="AF3205" s="28"/>
      <c r="AG3205" s="96">
        <f ca="1">F_GAMMA*AG$29</f>
        <v>0.57217930198481592</v>
      </c>
      <c r="AH3205" s="111"/>
      <c r="AI3205" s="28"/>
      <c r="AJ3205" s="96">
        <f ca="1">F_GAMMA*AJ$29</f>
        <v>0.53183282018848232</v>
      </c>
      <c r="AK3205" s="111"/>
      <c r="AL3205" s="28"/>
      <c r="AM3205" s="96">
        <f ca="1">F_GAMMA*AM$29</f>
        <v>0.47566512503094399</v>
      </c>
      <c r="AN3205" s="111"/>
      <c r="AO3205" s="28"/>
      <c r="AP3205" s="96">
        <f ca="1">F_GAMMA*AP$29</f>
        <v>0.59054158265645496</v>
      </c>
      <c r="AQ3205" s="111"/>
      <c r="AR3205" s="28"/>
      <c r="AS3205" s="96">
        <f ca="1">F_GAMMA*AS$29</f>
        <v>0.3766899554102966</v>
      </c>
      <c r="AT3205" s="111"/>
      <c r="AU3205" s="28"/>
    </row>
    <row r="3206" spans="15:47" x14ac:dyDescent="0.25">
      <c r="O3206" s="2" t="s">
        <v>145</v>
      </c>
      <c r="P3206" s="12"/>
      <c r="Q3206" s="2"/>
      <c r="R3206" s="96">
        <f ca="1">IF(R3201&lt;R3205,R3203,R3204)</f>
        <v>11.329706366442085</v>
      </c>
      <c r="S3206" s="116"/>
      <c r="T3206" s="1"/>
      <c r="U3206" s="96">
        <f ca="1">IF(U3201&lt;U3205,U3203,U3204)</f>
        <v>46.691833851957533</v>
      </c>
      <c r="V3206" s="111"/>
      <c r="W3206" s="28"/>
      <c r="X3206" s="96">
        <f ca="1">IF(X3201&lt;X3205,X3203,X3204)</f>
        <v>149.4367282417505</v>
      </c>
      <c r="Y3206" s="111"/>
      <c r="Z3206" s="28"/>
      <c r="AA3206" s="96" t="e">
        <f ca="1">IF(AA3201&lt;AA3205,AA3203,AA3204)</f>
        <v>#NUM!</v>
      </c>
      <c r="AB3206" s="111"/>
      <c r="AC3206" s="28"/>
      <c r="AD3206" s="96">
        <f ca="1">IF(AD3201&lt;AD3205,AD3203,AD3204)</f>
        <v>-567.9829473176078</v>
      </c>
      <c r="AE3206" s="111"/>
      <c r="AF3206" s="28"/>
      <c r="AG3206" s="96">
        <f ca="1">IF(AG3201&lt;AG3205,AG3203,AG3204)</f>
        <v>-216.20540137655334</v>
      </c>
      <c r="AH3206" s="111"/>
      <c r="AI3206" s="28"/>
      <c r="AJ3206" s="96">
        <f ca="1">IF(AJ3201&lt;AJ3205,AJ3203,AJ3204)</f>
        <v>-147.15776833663321</v>
      </c>
      <c r="AK3206" s="111"/>
      <c r="AL3206" s="28"/>
      <c r="AM3206" s="96">
        <f ca="1">IF(AM3201&lt;AM3205,AM3203,AM3204)</f>
        <v>-127.03319064363018</v>
      </c>
      <c r="AN3206" s="111"/>
      <c r="AO3206" s="28"/>
      <c r="AP3206" s="96">
        <f ca="1">IF(AP3201&lt;AP3205,AP3203,AP3204)</f>
        <v>-108.27915120875258</v>
      </c>
      <c r="AQ3206" s="111"/>
      <c r="AR3206" s="28"/>
      <c r="AS3206" s="96">
        <f ca="1">IF(AS3201&lt;AS3205,AS3203,AS3204)</f>
        <v>-151.15685465804023</v>
      </c>
      <c r="AT3206" s="111"/>
      <c r="AU3206" s="28"/>
    </row>
    <row r="3207" spans="15:47" x14ac:dyDescent="0.25">
      <c r="O3207" s="13" t="s">
        <v>143</v>
      </c>
      <c r="P3207" s="1"/>
      <c r="Q3207" s="1"/>
      <c r="R3207" s="113"/>
      <c r="S3207" s="106">
        <f ca="1">IF(R3200&lt;=0,Q_max,ABS(R$23-R3206))</f>
        <v>6.599706366442085</v>
      </c>
      <c r="T3207" s="7">
        <f>R3196</f>
        <v>27985.010987269041</v>
      </c>
      <c r="U3207" s="98"/>
      <c r="V3207" s="106">
        <f ca="1">IF(U3200&lt;=0,Q_max,ABS(U$23-U3206))</f>
        <v>35.091833851957531</v>
      </c>
      <c r="W3207" s="9">
        <f ca="1">U3196</f>
        <v>110955.38867961634</v>
      </c>
      <c r="X3207" s="98"/>
      <c r="Y3207" s="106">
        <f ca="1">IF(X3200&lt;=0,Q_max,ABS(X$23-X3206))</f>
        <v>126.4367282417505</v>
      </c>
      <c r="Z3207" s="9">
        <f ca="1">X3196</f>
        <v>271688.99014923093</v>
      </c>
      <c r="AA3207" s="98"/>
      <c r="AB3207" s="106">
        <f ca="1">IF(AA3200&lt;=0,Q_max,ABS(AA$23-AA3206))</f>
        <v>236393</v>
      </c>
      <c r="AC3207" s="9">
        <f ca="1">AA3196</f>
        <v>529180.80544210959</v>
      </c>
      <c r="AD3207" s="98"/>
      <c r="AE3207" s="106">
        <f ca="1">IF(AD3200&lt;=0,Q_max,ABS(AD$23-AD3206))</f>
        <v>236393</v>
      </c>
      <c r="AF3207" s="9">
        <f ca="1">AD3196</f>
        <v>887800.77474106511</v>
      </c>
      <c r="AG3207" s="98"/>
      <c r="AH3207" s="106">
        <f ca="1">IF(AG3200&lt;=0,Q_max,ABS(AG$23-AG3206))</f>
        <v>236393</v>
      </c>
      <c r="AI3207" s="9">
        <f ca="1">AG3196</f>
        <v>1295769.4110023505</v>
      </c>
      <c r="AJ3207" s="98"/>
      <c r="AK3207" s="106">
        <f ca="1">IF(AJ3200&lt;=0,Q_max,ABS(AJ$23-AJ3206))</f>
        <v>236393</v>
      </c>
      <c r="AL3207" s="9">
        <f ca="1">AJ3196</f>
        <v>1729209.3021198777</v>
      </c>
      <c r="AM3207" s="98"/>
      <c r="AN3207" s="106">
        <f ca="1">IF(AM3200&lt;=0,Q_max,ABS(AM$23-AM3206))</f>
        <v>236393</v>
      </c>
      <c r="AO3207" s="9">
        <f ca="1">AM3196</f>
        <v>2109963.9674320496</v>
      </c>
      <c r="AP3207" s="98"/>
      <c r="AQ3207" s="106">
        <f ca="1">IF(AP3200&lt;=0,Q_max,ABS(AP$23-AP3206))</f>
        <v>236393</v>
      </c>
      <c r="AR3207" s="9">
        <f ca="1">AP3196</f>
        <v>2449602.6631379239</v>
      </c>
      <c r="AS3207" s="98"/>
      <c r="AT3207" s="106">
        <f ca="1">IF(AS3200&lt;=0,Q_max,ABS(AS$23-AS3206))</f>
        <v>236393</v>
      </c>
      <c r="AU3207" s="9">
        <f ca="1">AS3196</f>
        <v>2872351.7713437499</v>
      </c>
    </row>
    <row r="3208" spans="15:47" x14ac:dyDescent="0.25">
      <c r="O3208" s="21"/>
      <c r="P3208" s="14"/>
      <c r="Q3208" s="21"/>
      <c r="R3208" s="97"/>
      <c r="S3208" s="106"/>
      <c r="T3208" s="28"/>
      <c r="U3208" s="97"/>
      <c r="V3208" s="111"/>
      <c r="W3208" s="28"/>
      <c r="X3208" s="97"/>
      <c r="Y3208" s="111"/>
      <c r="Z3208" s="28"/>
      <c r="AA3208" s="97"/>
      <c r="AB3208" s="111"/>
      <c r="AC3208" s="28"/>
      <c r="AD3208" s="97"/>
      <c r="AE3208" s="111"/>
      <c r="AF3208" s="28"/>
      <c r="AG3208" s="97"/>
      <c r="AH3208" s="111"/>
      <c r="AI3208" s="28"/>
      <c r="AJ3208" s="97"/>
      <c r="AK3208" s="111"/>
      <c r="AL3208" s="28"/>
      <c r="AM3208" s="97"/>
      <c r="AN3208" s="111"/>
      <c r="AO3208" s="28"/>
      <c r="AP3208" s="97"/>
      <c r="AQ3208" s="111"/>
      <c r="AR3208" s="28"/>
      <c r="AS3208" s="97"/>
      <c r="AT3208" s="111"/>
      <c r="AU3208" s="28"/>
    </row>
    <row r="3209" spans="15:47" x14ac:dyDescent="0.25">
      <c r="O3209" s="1"/>
      <c r="P3209" s="1"/>
      <c r="Q3209" s="1"/>
      <c r="R3209" s="98"/>
      <c r="S3209" s="108" t="s">
        <v>137</v>
      </c>
      <c r="T3209" s="26" t="s">
        <v>146</v>
      </c>
      <c r="U3209" s="98"/>
      <c r="V3209" s="108" t="s">
        <v>137</v>
      </c>
      <c r="W3209" s="26" t="s">
        <v>146</v>
      </c>
      <c r="X3209" s="98"/>
      <c r="Y3209" s="108" t="s">
        <v>137</v>
      </c>
      <c r="Z3209" s="26" t="s">
        <v>146</v>
      </c>
      <c r="AA3209" s="98"/>
      <c r="AB3209" s="108" t="s">
        <v>137</v>
      </c>
      <c r="AC3209" s="26" t="s">
        <v>146</v>
      </c>
      <c r="AD3209" s="98"/>
      <c r="AE3209" s="108" t="s">
        <v>137</v>
      </c>
      <c r="AF3209" s="26" t="s">
        <v>146</v>
      </c>
      <c r="AG3209" s="98"/>
      <c r="AH3209" s="108" t="s">
        <v>137</v>
      </c>
      <c r="AI3209" s="26" t="s">
        <v>146</v>
      </c>
      <c r="AJ3209" s="98"/>
      <c r="AK3209" s="108" t="s">
        <v>137</v>
      </c>
      <c r="AL3209" s="26" t="s">
        <v>146</v>
      </c>
      <c r="AM3209" s="98"/>
      <c r="AN3209" s="108" t="s">
        <v>137</v>
      </c>
      <c r="AO3209" s="26" t="s">
        <v>146</v>
      </c>
      <c r="AP3209" s="98"/>
      <c r="AQ3209" s="108" t="s">
        <v>137</v>
      </c>
      <c r="AR3209" s="26" t="s">
        <v>146</v>
      </c>
      <c r="AS3209" s="98"/>
      <c r="AT3209" s="108" t="s">
        <v>137</v>
      </c>
      <c r="AU3209" s="26" t="s">
        <v>146</v>
      </c>
    </row>
    <row r="3210" spans="15:47" ht="13.8" x14ac:dyDescent="0.25">
      <c r="O3210" s="20" t="s">
        <v>136</v>
      </c>
      <c r="P3210" s="1"/>
      <c r="Q3210" s="1"/>
      <c r="R3210" s="96">
        <f>R3196*1.02</f>
        <v>28544.711207014421</v>
      </c>
      <c r="S3210" s="109" t="s">
        <v>144</v>
      </c>
      <c r="T3210" s="23" t="s">
        <v>147</v>
      </c>
      <c r="U3210" s="96">
        <f ca="1">U3196*1.01</f>
        <v>112064.9425664125</v>
      </c>
      <c r="V3210" s="109" t="s">
        <v>144</v>
      </c>
      <c r="W3210" s="23" t="s">
        <v>147</v>
      </c>
      <c r="X3210" s="96">
        <f ca="1">X3196*1.01</f>
        <v>274405.88005072327</v>
      </c>
      <c r="Y3210" s="109" t="s">
        <v>144</v>
      </c>
      <c r="Z3210" s="23" t="s">
        <v>147</v>
      </c>
      <c r="AA3210" s="96">
        <f ca="1">AA3196*1.01</f>
        <v>534472.61349653068</v>
      </c>
      <c r="AB3210" s="109" t="s">
        <v>144</v>
      </c>
      <c r="AC3210" s="23" t="s">
        <v>147</v>
      </c>
      <c r="AD3210" s="96">
        <f ca="1">AD3196*1.01</f>
        <v>896678.78248847579</v>
      </c>
      <c r="AE3210" s="109" t="s">
        <v>144</v>
      </c>
      <c r="AF3210" s="23" t="s">
        <v>147</v>
      </c>
      <c r="AG3210" s="96">
        <f ca="1">AG3196*1.01</f>
        <v>1308727.1051123741</v>
      </c>
      <c r="AH3210" s="109" t="s">
        <v>144</v>
      </c>
      <c r="AI3210" s="23" t="s">
        <v>147</v>
      </c>
      <c r="AJ3210" s="96">
        <f ca="1">AJ3196*1.01</f>
        <v>1746501.3951410765</v>
      </c>
      <c r="AK3210" s="109" t="s">
        <v>144</v>
      </c>
      <c r="AL3210" s="23" t="s">
        <v>147</v>
      </c>
      <c r="AM3210" s="96">
        <f ca="1">AM3196*1.01</f>
        <v>2131063.6071063699</v>
      </c>
      <c r="AN3210" s="109" t="s">
        <v>144</v>
      </c>
      <c r="AO3210" s="23" t="s">
        <v>147</v>
      </c>
      <c r="AP3210" s="96">
        <f ca="1">AP3196*1.01</f>
        <v>2474098.689769303</v>
      </c>
      <c r="AQ3210" s="109" t="s">
        <v>144</v>
      </c>
      <c r="AR3210" s="23" t="s">
        <v>147</v>
      </c>
      <c r="AS3210" s="96">
        <f ca="1">AS3196*1.01</f>
        <v>2901075.2890571873</v>
      </c>
      <c r="AT3210" s="109" t="s">
        <v>144</v>
      </c>
      <c r="AU3210" s="23" t="s">
        <v>147</v>
      </c>
    </row>
    <row r="3211" spans="15:47" x14ac:dyDescent="0.25">
      <c r="O3211" s="1"/>
      <c r="P3211" s="1"/>
      <c r="Q3211" s="1"/>
      <c r="R3211" s="98"/>
      <c r="S3211" s="107"/>
      <c r="T3211" s="1"/>
      <c r="U3211" s="47"/>
      <c r="V3211" s="107"/>
      <c r="W3211" s="1"/>
      <c r="X3211" s="47"/>
      <c r="Y3211" s="107"/>
      <c r="Z3211" s="1"/>
      <c r="AA3211" s="47"/>
      <c r="AB3211" s="107"/>
      <c r="AC3211" s="1"/>
      <c r="AD3211" s="47"/>
      <c r="AE3211" s="107"/>
      <c r="AF3211" s="1"/>
      <c r="AG3211" s="47"/>
      <c r="AH3211" s="107"/>
      <c r="AI3211" s="1"/>
      <c r="AJ3211" s="47"/>
      <c r="AK3211" s="107"/>
      <c r="AL3211" s="1"/>
      <c r="AM3211" s="47"/>
      <c r="AN3211" s="107"/>
      <c r="AO3211" s="1"/>
      <c r="AP3211" s="47"/>
      <c r="AQ3211" s="107"/>
      <c r="AR3211" s="1"/>
      <c r="AS3211" s="47"/>
      <c r="AT3211" s="107"/>
      <c r="AU3211" s="1"/>
    </row>
    <row r="3212" spans="15:47" x14ac:dyDescent="0.25">
      <c r="O3212" s="8" t="s">
        <v>132</v>
      </c>
      <c r="P3212" s="8"/>
      <c r="Q3212" s="8"/>
      <c r="R3212" s="96">
        <f>P_1_minQ-(R3210^2*R_up)+dpup_minQ</f>
        <v>90.036534241772245</v>
      </c>
      <c r="S3212" s="106"/>
      <c r="T3212" s="22"/>
      <c r="U3212" s="96">
        <f ca="1">P_1_minQ-(U3210^2*R_up)+dpup_minQ</f>
        <v>87.896107517399017</v>
      </c>
      <c r="V3212" s="107"/>
      <c r="W3212" s="1"/>
      <c r="X3212" s="96">
        <f ca="1">P_1_minQ-(X3210^2*R_up)+dpup_minQ</f>
        <v>76.46105145031234</v>
      </c>
      <c r="Y3212" s="107"/>
      <c r="Z3212" s="1"/>
      <c r="AA3212" s="96">
        <f ca="1">P_1_minQ-(AA3210^2*R_up)+dpup_minQ</f>
        <v>38.120211009112111</v>
      </c>
      <c r="AB3212" s="107"/>
      <c r="AC3212" s="1"/>
      <c r="AD3212" s="96">
        <f ca="1">P_1_minQ-(AD3210^2*R_up)+dpup_minQ</f>
        <v>-56.358717335107485</v>
      </c>
      <c r="AE3212" s="107"/>
      <c r="AF3212" s="1"/>
      <c r="AG3212" s="96">
        <f ca="1">P_1_minQ-(AG3210^2*R_up)+dpup_minQ</f>
        <v>-221.9853671591988</v>
      </c>
      <c r="AH3212" s="107"/>
      <c r="AI3212" s="1"/>
      <c r="AJ3212" s="96">
        <f ca="1">P_1_minQ-(AJ3210^2*R_up)+dpup_minQ</f>
        <v>-465.75942475632229</v>
      </c>
      <c r="AK3212" s="107"/>
      <c r="AL3212" s="1"/>
      <c r="AM3212" s="96">
        <f ca="1">P_1_minQ-(AM3210^2*R_up)+dpup_minQ</f>
        <v>-737.54051172402592</v>
      </c>
      <c r="AN3212" s="107"/>
      <c r="AO3212" s="1"/>
      <c r="AP3212" s="96">
        <f ca="1">P_1_minQ-(AP3210^2*R_up)+dpup_minQ</f>
        <v>-1025.4639472690076</v>
      </c>
      <c r="AQ3212" s="107"/>
      <c r="AR3212" s="1"/>
      <c r="AS3212" s="96">
        <f ca="1">P_1_minQ-(AS3210^2*R_up)+dpup_minQ</f>
        <v>-1443.766135756995</v>
      </c>
      <c r="AT3212" s="107"/>
      <c r="AU3212" s="1"/>
    </row>
    <row r="3213" spans="15:47" x14ac:dyDescent="0.25">
      <c r="O3213" s="8" t="s">
        <v>134</v>
      </c>
      <c r="P3213" s="1"/>
      <c r="Q3213" s="8"/>
      <c r="R3213" s="97">
        <f>P_2_minQ+(R3210^2*R_dn)-dpdn_minQ</f>
        <v>60</v>
      </c>
      <c r="S3213" s="106"/>
      <c r="T3213" s="22"/>
      <c r="U3213" s="97">
        <f ca="1">P_2_minQ+(U3210^2*R_dn)-dpdn_minQ</f>
        <v>60</v>
      </c>
      <c r="V3213" s="107"/>
      <c r="W3213" s="1"/>
      <c r="X3213" s="97">
        <f ca="1">P_2_minQ+(X3210^2*R_dn)-dpdn_minQ</f>
        <v>60</v>
      </c>
      <c r="Y3213" s="107"/>
      <c r="Z3213" s="1"/>
      <c r="AA3213" s="97">
        <f ca="1">P_2_minQ+(AA3210^2*R_dn)-dpdn_minQ</f>
        <v>60</v>
      </c>
      <c r="AB3213" s="107"/>
      <c r="AC3213" s="1"/>
      <c r="AD3213" s="97">
        <f ca="1">P_2_minQ+(AD3210^2*R_dn)-dpdn_minQ</f>
        <v>60</v>
      </c>
      <c r="AE3213" s="107"/>
      <c r="AF3213" s="1"/>
      <c r="AG3213" s="97">
        <f ca="1">P_2_minQ+(AG3210^2*R_dn)-dpdn_minQ</f>
        <v>60</v>
      </c>
      <c r="AH3213" s="107"/>
      <c r="AI3213" s="1"/>
      <c r="AJ3213" s="97">
        <f ca="1">P_2_minQ+(AJ3210^2*R_dn)-dpdn_minQ</f>
        <v>60</v>
      </c>
      <c r="AK3213" s="107"/>
      <c r="AL3213" s="1"/>
      <c r="AM3213" s="97">
        <f ca="1">P_2_minQ+(AM3210^2*R_dn)-dpdn_minQ</f>
        <v>60</v>
      </c>
      <c r="AN3213" s="107"/>
      <c r="AO3213" s="1"/>
      <c r="AP3213" s="97">
        <f ca="1">P_2_minQ+(AP3210^2*R_dn)-dpdn_minQ</f>
        <v>60</v>
      </c>
      <c r="AQ3213" s="107"/>
      <c r="AR3213" s="1"/>
      <c r="AS3213" s="97">
        <f ca="1">P_2_minQ+(AS3210^2*R_dn)-dpdn_minQ</f>
        <v>60</v>
      </c>
      <c r="AT3213" s="107"/>
      <c r="AU3213" s="1"/>
    </row>
    <row r="3214" spans="15:47" x14ac:dyDescent="0.25">
      <c r="O3214" s="8" t="s">
        <v>138</v>
      </c>
      <c r="P3214" s="1"/>
      <c r="Q3214" s="8"/>
      <c r="R3214" s="97">
        <f>R3212-R3213</f>
        <v>30.036534241772245</v>
      </c>
      <c r="S3214" s="106"/>
      <c r="T3214" s="22"/>
      <c r="U3214" s="97">
        <f ca="1">U3212-U3213</f>
        <v>27.896107517399017</v>
      </c>
      <c r="V3214" s="110"/>
      <c r="W3214" s="25"/>
      <c r="X3214" s="97">
        <f ca="1">X3212-X3213</f>
        <v>16.46105145031234</v>
      </c>
      <c r="Y3214" s="110"/>
      <c r="Z3214" s="25"/>
      <c r="AA3214" s="97">
        <f ca="1">AA3212-AA3213</f>
        <v>-21.879788990887889</v>
      </c>
      <c r="AB3214" s="110"/>
      <c r="AC3214" s="25"/>
      <c r="AD3214" s="97">
        <f ca="1">AD3212-AD3213</f>
        <v>-116.35871733510749</v>
      </c>
      <c r="AE3214" s="110"/>
      <c r="AF3214" s="25"/>
      <c r="AG3214" s="97">
        <f ca="1">AG3212-AG3213</f>
        <v>-281.9853671591988</v>
      </c>
      <c r="AH3214" s="110"/>
      <c r="AI3214" s="25"/>
      <c r="AJ3214" s="97">
        <f ca="1">AJ3212-AJ3213</f>
        <v>-525.75942475632223</v>
      </c>
      <c r="AK3214" s="110"/>
      <c r="AL3214" s="25"/>
      <c r="AM3214" s="97">
        <f ca="1">AM3212-AM3213</f>
        <v>-797.54051172402592</v>
      </c>
      <c r="AN3214" s="110"/>
      <c r="AO3214" s="25"/>
      <c r="AP3214" s="97">
        <f ca="1">AP3212-AP3213</f>
        <v>-1085.4639472690076</v>
      </c>
      <c r="AQ3214" s="110"/>
      <c r="AR3214" s="25"/>
      <c r="AS3214" s="97">
        <f ca="1">AS3212-AS3213</f>
        <v>-1503.766135756995</v>
      </c>
      <c r="AT3214" s="110"/>
      <c r="AU3214" s="25"/>
    </row>
    <row r="3215" spans="15:47" ht="14.4" x14ac:dyDescent="0.3">
      <c r="O3215" s="2" t="s">
        <v>140</v>
      </c>
      <c r="P3215" s="11"/>
      <c r="Q3215" s="2"/>
      <c r="R3215" s="96">
        <f>R3214/R3212</f>
        <v>0.33360384753500277</v>
      </c>
      <c r="S3215" s="106"/>
      <c r="T3215" s="22"/>
      <c r="U3215" s="96">
        <f ca="1">U3214/U3212</f>
        <v>0.31737591464874582</v>
      </c>
      <c r="V3215" s="111"/>
      <c r="W3215" s="28"/>
      <c r="X3215" s="96">
        <f ca="1">X3214/X3212</f>
        <v>0.21528675238018974</v>
      </c>
      <c r="Y3215" s="111"/>
      <c r="Z3215" s="28"/>
      <c r="AA3215" s="96">
        <f ca="1">AA3214/AA3212</f>
        <v>-0.57396820247552738</v>
      </c>
      <c r="AB3215" s="111"/>
      <c r="AC3215" s="28"/>
      <c r="AD3215" s="96">
        <f ca="1">AD3214/AD3212</f>
        <v>2.0646090407494824</v>
      </c>
      <c r="AE3215" s="111"/>
      <c r="AF3215" s="28"/>
      <c r="AG3215" s="96">
        <f ca="1">AG3214/AG3212</f>
        <v>1.2702880859573527</v>
      </c>
      <c r="AH3215" s="111"/>
      <c r="AI3215" s="28"/>
      <c r="AJ3215" s="96">
        <f ca="1">AJ3214/AJ3212</f>
        <v>1.1288218698556469</v>
      </c>
      <c r="AK3215" s="111"/>
      <c r="AL3215" s="28"/>
      <c r="AM3215" s="96">
        <f ca="1">AM3214/AM3212</f>
        <v>1.0813514634738477</v>
      </c>
      <c r="AN3215" s="111"/>
      <c r="AO3215" s="28"/>
      <c r="AP3215" s="96">
        <f ca="1">AP3214/AP3212</f>
        <v>1.0585101018517429</v>
      </c>
      <c r="AQ3215" s="111"/>
      <c r="AR3215" s="28"/>
      <c r="AS3215" s="96">
        <f ca="1">AS3214/AS3212</f>
        <v>1.0415579770947743</v>
      </c>
      <c r="AT3215" s="111"/>
      <c r="AU3215" s="28"/>
    </row>
    <row r="3216" spans="15:47" x14ac:dyDescent="0.25">
      <c r="O3216" s="2" t="s">
        <v>21</v>
      </c>
      <c r="P3216" s="8">
        <v>12</v>
      </c>
      <c r="Q3216" s="2"/>
      <c r="R3216" s="96">
        <f ca="1">1-R3215/(3*F_GAMMA*R$29)</f>
        <v>0.8262560582053583</v>
      </c>
      <c r="S3216" s="106"/>
      <c r="T3216" s="22"/>
      <c r="U3216" s="96">
        <f ca="1">1-U3215/(3*F_GAMMA*U$29)</f>
        <v>0.83474611429038448</v>
      </c>
      <c r="V3216" s="111"/>
      <c r="W3216" s="28"/>
      <c r="X3216" s="96">
        <f ca="1">1-X3215/(3*F_GAMMA*X$29)</f>
        <v>0.88683509368200975</v>
      </c>
      <c r="Y3216" s="111"/>
      <c r="Z3216" s="28"/>
      <c r="AA3216" s="96">
        <f ca="1">1-AA3215/(3*F_GAMMA*AA$29)</f>
        <v>1.3059577086555521</v>
      </c>
      <c r="AB3216" s="111"/>
      <c r="AC3216" s="28"/>
      <c r="AD3216" s="96">
        <f ca="1">1-AD3215/(3*F_GAMMA*AD$29)</f>
        <v>-0.13468687124722289</v>
      </c>
      <c r="AE3216" s="111"/>
      <c r="AF3216" s="28"/>
      <c r="AG3216" s="96">
        <f ca="1">1-AG3215/(3*F_GAMMA*AG$29)</f>
        <v>0.2599708508906865</v>
      </c>
      <c r="AH3216" s="111"/>
      <c r="AI3216" s="28"/>
      <c r="AJ3216" s="96">
        <f ca="1">1-AJ3215/(3*F_GAMMA*AJ$29)</f>
        <v>0.29249579504101131</v>
      </c>
      <c r="AK3216" s="111"/>
      <c r="AL3216" s="28"/>
      <c r="AM3216" s="96">
        <f ca="1">1-AM3215/(3*F_GAMMA*AM$29)</f>
        <v>0.24221796205646329</v>
      </c>
      <c r="AN3216" s="111"/>
      <c r="AO3216" s="28"/>
      <c r="AP3216" s="96">
        <f ca="1">1-AP3215/(3*F_GAMMA*AP$29)</f>
        <v>0.40252014256122437</v>
      </c>
      <c r="AQ3216" s="111"/>
      <c r="AR3216" s="28"/>
      <c r="AS3216" s="96">
        <f ca="1">1-AS3215/(3*F_GAMMA*AS$29)</f>
        <v>7.8324262756716445E-2</v>
      </c>
      <c r="AT3216" s="111"/>
      <c r="AU3216" s="28"/>
    </row>
    <row r="3217" spans="15:47" x14ac:dyDescent="0.25">
      <c r="O3217" s="2" t="s">
        <v>57</v>
      </c>
      <c r="P3217" s="143">
        <v>7</v>
      </c>
      <c r="Q3217" s="2"/>
      <c r="R3217" s="96">
        <f ca="1">(R3210/(N_9*R$27*R3212*R3216))*SQRT(M*'Valve Sizing'!$W$6*'Valve Sizing'!$G$8/R3215)</f>
        <v>11.557468969849328</v>
      </c>
      <c r="S3217" s="107"/>
      <c r="T3217" s="22"/>
      <c r="U3217" s="96">
        <f ca="1">(U3210/(N_9*U$27*U3212*U3216))*SQRT(M*'Valve Sizing'!$W$6*'Valve Sizing'!$G$8/U3215)</f>
        <v>47.198656793315877</v>
      </c>
      <c r="V3217" s="111"/>
      <c r="W3217" s="28"/>
      <c r="X3217" s="96">
        <f ca="1">(X3210/(N_9*X$27*X3212*X3216))*SQRT(M*'Valve Sizing'!$W$6*'Valve Sizing'!$G$8/X3215)</f>
        <v>152.18474531119404</v>
      </c>
      <c r="Y3217" s="111"/>
      <c r="Z3217" s="28"/>
      <c r="AA3217" s="96" t="e">
        <f ca="1">(AA3210/(N_9*AA$27*AA3212*AA3216))*SQRT(M*'Valve Sizing'!$W$6*'Valve Sizing'!$G$8/AA3215)</f>
        <v>#NUM!</v>
      </c>
      <c r="AB3217" s="111"/>
      <c r="AC3217" s="28"/>
      <c r="AD3217" s="96">
        <f ca="1">(AD3210/(N_9*AD$27*AD3212*AD3216))*SQRT(M*'Valve Sizing'!$W$6*'Valve Sizing'!$G$8/AD3215)</f>
        <v>1460.8904237687573</v>
      </c>
      <c r="AE3217" s="111"/>
      <c r="AF3217" s="28"/>
      <c r="AG3217" s="96">
        <f ca="1">(AG3210/(N_9*AG$27*AG3212*AG3216))*SQRT(M*'Valve Sizing'!$W$6*'Valve Sizing'!$G$8/AG3215)</f>
        <v>-365.59506204230428</v>
      </c>
      <c r="AH3217" s="111"/>
      <c r="AI3217" s="28"/>
      <c r="AJ3217" s="96">
        <f ca="1">(AJ3210/(N_9*AJ$27*AJ3212*AJ3216))*SQRT(M*'Valve Sizing'!$W$6*'Valve Sizing'!$G$8/AJ3215)</f>
        <v>-227.16913771685694</v>
      </c>
      <c r="AK3217" s="111"/>
      <c r="AL3217" s="28"/>
      <c r="AM3217" s="96">
        <f ca="1">(AM3210/(N_9*AM$27*AM3212*AM3216))*SQRT(M*'Valve Sizing'!$W$6*'Valve Sizing'!$G$8/AM3215)</f>
        <v>-229.14681306510636</v>
      </c>
      <c r="AN3217" s="111"/>
      <c r="AO3217" s="28"/>
      <c r="AP3217" s="96">
        <f ca="1">(AP3210/(N_9*AP$27*AP3212*AP3216))*SQRT(M*'Valve Sizing'!$W$6*'Valve Sizing'!$G$8/AP3215)</f>
        <v>-132.45581791985558</v>
      </c>
      <c r="AQ3217" s="111"/>
      <c r="AR3217" s="28"/>
      <c r="AS3217" s="96">
        <f ca="1">(AS3210/(N_9*AS$27*AS3212*AS3216))*SQRT(M*'Valve Sizing'!$W$6*'Valve Sizing'!$G$8/AS3215)</f>
        <v>-765.49201573969583</v>
      </c>
      <c r="AT3217" s="111"/>
      <c r="AU3217" s="28"/>
    </row>
    <row r="3218" spans="15:47" x14ac:dyDescent="0.25">
      <c r="O3218" s="2" t="s">
        <v>59</v>
      </c>
      <c r="P3218" s="143">
        <v>7</v>
      </c>
      <c r="Q3218" s="2"/>
      <c r="R3218" s="96">
        <f ca="1">(R3210/(N_9*R$27*R3212*0.667))*SQRT(M*'Valve Sizing'!$W$6*'Valve Sizing'!$G$8/R3219)</f>
        <v>10.336345594660544</v>
      </c>
      <c r="S3218" s="107"/>
      <c r="T3218" s="22"/>
      <c r="U3218" s="96">
        <f ca="1">(U3210/(N_9*U$27*U3212*0.667))*SQRT(M*'Valve Sizing'!$W$6*'Valve Sizing'!$G$8/U3219)</f>
        <v>41.590551476938941</v>
      </c>
      <c r="V3218" s="111"/>
      <c r="W3218" s="28"/>
      <c r="X3218" s="96">
        <f ca="1">(X3210/(N_9*X$27*X3212*0.667))*SQRT(M*'Valve Sizing'!$W$6*'Valve Sizing'!$G$8/X3219)</f>
        <v>117.8975200755457</v>
      </c>
      <c r="Y3218" s="111"/>
      <c r="Z3218" s="28"/>
      <c r="AA3218" s="96">
        <f ca="1">(AA3210/(N_9*AA$27*AA3212*0.667))*SQRT(M*'Valve Sizing'!$W$6*'Valve Sizing'!$G$8/AA3219)</f>
        <v>466.58508794103346</v>
      </c>
      <c r="AB3218" s="111"/>
      <c r="AC3218" s="28"/>
      <c r="AD3218" s="96">
        <f ca="1">(AD3210/(N_9*AD$27*AD3212*0.667))*SQRT(M*'Valve Sizing'!$W$6*'Valve Sizing'!$G$8/AD3219)</f>
        <v>-544.27165216811397</v>
      </c>
      <c r="AE3218" s="111"/>
      <c r="AF3218" s="28"/>
      <c r="AG3218" s="96">
        <f ca="1">(AG3210/(N_9*AG$27*AG3212*0.667))*SQRT(M*'Valve Sizing'!$W$6*'Valve Sizing'!$G$8/AG3219)</f>
        <v>-212.31671378113626</v>
      </c>
      <c r="AH3218" s="111"/>
      <c r="AI3218" s="28"/>
      <c r="AJ3218" s="96">
        <f ca="1">(AJ3210/(N_9*AJ$27*AJ3212*0.667))*SQRT(M*'Valve Sizing'!$W$6*'Valve Sizing'!$G$8/AJ3219)</f>
        <v>-145.13369848841438</v>
      </c>
      <c r="AK3218" s="111"/>
      <c r="AL3218" s="28"/>
      <c r="AM3218" s="96">
        <f ca="1">(AM3210/(N_9*AM$27*AM3212*0.667))*SQRT(M*'Valve Sizing'!$W$6*'Valve Sizing'!$G$8/AM3219)</f>
        <v>-125.46630673602874</v>
      </c>
      <c r="AN3218" s="111"/>
      <c r="AO3218" s="28"/>
      <c r="AP3218" s="96">
        <f ca="1">(AP3210/(N_9*AP$27*AP3212*0.667))*SQRT(M*'Valve Sizing'!$W$6*'Valve Sizing'!$G$8/AP3219)</f>
        <v>-107.01756974873828</v>
      </c>
      <c r="AQ3218" s="111"/>
      <c r="AR3218" s="28"/>
      <c r="AS3218" s="96">
        <f ca="1">(AS3210/(N_9*AS$27*AS3212*0.667))*SQRT(M*'Valve Sizing'!$W$6*'Valve Sizing'!$G$8/AS3219)</f>
        <v>-149.47234633741297</v>
      </c>
      <c r="AT3218" s="111"/>
      <c r="AU3218" s="28"/>
    </row>
    <row r="3219" spans="15:47" ht="15.6" x14ac:dyDescent="0.35">
      <c r="O3219" s="2" t="s">
        <v>68</v>
      </c>
      <c r="P3219" s="143">
        <v>10</v>
      </c>
      <c r="Q3219" s="2"/>
      <c r="R3219" s="96">
        <f ca="1">F_GAMMA*R$29</f>
        <v>0.64002969751372984</v>
      </c>
      <c r="S3219" s="107"/>
      <c r="T3219" s="1"/>
      <c r="U3219" s="96">
        <f ca="1">F_GAMMA*U$29</f>
        <v>0.64017842058782071</v>
      </c>
      <c r="V3219" s="111"/>
      <c r="W3219" s="28"/>
      <c r="X3219" s="96">
        <f ca="1">F_GAMMA*X$29</f>
        <v>0.63413873724904268</v>
      </c>
      <c r="Y3219" s="111"/>
      <c r="Z3219" s="28"/>
      <c r="AA3219" s="96">
        <f ca="1">F_GAMMA*AA$29</f>
        <v>0.62532411750377137</v>
      </c>
      <c r="AB3219" s="111"/>
      <c r="AC3219" s="28"/>
      <c r="AD3219" s="96">
        <f ca="1">F_GAMMA*AD$29</f>
        <v>0.60651359509139569</v>
      </c>
      <c r="AE3219" s="111"/>
      <c r="AF3219" s="28"/>
      <c r="AG3219" s="96">
        <f ca="1">F_GAMMA*AG$29</f>
        <v>0.57217930198481592</v>
      </c>
      <c r="AH3219" s="111"/>
      <c r="AI3219" s="28"/>
      <c r="AJ3219" s="96">
        <f ca="1">F_GAMMA*AJ$29</f>
        <v>0.53183282018848232</v>
      </c>
      <c r="AK3219" s="111"/>
      <c r="AL3219" s="28"/>
      <c r="AM3219" s="96">
        <f ca="1">F_GAMMA*AM$29</f>
        <v>0.47566512503094399</v>
      </c>
      <c r="AN3219" s="111"/>
      <c r="AO3219" s="28"/>
      <c r="AP3219" s="96">
        <f ca="1">F_GAMMA*AP$29</f>
        <v>0.59054158265645496</v>
      </c>
      <c r="AQ3219" s="111"/>
      <c r="AR3219" s="28"/>
      <c r="AS3219" s="96">
        <f ca="1">F_GAMMA*AS$29</f>
        <v>0.3766899554102966</v>
      </c>
      <c r="AT3219" s="111"/>
      <c r="AU3219" s="28"/>
    </row>
    <row r="3220" spans="15:47" x14ac:dyDescent="0.25">
      <c r="O3220" s="2" t="s">
        <v>145</v>
      </c>
      <c r="P3220" s="12"/>
      <c r="Q3220" s="2"/>
      <c r="R3220" s="96">
        <f ca="1">IF(R3215&lt;R3219,R3217,R3218)</f>
        <v>11.557468969849328</v>
      </c>
      <c r="S3220" s="116"/>
      <c r="T3220" s="1"/>
      <c r="U3220" s="96">
        <f ca="1">IF(U3215&lt;U3219,U3217,U3218)</f>
        <v>47.198656793315877</v>
      </c>
      <c r="V3220" s="111"/>
      <c r="W3220" s="28"/>
      <c r="X3220" s="96">
        <f ca="1">IF(X3215&lt;X3219,X3217,X3218)</f>
        <v>152.18474531119404</v>
      </c>
      <c r="Y3220" s="111"/>
      <c r="Z3220" s="28"/>
      <c r="AA3220" s="96" t="e">
        <f ca="1">IF(AA3215&lt;AA3219,AA3217,AA3218)</f>
        <v>#NUM!</v>
      </c>
      <c r="AB3220" s="111"/>
      <c r="AC3220" s="28"/>
      <c r="AD3220" s="96">
        <f ca="1">IF(AD3215&lt;AD3219,AD3217,AD3218)</f>
        <v>-544.27165216811397</v>
      </c>
      <c r="AE3220" s="111"/>
      <c r="AF3220" s="28"/>
      <c r="AG3220" s="96">
        <f ca="1">IF(AG3215&lt;AG3219,AG3217,AG3218)</f>
        <v>-212.31671378113626</v>
      </c>
      <c r="AH3220" s="111"/>
      <c r="AI3220" s="28"/>
      <c r="AJ3220" s="96">
        <f ca="1">IF(AJ3215&lt;AJ3219,AJ3217,AJ3218)</f>
        <v>-145.13369848841438</v>
      </c>
      <c r="AK3220" s="111"/>
      <c r="AL3220" s="28"/>
      <c r="AM3220" s="96">
        <f ca="1">IF(AM3215&lt;AM3219,AM3217,AM3218)</f>
        <v>-125.46630673602874</v>
      </c>
      <c r="AN3220" s="111"/>
      <c r="AO3220" s="28"/>
      <c r="AP3220" s="96">
        <f ca="1">IF(AP3215&lt;AP3219,AP3217,AP3218)</f>
        <v>-107.01756974873828</v>
      </c>
      <c r="AQ3220" s="111"/>
      <c r="AR3220" s="28"/>
      <c r="AS3220" s="96">
        <f ca="1">IF(AS3215&lt;AS3219,AS3217,AS3218)</f>
        <v>-149.47234633741297</v>
      </c>
      <c r="AT3220" s="111"/>
      <c r="AU3220" s="28"/>
    </row>
    <row r="3221" spans="15:47" x14ac:dyDescent="0.25">
      <c r="O3221" s="13" t="s">
        <v>143</v>
      </c>
      <c r="P3221" s="1"/>
      <c r="Q3221" s="1"/>
      <c r="R3221" s="113"/>
      <c r="S3221" s="106">
        <f ca="1">IF(R3214&lt;=0,Q_max,ABS(R$23-R3220))</f>
        <v>6.8274689698493276</v>
      </c>
      <c r="T3221" s="7">
        <f>R3210</f>
        <v>28544.711207014421</v>
      </c>
      <c r="U3221" s="98"/>
      <c r="V3221" s="106">
        <f ca="1">IF(U3214&lt;=0,Q_max,ABS(U$23-U3220))</f>
        <v>35.598656793315875</v>
      </c>
      <c r="W3221" s="9">
        <f ca="1">U3210</f>
        <v>112064.9425664125</v>
      </c>
      <c r="X3221" s="98"/>
      <c r="Y3221" s="106">
        <f ca="1">IF(X3214&lt;=0,Q_max,ABS(X$23-X3220))</f>
        <v>129.18474531119404</v>
      </c>
      <c r="Z3221" s="9">
        <f ca="1">X3210</f>
        <v>274405.88005072327</v>
      </c>
      <c r="AA3221" s="98"/>
      <c r="AB3221" s="106">
        <f ca="1">IF(AA3214&lt;=0,Q_max,ABS(AA$23-AA3220))</f>
        <v>236393</v>
      </c>
      <c r="AC3221" s="9">
        <f ca="1">AA3210</f>
        <v>534472.61349653068</v>
      </c>
      <c r="AD3221" s="98"/>
      <c r="AE3221" s="106">
        <f ca="1">IF(AD3214&lt;=0,Q_max,ABS(AD$23-AD3220))</f>
        <v>236393</v>
      </c>
      <c r="AF3221" s="9">
        <f ca="1">AD3210</f>
        <v>896678.78248847579</v>
      </c>
      <c r="AG3221" s="98"/>
      <c r="AH3221" s="106">
        <f ca="1">IF(AG3214&lt;=0,Q_max,ABS(AG$23-AG3220))</f>
        <v>236393</v>
      </c>
      <c r="AI3221" s="9">
        <f ca="1">AG3210</f>
        <v>1308727.1051123741</v>
      </c>
      <c r="AJ3221" s="98"/>
      <c r="AK3221" s="106">
        <f ca="1">IF(AJ3214&lt;=0,Q_max,ABS(AJ$23-AJ3220))</f>
        <v>236393</v>
      </c>
      <c r="AL3221" s="9">
        <f ca="1">AJ3210</f>
        <v>1746501.3951410765</v>
      </c>
      <c r="AM3221" s="98"/>
      <c r="AN3221" s="106">
        <f ca="1">IF(AM3214&lt;=0,Q_max,ABS(AM$23-AM3220))</f>
        <v>236393</v>
      </c>
      <c r="AO3221" s="9">
        <f ca="1">AM3210</f>
        <v>2131063.6071063699</v>
      </c>
      <c r="AP3221" s="98"/>
      <c r="AQ3221" s="106">
        <f ca="1">IF(AP3214&lt;=0,Q_max,ABS(AP$23-AP3220))</f>
        <v>236393</v>
      </c>
      <c r="AR3221" s="9">
        <f ca="1">AP3210</f>
        <v>2474098.689769303</v>
      </c>
      <c r="AS3221" s="98"/>
      <c r="AT3221" s="106">
        <f ca="1">IF(AS3214&lt;=0,Q_max,ABS(AS$23-AS3220))</f>
        <v>236393</v>
      </c>
      <c r="AU3221" s="9">
        <f ca="1">AS3210</f>
        <v>2901075.2890571873</v>
      </c>
    </row>
    <row r="3222" spans="15:47" ht="13.8" x14ac:dyDescent="0.25">
      <c r="O3222" s="21"/>
      <c r="P3222" s="21"/>
      <c r="Q3222" s="21"/>
      <c r="R3222" s="114"/>
      <c r="S3222" s="117"/>
      <c r="T3222" s="25"/>
      <c r="U3222" s="99"/>
      <c r="V3222" s="111"/>
      <c r="W3222" s="28"/>
      <c r="X3222" s="99"/>
      <c r="Y3222" s="111"/>
      <c r="Z3222" s="28"/>
      <c r="AA3222" s="99"/>
      <c r="AB3222" s="111"/>
      <c r="AC3222" s="28"/>
      <c r="AD3222" s="99"/>
      <c r="AE3222" s="111"/>
      <c r="AF3222" s="28"/>
      <c r="AG3222" s="99"/>
      <c r="AH3222" s="111"/>
      <c r="AI3222" s="28"/>
      <c r="AJ3222" s="99"/>
      <c r="AK3222" s="111"/>
      <c r="AL3222" s="28"/>
      <c r="AM3222" s="99"/>
      <c r="AN3222" s="111"/>
      <c r="AO3222" s="28"/>
      <c r="AP3222" s="99"/>
      <c r="AQ3222" s="111"/>
      <c r="AR3222" s="28"/>
      <c r="AS3222" s="99"/>
      <c r="AT3222" s="111"/>
      <c r="AU3222" s="28"/>
    </row>
    <row r="3223" spans="15:47" x14ac:dyDescent="0.25">
      <c r="O3223" s="1"/>
      <c r="P3223" s="1"/>
      <c r="Q3223" s="1"/>
      <c r="R3223" s="98"/>
      <c r="S3223" s="108" t="s">
        <v>137</v>
      </c>
      <c r="T3223" s="26" t="s">
        <v>146</v>
      </c>
      <c r="U3223" s="98"/>
      <c r="V3223" s="108" t="s">
        <v>137</v>
      </c>
      <c r="W3223" s="26" t="s">
        <v>146</v>
      </c>
      <c r="X3223" s="98"/>
      <c r="Y3223" s="108" t="s">
        <v>137</v>
      </c>
      <c r="Z3223" s="26" t="s">
        <v>146</v>
      </c>
      <c r="AA3223" s="98"/>
      <c r="AB3223" s="108" t="s">
        <v>137</v>
      </c>
      <c r="AC3223" s="26" t="s">
        <v>146</v>
      </c>
      <c r="AD3223" s="98"/>
      <c r="AE3223" s="108" t="s">
        <v>137</v>
      </c>
      <c r="AF3223" s="26" t="s">
        <v>146</v>
      </c>
      <c r="AG3223" s="98"/>
      <c r="AH3223" s="108" t="s">
        <v>137</v>
      </c>
      <c r="AI3223" s="26" t="s">
        <v>146</v>
      </c>
      <c r="AJ3223" s="98"/>
      <c r="AK3223" s="108" t="s">
        <v>137</v>
      </c>
      <c r="AL3223" s="26" t="s">
        <v>146</v>
      </c>
      <c r="AM3223" s="98"/>
      <c r="AN3223" s="108" t="s">
        <v>137</v>
      </c>
      <c r="AO3223" s="26" t="s">
        <v>146</v>
      </c>
      <c r="AP3223" s="98"/>
      <c r="AQ3223" s="108" t="s">
        <v>137</v>
      </c>
      <c r="AR3223" s="26" t="s">
        <v>146</v>
      </c>
      <c r="AS3223" s="98"/>
      <c r="AT3223" s="108" t="s">
        <v>137</v>
      </c>
      <c r="AU3223" s="26" t="s">
        <v>146</v>
      </c>
    </row>
    <row r="3224" spans="15:47" ht="13.8" x14ac:dyDescent="0.25">
      <c r="O3224" s="20" t="s">
        <v>136</v>
      </c>
      <c r="P3224" s="1"/>
      <c r="Q3224" s="1"/>
      <c r="R3224" s="96">
        <f>R3210*1.02</f>
        <v>29115.605431154709</v>
      </c>
      <c r="S3224" s="109" t="s">
        <v>144</v>
      </c>
      <c r="T3224" s="23" t="s">
        <v>147</v>
      </c>
      <c r="U3224" s="96">
        <f ca="1">U3210*1.01</f>
        <v>113185.59199207663</v>
      </c>
      <c r="V3224" s="109" t="s">
        <v>144</v>
      </c>
      <c r="W3224" s="23" t="s">
        <v>147</v>
      </c>
      <c r="X3224" s="96">
        <f ca="1">X3210*1.01</f>
        <v>277149.93885123049</v>
      </c>
      <c r="Y3224" s="109" t="s">
        <v>144</v>
      </c>
      <c r="Z3224" s="23" t="s">
        <v>147</v>
      </c>
      <c r="AA3224" s="96">
        <f ca="1">AA3210*1.01</f>
        <v>539817.339631496</v>
      </c>
      <c r="AB3224" s="109" t="s">
        <v>144</v>
      </c>
      <c r="AC3224" s="23" t="s">
        <v>147</v>
      </c>
      <c r="AD3224" s="96">
        <f ca="1">AD3210*1.01</f>
        <v>905645.57031336054</v>
      </c>
      <c r="AE3224" s="109" t="s">
        <v>144</v>
      </c>
      <c r="AF3224" s="23" t="s">
        <v>147</v>
      </c>
      <c r="AG3224" s="96">
        <f ca="1">AG3210*1.01</f>
        <v>1321814.3761634978</v>
      </c>
      <c r="AH3224" s="109" t="s">
        <v>144</v>
      </c>
      <c r="AI3224" s="23" t="s">
        <v>147</v>
      </c>
      <c r="AJ3224" s="96">
        <f ca="1">AJ3210*1.01</f>
        <v>1763966.4090924873</v>
      </c>
      <c r="AK3224" s="109" t="s">
        <v>144</v>
      </c>
      <c r="AL3224" s="23" t="s">
        <v>147</v>
      </c>
      <c r="AM3224" s="96">
        <f ca="1">AM3210*1.01</f>
        <v>2152374.2431774335</v>
      </c>
      <c r="AN3224" s="109" t="s">
        <v>144</v>
      </c>
      <c r="AO3224" s="23" t="s">
        <v>147</v>
      </c>
      <c r="AP3224" s="96">
        <f ca="1">AP3210*1.01</f>
        <v>2498839.676666996</v>
      </c>
      <c r="AQ3224" s="109" t="s">
        <v>144</v>
      </c>
      <c r="AR3224" s="23" t="s">
        <v>147</v>
      </c>
      <c r="AS3224" s="96">
        <f ca="1">AS3210*1.01</f>
        <v>2930086.0419477592</v>
      </c>
      <c r="AT3224" s="109" t="s">
        <v>144</v>
      </c>
      <c r="AU3224" s="23" t="s">
        <v>147</v>
      </c>
    </row>
    <row r="3225" spans="15:47" x14ac:dyDescent="0.25">
      <c r="O3225" s="1"/>
      <c r="P3225" s="1"/>
      <c r="Q3225" s="1"/>
      <c r="R3225" s="98"/>
      <c r="S3225" s="107"/>
      <c r="T3225" s="1"/>
      <c r="U3225" s="47"/>
      <c r="V3225" s="107"/>
      <c r="W3225" s="1"/>
      <c r="X3225" s="47"/>
      <c r="Y3225" s="107"/>
      <c r="Z3225" s="1"/>
      <c r="AA3225" s="47"/>
      <c r="AB3225" s="107"/>
      <c r="AC3225" s="1"/>
      <c r="AD3225" s="47"/>
      <c r="AE3225" s="107"/>
      <c r="AF3225" s="1"/>
      <c r="AG3225" s="47"/>
      <c r="AH3225" s="107"/>
      <c r="AI3225" s="1"/>
      <c r="AJ3225" s="47"/>
      <c r="AK3225" s="107"/>
      <c r="AL3225" s="1"/>
      <c r="AM3225" s="47"/>
      <c r="AN3225" s="107"/>
      <c r="AO3225" s="1"/>
      <c r="AP3225" s="47"/>
      <c r="AQ3225" s="107"/>
      <c r="AR3225" s="1"/>
      <c r="AS3225" s="47"/>
      <c r="AT3225" s="107"/>
      <c r="AU3225" s="1"/>
    </row>
    <row r="3226" spans="15:47" x14ac:dyDescent="0.25">
      <c r="O3226" s="8" t="s">
        <v>132</v>
      </c>
      <c r="P3226" s="8"/>
      <c r="Q3226" s="8"/>
      <c r="R3226" s="96">
        <f>P_1_minQ-(R3224^2*R_up)+dpup_minQ</f>
        <v>90.030534587717511</v>
      </c>
      <c r="S3226" s="106"/>
      <c r="T3226" s="22"/>
      <c r="U3226" s="96">
        <f ca="1">P_1_minQ-(U3224^2*R_up)+dpup_minQ</f>
        <v>87.850099963840591</v>
      </c>
      <c r="V3226" s="107"/>
      <c r="W3226" s="1"/>
      <c r="X3226" s="96">
        <f ca="1">P_1_minQ-(X3224^2*R_up)+dpup_minQ</f>
        <v>76.185199269805494</v>
      </c>
      <c r="Y3226" s="107"/>
      <c r="Z3226" s="1"/>
      <c r="AA3226" s="96">
        <f ca="1">P_1_minQ-(AA3224^2*R_up)+dpup_minQ</f>
        <v>37.073707935737126</v>
      </c>
      <c r="AB3226" s="107"/>
      <c r="AC3226" s="1"/>
      <c r="AD3226" s="96">
        <f ca="1">P_1_minQ-(AD3224^2*R_up)+dpup_minQ</f>
        <v>-59.30424686820129</v>
      </c>
      <c r="AE3226" s="107"/>
      <c r="AF3226" s="1"/>
      <c r="AG3226" s="96">
        <f ca="1">P_1_minQ-(AG3224^2*R_up)+dpup_minQ</f>
        <v>-228.25999235375684</v>
      </c>
      <c r="AH3226" s="107"/>
      <c r="AI3226" s="1"/>
      <c r="AJ3226" s="96">
        <f ca="1">P_1_minQ-(AJ3224^2*R_up)+dpup_minQ</f>
        <v>-476.93390850858253</v>
      </c>
      <c r="AK3226" s="107"/>
      <c r="AL3226" s="1"/>
      <c r="AM3226" s="96">
        <f ca="1">P_1_minQ-(AM3224^2*R_up)+dpup_minQ</f>
        <v>-754.1777953243369</v>
      </c>
      <c r="AN3226" s="107"/>
      <c r="AO3226" s="1"/>
      <c r="AP3226" s="96">
        <f ca="1">P_1_minQ-(AP3224^2*R_up)+dpup_minQ</f>
        <v>-1047.8884919237728</v>
      </c>
      <c r="AQ3226" s="107"/>
      <c r="AR3226" s="1"/>
      <c r="AS3226" s="96">
        <f ca="1">P_1_minQ-(AS3224^2*R_up)+dpup_minQ</f>
        <v>-1474.5985544003688</v>
      </c>
      <c r="AT3226" s="107"/>
      <c r="AU3226" s="1"/>
    </row>
    <row r="3227" spans="15:47" x14ac:dyDescent="0.25">
      <c r="O3227" s="8" t="s">
        <v>134</v>
      </c>
      <c r="P3227" s="1"/>
      <c r="Q3227" s="8"/>
      <c r="R3227" s="97">
        <f>P_2_minQ+(R3224^2*R_dn)-dpdn_minQ</f>
        <v>60</v>
      </c>
      <c r="S3227" s="106"/>
      <c r="T3227" s="22"/>
      <c r="U3227" s="97">
        <f ca="1">P_2_minQ+(U3224^2*R_dn)-dpdn_minQ</f>
        <v>60</v>
      </c>
      <c r="V3227" s="107"/>
      <c r="W3227" s="1"/>
      <c r="X3227" s="97">
        <f ca="1">P_2_minQ+(X3224^2*R_dn)-dpdn_minQ</f>
        <v>60</v>
      </c>
      <c r="Y3227" s="107"/>
      <c r="Z3227" s="1"/>
      <c r="AA3227" s="97">
        <f ca="1">P_2_minQ+(AA3224^2*R_dn)-dpdn_minQ</f>
        <v>60</v>
      </c>
      <c r="AB3227" s="107"/>
      <c r="AC3227" s="1"/>
      <c r="AD3227" s="97">
        <f ca="1">P_2_minQ+(AD3224^2*R_dn)-dpdn_minQ</f>
        <v>60</v>
      </c>
      <c r="AE3227" s="107"/>
      <c r="AF3227" s="1"/>
      <c r="AG3227" s="97">
        <f ca="1">P_2_minQ+(AG3224^2*R_dn)-dpdn_minQ</f>
        <v>60</v>
      </c>
      <c r="AH3227" s="107"/>
      <c r="AI3227" s="1"/>
      <c r="AJ3227" s="97">
        <f ca="1">P_2_minQ+(AJ3224^2*R_dn)-dpdn_minQ</f>
        <v>60</v>
      </c>
      <c r="AK3227" s="107"/>
      <c r="AL3227" s="1"/>
      <c r="AM3227" s="97">
        <f ca="1">P_2_minQ+(AM3224^2*R_dn)-dpdn_minQ</f>
        <v>60</v>
      </c>
      <c r="AN3227" s="107"/>
      <c r="AO3227" s="1"/>
      <c r="AP3227" s="97">
        <f ca="1">P_2_minQ+(AP3224^2*R_dn)-dpdn_minQ</f>
        <v>60</v>
      </c>
      <c r="AQ3227" s="107"/>
      <c r="AR3227" s="1"/>
      <c r="AS3227" s="97">
        <f ca="1">P_2_minQ+(AS3224^2*R_dn)-dpdn_minQ</f>
        <v>60</v>
      </c>
      <c r="AT3227" s="107"/>
      <c r="AU3227" s="1"/>
    </row>
    <row r="3228" spans="15:47" x14ac:dyDescent="0.25">
      <c r="O3228" s="8" t="s">
        <v>138</v>
      </c>
      <c r="P3228" s="1"/>
      <c r="Q3228" s="8"/>
      <c r="R3228" s="97">
        <f>R3226-R3227</f>
        <v>30.030534587717511</v>
      </c>
      <c r="S3228" s="106"/>
      <c r="T3228" s="22"/>
      <c r="U3228" s="97">
        <f ca="1">U3226-U3227</f>
        <v>27.850099963840591</v>
      </c>
      <c r="V3228" s="110"/>
      <c r="W3228" s="25"/>
      <c r="X3228" s="97">
        <f ca="1">X3226-X3227</f>
        <v>16.185199269805494</v>
      </c>
      <c r="Y3228" s="110"/>
      <c r="Z3228" s="25"/>
      <c r="AA3228" s="97">
        <f ca="1">AA3226-AA3227</f>
        <v>-22.926292064262874</v>
      </c>
      <c r="AB3228" s="110"/>
      <c r="AC3228" s="25"/>
      <c r="AD3228" s="97">
        <f ca="1">AD3226-AD3227</f>
        <v>-119.30424686820129</v>
      </c>
      <c r="AE3228" s="110"/>
      <c r="AF3228" s="25"/>
      <c r="AG3228" s="97">
        <f ca="1">AG3226-AG3227</f>
        <v>-288.25999235375684</v>
      </c>
      <c r="AH3228" s="110"/>
      <c r="AI3228" s="25"/>
      <c r="AJ3228" s="97">
        <f ca="1">AJ3226-AJ3227</f>
        <v>-536.93390850858259</v>
      </c>
      <c r="AK3228" s="110"/>
      <c r="AL3228" s="25"/>
      <c r="AM3228" s="97">
        <f ca="1">AM3226-AM3227</f>
        <v>-814.1777953243369</v>
      </c>
      <c r="AN3228" s="110"/>
      <c r="AO3228" s="25"/>
      <c r="AP3228" s="97">
        <f ca="1">AP3226-AP3227</f>
        <v>-1107.8884919237728</v>
      </c>
      <c r="AQ3228" s="110"/>
      <c r="AR3228" s="25"/>
      <c r="AS3228" s="97">
        <f ca="1">AS3226-AS3227</f>
        <v>-1534.5985544003688</v>
      </c>
      <c r="AT3228" s="110"/>
      <c r="AU3228" s="25"/>
    </row>
    <row r="3229" spans="15:47" ht="14.4" x14ac:dyDescent="0.3">
      <c r="O3229" s="2" t="s">
        <v>140</v>
      </c>
      <c r="P3229" s="11"/>
      <c r="Q3229" s="2"/>
      <c r="R3229" s="96">
        <f>R3228/R3226</f>
        <v>0.3335594387530656</v>
      </c>
      <c r="S3229" s="106"/>
      <c r="T3229" s="22"/>
      <c r="U3229" s="96">
        <f ca="1">U3228/U3226</f>
        <v>0.31701842087036658</v>
      </c>
      <c r="V3229" s="111"/>
      <c r="W3229" s="28"/>
      <c r="X3229" s="96">
        <f ca="1">X3228/X3226</f>
        <v>0.21244545429994274</v>
      </c>
      <c r="Y3229" s="111"/>
      <c r="Z3229" s="28"/>
      <c r="AA3229" s="96">
        <f ca="1">AA3228/AA3226</f>
        <v>-0.61839760144852196</v>
      </c>
      <c r="AB3229" s="111"/>
      <c r="AC3229" s="28"/>
      <c r="AD3229" s="96">
        <f ca="1">AD3228/AD3226</f>
        <v>2.0117319276197025</v>
      </c>
      <c r="AE3229" s="111"/>
      <c r="AF3229" s="28"/>
      <c r="AG3229" s="96">
        <f ca="1">AG3228/AG3226</f>
        <v>1.2628581530267122</v>
      </c>
      <c r="AH3229" s="111"/>
      <c r="AI3229" s="28"/>
      <c r="AJ3229" s="96">
        <f ca="1">AJ3228/AJ3226</f>
        <v>1.1258035944385372</v>
      </c>
      <c r="AK3229" s="111"/>
      <c r="AL3229" s="28"/>
      <c r="AM3229" s="96">
        <f ca="1">AM3228/AM3226</f>
        <v>1.079556837090645</v>
      </c>
      <c r="AN3229" s="111"/>
      <c r="AO3229" s="28"/>
      <c r="AP3229" s="96">
        <f ca="1">AP3228/AP3226</f>
        <v>1.0572580006960937</v>
      </c>
      <c r="AQ3229" s="111"/>
      <c r="AR3229" s="28"/>
      <c r="AS3229" s="96">
        <f ca="1">AS3228/AS3226</f>
        <v>1.0406890402957152</v>
      </c>
      <c r="AT3229" s="111"/>
      <c r="AU3229" s="28"/>
    </row>
    <row r="3230" spans="15:47" x14ac:dyDescent="0.25">
      <c r="O3230" s="2" t="s">
        <v>21</v>
      </c>
      <c r="P3230" s="8">
        <v>12</v>
      </c>
      <c r="Q3230" s="2"/>
      <c r="R3230" s="96">
        <f ca="1">1-R3229/(3*F_GAMMA*R$29)</f>
        <v>0.82627918670606681</v>
      </c>
      <c r="S3230" s="106"/>
      <c r="T3230" s="22"/>
      <c r="U3230" s="96">
        <f ca="1">1-U3229/(3*F_GAMMA*U$29)</f>
        <v>0.83493225707333496</v>
      </c>
      <c r="V3230" s="111"/>
      <c r="W3230" s="28"/>
      <c r="X3230" s="96">
        <f ca="1">1-X3229/(3*F_GAMMA*X$29)</f>
        <v>0.88832861442825983</v>
      </c>
      <c r="Y3230" s="111"/>
      <c r="Z3230" s="28"/>
      <c r="AA3230" s="96">
        <f ca="1">1-AA3229/(3*F_GAMMA*AA$29)</f>
        <v>1.3296411061819167</v>
      </c>
      <c r="AB3230" s="111"/>
      <c r="AC3230" s="28"/>
      <c r="AD3230" s="96">
        <f ca="1">1-AD3229/(3*F_GAMMA*AD$29)</f>
        <v>-0.10562617991360623</v>
      </c>
      <c r="AE3230" s="111"/>
      <c r="AF3230" s="28"/>
      <c r="AG3230" s="96">
        <f ca="1">1-AG3229/(3*F_GAMMA*AG$29)</f>
        <v>0.26429929182104228</v>
      </c>
      <c r="AH3230" s="111"/>
      <c r="AI3230" s="28"/>
      <c r="AJ3230" s="96">
        <f ca="1">1-AJ3229/(3*F_GAMMA*AJ$29)</f>
        <v>0.29438753952821073</v>
      </c>
      <c r="AK3230" s="111"/>
      <c r="AL3230" s="28"/>
      <c r="AM3230" s="96">
        <f ca="1">1-AM3229/(3*F_GAMMA*AM$29)</f>
        <v>0.24347558798470847</v>
      </c>
      <c r="AN3230" s="111"/>
      <c r="AO3230" s="28"/>
      <c r="AP3230" s="96">
        <f ca="1">1-AP3229/(3*F_GAMMA*AP$29)</f>
        <v>0.4032268955895304</v>
      </c>
      <c r="AQ3230" s="111"/>
      <c r="AR3230" s="28"/>
      <c r="AS3230" s="96">
        <f ca="1">1-AS3229/(3*F_GAMMA*AS$29)</f>
        <v>7.9093185833974733E-2</v>
      </c>
      <c r="AT3230" s="111"/>
      <c r="AU3230" s="28"/>
    </row>
    <row r="3231" spans="15:47" x14ac:dyDescent="0.25">
      <c r="O3231" s="2" t="s">
        <v>57</v>
      </c>
      <c r="P3231" s="143">
        <v>7</v>
      </c>
      <c r="Q3231" s="2"/>
      <c r="R3231" s="96">
        <f ca="1">(R3224/(N_9*R$27*R3226*R3230))*SQRT(M*'Valve Sizing'!$W$6*'Valve Sizing'!$G$8/R3229)</f>
        <v>11.789858695549773</v>
      </c>
      <c r="S3231" s="107"/>
      <c r="T3231" s="22"/>
      <c r="U3231" s="96">
        <f ca="1">(U3224/(N_9*U$27*U3226*U3230))*SQRT(M*'Valve Sizing'!$W$6*'Valve Sizing'!$G$8/U3229)</f>
        <v>47.711854299172877</v>
      </c>
      <c r="V3231" s="111"/>
      <c r="W3231" s="28"/>
      <c r="X3231" s="96">
        <f ca="1">(X3224/(N_9*X$27*X3226*X3230))*SQRT(M*'Valve Sizing'!$W$6*'Valve Sizing'!$G$8/X3229)</f>
        <v>155.03019897160036</v>
      </c>
      <c r="Y3231" s="111"/>
      <c r="Z3231" s="28"/>
      <c r="AA3231" s="96" t="e">
        <f ca="1">(AA3224/(N_9*AA$27*AA3226*AA3230))*SQRT(M*'Valve Sizing'!$W$6*'Valve Sizing'!$G$8/AA3229)</f>
        <v>#NUM!</v>
      </c>
      <c r="AB3231" s="111"/>
      <c r="AC3231" s="28"/>
      <c r="AD3231" s="96">
        <f ca="1">(AD3224/(N_9*AD$27*AD3226*AD3230))*SQRT(M*'Valve Sizing'!$W$6*'Valve Sizing'!$G$8/AD3229)</f>
        <v>1811.3478951030786</v>
      </c>
      <c r="AE3231" s="111"/>
      <c r="AF3231" s="28"/>
      <c r="AG3231" s="96">
        <f ca="1">(AG3224/(N_9*AG$27*AG3226*AG3230))*SQRT(M*'Valve Sizing'!$W$6*'Valve Sizing'!$G$8/AG3229)</f>
        <v>-354.25723336432344</v>
      </c>
      <c r="AH3231" s="111"/>
      <c r="AI3231" s="28"/>
      <c r="AJ3231" s="96">
        <f ca="1">(AJ3224/(N_9*AJ$27*AJ3226*AJ3230))*SQRT(M*'Valve Sizing'!$W$6*'Valve Sizing'!$G$8/AJ3229)</f>
        <v>-222.92344695515683</v>
      </c>
      <c r="AK3231" s="111"/>
      <c r="AL3231" s="28"/>
      <c r="AM3231" s="96">
        <f ca="1">(AM3224/(N_9*AM$27*AM3226*AM3230))*SQRT(M*'Valve Sizing'!$W$6*'Valve Sizing'!$G$8/AM3229)</f>
        <v>-225.35071298868135</v>
      </c>
      <c r="AN3231" s="111"/>
      <c r="AO3231" s="28"/>
      <c r="AP3231" s="96">
        <f ca="1">(AP3224/(N_9*AP$27*AP3226*AP3230))*SQRT(M*'Valve Sizing'!$W$6*'Valve Sizing'!$G$8/AP3229)</f>
        <v>-130.76540912250377</v>
      </c>
      <c r="AQ3231" s="111"/>
      <c r="AR3231" s="28"/>
      <c r="AS3231" s="96">
        <f ca="1">(AS3224/(N_9*AS$27*AS3226*AS3230))*SQRT(M*'Valve Sizing'!$W$6*'Valve Sizing'!$G$8/AS3229)</f>
        <v>-749.93490367136326</v>
      </c>
      <c r="AT3231" s="111"/>
      <c r="AU3231" s="28"/>
    </row>
    <row r="3232" spans="15:47" x14ac:dyDescent="0.25">
      <c r="O3232" s="2" t="s">
        <v>59</v>
      </c>
      <c r="P3232" s="143">
        <v>7</v>
      </c>
      <c r="Q3232" s="2"/>
      <c r="R3232" s="96">
        <f ca="1">(R3224/(N_9*R$27*R3226*0.667))*SQRT(M*'Valve Sizing'!$W$6*'Valve Sizing'!$G$8/R3233)</f>
        <v>10.543775099157509</v>
      </c>
      <c r="S3232" s="107"/>
      <c r="T3232" s="22"/>
      <c r="U3232" s="96">
        <f ca="1">(U3224/(N_9*U$27*U3226*0.667))*SQRT(M*'Valve Sizing'!$W$6*'Valve Sizing'!$G$8/U3233)</f>
        <v>42.028455991375274</v>
      </c>
      <c r="V3232" s="111"/>
      <c r="W3232" s="28"/>
      <c r="X3232" s="96">
        <f ca="1">(X3224/(N_9*X$27*X3226*0.667))*SQRT(M*'Valve Sizing'!$W$6*'Valve Sizing'!$G$8/X3233)</f>
        <v>119.50764871796575</v>
      </c>
      <c r="Y3232" s="111"/>
      <c r="Z3232" s="28"/>
      <c r="AA3232" s="96">
        <f ca="1">(AA3224/(N_9*AA$27*AA3226*0.667))*SQRT(M*'Valve Sizing'!$W$6*'Valve Sizing'!$G$8/AA3233)</f>
        <v>484.55323803101339</v>
      </c>
      <c r="AB3232" s="111"/>
      <c r="AC3232" s="28"/>
      <c r="AD3232" s="96">
        <f ca="1">(AD3224/(N_9*AD$27*AD3226*0.667))*SQRT(M*'Valve Sizing'!$W$6*'Valve Sizing'!$G$8/AD3233)</f>
        <v>-522.41109795877389</v>
      </c>
      <c r="AE3232" s="111"/>
      <c r="AF3232" s="28"/>
      <c r="AG3232" s="96">
        <f ca="1">(AG3224/(N_9*AG$27*AG3226*0.667))*SQRT(M*'Valve Sizing'!$W$6*'Valve Sizing'!$G$8/AG3233)</f>
        <v>-208.54515593601343</v>
      </c>
      <c r="AH3232" s="111"/>
      <c r="AI3232" s="28"/>
      <c r="AJ3232" s="96">
        <f ca="1">(AJ3224/(N_9*AJ$27*AJ3226*0.667))*SQRT(M*'Valve Sizing'!$W$6*'Valve Sizing'!$G$8/AJ3233)</f>
        <v>-143.15057198056201</v>
      </c>
      <c r="AK3232" s="111"/>
      <c r="AL3232" s="28"/>
      <c r="AM3232" s="96">
        <f ca="1">(AM3224/(N_9*AM$27*AM3226*0.667))*SQRT(M*'Valve Sizing'!$W$6*'Valve Sizing'!$G$8/AM3233)</f>
        <v>-123.92548480529416</v>
      </c>
      <c r="AN3232" s="111"/>
      <c r="AO3232" s="28"/>
      <c r="AP3232" s="96">
        <f ca="1">(AP3224/(N_9*AP$27*AP3226*0.667))*SQRT(M*'Valve Sizing'!$W$6*'Valve Sizing'!$G$8/AP3233)</f>
        <v>-105.77469544799351</v>
      </c>
      <c r="AQ3232" s="111"/>
      <c r="AR3232" s="28"/>
      <c r="AS3232" s="96">
        <f ca="1">(AS3224/(N_9*AS$27*AS3226*0.667))*SQRT(M*'Valve Sizing'!$W$6*'Valve Sizing'!$G$8/AS3233)</f>
        <v>-147.81049550226277</v>
      </c>
      <c r="AT3232" s="111"/>
      <c r="AU3232" s="28"/>
    </row>
    <row r="3233" spans="15:47" ht="15.6" x14ac:dyDescent="0.35">
      <c r="O3233" s="2" t="s">
        <v>68</v>
      </c>
      <c r="P3233" s="143">
        <v>10</v>
      </c>
      <c r="Q3233" s="2"/>
      <c r="R3233" s="96">
        <f ca="1">F_GAMMA*R$29</f>
        <v>0.64002969751372984</v>
      </c>
      <c r="S3233" s="107"/>
      <c r="T3233" s="1"/>
      <c r="U3233" s="96">
        <f ca="1">F_GAMMA*U$29</f>
        <v>0.64017842058782071</v>
      </c>
      <c r="V3233" s="111"/>
      <c r="W3233" s="28"/>
      <c r="X3233" s="96">
        <f ca="1">F_GAMMA*X$29</f>
        <v>0.63413873724904268</v>
      </c>
      <c r="Y3233" s="111"/>
      <c r="Z3233" s="28"/>
      <c r="AA3233" s="96">
        <f ca="1">F_GAMMA*AA$29</f>
        <v>0.62532411750377137</v>
      </c>
      <c r="AB3233" s="111"/>
      <c r="AC3233" s="28"/>
      <c r="AD3233" s="96">
        <f ca="1">F_GAMMA*AD$29</f>
        <v>0.60651359509139569</v>
      </c>
      <c r="AE3233" s="111"/>
      <c r="AF3233" s="28"/>
      <c r="AG3233" s="96">
        <f ca="1">F_GAMMA*AG$29</f>
        <v>0.57217930198481592</v>
      </c>
      <c r="AH3233" s="111"/>
      <c r="AI3233" s="28"/>
      <c r="AJ3233" s="96">
        <f ca="1">F_GAMMA*AJ$29</f>
        <v>0.53183282018848232</v>
      </c>
      <c r="AK3233" s="111"/>
      <c r="AL3233" s="28"/>
      <c r="AM3233" s="96">
        <f ca="1">F_GAMMA*AM$29</f>
        <v>0.47566512503094399</v>
      </c>
      <c r="AN3233" s="111"/>
      <c r="AO3233" s="28"/>
      <c r="AP3233" s="96">
        <f ca="1">F_GAMMA*AP$29</f>
        <v>0.59054158265645496</v>
      </c>
      <c r="AQ3233" s="111"/>
      <c r="AR3233" s="28"/>
      <c r="AS3233" s="96">
        <f ca="1">F_GAMMA*AS$29</f>
        <v>0.3766899554102966</v>
      </c>
      <c r="AT3233" s="111"/>
      <c r="AU3233" s="28"/>
    </row>
    <row r="3234" spans="15:47" x14ac:dyDescent="0.25">
      <c r="O3234" s="2" t="s">
        <v>145</v>
      </c>
      <c r="P3234" s="12"/>
      <c r="Q3234" s="2"/>
      <c r="R3234" s="96">
        <f ca="1">IF(R3229&lt;R3233,R3231,R3232)</f>
        <v>11.789858695549773</v>
      </c>
      <c r="S3234" s="116"/>
      <c r="T3234" s="1"/>
      <c r="U3234" s="96">
        <f ca="1">IF(U3229&lt;U3233,U3231,U3232)</f>
        <v>47.711854299172877</v>
      </c>
      <c r="V3234" s="111"/>
      <c r="W3234" s="28"/>
      <c r="X3234" s="96">
        <f ca="1">IF(X3229&lt;X3233,X3231,X3232)</f>
        <v>155.03019897160036</v>
      </c>
      <c r="Y3234" s="111"/>
      <c r="Z3234" s="28"/>
      <c r="AA3234" s="96" t="e">
        <f ca="1">IF(AA3229&lt;AA3233,AA3231,AA3232)</f>
        <v>#NUM!</v>
      </c>
      <c r="AB3234" s="111"/>
      <c r="AC3234" s="28"/>
      <c r="AD3234" s="96">
        <f ca="1">IF(AD3229&lt;AD3233,AD3231,AD3232)</f>
        <v>-522.41109795877389</v>
      </c>
      <c r="AE3234" s="111"/>
      <c r="AF3234" s="28"/>
      <c r="AG3234" s="96">
        <f ca="1">IF(AG3229&lt;AG3233,AG3231,AG3232)</f>
        <v>-208.54515593601343</v>
      </c>
      <c r="AH3234" s="111"/>
      <c r="AI3234" s="28"/>
      <c r="AJ3234" s="96">
        <f ca="1">IF(AJ3229&lt;AJ3233,AJ3231,AJ3232)</f>
        <v>-143.15057198056201</v>
      </c>
      <c r="AK3234" s="111"/>
      <c r="AL3234" s="28"/>
      <c r="AM3234" s="96">
        <f ca="1">IF(AM3229&lt;AM3233,AM3231,AM3232)</f>
        <v>-123.92548480529416</v>
      </c>
      <c r="AN3234" s="111"/>
      <c r="AO3234" s="28"/>
      <c r="AP3234" s="96">
        <f ca="1">IF(AP3229&lt;AP3233,AP3231,AP3232)</f>
        <v>-105.77469544799351</v>
      </c>
      <c r="AQ3234" s="111"/>
      <c r="AR3234" s="28"/>
      <c r="AS3234" s="96">
        <f ca="1">IF(AS3229&lt;AS3233,AS3231,AS3232)</f>
        <v>-147.81049550226277</v>
      </c>
      <c r="AT3234" s="111"/>
      <c r="AU3234" s="28"/>
    </row>
    <row r="3235" spans="15:47" x14ac:dyDescent="0.25">
      <c r="O3235" s="13" t="s">
        <v>143</v>
      </c>
      <c r="P3235" s="1"/>
      <c r="Q3235" s="1"/>
      <c r="R3235" s="113"/>
      <c r="S3235" s="106">
        <f ca="1">IF(R3228&lt;=0,Q_max,ABS(R$23-R3234))</f>
        <v>7.0598586955497726</v>
      </c>
      <c r="T3235" s="7">
        <f>R3224</f>
        <v>29115.605431154709</v>
      </c>
      <c r="U3235" s="98"/>
      <c r="V3235" s="106">
        <f ca="1">IF(U3228&lt;=0,Q_max,ABS(U$23-U3234))</f>
        <v>36.111854299172876</v>
      </c>
      <c r="W3235" s="9">
        <f ca="1">U3224</f>
        <v>113185.59199207663</v>
      </c>
      <c r="X3235" s="98"/>
      <c r="Y3235" s="106">
        <f ca="1">IF(X3228&lt;=0,Q_max,ABS(X$23-X3234))</f>
        <v>132.03019897160036</v>
      </c>
      <c r="Z3235" s="9">
        <f ca="1">X3224</f>
        <v>277149.93885123049</v>
      </c>
      <c r="AA3235" s="98"/>
      <c r="AB3235" s="106">
        <f ca="1">IF(AA3228&lt;=0,Q_max,ABS(AA$23-AA3234))</f>
        <v>236393</v>
      </c>
      <c r="AC3235" s="9">
        <f ca="1">AA3224</f>
        <v>539817.339631496</v>
      </c>
      <c r="AD3235" s="98"/>
      <c r="AE3235" s="106">
        <f ca="1">IF(AD3228&lt;=0,Q_max,ABS(AD$23-AD3234))</f>
        <v>236393</v>
      </c>
      <c r="AF3235" s="9">
        <f ca="1">AD3224</f>
        <v>905645.57031336054</v>
      </c>
      <c r="AG3235" s="98"/>
      <c r="AH3235" s="106">
        <f ca="1">IF(AG3228&lt;=0,Q_max,ABS(AG$23-AG3234))</f>
        <v>236393</v>
      </c>
      <c r="AI3235" s="9">
        <f ca="1">AG3224</f>
        <v>1321814.3761634978</v>
      </c>
      <c r="AJ3235" s="98"/>
      <c r="AK3235" s="106">
        <f ca="1">IF(AJ3228&lt;=0,Q_max,ABS(AJ$23-AJ3234))</f>
        <v>236393</v>
      </c>
      <c r="AL3235" s="9">
        <f ca="1">AJ3224</f>
        <v>1763966.4090924873</v>
      </c>
      <c r="AM3235" s="98"/>
      <c r="AN3235" s="106">
        <f ca="1">IF(AM3228&lt;=0,Q_max,ABS(AM$23-AM3234))</f>
        <v>236393</v>
      </c>
      <c r="AO3235" s="9">
        <f ca="1">AM3224</f>
        <v>2152374.2431774335</v>
      </c>
      <c r="AP3235" s="98"/>
      <c r="AQ3235" s="106">
        <f ca="1">IF(AP3228&lt;=0,Q_max,ABS(AP$23-AP3234))</f>
        <v>236393</v>
      </c>
      <c r="AR3235" s="9">
        <f ca="1">AP3224</f>
        <v>2498839.676666996</v>
      </c>
      <c r="AS3235" s="98"/>
      <c r="AT3235" s="106">
        <f ca="1">IF(AS3228&lt;=0,Q_max,ABS(AS$23-AS3234))</f>
        <v>236393</v>
      </c>
      <c r="AU3235" s="9">
        <f ca="1">AS3224</f>
        <v>2930086.0419477592</v>
      </c>
    </row>
    <row r="3236" spans="15:47" x14ac:dyDescent="0.25">
      <c r="O3236" s="21"/>
      <c r="P3236" s="14"/>
      <c r="Q3236" s="21"/>
      <c r="R3236" s="97"/>
      <c r="S3236" s="106"/>
      <c r="T3236" s="28"/>
      <c r="U3236" s="97"/>
      <c r="V3236" s="111"/>
      <c r="W3236" s="28"/>
      <c r="X3236" s="97"/>
      <c r="Y3236" s="111"/>
      <c r="Z3236" s="28"/>
      <c r="AA3236" s="97"/>
      <c r="AB3236" s="111"/>
      <c r="AC3236" s="28"/>
      <c r="AD3236" s="97"/>
      <c r="AE3236" s="111"/>
      <c r="AF3236" s="28"/>
      <c r="AG3236" s="97"/>
      <c r="AH3236" s="111"/>
      <c r="AI3236" s="28"/>
      <c r="AJ3236" s="97"/>
      <c r="AK3236" s="111"/>
      <c r="AL3236" s="28"/>
      <c r="AM3236" s="97"/>
      <c r="AN3236" s="111"/>
      <c r="AO3236" s="28"/>
      <c r="AP3236" s="97"/>
      <c r="AQ3236" s="111"/>
      <c r="AR3236" s="28"/>
      <c r="AS3236" s="97"/>
      <c r="AT3236" s="111"/>
      <c r="AU3236" s="28"/>
    </row>
    <row r="3237" spans="15:47" x14ac:dyDescent="0.25">
      <c r="O3237" s="1"/>
      <c r="P3237" s="1"/>
      <c r="Q3237" s="1"/>
      <c r="R3237" s="98"/>
      <c r="S3237" s="108" t="s">
        <v>137</v>
      </c>
      <c r="T3237" s="26" t="s">
        <v>146</v>
      </c>
      <c r="U3237" s="98"/>
      <c r="V3237" s="108" t="s">
        <v>137</v>
      </c>
      <c r="W3237" s="26" t="s">
        <v>146</v>
      </c>
      <c r="X3237" s="98"/>
      <c r="Y3237" s="108" t="s">
        <v>137</v>
      </c>
      <c r="Z3237" s="26" t="s">
        <v>146</v>
      </c>
      <c r="AA3237" s="98"/>
      <c r="AB3237" s="108" t="s">
        <v>137</v>
      </c>
      <c r="AC3237" s="26" t="s">
        <v>146</v>
      </c>
      <c r="AD3237" s="98"/>
      <c r="AE3237" s="108" t="s">
        <v>137</v>
      </c>
      <c r="AF3237" s="26" t="s">
        <v>146</v>
      </c>
      <c r="AG3237" s="98"/>
      <c r="AH3237" s="108" t="s">
        <v>137</v>
      </c>
      <c r="AI3237" s="26" t="s">
        <v>146</v>
      </c>
      <c r="AJ3237" s="98"/>
      <c r="AK3237" s="108" t="s">
        <v>137</v>
      </c>
      <c r="AL3237" s="26" t="s">
        <v>146</v>
      </c>
      <c r="AM3237" s="98"/>
      <c r="AN3237" s="108" t="s">
        <v>137</v>
      </c>
      <c r="AO3237" s="26" t="s">
        <v>146</v>
      </c>
      <c r="AP3237" s="98"/>
      <c r="AQ3237" s="108" t="s">
        <v>137</v>
      </c>
      <c r="AR3237" s="26" t="s">
        <v>146</v>
      </c>
      <c r="AS3237" s="98"/>
      <c r="AT3237" s="108" t="s">
        <v>137</v>
      </c>
      <c r="AU3237" s="26" t="s">
        <v>146</v>
      </c>
    </row>
    <row r="3238" spans="15:47" ht="13.8" x14ac:dyDescent="0.25">
      <c r="O3238" s="20" t="s">
        <v>136</v>
      </c>
      <c r="P3238" s="1"/>
      <c r="Q3238" s="1"/>
      <c r="R3238" s="96">
        <f>R3224*1.02</f>
        <v>29697.917539777802</v>
      </c>
      <c r="S3238" s="109" t="s">
        <v>144</v>
      </c>
      <c r="T3238" s="23" t="s">
        <v>147</v>
      </c>
      <c r="U3238" s="96">
        <f ca="1">U3224*1.01</f>
        <v>114317.4479119974</v>
      </c>
      <c r="V3238" s="109" t="s">
        <v>144</v>
      </c>
      <c r="W3238" s="23" t="s">
        <v>147</v>
      </c>
      <c r="X3238" s="96">
        <f ca="1">X3224*1.01</f>
        <v>279921.43823974277</v>
      </c>
      <c r="Y3238" s="109" t="s">
        <v>144</v>
      </c>
      <c r="Z3238" s="23" t="s">
        <v>147</v>
      </c>
      <c r="AA3238" s="96">
        <f ca="1">AA3224*1.01</f>
        <v>545215.51302781096</v>
      </c>
      <c r="AB3238" s="109" t="s">
        <v>144</v>
      </c>
      <c r="AC3238" s="23" t="s">
        <v>147</v>
      </c>
      <c r="AD3238" s="96">
        <f ca="1">AD3224*1.01</f>
        <v>914702.02601649414</v>
      </c>
      <c r="AE3238" s="109" t="s">
        <v>144</v>
      </c>
      <c r="AF3238" s="23" t="s">
        <v>147</v>
      </c>
      <c r="AG3238" s="96">
        <f ca="1">AG3224*1.01</f>
        <v>1335032.5199251329</v>
      </c>
      <c r="AH3238" s="109" t="s">
        <v>144</v>
      </c>
      <c r="AI3238" s="23" t="s">
        <v>147</v>
      </c>
      <c r="AJ3238" s="96">
        <f ca="1">AJ3224*1.01</f>
        <v>1781606.0731834122</v>
      </c>
      <c r="AK3238" s="109" t="s">
        <v>144</v>
      </c>
      <c r="AL3238" s="23" t="s">
        <v>147</v>
      </c>
      <c r="AM3238" s="96">
        <f ca="1">AM3224*1.01</f>
        <v>2173897.9856092078</v>
      </c>
      <c r="AN3238" s="109" t="s">
        <v>144</v>
      </c>
      <c r="AO3238" s="23" t="s">
        <v>147</v>
      </c>
      <c r="AP3238" s="96">
        <f ca="1">AP3224*1.01</f>
        <v>2523828.073433666</v>
      </c>
      <c r="AQ3238" s="109" t="s">
        <v>144</v>
      </c>
      <c r="AR3238" s="23" t="s">
        <v>147</v>
      </c>
      <c r="AS3238" s="96">
        <f ca="1">AS3224*1.01</f>
        <v>2959386.902367237</v>
      </c>
      <c r="AT3238" s="109" t="s">
        <v>144</v>
      </c>
      <c r="AU3238" s="23" t="s">
        <v>147</v>
      </c>
    </row>
    <row r="3239" spans="15:47" x14ac:dyDescent="0.25">
      <c r="O3239" s="1"/>
      <c r="P3239" s="1"/>
      <c r="Q3239" s="1"/>
      <c r="R3239" s="98"/>
      <c r="S3239" s="107"/>
      <c r="T3239" s="1"/>
      <c r="U3239" s="47"/>
      <c r="V3239" s="107"/>
      <c r="W3239" s="1"/>
      <c r="X3239" s="47"/>
      <c r="Y3239" s="107"/>
      <c r="Z3239" s="1"/>
      <c r="AA3239" s="47"/>
      <c r="AB3239" s="107"/>
      <c r="AC3239" s="1"/>
      <c r="AD3239" s="47"/>
      <c r="AE3239" s="107"/>
      <c r="AF3239" s="1"/>
      <c r="AG3239" s="47"/>
      <c r="AH3239" s="107"/>
      <c r="AI3239" s="1"/>
      <c r="AJ3239" s="47"/>
      <c r="AK3239" s="107"/>
      <c r="AL3239" s="1"/>
      <c r="AM3239" s="47"/>
      <c r="AN3239" s="107"/>
      <c r="AO3239" s="1"/>
      <c r="AP3239" s="47"/>
      <c r="AQ3239" s="107"/>
      <c r="AR3239" s="1"/>
      <c r="AS3239" s="47"/>
      <c r="AT3239" s="107"/>
      <c r="AU3239" s="1"/>
    </row>
    <row r="3240" spans="15:47" x14ac:dyDescent="0.25">
      <c r="O3240" s="8" t="s">
        <v>132</v>
      </c>
      <c r="P3240" s="8"/>
      <c r="Q3240" s="8"/>
      <c r="R3240" s="96">
        <f>P_1_minQ-(R3238^2*R_up)+dpup_minQ</f>
        <v>90.024292547638979</v>
      </c>
      <c r="S3240" s="106"/>
      <c r="T3240" s="22"/>
      <c r="U3240" s="96">
        <f ca="1">P_1_minQ-(U3238^2*R_up)+dpup_minQ</f>
        <v>87.803167658455649</v>
      </c>
      <c r="V3240" s="107"/>
      <c r="W3240" s="1"/>
      <c r="X3240" s="96">
        <f ca="1">P_1_minQ-(X3238^2*R_up)+dpup_minQ</f>
        <v>75.903802460470445</v>
      </c>
      <c r="Y3240" s="107"/>
      <c r="Z3240" s="1"/>
      <c r="AA3240" s="96">
        <f ca="1">P_1_minQ-(AA3238^2*R_up)+dpup_minQ</f>
        <v>36.006170150587316</v>
      </c>
      <c r="AB3240" s="107"/>
      <c r="AC3240" s="1"/>
      <c r="AD3240" s="96">
        <f ca="1">P_1_minQ-(AD3238^2*R_up)+dpup_minQ</f>
        <v>-62.308981544910267</v>
      </c>
      <c r="AE3240" s="107"/>
      <c r="AF3240" s="1"/>
      <c r="AG3240" s="96">
        <f ca="1">P_1_minQ-(AG3238^2*R_up)+dpup_minQ</f>
        <v>-234.66073751472555</v>
      </c>
      <c r="AH3240" s="107"/>
      <c r="AI3240" s="1"/>
      <c r="AJ3240" s="96">
        <f ca="1">P_1_minQ-(AJ3238^2*R_up)+dpup_minQ</f>
        <v>-488.33299938426325</v>
      </c>
      <c r="AK3240" s="107"/>
      <c r="AL3240" s="1"/>
      <c r="AM3240" s="96">
        <f ca="1">P_1_minQ-(AM3238^2*R_up)+dpup_minQ</f>
        <v>-771.14948832501409</v>
      </c>
      <c r="AN3240" s="107"/>
      <c r="AO3240" s="1"/>
      <c r="AP3240" s="96">
        <f ca="1">P_1_minQ-(AP3238^2*R_up)+dpup_minQ</f>
        <v>-1070.763769926099</v>
      </c>
      <c r="AQ3240" s="107"/>
      <c r="AR3240" s="1"/>
      <c r="AS3240" s="96">
        <f ca="1">P_1_minQ-(AS3238^2*R_up)+dpup_minQ</f>
        <v>-1506.0507046584746</v>
      </c>
      <c r="AT3240" s="107"/>
      <c r="AU3240" s="1"/>
    </row>
    <row r="3241" spans="15:47" x14ac:dyDescent="0.25">
      <c r="O3241" s="8" t="s">
        <v>134</v>
      </c>
      <c r="P3241" s="1"/>
      <c r="Q3241" s="8"/>
      <c r="R3241" s="97">
        <f>P_2_minQ+(R3238^2*R_dn)-dpdn_minQ</f>
        <v>60</v>
      </c>
      <c r="S3241" s="106"/>
      <c r="T3241" s="22"/>
      <c r="U3241" s="97">
        <f ca="1">P_2_minQ+(U3238^2*R_dn)-dpdn_minQ</f>
        <v>60</v>
      </c>
      <c r="V3241" s="107"/>
      <c r="W3241" s="1"/>
      <c r="X3241" s="97">
        <f ca="1">P_2_minQ+(X3238^2*R_dn)-dpdn_minQ</f>
        <v>60</v>
      </c>
      <c r="Y3241" s="107"/>
      <c r="Z3241" s="1"/>
      <c r="AA3241" s="97">
        <f ca="1">P_2_minQ+(AA3238^2*R_dn)-dpdn_minQ</f>
        <v>60</v>
      </c>
      <c r="AB3241" s="107"/>
      <c r="AC3241" s="1"/>
      <c r="AD3241" s="97">
        <f ca="1">P_2_minQ+(AD3238^2*R_dn)-dpdn_minQ</f>
        <v>60</v>
      </c>
      <c r="AE3241" s="107"/>
      <c r="AF3241" s="1"/>
      <c r="AG3241" s="97">
        <f ca="1">P_2_minQ+(AG3238^2*R_dn)-dpdn_minQ</f>
        <v>60</v>
      </c>
      <c r="AH3241" s="107"/>
      <c r="AI3241" s="1"/>
      <c r="AJ3241" s="97">
        <f ca="1">P_2_minQ+(AJ3238^2*R_dn)-dpdn_minQ</f>
        <v>60</v>
      </c>
      <c r="AK3241" s="107"/>
      <c r="AL3241" s="1"/>
      <c r="AM3241" s="97">
        <f ca="1">P_2_minQ+(AM3238^2*R_dn)-dpdn_minQ</f>
        <v>60</v>
      </c>
      <c r="AN3241" s="107"/>
      <c r="AO3241" s="1"/>
      <c r="AP3241" s="97">
        <f ca="1">P_2_minQ+(AP3238^2*R_dn)-dpdn_minQ</f>
        <v>60</v>
      </c>
      <c r="AQ3241" s="107"/>
      <c r="AR3241" s="1"/>
      <c r="AS3241" s="97">
        <f ca="1">P_2_minQ+(AS3238^2*R_dn)-dpdn_minQ</f>
        <v>60</v>
      </c>
      <c r="AT3241" s="107"/>
      <c r="AU3241" s="1"/>
    </row>
    <row r="3242" spans="15:47" x14ac:dyDescent="0.25">
      <c r="O3242" s="8" t="s">
        <v>138</v>
      </c>
      <c r="P3242" s="1"/>
      <c r="Q3242" s="8"/>
      <c r="R3242" s="97">
        <f>R3240-R3241</f>
        <v>30.024292547638979</v>
      </c>
      <c r="S3242" s="106"/>
      <c r="T3242" s="22"/>
      <c r="U3242" s="97">
        <f ca="1">U3240-U3241</f>
        <v>27.803167658455649</v>
      </c>
      <c r="V3242" s="110"/>
      <c r="W3242" s="25"/>
      <c r="X3242" s="97">
        <f ca="1">X3240-X3241</f>
        <v>15.903802460470445</v>
      </c>
      <c r="Y3242" s="110"/>
      <c r="Z3242" s="25"/>
      <c r="AA3242" s="97">
        <f ca="1">AA3240-AA3241</f>
        <v>-23.993829849412684</v>
      </c>
      <c r="AB3242" s="110"/>
      <c r="AC3242" s="25"/>
      <c r="AD3242" s="97">
        <f ca="1">AD3240-AD3241</f>
        <v>-122.30898154491027</v>
      </c>
      <c r="AE3242" s="110"/>
      <c r="AF3242" s="25"/>
      <c r="AG3242" s="97">
        <f ca="1">AG3240-AG3241</f>
        <v>-294.66073751472555</v>
      </c>
      <c r="AH3242" s="110"/>
      <c r="AI3242" s="25"/>
      <c r="AJ3242" s="97">
        <f ca="1">AJ3240-AJ3241</f>
        <v>-548.3329993842633</v>
      </c>
      <c r="AK3242" s="110"/>
      <c r="AL3242" s="25"/>
      <c r="AM3242" s="97">
        <f ca="1">AM3240-AM3241</f>
        <v>-831.14948832501409</v>
      </c>
      <c r="AN3242" s="110"/>
      <c r="AO3242" s="25"/>
      <c r="AP3242" s="97">
        <f ca="1">AP3240-AP3241</f>
        <v>-1130.763769926099</v>
      </c>
      <c r="AQ3242" s="110"/>
      <c r="AR3242" s="25"/>
      <c r="AS3242" s="97">
        <f ca="1">AS3240-AS3241</f>
        <v>-1566.0507046584746</v>
      </c>
      <c r="AT3242" s="110"/>
      <c r="AU3242" s="25"/>
    </row>
    <row r="3243" spans="15:47" ht="14.4" x14ac:dyDescent="0.3">
      <c r="O3243" s="2" t="s">
        <v>140</v>
      </c>
      <c r="P3243" s="11"/>
      <c r="Q3243" s="2"/>
      <c r="R3243" s="96">
        <f>R3242/R3240</f>
        <v>0.33351322957357038</v>
      </c>
      <c r="S3243" s="106"/>
      <c r="T3243" s="22"/>
      <c r="U3243" s="96">
        <f ca="1">U3242/U3240</f>
        <v>0.31665335545303802</v>
      </c>
      <c r="V3243" s="111"/>
      <c r="W3243" s="28"/>
      <c r="X3243" s="96">
        <f ca="1">X3242/X3240</f>
        <v>0.20952576741794859</v>
      </c>
      <c r="Y3243" s="111"/>
      <c r="Z3243" s="28"/>
      <c r="AA3243" s="96">
        <f ca="1">AA3242/AA3240</f>
        <v>-0.6663810604978021</v>
      </c>
      <c r="AB3243" s="111"/>
      <c r="AC3243" s="28"/>
      <c r="AD3243" s="96">
        <f ca="1">AD3242/AD3240</f>
        <v>1.962943038264138</v>
      </c>
      <c r="AE3243" s="111"/>
      <c r="AF3243" s="28"/>
      <c r="AG3243" s="96">
        <f ca="1">AG3242/AG3240</f>
        <v>1.2556882784715311</v>
      </c>
      <c r="AH3243" s="111"/>
      <c r="AI3243" s="28"/>
      <c r="AJ3243" s="96">
        <f ca="1">AJ3242/AJ3240</f>
        <v>1.1228669782211191</v>
      </c>
      <c r="AK3243" s="111"/>
      <c r="AL3243" s="28"/>
      <c r="AM3243" s="96">
        <f ca="1">AM3242/AM3240</f>
        <v>1.0778059259694561</v>
      </c>
      <c r="AN3243" s="111"/>
      <c r="AO3243" s="28"/>
      <c r="AP3243" s="96">
        <f ca="1">AP3242/AP3240</f>
        <v>1.0560347685317566</v>
      </c>
      <c r="AQ3243" s="111"/>
      <c r="AR3243" s="28"/>
      <c r="AS3243" s="96">
        <f ca="1">AS3242/AS3240</f>
        <v>1.0398392961235698</v>
      </c>
      <c r="AT3243" s="111"/>
      <c r="AU3243" s="28"/>
    </row>
    <row r="3244" spans="15:47" x14ac:dyDescent="0.25">
      <c r="O3244" s="2" t="s">
        <v>21</v>
      </c>
      <c r="P3244" s="8">
        <v>12</v>
      </c>
      <c r="Q3244" s="2"/>
      <c r="R3244" s="96">
        <f ca="1">1-R3243/(3*F_GAMMA*R$29)</f>
        <v>0.82630325287032691</v>
      </c>
      <c r="S3244" s="106"/>
      <c r="T3244" s="22"/>
      <c r="U3244" s="96">
        <f ca="1">1-U3243/(3*F_GAMMA*U$29)</f>
        <v>0.83512234231914984</v>
      </c>
      <c r="V3244" s="111"/>
      <c r="W3244" s="28"/>
      <c r="X3244" s="96">
        <f ca="1">1-X3243/(3*F_GAMMA*X$29)</f>
        <v>0.88986334003875744</v>
      </c>
      <c r="Y3244" s="111"/>
      <c r="Z3244" s="28"/>
      <c r="AA3244" s="96">
        <f ca="1">1-AA3243/(3*F_GAMMA*AA$29)</f>
        <v>1.3552190199422371</v>
      </c>
      <c r="AB3244" s="111"/>
      <c r="AC3244" s="28"/>
      <c r="AD3244" s="96">
        <f ca="1">1-AD3243/(3*F_GAMMA*AD$29)</f>
        <v>-7.8812332293140441E-2</v>
      </c>
      <c r="AE3244" s="111"/>
      <c r="AF3244" s="28"/>
      <c r="AG3244" s="96">
        <f ca="1">1-AG3243/(3*F_GAMMA*AG$29)</f>
        <v>0.26847623107202523</v>
      </c>
      <c r="AH3244" s="111"/>
      <c r="AI3244" s="28"/>
      <c r="AJ3244" s="96">
        <f ca="1">1-AJ3243/(3*F_GAMMA*AJ$29)</f>
        <v>0.29622810301980895</v>
      </c>
      <c r="AK3244" s="111"/>
      <c r="AL3244" s="28"/>
      <c r="AM3244" s="96">
        <f ca="1">1-AM3243/(3*F_GAMMA*AM$29)</f>
        <v>0.24470257943243834</v>
      </c>
      <c r="AN3244" s="111"/>
      <c r="AO3244" s="28"/>
      <c r="AP3244" s="96">
        <f ca="1">1-AP3243/(3*F_GAMMA*AP$29)</f>
        <v>0.40391735341122148</v>
      </c>
      <c r="AQ3244" s="111"/>
      <c r="AR3244" s="28"/>
      <c r="AS3244" s="96">
        <f ca="1">1-AS3243/(3*F_GAMMA*AS$29)</f>
        <v>7.9845125335714973E-2</v>
      </c>
      <c r="AT3244" s="111"/>
      <c r="AU3244" s="28"/>
    </row>
    <row r="3245" spans="15:47" x14ac:dyDescent="0.25">
      <c r="O3245" s="2" t="s">
        <v>57</v>
      </c>
      <c r="P3245" s="143">
        <v>7</v>
      </c>
      <c r="Q3245" s="2"/>
      <c r="R3245" s="96">
        <f ca="1">(R3238/(N_9*R$27*R3240*R3244))*SQRT(M*'Valve Sizing'!$W$6*'Valve Sizing'!$G$8/R3243)</f>
        <v>12.026972521656871</v>
      </c>
      <c r="S3245" s="107"/>
      <c r="T3245" s="22"/>
      <c r="U3245" s="96">
        <f ca="1">(U3238/(N_9*U$27*U3240*U3244))*SQRT(M*'Valve Sizing'!$W$6*'Valve Sizing'!$G$8/U3243)</f>
        <v>48.231535076008242</v>
      </c>
      <c r="V3245" s="111"/>
      <c r="W3245" s="28"/>
      <c r="X3245" s="96">
        <f ca="1">(X3238/(N_9*X$27*X3240*X3244))*SQRT(M*'Valve Sizing'!$W$6*'Valve Sizing'!$G$8/X3243)</f>
        <v>157.97926574133345</v>
      </c>
      <c r="Y3245" s="111"/>
      <c r="Z3245" s="28"/>
      <c r="AA3245" s="96" t="e">
        <f ca="1">(AA3238/(N_9*AA$27*AA3240*AA3244))*SQRT(M*'Valve Sizing'!$W$6*'Valve Sizing'!$G$8/AA3243)</f>
        <v>#NUM!</v>
      </c>
      <c r="AB3245" s="111"/>
      <c r="AC3245" s="28"/>
      <c r="AD3245" s="96">
        <f ca="1">(AD3238/(N_9*AD$27*AD3240*AD3244))*SQRT(M*'Valve Sizing'!$W$6*'Valve Sizing'!$G$8/AD3243)</f>
        <v>2362.4737196429937</v>
      </c>
      <c r="AE3245" s="111"/>
      <c r="AF3245" s="28"/>
      <c r="AG3245" s="96">
        <f ca="1">(AG3238/(N_9*AG$27*AG3240*AG3244))*SQRT(M*'Valve Sizing'!$W$6*'Valve Sizing'!$G$8/AG3243)</f>
        <v>-343.60224328181886</v>
      </c>
      <c r="AH3245" s="111"/>
      <c r="AI3245" s="28"/>
      <c r="AJ3245" s="96">
        <f ca="1">(AJ3238/(N_9*AJ$27*AJ3240*AJ3244))*SQRT(M*'Valve Sizing'!$W$6*'Valve Sizing'!$G$8/AJ3243)</f>
        <v>-218.81625343066838</v>
      </c>
      <c r="AK3245" s="111"/>
      <c r="AL3245" s="28"/>
      <c r="AM3245" s="96">
        <f ca="1">(AM3238/(N_9*AM$27*AM3240*AM3244))*SQRT(M*'Valve Sizing'!$W$6*'Valve Sizing'!$G$8/AM3243)</f>
        <v>-221.65872241001969</v>
      </c>
      <c r="AN3245" s="111"/>
      <c r="AO3245" s="28"/>
      <c r="AP3245" s="96">
        <f ca="1">(AP3238/(N_9*AP$27*AP3240*AP3244))*SQRT(M*'Valve Sizing'!$W$6*'Valve Sizing'!$G$8/AP3243)</f>
        <v>-129.10528338941151</v>
      </c>
      <c r="AQ3245" s="111"/>
      <c r="AR3245" s="28"/>
      <c r="AS3245" s="96">
        <f ca="1">(AS3238/(N_9*AS$27*AS3240*AS3244))*SQRT(M*'Valve Sizing'!$W$6*'Valve Sizing'!$G$8/AS3243)</f>
        <v>-734.93205624175732</v>
      </c>
      <c r="AT3245" s="111"/>
      <c r="AU3245" s="28"/>
    </row>
    <row r="3246" spans="15:47" x14ac:dyDescent="0.25">
      <c r="O3246" s="2" t="s">
        <v>59</v>
      </c>
      <c r="P3246" s="143">
        <v>7</v>
      </c>
      <c r="Q3246" s="2"/>
      <c r="R3246" s="96">
        <f ca="1">(R3238/(N_9*R$27*R3240*0.667))*SQRT(M*'Valve Sizing'!$W$6*'Valve Sizing'!$G$8/R3247)</f>
        <v>10.755396299420346</v>
      </c>
      <c r="S3246" s="107"/>
      <c r="T3246" s="22"/>
      <c r="U3246" s="96">
        <f ca="1">(U3238/(N_9*U$27*U3240*0.667))*SQRT(M*'Valve Sizing'!$W$6*'Valve Sizing'!$G$8/U3247)</f>
        <v>42.471430134226502</v>
      </c>
      <c r="V3246" s="111"/>
      <c r="W3246" s="28"/>
      <c r="X3246" s="96">
        <f ca="1">(X3238/(N_9*X$27*X3240*0.667))*SQRT(M*'Valve Sizing'!$W$6*'Valve Sizing'!$G$8/X3247)</f>
        <v>121.15020425955066</v>
      </c>
      <c r="Y3246" s="111"/>
      <c r="Z3246" s="28"/>
      <c r="AA3246" s="96">
        <f ca="1">(AA3238/(N_9*AA$27*AA3240*0.667))*SQRT(M*'Valve Sizing'!$W$6*'Valve Sizing'!$G$8/AA3247)</f>
        <v>503.9088301381679</v>
      </c>
      <c r="AB3246" s="111"/>
      <c r="AC3246" s="28"/>
      <c r="AD3246" s="96">
        <f ca="1">(AD3238/(N_9*AD$27*AD3240*0.667))*SQRT(M*'Valve Sizing'!$W$6*'Valve Sizing'!$G$8/AD3247)</f>
        <v>-502.19098292726932</v>
      </c>
      <c r="AE3246" s="111"/>
      <c r="AF3246" s="28"/>
      <c r="AG3246" s="96">
        <f ca="1">(AG3238/(N_9*AG$27*AG3240*0.667))*SQRT(M*'Valve Sizing'!$W$6*'Valve Sizing'!$G$8/AG3247)</f>
        <v>-204.88532238310248</v>
      </c>
      <c r="AH3246" s="111"/>
      <c r="AI3246" s="28"/>
      <c r="AJ3246" s="96">
        <f ca="1">(AJ3238/(N_9*AJ$27*AJ3240*0.667))*SQRT(M*'Valve Sizing'!$W$6*'Valve Sizing'!$G$8/AJ3247)</f>
        <v>-141.20711789879923</v>
      </c>
      <c r="AK3246" s="111"/>
      <c r="AL3246" s="28"/>
      <c r="AM3246" s="96">
        <f ca="1">(AM3238/(N_9*AM$27*AM3240*0.667))*SQRT(M*'Valve Sizing'!$W$6*'Valve Sizing'!$G$8/AM3247)</f>
        <v>-122.41007591036737</v>
      </c>
      <c r="AN3246" s="111"/>
      <c r="AO3246" s="28"/>
      <c r="AP3246" s="96">
        <f ca="1">(AP3238/(N_9*AP$27*AP3240*0.667))*SQRT(M*'Valve Sizing'!$W$6*'Valve Sizing'!$G$8/AP3247)</f>
        <v>-104.55012590254857</v>
      </c>
      <c r="AQ3246" s="111"/>
      <c r="AR3246" s="28"/>
      <c r="AS3246" s="96">
        <f ca="1">(AS3238/(N_9*AS$27*AS3240*0.667))*SQRT(M*'Valve Sizing'!$W$6*'Valve Sizing'!$G$8/AS3247)</f>
        <v>-146.17087840524491</v>
      </c>
      <c r="AT3246" s="111"/>
      <c r="AU3246" s="28"/>
    </row>
    <row r="3247" spans="15:47" ht="15.6" x14ac:dyDescent="0.35">
      <c r="O3247" s="2" t="s">
        <v>68</v>
      </c>
      <c r="P3247" s="143">
        <v>10</v>
      </c>
      <c r="Q3247" s="2"/>
      <c r="R3247" s="96">
        <f ca="1">F_GAMMA*R$29</f>
        <v>0.64002969751372984</v>
      </c>
      <c r="S3247" s="107"/>
      <c r="T3247" s="1"/>
      <c r="U3247" s="96">
        <f ca="1">F_GAMMA*U$29</f>
        <v>0.64017842058782071</v>
      </c>
      <c r="V3247" s="111"/>
      <c r="W3247" s="28"/>
      <c r="X3247" s="96">
        <f ca="1">F_GAMMA*X$29</f>
        <v>0.63413873724904268</v>
      </c>
      <c r="Y3247" s="111"/>
      <c r="Z3247" s="28"/>
      <c r="AA3247" s="96">
        <f ca="1">F_GAMMA*AA$29</f>
        <v>0.62532411750377137</v>
      </c>
      <c r="AB3247" s="111"/>
      <c r="AC3247" s="28"/>
      <c r="AD3247" s="96">
        <f ca="1">F_GAMMA*AD$29</f>
        <v>0.60651359509139569</v>
      </c>
      <c r="AE3247" s="111"/>
      <c r="AF3247" s="28"/>
      <c r="AG3247" s="96">
        <f ca="1">F_GAMMA*AG$29</f>
        <v>0.57217930198481592</v>
      </c>
      <c r="AH3247" s="111"/>
      <c r="AI3247" s="28"/>
      <c r="AJ3247" s="96">
        <f ca="1">F_GAMMA*AJ$29</f>
        <v>0.53183282018848232</v>
      </c>
      <c r="AK3247" s="111"/>
      <c r="AL3247" s="28"/>
      <c r="AM3247" s="96">
        <f ca="1">F_GAMMA*AM$29</f>
        <v>0.47566512503094399</v>
      </c>
      <c r="AN3247" s="111"/>
      <c r="AO3247" s="28"/>
      <c r="AP3247" s="96">
        <f ca="1">F_GAMMA*AP$29</f>
        <v>0.59054158265645496</v>
      </c>
      <c r="AQ3247" s="111"/>
      <c r="AR3247" s="28"/>
      <c r="AS3247" s="96">
        <f ca="1">F_GAMMA*AS$29</f>
        <v>0.3766899554102966</v>
      </c>
      <c r="AT3247" s="111"/>
      <c r="AU3247" s="28"/>
    </row>
    <row r="3248" spans="15:47" x14ac:dyDescent="0.25">
      <c r="O3248" s="2" t="s">
        <v>145</v>
      </c>
      <c r="P3248" s="12"/>
      <c r="Q3248" s="2"/>
      <c r="R3248" s="96">
        <f ca="1">IF(R3243&lt;R3247,R3245,R3246)</f>
        <v>12.026972521656871</v>
      </c>
      <c r="S3248" s="116"/>
      <c r="T3248" s="1"/>
      <c r="U3248" s="96">
        <f ca="1">IF(U3243&lt;U3247,U3245,U3246)</f>
        <v>48.231535076008242</v>
      </c>
      <c r="V3248" s="111"/>
      <c r="W3248" s="28"/>
      <c r="X3248" s="96">
        <f ca="1">IF(X3243&lt;X3247,X3245,X3246)</f>
        <v>157.97926574133345</v>
      </c>
      <c r="Y3248" s="111"/>
      <c r="Z3248" s="28"/>
      <c r="AA3248" s="96" t="e">
        <f ca="1">IF(AA3243&lt;AA3247,AA3245,AA3246)</f>
        <v>#NUM!</v>
      </c>
      <c r="AB3248" s="111"/>
      <c r="AC3248" s="28"/>
      <c r="AD3248" s="96">
        <f ca="1">IF(AD3243&lt;AD3247,AD3245,AD3246)</f>
        <v>-502.19098292726932</v>
      </c>
      <c r="AE3248" s="111"/>
      <c r="AF3248" s="28"/>
      <c r="AG3248" s="96">
        <f ca="1">IF(AG3243&lt;AG3247,AG3245,AG3246)</f>
        <v>-204.88532238310248</v>
      </c>
      <c r="AH3248" s="111"/>
      <c r="AI3248" s="28"/>
      <c r="AJ3248" s="96">
        <f ca="1">IF(AJ3243&lt;AJ3247,AJ3245,AJ3246)</f>
        <v>-141.20711789879923</v>
      </c>
      <c r="AK3248" s="111"/>
      <c r="AL3248" s="28"/>
      <c r="AM3248" s="96">
        <f ca="1">IF(AM3243&lt;AM3247,AM3245,AM3246)</f>
        <v>-122.41007591036737</v>
      </c>
      <c r="AN3248" s="111"/>
      <c r="AO3248" s="28"/>
      <c r="AP3248" s="96">
        <f ca="1">IF(AP3243&lt;AP3247,AP3245,AP3246)</f>
        <v>-104.55012590254857</v>
      </c>
      <c r="AQ3248" s="111"/>
      <c r="AR3248" s="28"/>
      <c r="AS3248" s="96">
        <f ca="1">IF(AS3243&lt;AS3247,AS3245,AS3246)</f>
        <v>-146.17087840524491</v>
      </c>
      <c r="AT3248" s="111"/>
      <c r="AU3248" s="28"/>
    </row>
    <row r="3249" spans="15:47" x14ac:dyDescent="0.25">
      <c r="O3249" s="13" t="s">
        <v>143</v>
      </c>
      <c r="P3249" s="1"/>
      <c r="Q3249" s="1"/>
      <c r="R3249" s="113"/>
      <c r="S3249" s="106">
        <f ca="1">IF(R3242&lt;=0,Q_max,ABS(R$23-R3248))</f>
        <v>7.2969725216568708</v>
      </c>
      <c r="T3249" s="7">
        <f>R3238</f>
        <v>29697.917539777802</v>
      </c>
      <c r="U3249" s="98"/>
      <c r="V3249" s="106">
        <f ca="1">IF(U3242&lt;=0,Q_max,ABS(U$23-U3248))</f>
        <v>36.631535076008241</v>
      </c>
      <c r="W3249" s="9">
        <f ca="1">U3238</f>
        <v>114317.4479119974</v>
      </c>
      <c r="X3249" s="98"/>
      <c r="Y3249" s="106">
        <f ca="1">IF(X3242&lt;=0,Q_max,ABS(X$23-X3248))</f>
        <v>134.97926574133345</v>
      </c>
      <c r="Z3249" s="9">
        <f ca="1">X3238</f>
        <v>279921.43823974277</v>
      </c>
      <c r="AA3249" s="98"/>
      <c r="AB3249" s="106">
        <f ca="1">IF(AA3242&lt;=0,Q_max,ABS(AA$23-AA3248))</f>
        <v>236393</v>
      </c>
      <c r="AC3249" s="9">
        <f ca="1">AA3238</f>
        <v>545215.51302781096</v>
      </c>
      <c r="AD3249" s="98"/>
      <c r="AE3249" s="106">
        <f ca="1">IF(AD3242&lt;=0,Q_max,ABS(AD$23-AD3248))</f>
        <v>236393</v>
      </c>
      <c r="AF3249" s="9">
        <f ca="1">AD3238</f>
        <v>914702.02601649414</v>
      </c>
      <c r="AG3249" s="98"/>
      <c r="AH3249" s="106">
        <f ca="1">IF(AG3242&lt;=0,Q_max,ABS(AG$23-AG3248))</f>
        <v>236393</v>
      </c>
      <c r="AI3249" s="9">
        <f ca="1">AG3238</f>
        <v>1335032.5199251329</v>
      </c>
      <c r="AJ3249" s="98"/>
      <c r="AK3249" s="106">
        <f ca="1">IF(AJ3242&lt;=0,Q_max,ABS(AJ$23-AJ3248))</f>
        <v>236393</v>
      </c>
      <c r="AL3249" s="9">
        <f ca="1">AJ3238</f>
        <v>1781606.0731834122</v>
      </c>
      <c r="AM3249" s="98"/>
      <c r="AN3249" s="106">
        <f ca="1">IF(AM3242&lt;=0,Q_max,ABS(AM$23-AM3248))</f>
        <v>236393</v>
      </c>
      <c r="AO3249" s="9">
        <f ca="1">AM3238</f>
        <v>2173897.9856092078</v>
      </c>
      <c r="AP3249" s="98"/>
      <c r="AQ3249" s="106">
        <f ca="1">IF(AP3242&lt;=0,Q_max,ABS(AP$23-AP3248))</f>
        <v>236393</v>
      </c>
      <c r="AR3249" s="9">
        <f ca="1">AP3238</f>
        <v>2523828.073433666</v>
      </c>
      <c r="AS3249" s="98"/>
      <c r="AT3249" s="106">
        <f ca="1">IF(AS3242&lt;=0,Q_max,ABS(AS$23-AS3248))</f>
        <v>236393</v>
      </c>
      <c r="AU3249" s="9">
        <f ca="1">AS3238</f>
        <v>2959386.902367237</v>
      </c>
    </row>
    <row r="3250" spans="15:47" x14ac:dyDescent="0.25">
      <c r="O3250" s="21"/>
      <c r="P3250" s="14"/>
      <c r="Q3250" s="21"/>
      <c r="R3250" s="97"/>
      <c r="S3250" s="106"/>
      <c r="T3250" s="28"/>
      <c r="U3250" s="97"/>
      <c r="V3250" s="111"/>
      <c r="W3250" s="28"/>
      <c r="X3250" s="97"/>
      <c r="Y3250" s="111"/>
      <c r="Z3250" s="28"/>
      <c r="AA3250" s="97"/>
      <c r="AB3250" s="111"/>
      <c r="AC3250" s="28"/>
      <c r="AD3250" s="97"/>
      <c r="AE3250" s="111"/>
      <c r="AF3250" s="28"/>
      <c r="AG3250" s="97"/>
      <c r="AH3250" s="111"/>
      <c r="AI3250" s="28"/>
      <c r="AJ3250" s="97"/>
      <c r="AK3250" s="111"/>
      <c r="AL3250" s="28"/>
      <c r="AM3250" s="97"/>
      <c r="AN3250" s="111"/>
      <c r="AO3250" s="28"/>
      <c r="AP3250" s="97"/>
      <c r="AQ3250" s="111"/>
      <c r="AR3250" s="28"/>
      <c r="AS3250" s="97"/>
      <c r="AT3250" s="111"/>
      <c r="AU3250" s="28"/>
    </row>
    <row r="3251" spans="15:47" x14ac:dyDescent="0.25">
      <c r="O3251" s="1"/>
      <c r="P3251" s="1"/>
      <c r="Q3251" s="1"/>
      <c r="R3251" s="98"/>
      <c r="S3251" s="108" t="s">
        <v>137</v>
      </c>
      <c r="T3251" s="26" t="s">
        <v>146</v>
      </c>
      <c r="U3251" s="98"/>
      <c r="V3251" s="108" t="s">
        <v>137</v>
      </c>
      <c r="W3251" s="26" t="s">
        <v>146</v>
      </c>
      <c r="X3251" s="98"/>
      <c r="Y3251" s="108" t="s">
        <v>137</v>
      </c>
      <c r="Z3251" s="26" t="s">
        <v>146</v>
      </c>
      <c r="AA3251" s="98"/>
      <c r="AB3251" s="108" t="s">
        <v>137</v>
      </c>
      <c r="AC3251" s="26" t="s">
        <v>146</v>
      </c>
      <c r="AD3251" s="98"/>
      <c r="AE3251" s="108" t="s">
        <v>137</v>
      </c>
      <c r="AF3251" s="26" t="s">
        <v>146</v>
      </c>
      <c r="AG3251" s="98"/>
      <c r="AH3251" s="108" t="s">
        <v>137</v>
      </c>
      <c r="AI3251" s="26" t="s">
        <v>146</v>
      </c>
      <c r="AJ3251" s="98"/>
      <c r="AK3251" s="108" t="s">
        <v>137</v>
      </c>
      <c r="AL3251" s="26" t="s">
        <v>146</v>
      </c>
      <c r="AM3251" s="98"/>
      <c r="AN3251" s="108" t="s">
        <v>137</v>
      </c>
      <c r="AO3251" s="26" t="s">
        <v>146</v>
      </c>
      <c r="AP3251" s="98"/>
      <c r="AQ3251" s="108" t="s">
        <v>137</v>
      </c>
      <c r="AR3251" s="26" t="s">
        <v>146</v>
      </c>
      <c r="AS3251" s="98"/>
      <c r="AT3251" s="108" t="s">
        <v>137</v>
      </c>
      <c r="AU3251" s="26" t="s">
        <v>146</v>
      </c>
    </row>
    <row r="3252" spans="15:47" ht="13.8" x14ac:dyDescent="0.25">
      <c r="O3252" s="20" t="s">
        <v>136</v>
      </c>
      <c r="P3252" s="1"/>
      <c r="Q3252" s="1"/>
      <c r="R3252" s="96">
        <f>R3238*1.02</f>
        <v>30291.875890573359</v>
      </c>
      <c r="S3252" s="109" t="s">
        <v>144</v>
      </c>
      <c r="T3252" s="23" t="s">
        <v>147</v>
      </c>
      <c r="U3252" s="96">
        <f ca="1">U3238*1.01</f>
        <v>115460.62239111737</v>
      </c>
      <c r="V3252" s="109" t="s">
        <v>144</v>
      </c>
      <c r="W3252" s="23" t="s">
        <v>147</v>
      </c>
      <c r="X3252" s="96">
        <f ca="1">X3238*1.01</f>
        <v>282720.65262214019</v>
      </c>
      <c r="Y3252" s="109" t="s">
        <v>144</v>
      </c>
      <c r="Z3252" s="23" t="s">
        <v>147</v>
      </c>
      <c r="AA3252" s="96">
        <f ca="1">AA3238*1.01</f>
        <v>550667.66815808904</v>
      </c>
      <c r="AB3252" s="109" t="s">
        <v>144</v>
      </c>
      <c r="AC3252" s="23" t="s">
        <v>147</v>
      </c>
      <c r="AD3252" s="96">
        <f ca="1">AD3238*1.01</f>
        <v>923849.04627665912</v>
      </c>
      <c r="AE3252" s="109" t="s">
        <v>144</v>
      </c>
      <c r="AF3252" s="23" t="s">
        <v>147</v>
      </c>
      <c r="AG3252" s="96">
        <f ca="1">AG3238*1.01</f>
        <v>1348382.8451243842</v>
      </c>
      <c r="AH3252" s="109" t="s">
        <v>144</v>
      </c>
      <c r="AI3252" s="23" t="s">
        <v>147</v>
      </c>
      <c r="AJ3252" s="96">
        <f ca="1">AJ3238*1.01</f>
        <v>1799422.1339152462</v>
      </c>
      <c r="AK3252" s="109" t="s">
        <v>144</v>
      </c>
      <c r="AL3252" s="23" t="s">
        <v>147</v>
      </c>
      <c r="AM3252" s="96">
        <f ca="1">AM3238*1.01</f>
        <v>2195636.9654652998</v>
      </c>
      <c r="AN3252" s="109" t="s">
        <v>144</v>
      </c>
      <c r="AO3252" s="23" t="s">
        <v>147</v>
      </c>
      <c r="AP3252" s="96">
        <f ca="1">AP3238*1.01</f>
        <v>2549066.3541680025</v>
      </c>
      <c r="AQ3252" s="109" t="s">
        <v>144</v>
      </c>
      <c r="AR3252" s="23" t="s">
        <v>147</v>
      </c>
      <c r="AS3252" s="96">
        <f ca="1">AS3238*1.01</f>
        <v>2988980.7713909093</v>
      </c>
      <c r="AT3252" s="109" t="s">
        <v>144</v>
      </c>
      <c r="AU3252" s="23" t="s">
        <v>147</v>
      </c>
    </row>
    <row r="3253" spans="15:47" x14ac:dyDescent="0.25">
      <c r="O3253" s="1"/>
      <c r="P3253" s="1"/>
      <c r="Q3253" s="1"/>
      <c r="R3253" s="98"/>
      <c r="S3253" s="107"/>
      <c r="T3253" s="1"/>
      <c r="U3253" s="47"/>
      <c r="V3253" s="107"/>
      <c r="W3253" s="1"/>
      <c r="X3253" s="47"/>
      <c r="Y3253" s="107"/>
      <c r="Z3253" s="1"/>
      <c r="AA3253" s="47"/>
      <c r="AB3253" s="107"/>
      <c r="AC3253" s="1"/>
      <c r="AD3253" s="47"/>
      <c r="AE3253" s="107"/>
      <c r="AF3253" s="1"/>
      <c r="AG3253" s="47"/>
      <c r="AH3253" s="107"/>
      <c r="AI3253" s="1"/>
      <c r="AJ3253" s="47"/>
      <c r="AK3253" s="107"/>
      <c r="AL3253" s="1"/>
      <c r="AM3253" s="47"/>
      <c r="AN3253" s="107"/>
      <c r="AO3253" s="1"/>
      <c r="AP3253" s="47"/>
      <c r="AQ3253" s="107"/>
      <c r="AR3253" s="1"/>
      <c r="AS3253" s="47"/>
      <c r="AT3253" s="107"/>
      <c r="AU3253" s="1"/>
    </row>
    <row r="3254" spans="15:47" x14ac:dyDescent="0.25">
      <c r="O3254" s="8" t="s">
        <v>132</v>
      </c>
      <c r="P3254" s="8"/>
      <c r="Q3254" s="8"/>
      <c r="R3254" s="96">
        <f>P_1_minQ-(R3252^2*R_up)+dpup_minQ</f>
        <v>90.017798329141272</v>
      </c>
      <c r="S3254" s="106"/>
      <c r="T3254" s="22"/>
      <c r="U3254" s="96">
        <f ca="1">P_1_minQ-(U3252^2*R_up)+dpup_minQ</f>
        <v>87.755292013732472</v>
      </c>
      <c r="V3254" s="107"/>
      <c r="W3254" s="1"/>
      <c r="X3254" s="96">
        <f ca="1">P_1_minQ-(X3252^2*R_up)+dpup_minQ</f>
        <v>75.616749575267761</v>
      </c>
      <c r="Y3254" s="107"/>
      <c r="Z3254" s="1"/>
      <c r="AA3254" s="96">
        <f ca="1">P_1_minQ-(AA3252^2*R_up)+dpup_minQ</f>
        <v>34.917174855955977</v>
      </c>
      <c r="AB3254" s="107"/>
      <c r="AC3254" s="1"/>
      <c r="AD3254" s="96">
        <f ca="1">P_1_minQ-(AD3252^2*R_up)+dpup_minQ</f>
        <v>-65.374111388621117</v>
      </c>
      <c r="AE3254" s="107"/>
      <c r="AF3254" s="1"/>
      <c r="AG3254" s="96">
        <f ca="1">P_1_minQ-(AG3252^2*R_up)+dpup_minQ</f>
        <v>-241.19013765342964</v>
      </c>
      <c r="AH3254" s="107"/>
      <c r="AI3254" s="1"/>
      <c r="AJ3254" s="96">
        <f ca="1">P_1_minQ-(AJ3252^2*R_up)+dpup_minQ</f>
        <v>-499.96121198654492</v>
      </c>
      <c r="AK3254" s="107"/>
      <c r="AL3254" s="1"/>
      <c r="AM3254" s="96">
        <f ca="1">P_1_minQ-(AM3252^2*R_up)+dpup_minQ</f>
        <v>-788.46231235500488</v>
      </c>
      <c r="AN3254" s="107"/>
      <c r="AO3254" s="1"/>
      <c r="AP3254" s="96">
        <f ca="1">P_1_minQ-(AP3252^2*R_up)+dpup_minQ</f>
        <v>-1094.0988410162715</v>
      </c>
      <c r="AQ3254" s="107"/>
      <c r="AR3254" s="1"/>
      <c r="AS3254" s="96">
        <f ca="1">P_1_minQ-(AS3252^2*R_up)+dpup_minQ</f>
        <v>-1538.135043136768</v>
      </c>
      <c r="AT3254" s="107"/>
      <c r="AU3254" s="1"/>
    </row>
    <row r="3255" spans="15:47" x14ac:dyDescent="0.25">
      <c r="O3255" s="8" t="s">
        <v>134</v>
      </c>
      <c r="P3255" s="1"/>
      <c r="Q3255" s="8"/>
      <c r="R3255" s="97">
        <f>P_2_minQ+(R3252^2*R_dn)-dpdn_minQ</f>
        <v>60</v>
      </c>
      <c r="S3255" s="106"/>
      <c r="T3255" s="22"/>
      <c r="U3255" s="97">
        <f ca="1">P_2_minQ+(U3252^2*R_dn)-dpdn_minQ</f>
        <v>60</v>
      </c>
      <c r="V3255" s="107"/>
      <c r="W3255" s="1"/>
      <c r="X3255" s="97">
        <f ca="1">P_2_minQ+(X3252^2*R_dn)-dpdn_minQ</f>
        <v>60</v>
      </c>
      <c r="Y3255" s="107"/>
      <c r="Z3255" s="1"/>
      <c r="AA3255" s="97">
        <f ca="1">P_2_minQ+(AA3252^2*R_dn)-dpdn_minQ</f>
        <v>60</v>
      </c>
      <c r="AB3255" s="107"/>
      <c r="AC3255" s="1"/>
      <c r="AD3255" s="97">
        <f ca="1">P_2_minQ+(AD3252^2*R_dn)-dpdn_minQ</f>
        <v>60</v>
      </c>
      <c r="AE3255" s="107"/>
      <c r="AF3255" s="1"/>
      <c r="AG3255" s="97">
        <f ca="1">P_2_minQ+(AG3252^2*R_dn)-dpdn_minQ</f>
        <v>60</v>
      </c>
      <c r="AH3255" s="107"/>
      <c r="AI3255" s="1"/>
      <c r="AJ3255" s="97">
        <f ca="1">P_2_minQ+(AJ3252^2*R_dn)-dpdn_minQ</f>
        <v>60</v>
      </c>
      <c r="AK3255" s="107"/>
      <c r="AL3255" s="1"/>
      <c r="AM3255" s="97">
        <f ca="1">P_2_minQ+(AM3252^2*R_dn)-dpdn_minQ</f>
        <v>60</v>
      </c>
      <c r="AN3255" s="107"/>
      <c r="AO3255" s="1"/>
      <c r="AP3255" s="97">
        <f ca="1">P_2_minQ+(AP3252^2*R_dn)-dpdn_minQ</f>
        <v>60</v>
      </c>
      <c r="AQ3255" s="107"/>
      <c r="AR3255" s="1"/>
      <c r="AS3255" s="97">
        <f ca="1">P_2_minQ+(AS3252^2*R_dn)-dpdn_minQ</f>
        <v>60</v>
      </c>
      <c r="AT3255" s="107"/>
      <c r="AU3255" s="1"/>
    </row>
    <row r="3256" spans="15:47" x14ac:dyDescent="0.25">
      <c r="O3256" s="8" t="s">
        <v>138</v>
      </c>
      <c r="P3256" s="1"/>
      <c r="Q3256" s="8"/>
      <c r="R3256" s="97">
        <f>R3254-R3255</f>
        <v>30.017798329141272</v>
      </c>
      <c r="S3256" s="106"/>
      <c r="T3256" s="22"/>
      <c r="U3256" s="97">
        <f ca="1">U3254-U3255</f>
        <v>27.755292013732472</v>
      </c>
      <c r="V3256" s="110"/>
      <c r="W3256" s="25"/>
      <c r="X3256" s="97">
        <f ca="1">X3254-X3255</f>
        <v>15.616749575267761</v>
      </c>
      <c r="Y3256" s="110"/>
      <c r="Z3256" s="25"/>
      <c r="AA3256" s="97">
        <f ca="1">AA3254-AA3255</f>
        <v>-25.082825144044023</v>
      </c>
      <c r="AB3256" s="110"/>
      <c r="AC3256" s="25"/>
      <c r="AD3256" s="97">
        <f ca="1">AD3254-AD3255</f>
        <v>-125.37411138862112</v>
      </c>
      <c r="AE3256" s="110"/>
      <c r="AF3256" s="25"/>
      <c r="AG3256" s="97">
        <f ca="1">AG3254-AG3255</f>
        <v>-301.19013765342964</v>
      </c>
      <c r="AH3256" s="110"/>
      <c r="AI3256" s="25"/>
      <c r="AJ3256" s="97">
        <f ca="1">AJ3254-AJ3255</f>
        <v>-559.96121198654487</v>
      </c>
      <c r="AK3256" s="110"/>
      <c r="AL3256" s="25"/>
      <c r="AM3256" s="97">
        <f ca="1">AM3254-AM3255</f>
        <v>-848.46231235500488</v>
      </c>
      <c r="AN3256" s="110"/>
      <c r="AO3256" s="25"/>
      <c r="AP3256" s="97">
        <f ca="1">AP3254-AP3255</f>
        <v>-1154.0988410162715</v>
      </c>
      <c r="AQ3256" s="110"/>
      <c r="AR3256" s="25"/>
      <c r="AS3256" s="97">
        <f ca="1">AS3254-AS3255</f>
        <v>-1598.135043136768</v>
      </c>
      <c r="AT3256" s="110"/>
      <c r="AU3256" s="25"/>
    </row>
    <row r="3257" spans="15:47" ht="14.4" x14ac:dyDescent="0.3">
      <c r="O3257" s="2" t="s">
        <v>140</v>
      </c>
      <c r="P3257" s="11"/>
      <c r="Q3257" s="2"/>
      <c r="R3257" s="96">
        <f>R3256/R3254</f>
        <v>0.33346514674113814</v>
      </c>
      <c r="S3257" s="106"/>
      <c r="T3257" s="22"/>
      <c r="U3257" s="96">
        <f ca="1">U3256/U3254</f>
        <v>0.31628054988853732</v>
      </c>
      <c r="V3257" s="111"/>
      <c r="W3257" s="28"/>
      <c r="X3257" s="96">
        <f ca="1">X3256/X3254</f>
        <v>0.20652500488298675</v>
      </c>
      <c r="Y3257" s="111"/>
      <c r="Z3257" s="28"/>
      <c r="AA3257" s="96">
        <f ca="1">AA3256/AA3254</f>
        <v>-0.71835207881274321</v>
      </c>
      <c r="AB3257" s="111"/>
      <c r="AC3257" s="28"/>
      <c r="AD3257" s="96">
        <f ca="1">AD3256/AD3254</f>
        <v>1.9177945019141549</v>
      </c>
      <c r="AE3257" s="111"/>
      <c r="AF3257" s="28"/>
      <c r="AG3257" s="96">
        <f ca="1">AG3256/AG3254</f>
        <v>1.2487663906316728</v>
      </c>
      <c r="AH3257" s="111"/>
      <c r="AI3257" s="28"/>
      <c r="AJ3257" s="96">
        <f ca="1">AJ3256/AJ3254</f>
        <v>1.12000930984545</v>
      </c>
      <c r="AK3257" s="111"/>
      <c r="AL3257" s="28"/>
      <c r="AM3257" s="96">
        <f ca="1">AM3256/AM3254</f>
        <v>1.0760974862841448</v>
      </c>
      <c r="AN3257" s="111"/>
      <c r="AO3257" s="28"/>
      <c r="AP3257" s="96">
        <f ca="1">AP3256/AP3254</f>
        <v>1.054839652278827</v>
      </c>
      <c r="AQ3257" s="111"/>
      <c r="AR3257" s="28"/>
      <c r="AS3257" s="96">
        <f ca="1">AS3256/AS3254</f>
        <v>1.0390082784133441</v>
      </c>
      <c r="AT3257" s="111"/>
      <c r="AU3257" s="28"/>
    </row>
    <row r="3258" spans="15:47" x14ac:dyDescent="0.25">
      <c r="O3258" s="2" t="s">
        <v>21</v>
      </c>
      <c r="P3258" s="8">
        <v>12</v>
      </c>
      <c r="Q3258" s="2"/>
      <c r="R3258" s="96">
        <f ca="1">1-R3257/(3*F_GAMMA*R$29)</f>
        <v>0.82632829485021164</v>
      </c>
      <c r="S3258" s="106"/>
      <c r="T3258" s="22"/>
      <c r="U3258" s="96">
        <f ca="1">1-U3257/(3*F_GAMMA*U$29)</f>
        <v>0.83531645776806818</v>
      </c>
      <c r="V3258" s="111"/>
      <c r="W3258" s="28"/>
      <c r="X3258" s="96">
        <f ca="1">1-X3257/(3*F_GAMMA*X$29)</f>
        <v>0.89144068284966949</v>
      </c>
      <c r="Y3258" s="111"/>
      <c r="Z3258" s="28"/>
      <c r="AA3258" s="96">
        <f ca="1">1-AA3257/(3*F_GAMMA*AA$29)</f>
        <v>1.3829225296690031</v>
      </c>
      <c r="AB3258" s="111"/>
      <c r="AC3258" s="28"/>
      <c r="AD3258" s="96">
        <f ca="1">1-AD3257/(3*F_GAMMA*AD$29)</f>
        <v>-5.3999183439662257E-2</v>
      </c>
      <c r="AE3258" s="111"/>
      <c r="AF3258" s="28"/>
      <c r="AG3258" s="96">
        <f ca="1">1-AG3257/(3*F_GAMMA*AG$29)</f>
        <v>0.27250870120615223</v>
      </c>
      <c r="AH3258" s="111"/>
      <c r="AI3258" s="28"/>
      <c r="AJ3258" s="96">
        <f ca="1">1-AJ3257/(3*F_GAMMA*AJ$29)</f>
        <v>0.29801918489566137</v>
      </c>
      <c r="AK3258" s="111"/>
      <c r="AL3258" s="28"/>
      <c r="AM3258" s="96">
        <f ca="1">1-AM3257/(3*F_GAMMA*AM$29)</f>
        <v>0.2458998080395739</v>
      </c>
      <c r="AN3258" s="111"/>
      <c r="AO3258" s="28"/>
      <c r="AP3258" s="96">
        <f ca="1">1-AP3257/(3*F_GAMMA*AP$29)</f>
        <v>0.40459194110497521</v>
      </c>
      <c r="AQ3258" s="111"/>
      <c r="AR3258" s="28"/>
      <c r="AS3258" s="96">
        <f ca="1">1-AS3257/(3*F_GAMMA*AS$29)</f>
        <v>8.0580493771825412E-2</v>
      </c>
      <c r="AT3258" s="111"/>
      <c r="AU3258" s="28"/>
    </row>
    <row r="3259" spans="15:47" x14ac:dyDescent="0.25">
      <c r="O3259" s="2" t="s">
        <v>57</v>
      </c>
      <c r="P3259" s="143">
        <v>7</v>
      </c>
      <c r="Q3259" s="2"/>
      <c r="R3259" s="96">
        <f ca="1">(R3252/(N_9*R$27*R3254*R3258))*SQRT(M*'Valve Sizing'!$W$6*'Valve Sizing'!$G$8/R3257)</f>
        <v>12.268909641186353</v>
      </c>
      <c r="S3259" s="107"/>
      <c r="T3259" s="22"/>
      <c r="U3259" s="96">
        <f ca="1">(U3252/(N_9*U$27*U3254*U3258))*SQRT(M*'Valve Sizing'!$W$6*'Valve Sizing'!$G$8/U3257)</f>
        <v>48.757810586984185</v>
      </c>
      <c r="V3259" s="111"/>
      <c r="W3259" s="28"/>
      <c r="X3259" s="96">
        <f ca="1">(X3252/(N_9*X$27*X3254*X3258))*SQRT(M*'Valve Sizing'!$W$6*'Valve Sizing'!$G$8/X3257)</f>
        <v>161.03870040613768</v>
      </c>
      <c r="Y3259" s="111"/>
      <c r="Z3259" s="28"/>
      <c r="AA3259" s="96" t="e">
        <f ca="1">(AA3252/(N_9*AA$27*AA3254*AA3258))*SQRT(M*'Valve Sizing'!$W$6*'Valve Sizing'!$G$8/AA3257)</f>
        <v>#NUM!</v>
      </c>
      <c r="AB3259" s="111"/>
      <c r="AC3259" s="28"/>
      <c r="AD3259" s="96">
        <f ca="1">(AD3252/(N_9*AD$27*AD3254*AD3258))*SQRT(M*'Valve Sizing'!$W$6*'Valve Sizing'!$G$8/AD3257)</f>
        <v>3358.0952854186098</v>
      </c>
      <c r="AE3259" s="111"/>
      <c r="AF3259" s="28"/>
      <c r="AG3259" s="96">
        <f ca="1">(AG3252/(N_9*AG$27*AG3254*AG3258))*SQRT(M*'Valve Sizing'!$W$6*'Valve Sizing'!$G$8/AG3257)</f>
        <v>-333.56773666654777</v>
      </c>
      <c r="AH3259" s="111"/>
      <c r="AI3259" s="28"/>
      <c r="AJ3259" s="96">
        <f ca="1">(AJ3252/(N_9*AJ$27*AJ3254*AJ3258))*SQRT(M*'Valve Sizing'!$W$6*'Valve Sizing'!$G$8/AJ3257)</f>
        <v>-214.84046612145221</v>
      </c>
      <c r="AK3259" s="111"/>
      <c r="AL3259" s="28"/>
      <c r="AM3259" s="96">
        <f ca="1">(AM3252/(N_9*AM$27*AM3254*AM3258))*SQRT(M*'Valve Sizing'!$W$6*'Valve Sizing'!$G$8/AM3257)</f>
        <v>-218.0663566346816</v>
      </c>
      <c r="AN3259" s="111"/>
      <c r="AO3259" s="28"/>
      <c r="AP3259" s="96">
        <f ca="1">(AP3252/(N_9*AP$27*AP3254*AP3258))*SQRT(M*'Valve Sizing'!$W$6*'Valve Sizing'!$G$8/AP3257)</f>
        <v>-127.47460306490929</v>
      </c>
      <c r="AQ3259" s="111"/>
      <c r="AR3259" s="28"/>
      <c r="AS3259" s="96">
        <f ca="1">(AS3252/(N_9*AS$27*AS3254*AS3258))*SQRT(M*'Valve Sizing'!$W$6*'Valve Sizing'!$G$8/AS3257)</f>
        <v>-720.45321391416905</v>
      </c>
      <c r="AT3259" s="111"/>
      <c r="AU3259" s="28"/>
    </row>
    <row r="3260" spans="15:47" x14ac:dyDescent="0.25">
      <c r="O3260" s="2" t="s">
        <v>59</v>
      </c>
      <c r="P3260" s="143">
        <v>7</v>
      </c>
      <c r="Q3260" s="2"/>
      <c r="R3260" s="96">
        <f ca="1">(R3252/(N_9*R$27*R3254*0.667))*SQRT(M*'Valve Sizing'!$W$6*'Valve Sizing'!$G$8/R3261)</f>
        <v>10.971295678352421</v>
      </c>
      <c r="S3260" s="107"/>
      <c r="T3260" s="22"/>
      <c r="U3260" s="96">
        <f ca="1">(U3252/(N_9*U$27*U3254*0.667))*SQRT(M*'Valve Sizing'!$W$6*'Valve Sizing'!$G$8/U3261)</f>
        <v>42.919546791413808</v>
      </c>
      <c r="V3260" s="111"/>
      <c r="W3260" s="28"/>
      <c r="X3260" s="96">
        <f ca="1">(X3252/(N_9*X$27*X3254*0.667))*SQRT(M*'Valve Sizing'!$W$6*'Valve Sizing'!$G$8/X3261)</f>
        <v>122.82621027817849</v>
      </c>
      <c r="Y3260" s="111"/>
      <c r="Z3260" s="28"/>
      <c r="AA3260" s="96">
        <f ca="1">(AA3252/(N_9*AA$27*AA3254*0.667))*SQRT(M*'Valve Sizing'!$W$6*'Valve Sizing'!$G$8/AA3261)</f>
        <v>524.82096345763887</v>
      </c>
      <c r="AB3260" s="111"/>
      <c r="AC3260" s="28"/>
      <c r="AD3260" s="96">
        <f ca="1">(AD3252/(N_9*AD$27*AD3254*0.667))*SQRT(M*'Valve Sizing'!$W$6*'Valve Sizing'!$G$8/AD3261)</f>
        <v>-483.43171483029658</v>
      </c>
      <c r="AE3260" s="111"/>
      <c r="AF3260" s="28"/>
      <c r="AG3260" s="96">
        <f ca="1">(AG3252/(N_9*AG$27*AG3254*0.667))*SQRT(M*'Valve Sizing'!$W$6*'Valve Sizing'!$G$8/AG3261)</f>
        <v>-201.33213877385188</v>
      </c>
      <c r="AH3260" s="111"/>
      <c r="AI3260" s="28"/>
      <c r="AJ3260" s="96">
        <f ca="1">(AJ3252/(N_9*AJ$27*AJ3254*0.667))*SQRT(M*'Valve Sizing'!$W$6*'Valve Sizing'!$G$8/AJ3261)</f>
        <v>-139.30211924916588</v>
      </c>
      <c r="AK3260" s="111"/>
      <c r="AL3260" s="28"/>
      <c r="AM3260" s="96">
        <f ca="1">(AM3252/(N_9*AM$27*AM3254*0.667))*SQRT(M*'Valve Sizing'!$W$6*'Valve Sizing'!$G$8/AM3261)</f>
        <v>-120.91945370652033</v>
      </c>
      <c r="AN3260" s="111"/>
      <c r="AO3260" s="28"/>
      <c r="AP3260" s="96">
        <f ca="1">(AP3252/(N_9*AP$27*AP3254*0.667))*SQRT(M*'Valve Sizing'!$W$6*'Valve Sizing'!$G$8/AP3261)</f>
        <v>-103.34347098129889</v>
      </c>
      <c r="AQ3260" s="111"/>
      <c r="AR3260" s="28"/>
      <c r="AS3260" s="96">
        <f ca="1">(AS3252/(N_9*AS$27*AS3254*0.667))*SQRT(M*'Valve Sizing'!$W$6*'Valve Sizing'!$G$8/AS3261)</f>
        <v>-144.55308261722291</v>
      </c>
      <c r="AT3260" s="111"/>
      <c r="AU3260" s="28"/>
    </row>
    <row r="3261" spans="15:47" ht="15.6" x14ac:dyDescent="0.35">
      <c r="O3261" s="2" t="s">
        <v>68</v>
      </c>
      <c r="P3261" s="143">
        <v>10</v>
      </c>
      <c r="Q3261" s="2"/>
      <c r="R3261" s="96">
        <f ca="1">F_GAMMA*R$29</f>
        <v>0.64002969751372984</v>
      </c>
      <c r="S3261" s="107"/>
      <c r="T3261" s="1"/>
      <c r="U3261" s="96">
        <f ca="1">F_GAMMA*U$29</f>
        <v>0.64017842058782071</v>
      </c>
      <c r="V3261" s="111"/>
      <c r="W3261" s="28"/>
      <c r="X3261" s="96">
        <f ca="1">F_GAMMA*X$29</f>
        <v>0.63413873724904268</v>
      </c>
      <c r="Y3261" s="111"/>
      <c r="Z3261" s="28"/>
      <c r="AA3261" s="96">
        <f ca="1">F_GAMMA*AA$29</f>
        <v>0.62532411750377137</v>
      </c>
      <c r="AB3261" s="111"/>
      <c r="AC3261" s="28"/>
      <c r="AD3261" s="96">
        <f ca="1">F_GAMMA*AD$29</f>
        <v>0.60651359509139569</v>
      </c>
      <c r="AE3261" s="111"/>
      <c r="AF3261" s="28"/>
      <c r="AG3261" s="96">
        <f ca="1">F_GAMMA*AG$29</f>
        <v>0.57217930198481592</v>
      </c>
      <c r="AH3261" s="111"/>
      <c r="AI3261" s="28"/>
      <c r="AJ3261" s="96">
        <f ca="1">F_GAMMA*AJ$29</f>
        <v>0.53183282018848232</v>
      </c>
      <c r="AK3261" s="111"/>
      <c r="AL3261" s="28"/>
      <c r="AM3261" s="96">
        <f ca="1">F_GAMMA*AM$29</f>
        <v>0.47566512503094399</v>
      </c>
      <c r="AN3261" s="111"/>
      <c r="AO3261" s="28"/>
      <c r="AP3261" s="96">
        <f ca="1">F_GAMMA*AP$29</f>
        <v>0.59054158265645496</v>
      </c>
      <c r="AQ3261" s="111"/>
      <c r="AR3261" s="28"/>
      <c r="AS3261" s="96">
        <f ca="1">F_GAMMA*AS$29</f>
        <v>0.3766899554102966</v>
      </c>
      <c r="AT3261" s="111"/>
      <c r="AU3261" s="28"/>
    </row>
    <row r="3262" spans="15:47" x14ac:dyDescent="0.25">
      <c r="O3262" s="2" t="s">
        <v>145</v>
      </c>
      <c r="P3262" s="12"/>
      <c r="Q3262" s="2"/>
      <c r="R3262" s="96">
        <f ca="1">IF(R3257&lt;R3261,R3259,R3260)</f>
        <v>12.268909641186353</v>
      </c>
      <c r="S3262" s="116"/>
      <c r="T3262" s="1"/>
      <c r="U3262" s="96">
        <f ca="1">IF(U3257&lt;U3261,U3259,U3260)</f>
        <v>48.757810586984185</v>
      </c>
      <c r="V3262" s="111"/>
      <c r="W3262" s="28"/>
      <c r="X3262" s="96">
        <f ca="1">IF(X3257&lt;X3261,X3259,X3260)</f>
        <v>161.03870040613768</v>
      </c>
      <c r="Y3262" s="111"/>
      <c r="Z3262" s="28"/>
      <c r="AA3262" s="96" t="e">
        <f ca="1">IF(AA3257&lt;AA3261,AA3259,AA3260)</f>
        <v>#NUM!</v>
      </c>
      <c r="AB3262" s="111"/>
      <c r="AC3262" s="28"/>
      <c r="AD3262" s="96">
        <f ca="1">IF(AD3257&lt;AD3261,AD3259,AD3260)</f>
        <v>-483.43171483029658</v>
      </c>
      <c r="AE3262" s="111"/>
      <c r="AF3262" s="28"/>
      <c r="AG3262" s="96">
        <f ca="1">IF(AG3257&lt;AG3261,AG3259,AG3260)</f>
        <v>-201.33213877385188</v>
      </c>
      <c r="AH3262" s="111"/>
      <c r="AI3262" s="28"/>
      <c r="AJ3262" s="96">
        <f ca="1">IF(AJ3257&lt;AJ3261,AJ3259,AJ3260)</f>
        <v>-139.30211924916588</v>
      </c>
      <c r="AK3262" s="111"/>
      <c r="AL3262" s="28"/>
      <c r="AM3262" s="96">
        <f ca="1">IF(AM3257&lt;AM3261,AM3259,AM3260)</f>
        <v>-120.91945370652033</v>
      </c>
      <c r="AN3262" s="111"/>
      <c r="AO3262" s="28"/>
      <c r="AP3262" s="96">
        <f ca="1">IF(AP3257&lt;AP3261,AP3259,AP3260)</f>
        <v>-103.34347098129889</v>
      </c>
      <c r="AQ3262" s="111"/>
      <c r="AR3262" s="28"/>
      <c r="AS3262" s="96">
        <f ca="1">IF(AS3257&lt;AS3261,AS3259,AS3260)</f>
        <v>-144.55308261722291</v>
      </c>
      <c r="AT3262" s="111"/>
      <c r="AU3262" s="28"/>
    </row>
    <row r="3263" spans="15:47" x14ac:dyDescent="0.25">
      <c r="O3263" s="13" t="s">
        <v>143</v>
      </c>
      <c r="P3263" s="1"/>
      <c r="Q3263" s="1"/>
      <c r="R3263" s="113"/>
      <c r="S3263" s="106">
        <f ca="1">IF(R3256&lt;=0,Q_max,ABS(R$23-R3262))</f>
        <v>7.5389096411863523</v>
      </c>
      <c r="T3263" s="7">
        <f>R3252</f>
        <v>30291.875890573359</v>
      </c>
      <c r="U3263" s="98"/>
      <c r="V3263" s="106">
        <f ca="1">IF(U3256&lt;=0,Q_max,ABS(U$23-U3262))</f>
        <v>37.157810586984183</v>
      </c>
      <c r="W3263" s="9">
        <f ca="1">U3252</f>
        <v>115460.62239111737</v>
      </c>
      <c r="X3263" s="98"/>
      <c r="Y3263" s="106">
        <f ca="1">IF(X3256&lt;=0,Q_max,ABS(X$23-X3262))</f>
        <v>138.03870040613768</v>
      </c>
      <c r="Z3263" s="9">
        <f ca="1">X3252</f>
        <v>282720.65262214019</v>
      </c>
      <c r="AA3263" s="98"/>
      <c r="AB3263" s="106">
        <f ca="1">IF(AA3256&lt;=0,Q_max,ABS(AA$23-AA3262))</f>
        <v>236393</v>
      </c>
      <c r="AC3263" s="9">
        <f ca="1">AA3252</f>
        <v>550667.66815808904</v>
      </c>
      <c r="AD3263" s="98"/>
      <c r="AE3263" s="106">
        <f ca="1">IF(AD3256&lt;=0,Q_max,ABS(AD$23-AD3262))</f>
        <v>236393</v>
      </c>
      <c r="AF3263" s="9">
        <f ca="1">AD3252</f>
        <v>923849.04627665912</v>
      </c>
      <c r="AG3263" s="98"/>
      <c r="AH3263" s="106">
        <f ca="1">IF(AG3256&lt;=0,Q_max,ABS(AG$23-AG3262))</f>
        <v>236393</v>
      </c>
      <c r="AI3263" s="9">
        <f ca="1">AG3252</f>
        <v>1348382.8451243842</v>
      </c>
      <c r="AJ3263" s="98"/>
      <c r="AK3263" s="106">
        <f ca="1">IF(AJ3256&lt;=0,Q_max,ABS(AJ$23-AJ3262))</f>
        <v>236393</v>
      </c>
      <c r="AL3263" s="9">
        <f ca="1">AJ3252</f>
        <v>1799422.1339152462</v>
      </c>
      <c r="AM3263" s="98"/>
      <c r="AN3263" s="106">
        <f ca="1">IF(AM3256&lt;=0,Q_max,ABS(AM$23-AM3262))</f>
        <v>236393</v>
      </c>
      <c r="AO3263" s="9">
        <f ca="1">AM3252</f>
        <v>2195636.9654652998</v>
      </c>
      <c r="AP3263" s="98"/>
      <c r="AQ3263" s="106">
        <f ca="1">IF(AP3256&lt;=0,Q_max,ABS(AP$23-AP3262))</f>
        <v>236393</v>
      </c>
      <c r="AR3263" s="9">
        <f ca="1">AP3252</f>
        <v>2549066.3541680025</v>
      </c>
      <c r="AS3263" s="98"/>
      <c r="AT3263" s="106">
        <f ca="1">IF(AS3256&lt;=0,Q_max,ABS(AS$23-AS3262))</f>
        <v>236393</v>
      </c>
      <c r="AU3263" s="9">
        <f ca="1">AS3252</f>
        <v>2988980.7713909093</v>
      </c>
    </row>
    <row r="3264" spans="15:47" x14ac:dyDescent="0.25">
      <c r="O3264" s="21"/>
      <c r="P3264" s="14"/>
      <c r="Q3264" s="21"/>
      <c r="R3264" s="97"/>
      <c r="S3264" s="106"/>
      <c r="T3264" s="28"/>
      <c r="U3264" s="97"/>
      <c r="V3264" s="111"/>
      <c r="W3264" s="28"/>
      <c r="X3264" s="97"/>
      <c r="Y3264" s="111"/>
      <c r="Z3264" s="28"/>
      <c r="AA3264" s="97"/>
      <c r="AB3264" s="111"/>
      <c r="AC3264" s="28"/>
      <c r="AD3264" s="97"/>
      <c r="AE3264" s="111"/>
      <c r="AF3264" s="28"/>
      <c r="AG3264" s="97"/>
      <c r="AH3264" s="111"/>
      <c r="AI3264" s="28"/>
      <c r="AJ3264" s="97"/>
      <c r="AK3264" s="111"/>
      <c r="AL3264" s="28"/>
      <c r="AM3264" s="97"/>
      <c r="AN3264" s="111"/>
      <c r="AO3264" s="28"/>
      <c r="AP3264" s="97"/>
      <c r="AQ3264" s="111"/>
      <c r="AR3264" s="28"/>
      <c r="AS3264" s="97"/>
      <c r="AT3264" s="111"/>
      <c r="AU3264" s="28"/>
    </row>
    <row r="3265" spans="15:47" x14ac:dyDescent="0.25">
      <c r="O3265" s="1"/>
      <c r="P3265" s="1"/>
      <c r="Q3265" s="1"/>
      <c r="R3265" s="98"/>
      <c r="S3265" s="108" t="s">
        <v>137</v>
      </c>
      <c r="T3265" s="26" t="s">
        <v>146</v>
      </c>
      <c r="U3265" s="98"/>
      <c r="V3265" s="108" t="s">
        <v>137</v>
      </c>
      <c r="W3265" s="26" t="s">
        <v>146</v>
      </c>
      <c r="X3265" s="98"/>
      <c r="Y3265" s="108" t="s">
        <v>137</v>
      </c>
      <c r="Z3265" s="26" t="s">
        <v>146</v>
      </c>
      <c r="AA3265" s="98"/>
      <c r="AB3265" s="108" t="s">
        <v>137</v>
      </c>
      <c r="AC3265" s="26" t="s">
        <v>146</v>
      </c>
      <c r="AD3265" s="98"/>
      <c r="AE3265" s="108" t="s">
        <v>137</v>
      </c>
      <c r="AF3265" s="26" t="s">
        <v>146</v>
      </c>
      <c r="AG3265" s="98"/>
      <c r="AH3265" s="108" t="s">
        <v>137</v>
      </c>
      <c r="AI3265" s="26" t="s">
        <v>146</v>
      </c>
      <c r="AJ3265" s="98"/>
      <c r="AK3265" s="108" t="s">
        <v>137</v>
      </c>
      <c r="AL3265" s="26" t="s">
        <v>146</v>
      </c>
      <c r="AM3265" s="98"/>
      <c r="AN3265" s="108" t="s">
        <v>137</v>
      </c>
      <c r="AO3265" s="26" t="s">
        <v>146</v>
      </c>
      <c r="AP3265" s="98"/>
      <c r="AQ3265" s="108" t="s">
        <v>137</v>
      </c>
      <c r="AR3265" s="26" t="s">
        <v>146</v>
      </c>
      <c r="AS3265" s="98"/>
      <c r="AT3265" s="108" t="s">
        <v>137</v>
      </c>
      <c r="AU3265" s="26" t="s">
        <v>146</v>
      </c>
    </row>
    <row r="3266" spans="15:47" ht="13.8" x14ac:dyDescent="0.25">
      <c r="O3266" s="20" t="s">
        <v>136</v>
      </c>
      <c r="P3266" s="1"/>
      <c r="Q3266" s="1"/>
      <c r="R3266" s="96">
        <f>R3252*1.02</f>
        <v>30897.713408384829</v>
      </c>
      <c r="S3266" s="109" t="s">
        <v>144</v>
      </c>
      <c r="T3266" s="23" t="s">
        <v>147</v>
      </c>
      <c r="U3266" s="96">
        <f ca="1">U3252*1.01</f>
        <v>116615.22861502855</v>
      </c>
      <c r="V3266" s="109" t="s">
        <v>144</v>
      </c>
      <c r="W3266" s="23" t="s">
        <v>147</v>
      </c>
      <c r="X3266" s="96">
        <f ca="1">X3252*1.01</f>
        <v>285547.8591483616</v>
      </c>
      <c r="Y3266" s="109" t="s">
        <v>144</v>
      </c>
      <c r="Z3266" s="23" t="s">
        <v>147</v>
      </c>
      <c r="AA3266" s="96">
        <f ca="1">AA3252*1.01</f>
        <v>556174.34483967</v>
      </c>
      <c r="AB3266" s="109" t="s">
        <v>144</v>
      </c>
      <c r="AC3266" s="23" t="s">
        <v>147</v>
      </c>
      <c r="AD3266" s="96">
        <f ca="1">AD3252*1.01</f>
        <v>933087.53673942573</v>
      </c>
      <c r="AE3266" s="109" t="s">
        <v>144</v>
      </c>
      <c r="AF3266" s="23" t="s">
        <v>147</v>
      </c>
      <c r="AG3266" s="96">
        <f ca="1">AG3252*1.01</f>
        <v>1361866.6735756281</v>
      </c>
      <c r="AH3266" s="109" t="s">
        <v>144</v>
      </c>
      <c r="AI3266" s="23" t="s">
        <v>147</v>
      </c>
      <c r="AJ3266" s="96">
        <f ca="1">AJ3252*1.01</f>
        <v>1817416.3552543987</v>
      </c>
      <c r="AK3266" s="109" t="s">
        <v>144</v>
      </c>
      <c r="AL3266" s="23" t="s">
        <v>147</v>
      </c>
      <c r="AM3266" s="96">
        <f ca="1">AM3252*1.01</f>
        <v>2217593.3351199529</v>
      </c>
      <c r="AN3266" s="109" t="s">
        <v>144</v>
      </c>
      <c r="AO3266" s="23" t="s">
        <v>147</v>
      </c>
      <c r="AP3266" s="96">
        <f ca="1">AP3252*1.01</f>
        <v>2574557.0177096827</v>
      </c>
      <c r="AQ3266" s="109" t="s">
        <v>144</v>
      </c>
      <c r="AR3266" s="23" t="s">
        <v>147</v>
      </c>
      <c r="AS3266" s="96">
        <f ca="1">AS3252*1.01</f>
        <v>3018870.5791048184</v>
      </c>
      <c r="AT3266" s="109" t="s">
        <v>144</v>
      </c>
      <c r="AU3266" s="23" t="s">
        <v>147</v>
      </c>
    </row>
    <row r="3267" spans="15:47" x14ac:dyDescent="0.25">
      <c r="O3267" s="1"/>
      <c r="P3267" s="1"/>
      <c r="Q3267" s="1"/>
      <c r="R3267" s="98"/>
      <c r="S3267" s="107"/>
      <c r="T3267" s="1"/>
      <c r="U3267" s="47"/>
      <c r="V3267" s="107"/>
      <c r="W3267" s="1"/>
      <c r="X3267" s="47"/>
      <c r="Y3267" s="107"/>
      <c r="Z3267" s="1"/>
      <c r="AA3267" s="47"/>
      <c r="AB3267" s="107"/>
      <c r="AC3267" s="1"/>
      <c r="AD3267" s="47"/>
      <c r="AE3267" s="107"/>
      <c r="AF3267" s="1"/>
      <c r="AG3267" s="47"/>
      <c r="AH3267" s="107"/>
      <c r="AI3267" s="1"/>
      <c r="AJ3267" s="47"/>
      <c r="AK3267" s="107"/>
      <c r="AL3267" s="1"/>
      <c r="AM3267" s="47"/>
      <c r="AN3267" s="107"/>
      <c r="AO3267" s="1"/>
      <c r="AP3267" s="47"/>
      <c r="AQ3267" s="107"/>
      <c r="AR3267" s="1"/>
      <c r="AS3267" s="47"/>
      <c r="AT3267" s="107"/>
      <c r="AU3267" s="1"/>
    </row>
    <row r="3268" spans="15:47" x14ac:dyDescent="0.25">
      <c r="O3268" s="8" t="s">
        <v>132</v>
      </c>
      <c r="P3268" s="8"/>
      <c r="Q3268" s="8"/>
      <c r="R3268" s="96">
        <f>P_1_minQ-(R3266^2*R_up)+dpup_minQ</f>
        <v>90.011041744216257</v>
      </c>
      <c r="S3268" s="106"/>
      <c r="T3268" s="22"/>
      <c r="U3268" s="96">
        <f ca="1">P_1_minQ-(U3266^2*R_up)+dpup_minQ</f>
        <v>87.706454068550357</v>
      </c>
      <c r="V3268" s="107"/>
      <c r="W3268" s="1"/>
      <c r="X3268" s="96">
        <f ca="1">P_1_minQ-(X3266^2*R_up)+dpup_minQ</f>
        <v>75.323926927072506</v>
      </c>
      <c r="Y3268" s="107"/>
      <c r="Z3268" s="1"/>
      <c r="AA3268" s="96">
        <f ca="1">P_1_minQ-(AA3266^2*R_up)+dpup_minQ</f>
        <v>33.806290755902545</v>
      </c>
      <c r="AB3268" s="107"/>
      <c r="AC3268" s="1"/>
      <c r="AD3268" s="96">
        <f ca="1">P_1_minQ-(AD3266^2*R_up)+dpup_minQ</f>
        <v>-68.500850342190546</v>
      </c>
      <c r="AE3268" s="107"/>
      <c r="AF3268" s="1"/>
      <c r="AG3268" s="96">
        <f ca="1">P_1_minQ-(AG3266^2*R_up)+dpup_minQ</f>
        <v>-247.85077873492179</v>
      </c>
      <c r="AH3268" s="107"/>
      <c r="AI3268" s="1"/>
      <c r="AJ3268" s="96">
        <f ca="1">P_1_minQ-(AJ3266^2*R_up)+dpup_minQ</f>
        <v>-511.8231516621326</v>
      </c>
      <c r="AK3268" s="107"/>
      <c r="AL3268" s="1"/>
      <c r="AM3268" s="96">
        <f ca="1">P_1_minQ-(AM3266^2*R_up)+dpup_minQ</f>
        <v>-806.12312414799874</v>
      </c>
      <c r="AN3268" s="107"/>
      <c r="AO3268" s="1"/>
      <c r="AP3268" s="96">
        <f ca="1">P_1_minQ-(AP3266^2*R_up)+dpup_minQ</f>
        <v>-1117.9029470353569</v>
      </c>
      <c r="AQ3268" s="107"/>
      <c r="AR3268" s="1"/>
      <c r="AS3268" s="96">
        <f ca="1">P_1_minQ-(AS3266^2*R_up)+dpup_minQ</f>
        <v>-1570.8642768184752</v>
      </c>
      <c r="AT3268" s="107"/>
      <c r="AU3268" s="1"/>
    </row>
    <row r="3269" spans="15:47" x14ac:dyDescent="0.25">
      <c r="O3269" s="8" t="s">
        <v>134</v>
      </c>
      <c r="P3269" s="1"/>
      <c r="Q3269" s="8"/>
      <c r="R3269" s="97">
        <f>P_2_minQ+(R3266^2*R_dn)-dpdn_minQ</f>
        <v>60</v>
      </c>
      <c r="S3269" s="106"/>
      <c r="T3269" s="22"/>
      <c r="U3269" s="97">
        <f ca="1">P_2_minQ+(U3266^2*R_dn)-dpdn_minQ</f>
        <v>60</v>
      </c>
      <c r="V3269" s="107"/>
      <c r="W3269" s="1"/>
      <c r="X3269" s="97">
        <f ca="1">P_2_minQ+(X3266^2*R_dn)-dpdn_minQ</f>
        <v>60</v>
      </c>
      <c r="Y3269" s="107"/>
      <c r="Z3269" s="1"/>
      <c r="AA3269" s="97">
        <f ca="1">P_2_minQ+(AA3266^2*R_dn)-dpdn_minQ</f>
        <v>60</v>
      </c>
      <c r="AB3269" s="107"/>
      <c r="AC3269" s="1"/>
      <c r="AD3269" s="97">
        <f ca="1">P_2_minQ+(AD3266^2*R_dn)-dpdn_minQ</f>
        <v>60</v>
      </c>
      <c r="AE3269" s="107"/>
      <c r="AF3269" s="1"/>
      <c r="AG3269" s="97">
        <f ca="1">P_2_minQ+(AG3266^2*R_dn)-dpdn_minQ</f>
        <v>60</v>
      </c>
      <c r="AH3269" s="107"/>
      <c r="AI3269" s="1"/>
      <c r="AJ3269" s="97">
        <f ca="1">P_2_minQ+(AJ3266^2*R_dn)-dpdn_minQ</f>
        <v>60</v>
      </c>
      <c r="AK3269" s="107"/>
      <c r="AL3269" s="1"/>
      <c r="AM3269" s="97">
        <f ca="1">P_2_minQ+(AM3266^2*R_dn)-dpdn_minQ</f>
        <v>60</v>
      </c>
      <c r="AN3269" s="107"/>
      <c r="AO3269" s="1"/>
      <c r="AP3269" s="97">
        <f ca="1">P_2_minQ+(AP3266^2*R_dn)-dpdn_minQ</f>
        <v>60</v>
      </c>
      <c r="AQ3269" s="107"/>
      <c r="AR3269" s="1"/>
      <c r="AS3269" s="97">
        <f ca="1">P_2_minQ+(AS3266^2*R_dn)-dpdn_minQ</f>
        <v>60</v>
      </c>
      <c r="AT3269" s="107"/>
      <c r="AU3269" s="1"/>
    </row>
    <row r="3270" spans="15:47" x14ac:dyDescent="0.25">
      <c r="O3270" s="8" t="s">
        <v>138</v>
      </c>
      <c r="P3270" s="1"/>
      <c r="Q3270" s="8"/>
      <c r="R3270" s="97">
        <f>R3268-R3269</f>
        <v>30.011041744216257</v>
      </c>
      <c r="S3270" s="106"/>
      <c r="T3270" s="22"/>
      <c r="U3270" s="97">
        <f ca="1">U3268-U3269</f>
        <v>27.706454068550357</v>
      </c>
      <c r="V3270" s="110"/>
      <c r="W3270" s="25"/>
      <c r="X3270" s="97">
        <f ca="1">X3268-X3269</f>
        <v>15.323926927072506</v>
      </c>
      <c r="Y3270" s="110"/>
      <c r="Z3270" s="25"/>
      <c r="AA3270" s="97">
        <f ca="1">AA3268-AA3269</f>
        <v>-26.193709244097455</v>
      </c>
      <c r="AB3270" s="110"/>
      <c r="AC3270" s="25"/>
      <c r="AD3270" s="97">
        <f ca="1">AD3268-AD3269</f>
        <v>-128.50085034219055</v>
      </c>
      <c r="AE3270" s="110"/>
      <c r="AF3270" s="25"/>
      <c r="AG3270" s="97">
        <f ca="1">AG3268-AG3269</f>
        <v>-307.85077873492179</v>
      </c>
      <c r="AH3270" s="110"/>
      <c r="AI3270" s="25"/>
      <c r="AJ3270" s="97">
        <f ca="1">AJ3268-AJ3269</f>
        <v>-571.82315166213266</v>
      </c>
      <c r="AK3270" s="110"/>
      <c r="AL3270" s="25"/>
      <c r="AM3270" s="97">
        <f ca="1">AM3268-AM3269</f>
        <v>-866.12312414799874</v>
      </c>
      <c r="AN3270" s="110"/>
      <c r="AO3270" s="25"/>
      <c r="AP3270" s="97">
        <f ca="1">AP3268-AP3269</f>
        <v>-1177.9029470353569</v>
      </c>
      <c r="AQ3270" s="110"/>
      <c r="AR3270" s="25"/>
      <c r="AS3270" s="97">
        <f ca="1">AS3268-AS3269</f>
        <v>-1630.8642768184752</v>
      </c>
      <c r="AT3270" s="110"/>
      <c r="AU3270" s="25"/>
    </row>
    <row r="3271" spans="15:47" ht="14.4" x14ac:dyDescent="0.3">
      <c r="O3271" s="2" t="s">
        <v>140</v>
      </c>
      <c r="P3271" s="11"/>
      <c r="Q3271" s="2"/>
      <c r="R3271" s="96">
        <f>R3270/R3268</f>
        <v>0.33341511399788509</v>
      </c>
      <c r="S3271" s="106"/>
      <c r="T3271" s="22"/>
      <c r="U3271" s="96">
        <f ca="1">U3270/U3268</f>
        <v>0.31589983157790547</v>
      </c>
      <c r="V3271" s="111"/>
      <c r="W3271" s="28"/>
      <c r="X3271" s="96">
        <f ca="1">X3270/X3268</f>
        <v>0.20344036154552725</v>
      </c>
      <c r="Y3271" s="111"/>
      <c r="Z3271" s="28"/>
      <c r="AA3271" s="96">
        <f ca="1">AA3270/AA3268</f>
        <v>-0.77481760519746046</v>
      </c>
      <c r="AB3271" s="111"/>
      <c r="AC3271" s="28"/>
      <c r="AD3271" s="96">
        <f ca="1">AD3270/AD3268</f>
        <v>1.8759015355324025</v>
      </c>
      <c r="AE3271" s="111"/>
      <c r="AF3271" s="28"/>
      <c r="AG3271" s="96">
        <f ca="1">AG3270/AG3268</f>
        <v>1.2420811437682446</v>
      </c>
      <c r="AH3271" s="111"/>
      <c r="AI3271" s="28"/>
      <c r="AJ3271" s="96">
        <f ca="1">AJ3270/AJ3268</f>
        <v>1.1172279913582486</v>
      </c>
      <c r="AK3271" s="111"/>
      <c r="AL3271" s="28"/>
      <c r="AM3271" s="96">
        <f ca="1">AM3270/AM3268</f>
        <v>1.0744303174076724</v>
      </c>
      <c r="AN3271" s="111"/>
      <c r="AO3271" s="28"/>
      <c r="AP3271" s="96">
        <f ca="1">AP3270/AP3268</f>
        <v>1.0536719221996131</v>
      </c>
      <c r="AQ3271" s="111"/>
      <c r="AR3271" s="28"/>
      <c r="AS3271" s="96">
        <f ca="1">AS3270/AS3268</f>
        <v>1.0381955340670934</v>
      </c>
      <c r="AT3271" s="111"/>
      <c r="AU3271" s="28"/>
    </row>
    <row r="3272" spans="15:47" x14ac:dyDescent="0.25">
      <c r="O3272" s="2" t="s">
        <v>21</v>
      </c>
      <c r="P3272" s="8">
        <v>12</v>
      </c>
      <c r="Q3272" s="2"/>
      <c r="R3272" s="96">
        <f ca="1">1-R3271/(3*F_GAMMA*R$29)</f>
        <v>0.82635435236152577</v>
      </c>
      <c r="S3272" s="106"/>
      <c r="T3272" s="22"/>
      <c r="U3272" s="96">
        <f ca="1">1-U3271/(3*F_GAMMA*U$29)</f>
        <v>0.83551469329032679</v>
      </c>
      <c r="V3272" s="111"/>
      <c r="W3272" s="28"/>
      <c r="X3272" s="96">
        <f ca="1">1-X3271/(3*F_GAMMA*X$29)</f>
        <v>0.89306211738035335</v>
      </c>
      <c r="Y3272" s="111"/>
      <c r="Z3272" s="28"/>
      <c r="AA3272" s="96">
        <f ca="1">1-AA3271/(3*F_GAMMA*AA$29)</f>
        <v>1.4130218679183799</v>
      </c>
      <c r="AB3272" s="111"/>
      <c r="AC3272" s="28"/>
      <c r="AD3272" s="96">
        <f ca="1">1-AD3271/(3*F_GAMMA*AD$29)</f>
        <v>-3.0975260744002808E-2</v>
      </c>
      <c r="AE3272" s="111"/>
      <c r="AF3272" s="28"/>
      <c r="AG3272" s="96">
        <f ca="1">1-AG3271/(3*F_GAMMA*AG$29)</f>
        <v>0.27640331188747647</v>
      </c>
      <c r="AH3272" s="111"/>
      <c r="AI3272" s="28"/>
      <c r="AJ3272" s="96">
        <f ca="1">1-AJ3271/(3*F_GAMMA*AJ$29)</f>
        <v>0.29976241345773447</v>
      </c>
      <c r="AK3272" s="111"/>
      <c r="AL3272" s="28"/>
      <c r="AM3272" s="96">
        <f ca="1">1-AM3271/(3*F_GAMMA*AM$29)</f>
        <v>0.2470681151732701</v>
      </c>
      <c r="AN3272" s="111"/>
      <c r="AO3272" s="28"/>
      <c r="AP3272" s="96">
        <f ca="1">1-AP3271/(3*F_GAMMA*AP$29)</f>
        <v>0.40525107057387222</v>
      </c>
      <c r="AQ3272" s="111"/>
      <c r="AR3272" s="28"/>
      <c r="AS3272" s="96">
        <f ca="1">1-AS3271/(3*F_GAMMA*AS$29)</f>
        <v>8.1299692089148445E-2</v>
      </c>
      <c r="AT3272" s="111"/>
      <c r="AU3272" s="28"/>
    </row>
    <row r="3273" spans="15:47" x14ac:dyDescent="0.25">
      <c r="O3273" s="2" t="s">
        <v>57</v>
      </c>
      <c r="P3273" s="143">
        <v>7</v>
      </c>
      <c r="Q3273" s="2"/>
      <c r="R3273" s="96">
        <f ca="1">(R3266/(N_9*R$27*R3268*R3272))*SQRT(M*'Valve Sizing'!$W$6*'Valve Sizing'!$G$8/R3271)</f>
        <v>12.515771523611431</v>
      </c>
      <c r="S3273" s="107"/>
      <c r="T3273" s="22"/>
      <c r="U3273" s="96">
        <f ca="1">(U3266/(N_9*U$27*U3268*U3272))*SQRT(M*'Valve Sizing'!$W$6*'Valve Sizing'!$G$8/U3271)</f>
        <v>49.290795148423271</v>
      </c>
      <c r="V3273" s="111"/>
      <c r="W3273" s="28"/>
      <c r="X3273" s="96">
        <f ca="1">(X3266/(N_9*X$27*X3268*X3272))*SQRT(M*'Valve Sizing'!$W$6*'Valve Sizing'!$G$8/X3271)</f>
        <v>164.21590811439199</v>
      </c>
      <c r="Y3273" s="111"/>
      <c r="Z3273" s="28"/>
      <c r="AA3273" s="96" t="e">
        <f ca="1">(AA3266/(N_9*AA$27*AA3268*AA3272))*SQRT(M*'Valve Sizing'!$W$6*'Valve Sizing'!$G$8/AA3271)</f>
        <v>#NUM!</v>
      </c>
      <c r="AB3273" s="111"/>
      <c r="AC3273" s="28"/>
      <c r="AD3273" s="96">
        <f ca="1">(AD3266/(N_9*AD$27*AD3268*AD3272))*SQRT(M*'Valve Sizing'!$W$6*'Valve Sizing'!$G$8/AD3271)</f>
        <v>5705.4836041276003</v>
      </c>
      <c r="AE3273" s="111"/>
      <c r="AF3273" s="28"/>
      <c r="AG3273" s="96">
        <f ca="1">(AG3266/(N_9*AG$27*AG3268*AG3272))*SQRT(M*'Valve Sizing'!$W$6*'Valve Sizing'!$G$8/AG3271)</f>
        <v>-324.09879577241662</v>
      </c>
      <c r="AH3273" s="111"/>
      <c r="AI3273" s="28"/>
      <c r="AJ3273" s="96">
        <f ca="1">(AJ3266/(N_9*AJ$27*AJ3268*AJ3272))*SQRT(M*'Valve Sizing'!$W$6*'Valve Sizing'!$G$8/AJ3271)</f>
        <v>-210.98948074118744</v>
      </c>
      <c r="AK3273" s="111"/>
      <c r="AL3273" s="28"/>
      <c r="AM3273" s="96">
        <f ca="1">(AM3266/(N_9*AM$27*AM3268*AM3272))*SQRT(M*'Valve Sizing'!$W$6*'Valve Sizing'!$G$8/AM3271)</f>
        <v>-214.56939183688183</v>
      </c>
      <c r="AN3273" s="111"/>
      <c r="AO3273" s="28"/>
      <c r="AP3273" s="96">
        <f ca="1">(AP3266/(N_9*AP$27*AP3268*AP3272))*SQRT(M*'Valve Sizing'!$W$6*'Valve Sizing'!$G$8/AP3271)</f>
        <v>-125.87256319609176</v>
      </c>
      <c r="AQ3273" s="111"/>
      <c r="AR3273" s="28"/>
      <c r="AS3273" s="96">
        <f ca="1">(AS3266/(N_9*AS$27*AS3268*AS3272))*SQRT(M*'Valve Sizing'!$W$6*'Valve Sizing'!$G$8/AS3271)</f>
        <v>-706.4703008841924</v>
      </c>
      <c r="AT3273" s="111"/>
      <c r="AU3273" s="28"/>
    </row>
    <row r="3274" spans="15:47" x14ac:dyDescent="0.25">
      <c r="O3274" s="2" t="s">
        <v>59</v>
      </c>
      <c r="P3274" s="143">
        <v>7</v>
      </c>
      <c r="Q3274" s="2"/>
      <c r="R3274" s="96">
        <f ca="1">(R3266/(N_9*R$27*R3268*0.667))*SQRT(M*'Valve Sizing'!$W$6*'Valve Sizing'!$G$8/R3275)</f>
        <v>11.191561611758624</v>
      </c>
      <c r="S3274" s="107"/>
      <c r="T3274" s="22"/>
      <c r="U3274" s="96">
        <f ca="1">(U3266/(N_9*U$27*U3268*0.667))*SQRT(M*'Valve Sizing'!$W$6*'Valve Sizing'!$G$8/U3275)</f>
        <v>43.372880317588979</v>
      </c>
      <c r="V3274" s="111"/>
      <c r="W3274" s="28"/>
      <c r="X3274" s="96">
        <f ca="1">(X3266/(N_9*X$27*X3268*0.667))*SQRT(M*'Valve Sizing'!$W$6*'Valve Sizing'!$G$8/X3275)</f>
        <v>124.53673559538655</v>
      </c>
      <c r="Y3274" s="111"/>
      <c r="Z3274" s="28"/>
      <c r="AA3274" s="96">
        <f ca="1">(AA3266/(N_9*AA$27*AA3268*0.667))*SQRT(M*'Valve Sizing'!$W$6*'Valve Sizing'!$G$8/AA3275)</f>
        <v>547.48739328585782</v>
      </c>
      <c r="AB3274" s="111"/>
      <c r="AC3274" s="28"/>
      <c r="AD3274" s="96">
        <f ca="1">(AD3266/(N_9*AD$27*AD3268*0.667))*SQRT(M*'Valve Sizing'!$W$6*'Valve Sizing'!$G$8/AD3275)</f>
        <v>-465.97900321522133</v>
      </c>
      <c r="AE3274" s="111"/>
      <c r="AF3274" s="28"/>
      <c r="AG3274" s="96">
        <f ca="1">(AG3266/(N_9*AG$27*AG3268*0.667))*SQRT(M*'Valve Sizing'!$W$6*'Valve Sizing'!$G$8/AG3275)</f>
        <v>-197.88083692094386</v>
      </c>
      <c r="AH3274" s="111"/>
      <c r="AI3274" s="28"/>
      <c r="AJ3274" s="96">
        <f ca="1">(AJ3266/(N_9*AJ$27*AJ3268*0.667))*SQRT(M*'Valve Sizing'!$W$6*'Valve Sizing'!$G$8/AJ3275)</f>
        <v>-137.43441012270361</v>
      </c>
      <c r="AK3274" s="111"/>
      <c r="AL3274" s="28"/>
      <c r="AM3274" s="96">
        <f ca="1">(AM3266/(N_9*AM$27*AM3268*0.667))*SQRT(M*'Valve Sizing'!$W$6*'Valve Sizing'!$G$8/AM3275)</f>
        <v>-119.45301345957864</v>
      </c>
      <c r="AN3274" s="111"/>
      <c r="AO3274" s="28"/>
      <c r="AP3274" s="96">
        <f ca="1">(AP3266/(N_9*AP$27*AP3268*0.667))*SQRT(M*'Valve Sizing'!$W$6*'Valve Sizing'!$G$8/AP3275)</f>
        <v>-102.15435235085603</v>
      </c>
      <c r="AQ3274" s="111"/>
      <c r="AR3274" s="28"/>
      <c r="AS3274" s="96">
        <f ca="1">(AS3266/(N_9*AS$27*AS3268*0.667))*SQRT(M*'Valve Sizing'!$W$6*'Valve Sizing'!$G$8/AS3275)</f>
        <v>-142.95670663635258</v>
      </c>
      <c r="AT3274" s="111"/>
      <c r="AU3274" s="28"/>
    </row>
    <row r="3275" spans="15:47" ht="15.6" x14ac:dyDescent="0.35">
      <c r="O3275" s="2" t="s">
        <v>68</v>
      </c>
      <c r="P3275" s="143">
        <v>10</v>
      </c>
      <c r="Q3275" s="2"/>
      <c r="R3275" s="96">
        <f ca="1">F_GAMMA*R$29</f>
        <v>0.64002969751372984</v>
      </c>
      <c r="S3275" s="107"/>
      <c r="T3275" s="1"/>
      <c r="U3275" s="96">
        <f ca="1">F_GAMMA*U$29</f>
        <v>0.64017842058782071</v>
      </c>
      <c r="V3275" s="111"/>
      <c r="W3275" s="28"/>
      <c r="X3275" s="96">
        <f ca="1">F_GAMMA*X$29</f>
        <v>0.63413873724904268</v>
      </c>
      <c r="Y3275" s="111"/>
      <c r="Z3275" s="28"/>
      <c r="AA3275" s="96">
        <f ca="1">F_GAMMA*AA$29</f>
        <v>0.62532411750377137</v>
      </c>
      <c r="AB3275" s="111"/>
      <c r="AC3275" s="28"/>
      <c r="AD3275" s="96">
        <f ca="1">F_GAMMA*AD$29</f>
        <v>0.60651359509139569</v>
      </c>
      <c r="AE3275" s="111"/>
      <c r="AF3275" s="28"/>
      <c r="AG3275" s="96">
        <f ca="1">F_GAMMA*AG$29</f>
        <v>0.57217930198481592</v>
      </c>
      <c r="AH3275" s="111"/>
      <c r="AI3275" s="28"/>
      <c r="AJ3275" s="96">
        <f ca="1">F_GAMMA*AJ$29</f>
        <v>0.53183282018848232</v>
      </c>
      <c r="AK3275" s="111"/>
      <c r="AL3275" s="28"/>
      <c r="AM3275" s="96">
        <f ca="1">F_GAMMA*AM$29</f>
        <v>0.47566512503094399</v>
      </c>
      <c r="AN3275" s="111"/>
      <c r="AO3275" s="28"/>
      <c r="AP3275" s="96">
        <f ca="1">F_GAMMA*AP$29</f>
        <v>0.59054158265645496</v>
      </c>
      <c r="AQ3275" s="111"/>
      <c r="AR3275" s="28"/>
      <c r="AS3275" s="96">
        <f ca="1">F_GAMMA*AS$29</f>
        <v>0.3766899554102966</v>
      </c>
      <c r="AT3275" s="111"/>
      <c r="AU3275" s="28"/>
    </row>
    <row r="3276" spans="15:47" x14ac:dyDescent="0.25">
      <c r="O3276" s="2" t="s">
        <v>145</v>
      </c>
      <c r="P3276" s="12"/>
      <c r="Q3276" s="2"/>
      <c r="R3276" s="96">
        <f ca="1">IF(R3271&lt;R3275,R3273,R3274)</f>
        <v>12.515771523611431</v>
      </c>
      <c r="S3276" s="116"/>
      <c r="T3276" s="1"/>
      <c r="U3276" s="96">
        <f ca="1">IF(U3271&lt;U3275,U3273,U3274)</f>
        <v>49.290795148423271</v>
      </c>
      <c r="V3276" s="111"/>
      <c r="W3276" s="28"/>
      <c r="X3276" s="96">
        <f ca="1">IF(X3271&lt;X3275,X3273,X3274)</f>
        <v>164.21590811439199</v>
      </c>
      <c r="Y3276" s="111"/>
      <c r="Z3276" s="28"/>
      <c r="AA3276" s="96" t="e">
        <f ca="1">IF(AA3271&lt;AA3275,AA3273,AA3274)</f>
        <v>#NUM!</v>
      </c>
      <c r="AB3276" s="111"/>
      <c r="AC3276" s="28"/>
      <c r="AD3276" s="96">
        <f ca="1">IF(AD3271&lt;AD3275,AD3273,AD3274)</f>
        <v>-465.97900321522133</v>
      </c>
      <c r="AE3276" s="111"/>
      <c r="AF3276" s="28"/>
      <c r="AG3276" s="96">
        <f ca="1">IF(AG3271&lt;AG3275,AG3273,AG3274)</f>
        <v>-197.88083692094386</v>
      </c>
      <c r="AH3276" s="111"/>
      <c r="AI3276" s="28"/>
      <c r="AJ3276" s="96">
        <f ca="1">IF(AJ3271&lt;AJ3275,AJ3273,AJ3274)</f>
        <v>-137.43441012270361</v>
      </c>
      <c r="AK3276" s="111"/>
      <c r="AL3276" s="28"/>
      <c r="AM3276" s="96">
        <f ca="1">IF(AM3271&lt;AM3275,AM3273,AM3274)</f>
        <v>-119.45301345957864</v>
      </c>
      <c r="AN3276" s="111"/>
      <c r="AO3276" s="28"/>
      <c r="AP3276" s="96">
        <f ca="1">IF(AP3271&lt;AP3275,AP3273,AP3274)</f>
        <v>-102.15435235085603</v>
      </c>
      <c r="AQ3276" s="111"/>
      <c r="AR3276" s="28"/>
      <c r="AS3276" s="96">
        <f ca="1">IF(AS3271&lt;AS3275,AS3273,AS3274)</f>
        <v>-142.95670663635258</v>
      </c>
      <c r="AT3276" s="111"/>
      <c r="AU3276" s="28"/>
    </row>
    <row r="3277" spans="15:47" x14ac:dyDescent="0.25">
      <c r="O3277" s="13" t="s">
        <v>143</v>
      </c>
      <c r="P3277" s="1"/>
      <c r="Q3277" s="1"/>
      <c r="R3277" s="113"/>
      <c r="S3277" s="106">
        <f ca="1">IF(R3270&lt;=0,Q_max,ABS(R$23-R3276))</f>
        <v>7.7857715236114302</v>
      </c>
      <c r="T3277" s="7">
        <f>R3266</f>
        <v>30897.713408384829</v>
      </c>
      <c r="U3277" s="98"/>
      <c r="V3277" s="106">
        <f ca="1">IF(U3270&lt;=0,Q_max,ABS(U$23-U3276))</f>
        <v>37.69079514842327</v>
      </c>
      <c r="W3277" s="9">
        <f ca="1">U3266</f>
        <v>116615.22861502855</v>
      </c>
      <c r="X3277" s="98"/>
      <c r="Y3277" s="106">
        <f ca="1">IF(X3270&lt;=0,Q_max,ABS(X$23-X3276))</f>
        <v>141.21590811439199</v>
      </c>
      <c r="Z3277" s="9">
        <f ca="1">X3266</f>
        <v>285547.8591483616</v>
      </c>
      <c r="AA3277" s="98"/>
      <c r="AB3277" s="106">
        <f ca="1">IF(AA3270&lt;=0,Q_max,ABS(AA$23-AA3276))</f>
        <v>236393</v>
      </c>
      <c r="AC3277" s="9">
        <f ca="1">AA3266</f>
        <v>556174.34483967</v>
      </c>
      <c r="AD3277" s="98"/>
      <c r="AE3277" s="106">
        <f ca="1">IF(AD3270&lt;=0,Q_max,ABS(AD$23-AD3276))</f>
        <v>236393</v>
      </c>
      <c r="AF3277" s="9">
        <f ca="1">AD3266</f>
        <v>933087.53673942573</v>
      </c>
      <c r="AG3277" s="98"/>
      <c r="AH3277" s="106">
        <f ca="1">IF(AG3270&lt;=0,Q_max,ABS(AG$23-AG3276))</f>
        <v>236393</v>
      </c>
      <c r="AI3277" s="9">
        <f ca="1">AG3266</f>
        <v>1361866.6735756281</v>
      </c>
      <c r="AJ3277" s="98"/>
      <c r="AK3277" s="106">
        <f ca="1">IF(AJ3270&lt;=0,Q_max,ABS(AJ$23-AJ3276))</f>
        <v>236393</v>
      </c>
      <c r="AL3277" s="9">
        <f ca="1">AJ3266</f>
        <v>1817416.3552543987</v>
      </c>
      <c r="AM3277" s="98"/>
      <c r="AN3277" s="106">
        <f ca="1">IF(AM3270&lt;=0,Q_max,ABS(AM$23-AM3276))</f>
        <v>236393</v>
      </c>
      <c r="AO3277" s="9">
        <f ca="1">AM3266</f>
        <v>2217593.3351199529</v>
      </c>
      <c r="AP3277" s="98"/>
      <c r="AQ3277" s="106">
        <f ca="1">IF(AP3270&lt;=0,Q_max,ABS(AP$23-AP3276))</f>
        <v>236393</v>
      </c>
      <c r="AR3277" s="9">
        <f ca="1">AP3266</f>
        <v>2574557.0177096827</v>
      </c>
      <c r="AS3277" s="98"/>
      <c r="AT3277" s="106">
        <f ca="1">IF(AS3270&lt;=0,Q_max,ABS(AS$23-AS3276))</f>
        <v>236393</v>
      </c>
      <c r="AU3277" s="9">
        <f ca="1">AS3266</f>
        <v>3018870.5791048184</v>
      </c>
    </row>
    <row r="3278" spans="15:47" x14ac:dyDescent="0.25">
      <c r="O3278" s="21"/>
      <c r="P3278" s="14"/>
      <c r="Q3278" s="21"/>
      <c r="R3278" s="97"/>
      <c r="S3278" s="106"/>
      <c r="T3278" s="28"/>
      <c r="U3278" s="97"/>
      <c r="V3278" s="111"/>
      <c r="W3278" s="28"/>
      <c r="X3278" s="97"/>
      <c r="Y3278" s="111"/>
      <c r="Z3278" s="28"/>
      <c r="AA3278" s="97"/>
      <c r="AB3278" s="111"/>
      <c r="AC3278" s="28"/>
      <c r="AD3278" s="97"/>
      <c r="AE3278" s="111"/>
      <c r="AF3278" s="28"/>
      <c r="AG3278" s="97"/>
      <c r="AH3278" s="111"/>
      <c r="AI3278" s="28"/>
      <c r="AJ3278" s="97"/>
      <c r="AK3278" s="111"/>
      <c r="AL3278" s="28"/>
      <c r="AM3278" s="97"/>
      <c r="AN3278" s="111"/>
      <c r="AO3278" s="28"/>
      <c r="AP3278" s="97"/>
      <c r="AQ3278" s="111"/>
      <c r="AR3278" s="28"/>
      <c r="AS3278" s="97"/>
      <c r="AT3278" s="111"/>
      <c r="AU3278" s="28"/>
    </row>
    <row r="3279" spans="15:47" x14ac:dyDescent="0.25">
      <c r="O3279" s="1"/>
      <c r="P3279" s="1"/>
      <c r="Q3279" s="1"/>
      <c r="R3279" s="98"/>
      <c r="S3279" s="108" t="s">
        <v>137</v>
      </c>
      <c r="T3279" s="26" t="s">
        <v>146</v>
      </c>
      <c r="U3279" s="98"/>
      <c r="V3279" s="108" t="s">
        <v>137</v>
      </c>
      <c r="W3279" s="26" t="s">
        <v>146</v>
      </c>
      <c r="X3279" s="98"/>
      <c r="Y3279" s="108" t="s">
        <v>137</v>
      </c>
      <c r="Z3279" s="26" t="s">
        <v>146</v>
      </c>
      <c r="AA3279" s="98"/>
      <c r="AB3279" s="108" t="s">
        <v>137</v>
      </c>
      <c r="AC3279" s="26" t="s">
        <v>146</v>
      </c>
      <c r="AD3279" s="98"/>
      <c r="AE3279" s="108" t="s">
        <v>137</v>
      </c>
      <c r="AF3279" s="26" t="s">
        <v>146</v>
      </c>
      <c r="AG3279" s="98"/>
      <c r="AH3279" s="108" t="s">
        <v>137</v>
      </c>
      <c r="AI3279" s="26" t="s">
        <v>146</v>
      </c>
      <c r="AJ3279" s="98"/>
      <c r="AK3279" s="108" t="s">
        <v>137</v>
      </c>
      <c r="AL3279" s="26" t="s">
        <v>146</v>
      </c>
      <c r="AM3279" s="98"/>
      <c r="AN3279" s="108" t="s">
        <v>137</v>
      </c>
      <c r="AO3279" s="26" t="s">
        <v>146</v>
      </c>
      <c r="AP3279" s="98"/>
      <c r="AQ3279" s="108" t="s">
        <v>137</v>
      </c>
      <c r="AR3279" s="26" t="s">
        <v>146</v>
      </c>
      <c r="AS3279" s="98"/>
      <c r="AT3279" s="108" t="s">
        <v>137</v>
      </c>
      <c r="AU3279" s="26" t="s">
        <v>146</v>
      </c>
    </row>
    <row r="3280" spans="15:47" ht="13.8" x14ac:dyDescent="0.25">
      <c r="O3280" s="20" t="s">
        <v>136</v>
      </c>
      <c r="P3280" s="1"/>
      <c r="Q3280" s="1"/>
      <c r="R3280" s="96">
        <f>R3266*1.02</f>
        <v>31515.667676552526</v>
      </c>
      <c r="S3280" s="109" t="s">
        <v>144</v>
      </c>
      <c r="T3280" s="23" t="s">
        <v>147</v>
      </c>
      <c r="U3280" s="96">
        <f ca="1">U3266*1.01</f>
        <v>117781.38090117884</v>
      </c>
      <c r="V3280" s="109" t="s">
        <v>144</v>
      </c>
      <c r="W3280" s="23" t="s">
        <v>147</v>
      </c>
      <c r="X3280" s="96">
        <f ca="1">X3266*1.01</f>
        <v>288403.33773984521</v>
      </c>
      <c r="Y3280" s="109" t="s">
        <v>144</v>
      </c>
      <c r="Z3280" s="23" t="s">
        <v>147</v>
      </c>
      <c r="AA3280" s="96">
        <f ca="1">AA3266*1.01</f>
        <v>561736.08828806668</v>
      </c>
      <c r="AB3280" s="109" t="s">
        <v>144</v>
      </c>
      <c r="AC3280" s="23" t="s">
        <v>147</v>
      </c>
      <c r="AD3280" s="96">
        <f ca="1">AD3266*1.01</f>
        <v>942418.41210682003</v>
      </c>
      <c r="AE3280" s="109" t="s">
        <v>144</v>
      </c>
      <c r="AF3280" s="23" t="s">
        <v>147</v>
      </c>
      <c r="AG3280" s="96">
        <f ca="1">AG3266*1.01</f>
        <v>1375485.3403113843</v>
      </c>
      <c r="AH3280" s="109" t="s">
        <v>144</v>
      </c>
      <c r="AI3280" s="23" t="s">
        <v>147</v>
      </c>
      <c r="AJ3280" s="96">
        <f ca="1">AJ3266*1.01</f>
        <v>1835590.5188069427</v>
      </c>
      <c r="AK3280" s="109" t="s">
        <v>144</v>
      </c>
      <c r="AL3280" s="23" t="s">
        <v>147</v>
      </c>
      <c r="AM3280" s="96">
        <f ca="1">AM3266*1.01</f>
        <v>2239769.2684711525</v>
      </c>
      <c r="AN3280" s="109" t="s">
        <v>144</v>
      </c>
      <c r="AO3280" s="23" t="s">
        <v>147</v>
      </c>
      <c r="AP3280" s="96">
        <f ca="1">AP3266*1.01</f>
        <v>2600302.5878867796</v>
      </c>
      <c r="AQ3280" s="109" t="s">
        <v>144</v>
      </c>
      <c r="AR3280" s="23" t="s">
        <v>147</v>
      </c>
      <c r="AS3280" s="96">
        <f ca="1">AS3266*1.01</f>
        <v>3049059.2848958666</v>
      </c>
      <c r="AT3280" s="109" t="s">
        <v>144</v>
      </c>
      <c r="AU3280" s="23" t="s">
        <v>147</v>
      </c>
    </row>
    <row r="3281" spans="15:47" x14ac:dyDescent="0.25">
      <c r="O3281" s="1"/>
      <c r="P3281" s="1"/>
      <c r="Q3281" s="1"/>
      <c r="R3281" s="98"/>
      <c r="S3281" s="107"/>
      <c r="T3281" s="1"/>
      <c r="U3281" s="47"/>
      <c r="V3281" s="107"/>
      <c r="W3281" s="1"/>
      <c r="X3281" s="47"/>
      <c r="Y3281" s="107"/>
      <c r="Z3281" s="1"/>
      <c r="AA3281" s="47"/>
      <c r="AB3281" s="107"/>
      <c r="AC3281" s="1"/>
      <c r="AD3281" s="47"/>
      <c r="AE3281" s="107"/>
      <c r="AF3281" s="1"/>
      <c r="AG3281" s="47"/>
      <c r="AH3281" s="107"/>
      <c r="AI3281" s="1"/>
      <c r="AJ3281" s="47"/>
      <c r="AK3281" s="107"/>
      <c r="AL3281" s="1"/>
      <c r="AM3281" s="47"/>
      <c r="AN3281" s="107"/>
      <c r="AO3281" s="1"/>
      <c r="AP3281" s="47"/>
      <c r="AQ3281" s="107"/>
      <c r="AR3281" s="1"/>
      <c r="AS3281" s="47"/>
      <c r="AT3281" s="107"/>
      <c r="AU3281" s="1"/>
    </row>
    <row r="3282" spans="15:47" x14ac:dyDescent="0.25">
      <c r="O3282" s="8" t="s">
        <v>132</v>
      </c>
      <c r="P3282" s="8"/>
      <c r="Q3282" s="8"/>
      <c r="R3282" s="96">
        <f>P_1_minQ-(R3280^2*R_up)+dpup_minQ</f>
        <v>90.004012193260266</v>
      </c>
      <c r="S3282" s="106"/>
      <c r="T3282" s="22"/>
      <c r="U3282" s="96">
        <f ca="1">P_1_minQ-(U3280^2*R_up)+dpup_minQ</f>
        <v>87.656634480670093</v>
      </c>
      <c r="V3282" s="107"/>
      <c r="W3282" s="1"/>
      <c r="X3282" s="96">
        <f ca="1">P_1_minQ-(X3280^2*R_up)+dpup_minQ</f>
        <v>75.025218543648535</v>
      </c>
      <c r="Y3282" s="107"/>
      <c r="Z3282" s="1"/>
      <c r="AA3282" s="96">
        <f ca="1">P_1_minQ-(AA3280^2*R_up)+dpup_minQ</f>
        <v>32.673077885438055</v>
      </c>
      <c r="AB3282" s="107"/>
      <c r="AC3282" s="1"/>
      <c r="AD3282" s="96">
        <f ca="1">P_1_minQ-(AD3280^2*R_up)+dpup_minQ</f>
        <v>-71.690436748726739</v>
      </c>
      <c r="AE3282" s="107"/>
      <c r="AF3282" s="1"/>
      <c r="AG3282" s="96">
        <f ca="1">P_1_minQ-(AG3280^2*R_up)+dpup_minQ</f>
        <v>-254.64529870215182</v>
      </c>
      <c r="AH3282" s="107"/>
      <c r="AI3282" s="1"/>
      <c r="AJ3282" s="96">
        <f ca="1">P_1_minQ-(AJ3280^2*R_up)+dpup_minQ</f>
        <v>-523.92351632519978</v>
      </c>
      <c r="AK3282" s="107"/>
      <c r="AL3282" s="1"/>
      <c r="AM3282" s="96">
        <f ca="1">P_1_minQ-(AM3280^2*R_up)+dpup_minQ</f>
        <v>-824.13891825803171</v>
      </c>
      <c r="AN3282" s="107"/>
      <c r="AO3282" s="1"/>
      <c r="AP3282" s="96">
        <f ca="1">P_1_minQ-(AP3280^2*R_up)+dpup_minQ</f>
        <v>-1142.1855155854255</v>
      </c>
      <c r="AQ3282" s="107"/>
      <c r="AR3282" s="1"/>
      <c r="AS3282" s="96">
        <f ca="1">P_1_minQ-(AS3280^2*R_up)+dpup_minQ</f>
        <v>-1604.2513680971847</v>
      </c>
      <c r="AT3282" s="107"/>
      <c r="AU3282" s="1"/>
    </row>
    <row r="3283" spans="15:47" x14ac:dyDescent="0.25">
      <c r="O3283" s="8" t="s">
        <v>134</v>
      </c>
      <c r="P3283" s="1"/>
      <c r="Q3283" s="8"/>
      <c r="R3283" s="97">
        <f>P_2_minQ+(R3280^2*R_dn)-dpdn_minQ</f>
        <v>60</v>
      </c>
      <c r="S3283" s="106"/>
      <c r="T3283" s="22"/>
      <c r="U3283" s="97">
        <f ca="1">P_2_minQ+(U3280^2*R_dn)-dpdn_minQ</f>
        <v>60</v>
      </c>
      <c r="V3283" s="107"/>
      <c r="W3283" s="1"/>
      <c r="X3283" s="97">
        <f ca="1">P_2_minQ+(X3280^2*R_dn)-dpdn_minQ</f>
        <v>60</v>
      </c>
      <c r="Y3283" s="107"/>
      <c r="Z3283" s="1"/>
      <c r="AA3283" s="97">
        <f ca="1">P_2_minQ+(AA3280^2*R_dn)-dpdn_minQ</f>
        <v>60</v>
      </c>
      <c r="AB3283" s="107"/>
      <c r="AC3283" s="1"/>
      <c r="AD3283" s="97">
        <f ca="1">P_2_minQ+(AD3280^2*R_dn)-dpdn_minQ</f>
        <v>60</v>
      </c>
      <c r="AE3283" s="107"/>
      <c r="AF3283" s="1"/>
      <c r="AG3283" s="97">
        <f ca="1">P_2_minQ+(AG3280^2*R_dn)-dpdn_minQ</f>
        <v>60</v>
      </c>
      <c r="AH3283" s="107"/>
      <c r="AI3283" s="1"/>
      <c r="AJ3283" s="97">
        <f ca="1">P_2_minQ+(AJ3280^2*R_dn)-dpdn_minQ</f>
        <v>60</v>
      </c>
      <c r="AK3283" s="107"/>
      <c r="AL3283" s="1"/>
      <c r="AM3283" s="97">
        <f ca="1">P_2_minQ+(AM3280^2*R_dn)-dpdn_minQ</f>
        <v>60</v>
      </c>
      <c r="AN3283" s="107"/>
      <c r="AO3283" s="1"/>
      <c r="AP3283" s="97">
        <f ca="1">P_2_minQ+(AP3280^2*R_dn)-dpdn_minQ</f>
        <v>60</v>
      </c>
      <c r="AQ3283" s="107"/>
      <c r="AR3283" s="1"/>
      <c r="AS3283" s="97">
        <f ca="1">P_2_minQ+(AS3280^2*R_dn)-dpdn_minQ</f>
        <v>60</v>
      </c>
      <c r="AT3283" s="107"/>
      <c r="AU3283" s="1"/>
    </row>
    <row r="3284" spans="15:47" x14ac:dyDescent="0.25">
      <c r="O3284" s="8" t="s">
        <v>138</v>
      </c>
      <c r="P3284" s="1"/>
      <c r="Q3284" s="8"/>
      <c r="R3284" s="97">
        <f>R3282-R3283</f>
        <v>30.004012193260266</v>
      </c>
      <c r="S3284" s="106"/>
      <c r="T3284" s="22"/>
      <c r="U3284" s="97">
        <f ca="1">U3282-U3283</f>
        <v>27.656634480670093</v>
      </c>
      <c r="V3284" s="110"/>
      <c r="W3284" s="25"/>
      <c r="X3284" s="97">
        <f ca="1">X3282-X3283</f>
        <v>15.025218543648535</v>
      </c>
      <c r="Y3284" s="110"/>
      <c r="Z3284" s="25"/>
      <c r="AA3284" s="97">
        <f ca="1">AA3282-AA3283</f>
        <v>-27.326922114561945</v>
      </c>
      <c r="AB3284" s="110"/>
      <c r="AC3284" s="25"/>
      <c r="AD3284" s="97">
        <f ca="1">AD3282-AD3283</f>
        <v>-131.69043674872674</v>
      </c>
      <c r="AE3284" s="110"/>
      <c r="AF3284" s="25"/>
      <c r="AG3284" s="97">
        <f ca="1">AG3282-AG3283</f>
        <v>-314.64529870215182</v>
      </c>
      <c r="AH3284" s="110"/>
      <c r="AI3284" s="25"/>
      <c r="AJ3284" s="97">
        <f ca="1">AJ3282-AJ3283</f>
        <v>-583.92351632519978</v>
      </c>
      <c r="AK3284" s="110"/>
      <c r="AL3284" s="25"/>
      <c r="AM3284" s="97">
        <f ca="1">AM3282-AM3283</f>
        <v>-884.13891825803171</v>
      </c>
      <c r="AN3284" s="110"/>
      <c r="AO3284" s="25"/>
      <c r="AP3284" s="97">
        <f ca="1">AP3282-AP3283</f>
        <v>-1202.1855155854255</v>
      </c>
      <c r="AQ3284" s="110"/>
      <c r="AR3284" s="25"/>
      <c r="AS3284" s="97">
        <f ca="1">AS3282-AS3283</f>
        <v>-1664.2513680971847</v>
      </c>
      <c r="AT3284" s="110"/>
      <c r="AU3284" s="25"/>
    </row>
    <row r="3285" spans="15:47" ht="14.4" x14ac:dyDescent="0.3">
      <c r="O3285" s="2" t="s">
        <v>140</v>
      </c>
      <c r="P3285" s="11"/>
      <c r="Q3285" s="2"/>
      <c r="R3285" s="96">
        <f>R3284/R3282</f>
        <v>0.33336305195855531</v>
      </c>
      <c r="S3285" s="106"/>
      <c r="T3285" s="22"/>
      <c r="U3285" s="96">
        <f ca="1">U3284/U3282</f>
        <v>0.31551102371799239</v>
      </c>
      <c r="V3285" s="111"/>
      <c r="W3285" s="28"/>
      <c r="X3285" s="96">
        <f ca="1">X3284/X3282</f>
        <v>0.20026890737955119</v>
      </c>
      <c r="Y3285" s="111"/>
      <c r="Z3285" s="28"/>
      <c r="AA3285" s="96">
        <f ca="1">AA3284/AA3282</f>
        <v>-0.8363742837567556</v>
      </c>
      <c r="AB3285" s="111"/>
      <c r="AC3285" s="28"/>
      <c r="AD3285" s="96">
        <f ca="1">AD3284/AD3282</f>
        <v>1.8369317125281097</v>
      </c>
      <c r="AE3285" s="111"/>
      <c r="AF3285" s="28"/>
      <c r="AG3285" s="96">
        <f ca="1">AG3284/AG3282</f>
        <v>1.2356218642394006</v>
      </c>
      <c r="AH3285" s="111"/>
      <c r="AI3285" s="28"/>
      <c r="AJ3285" s="96">
        <f ca="1">AJ3284/AJ3282</f>
        <v>1.1145205323495309</v>
      </c>
      <c r="AK3285" s="111"/>
      <c r="AL3285" s="28"/>
      <c r="AM3285" s="96">
        <f ca="1">AM3284/AM3282</f>
        <v>1.0728032600703059</v>
      </c>
      <c r="AN3285" s="111"/>
      <c r="AO3285" s="28"/>
      <c r="AP3285" s="96">
        <f ca="1">AP3284/AP3282</f>
        <v>1.052530871019886</v>
      </c>
      <c r="AQ3285" s="111"/>
      <c r="AR3285" s="28"/>
      <c r="AS3285" s="96">
        <f ca="1">AS3284/AS3282</f>
        <v>1.0374006226163712</v>
      </c>
      <c r="AT3285" s="111"/>
      <c r="AU3285" s="28"/>
    </row>
    <row r="3286" spans="15:47" x14ac:dyDescent="0.25">
      <c r="O3286" s="2" t="s">
        <v>21</v>
      </c>
      <c r="P3286" s="8">
        <v>12</v>
      </c>
      <c r="Q3286" s="2"/>
      <c r="R3286" s="96">
        <f ca="1">1-R3285/(3*F_GAMMA*R$29)</f>
        <v>0.82638146674883839</v>
      </c>
      <c r="S3286" s="106"/>
      <c r="T3286" s="22"/>
      <c r="U3286" s="96">
        <f ca="1">1-U3285/(3*F_GAMMA*U$29)</f>
        <v>0.8357171409452353</v>
      </c>
      <c r="V3286" s="111"/>
      <c r="W3286" s="28"/>
      <c r="X3286" s="96">
        <f ca="1">1-X3285/(3*F_GAMMA*X$29)</f>
        <v>0.89472918379115918</v>
      </c>
      <c r="Y3286" s="111"/>
      <c r="Z3286" s="28"/>
      <c r="AA3286" s="96">
        <f ca="1">1-AA3285/(3*F_GAMMA*AA$29)</f>
        <v>1.4458350799451409</v>
      </c>
      <c r="AB3286" s="111"/>
      <c r="AC3286" s="28"/>
      <c r="AD3286" s="96">
        <f ca="1">1-AD3285/(3*F_GAMMA*AD$29)</f>
        <v>-9.557866135604165E-3</v>
      </c>
      <c r="AE3286" s="111"/>
      <c r="AF3286" s="28"/>
      <c r="AG3286" s="96">
        <f ca="1">1-AG3285/(3*F_GAMMA*AG$29)</f>
        <v>0.28016628123784026</v>
      </c>
      <c r="AH3286" s="111"/>
      <c r="AI3286" s="28"/>
      <c r="AJ3286" s="96">
        <f ca="1">1-AJ3285/(3*F_GAMMA*AJ$29)</f>
        <v>0.30145934960379517</v>
      </c>
      <c r="AK3286" s="111"/>
      <c r="AL3286" s="28"/>
      <c r="AM3286" s="96">
        <f ca="1">1-AM3285/(3*F_GAMMA*AM$29)</f>
        <v>0.2482083132185936</v>
      </c>
      <c r="AN3286" s="111"/>
      <c r="AO3286" s="28"/>
      <c r="AP3286" s="96">
        <f ca="1">1-AP3285/(3*F_GAMMA*AP$29)</f>
        <v>0.40589514104141056</v>
      </c>
      <c r="AQ3286" s="111"/>
      <c r="AR3286" s="28"/>
      <c r="AS3286" s="96">
        <f ca="1">1-AS3285/(3*F_GAMMA*AS$29)</f>
        <v>8.2003110058670448E-2</v>
      </c>
      <c r="AT3286" s="111"/>
      <c r="AU3286" s="28"/>
    </row>
    <row r="3287" spans="15:47" x14ac:dyDescent="0.25">
      <c r="O3287" s="2" t="s">
        <v>57</v>
      </c>
      <c r="P3287" s="143">
        <v>7</v>
      </c>
      <c r="Q3287" s="2"/>
      <c r="R3287" s="96">
        <f ca="1">(R3280/(N_9*R$27*R3282*R3286))*SQRT(M*'Valve Sizing'!$W$6*'Valve Sizing'!$G$8/R3285)</f>
        <v>12.767661978748064</v>
      </c>
      <c r="S3287" s="107"/>
      <c r="T3287" s="22"/>
      <c r="U3287" s="96">
        <f ca="1">(U3280/(N_9*U$27*U3282*U3286))*SQRT(M*'Valve Sizing'!$W$6*'Valve Sizing'!$G$8/U3285)</f>
        <v>49.83060603049227</v>
      </c>
      <c r="V3287" s="111"/>
      <c r="W3287" s="28"/>
      <c r="X3287" s="96">
        <f ca="1">(X3280/(N_9*X$27*X3282*X3286))*SQRT(M*'Valve Sizing'!$W$6*'Valve Sizing'!$G$8/X3285)</f>
        <v>167.51902780893764</v>
      </c>
      <c r="Y3287" s="111"/>
      <c r="Z3287" s="28"/>
      <c r="AA3287" s="96" t="e">
        <f ca="1">(AA3280/(N_9*AA$27*AA3282*AA3286))*SQRT(M*'Valve Sizing'!$W$6*'Valve Sizing'!$G$8/AA3285)</f>
        <v>#NUM!</v>
      </c>
      <c r="AB3287" s="111"/>
      <c r="AC3287" s="28"/>
      <c r="AD3287" s="96">
        <f ca="1">(AD3280/(N_9*AD$27*AD3282*AD3286))*SQRT(M*'Valve Sizing'!$W$6*'Valve Sizing'!$G$8/AD3285)</f>
        <v>18032.714744439625</v>
      </c>
      <c r="AE3287" s="111"/>
      <c r="AF3287" s="28"/>
      <c r="AG3287" s="96">
        <f ca="1">(AG3280/(N_9*AG$27*AG3282*AG3286))*SQRT(M*'Valve Sizing'!$W$6*'Valve Sizing'!$G$8/AG3285)</f>
        <v>-315.14686073204075</v>
      </c>
      <c r="AH3287" s="111"/>
      <c r="AI3287" s="28"/>
      <c r="AJ3287" s="96">
        <f ca="1">(AJ3280/(N_9*AJ$27*AJ3282*AJ3286))*SQRT(M*'Valve Sizing'!$W$6*'Valve Sizing'!$G$8/AJ3285)</f>
        <v>-207.25713847201916</v>
      </c>
      <c r="AK3287" s="111"/>
      <c r="AL3287" s="28"/>
      <c r="AM3287" s="96">
        <f ca="1">(AM3280/(N_9*AM$27*AM3282*AM3286))*SQRT(M*'Valve Sizing'!$W$6*'Valve Sizing'!$G$8/AM3285)</f>
        <v>-211.16384627761911</v>
      </c>
      <c r="AN3287" s="111"/>
      <c r="AO3287" s="28"/>
      <c r="AP3287" s="96">
        <f ca="1">(AP3280/(N_9*AP$27*AP3282*AP3286))*SQRT(M*'Valve Sizing'!$W$6*'Valve Sizing'!$G$8/AP3285)</f>
        <v>-124.2983899227314</v>
      </c>
      <c r="AQ3287" s="111"/>
      <c r="AR3287" s="28"/>
      <c r="AS3287" s="96">
        <f ca="1">(AS3280/(N_9*AS$27*AS3282*AS3286))*SQRT(M*'Valve Sizing'!$W$6*'Valve Sizing'!$G$8/AS3285)</f>
        <v>-692.95723153312201</v>
      </c>
      <c r="AT3287" s="111"/>
      <c r="AU3287" s="28"/>
    </row>
    <row r="3288" spans="15:47" x14ac:dyDescent="0.25">
      <c r="O3288" s="2" t="s">
        <v>59</v>
      </c>
      <c r="P3288" s="143">
        <v>7</v>
      </c>
      <c r="Q3288" s="2"/>
      <c r="R3288" s="96">
        <f ca="1">(R3280/(N_9*R$27*R3282*0.667))*SQRT(M*'Valve Sizing'!$W$6*'Valve Sizing'!$G$8/R3289)</f>
        <v>11.416284416310676</v>
      </c>
      <c r="S3288" s="107"/>
      <c r="T3288" s="22"/>
      <c r="U3288" s="96">
        <f ca="1">(U3280/(N_9*U$27*U3282*0.667))*SQRT(M*'Valve Sizing'!$W$6*'Valve Sizing'!$G$8/U3289)</f>
        <v>43.831506576910179</v>
      </c>
      <c r="V3288" s="111"/>
      <c r="W3288" s="28"/>
      <c r="X3288" s="96">
        <f ca="1">(X3280/(N_9*X$27*X3282*0.667))*SQRT(M*'Valve Sizing'!$W$6*'Valve Sizing'!$G$8/X3289)</f>
        <v>126.28289680926703</v>
      </c>
      <c r="Y3288" s="111"/>
      <c r="Z3288" s="28"/>
      <c r="AA3288" s="96">
        <f ca="1">(AA3280/(N_9*AA$27*AA3282*0.667))*SQRT(M*'Valve Sizing'!$W$6*'Valve Sizing'!$G$8/AA3289)</f>
        <v>572.14086925586173</v>
      </c>
      <c r="AB3288" s="111"/>
      <c r="AC3288" s="28"/>
      <c r="AD3288" s="96">
        <f ca="1">(AD3280/(N_9*AD$27*AD3282*0.667))*SQRT(M*'Valve Sizing'!$W$6*'Valve Sizing'!$G$8/AD3289)</f>
        <v>-449.69955552739862</v>
      </c>
      <c r="AE3288" s="111"/>
      <c r="AF3288" s="28"/>
      <c r="AG3288" s="96">
        <f ca="1">(AG3280/(N_9*AG$27*AG3282*0.667))*SQRT(M*'Valve Sizing'!$W$6*'Valve Sizing'!$G$8/AG3289)</f>
        <v>-194.52693207106572</v>
      </c>
      <c r="AH3288" s="111"/>
      <c r="AI3288" s="28"/>
      <c r="AJ3288" s="96">
        <f ca="1">(AJ3280/(N_9*AJ$27*AJ3282*0.667))*SQRT(M*'Valve Sizing'!$W$6*'Valve Sizing'!$G$8/AJ3289)</f>
        <v>-135.60287303669818</v>
      </c>
      <c r="AK3288" s="111"/>
      <c r="AL3288" s="28"/>
      <c r="AM3288" s="96">
        <f ca="1">(AM3280/(N_9*AM$27*AM3282*0.667))*SQRT(M*'Valve Sizing'!$W$6*'Valve Sizing'!$G$8/AM3289)</f>
        <v>-118.0101711110643</v>
      </c>
      <c r="AN3288" s="111"/>
      <c r="AO3288" s="28"/>
      <c r="AP3288" s="96">
        <f ca="1">(AP3280/(N_9*AP$27*AP3282*0.667))*SQRT(M*'Valve Sizing'!$W$6*'Valve Sizing'!$G$8/AP3289)</f>
        <v>-100.98240302219877</v>
      </c>
      <c r="AQ3288" s="111"/>
      <c r="AR3288" s="28"/>
      <c r="AS3288" s="96">
        <f ca="1">(AS3280/(N_9*AS$27*AS3282*0.667))*SQRT(M*'Valve Sizing'!$W$6*'Valve Sizing'!$G$8/AS3289)</f>
        <v>-141.38135951322528</v>
      </c>
      <c r="AT3288" s="111"/>
      <c r="AU3288" s="28"/>
    </row>
    <row r="3289" spans="15:47" ht="15.6" x14ac:dyDescent="0.35">
      <c r="O3289" s="2" t="s">
        <v>68</v>
      </c>
      <c r="P3289" s="143">
        <v>10</v>
      </c>
      <c r="Q3289" s="2"/>
      <c r="R3289" s="96">
        <f ca="1">F_GAMMA*R$29</f>
        <v>0.64002969751372984</v>
      </c>
      <c r="S3289" s="107"/>
      <c r="T3289" s="1"/>
      <c r="U3289" s="96">
        <f ca="1">F_GAMMA*U$29</f>
        <v>0.64017842058782071</v>
      </c>
      <c r="V3289" s="111"/>
      <c r="W3289" s="28"/>
      <c r="X3289" s="96">
        <f ca="1">F_GAMMA*X$29</f>
        <v>0.63413873724904268</v>
      </c>
      <c r="Y3289" s="111"/>
      <c r="Z3289" s="28"/>
      <c r="AA3289" s="96">
        <f ca="1">F_GAMMA*AA$29</f>
        <v>0.62532411750377137</v>
      </c>
      <c r="AB3289" s="111"/>
      <c r="AC3289" s="28"/>
      <c r="AD3289" s="96">
        <f ca="1">F_GAMMA*AD$29</f>
        <v>0.60651359509139569</v>
      </c>
      <c r="AE3289" s="111"/>
      <c r="AF3289" s="28"/>
      <c r="AG3289" s="96">
        <f ca="1">F_GAMMA*AG$29</f>
        <v>0.57217930198481592</v>
      </c>
      <c r="AH3289" s="111"/>
      <c r="AI3289" s="28"/>
      <c r="AJ3289" s="96">
        <f ca="1">F_GAMMA*AJ$29</f>
        <v>0.53183282018848232</v>
      </c>
      <c r="AK3289" s="111"/>
      <c r="AL3289" s="28"/>
      <c r="AM3289" s="96">
        <f ca="1">F_GAMMA*AM$29</f>
        <v>0.47566512503094399</v>
      </c>
      <c r="AN3289" s="111"/>
      <c r="AO3289" s="28"/>
      <c r="AP3289" s="96">
        <f ca="1">F_GAMMA*AP$29</f>
        <v>0.59054158265645496</v>
      </c>
      <c r="AQ3289" s="111"/>
      <c r="AR3289" s="28"/>
      <c r="AS3289" s="96">
        <f ca="1">F_GAMMA*AS$29</f>
        <v>0.3766899554102966</v>
      </c>
      <c r="AT3289" s="111"/>
      <c r="AU3289" s="28"/>
    </row>
    <row r="3290" spans="15:47" x14ac:dyDescent="0.25">
      <c r="O3290" s="2" t="s">
        <v>145</v>
      </c>
      <c r="P3290" s="12"/>
      <c r="Q3290" s="2"/>
      <c r="R3290" s="96">
        <f ca="1">IF(R3285&lt;R3289,R3287,R3288)</f>
        <v>12.767661978748064</v>
      </c>
      <c r="S3290" s="116"/>
      <c r="T3290" s="1"/>
      <c r="U3290" s="96">
        <f ca="1">IF(U3285&lt;U3289,U3287,U3288)</f>
        <v>49.83060603049227</v>
      </c>
      <c r="V3290" s="111"/>
      <c r="W3290" s="28"/>
      <c r="X3290" s="96">
        <f ca="1">IF(X3285&lt;X3289,X3287,X3288)</f>
        <v>167.51902780893764</v>
      </c>
      <c r="Y3290" s="111"/>
      <c r="Z3290" s="28"/>
      <c r="AA3290" s="96" t="e">
        <f ca="1">IF(AA3285&lt;AA3289,AA3287,AA3288)</f>
        <v>#NUM!</v>
      </c>
      <c r="AB3290" s="111"/>
      <c r="AC3290" s="28"/>
      <c r="AD3290" s="96">
        <f ca="1">IF(AD3285&lt;AD3289,AD3287,AD3288)</f>
        <v>-449.69955552739862</v>
      </c>
      <c r="AE3290" s="111"/>
      <c r="AF3290" s="28"/>
      <c r="AG3290" s="96">
        <f ca="1">IF(AG3285&lt;AG3289,AG3287,AG3288)</f>
        <v>-194.52693207106572</v>
      </c>
      <c r="AH3290" s="111"/>
      <c r="AI3290" s="28"/>
      <c r="AJ3290" s="96">
        <f ca="1">IF(AJ3285&lt;AJ3289,AJ3287,AJ3288)</f>
        <v>-135.60287303669818</v>
      </c>
      <c r="AK3290" s="111"/>
      <c r="AL3290" s="28"/>
      <c r="AM3290" s="96">
        <f ca="1">IF(AM3285&lt;AM3289,AM3287,AM3288)</f>
        <v>-118.0101711110643</v>
      </c>
      <c r="AN3290" s="111"/>
      <c r="AO3290" s="28"/>
      <c r="AP3290" s="96">
        <f ca="1">IF(AP3285&lt;AP3289,AP3287,AP3288)</f>
        <v>-100.98240302219877</v>
      </c>
      <c r="AQ3290" s="111"/>
      <c r="AR3290" s="28"/>
      <c r="AS3290" s="96">
        <f ca="1">IF(AS3285&lt;AS3289,AS3287,AS3288)</f>
        <v>-141.38135951322528</v>
      </c>
      <c r="AT3290" s="111"/>
      <c r="AU3290" s="28"/>
    </row>
    <row r="3291" spans="15:47" x14ac:dyDescent="0.25">
      <c r="O3291" s="13" t="s">
        <v>143</v>
      </c>
      <c r="P3291" s="1"/>
      <c r="Q3291" s="1"/>
      <c r="R3291" s="113"/>
      <c r="S3291" s="106">
        <f ca="1">IF(R3284&lt;=0,Q_max,ABS(R$23-R3290))</f>
        <v>8.0376619787480639</v>
      </c>
      <c r="T3291" s="7">
        <f>R3280</f>
        <v>31515.667676552526</v>
      </c>
      <c r="U3291" s="98"/>
      <c r="V3291" s="106">
        <f ca="1">IF(U3284&lt;=0,Q_max,ABS(U$23-U3290))</f>
        <v>38.230606030492268</v>
      </c>
      <c r="W3291" s="9">
        <f ca="1">U3280</f>
        <v>117781.38090117884</v>
      </c>
      <c r="X3291" s="98"/>
      <c r="Y3291" s="106">
        <f ca="1">IF(X3284&lt;=0,Q_max,ABS(X$23-X3290))</f>
        <v>144.51902780893764</v>
      </c>
      <c r="Z3291" s="9">
        <f ca="1">X3280</f>
        <v>288403.33773984521</v>
      </c>
      <c r="AA3291" s="98"/>
      <c r="AB3291" s="106">
        <f ca="1">IF(AA3284&lt;=0,Q_max,ABS(AA$23-AA3290))</f>
        <v>236393</v>
      </c>
      <c r="AC3291" s="9">
        <f ca="1">AA3280</f>
        <v>561736.08828806668</v>
      </c>
      <c r="AD3291" s="98"/>
      <c r="AE3291" s="106">
        <f ca="1">IF(AD3284&lt;=0,Q_max,ABS(AD$23-AD3290))</f>
        <v>236393</v>
      </c>
      <c r="AF3291" s="9">
        <f ca="1">AD3280</f>
        <v>942418.41210682003</v>
      </c>
      <c r="AG3291" s="98"/>
      <c r="AH3291" s="106">
        <f ca="1">IF(AG3284&lt;=0,Q_max,ABS(AG$23-AG3290))</f>
        <v>236393</v>
      </c>
      <c r="AI3291" s="9">
        <f ca="1">AG3280</f>
        <v>1375485.3403113843</v>
      </c>
      <c r="AJ3291" s="98"/>
      <c r="AK3291" s="106">
        <f ca="1">IF(AJ3284&lt;=0,Q_max,ABS(AJ$23-AJ3290))</f>
        <v>236393</v>
      </c>
      <c r="AL3291" s="9">
        <f ca="1">AJ3280</f>
        <v>1835590.5188069427</v>
      </c>
      <c r="AM3291" s="98"/>
      <c r="AN3291" s="106">
        <f ca="1">IF(AM3284&lt;=0,Q_max,ABS(AM$23-AM3290))</f>
        <v>236393</v>
      </c>
      <c r="AO3291" s="9">
        <f ca="1">AM3280</f>
        <v>2239769.2684711525</v>
      </c>
      <c r="AP3291" s="98"/>
      <c r="AQ3291" s="106">
        <f ca="1">IF(AP3284&lt;=0,Q_max,ABS(AP$23-AP3290))</f>
        <v>236393</v>
      </c>
      <c r="AR3291" s="9">
        <f ca="1">AP3280</f>
        <v>2600302.5878867796</v>
      </c>
      <c r="AS3291" s="98"/>
      <c r="AT3291" s="106">
        <f ca="1">IF(AS3284&lt;=0,Q_max,ABS(AS$23-AS3290))</f>
        <v>236393</v>
      </c>
      <c r="AU3291" s="9">
        <f ca="1">AS3280</f>
        <v>3049059.2848958666</v>
      </c>
    </row>
    <row r="3292" spans="15:47" x14ac:dyDescent="0.25">
      <c r="O3292" s="21"/>
      <c r="P3292" s="14"/>
      <c r="Q3292" s="21"/>
      <c r="R3292" s="97"/>
      <c r="S3292" s="106"/>
      <c r="T3292" s="28"/>
      <c r="U3292" s="99"/>
      <c r="V3292" s="110"/>
      <c r="W3292" s="25"/>
      <c r="X3292" s="99"/>
      <c r="Y3292" s="110"/>
      <c r="Z3292" s="25"/>
      <c r="AA3292" s="99"/>
      <c r="AB3292" s="110"/>
      <c r="AC3292" s="25"/>
      <c r="AD3292" s="99"/>
      <c r="AE3292" s="110"/>
      <c r="AF3292" s="25"/>
      <c r="AG3292" s="99"/>
      <c r="AH3292" s="110"/>
      <c r="AI3292" s="25"/>
      <c r="AJ3292" s="99"/>
      <c r="AK3292" s="110"/>
      <c r="AL3292" s="25"/>
      <c r="AM3292" s="99"/>
      <c r="AN3292" s="110"/>
      <c r="AO3292" s="25"/>
      <c r="AP3292" s="99"/>
      <c r="AQ3292" s="110"/>
      <c r="AR3292" s="25"/>
      <c r="AS3292" s="99"/>
      <c r="AT3292" s="110"/>
      <c r="AU3292" s="25"/>
    </row>
    <row r="3293" spans="15:47" x14ac:dyDescent="0.25">
      <c r="O3293" s="1"/>
      <c r="P3293" s="1"/>
      <c r="Q3293" s="1"/>
      <c r="R3293" s="98"/>
      <c r="S3293" s="108" t="s">
        <v>137</v>
      </c>
      <c r="T3293" s="26" t="s">
        <v>146</v>
      </c>
      <c r="U3293" s="98"/>
      <c r="V3293" s="108" t="s">
        <v>137</v>
      </c>
      <c r="W3293" s="26" t="s">
        <v>146</v>
      </c>
      <c r="X3293" s="98"/>
      <c r="Y3293" s="108" t="s">
        <v>137</v>
      </c>
      <c r="Z3293" s="26" t="s">
        <v>146</v>
      </c>
      <c r="AA3293" s="98"/>
      <c r="AB3293" s="108" t="s">
        <v>137</v>
      </c>
      <c r="AC3293" s="26" t="s">
        <v>146</v>
      </c>
      <c r="AD3293" s="98"/>
      <c r="AE3293" s="108" t="s">
        <v>137</v>
      </c>
      <c r="AF3293" s="26" t="s">
        <v>146</v>
      </c>
      <c r="AG3293" s="98"/>
      <c r="AH3293" s="108" t="s">
        <v>137</v>
      </c>
      <c r="AI3293" s="26" t="s">
        <v>146</v>
      </c>
      <c r="AJ3293" s="98"/>
      <c r="AK3293" s="108" t="s">
        <v>137</v>
      </c>
      <c r="AL3293" s="26" t="s">
        <v>146</v>
      </c>
      <c r="AM3293" s="98"/>
      <c r="AN3293" s="108" t="s">
        <v>137</v>
      </c>
      <c r="AO3293" s="26" t="s">
        <v>146</v>
      </c>
      <c r="AP3293" s="98"/>
      <c r="AQ3293" s="108" t="s">
        <v>137</v>
      </c>
      <c r="AR3293" s="26" t="s">
        <v>146</v>
      </c>
      <c r="AS3293" s="98"/>
      <c r="AT3293" s="108" t="s">
        <v>137</v>
      </c>
      <c r="AU3293" s="26" t="s">
        <v>146</v>
      </c>
    </row>
    <row r="3294" spans="15:47" ht="13.8" x14ac:dyDescent="0.25">
      <c r="O3294" s="20" t="s">
        <v>136</v>
      </c>
      <c r="P3294" s="1"/>
      <c r="Q3294" s="1"/>
      <c r="R3294" s="96">
        <f>R3280*1.02</f>
        <v>32145.981030083578</v>
      </c>
      <c r="S3294" s="109" t="s">
        <v>144</v>
      </c>
      <c r="T3294" s="23" t="s">
        <v>147</v>
      </c>
      <c r="U3294" s="96">
        <f ca="1">U3280*1.01</f>
        <v>118959.19471019063</v>
      </c>
      <c r="V3294" s="109" t="s">
        <v>144</v>
      </c>
      <c r="W3294" s="23" t="s">
        <v>147</v>
      </c>
      <c r="X3294" s="96">
        <f ca="1">X3280*1.01</f>
        <v>291287.37111724366</v>
      </c>
      <c r="Y3294" s="109" t="s">
        <v>144</v>
      </c>
      <c r="Z3294" s="23" t="s">
        <v>147</v>
      </c>
      <c r="AA3294" s="96">
        <f ca="1">AA3280*1.01</f>
        <v>567353.44917094731</v>
      </c>
      <c r="AB3294" s="109" t="s">
        <v>144</v>
      </c>
      <c r="AC3294" s="23" t="s">
        <v>147</v>
      </c>
      <c r="AD3294" s="96">
        <f ca="1">AD3280*1.01</f>
        <v>951842.59622788825</v>
      </c>
      <c r="AE3294" s="109" t="s">
        <v>144</v>
      </c>
      <c r="AF3294" s="23" t="s">
        <v>147</v>
      </c>
      <c r="AG3294" s="96">
        <f ca="1">AG3280*1.01</f>
        <v>1389240.1937144981</v>
      </c>
      <c r="AH3294" s="109" t="s">
        <v>144</v>
      </c>
      <c r="AI3294" s="23" t="s">
        <v>147</v>
      </c>
      <c r="AJ3294" s="96">
        <f ca="1">AJ3280*1.01</f>
        <v>1853946.4239950122</v>
      </c>
      <c r="AK3294" s="109" t="s">
        <v>144</v>
      </c>
      <c r="AL3294" s="23" t="s">
        <v>147</v>
      </c>
      <c r="AM3294" s="96">
        <f ca="1">AM3280*1.01</f>
        <v>2262166.9611558639</v>
      </c>
      <c r="AN3294" s="109" t="s">
        <v>144</v>
      </c>
      <c r="AO3294" s="23" t="s">
        <v>147</v>
      </c>
      <c r="AP3294" s="96">
        <f ca="1">AP3280*1.01</f>
        <v>2626305.6137656472</v>
      </c>
      <c r="AQ3294" s="109" t="s">
        <v>144</v>
      </c>
      <c r="AR3294" s="23" t="s">
        <v>147</v>
      </c>
      <c r="AS3294" s="96">
        <f ca="1">AS3280*1.01</f>
        <v>3079549.8777448256</v>
      </c>
      <c r="AT3294" s="109" t="s">
        <v>144</v>
      </c>
      <c r="AU3294" s="23" t="s">
        <v>147</v>
      </c>
    </row>
    <row r="3295" spans="15:47" x14ac:dyDescent="0.25">
      <c r="O3295" s="1"/>
      <c r="P3295" s="1"/>
      <c r="Q3295" s="1"/>
      <c r="R3295" s="98"/>
      <c r="S3295" s="107"/>
      <c r="T3295" s="1"/>
      <c r="U3295" s="47"/>
      <c r="V3295" s="107"/>
      <c r="W3295" s="1"/>
      <c r="X3295" s="47"/>
      <c r="Y3295" s="107"/>
      <c r="Z3295" s="1"/>
      <c r="AA3295" s="47"/>
      <c r="AB3295" s="107"/>
      <c r="AC3295" s="1"/>
      <c r="AD3295" s="47"/>
      <c r="AE3295" s="107"/>
      <c r="AF3295" s="1"/>
      <c r="AG3295" s="47"/>
      <c r="AH3295" s="107"/>
      <c r="AI3295" s="1"/>
      <c r="AJ3295" s="47"/>
      <c r="AK3295" s="107"/>
      <c r="AL3295" s="1"/>
      <c r="AM3295" s="47"/>
      <c r="AN3295" s="107"/>
      <c r="AO3295" s="1"/>
      <c r="AP3295" s="47"/>
      <c r="AQ3295" s="107"/>
      <c r="AR3295" s="1"/>
      <c r="AS3295" s="47"/>
      <c r="AT3295" s="107"/>
      <c r="AU3295" s="1"/>
    </row>
    <row r="3296" spans="15:47" x14ac:dyDescent="0.25">
      <c r="O3296" s="8" t="s">
        <v>132</v>
      </c>
      <c r="P3296" s="8"/>
      <c r="Q3296" s="8"/>
      <c r="R3296" s="96">
        <f>P_1_minQ-(R3294^2*R_up)+dpup_minQ</f>
        <v>89.996698648445658</v>
      </c>
      <c r="S3296" s="106"/>
      <c r="T3296" s="22"/>
      <c r="U3296" s="96">
        <f ca="1">P_1_minQ-(U3294^2*R_up)+dpup_minQ</f>
        <v>87.605813519073422</v>
      </c>
      <c r="V3296" s="107"/>
      <c r="W3296" s="1"/>
      <c r="X3296" s="96">
        <f ca="1">P_1_minQ-(X3294^2*R_up)+dpup_minQ</f>
        <v>74.720506121717733</v>
      </c>
      <c r="Y3296" s="107"/>
      <c r="Z3296" s="1"/>
      <c r="AA3296" s="96">
        <f ca="1">P_1_minQ-(AA3294^2*R_up)+dpup_minQ</f>
        <v>31.51708743627723</v>
      </c>
      <c r="AB3296" s="107"/>
      <c r="AC3296" s="1"/>
      <c r="AD3296" s="96">
        <f ca="1">P_1_minQ-(AD3294^2*R_up)+dpup_minQ</f>
        <v>-74.94413384203429</v>
      </c>
      <c r="AE3296" s="107"/>
      <c r="AF3296" s="1"/>
      <c r="AG3296" s="96">
        <f ca="1">P_1_minQ-(AG3294^2*R_up)+dpup_minQ</f>
        <v>-261.57638852072319</v>
      </c>
      <c r="AH3296" s="107"/>
      <c r="AI3296" s="1"/>
      <c r="AJ3296" s="96">
        <f ca="1">P_1_minQ-(AJ3294^2*R_up)+dpup_minQ</f>
        <v>-536.2670983179944</v>
      </c>
      <c r="AK3296" s="107"/>
      <c r="AL3296" s="1"/>
      <c r="AM3296" s="96">
        <f ca="1">P_1_minQ-(AM3294^2*R_up)+dpup_minQ</f>
        <v>-842.51682982967623</v>
      </c>
      <c r="AN3296" s="107"/>
      <c r="AO3296" s="1"/>
      <c r="AP3296" s="96">
        <f ca="1">P_1_minQ-(AP3294^2*R_up)+dpup_minQ</f>
        <v>-1166.9561637633508</v>
      </c>
      <c r="AQ3296" s="107"/>
      <c r="AR3296" s="1"/>
      <c r="AS3296" s="96">
        <f ca="1">P_1_minQ-(AS3294^2*R_up)+dpup_minQ</f>
        <v>-1638.3095399105966</v>
      </c>
      <c r="AT3296" s="107"/>
      <c r="AU3296" s="1"/>
    </row>
    <row r="3297" spans="15:47" x14ac:dyDescent="0.25">
      <c r="O3297" s="8" t="s">
        <v>134</v>
      </c>
      <c r="P3297" s="1"/>
      <c r="Q3297" s="8"/>
      <c r="R3297" s="97">
        <f>P_2_minQ+(R3294^2*R_dn)-dpdn_minQ</f>
        <v>60</v>
      </c>
      <c r="S3297" s="106"/>
      <c r="T3297" s="22"/>
      <c r="U3297" s="97">
        <f ca="1">P_2_minQ+(U3294^2*R_dn)-dpdn_minQ</f>
        <v>60</v>
      </c>
      <c r="V3297" s="107"/>
      <c r="W3297" s="1"/>
      <c r="X3297" s="97">
        <f ca="1">P_2_minQ+(X3294^2*R_dn)-dpdn_minQ</f>
        <v>60</v>
      </c>
      <c r="Y3297" s="107"/>
      <c r="Z3297" s="1"/>
      <c r="AA3297" s="97">
        <f ca="1">P_2_minQ+(AA3294^2*R_dn)-dpdn_minQ</f>
        <v>60</v>
      </c>
      <c r="AB3297" s="107"/>
      <c r="AC3297" s="1"/>
      <c r="AD3297" s="97">
        <f ca="1">P_2_minQ+(AD3294^2*R_dn)-dpdn_minQ</f>
        <v>60</v>
      </c>
      <c r="AE3297" s="107"/>
      <c r="AF3297" s="1"/>
      <c r="AG3297" s="97">
        <f ca="1">P_2_minQ+(AG3294^2*R_dn)-dpdn_minQ</f>
        <v>60</v>
      </c>
      <c r="AH3297" s="107"/>
      <c r="AI3297" s="1"/>
      <c r="AJ3297" s="97">
        <f ca="1">P_2_minQ+(AJ3294^2*R_dn)-dpdn_minQ</f>
        <v>60</v>
      </c>
      <c r="AK3297" s="107"/>
      <c r="AL3297" s="1"/>
      <c r="AM3297" s="97">
        <f ca="1">P_2_minQ+(AM3294^2*R_dn)-dpdn_minQ</f>
        <v>60</v>
      </c>
      <c r="AN3297" s="107"/>
      <c r="AO3297" s="1"/>
      <c r="AP3297" s="97">
        <f ca="1">P_2_minQ+(AP3294^2*R_dn)-dpdn_minQ</f>
        <v>60</v>
      </c>
      <c r="AQ3297" s="107"/>
      <c r="AR3297" s="1"/>
      <c r="AS3297" s="97">
        <f ca="1">P_2_minQ+(AS3294^2*R_dn)-dpdn_minQ</f>
        <v>60</v>
      </c>
      <c r="AT3297" s="107"/>
      <c r="AU3297" s="1"/>
    </row>
    <row r="3298" spans="15:47" x14ac:dyDescent="0.25">
      <c r="O3298" s="8" t="s">
        <v>138</v>
      </c>
      <c r="P3298" s="1"/>
      <c r="Q3298" s="8"/>
      <c r="R3298" s="97">
        <f>R3296-R3297</f>
        <v>29.996698648445658</v>
      </c>
      <c r="S3298" s="106"/>
      <c r="T3298" s="22"/>
      <c r="U3298" s="97">
        <f ca="1">U3296-U3297</f>
        <v>27.605813519073422</v>
      </c>
      <c r="V3298" s="110"/>
      <c r="W3298" s="25"/>
      <c r="X3298" s="97">
        <f ca="1">X3296-X3297</f>
        <v>14.720506121717733</v>
      </c>
      <c r="Y3298" s="110"/>
      <c r="Z3298" s="25"/>
      <c r="AA3298" s="97">
        <f ca="1">AA3296-AA3297</f>
        <v>-28.48291256372277</v>
      </c>
      <c r="AB3298" s="110"/>
      <c r="AC3298" s="25"/>
      <c r="AD3298" s="97">
        <f ca="1">AD3296-AD3297</f>
        <v>-134.94413384203429</v>
      </c>
      <c r="AE3298" s="110"/>
      <c r="AF3298" s="25"/>
      <c r="AG3298" s="97">
        <f ca="1">AG3296-AG3297</f>
        <v>-321.57638852072319</v>
      </c>
      <c r="AH3298" s="110"/>
      <c r="AI3298" s="25"/>
      <c r="AJ3298" s="97">
        <f ca="1">AJ3296-AJ3297</f>
        <v>-596.2670983179944</v>
      </c>
      <c r="AK3298" s="110"/>
      <c r="AL3298" s="25"/>
      <c r="AM3298" s="97">
        <f ca="1">AM3296-AM3297</f>
        <v>-902.51682982967623</v>
      </c>
      <c r="AN3298" s="110"/>
      <c r="AO3298" s="25"/>
      <c r="AP3298" s="97">
        <f ca="1">AP3296-AP3297</f>
        <v>-1226.9561637633508</v>
      </c>
      <c r="AQ3298" s="110"/>
      <c r="AR3298" s="25"/>
      <c r="AS3298" s="97">
        <f ca="1">AS3296-AS3297</f>
        <v>-1698.3095399105966</v>
      </c>
      <c r="AT3298" s="110"/>
      <c r="AU3298" s="25"/>
    </row>
    <row r="3299" spans="15:47" ht="14.4" x14ac:dyDescent="0.3">
      <c r="O3299" s="2" t="s">
        <v>140</v>
      </c>
      <c r="P3299" s="11"/>
      <c r="Q3299" s="2"/>
      <c r="R3299" s="96">
        <f>R3298/R3296</f>
        <v>0.33330887798031172</v>
      </c>
      <c r="S3299" s="106"/>
      <c r="T3299" s="22"/>
      <c r="U3299" s="96">
        <f ca="1">U3298/U3296</f>
        <v>0.31511394518427843</v>
      </c>
      <c r="V3299" s="111"/>
      <c r="W3299" s="28"/>
      <c r="X3299" s="96">
        <f ca="1">X3298/X3296</f>
        <v>0.19700758045908331</v>
      </c>
      <c r="Y3299" s="111"/>
      <c r="Z3299" s="28"/>
      <c r="AA3299" s="96">
        <f ca="1">AA3298/AA3296</f>
        <v>-0.90372921106085391</v>
      </c>
      <c r="AB3299" s="111"/>
      <c r="AC3299" s="28"/>
      <c r="AD3299" s="96">
        <f ca="1">AD3298/AD3296</f>
        <v>1.8005963498953337</v>
      </c>
      <c r="AE3299" s="111"/>
      <c r="AF3299" s="28"/>
      <c r="AG3299" s="96">
        <f ca="1">AG3298/AG3296</f>
        <v>1.2293785013980594</v>
      </c>
      <c r="AH3299" s="111"/>
      <c r="AI3299" s="28"/>
      <c r="AJ3299" s="96">
        <f ca="1">AJ3298/AJ3296</f>
        <v>1.1118845444521777</v>
      </c>
      <c r="AK3299" s="111"/>
      <c r="AL3299" s="28"/>
      <c r="AM3299" s="96">
        <f ca="1">AM3298/AM3296</f>
        <v>1.0712151946117558</v>
      </c>
      <c r="AN3299" s="111"/>
      <c r="AO3299" s="28"/>
      <c r="AP3299" s="96">
        <f ca="1">AP3298/AP3296</f>
        <v>1.0514158130897602</v>
      </c>
      <c r="AQ3299" s="111"/>
      <c r="AR3299" s="28"/>
      <c r="AS3299" s="96">
        <f ca="1">AS3298/AS3296</f>
        <v>1.0366231158022032</v>
      </c>
      <c r="AT3299" s="111"/>
      <c r="AU3299" s="28"/>
    </row>
    <row r="3300" spans="15:47" x14ac:dyDescent="0.25">
      <c r="O3300" s="2" t="s">
        <v>21</v>
      </c>
      <c r="P3300" s="8">
        <v>12</v>
      </c>
      <c r="Q3300" s="2"/>
      <c r="R3300" s="96">
        <f ca="1">1-R3299/(3*F_GAMMA*R$29)</f>
        <v>0.82640968105329637</v>
      </c>
      <c r="S3300" s="106"/>
      <c r="T3300" s="22"/>
      <c r="U3300" s="96">
        <f ca="1">1-U3299/(3*F_GAMMA*U$29)</f>
        <v>0.83592389504218922</v>
      </c>
      <c r="V3300" s="111"/>
      <c r="W3300" s="28"/>
      <c r="X3300" s="96">
        <f ca="1">1-X3299/(3*F_GAMMA*X$29)</f>
        <v>0.89644349157529679</v>
      </c>
      <c r="Y3300" s="111"/>
      <c r="Z3300" s="28"/>
      <c r="AA3300" s="96">
        <f ca="1">1-AA3299/(3*F_GAMMA*AA$29)</f>
        <v>1.4817390884524795</v>
      </c>
      <c r="AB3300" s="111"/>
      <c r="AC3300" s="28"/>
      <c r="AD3300" s="96">
        <f ca="1">1-AD3299/(3*F_GAMMA*AD$29)</f>
        <v>1.0411657453448409E-2</v>
      </c>
      <c r="AE3300" s="111"/>
      <c r="AF3300" s="28"/>
      <c r="AG3300" s="96">
        <f ca="1">1-AG3299/(3*F_GAMMA*AG$29)</f>
        <v>0.28380346444229132</v>
      </c>
      <c r="AH3300" s="111"/>
      <c r="AI3300" s="28"/>
      <c r="AJ3300" s="96">
        <f ca="1">1-AJ3299/(3*F_GAMMA*AJ$29)</f>
        <v>0.30311149027487994</v>
      </c>
      <c r="AK3300" s="111"/>
      <c r="AL3300" s="28"/>
      <c r="AM3300" s="96">
        <f ca="1">1-AM3299/(3*F_GAMMA*AM$29)</f>
        <v>0.24932118680337778</v>
      </c>
      <c r="AN3300" s="111"/>
      <c r="AO3300" s="28"/>
      <c r="AP3300" s="96">
        <f ca="1">1-AP3299/(3*F_GAMMA*AP$29)</f>
        <v>0.40652453952514922</v>
      </c>
      <c r="AQ3300" s="111"/>
      <c r="AR3300" s="28"/>
      <c r="AS3300" s="96">
        <f ca="1">1-AS3299/(3*F_GAMMA*AS$29)</f>
        <v>8.269112664720335E-2</v>
      </c>
      <c r="AT3300" s="111"/>
      <c r="AU3300" s="28"/>
    </row>
    <row r="3301" spans="15:47" x14ac:dyDescent="0.25">
      <c r="O3301" s="2" t="s">
        <v>57</v>
      </c>
      <c r="P3301" s="143">
        <v>7</v>
      </c>
      <c r="Q3301" s="2"/>
      <c r="R3301" s="96">
        <f ca="1">(R3294/(N_9*R$27*R3296*R3300))*SQRT(M*'Valve Sizing'!$W$6*'Valve Sizing'!$G$8/R3299)</f>
        <v>13.024687223088787</v>
      </c>
      <c r="S3301" s="107"/>
      <c r="T3301" s="22"/>
      <c r="U3301" s="96">
        <f ca="1">(U3294/(N_9*U$27*U3296*U3300))*SQRT(M*'Valve Sizing'!$W$6*'Valve Sizing'!$G$8/U3299)</f>
        <v>50.377363562310535</v>
      </c>
      <c r="V3301" s="111"/>
      <c r="W3301" s="28"/>
      <c r="X3301" s="96">
        <f ca="1">(X3294/(N_9*X$27*X3296*X3300))*SQRT(M*'Valve Sizing'!$W$6*'Valve Sizing'!$G$8/X3299)</f>
        <v>170.9570291675027</v>
      </c>
      <c r="Y3301" s="111"/>
      <c r="Z3301" s="28"/>
      <c r="AA3301" s="96" t="e">
        <f ca="1">(AA3294/(N_9*AA$27*AA3296*AA3300))*SQRT(M*'Valve Sizing'!$W$6*'Valve Sizing'!$G$8/AA3299)</f>
        <v>#NUM!</v>
      </c>
      <c r="AB3301" s="111"/>
      <c r="AC3301" s="28"/>
      <c r="AD3301" s="96">
        <f ca="1">(AD3294/(N_9*AD$27*AD3296*AD3300))*SQRT(M*'Valve Sizing'!$W$6*'Valve Sizing'!$G$8/AD3299)</f>
        <v>-16154.200304091295</v>
      </c>
      <c r="AE3301" s="111"/>
      <c r="AF3301" s="28"/>
      <c r="AG3301" s="96">
        <f ca="1">(AG3294/(N_9*AG$27*AG3296*AG3300))*SQRT(M*'Valve Sizing'!$W$6*'Valve Sizing'!$G$8/AG3299)</f>
        <v>-306.66883294158873</v>
      </c>
      <c r="AH3301" s="111"/>
      <c r="AI3301" s="28"/>
      <c r="AJ3301" s="96">
        <f ca="1">(AJ3294/(N_9*AJ$27*AJ3296*AJ3300))*SQRT(M*'Valve Sizing'!$W$6*'Valve Sizing'!$G$8/AJ3299)</f>
        <v>-203.63768883494029</v>
      </c>
      <c r="AK3301" s="111"/>
      <c r="AL3301" s="28"/>
      <c r="AM3301" s="96">
        <f ca="1">(AM3294/(N_9*AM$27*AM3296*AM3300))*SQRT(M*'Valve Sizing'!$W$6*'Valve Sizing'!$G$8/AM3299)</f>
        <v>-207.84596312486866</v>
      </c>
      <c r="AN3301" s="111"/>
      <c r="AO3301" s="28"/>
      <c r="AP3301" s="96">
        <f ca="1">(AP3294/(N_9*AP$27*AP3296*AP3300))*SQRT(M*'Valve Sizing'!$W$6*'Valve Sizing'!$G$8/AP3299)</f>
        <v>-122.75133896171376</v>
      </c>
      <c r="AQ3301" s="111"/>
      <c r="AR3301" s="28"/>
      <c r="AS3301" s="96">
        <f ca="1">(AS3294/(N_9*AS$27*AS3296*AS3300))*SQRT(M*'Valve Sizing'!$W$6*'Valve Sizing'!$G$8/AS3299)</f>
        <v>-679.88973710819448</v>
      </c>
      <c r="AT3301" s="111"/>
      <c r="AU3301" s="28"/>
    </row>
    <row r="3302" spans="15:47" x14ac:dyDescent="0.25">
      <c r="O3302" s="2" t="s">
        <v>59</v>
      </c>
      <c r="P3302" s="143">
        <v>7</v>
      </c>
      <c r="Q3302" s="2"/>
      <c r="R3302" s="96">
        <f ca="1">(R3294/(N_9*R$27*R3296*0.667))*SQRT(M*'Valve Sizing'!$W$6*'Valve Sizing'!$G$8/R3303)</f>
        <v>11.645556399102439</v>
      </c>
      <c r="S3302" s="107"/>
      <c r="T3302" s="22"/>
      <c r="U3302" s="96">
        <f ca="1">(U3294/(N_9*U$27*U3296*0.667))*SQRT(M*'Valve Sizing'!$W$6*'Valve Sizing'!$G$8/U3303)</f>
        <v>44.295502985220608</v>
      </c>
      <c r="V3302" s="111"/>
      <c r="W3302" s="28"/>
      <c r="X3302" s="96">
        <f ca="1">(X3294/(N_9*X$27*X3296*0.667))*SQRT(M*'Valve Sizing'!$W$6*'Valve Sizing'!$G$8/X3303)</f>
        <v>128.0658609989444</v>
      </c>
      <c r="Y3302" s="111"/>
      <c r="Z3302" s="28"/>
      <c r="AA3302" s="96">
        <f ca="1">(AA3294/(N_9*AA$27*AA3296*0.667))*SQRT(M*'Valve Sizing'!$W$6*'Valve Sizing'!$G$8/AA3303)</f>
        <v>599.05723371929525</v>
      </c>
      <c r="AB3302" s="111"/>
      <c r="AC3302" s="28"/>
      <c r="AD3302" s="96">
        <f ca="1">(AD3294/(N_9*AD$27*AD3296*0.667))*SQRT(M*'Valve Sizing'!$W$6*'Valve Sizing'!$G$8/AD3303)</f>
        <v>-434.47762283189149</v>
      </c>
      <c r="AE3302" s="111"/>
      <c r="AF3302" s="28"/>
      <c r="AG3302" s="96">
        <f ca="1">(AG3294/(N_9*AG$27*AG3296*0.667))*SQRT(M*'Valve Sizing'!$W$6*'Valve Sizing'!$G$8/AG3303)</f>
        <v>-191.26620217143406</v>
      </c>
      <c r="AH3302" s="111"/>
      <c r="AI3302" s="28"/>
      <c r="AJ3302" s="96">
        <f ca="1">(AJ3294/(N_9*AJ$27*AJ3296*0.667))*SQRT(M*'Valve Sizing'!$W$6*'Valve Sizing'!$G$8/AJ3303)</f>
        <v>-133.80643643979201</v>
      </c>
      <c r="AK3302" s="111"/>
      <c r="AL3302" s="28"/>
      <c r="AM3302" s="96">
        <f ca="1">(AM3294/(N_9*AM$27*AM3296*0.667))*SQRT(M*'Valve Sizing'!$W$6*'Valve Sizing'!$G$8/AM3303)</f>
        <v>-116.59036239122375</v>
      </c>
      <c r="AN3302" s="111"/>
      <c r="AO3302" s="28"/>
      <c r="AP3302" s="96">
        <f ca="1">(AP3294/(N_9*AP$27*AP3296*0.667))*SQRT(M*'Valve Sizing'!$W$6*'Valve Sizing'!$G$8/AP3303)</f>
        <v>-99.827266917970533</v>
      </c>
      <c r="AQ3302" s="111"/>
      <c r="AR3302" s="28"/>
      <c r="AS3302" s="96">
        <f ca="1">(AS3294/(N_9*AS$27*AS3296*0.667))*SQRT(M*'Valve Sizing'!$W$6*'Valve Sizing'!$G$8/AS3303)</f>
        <v>-139.82666049131223</v>
      </c>
      <c r="AT3302" s="111"/>
      <c r="AU3302" s="28"/>
    </row>
    <row r="3303" spans="15:47" ht="15.6" x14ac:dyDescent="0.35">
      <c r="O3303" s="2" t="s">
        <v>68</v>
      </c>
      <c r="P3303" s="143">
        <v>10</v>
      </c>
      <c r="Q3303" s="2"/>
      <c r="R3303" s="96">
        <f ca="1">F_GAMMA*R$29</f>
        <v>0.64002969751372984</v>
      </c>
      <c r="S3303" s="107"/>
      <c r="T3303" s="1"/>
      <c r="U3303" s="96">
        <f ca="1">F_GAMMA*U$29</f>
        <v>0.64017842058782071</v>
      </c>
      <c r="V3303" s="111"/>
      <c r="W3303" s="28"/>
      <c r="X3303" s="96">
        <f ca="1">F_GAMMA*X$29</f>
        <v>0.63413873724904268</v>
      </c>
      <c r="Y3303" s="111"/>
      <c r="Z3303" s="28"/>
      <c r="AA3303" s="96">
        <f ca="1">F_GAMMA*AA$29</f>
        <v>0.62532411750377137</v>
      </c>
      <c r="AB3303" s="111"/>
      <c r="AC3303" s="28"/>
      <c r="AD3303" s="96">
        <f ca="1">F_GAMMA*AD$29</f>
        <v>0.60651359509139569</v>
      </c>
      <c r="AE3303" s="111"/>
      <c r="AF3303" s="28"/>
      <c r="AG3303" s="96">
        <f ca="1">F_GAMMA*AG$29</f>
        <v>0.57217930198481592</v>
      </c>
      <c r="AH3303" s="111"/>
      <c r="AI3303" s="28"/>
      <c r="AJ3303" s="96">
        <f ca="1">F_GAMMA*AJ$29</f>
        <v>0.53183282018848232</v>
      </c>
      <c r="AK3303" s="111"/>
      <c r="AL3303" s="28"/>
      <c r="AM3303" s="96">
        <f ca="1">F_GAMMA*AM$29</f>
        <v>0.47566512503094399</v>
      </c>
      <c r="AN3303" s="111"/>
      <c r="AO3303" s="28"/>
      <c r="AP3303" s="96">
        <f ca="1">F_GAMMA*AP$29</f>
        <v>0.59054158265645496</v>
      </c>
      <c r="AQ3303" s="111"/>
      <c r="AR3303" s="28"/>
      <c r="AS3303" s="96">
        <f ca="1">F_GAMMA*AS$29</f>
        <v>0.3766899554102966</v>
      </c>
      <c r="AT3303" s="111"/>
      <c r="AU3303" s="28"/>
    </row>
    <row r="3304" spans="15:47" x14ac:dyDescent="0.25">
      <c r="O3304" s="2" t="s">
        <v>145</v>
      </c>
      <c r="P3304" s="12"/>
      <c r="Q3304" s="2"/>
      <c r="R3304" s="96">
        <f ca="1">IF(R3299&lt;R3303,R3301,R3302)</f>
        <v>13.024687223088787</v>
      </c>
      <c r="S3304" s="116"/>
      <c r="T3304" s="1"/>
      <c r="U3304" s="96">
        <f ca="1">IF(U3299&lt;U3303,U3301,U3302)</f>
        <v>50.377363562310535</v>
      </c>
      <c r="V3304" s="111"/>
      <c r="W3304" s="28"/>
      <c r="X3304" s="96">
        <f ca="1">IF(X3299&lt;X3303,X3301,X3302)</f>
        <v>170.9570291675027</v>
      </c>
      <c r="Y3304" s="111"/>
      <c r="Z3304" s="28"/>
      <c r="AA3304" s="96" t="e">
        <f ca="1">IF(AA3299&lt;AA3303,AA3301,AA3302)</f>
        <v>#NUM!</v>
      </c>
      <c r="AB3304" s="111"/>
      <c r="AC3304" s="28"/>
      <c r="AD3304" s="96">
        <f ca="1">IF(AD3299&lt;AD3303,AD3301,AD3302)</f>
        <v>-434.47762283189149</v>
      </c>
      <c r="AE3304" s="111"/>
      <c r="AF3304" s="28"/>
      <c r="AG3304" s="96">
        <f ca="1">IF(AG3299&lt;AG3303,AG3301,AG3302)</f>
        <v>-191.26620217143406</v>
      </c>
      <c r="AH3304" s="111"/>
      <c r="AI3304" s="28"/>
      <c r="AJ3304" s="96">
        <f ca="1">IF(AJ3299&lt;AJ3303,AJ3301,AJ3302)</f>
        <v>-133.80643643979201</v>
      </c>
      <c r="AK3304" s="111"/>
      <c r="AL3304" s="28"/>
      <c r="AM3304" s="96">
        <f ca="1">IF(AM3299&lt;AM3303,AM3301,AM3302)</f>
        <v>-116.59036239122375</v>
      </c>
      <c r="AN3304" s="111"/>
      <c r="AO3304" s="28"/>
      <c r="AP3304" s="96">
        <f ca="1">IF(AP3299&lt;AP3303,AP3301,AP3302)</f>
        <v>-99.827266917970533</v>
      </c>
      <c r="AQ3304" s="111"/>
      <c r="AR3304" s="28"/>
      <c r="AS3304" s="96">
        <f ca="1">IF(AS3299&lt;AS3303,AS3301,AS3302)</f>
        <v>-139.82666049131223</v>
      </c>
      <c r="AT3304" s="111"/>
      <c r="AU3304" s="28"/>
    </row>
    <row r="3305" spans="15:47" x14ac:dyDescent="0.25">
      <c r="O3305" s="13" t="s">
        <v>143</v>
      </c>
      <c r="P3305" s="1"/>
      <c r="Q3305" s="1"/>
      <c r="R3305" s="113"/>
      <c r="S3305" s="106">
        <f ca="1">IF(R3298&lt;=0,Q_max,ABS(R$23-R3304))</f>
        <v>8.2946872230887863</v>
      </c>
      <c r="T3305" s="7">
        <f>R3294</f>
        <v>32145.981030083578</v>
      </c>
      <c r="U3305" s="98"/>
      <c r="V3305" s="106">
        <f ca="1">IF(U3298&lt;=0,Q_max,ABS(U$23-U3304))</f>
        <v>38.777363562310533</v>
      </c>
      <c r="W3305" s="9">
        <f ca="1">U3294</f>
        <v>118959.19471019063</v>
      </c>
      <c r="X3305" s="98"/>
      <c r="Y3305" s="106">
        <f ca="1">IF(X3298&lt;=0,Q_max,ABS(X$23-X3304))</f>
        <v>147.9570291675027</v>
      </c>
      <c r="Z3305" s="9">
        <f ca="1">X3294</f>
        <v>291287.37111724366</v>
      </c>
      <c r="AA3305" s="98"/>
      <c r="AB3305" s="106">
        <f ca="1">IF(AA3298&lt;=0,Q_max,ABS(AA$23-AA3304))</f>
        <v>236393</v>
      </c>
      <c r="AC3305" s="9">
        <f ca="1">AA3294</f>
        <v>567353.44917094731</v>
      </c>
      <c r="AD3305" s="98"/>
      <c r="AE3305" s="106">
        <f ca="1">IF(AD3298&lt;=0,Q_max,ABS(AD$23-AD3304))</f>
        <v>236393</v>
      </c>
      <c r="AF3305" s="9">
        <f ca="1">AD3294</f>
        <v>951842.59622788825</v>
      </c>
      <c r="AG3305" s="98"/>
      <c r="AH3305" s="106">
        <f ca="1">IF(AG3298&lt;=0,Q_max,ABS(AG$23-AG3304))</f>
        <v>236393</v>
      </c>
      <c r="AI3305" s="9">
        <f ca="1">AG3294</f>
        <v>1389240.1937144981</v>
      </c>
      <c r="AJ3305" s="98"/>
      <c r="AK3305" s="106">
        <f ca="1">IF(AJ3298&lt;=0,Q_max,ABS(AJ$23-AJ3304))</f>
        <v>236393</v>
      </c>
      <c r="AL3305" s="9">
        <f ca="1">AJ3294</f>
        <v>1853946.4239950122</v>
      </c>
      <c r="AM3305" s="98"/>
      <c r="AN3305" s="106">
        <f ca="1">IF(AM3298&lt;=0,Q_max,ABS(AM$23-AM3304))</f>
        <v>236393</v>
      </c>
      <c r="AO3305" s="9">
        <f ca="1">AM3294</f>
        <v>2262166.9611558639</v>
      </c>
      <c r="AP3305" s="98"/>
      <c r="AQ3305" s="106">
        <f ca="1">IF(AP3298&lt;=0,Q_max,ABS(AP$23-AP3304))</f>
        <v>236393</v>
      </c>
      <c r="AR3305" s="9">
        <f ca="1">AP3294</f>
        <v>2626305.6137656472</v>
      </c>
      <c r="AS3305" s="98"/>
      <c r="AT3305" s="106">
        <f ca="1">IF(AS3298&lt;=0,Q_max,ABS(AS$23-AS3304))</f>
        <v>236393</v>
      </c>
      <c r="AU3305" s="9">
        <f ca="1">AS3294</f>
        <v>3079549.8777448256</v>
      </c>
    </row>
    <row r="3306" spans="15:47" x14ac:dyDescent="0.25">
      <c r="O3306" s="21"/>
      <c r="P3306" s="14"/>
      <c r="Q3306" s="21"/>
      <c r="R3306" s="97"/>
      <c r="S3306" s="106"/>
      <c r="T3306" s="28"/>
      <c r="U3306" s="97"/>
      <c r="V3306" s="111"/>
      <c r="W3306" s="28"/>
      <c r="X3306" s="97"/>
      <c r="Y3306" s="111"/>
      <c r="Z3306" s="28"/>
      <c r="AA3306" s="97"/>
      <c r="AB3306" s="111"/>
      <c r="AC3306" s="28"/>
      <c r="AD3306" s="97"/>
      <c r="AE3306" s="111"/>
      <c r="AF3306" s="28"/>
      <c r="AG3306" s="97"/>
      <c r="AH3306" s="111"/>
      <c r="AI3306" s="28"/>
      <c r="AJ3306" s="97"/>
      <c r="AK3306" s="111"/>
      <c r="AL3306" s="28"/>
      <c r="AM3306" s="97"/>
      <c r="AN3306" s="111"/>
      <c r="AO3306" s="28"/>
      <c r="AP3306" s="97"/>
      <c r="AQ3306" s="111"/>
      <c r="AR3306" s="28"/>
      <c r="AS3306" s="97"/>
      <c r="AT3306" s="111"/>
      <c r="AU3306" s="28"/>
    </row>
    <row r="3307" spans="15:47" x14ac:dyDescent="0.25">
      <c r="O3307" s="1"/>
      <c r="P3307" s="1"/>
      <c r="Q3307" s="1"/>
      <c r="R3307" s="98"/>
      <c r="S3307" s="108" t="s">
        <v>137</v>
      </c>
      <c r="T3307" s="26" t="s">
        <v>146</v>
      </c>
      <c r="U3307" s="98"/>
      <c r="V3307" s="108" t="s">
        <v>137</v>
      </c>
      <c r="W3307" s="26" t="s">
        <v>146</v>
      </c>
      <c r="X3307" s="98"/>
      <c r="Y3307" s="108" t="s">
        <v>137</v>
      </c>
      <c r="Z3307" s="26" t="s">
        <v>146</v>
      </c>
      <c r="AA3307" s="98"/>
      <c r="AB3307" s="108" t="s">
        <v>137</v>
      </c>
      <c r="AC3307" s="26" t="s">
        <v>146</v>
      </c>
      <c r="AD3307" s="98"/>
      <c r="AE3307" s="108" t="s">
        <v>137</v>
      </c>
      <c r="AF3307" s="26" t="s">
        <v>146</v>
      </c>
      <c r="AG3307" s="98"/>
      <c r="AH3307" s="108" t="s">
        <v>137</v>
      </c>
      <c r="AI3307" s="26" t="s">
        <v>146</v>
      </c>
      <c r="AJ3307" s="98"/>
      <c r="AK3307" s="108" t="s">
        <v>137</v>
      </c>
      <c r="AL3307" s="26" t="s">
        <v>146</v>
      </c>
      <c r="AM3307" s="98"/>
      <c r="AN3307" s="108" t="s">
        <v>137</v>
      </c>
      <c r="AO3307" s="26" t="s">
        <v>146</v>
      </c>
      <c r="AP3307" s="98"/>
      <c r="AQ3307" s="108" t="s">
        <v>137</v>
      </c>
      <c r="AR3307" s="26" t="s">
        <v>146</v>
      </c>
      <c r="AS3307" s="98"/>
      <c r="AT3307" s="108" t="s">
        <v>137</v>
      </c>
      <c r="AU3307" s="26" t="s">
        <v>146</v>
      </c>
    </row>
    <row r="3308" spans="15:47" ht="13.8" x14ac:dyDescent="0.25">
      <c r="O3308" s="20" t="s">
        <v>136</v>
      </c>
      <c r="P3308" s="1"/>
      <c r="Q3308" s="1"/>
      <c r="R3308" s="96">
        <f>R3294*1.02</f>
        <v>32788.900650685253</v>
      </c>
      <c r="S3308" s="109" t="s">
        <v>144</v>
      </c>
      <c r="T3308" s="23" t="s">
        <v>147</v>
      </c>
      <c r="U3308" s="96">
        <f ca="1">U3294*1.01</f>
        <v>120148.78665729253</v>
      </c>
      <c r="V3308" s="109" t="s">
        <v>144</v>
      </c>
      <c r="W3308" s="23" t="s">
        <v>147</v>
      </c>
      <c r="X3308" s="96">
        <f ca="1">X3294*1.01</f>
        <v>294200.24482841609</v>
      </c>
      <c r="Y3308" s="109" t="s">
        <v>144</v>
      </c>
      <c r="Z3308" s="23" t="s">
        <v>147</v>
      </c>
      <c r="AA3308" s="96">
        <f ca="1">AA3294*1.01</f>
        <v>573026.98366265674</v>
      </c>
      <c r="AB3308" s="109" t="s">
        <v>144</v>
      </c>
      <c r="AC3308" s="23" t="s">
        <v>147</v>
      </c>
      <c r="AD3308" s="96">
        <f ca="1">AD3294*1.01</f>
        <v>961361.0221901671</v>
      </c>
      <c r="AE3308" s="109" t="s">
        <v>144</v>
      </c>
      <c r="AF3308" s="23" t="s">
        <v>147</v>
      </c>
      <c r="AG3308" s="96">
        <f ca="1">AG3294*1.01</f>
        <v>1403132.5956516431</v>
      </c>
      <c r="AH3308" s="109" t="s">
        <v>144</v>
      </c>
      <c r="AI3308" s="23" t="s">
        <v>147</v>
      </c>
      <c r="AJ3308" s="96">
        <f ca="1">AJ3294*1.01</f>
        <v>1872485.8882349622</v>
      </c>
      <c r="AK3308" s="109" t="s">
        <v>144</v>
      </c>
      <c r="AL3308" s="23" t="s">
        <v>147</v>
      </c>
      <c r="AM3308" s="96">
        <f ca="1">AM3294*1.01</f>
        <v>2284788.6307674227</v>
      </c>
      <c r="AN3308" s="109" t="s">
        <v>144</v>
      </c>
      <c r="AO3308" s="23" t="s">
        <v>147</v>
      </c>
      <c r="AP3308" s="96">
        <f ca="1">AP3294*1.01</f>
        <v>2652568.6699033035</v>
      </c>
      <c r="AQ3308" s="109" t="s">
        <v>144</v>
      </c>
      <c r="AR3308" s="23" t="s">
        <v>147</v>
      </c>
      <c r="AS3308" s="96">
        <f ca="1">AS3294*1.01</f>
        <v>3110345.3765222738</v>
      </c>
      <c r="AT3308" s="109" t="s">
        <v>144</v>
      </c>
      <c r="AU3308" s="23" t="s">
        <v>147</v>
      </c>
    </row>
    <row r="3309" spans="15:47" x14ac:dyDescent="0.25">
      <c r="O3309" s="1"/>
      <c r="P3309" s="1"/>
      <c r="Q3309" s="1"/>
      <c r="R3309" s="98"/>
      <c r="S3309" s="107"/>
      <c r="T3309" s="1"/>
      <c r="U3309" s="47"/>
      <c r="V3309" s="107"/>
      <c r="W3309" s="1"/>
      <c r="X3309" s="47"/>
      <c r="Y3309" s="107"/>
      <c r="Z3309" s="1"/>
      <c r="AA3309" s="47"/>
      <c r="AB3309" s="107"/>
      <c r="AC3309" s="1"/>
      <c r="AD3309" s="47"/>
      <c r="AE3309" s="107"/>
      <c r="AF3309" s="1"/>
      <c r="AG3309" s="47"/>
      <c r="AH3309" s="107"/>
      <c r="AI3309" s="1"/>
      <c r="AJ3309" s="47"/>
      <c r="AK3309" s="107"/>
      <c r="AL3309" s="1"/>
      <c r="AM3309" s="47"/>
      <c r="AN3309" s="107"/>
      <c r="AO3309" s="1"/>
      <c r="AP3309" s="47"/>
      <c r="AQ3309" s="107"/>
      <c r="AR3309" s="1"/>
      <c r="AS3309" s="47"/>
      <c r="AT3309" s="107"/>
      <c r="AU3309" s="1"/>
    </row>
    <row r="3310" spans="15:47" x14ac:dyDescent="0.25">
      <c r="O3310" s="8" t="s">
        <v>132</v>
      </c>
      <c r="P3310" s="8"/>
      <c r="Q3310" s="8"/>
      <c r="R3310" s="96">
        <f>P_1_minQ-(R3308^2*R_up)+dpup_minQ</f>
        <v>89.98908963642053</v>
      </c>
      <c r="S3310" s="106"/>
      <c r="T3310" s="22"/>
      <c r="U3310" s="96">
        <f ca="1">P_1_minQ-(U3308^2*R_up)+dpup_minQ</f>
        <v>87.553971056148654</v>
      </c>
      <c r="V3310" s="107"/>
      <c r="W3310" s="1"/>
      <c r="X3310" s="96">
        <f ca="1">P_1_minQ-(X3308^2*R_up)+dpup_minQ</f>
        <v>74.409668980106119</v>
      </c>
      <c r="Y3310" s="107"/>
      <c r="Z3310" s="1"/>
      <c r="AA3310" s="96">
        <f ca="1">P_1_minQ-(AA3308^2*R_up)+dpup_minQ</f>
        <v>30.337861579088269</v>
      </c>
      <c r="AB3310" s="107"/>
      <c r="AC3310" s="1"/>
      <c r="AD3310" s="96">
        <f ca="1">P_1_minQ-(AD3308^2*R_up)+dpup_minQ</f>
        <v>-78.263230246917288</v>
      </c>
      <c r="AE3310" s="107"/>
      <c r="AF3310" s="1"/>
      <c r="AG3310" s="96">
        <f ca="1">P_1_minQ-(AG3308^2*R_up)+dpup_minQ</f>
        <v>-268.64679324464788</v>
      </c>
      <c r="AH3310" s="107"/>
      <c r="AI3310" s="1"/>
      <c r="AJ3310" s="96">
        <f ca="1">P_1_minQ-(AJ3308^2*R_up)+dpup_minQ</f>
        <v>-548.85878630884417</v>
      </c>
      <c r="AK3310" s="107"/>
      <c r="AL3310" s="1"/>
      <c r="AM3310" s="96">
        <f ca="1">P_1_minQ-(AM3308^2*R_up)+dpup_minQ</f>
        <v>-861.26413742391094</v>
      </c>
      <c r="AN3310" s="107"/>
      <c r="AO3310" s="1"/>
      <c r="AP3310" s="96">
        <f ca="1">P_1_minQ-(AP3308^2*R_up)+dpup_minQ</f>
        <v>-1192.224701969652</v>
      </c>
      <c r="AQ3310" s="107"/>
      <c r="AR3310" s="1"/>
      <c r="AS3310" s="96">
        <f ca="1">P_1_minQ-(AS3308^2*R_up)+dpup_minQ</f>
        <v>-1673.0522809774575</v>
      </c>
      <c r="AT3310" s="107"/>
      <c r="AU3310" s="1"/>
    </row>
    <row r="3311" spans="15:47" x14ac:dyDescent="0.25">
      <c r="O3311" s="8" t="s">
        <v>134</v>
      </c>
      <c r="P3311" s="1"/>
      <c r="Q3311" s="8"/>
      <c r="R3311" s="97">
        <f>P_2_minQ+(R3308^2*R_dn)-dpdn_minQ</f>
        <v>60</v>
      </c>
      <c r="S3311" s="106"/>
      <c r="T3311" s="22"/>
      <c r="U3311" s="97">
        <f ca="1">P_2_minQ+(U3308^2*R_dn)-dpdn_minQ</f>
        <v>60</v>
      </c>
      <c r="V3311" s="107"/>
      <c r="W3311" s="1"/>
      <c r="X3311" s="97">
        <f ca="1">P_2_minQ+(X3308^2*R_dn)-dpdn_minQ</f>
        <v>60</v>
      </c>
      <c r="Y3311" s="107"/>
      <c r="Z3311" s="1"/>
      <c r="AA3311" s="97">
        <f ca="1">P_2_minQ+(AA3308^2*R_dn)-dpdn_minQ</f>
        <v>60</v>
      </c>
      <c r="AB3311" s="107"/>
      <c r="AC3311" s="1"/>
      <c r="AD3311" s="97">
        <f ca="1">P_2_minQ+(AD3308^2*R_dn)-dpdn_minQ</f>
        <v>60</v>
      </c>
      <c r="AE3311" s="107"/>
      <c r="AF3311" s="1"/>
      <c r="AG3311" s="97">
        <f ca="1">P_2_minQ+(AG3308^2*R_dn)-dpdn_minQ</f>
        <v>60</v>
      </c>
      <c r="AH3311" s="107"/>
      <c r="AI3311" s="1"/>
      <c r="AJ3311" s="97">
        <f ca="1">P_2_minQ+(AJ3308^2*R_dn)-dpdn_minQ</f>
        <v>60</v>
      </c>
      <c r="AK3311" s="107"/>
      <c r="AL3311" s="1"/>
      <c r="AM3311" s="97">
        <f ca="1">P_2_minQ+(AM3308^2*R_dn)-dpdn_minQ</f>
        <v>60</v>
      </c>
      <c r="AN3311" s="107"/>
      <c r="AO3311" s="1"/>
      <c r="AP3311" s="97">
        <f ca="1">P_2_minQ+(AP3308^2*R_dn)-dpdn_minQ</f>
        <v>60</v>
      </c>
      <c r="AQ3311" s="107"/>
      <c r="AR3311" s="1"/>
      <c r="AS3311" s="97">
        <f ca="1">P_2_minQ+(AS3308^2*R_dn)-dpdn_minQ</f>
        <v>60</v>
      </c>
      <c r="AT3311" s="107"/>
      <c r="AU3311" s="1"/>
    </row>
    <row r="3312" spans="15:47" x14ac:dyDescent="0.25">
      <c r="O3312" s="8" t="s">
        <v>138</v>
      </c>
      <c r="P3312" s="1"/>
      <c r="Q3312" s="8"/>
      <c r="R3312" s="97">
        <f>R3310-R3311</f>
        <v>29.98908963642053</v>
      </c>
      <c r="S3312" s="106"/>
      <c r="T3312" s="22"/>
      <c r="U3312" s="97">
        <f ca="1">U3310-U3311</f>
        <v>27.553971056148654</v>
      </c>
      <c r="V3312" s="110"/>
      <c r="W3312" s="25"/>
      <c r="X3312" s="97">
        <f ca="1">X3310-X3311</f>
        <v>14.409668980106119</v>
      </c>
      <c r="Y3312" s="110"/>
      <c r="Z3312" s="25"/>
      <c r="AA3312" s="97">
        <f ca="1">AA3310-AA3311</f>
        <v>-29.662138420911731</v>
      </c>
      <c r="AB3312" s="110"/>
      <c r="AC3312" s="25"/>
      <c r="AD3312" s="97">
        <f ca="1">AD3310-AD3311</f>
        <v>-138.26323024691729</v>
      </c>
      <c r="AE3312" s="110"/>
      <c r="AF3312" s="25"/>
      <c r="AG3312" s="97">
        <f ca="1">AG3310-AG3311</f>
        <v>-328.64679324464788</v>
      </c>
      <c r="AH3312" s="110"/>
      <c r="AI3312" s="25"/>
      <c r="AJ3312" s="97">
        <f ca="1">AJ3310-AJ3311</f>
        <v>-608.85878630884417</v>
      </c>
      <c r="AK3312" s="110"/>
      <c r="AL3312" s="25"/>
      <c r="AM3312" s="97">
        <f ca="1">AM3310-AM3311</f>
        <v>-921.26413742391094</v>
      </c>
      <c r="AN3312" s="110"/>
      <c r="AO3312" s="25"/>
      <c r="AP3312" s="97">
        <f ca="1">AP3310-AP3311</f>
        <v>-1252.224701969652</v>
      </c>
      <c r="AQ3312" s="110"/>
      <c r="AR3312" s="25"/>
      <c r="AS3312" s="97">
        <f ca="1">AS3310-AS3311</f>
        <v>-1733.0522809774575</v>
      </c>
      <c r="AT3312" s="110"/>
      <c r="AU3312" s="25"/>
    </row>
    <row r="3313" spans="15:47" ht="14.4" x14ac:dyDescent="0.3">
      <c r="O3313" s="2" t="s">
        <v>140</v>
      </c>
      <c r="P3313" s="11"/>
      <c r="Q3313" s="2"/>
      <c r="R3313" s="96">
        <f>R3312/R3310</f>
        <v>0.33325250602694506</v>
      </c>
      <c r="S3313" s="106"/>
      <c r="T3313" s="22"/>
      <c r="U3313" s="96">
        <f ca="1">U3312/U3310</f>
        <v>0.31470841040982828</v>
      </c>
      <c r="V3313" s="111"/>
      <c r="W3313" s="28"/>
      <c r="X3313" s="96">
        <f ca="1">X3312/X3310</f>
        <v>0.19365317945385072</v>
      </c>
      <c r="Y3313" s="111"/>
      <c r="Z3313" s="28"/>
      <c r="AA3313" s="96">
        <f ca="1">AA3312/AA3310</f>
        <v>-0.97772673738341831</v>
      </c>
      <c r="AB3313" s="111"/>
      <c r="AC3313" s="28"/>
      <c r="AD3313" s="96">
        <f ca="1">AD3312/AD3310</f>
        <v>1.7666435414268291</v>
      </c>
      <c r="AE3313" s="111"/>
      <c r="AF3313" s="28"/>
      <c r="AG3313" s="96">
        <f ca="1">AG3312/AG3310</f>
        <v>1.2233415827352161</v>
      </c>
      <c r="AH3313" s="111"/>
      <c r="AI3313" s="28"/>
      <c r="AJ3313" s="96">
        <f ca="1">AJ3312/AJ3310</f>
        <v>1.1093177361767474</v>
      </c>
      <c r="AK3313" s="111"/>
      <c r="AL3313" s="28"/>
      <c r="AM3313" s="96">
        <f ca="1">AM3312/AM3310</f>
        <v>1.0696650393216922</v>
      </c>
      <c r="AN3313" s="111"/>
      <c r="AO3313" s="28"/>
      <c r="AP3313" s="96">
        <f ca="1">AP3312/AP3310</f>
        <v>1.050326083582126</v>
      </c>
      <c r="AQ3313" s="111"/>
      <c r="AR3313" s="28"/>
      <c r="AS3313" s="96">
        <f ca="1">AS3312/AS3310</f>
        <v>1.0358625971717668</v>
      </c>
      <c r="AT3313" s="111"/>
      <c r="AU3313" s="28"/>
    </row>
    <row r="3314" spans="15:47" x14ac:dyDescent="0.25">
      <c r="O3314" s="2" t="s">
        <v>21</v>
      </c>
      <c r="P3314" s="8">
        <v>12</v>
      </c>
      <c r="Q3314" s="2"/>
      <c r="R3314" s="96">
        <f ca="1">1-R3313/(3*F_GAMMA*R$29)</f>
        <v>0.82643904008334645</v>
      </c>
      <c r="S3314" s="106"/>
      <c r="T3314" s="22"/>
      <c r="U3314" s="96">
        <f ca="1">1-U3313/(3*F_GAMMA*U$29)</f>
        <v>0.83613505220369733</v>
      </c>
      <c r="V3314" s="111"/>
      <c r="W3314" s="28"/>
      <c r="X3314" s="96">
        <f ca="1">1-X3313/(3*F_GAMMA*X$29)</f>
        <v>0.89820672350347308</v>
      </c>
      <c r="Y3314" s="111"/>
      <c r="Z3314" s="28"/>
      <c r="AA3314" s="96">
        <f ca="1">1-AA3313/(3*F_GAMMA*AA$29)</f>
        <v>1.5211839801767661</v>
      </c>
      <c r="AB3314" s="111"/>
      <c r="AC3314" s="28"/>
      <c r="AD3314" s="96">
        <f ca="1">1-AD3313/(3*F_GAMMA*AD$29)</f>
        <v>2.907175495897818E-2</v>
      </c>
      <c r="AE3314" s="111"/>
      <c r="AF3314" s="28"/>
      <c r="AG3314" s="96">
        <f ca="1">1-AG3313/(3*F_GAMMA*AG$29)</f>
        <v>0.28732037988115344</v>
      </c>
      <c r="AH3314" s="111"/>
      <c r="AI3314" s="28"/>
      <c r="AJ3314" s="96">
        <f ca="1">1-AJ3313/(3*F_GAMMA*AJ$29)</f>
        <v>0.30472027169264482</v>
      </c>
      <c r="AK3314" s="111"/>
      <c r="AL3314" s="28"/>
      <c r="AM3314" s="96">
        <f ca="1">1-AM3313/(3*F_GAMMA*AM$29)</f>
        <v>0.2504074939611447</v>
      </c>
      <c r="AN3314" s="111"/>
      <c r="AO3314" s="28"/>
      <c r="AP3314" s="96">
        <f ca="1">1-AP3313/(3*F_GAMMA*AP$29)</f>
        <v>0.40713964128915614</v>
      </c>
      <c r="AQ3314" s="111"/>
      <c r="AR3314" s="28"/>
      <c r="AS3314" s="96">
        <f ca="1">1-AS3313/(3*F_GAMMA*AS$29)</f>
        <v>8.336411037428304E-2</v>
      </c>
      <c r="AT3314" s="111"/>
      <c r="AU3314" s="28"/>
    </row>
    <row r="3315" spans="15:47" x14ac:dyDescent="0.25">
      <c r="O3315" s="2" t="s">
        <v>57</v>
      </c>
      <c r="P3315" s="143">
        <v>7</v>
      </c>
      <c r="Q3315" s="2"/>
      <c r="R3315" s="96">
        <f ca="1">(R3308/(N_9*R$27*R3310*R3314))*SQRT(M*'Valve Sizing'!$W$6*'Valve Sizing'!$G$8/R3313)</f>
        <v>13.286955948710592</v>
      </c>
      <c r="S3315" s="107"/>
      <c r="T3315" s="22"/>
      <c r="U3315" s="96">
        <f ca="1">(U3308/(N_9*U$27*U3310*U3314))*SQRT(M*'Valve Sizing'!$W$6*'Valve Sizing'!$G$8/U3313)</f>
        <v>50.931191241713364</v>
      </c>
      <c r="V3315" s="111"/>
      <c r="W3315" s="28"/>
      <c r="X3315" s="96">
        <f ca="1">(X3308/(N_9*X$27*X3310*X3314))*SQRT(M*'Valve Sizing'!$W$6*'Valve Sizing'!$G$8/X3313)</f>
        <v>174.53982571886743</v>
      </c>
      <c r="Y3315" s="111"/>
      <c r="Z3315" s="28"/>
      <c r="AA3315" s="96" t="e">
        <f ca="1">(AA3308/(N_9*AA$27*AA3310*AA3314))*SQRT(M*'Valve Sizing'!$W$6*'Valve Sizing'!$G$8/AA3313)</f>
        <v>#NUM!</v>
      </c>
      <c r="AB3315" s="111"/>
      <c r="AC3315" s="28"/>
      <c r="AD3315" s="96">
        <f ca="1">(AD3308/(N_9*AD$27*AD3310*AD3314))*SQRT(M*'Valve Sizing'!$W$6*'Valve Sizing'!$G$8/AD3313)</f>
        <v>-5648.9671934396574</v>
      </c>
      <c r="AE3315" s="111"/>
      <c r="AF3315" s="28"/>
      <c r="AG3315" s="96">
        <f ca="1">(AG3308/(N_9*AG$27*AG3310*AG3314))*SQRT(M*'Valve Sizing'!$W$6*'Valve Sizing'!$G$8/AG3313)</f>
        <v>-298.62632616533159</v>
      </c>
      <c r="AH3315" s="111"/>
      <c r="AI3315" s="28"/>
      <c r="AJ3315" s="96">
        <f ca="1">(AJ3308/(N_9*AJ$27*AJ3310*AJ3314))*SQRT(M*'Valve Sizing'!$W$6*'Valve Sizing'!$G$8/AJ3313)</f>
        <v>-200.12575622112601</v>
      </c>
      <c r="AK3315" s="111"/>
      <c r="AL3315" s="28"/>
      <c r="AM3315" s="96">
        <f ca="1">(AM3308/(N_9*AM$27*AM3310*AM3314))*SQRT(M*'Valve Sizing'!$W$6*'Valve Sizing'!$G$8/AM3313)</f>
        <v>-204.61219471848958</v>
      </c>
      <c r="AN3315" s="111"/>
      <c r="AO3315" s="28"/>
      <c r="AP3315" s="96">
        <f ca="1">(AP3308/(N_9*AP$27*AP3310*AP3314))*SQRT(M*'Valve Sizing'!$W$6*'Valve Sizing'!$G$8/AP3313)</f>
        <v>-121.23069417956509</v>
      </c>
      <c r="AQ3315" s="111"/>
      <c r="AR3315" s="28"/>
      <c r="AS3315" s="96">
        <f ca="1">(AS3308/(N_9*AS$27*AS3310*AS3314))*SQRT(M*'Valve Sizing'!$W$6*'Valve Sizing'!$G$8/AS3313)</f>
        <v>-667.24521020556801</v>
      </c>
      <c r="AT3315" s="111"/>
      <c r="AU3315" s="28"/>
    </row>
    <row r="3316" spans="15:47" x14ac:dyDescent="0.25">
      <c r="O3316" s="2" t="s">
        <v>59</v>
      </c>
      <c r="P3316" s="143">
        <v>7</v>
      </c>
      <c r="Q3316" s="2"/>
      <c r="R3316" s="96">
        <f ca="1">(R3308/(N_9*R$27*R3310*0.667))*SQRT(M*'Valve Sizing'!$W$6*'Valve Sizing'!$G$8/R3317)</f>
        <v>11.879471908866979</v>
      </c>
      <c r="S3316" s="107"/>
      <c r="T3316" s="22"/>
      <c r="U3316" s="96">
        <f ca="1">(U3308/(N_9*U$27*U3310*0.667))*SQRT(M*'Valve Sizing'!$W$6*'Valve Sizing'!$G$8/U3317)</f>
        <v>44.7649485536855</v>
      </c>
      <c r="V3316" s="111"/>
      <c r="W3316" s="28"/>
      <c r="X3316" s="96">
        <f ca="1">(X3308/(N_9*X$27*X3310*0.667))*SQRT(M*'Valve Sizing'!$W$6*'Valve Sizing'!$G$8/X3317)</f>
        <v>129.88684861434041</v>
      </c>
      <c r="Y3316" s="111"/>
      <c r="Z3316" s="28"/>
      <c r="AA3316" s="96">
        <f ca="1">(AA3308/(N_9*AA$27*AA3310*0.667))*SQRT(M*'Valve Sizing'!$W$6*'Valve Sizing'!$G$8/AA3317)</f>
        <v>628.56587821451615</v>
      </c>
      <c r="AB3316" s="111"/>
      <c r="AC3316" s="28"/>
      <c r="AD3316" s="96">
        <f ca="1">(AD3308/(N_9*AD$27*AD3310*0.667))*SQRT(M*'Valve Sizing'!$W$6*'Valve Sizing'!$G$8/AD3317)</f>
        <v>-420.21220571005489</v>
      </c>
      <c r="AE3316" s="111"/>
      <c r="AF3316" s="28"/>
      <c r="AG3316" s="96">
        <f ca="1">(AG3308/(N_9*AG$27*AG3310*0.667))*SQRT(M*'Valve Sizing'!$W$6*'Valve Sizing'!$G$8/AG3317)</f>
        <v>-188.09466892896071</v>
      </c>
      <c r="AH3316" s="111"/>
      <c r="AI3316" s="28"/>
      <c r="AJ3316" s="96">
        <f ca="1">(AJ3308/(N_9*AJ$27*AJ3310*0.667))*SQRT(M*'Valve Sizing'!$W$6*'Valve Sizing'!$G$8/AJ3317)</f>
        <v>-132.04407236931021</v>
      </c>
      <c r="AK3316" s="111"/>
      <c r="AL3316" s="28"/>
      <c r="AM3316" s="96">
        <f ca="1">(AM3308/(N_9*AM$27*AM3310*0.667))*SQRT(M*'Valve Sizing'!$W$6*'Valve Sizing'!$G$8/AM3317)</f>
        <v>-115.19304197711047</v>
      </c>
      <c r="AN3316" s="111"/>
      <c r="AO3316" s="28"/>
      <c r="AP3316" s="96">
        <f ca="1">(AP3308/(N_9*AP$27*AP3310*0.667))*SQRT(M*'Valve Sizing'!$W$6*'Valve Sizing'!$G$8/AP3317)</f>
        <v>-98.688598459341179</v>
      </c>
      <c r="AQ3316" s="111"/>
      <c r="AR3316" s="28"/>
      <c r="AS3316" s="96">
        <f ca="1">(AS3308/(N_9*AS$27*AS3310*0.667))*SQRT(M*'Valve Sizing'!$W$6*'Valve Sizing'!$G$8/AS3317)</f>
        <v>-138.29223866199189</v>
      </c>
      <c r="AT3316" s="111"/>
      <c r="AU3316" s="28"/>
    </row>
    <row r="3317" spans="15:47" ht="15.6" x14ac:dyDescent="0.35">
      <c r="O3317" s="2" t="s">
        <v>68</v>
      </c>
      <c r="P3317" s="143">
        <v>10</v>
      </c>
      <c r="Q3317" s="2"/>
      <c r="R3317" s="96">
        <f ca="1">F_GAMMA*R$29</f>
        <v>0.64002969751372984</v>
      </c>
      <c r="S3317" s="107"/>
      <c r="T3317" s="1"/>
      <c r="U3317" s="96">
        <f ca="1">F_GAMMA*U$29</f>
        <v>0.64017842058782071</v>
      </c>
      <c r="V3317" s="111"/>
      <c r="W3317" s="28"/>
      <c r="X3317" s="96">
        <f ca="1">F_GAMMA*X$29</f>
        <v>0.63413873724904268</v>
      </c>
      <c r="Y3317" s="111"/>
      <c r="Z3317" s="28"/>
      <c r="AA3317" s="96">
        <f ca="1">F_GAMMA*AA$29</f>
        <v>0.62532411750377137</v>
      </c>
      <c r="AB3317" s="111"/>
      <c r="AC3317" s="28"/>
      <c r="AD3317" s="96">
        <f ca="1">F_GAMMA*AD$29</f>
        <v>0.60651359509139569</v>
      </c>
      <c r="AE3317" s="111"/>
      <c r="AF3317" s="28"/>
      <c r="AG3317" s="96">
        <f ca="1">F_GAMMA*AG$29</f>
        <v>0.57217930198481592</v>
      </c>
      <c r="AH3317" s="111"/>
      <c r="AI3317" s="28"/>
      <c r="AJ3317" s="96">
        <f ca="1">F_GAMMA*AJ$29</f>
        <v>0.53183282018848232</v>
      </c>
      <c r="AK3317" s="111"/>
      <c r="AL3317" s="28"/>
      <c r="AM3317" s="96">
        <f ca="1">F_GAMMA*AM$29</f>
        <v>0.47566512503094399</v>
      </c>
      <c r="AN3317" s="111"/>
      <c r="AO3317" s="28"/>
      <c r="AP3317" s="96">
        <f ca="1">F_GAMMA*AP$29</f>
        <v>0.59054158265645496</v>
      </c>
      <c r="AQ3317" s="111"/>
      <c r="AR3317" s="28"/>
      <c r="AS3317" s="96">
        <f ca="1">F_GAMMA*AS$29</f>
        <v>0.3766899554102966</v>
      </c>
      <c r="AT3317" s="111"/>
      <c r="AU3317" s="28"/>
    </row>
    <row r="3318" spans="15:47" x14ac:dyDescent="0.25">
      <c r="O3318" s="2" t="s">
        <v>145</v>
      </c>
      <c r="P3318" s="12"/>
      <c r="Q3318" s="2"/>
      <c r="R3318" s="96">
        <f ca="1">IF(R3313&lt;R3317,R3315,R3316)</f>
        <v>13.286955948710592</v>
      </c>
      <c r="S3318" s="116"/>
      <c r="T3318" s="1"/>
      <c r="U3318" s="96">
        <f ca="1">IF(U3313&lt;U3317,U3315,U3316)</f>
        <v>50.931191241713364</v>
      </c>
      <c r="V3318" s="111"/>
      <c r="W3318" s="28"/>
      <c r="X3318" s="96">
        <f ca="1">IF(X3313&lt;X3317,X3315,X3316)</f>
        <v>174.53982571886743</v>
      </c>
      <c r="Y3318" s="111"/>
      <c r="Z3318" s="28"/>
      <c r="AA3318" s="96" t="e">
        <f ca="1">IF(AA3313&lt;AA3317,AA3315,AA3316)</f>
        <v>#NUM!</v>
      </c>
      <c r="AB3318" s="111"/>
      <c r="AC3318" s="28"/>
      <c r="AD3318" s="96">
        <f ca="1">IF(AD3313&lt;AD3317,AD3315,AD3316)</f>
        <v>-420.21220571005489</v>
      </c>
      <c r="AE3318" s="111"/>
      <c r="AF3318" s="28"/>
      <c r="AG3318" s="96">
        <f ca="1">IF(AG3313&lt;AG3317,AG3315,AG3316)</f>
        <v>-188.09466892896071</v>
      </c>
      <c r="AH3318" s="111"/>
      <c r="AI3318" s="28"/>
      <c r="AJ3318" s="96">
        <f ca="1">IF(AJ3313&lt;AJ3317,AJ3315,AJ3316)</f>
        <v>-132.04407236931021</v>
      </c>
      <c r="AK3318" s="111"/>
      <c r="AL3318" s="28"/>
      <c r="AM3318" s="96">
        <f ca="1">IF(AM3313&lt;AM3317,AM3315,AM3316)</f>
        <v>-115.19304197711047</v>
      </c>
      <c r="AN3318" s="111"/>
      <c r="AO3318" s="28"/>
      <c r="AP3318" s="96">
        <f ca="1">IF(AP3313&lt;AP3317,AP3315,AP3316)</f>
        <v>-98.688598459341179</v>
      </c>
      <c r="AQ3318" s="111"/>
      <c r="AR3318" s="28"/>
      <c r="AS3318" s="96">
        <f ca="1">IF(AS3313&lt;AS3317,AS3315,AS3316)</f>
        <v>-138.29223866199189</v>
      </c>
      <c r="AT3318" s="111"/>
      <c r="AU3318" s="28"/>
    </row>
    <row r="3319" spans="15:47" x14ac:dyDescent="0.25">
      <c r="O3319" s="13" t="s">
        <v>143</v>
      </c>
      <c r="P3319" s="1"/>
      <c r="Q3319" s="1"/>
      <c r="R3319" s="113"/>
      <c r="S3319" s="106">
        <f ca="1">IF(R3312&lt;=0,Q_max,ABS(R$23-R3318))</f>
        <v>8.5569559487105913</v>
      </c>
      <c r="T3319" s="7">
        <f>R3308</f>
        <v>32788.900650685253</v>
      </c>
      <c r="U3319" s="98"/>
      <c r="V3319" s="106">
        <f ca="1">IF(U3312&lt;=0,Q_max,ABS(U$23-U3318))</f>
        <v>39.331191241713363</v>
      </c>
      <c r="W3319" s="9">
        <f ca="1">U3308</f>
        <v>120148.78665729253</v>
      </c>
      <c r="X3319" s="98"/>
      <c r="Y3319" s="106">
        <f ca="1">IF(X3312&lt;=0,Q_max,ABS(X$23-X3318))</f>
        <v>151.53982571886743</v>
      </c>
      <c r="Z3319" s="9">
        <f ca="1">X3308</f>
        <v>294200.24482841609</v>
      </c>
      <c r="AA3319" s="98"/>
      <c r="AB3319" s="106">
        <f ca="1">IF(AA3312&lt;=0,Q_max,ABS(AA$23-AA3318))</f>
        <v>236393</v>
      </c>
      <c r="AC3319" s="9">
        <f ca="1">AA3308</f>
        <v>573026.98366265674</v>
      </c>
      <c r="AD3319" s="98"/>
      <c r="AE3319" s="106">
        <f ca="1">IF(AD3312&lt;=0,Q_max,ABS(AD$23-AD3318))</f>
        <v>236393</v>
      </c>
      <c r="AF3319" s="9">
        <f ca="1">AD3308</f>
        <v>961361.0221901671</v>
      </c>
      <c r="AG3319" s="98"/>
      <c r="AH3319" s="106">
        <f ca="1">IF(AG3312&lt;=0,Q_max,ABS(AG$23-AG3318))</f>
        <v>236393</v>
      </c>
      <c r="AI3319" s="9">
        <f ca="1">AG3308</f>
        <v>1403132.5956516431</v>
      </c>
      <c r="AJ3319" s="98"/>
      <c r="AK3319" s="106">
        <f ca="1">IF(AJ3312&lt;=0,Q_max,ABS(AJ$23-AJ3318))</f>
        <v>236393</v>
      </c>
      <c r="AL3319" s="9">
        <f ca="1">AJ3308</f>
        <v>1872485.8882349622</v>
      </c>
      <c r="AM3319" s="98"/>
      <c r="AN3319" s="106">
        <f ca="1">IF(AM3312&lt;=0,Q_max,ABS(AM$23-AM3318))</f>
        <v>236393</v>
      </c>
      <c r="AO3319" s="9">
        <f ca="1">AM3308</f>
        <v>2284788.6307674227</v>
      </c>
      <c r="AP3319" s="98"/>
      <c r="AQ3319" s="106">
        <f ca="1">IF(AP3312&lt;=0,Q_max,ABS(AP$23-AP3318))</f>
        <v>236393</v>
      </c>
      <c r="AR3319" s="9">
        <f ca="1">AP3308</f>
        <v>2652568.6699033035</v>
      </c>
      <c r="AS3319" s="98"/>
      <c r="AT3319" s="106">
        <f ca="1">IF(AS3312&lt;=0,Q_max,ABS(AS$23-AS3318))</f>
        <v>236393</v>
      </c>
      <c r="AU3319" s="9">
        <f ca="1">AS3308</f>
        <v>3110345.3765222738</v>
      </c>
    </row>
    <row r="3320" spans="15:47" x14ac:dyDescent="0.25">
      <c r="O3320" s="21"/>
      <c r="P3320" s="14"/>
      <c r="Q3320" s="21"/>
      <c r="R3320" s="97"/>
      <c r="S3320" s="106"/>
      <c r="T3320" s="28"/>
      <c r="U3320" s="97"/>
      <c r="V3320" s="111"/>
      <c r="W3320" s="28"/>
      <c r="X3320" s="97"/>
      <c r="Y3320" s="111"/>
      <c r="Z3320" s="28"/>
      <c r="AA3320" s="97"/>
      <c r="AB3320" s="111"/>
      <c r="AC3320" s="28"/>
      <c r="AD3320" s="97"/>
      <c r="AE3320" s="111"/>
      <c r="AF3320" s="28"/>
      <c r="AG3320" s="97"/>
      <c r="AH3320" s="111"/>
      <c r="AI3320" s="28"/>
      <c r="AJ3320" s="97"/>
      <c r="AK3320" s="111"/>
      <c r="AL3320" s="28"/>
      <c r="AM3320" s="97"/>
      <c r="AN3320" s="111"/>
      <c r="AO3320" s="28"/>
      <c r="AP3320" s="97"/>
      <c r="AQ3320" s="111"/>
      <c r="AR3320" s="28"/>
      <c r="AS3320" s="97"/>
      <c r="AT3320" s="111"/>
      <c r="AU3320" s="28"/>
    </row>
    <row r="3321" spans="15:47" x14ac:dyDescent="0.25">
      <c r="O3321" s="1"/>
      <c r="P3321" s="1"/>
      <c r="Q3321" s="1"/>
      <c r="R3321" s="98"/>
      <c r="S3321" s="108" t="s">
        <v>137</v>
      </c>
      <c r="T3321" s="26" t="s">
        <v>146</v>
      </c>
      <c r="U3321" s="98"/>
      <c r="V3321" s="108" t="s">
        <v>137</v>
      </c>
      <c r="W3321" s="26" t="s">
        <v>146</v>
      </c>
      <c r="X3321" s="98"/>
      <c r="Y3321" s="108" t="s">
        <v>137</v>
      </c>
      <c r="Z3321" s="26" t="s">
        <v>146</v>
      </c>
      <c r="AA3321" s="98"/>
      <c r="AB3321" s="108" t="s">
        <v>137</v>
      </c>
      <c r="AC3321" s="26" t="s">
        <v>146</v>
      </c>
      <c r="AD3321" s="98"/>
      <c r="AE3321" s="108" t="s">
        <v>137</v>
      </c>
      <c r="AF3321" s="26" t="s">
        <v>146</v>
      </c>
      <c r="AG3321" s="98"/>
      <c r="AH3321" s="108" t="s">
        <v>137</v>
      </c>
      <c r="AI3321" s="26" t="s">
        <v>146</v>
      </c>
      <c r="AJ3321" s="98"/>
      <c r="AK3321" s="108" t="s">
        <v>137</v>
      </c>
      <c r="AL3321" s="26" t="s">
        <v>146</v>
      </c>
      <c r="AM3321" s="98"/>
      <c r="AN3321" s="108" t="s">
        <v>137</v>
      </c>
      <c r="AO3321" s="26" t="s">
        <v>146</v>
      </c>
      <c r="AP3321" s="98"/>
      <c r="AQ3321" s="108" t="s">
        <v>137</v>
      </c>
      <c r="AR3321" s="26" t="s">
        <v>146</v>
      </c>
      <c r="AS3321" s="98"/>
      <c r="AT3321" s="108" t="s">
        <v>137</v>
      </c>
      <c r="AU3321" s="26" t="s">
        <v>146</v>
      </c>
    </row>
    <row r="3322" spans="15:47" ht="13.8" x14ac:dyDescent="0.25">
      <c r="O3322" s="20" t="s">
        <v>136</v>
      </c>
      <c r="P3322" s="1"/>
      <c r="Q3322" s="1"/>
      <c r="R3322" s="96">
        <f>R3308*1.02</f>
        <v>33444.678663698956</v>
      </c>
      <c r="S3322" s="109" t="s">
        <v>144</v>
      </c>
      <c r="T3322" s="23" t="s">
        <v>147</v>
      </c>
      <c r="U3322" s="96">
        <f ca="1">U3308*1.01</f>
        <v>121350.27452386545</v>
      </c>
      <c r="V3322" s="109" t="s">
        <v>144</v>
      </c>
      <c r="W3322" s="23" t="s">
        <v>147</v>
      </c>
      <c r="X3322" s="96">
        <f ca="1">X3308*1.01</f>
        <v>297142.24727670028</v>
      </c>
      <c r="Y3322" s="109" t="s">
        <v>144</v>
      </c>
      <c r="Z3322" s="23" t="s">
        <v>147</v>
      </c>
      <c r="AA3322" s="96">
        <f ca="1">AA3308*1.01</f>
        <v>578757.25349928334</v>
      </c>
      <c r="AB3322" s="109" t="s">
        <v>144</v>
      </c>
      <c r="AC3322" s="23" t="s">
        <v>147</v>
      </c>
      <c r="AD3322" s="96">
        <f ca="1">AD3308*1.01</f>
        <v>970974.63241206878</v>
      </c>
      <c r="AE3322" s="109" t="s">
        <v>144</v>
      </c>
      <c r="AF3322" s="23" t="s">
        <v>147</v>
      </c>
      <c r="AG3322" s="96">
        <f ca="1">AG3308*1.01</f>
        <v>1417163.9216081596</v>
      </c>
      <c r="AH3322" s="109" t="s">
        <v>144</v>
      </c>
      <c r="AI3322" s="23" t="s">
        <v>147</v>
      </c>
      <c r="AJ3322" s="96">
        <f ca="1">AJ3308*1.01</f>
        <v>1891210.7471173119</v>
      </c>
      <c r="AK3322" s="109" t="s">
        <v>144</v>
      </c>
      <c r="AL3322" s="23" t="s">
        <v>147</v>
      </c>
      <c r="AM3322" s="96">
        <f ca="1">AM3308*1.01</f>
        <v>2307636.5170750972</v>
      </c>
      <c r="AN3322" s="109" t="s">
        <v>144</v>
      </c>
      <c r="AO3322" s="23" t="s">
        <v>147</v>
      </c>
      <c r="AP3322" s="96">
        <f ca="1">AP3308*1.01</f>
        <v>2679094.3566023367</v>
      </c>
      <c r="AQ3322" s="109" t="s">
        <v>144</v>
      </c>
      <c r="AR3322" s="23" t="s">
        <v>147</v>
      </c>
      <c r="AS3322" s="96">
        <f ca="1">AS3308*1.01</f>
        <v>3141448.8302874966</v>
      </c>
      <c r="AT3322" s="109" t="s">
        <v>144</v>
      </c>
      <c r="AU3322" s="23" t="s">
        <v>147</v>
      </c>
    </row>
    <row r="3323" spans="15:47" x14ac:dyDescent="0.25">
      <c r="O3323" s="1"/>
      <c r="P3323" s="1"/>
      <c r="Q3323" s="1"/>
      <c r="R3323" s="98"/>
      <c r="S3323" s="107"/>
      <c r="T3323" s="1"/>
      <c r="U3323" s="47"/>
      <c r="V3323" s="107"/>
      <c r="W3323" s="1"/>
      <c r="X3323" s="47"/>
      <c r="Y3323" s="107"/>
      <c r="Z3323" s="1"/>
      <c r="AA3323" s="47"/>
      <c r="AB3323" s="107"/>
      <c r="AC3323" s="1"/>
      <c r="AD3323" s="47"/>
      <c r="AE3323" s="107"/>
      <c r="AF3323" s="1"/>
      <c r="AG3323" s="47"/>
      <c r="AH3323" s="107"/>
      <c r="AI3323" s="1"/>
      <c r="AJ3323" s="47"/>
      <c r="AK3323" s="107"/>
      <c r="AL3323" s="1"/>
      <c r="AM3323" s="47"/>
      <c r="AN3323" s="107"/>
      <c r="AO3323" s="1"/>
      <c r="AP3323" s="47"/>
      <c r="AQ3323" s="107"/>
      <c r="AR3323" s="1"/>
      <c r="AS3323" s="47"/>
      <c r="AT3323" s="107"/>
      <c r="AU3323" s="1"/>
    </row>
    <row r="3324" spans="15:47" x14ac:dyDescent="0.25">
      <c r="O3324" s="8" t="s">
        <v>132</v>
      </c>
      <c r="P3324" s="8"/>
      <c r="Q3324" s="8"/>
      <c r="R3324" s="96">
        <f>P_1_minQ-(R3322^2*R_up)+dpup_minQ</f>
        <v>89.9811732203096</v>
      </c>
      <c r="S3324" s="106"/>
      <c r="T3324" s="22"/>
      <c r="U3324" s="96">
        <f ca="1">P_1_minQ-(U3322^2*R_up)+dpup_minQ</f>
        <v>87.501086559719113</v>
      </c>
      <c r="V3324" s="107"/>
      <c r="W3324" s="1"/>
      <c r="X3324" s="96">
        <f ca="1">P_1_minQ-(X3322^2*R_up)+dpup_minQ</f>
        <v>74.092584011948119</v>
      </c>
      <c r="Y3324" s="107"/>
      <c r="Z3324" s="1"/>
      <c r="AA3324" s="96">
        <f ca="1">P_1_minQ-(AA3322^2*R_up)+dpup_minQ</f>
        <v>29.134933282169811</v>
      </c>
      <c r="AB3324" s="107"/>
      <c r="AC3324" s="1"/>
      <c r="AD3324" s="96">
        <f ca="1">P_1_minQ-(AD3322^2*R_up)+dpup_minQ</f>
        <v>-81.649040489538464</v>
      </c>
      <c r="AE3324" s="107"/>
      <c r="AF3324" s="1"/>
      <c r="AG3324" s="96">
        <f ca="1">P_1_minQ-(AG3322^2*R_up)+dpup_minQ</f>
        <v>-275.85931310352345</v>
      </c>
      <c r="AH3324" s="107"/>
      <c r="AI3324" s="1"/>
      <c r="AJ3324" s="96">
        <f ca="1">P_1_minQ-(AJ3322^2*R_up)+dpup_minQ</f>
        <v>-561.70356722831013</v>
      </c>
      <c r="AK3324" s="107"/>
      <c r="AL3324" s="1"/>
      <c r="AM3324" s="96">
        <f ca="1">P_1_minQ-(AM3322^2*R_up)+dpup_minQ</f>
        <v>-880.38826590078997</v>
      </c>
      <c r="AN3324" s="107"/>
      <c r="AO3324" s="1"/>
      <c r="AP3324" s="96">
        <f ca="1">P_1_minQ-(AP3322^2*R_up)+dpup_minQ</f>
        <v>-1218.0011377939002</v>
      </c>
      <c r="AQ3324" s="107"/>
      <c r="AR3324" s="1"/>
      <c r="AS3324" s="96">
        <f ca="1">P_1_minQ-(AS3322^2*R_up)+dpup_minQ</f>
        <v>-1708.4933511397626</v>
      </c>
      <c r="AT3324" s="107"/>
      <c r="AU3324" s="1"/>
    </row>
    <row r="3325" spans="15:47" x14ac:dyDescent="0.25">
      <c r="O3325" s="8" t="s">
        <v>134</v>
      </c>
      <c r="P3325" s="1"/>
      <c r="Q3325" s="8"/>
      <c r="R3325" s="97">
        <f>P_2_minQ+(R3322^2*R_dn)-dpdn_minQ</f>
        <v>60</v>
      </c>
      <c r="S3325" s="106"/>
      <c r="T3325" s="22"/>
      <c r="U3325" s="97">
        <f ca="1">P_2_minQ+(U3322^2*R_dn)-dpdn_minQ</f>
        <v>60</v>
      </c>
      <c r="V3325" s="107"/>
      <c r="W3325" s="1"/>
      <c r="X3325" s="97">
        <f ca="1">P_2_minQ+(X3322^2*R_dn)-dpdn_minQ</f>
        <v>60</v>
      </c>
      <c r="Y3325" s="107"/>
      <c r="Z3325" s="1"/>
      <c r="AA3325" s="97">
        <f ca="1">P_2_minQ+(AA3322^2*R_dn)-dpdn_minQ</f>
        <v>60</v>
      </c>
      <c r="AB3325" s="107"/>
      <c r="AC3325" s="1"/>
      <c r="AD3325" s="97">
        <f ca="1">P_2_minQ+(AD3322^2*R_dn)-dpdn_minQ</f>
        <v>60</v>
      </c>
      <c r="AE3325" s="107"/>
      <c r="AF3325" s="1"/>
      <c r="AG3325" s="97">
        <f ca="1">P_2_minQ+(AG3322^2*R_dn)-dpdn_minQ</f>
        <v>60</v>
      </c>
      <c r="AH3325" s="107"/>
      <c r="AI3325" s="1"/>
      <c r="AJ3325" s="97">
        <f ca="1">P_2_minQ+(AJ3322^2*R_dn)-dpdn_minQ</f>
        <v>60</v>
      </c>
      <c r="AK3325" s="107"/>
      <c r="AL3325" s="1"/>
      <c r="AM3325" s="97">
        <f ca="1">P_2_minQ+(AM3322^2*R_dn)-dpdn_minQ</f>
        <v>60</v>
      </c>
      <c r="AN3325" s="107"/>
      <c r="AO3325" s="1"/>
      <c r="AP3325" s="97">
        <f ca="1">P_2_minQ+(AP3322^2*R_dn)-dpdn_minQ</f>
        <v>60</v>
      </c>
      <c r="AQ3325" s="107"/>
      <c r="AR3325" s="1"/>
      <c r="AS3325" s="97">
        <f ca="1">P_2_minQ+(AS3322^2*R_dn)-dpdn_minQ</f>
        <v>60</v>
      </c>
      <c r="AT3325" s="107"/>
      <c r="AU3325" s="1"/>
    </row>
    <row r="3326" spans="15:47" x14ac:dyDescent="0.25">
      <c r="O3326" s="8" t="s">
        <v>138</v>
      </c>
      <c r="P3326" s="1"/>
      <c r="Q3326" s="8"/>
      <c r="R3326" s="97">
        <f>R3324-R3325</f>
        <v>29.9811732203096</v>
      </c>
      <c r="S3326" s="106"/>
      <c r="T3326" s="22"/>
      <c r="U3326" s="97">
        <f ca="1">U3324-U3325</f>
        <v>27.501086559719113</v>
      </c>
      <c r="V3326" s="110"/>
      <c r="W3326" s="25"/>
      <c r="X3326" s="97">
        <f ca="1">X3324-X3325</f>
        <v>14.092584011948119</v>
      </c>
      <c r="Y3326" s="110"/>
      <c r="Z3326" s="25"/>
      <c r="AA3326" s="97">
        <f ca="1">AA3324-AA3325</f>
        <v>-30.865066717830189</v>
      </c>
      <c r="AB3326" s="110"/>
      <c r="AC3326" s="25"/>
      <c r="AD3326" s="97">
        <f ca="1">AD3324-AD3325</f>
        <v>-141.64904048953846</v>
      </c>
      <c r="AE3326" s="110"/>
      <c r="AF3326" s="25"/>
      <c r="AG3326" s="97">
        <f ca="1">AG3324-AG3325</f>
        <v>-335.85931310352345</v>
      </c>
      <c r="AH3326" s="110"/>
      <c r="AI3326" s="25"/>
      <c r="AJ3326" s="97">
        <f ca="1">AJ3324-AJ3325</f>
        <v>-621.70356722831013</v>
      </c>
      <c r="AK3326" s="110"/>
      <c r="AL3326" s="25"/>
      <c r="AM3326" s="97">
        <f ca="1">AM3324-AM3325</f>
        <v>-940.38826590078997</v>
      </c>
      <c r="AN3326" s="110"/>
      <c r="AO3326" s="25"/>
      <c r="AP3326" s="97">
        <f ca="1">AP3324-AP3325</f>
        <v>-1278.0011377939002</v>
      </c>
      <c r="AQ3326" s="110"/>
      <c r="AR3326" s="25"/>
      <c r="AS3326" s="97">
        <f ca="1">AS3324-AS3325</f>
        <v>-1768.4933511397626</v>
      </c>
      <c r="AT3326" s="110"/>
      <c r="AU3326" s="25"/>
    </row>
    <row r="3327" spans="15:47" ht="14.4" x14ac:dyDescent="0.3">
      <c r="O3327" s="2" t="s">
        <v>140</v>
      </c>
      <c r="P3327" s="11"/>
      <c r="Q3327" s="2"/>
      <c r="R3327" s="96">
        <f>R3326/R3324</f>
        <v>0.33319384652724848</v>
      </c>
      <c r="S3327" s="106"/>
      <c r="T3327" s="22"/>
      <c r="U3327" s="96">
        <f ca="1">U3326/U3324</f>
        <v>0.31429422926022454</v>
      </c>
      <c r="V3327" s="111"/>
      <c r="W3327" s="28"/>
      <c r="X3327" s="96">
        <f ca="1">X3326/X3324</f>
        <v>0.190202355605192</v>
      </c>
      <c r="Y3327" s="111"/>
      <c r="Z3327" s="28"/>
      <c r="AA3327" s="96">
        <f ca="1">AA3326/AA3324</f>
        <v>-1.0593834699707103</v>
      </c>
      <c r="AB3327" s="111"/>
      <c r="AC3327" s="28"/>
      <c r="AD3327" s="96">
        <f ca="1">AD3326/AD3324</f>
        <v>1.7348524813061053</v>
      </c>
      <c r="AE3327" s="111"/>
      <c r="AF3327" s="28"/>
      <c r="AG3327" s="96">
        <f ca="1">AG3326/AG3324</f>
        <v>1.2175021728466475</v>
      </c>
      <c r="AH3327" s="111"/>
      <c r="AI3327" s="28"/>
      <c r="AJ3327" s="96">
        <f ca="1">AJ3326/AJ3324</f>
        <v>1.1068179080579212</v>
      </c>
      <c r="AK3327" s="111"/>
      <c r="AL3327" s="28"/>
      <c r="AM3327" s="96">
        <f ca="1">AM3326/AM3324</f>
        <v>1.0681517488634513</v>
      </c>
      <c r="AN3327" s="111"/>
      <c r="AO3327" s="28"/>
      <c r="AP3327" s="96">
        <f ca="1">AP3326/AP3324</f>
        <v>1.0492610377266762</v>
      </c>
      <c r="AQ3327" s="111"/>
      <c r="AR3327" s="28"/>
      <c r="AS3327" s="96">
        <f ca="1">AS3326/AS3324</f>
        <v>1.035118661691</v>
      </c>
      <c r="AT3327" s="111"/>
      <c r="AU3327" s="28"/>
    </row>
    <row r="3328" spans="15:47" x14ac:dyDescent="0.25">
      <c r="O3328" s="2" t="s">
        <v>21</v>
      </c>
      <c r="P3328" s="8">
        <v>12</v>
      </c>
      <c r="Q3328" s="2"/>
      <c r="R3328" s="96">
        <f ca="1">1-R3327/(3*F_GAMMA*R$29)</f>
        <v>0.826469590488494</v>
      </c>
      <c r="S3328" s="106"/>
      <c r="T3328" s="22"/>
      <c r="U3328" s="96">
        <f ca="1">1-U3327/(3*F_GAMMA*U$29)</f>
        <v>0.83635071143050232</v>
      </c>
      <c r="V3328" s="111"/>
      <c r="W3328" s="28"/>
      <c r="X3328" s="96">
        <f ca="1">1-X3327/(3*F_GAMMA*X$29)</f>
        <v>0.90002063984173297</v>
      </c>
      <c r="Y3328" s="111"/>
      <c r="Z3328" s="28"/>
      <c r="AA3328" s="96">
        <f ca="1">1-AA3327/(3*F_GAMMA*AA$29)</f>
        <v>1.564711664621572</v>
      </c>
      <c r="AB3328" s="111"/>
      <c r="AC3328" s="28"/>
      <c r="AD3328" s="96">
        <f ca="1">1-AD3327/(3*F_GAMMA*AD$29)</f>
        <v>4.6543778877328079E-2</v>
      </c>
      <c r="AE3328" s="111"/>
      <c r="AF3328" s="28"/>
      <c r="AG3328" s="96">
        <f ca="1">1-AG3327/(3*F_GAMMA*AG$29)</f>
        <v>0.2907222330347089</v>
      </c>
      <c r="AH3328" s="111"/>
      <c r="AI3328" s="28"/>
      <c r="AJ3328" s="96">
        <f ca="1">1-AJ3327/(3*F_GAMMA*AJ$29)</f>
        <v>0.30628707240139652</v>
      </c>
      <c r="AK3328" s="111"/>
      <c r="AL3328" s="28"/>
      <c r="AM3328" s="96">
        <f ca="1">1-AM3327/(3*F_GAMMA*AM$29)</f>
        <v>0.25146796723572862</v>
      </c>
      <c r="AN3328" s="111"/>
      <c r="AO3328" s="28"/>
      <c r="AP3328" s="96">
        <f ca="1">1-AP3327/(3*F_GAMMA*AP$29)</f>
        <v>0.40774081027636433</v>
      </c>
      <c r="AQ3328" s="111"/>
      <c r="AR3328" s="28"/>
      <c r="AS3328" s="96">
        <f ca="1">1-AS3327/(3*F_GAMMA*AS$29)</f>
        <v>8.4022419654972036E-2</v>
      </c>
      <c r="AT3328" s="111"/>
      <c r="AU3328" s="28"/>
    </row>
    <row r="3329" spans="15:47" x14ac:dyDescent="0.25">
      <c r="O3329" s="2" t="s">
        <v>57</v>
      </c>
      <c r="P3329" s="143">
        <v>7</v>
      </c>
      <c r="Q3329" s="2"/>
      <c r="R3329" s="96">
        <f ca="1">(R3322/(N_9*R$27*R3324*R3328))*SQRT(M*'Valve Sizing'!$W$6*'Valve Sizing'!$G$8/R3327)</f>
        <v>13.554579394890492</v>
      </c>
      <c r="S3329" s="107"/>
      <c r="T3329" s="22"/>
      <c r="U3329" s="96">
        <f ca="1">(U3322/(N_9*U$27*U3324*U3328))*SQRT(M*'Valve Sizing'!$W$6*'Valve Sizing'!$G$8/U3327)</f>
        <v>51.492215849915809</v>
      </c>
      <c r="V3329" s="111"/>
      <c r="W3329" s="28"/>
      <c r="X3329" s="96">
        <f ca="1">(X3322/(N_9*X$27*X3324*X3328))*SQRT(M*'Valve Sizing'!$W$6*'Valve Sizing'!$G$8/X3327)</f>
        <v>178.27840742902518</v>
      </c>
      <c r="Y3329" s="111"/>
      <c r="Z3329" s="28"/>
      <c r="AA3329" s="96" t="e">
        <f ca="1">(AA3322/(N_9*AA$27*AA3324*AA3328))*SQRT(M*'Valve Sizing'!$W$6*'Valve Sizing'!$G$8/AA3327)</f>
        <v>#NUM!</v>
      </c>
      <c r="AB3329" s="111"/>
      <c r="AC3329" s="28"/>
      <c r="AD3329" s="96">
        <f ca="1">(AD3322/(N_9*AD$27*AD3324*AD3328))*SQRT(M*'Valve Sizing'!$W$6*'Valve Sizing'!$G$8/AD3327)</f>
        <v>-3447.0684537477982</v>
      </c>
      <c r="AE3329" s="111"/>
      <c r="AF3329" s="28"/>
      <c r="AG3329" s="96">
        <f ca="1">(AG3322/(N_9*AG$27*AG3324*AG3328))*SQRT(M*'Valve Sizing'!$W$6*'Valve Sizing'!$G$8/AG3327)</f>
        <v>-290.98503771456785</v>
      </c>
      <c r="AH3329" s="111"/>
      <c r="AI3329" s="28"/>
      <c r="AJ3329" s="96">
        <f ca="1">(AJ3322/(N_9*AJ$27*AJ3324*AJ3328))*SQRT(M*'Valve Sizing'!$W$6*'Valve Sizing'!$G$8/AJ3327)</f>
        <v>-196.71630966940202</v>
      </c>
      <c r="AK3329" s="111"/>
      <c r="AL3329" s="28"/>
      <c r="AM3329" s="96">
        <f ca="1">(AM3322/(N_9*AM$27*AM3324*AM3328))*SQRT(M*'Valve Sizing'!$W$6*'Valve Sizing'!$G$8/AM3327)</f>
        <v>-201.45918813992279</v>
      </c>
      <c r="AN3329" s="111"/>
      <c r="AO3329" s="28"/>
      <c r="AP3329" s="96">
        <f ca="1">(AP3322/(N_9*AP$27*AP3324*AP3328))*SQRT(M*'Valve Sizing'!$W$6*'Valve Sizing'!$G$8/AP3327)</f>
        <v>-119.73576624713824</v>
      </c>
      <c r="AQ3329" s="111"/>
      <c r="AR3329" s="28"/>
      <c r="AS3329" s="96">
        <f ca="1">(AS3322/(N_9*AS$27*AS3324*AS3328))*SQRT(M*'Valve Sizing'!$W$6*'Valve Sizing'!$G$8/AS3327)</f>
        <v>-655.00256495837129</v>
      </c>
      <c r="AT3329" s="111"/>
      <c r="AU3329" s="28"/>
    </row>
    <row r="3330" spans="15:47" x14ac:dyDescent="0.25">
      <c r="O3330" s="2" t="s">
        <v>59</v>
      </c>
      <c r="P3330" s="143">
        <v>7</v>
      </c>
      <c r="Q3330" s="2"/>
      <c r="R3330" s="96">
        <f ca="1">(R3322/(N_9*R$27*R3324*0.667))*SQRT(M*'Valve Sizing'!$W$6*'Valve Sizing'!$G$8/R3331)</f>
        <v>12.118127388930992</v>
      </c>
      <c r="S3330" s="107"/>
      <c r="T3330" s="22"/>
      <c r="U3330" s="96">
        <f ca="1">(U3322/(N_9*U$27*U3324*0.667))*SQRT(M*'Valve Sizing'!$W$6*'Valve Sizing'!$G$8/U3331)</f>
        <v>45.239923933946457</v>
      </c>
      <c r="V3330" s="111"/>
      <c r="W3330" s="28"/>
      <c r="X3330" s="96">
        <f ca="1">(X3322/(N_9*X$27*X3324*0.667))*SQRT(M*'Valve Sizing'!$W$6*'Valve Sizing'!$G$8/X3331)</f>
        <v>131.74713656620099</v>
      </c>
      <c r="Y3330" s="111"/>
      <c r="Z3330" s="28"/>
      <c r="AA3330" s="96">
        <f ca="1">(AA3322/(N_9*AA$27*AA3324*0.667))*SQRT(M*'Valve Sizing'!$W$6*'Valve Sizing'!$G$8/AA3331)</f>
        <v>661.06339994480209</v>
      </c>
      <c r="AB3330" s="111"/>
      <c r="AC3330" s="28"/>
      <c r="AD3330" s="96">
        <f ca="1">(AD3322/(N_9*AD$27*AD3324*0.667))*SQRT(M*'Valve Sizing'!$W$6*'Valve Sizing'!$G$8/AD3331)</f>
        <v>-406.81477767503486</v>
      </c>
      <c r="AE3330" s="111"/>
      <c r="AF3330" s="28"/>
      <c r="AG3330" s="96">
        <f ca="1">(AG3322/(N_9*AG$27*AG3324*0.667))*SQRT(M*'Valve Sizing'!$W$6*'Valve Sizing'!$G$8/AG3331)</f>
        <v>-185.0085804838065</v>
      </c>
      <c r="AH3330" s="111"/>
      <c r="AI3330" s="28"/>
      <c r="AJ3330" s="96">
        <f ca="1">(AJ3322/(N_9*AJ$27*AJ3324*0.667))*SQRT(M*'Valve Sizing'!$W$6*'Valve Sizing'!$G$8/AJ3331)</f>
        <v>-130.31479425008453</v>
      </c>
      <c r="AK3330" s="111"/>
      <c r="AL3330" s="28"/>
      <c r="AM3330" s="96">
        <f ca="1">(AM3322/(N_9*AM$27*AM3324*0.667))*SQRT(M*'Valve Sizing'!$W$6*'Valve Sizing'!$G$8/AM3331)</f>
        <v>-113.81768269308213</v>
      </c>
      <c r="AN3330" s="111"/>
      <c r="AO3330" s="28"/>
      <c r="AP3330" s="96">
        <f ca="1">(AP3322/(N_9*AP$27*AP3324*0.667))*SQRT(M*'Valve Sizing'!$W$6*'Valve Sizing'!$G$8/AP3331)</f>
        <v>-97.566062171412312</v>
      </c>
      <c r="AQ3330" s="111"/>
      <c r="AR3330" s="28"/>
      <c r="AS3330" s="96">
        <f ca="1">(AS3322/(N_9*AS$27*AS3324*0.667))*SQRT(M*'Valve Sizing'!$W$6*'Valve Sizing'!$G$8/AS3331)</f>
        <v>-136.77773263348061</v>
      </c>
      <c r="AT3330" s="111"/>
      <c r="AU3330" s="28"/>
    </row>
    <row r="3331" spans="15:47" ht="15.6" x14ac:dyDescent="0.35">
      <c r="O3331" s="2" t="s">
        <v>68</v>
      </c>
      <c r="P3331" s="143">
        <v>10</v>
      </c>
      <c r="Q3331" s="2"/>
      <c r="R3331" s="96">
        <f ca="1">F_GAMMA*R$29</f>
        <v>0.64002969751372984</v>
      </c>
      <c r="S3331" s="107"/>
      <c r="T3331" s="1"/>
      <c r="U3331" s="96">
        <f ca="1">F_GAMMA*U$29</f>
        <v>0.64017842058782071</v>
      </c>
      <c r="V3331" s="111"/>
      <c r="W3331" s="28"/>
      <c r="X3331" s="96">
        <f ca="1">F_GAMMA*X$29</f>
        <v>0.63413873724904268</v>
      </c>
      <c r="Y3331" s="111"/>
      <c r="Z3331" s="28"/>
      <c r="AA3331" s="96">
        <f ca="1">F_GAMMA*AA$29</f>
        <v>0.62532411750377137</v>
      </c>
      <c r="AB3331" s="111"/>
      <c r="AC3331" s="28"/>
      <c r="AD3331" s="96">
        <f ca="1">F_GAMMA*AD$29</f>
        <v>0.60651359509139569</v>
      </c>
      <c r="AE3331" s="111"/>
      <c r="AF3331" s="28"/>
      <c r="AG3331" s="96">
        <f ca="1">F_GAMMA*AG$29</f>
        <v>0.57217930198481592</v>
      </c>
      <c r="AH3331" s="111"/>
      <c r="AI3331" s="28"/>
      <c r="AJ3331" s="96">
        <f ca="1">F_GAMMA*AJ$29</f>
        <v>0.53183282018848232</v>
      </c>
      <c r="AK3331" s="111"/>
      <c r="AL3331" s="28"/>
      <c r="AM3331" s="96">
        <f ca="1">F_GAMMA*AM$29</f>
        <v>0.47566512503094399</v>
      </c>
      <c r="AN3331" s="111"/>
      <c r="AO3331" s="28"/>
      <c r="AP3331" s="96">
        <f ca="1">F_GAMMA*AP$29</f>
        <v>0.59054158265645496</v>
      </c>
      <c r="AQ3331" s="111"/>
      <c r="AR3331" s="28"/>
      <c r="AS3331" s="96">
        <f ca="1">F_GAMMA*AS$29</f>
        <v>0.3766899554102966</v>
      </c>
      <c r="AT3331" s="111"/>
      <c r="AU3331" s="28"/>
    </row>
    <row r="3332" spans="15:47" x14ac:dyDescent="0.25">
      <c r="O3332" s="2" t="s">
        <v>145</v>
      </c>
      <c r="P3332" s="12"/>
      <c r="Q3332" s="2"/>
      <c r="R3332" s="96">
        <f ca="1">IF(R3327&lt;R3331,R3329,R3330)</f>
        <v>13.554579394890492</v>
      </c>
      <c r="S3332" s="116"/>
      <c r="T3332" s="1"/>
      <c r="U3332" s="96">
        <f ca="1">IF(U3327&lt;U3331,U3329,U3330)</f>
        <v>51.492215849915809</v>
      </c>
      <c r="V3332" s="111"/>
      <c r="W3332" s="28"/>
      <c r="X3332" s="96">
        <f ca="1">IF(X3327&lt;X3331,X3329,X3330)</f>
        <v>178.27840742902518</v>
      </c>
      <c r="Y3332" s="111"/>
      <c r="Z3332" s="28"/>
      <c r="AA3332" s="96" t="e">
        <f ca="1">IF(AA3327&lt;AA3331,AA3329,AA3330)</f>
        <v>#NUM!</v>
      </c>
      <c r="AB3332" s="111"/>
      <c r="AC3332" s="28"/>
      <c r="AD3332" s="96">
        <f ca="1">IF(AD3327&lt;AD3331,AD3329,AD3330)</f>
        <v>-406.81477767503486</v>
      </c>
      <c r="AE3332" s="111"/>
      <c r="AF3332" s="28"/>
      <c r="AG3332" s="96">
        <f ca="1">IF(AG3327&lt;AG3331,AG3329,AG3330)</f>
        <v>-185.0085804838065</v>
      </c>
      <c r="AH3332" s="111"/>
      <c r="AI3332" s="28"/>
      <c r="AJ3332" s="96">
        <f ca="1">IF(AJ3327&lt;AJ3331,AJ3329,AJ3330)</f>
        <v>-130.31479425008453</v>
      </c>
      <c r="AK3332" s="111"/>
      <c r="AL3332" s="28"/>
      <c r="AM3332" s="96">
        <f ca="1">IF(AM3327&lt;AM3331,AM3329,AM3330)</f>
        <v>-113.81768269308213</v>
      </c>
      <c r="AN3332" s="111"/>
      <c r="AO3332" s="28"/>
      <c r="AP3332" s="96">
        <f ca="1">IF(AP3327&lt;AP3331,AP3329,AP3330)</f>
        <v>-97.566062171412312</v>
      </c>
      <c r="AQ3332" s="111"/>
      <c r="AR3332" s="28"/>
      <c r="AS3332" s="96">
        <f ca="1">IF(AS3327&lt;AS3331,AS3329,AS3330)</f>
        <v>-136.77773263348061</v>
      </c>
      <c r="AT3332" s="111"/>
      <c r="AU3332" s="28"/>
    </row>
    <row r="3333" spans="15:47" x14ac:dyDescent="0.25">
      <c r="O3333" s="13" t="s">
        <v>143</v>
      </c>
      <c r="P3333" s="1"/>
      <c r="Q3333" s="1"/>
      <c r="R3333" s="113"/>
      <c r="S3333" s="106">
        <f ca="1">IF(R3326&lt;=0,Q_max,ABS(R$23-R3332))</f>
        <v>8.8245793948904918</v>
      </c>
      <c r="T3333" s="7">
        <f>R3322</f>
        <v>33444.678663698956</v>
      </c>
      <c r="U3333" s="98"/>
      <c r="V3333" s="106">
        <f ca="1">IF(U3326&lt;=0,Q_max,ABS(U$23-U3332))</f>
        <v>39.892215849915807</v>
      </c>
      <c r="W3333" s="9">
        <f ca="1">U3322</f>
        <v>121350.27452386545</v>
      </c>
      <c r="X3333" s="98"/>
      <c r="Y3333" s="106">
        <f ca="1">IF(X3326&lt;=0,Q_max,ABS(X$23-X3332))</f>
        <v>155.27840742902518</v>
      </c>
      <c r="Z3333" s="9">
        <f ca="1">X3322</f>
        <v>297142.24727670028</v>
      </c>
      <c r="AA3333" s="98"/>
      <c r="AB3333" s="106">
        <f ca="1">IF(AA3326&lt;=0,Q_max,ABS(AA$23-AA3332))</f>
        <v>236393</v>
      </c>
      <c r="AC3333" s="9">
        <f ca="1">AA3322</f>
        <v>578757.25349928334</v>
      </c>
      <c r="AD3333" s="98"/>
      <c r="AE3333" s="106">
        <f ca="1">IF(AD3326&lt;=0,Q_max,ABS(AD$23-AD3332))</f>
        <v>236393</v>
      </c>
      <c r="AF3333" s="9">
        <f ca="1">AD3322</f>
        <v>970974.63241206878</v>
      </c>
      <c r="AG3333" s="98"/>
      <c r="AH3333" s="106">
        <f ca="1">IF(AG3326&lt;=0,Q_max,ABS(AG$23-AG3332))</f>
        <v>236393</v>
      </c>
      <c r="AI3333" s="9">
        <f ca="1">AG3322</f>
        <v>1417163.9216081596</v>
      </c>
      <c r="AJ3333" s="98"/>
      <c r="AK3333" s="106">
        <f ca="1">IF(AJ3326&lt;=0,Q_max,ABS(AJ$23-AJ3332))</f>
        <v>236393</v>
      </c>
      <c r="AL3333" s="9">
        <f ca="1">AJ3322</f>
        <v>1891210.7471173119</v>
      </c>
      <c r="AM3333" s="98"/>
      <c r="AN3333" s="106">
        <f ca="1">IF(AM3326&lt;=0,Q_max,ABS(AM$23-AM3332))</f>
        <v>236393</v>
      </c>
      <c r="AO3333" s="9">
        <f ca="1">AM3322</f>
        <v>2307636.5170750972</v>
      </c>
      <c r="AP3333" s="98"/>
      <c r="AQ3333" s="106">
        <f ca="1">IF(AP3326&lt;=0,Q_max,ABS(AP$23-AP3332))</f>
        <v>236393</v>
      </c>
      <c r="AR3333" s="9">
        <f ca="1">AP3322</f>
        <v>2679094.3566023367</v>
      </c>
      <c r="AS3333" s="98"/>
      <c r="AT3333" s="106">
        <f ca="1">IF(AS3326&lt;=0,Q_max,ABS(AS$23-AS3332))</f>
        <v>236393</v>
      </c>
      <c r="AU3333" s="9">
        <f ca="1">AS3322</f>
        <v>3141448.8302874966</v>
      </c>
    </row>
    <row r="3334" spans="15:47" x14ac:dyDescent="0.25">
      <c r="O3334" s="21"/>
      <c r="P3334" s="14"/>
      <c r="Q3334" s="21"/>
      <c r="R3334" s="97"/>
      <c r="S3334" s="106"/>
      <c r="T3334" s="28"/>
      <c r="U3334" s="97"/>
      <c r="V3334" s="111"/>
      <c r="W3334" s="28"/>
      <c r="X3334" s="97"/>
      <c r="Y3334" s="111"/>
      <c r="Z3334" s="28"/>
      <c r="AA3334" s="97"/>
      <c r="AB3334" s="111"/>
      <c r="AC3334" s="28"/>
      <c r="AD3334" s="97"/>
      <c r="AE3334" s="111"/>
      <c r="AF3334" s="28"/>
      <c r="AG3334" s="97"/>
      <c r="AH3334" s="111"/>
      <c r="AI3334" s="28"/>
      <c r="AJ3334" s="97"/>
      <c r="AK3334" s="111"/>
      <c r="AL3334" s="28"/>
      <c r="AM3334" s="97"/>
      <c r="AN3334" s="111"/>
      <c r="AO3334" s="28"/>
      <c r="AP3334" s="97"/>
      <c r="AQ3334" s="111"/>
      <c r="AR3334" s="28"/>
      <c r="AS3334" s="97"/>
      <c r="AT3334" s="111"/>
      <c r="AU3334" s="28"/>
    </row>
    <row r="3335" spans="15:47" x14ac:dyDescent="0.25">
      <c r="O3335" s="1"/>
      <c r="P3335" s="1"/>
      <c r="Q3335" s="1"/>
      <c r="R3335" s="98"/>
      <c r="S3335" s="108" t="s">
        <v>137</v>
      </c>
      <c r="T3335" s="26" t="s">
        <v>146</v>
      </c>
      <c r="U3335" s="98"/>
      <c r="V3335" s="108" t="s">
        <v>137</v>
      </c>
      <c r="W3335" s="26" t="s">
        <v>146</v>
      </c>
      <c r="X3335" s="98"/>
      <c r="Y3335" s="108" t="s">
        <v>137</v>
      </c>
      <c r="Z3335" s="26" t="s">
        <v>146</v>
      </c>
      <c r="AA3335" s="98"/>
      <c r="AB3335" s="108" t="s">
        <v>137</v>
      </c>
      <c r="AC3335" s="26" t="s">
        <v>146</v>
      </c>
      <c r="AD3335" s="98"/>
      <c r="AE3335" s="108" t="s">
        <v>137</v>
      </c>
      <c r="AF3335" s="26" t="s">
        <v>146</v>
      </c>
      <c r="AG3335" s="98"/>
      <c r="AH3335" s="108" t="s">
        <v>137</v>
      </c>
      <c r="AI3335" s="26" t="s">
        <v>146</v>
      </c>
      <c r="AJ3335" s="98"/>
      <c r="AK3335" s="108" t="s">
        <v>137</v>
      </c>
      <c r="AL3335" s="26" t="s">
        <v>146</v>
      </c>
      <c r="AM3335" s="98"/>
      <c r="AN3335" s="108" t="s">
        <v>137</v>
      </c>
      <c r="AO3335" s="26" t="s">
        <v>146</v>
      </c>
      <c r="AP3335" s="98"/>
      <c r="AQ3335" s="108" t="s">
        <v>137</v>
      </c>
      <c r="AR3335" s="26" t="s">
        <v>146</v>
      </c>
      <c r="AS3335" s="98"/>
      <c r="AT3335" s="108" t="s">
        <v>137</v>
      </c>
      <c r="AU3335" s="26" t="s">
        <v>146</v>
      </c>
    </row>
    <row r="3336" spans="15:47" ht="13.8" x14ac:dyDescent="0.25">
      <c r="O3336" s="20" t="s">
        <v>136</v>
      </c>
      <c r="P3336" s="1"/>
      <c r="Q3336" s="1"/>
      <c r="R3336" s="96">
        <f>R3322*1.02</f>
        <v>34113.572236972934</v>
      </c>
      <c r="S3336" s="109" t="s">
        <v>144</v>
      </c>
      <c r="T3336" s="23" t="s">
        <v>147</v>
      </c>
      <c r="U3336" s="96">
        <f ca="1">U3322*1.01</f>
        <v>122563.7772691041</v>
      </c>
      <c r="V3336" s="109" t="s">
        <v>144</v>
      </c>
      <c r="W3336" s="23" t="s">
        <v>147</v>
      </c>
      <c r="X3336" s="96">
        <f ca="1">X3322*1.01</f>
        <v>300113.66974946728</v>
      </c>
      <c r="Y3336" s="109" t="s">
        <v>144</v>
      </c>
      <c r="Z3336" s="23" t="s">
        <v>147</v>
      </c>
      <c r="AA3336" s="96">
        <f ca="1">AA3322*1.01</f>
        <v>584544.82603427616</v>
      </c>
      <c r="AB3336" s="109" t="s">
        <v>144</v>
      </c>
      <c r="AC3336" s="23" t="s">
        <v>147</v>
      </c>
      <c r="AD3336" s="96">
        <f ca="1">AD3322*1.01</f>
        <v>980684.37873618945</v>
      </c>
      <c r="AE3336" s="109" t="s">
        <v>144</v>
      </c>
      <c r="AF3336" s="23" t="s">
        <v>147</v>
      </c>
      <c r="AG3336" s="96">
        <f ca="1">AG3322*1.01</f>
        <v>1431335.5608242413</v>
      </c>
      <c r="AH3336" s="109" t="s">
        <v>144</v>
      </c>
      <c r="AI3336" s="23" t="s">
        <v>147</v>
      </c>
      <c r="AJ3336" s="96">
        <f ca="1">AJ3322*1.01</f>
        <v>1910122.8545884851</v>
      </c>
      <c r="AK3336" s="109" t="s">
        <v>144</v>
      </c>
      <c r="AL3336" s="23" t="s">
        <v>147</v>
      </c>
      <c r="AM3336" s="96">
        <f ca="1">AM3322*1.01</f>
        <v>2330712.882245848</v>
      </c>
      <c r="AN3336" s="109" t="s">
        <v>144</v>
      </c>
      <c r="AO3336" s="23" t="s">
        <v>147</v>
      </c>
      <c r="AP3336" s="96">
        <f ca="1">AP3322*1.01</f>
        <v>2705885.3001683601</v>
      </c>
      <c r="AQ3336" s="109" t="s">
        <v>144</v>
      </c>
      <c r="AR3336" s="23" t="s">
        <v>147</v>
      </c>
      <c r="AS3336" s="96">
        <f ca="1">AS3322*1.01</f>
        <v>3172863.3185903714</v>
      </c>
      <c r="AT3336" s="109" t="s">
        <v>144</v>
      </c>
      <c r="AU3336" s="23" t="s">
        <v>147</v>
      </c>
    </row>
    <row r="3337" spans="15:47" x14ac:dyDescent="0.25">
      <c r="O3337" s="1"/>
      <c r="P3337" s="1"/>
      <c r="Q3337" s="1"/>
      <c r="R3337" s="98"/>
      <c r="S3337" s="107"/>
      <c r="T3337" s="1"/>
      <c r="U3337" s="47"/>
      <c r="V3337" s="107"/>
      <c r="W3337" s="1"/>
      <c r="X3337" s="47"/>
      <c r="Y3337" s="107"/>
      <c r="Z3337" s="1"/>
      <c r="AA3337" s="47"/>
      <c r="AB3337" s="107"/>
      <c r="AC3337" s="1"/>
      <c r="AD3337" s="47"/>
      <c r="AE3337" s="107"/>
      <c r="AF3337" s="1"/>
      <c r="AG3337" s="47"/>
      <c r="AH3337" s="107"/>
      <c r="AI3337" s="1"/>
      <c r="AJ3337" s="47"/>
      <c r="AK3337" s="107"/>
      <c r="AL3337" s="1"/>
      <c r="AM3337" s="47"/>
      <c r="AN3337" s="107"/>
      <c r="AO3337" s="1"/>
      <c r="AP3337" s="47"/>
      <c r="AQ3337" s="107"/>
      <c r="AR3337" s="1"/>
      <c r="AS3337" s="47"/>
      <c r="AT3337" s="107"/>
      <c r="AU3337" s="1"/>
    </row>
    <row r="3338" spans="15:47" x14ac:dyDescent="0.25">
      <c r="O3338" s="8" t="s">
        <v>132</v>
      </c>
      <c r="P3338" s="8"/>
      <c r="Q3338" s="8"/>
      <c r="R3338" s="96">
        <f>P_1_minQ-(R3336^2*R_up)+dpup_minQ</f>
        <v>89.972936980987782</v>
      </c>
      <c r="S3338" s="106"/>
      <c r="T3338" s="22"/>
      <c r="U3338" s="96">
        <f ca="1">P_1_minQ-(U3336^2*R_up)+dpup_minQ</f>
        <v>87.447139084911328</v>
      </c>
      <c r="V3338" s="107"/>
      <c r="W3338" s="1"/>
      <c r="X3338" s="96">
        <f ca="1">P_1_minQ-(X3336^2*R_up)+dpup_minQ</f>
        <v>73.769125635930138</v>
      </c>
      <c r="Y3338" s="107"/>
      <c r="Z3338" s="1"/>
      <c r="AA3338" s="96">
        <f ca="1">P_1_minQ-(AA3336^2*R_up)+dpup_minQ</f>
        <v>27.907826126483286</v>
      </c>
      <c r="AB3338" s="107"/>
      <c r="AC3338" s="1"/>
      <c r="AD3338" s="96">
        <f ca="1">P_1_minQ-(AD3336^2*R_up)+dpup_minQ</f>
        <v>-85.102905518036323</v>
      </c>
      <c r="AE3338" s="107"/>
      <c r="AF3338" s="1"/>
      <c r="AG3338" s="96">
        <f ca="1">P_1_minQ-(AG3336^2*R_up)+dpup_minQ</f>
        <v>-283.21680461156245</v>
      </c>
      <c r="AH3338" s="107"/>
      <c r="AI3338" s="1"/>
      <c r="AJ3338" s="96">
        <f ca="1">P_1_minQ-(AJ3336^2*R_up)+dpup_minQ</f>
        <v>-574.80652824425738</v>
      </c>
      <c r="AK3338" s="107"/>
      <c r="AL3338" s="1"/>
      <c r="AM3338" s="96">
        <f ca="1">P_1_minQ-(AM3336^2*R_up)+dpup_minQ</f>
        <v>-899.89678936005384</v>
      </c>
      <c r="AN3338" s="107"/>
      <c r="AO3338" s="1"/>
      <c r="AP3338" s="96">
        <f ca="1">P_1_minQ-(AP3336^2*R_up)+dpup_minQ</f>
        <v>-1244.295679978216</v>
      </c>
      <c r="AQ3338" s="107"/>
      <c r="AR3338" s="1"/>
      <c r="AS3338" s="96">
        <f ca="1">P_1_minQ-(AS3336^2*R_up)+dpup_minQ</f>
        <v>-1744.64678681233</v>
      </c>
      <c r="AT3338" s="107"/>
      <c r="AU3338" s="1"/>
    </row>
    <row r="3339" spans="15:47" x14ac:dyDescent="0.25">
      <c r="O3339" s="8" t="s">
        <v>134</v>
      </c>
      <c r="P3339" s="1"/>
      <c r="Q3339" s="8"/>
      <c r="R3339" s="97">
        <f>P_2_minQ+(R3336^2*R_dn)-dpdn_minQ</f>
        <v>60</v>
      </c>
      <c r="S3339" s="106"/>
      <c r="T3339" s="22"/>
      <c r="U3339" s="97">
        <f ca="1">P_2_minQ+(U3336^2*R_dn)-dpdn_minQ</f>
        <v>60</v>
      </c>
      <c r="V3339" s="107"/>
      <c r="W3339" s="1"/>
      <c r="X3339" s="97">
        <f ca="1">P_2_minQ+(X3336^2*R_dn)-dpdn_minQ</f>
        <v>60</v>
      </c>
      <c r="Y3339" s="107"/>
      <c r="Z3339" s="1"/>
      <c r="AA3339" s="97">
        <f ca="1">P_2_minQ+(AA3336^2*R_dn)-dpdn_minQ</f>
        <v>60</v>
      </c>
      <c r="AB3339" s="107"/>
      <c r="AC3339" s="1"/>
      <c r="AD3339" s="97">
        <f ca="1">P_2_minQ+(AD3336^2*R_dn)-dpdn_minQ</f>
        <v>60</v>
      </c>
      <c r="AE3339" s="107"/>
      <c r="AF3339" s="1"/>
      <c r="AG3339" s="97">
        <f ca="1">P_2_minQ+(AG3336^2*R_dn)-dpdn_minQ</f>
        <v>60</v>
      </c>
      <c r="AH3339" s="107"/>
      <c r="AI3339" s="1"/>
      <c r="AJ3339" s="97">
        <f ca="1">P_2_minQ+(AJ3336^2*R_dn)-dpdn_minQ</f>
        <v>60</v>
      </c>
      <c r="AK3339" s="107"/>
      <c r="AL3339" s="1"/>
      <c r="AM3339" s="97">
        <f ca="1">P_2_minQ+(AM3336^2*R_dn)-dpdn_minQ</f>
        <v>60</v>
      </c>
      <c r="AN3339" s="107"/>
      <c r="AO3339" s="1"/>
      <c r="AP3339" s="97">
        <f ca="1">P_2_minQ+(AP3336^2*R_dn)-dpdn_minQ</f>
        <v>60</v>
      </c>
      <c r="AQ3339" s="107"/>
      <c r="AR3339" s="1"/>
      <c r="AS3339" s="97">
        <f ca="1">P_2_minQ+(AS3336^2*R_dn)-dpdn_minQ</f>
        <v>60</v>
      </c>
      <c r="AT3339" s="107"/>
      <c r="AU3339" s="1"/>
    </row>
    <row r="3340" spans="15:47" x14ac:dyDescent="0.25">
      <c r="O3340" s="8" t="s">
        <v>138</v>
      </c>
      <c r="P3340" s="1"/>
      <c r="Q3340" s="8"/>
      <c r="R3340" s="97">
        <f>R3338-R3339</f>
        <v>29.972936980987782</v>
      </c>
      <c r="S3340" s="106"/>
      <c r="T3340" s="22"/>
      <c r="U3340" s="97">
        <f ca="1">U3338-U3339</f>
        <v>27.447139084911328</v>
      </c>
      <c r="V3340" s="110"/>
      <c r="W3340" s="25"/>
      <c r="X3340" s="97">
        <f ca="1">X3338-X3339</f>
        <v>13.769125635930138</v>
      </c>
      <c r="Y3340" s="110"/>
      <c r="Z3340" s="25"/>
      <c r="AA3340" s="97">
        <f ca="1">AA3338-AA3339</f>
        <v>-32.092173873516714</v>
      </c>
      <c r="AB3340" s="110"/>
      <c r="AC3340" s="25"/>
      <c r="AD3340" s="97">
        <f ca="1">AD3338-AD3339</f>
        <v>-145.10290551803632</v>
      </c>
      <c r="AE3340" s="110"/>
      <c r="AF3340" s="25"/>
      <c r="AG3340" s="97">
        <f ca="1">AG3338-AG3339</f>
        <v>-343.21680461156245</v>
      </c>
      <c r="AH3340" s="110"/>
      <c r="AI3340" s="25"/>
      <c r="AJ3340" s="97">
        <f ca="1">AJ3338-AJ3339</f>
        <v>-634.80652824425738</v>
      </c>
      <c r="AK3340" s="110"/>
      <c r="AL3340" s="25"/>
      <c r="AM3340" s="97">
        <f ca="1">AM3338-AM3339</f>
        <v>-959.89678936005384</v>
      </c>
      <c r="AN3340" s="110"/>
      <c r="AO3340" s="25"/>
      <c r="AP3340" s="97">
        <f ca="1">AP3338-AP3339</f>
        <v>-1304.295679978216</v>
      </c>
      <c r="AQ3340" s="110"/>
      <c r="AR3340" s="25"/>
      <c r="AS3340" s="97">
        <f ca="1">AS3338-AS3339</f>
        <v>-1804.64678681233</v>
      </c>
      <c r="AT3340" s="110"/>
      <c r="AU3340" s="25"/>
    </row>
    <row r="3341" spans="15:47" ht="14.4" x14ac:dyDescent="0.3">
      <c r="O3341" s="2" t="s">
        <v>140</v>
      </c>
      <c r="P3341" s="11"/>
      <c r="Q3341" s="2"/>
      <c r="R3341" s="96">
        <f>R3340/R3338</f>
        <v>0.3331328062272923</v>
      </c>
      <c r="S3341" s="106"/>
      <c r="T3341" s="22"/>
      <c r="U3341" s="96">
        <f ca="1">U3340/U3338</f>
        <v>0.31387120690432313</v>
      </c>
      <c r="V3341" s="111"/>
      <c r="W3341" s="28"/>
      <c r="X3341" s="96">
        <f ca="1">X3340/X3338</f>
        <v>0.18665160413970963</v>
      </c>
      <c r="Y3341" s="111"/>
      <c r="Z3341" s="28"/>
      <c r="AA3341" s="96">
        <f ca="1">AA3340/AA3338</f>
        <v>-1.1499345641638017</v>
      </c>
      <c r="AB3341" s="111"/>
      <c r="AC3341" s="28"/>
      <c r="AD3341" s="96">
        <f ca="1">AD3340/AD3338</f>
        <v>1.7050288075920494</v>
      </c>
      <c r="AE3341" s="111"/>
      <c r="AF3341" s="28"/>
      <c r="AG3341" s="96">
        <f ca="1">AG3340/AG3338</f>
        <v>1.2118518358481278</v>
      </c>
      <c r="AH3341" s="111"/>
      <c r="AI3341" s="28"/>
      <c r="AJ3341" s="96">
        <f ca="1">AJ3340/AJ3338</f>
        <v>1.1043829480908465</v>
      </c>
      <c r="AK3341" s="111"/>
      <c r="AL3341" s="28"/>
      <c r="AM3341" s="96">
        <f ca="1">AM3340/AM3338</f>
        <v>1.0666743127760996</v>
      </c>
      <c r="AN3341" s="111"/>
      <c r="AO3341" s="28"/>
      <c r="AP3341" s="96">
        <f ca="1">AP3340/AP3338</f>
        <v>1.0482200500776877</v>
      </c>
      <c r="AQ3341" s="111"/>
      <c r="AR3341" s="28"/>
      <c r="AS3341" s="96">
        <f ca="1">AS3340/AS3338</f>
        <v>1.0343909153724042</v>
      </c>
      <c r="AT3341" s="111"/>
      <c r="AU3341" s="28"/>
    </row>
    <row r="3342" spans="15:47" x14ac:dyDescent="0.25">
      <c r="O3342" s="2" t="s">
        <v>21</v>
      </c>
      <c r="P3342" s="8">
        <v>12</v>
      </c>
      <c r="Q3342" s="2"/>
      <c r="R3342" s="96">
        <f ca="1">1-R3341/(3*F_GAMMA*R$29)</f>
        <v>0.82650138083624058</v>
      </c>
      <c r="S3342" s="106"/>
      <c r="T3342" s="22"/>
      <c r="U3342" s="96">
        <f ca="1">1-U3341/(3*F_GAMMA*U$29)</f>
        <v>0.83657097416887716</v>
      </c>
      <c r="V3342" s="111"/>
      <c r="W3342" s="28"/>
      <c r="X3342" s="96">
        <f ca="1">1-X3341/(3*F_GAMMA*X$29)</f>
        <v>0.9018870828648512</v>
      </c>
      <c r="Y3342" s="111"/>
      <c r="Z3342" s="28"/>
      <c r="AA3342" s="96">
        <f ca="1">1-AA3341/(3*F_GAMMA*AA$29)</f>
        <v>1.6129805498596048</v>
      </c>
      <c r="AB3342" s="111"/>
      <c r="AC3342" s="28"/>
      <c r="AD3342" s="96">
        <f ca="1">1-AD3341/(3*F_GAMMA*AD$29)</f>
        <v>6.2934548436011983E-2</v>
      </c>
      <c r="AE3342" s="111"/>
      <c r="AF3342" s="28"/>
      <c r="AG3342" s="96">
        <f ca="1">1-AG3341/(3*F_GAMMA*AG$29)</f>
        <v>0.29401393837889001</v>
      </c>
      <c r="AH3342" s="111"/>
      <c r="AI3342" s="28"/>
      <c r="AJ3342" s="96">
        <f ca="1">1-AJ3341/(3*F_GAMMA*AJ$29)</f>
        <v>0.30781321612842449</v>
      </c>
      <c r="AK3342" s="111"/>
      <c r="AL3342" s="28"/>
      <c r="AM3342" s="96">
        <f ca="1">1-AM3341/(3*F_GAMMA*AM$29)</f>
        <v>0.25250331473098986</v>
      </c>
      <c r="AN3342" s="111"/>
      <c r="AO3342" s="28"/>
      <c r="AP3342" s="96">
        <f ca="1">1-AP3341/(3*F_GAMMA*AP$29)</f>
        <v>0.40832839952187572</v>
      </c>
      <c r="AQ3342" s="111"/>
      <c r="AR3342" s="28"/>
      <c r="AS3342" s="96">
        <f ca="1">1-AS3341/(3*F_GAMMA*AS$29)</f>
        <v>8.4666403129217693E-2</v>
      </c>
      <c r="AT3342" s="111"/>
      <c r="AU3342" s="28"/>
    </row>
    <row r="3343" spans="15:47" x14ac:dyDescent="0.25">
      <c r="O3343" s="2" t="s">
        <v>57</v>
      </c>
      <c r="P3343" s="143">
        <v>7</v>
      </c>
      <c r="Q3343" s="2"/>
      <c r="R3343" s="96">
        <f ca="1">(R3336/(N_9*R$27*R3338*R3342))*SQRT(M*'Valve Sizing'!$W$6*'Valve Sizing'!$G$8/R3341)</f>
        <v>13.827671422570262</v>
      </c>
      <c r="S3343" s="107"/>
      <c r="T3343" s="22"/>
      <c r="U3343" s="96">
        <f ca="1">(U3336/(N_9*U$27*U3338*U3342))*SQRT(M*'Valve Sizing'!$W$6*'Valve Sizing'!$G$8/U3341)</f>
        <v>52.060567571337124</v>
      </c>
      <c r="V3343" s="111"/>
      <c r="W3343" s="28"/>
      <c r="X3343" s="96">
        <f ca="1">(X3336/(N_9*X$27*X3338*X3342))*SQRT(M*'Valve Sizing'!$W$6*'Valve Sizing'!$G$8/X3341)</f>
        <v>182.18499685128927</v>
      </c>
      <c r="Y3343" s="111"/>
      <c r="Z3343" s="28"/>
      <c r="AA3343" s="96" t="e">
        <f ca="1">(AA3336/(N_9*AA$27*AA3338*AA3342))*SQRT(M*'Valve Sizing'!$W$6*'Valve Sizing'!$G$8/AA3341)</f>
        <v>#NUM!</v>
      </c>
      <c r="AB3343" s="111"/>
      <c r="AC3343" s="28"/>
      <c r="AD3343" s="96">
        <f ca="1">(AD3336/(N_9*AD$27*AD3338*AD3342))*SQRT(M*'Valve Sizing'!$W$6*'Valve Sizing'!$G$8/AD3341)</f>
        <v>-2491.8156834330953</v>
      </c>
      <c r="AE3343" s="111"/>
      <c r="AF3343" s="28"/>
      <c r="AG3343" s="96">
        <f ca="1">(AG3336/(N_9*AG$27*AG3338*AG3342))*SQRT(M*'Valve Sizing'!$W$6*'Valve Sizing'!$G$8/AG3341)</f>
        <v>-283.71421781535975</v>
      </c>
      <c r="AH3343" s="111"/>
      <c r="AI3343" s="28"/>
      <c r="AJ3343" s="96">
        <f ca="1">(AJ3336/(N_9*AJ$27*AJ3338*AJ3342))*SQRT(M*'Valve Sizing'!$W$6*'Valve Sizing'!$G$8/AJ3341)</f>
        <v>-193.40463552791746</v>
      </c>
      <c r="AK3343" s="111"/>
      <c r="AL3343" s="28"/>
      <c r="AM3343" s="96">
        <f ca="1">(AM3336/(N_9*AM$27*AM3338*AM3342))*SQRT(M*'Valve Sizing'!$W$6*'Valve Sizing'!$G$8/AM3341)</f>
        <v>-198.38377196204141</v>
      </c>
      <c r="AN3343" s="111"/>
      <c r="AO3343" s="28"/>
      <c r="AP3343" s="96">
        <f ca="1">(AP3336/(N_9*AP$27*AP3338*AP3342))*SQRT(M*'Valve Sizing'!$W$6*'Valve Sizing'!$G$8/AP3341)</f>
        <v>-118.26589137097874</v>
      </c>
      <c r="AQ3343" s="111"/>
      <c r="AR3343" s="28"/>
      <c r="AS3343" s="96">
        <f ca="1">(AS3336/(N_9*AS$27*AS3338*AS3342))*SQRT(M*'Valve Sizing'!$W$6*'Valve Sizing'!$G$8/AS3341)</f>
        <v>-643.1421111099512</v>
      </c>
      <c r="AT3343" s="111"/>
      <c r="AU3343" s="28"/>
    </row>
    <row r="3344" spans="15:47" x14ac:dyDescent="0.25">
      <c r="O3344" s="2" t="s">
        <v>59</v>
      </c>
      <c r="P3344" s="143">
        <v>7</v>
      </c>
      <c r="Q3344" s="2"/>
      <c r="R3344" s="96">
        <f ca="1">(R3336/(N_9*R$27*R3338*0.667))*SQRT(M*'Valve Sizing'!$W$6*'Valve Sizing'!$G$8/R3345)</f>
        <v>12.361621431986631</v>
      </c>
      <c r="S3344" s="107"/>
      <c r="T3344" s="22"/>
      <c r="U3344" s="96">
        <f ca="1">(U3336/(N_9*U$27*U3338*0.667))*SQRT(M*'Valve Sizing'!$W$6*'Valve Sizing'!$G$8/U3345)</f>
        <v>45.720511464853772</v>
      </c>
      <c r="V3344" s="111"/>
      <c r="W3344" s="28"/>
      <c r="X3344" s="96">
        <f ca="1">(X3336/(N_9*X$27*X3338*0.667))*SQRT(M*'Valve Sizing'!$W$6*'Valve Sizing'!$G$8/X3345)</f>
        <v>133.64806153275734</v>
      </c>
      <c r="Y3344" s="111"/>
      <c r="Z3344" s="28"/>
      <c r="AA3344" s="96">
        <f ca="1">(AA3336/(N_9*AA$27*AA3338*0.667))*SQRT(M*'Valve Sizing'!$W$6*'Valve Sizing'!$G$8/AA3345)</f>
        <v>697.03166219540185</v>
      </c>
      <c r="AB3344" s="111"/>
      <c r="AC3344" s="28"/>
      <c r="AD3344" s="96">
        <f ca="1">(AD3336/(N_9*AD$27*AD3338*0.667))*SQRT(M*'Valve Sizing'!$W$6*'Valve Sizing'!$G$8/AD3345)</f>
        <v>-394.2074176252745</v>
      </c>
      <c r="AE3344" s="111"/>
      <c r="AF3344" s="28"/>
      <c r="AG3344" s="96">
        <f ca="1">(AG3336/(N_9*AG$27*AG3338*0.667))*SQRT(M*'Valve Sizing'!$W$6*'Valve Sizing'!$G$8/AG3345)</f>
        <v>-182.00439553904064</v>
      </c>
      <c r="AH3344" s="111"/>
      <c r="AI3344" s="28"/>
      <c r="AJ3344" s="96">
        <f ca="1">(AJ3336/(N_9*AJ$27*AJ3338*0.667))*SQRT(M*'Valve Sizing'!$W$6*'Valve Sizing'!$G$8/AJ3345)</f>
        <v>-128.61765482490992</v>
      </c>
      <c r="AK3344" s="111"/>
      <c r="AL3344" s="28"/>
      <c r="AM3344" s="96">
        <f ca="1">(AM3336/(N_9*AM$27*AM3338*0.667))*SQRT(M*'Valve Sizing'!$W$6*'Valve Sizing'!$G$8/AM3345)</f>
        <v>-112.46377475124652</v>
      </c>
      <c r="AN3344" s="111"/>
      <c r="AO3344" s="28"/>
      <c r="AP3344" s="96">
        <f ca="1">(AP3336/(N_9*AP$27*AP3338*0.667))*SQRT(M*'Valve Sizing'!$W$6*'Valve Sizing'!$G$8/AP3345)</f>
        <v>-96.459332306209078</v>
      </c>
      <c r="AQ3344" s="111"/>
      <c r="AR3344" s="28"/>
      <c r="AS3344" s="96">
        <f ca="1">(AS3336/(N_9*AS$27*AS3338*0.667))*SQRT(M*'Valve Sizing'!$W$6*'Valve Sizing'!$G$8/AS3345)</f>
        <v>-135.28279021302265</v>
      </c>
      <c r="AT3344" s="111"/>
      <c r="AU3344" s="28"/>
    </row>
    <row r="3345" spans="15:47" ht="15.6" x14ac:dyDescent="0.35">
      <c r="O3345" s="2" t="s">
        <v>68</v>
      </c>
      <c r="P3345" s="143">
        <v>10</v>
      </c>
      <c r="Q3345" s="2"/>
      <c r="R3345" s="96">
        <f ca="1">F_GAMMA*R$29</f>
        <v>0.64002969751372984</v>
      </c>
      <c r="S3345" s="107"/>
      <c r="T3345" s="1"/>
      <c r="U3345" s="96">
        <f ca="1">F_GAMMA*U$29</f>
        <v>0.64017842058782071</v>
      </c>
      <c r="V3345" s="111"/>
      <c r="W3345" s="28"/>
      <c r="X3345" s="96">
        <f ca="1">F_GAMMA*X$29</f>
        <v>0.63413873724904268</v>
      </c>
      <c r="Y3345" s="111"/>
      <c r="Z3345" s="28"/>
      <c r="AA3345" s="96">
        <f ca="1">F_GAMMA*AA$29</f>
        <v>0.62532411750377137</v>
      </c>
      <c r="AB3345" s="111"/>
      <c r="AC3345" s="28"/>
      <c r="AD3345" s="96">
        <f ca="1">F_GAMMA*AD$29</f>
        <v>0.60651359509139569</v>
      </c>
      <c r="AE3345" s="111"/>
      <c r="AF3345" s="28"/>
      <c r="AG3345" s="96">
        <f ca="1">F_GAMMA*AG$29</f>
        <v>0.57217930198481592</v>
      </c>
      <c r="AH3345" s="111"/>
      <c r="AI3345" s="28"/>
      <c r="AJ3345" s="96">
        <f ca="1">F_GAMMA*AJ$29</f>
        <v>0.53183282018848232</v>
      </c>
      <c r="AK3345" s="111"/>
      <c r="AL3345" s="28"/>
      <c r="AM3345" s="96">
        <f ca="1">F_GAMMA*AM$29</f>
        <v>0.47566512503094399</v>
      </c>
      <c r="AN3345" s="111"/>
      <c r="AO3345" s="28"/>
      <c r="AP3345" s="96">
        <f ca="1">F_GAMMA*AP$29</f>
        <v>0.59054158265645496</v>
      </c>
      <c r="AQ3345" s="111"/>
      <c r="AR3345" s="28"/>
      <c r="AS3345" s="96">
        <f ca="1">F_GAMMA*AS$29</f>
        <v>0.3766899554102966</v>
      </c>
      <c r="AT3345" s="111"/>
      <c r="AU3345" s="28"/>
    </row>
    <row r="3346" spans="15:47" x14ac:dyDescent="0.25">
      <c r="O3346" s="2" t="s">
        <v>145</v>
      </c>
      <c r="P3346" s="12"/>
      <c r="Q3346" s="2"/>
      <c r="R3346" s="96">
        <f ca="1">IF(R3341&lt;R3345,R3343,R3344)</f>
        <v>13.827671422570262</v>
      </c>
      <c r="S3346" s="116"/>
      <c r="T3346" s="1"/>
      <c r="U3346" s="96">
        <f ca="1">IF(U3341&lt;U3345,U3343,U3344)</f>
        <v>52.060567571337124</v>
      </c>
      <c r="V3346" s="111"/>
      <c r="W3346" s="28"/>
      <c r="X3346" s="96">
        <f ca="1">IF(X3341&lt;X3345,X3343,X3344)</f>
        <v>182.18499685128927</v>
      </c>
      <c r="Y3346" s="111"/>
      <c r="Z3346" s="28"/>
      <c r="AA3346" s="96" t="e">
        <f ca="1">IF(AA3341&lt;AA3345,AA3343,AA3344)</f>
        <v>#NUM!</v>
      </c>
      <c r="AB3346" s="111"/>
      <c r="AC3346" s="28"/>
      <c r="AD3346" s="96">
        <f ca="1">IF(AD3341&lt;AD3345,AD3343,AD3344)</f>
        <v>-394.2074176252745</v>
      </c>
      <c r="AE3346" s="111"/>
      <c r="AF3346" s="28"/>
      <c r="AG3346" s="96">
        <f ca="1">IF(AG3341&lt;AG3345,AG3343,AG3344)</f>
        <v>-182.00439553904064</v>
      </c>
      <c r="AH3346" s="111"/>
      <c r="AI3346" s="28"/>
      <c r="AJ3346" s="96">
        <f ca="1">IF(AJ3341&lt;AJ3345,AJ3343,AJ3344)</f>
        <v>-128.61765482490992</v>
      </c>
      <c r="AK3346" s="111"/>
      <c r="AL3346" s="28"/>
      <c r="AM3346" s="96">
        <f ca="1">IF(AM3341&lt;AM3345,AM3343,AM3344)</f>
        <v>-112.46377475124652</v>
      </c>
      <c r="AN3346" s="111"/>
      <c r="AO3346" s="28"/>
      <c r="AP3346" s="96">
        <f ca="1">IF(AP3341&lt;AP3345,AP3343,AP3344)</f>
        <v>-96.459332306209078</v>
      </c>
      <c r="AQ3346" s="111"/>
      <c r="AR3346" s="28"/>
      <c r="AS3346" s="96">
        <f ca="1">IF(AS3341&lt;AS3345,AS3343,AS3344)</f>
        <v>-135.28279021302265</v>
      </c>
      <c r="AT3346" s="111"/>
      <c r="AU3346" s="28"/>
    </row>
    <row r="3347" spans="15:47" x14ac:dyDescent="0.25">
      <c r="O3347" s="13" t="s">
        <v>143</v>
      </c>
      <c r="P3347" s="1"/>
      <c r="Q3347" s="1"/>
      <c r="R3347" s="113"/>
      <c r="S3347" s="106">
        <f ca="1">IF(R3340&lt;=0,Q_max,ABS(R$23-R3346))</f>
        <v>9.0976714225702615</v>
      </c>
      <c r="T3347" s="7">
        <f>R3336</f>
        <v>34113.572236972934</v>
      </c>
      <c r="U3347" s="98"/>
      <c r="V3347" s="106">
        <f ca="1">IF(U3340&lt;=0,Q_max,ABS(U$23-U3346))</f>
        <v>40.460567571337123</v>
      </c>
      <c r="W3347" s="9">
        <f ca="1">U3336</f>
        <v>122563.7772691041</v>
      </c>
      <c r="X3347" s="98"/>
      <c r="Y3347" s="106">
        <f ca="1">IF(X3340&lt;=0,Q_max,ABS(X$23-X3346))</f>
        <v>159.18499685128927</v>
      </c>
      <c r="Z3347" s="9">
        <f ca="1">X3336</f>
        <v>300113.66974946728</v>
      </c>
      <c r="AA3347" s="98"/>
      <c r="AB3347" s="106">
        <f ca="1">IF(AA3340&lt;=0,Q_max,ABS(AA$23-AA3346))</f>
        <v>236393</v>
      </c>
      <c r="AC3347" s="9">
        <f ca="1">AA3336</f>
        <v>584544.82603427616</v>
      </c>
      <c r="AD3347" s="98"/>
      <c r="AE3347" s="106">
        <f ca="1">IF(AD3340&lt;=0,Q_max,ABS(AD$23-AD3346))</f>
        <v>236393</v>
      </c>
      <c r="AF3347" s="9">
        <f ca="1">AD3336</f>
        <v>980684.37873618945</v>
      </c>
      <c r="AG3347" s="98"/>
      <c r="AH3347" s="106">
        <f ca="1">IF(AG3340&lt;=0,Q_max,ABS(AG$23-AG3346))</f>
        <v>236393</v>
      </c>
      <c r="AI3347" s="9">
        <f ca="1">AG3336</f>
        <v>1431335.5608242413</v>
      </c>
      <c r="AJ3347" s="98"/>
      <c r="AK3347" s="106">
        <f ca="1">IF(AJ3340&lt;=0,Q_max,ABS(AJ$23-AJ3346))</f>
        <v>236393</v>
      </c>
      <c r="AL3347" s="9">
        <f ca="1">AJ3336</f>
        <v>1910122.8545884851</v>
      </c>
      <c r="AM3347" s="98"/>
      <c r="AN3347" s="106">
        <f ca="1">IF(AM3340&lt;=0,Q_max,ABS(AM$23-AM3346))</f>
        <v>236393</v>
      </c>
      <c r="AO3347" s="9">
        <f ca="1">AM3336</f>
        <v>2330712.882245848</v>
      </c>
      <c r="AP3347" s="98"/>
      <c r="AQ3347" s="106">
        <f ca="1">IF(AP3340&lt;=0,Q_max,ABS(AP$23-AP3346))</f>
        <v>236393</v>
      </c>
      <c r="AR3347" s="9">
        <f ca="1">AP3336</f>
        <v>2705885.3001683601</v>
      </c>
      <c r="AS3347" s="98"/>
      <c r="AT3347" s="106">
        <f ca="1">IF(AS3340&lt;=0,Q_max,ABS(AS$23-AS3346))</f>
        <v>236393</v>
      </c>
      <c r="AU3347" s="9">
        <f ca="1">AS3336</f>
        <v>3172863.3185903714</v>
      </c>
    </row>
    <row r="3348" spans="15:47" x14ac:dyDescent="0.25">
      <c r="O3348" s="21"/>
      <c r="P3348" s="14"/>
      <c r="Q3348" s="21"/>
      <c r="R3348" s="97"/>
      <c r="S3348" s="106"/>
      <c r="T3348" s="28"/>
      <c r="U3348" s="97"/>
      <c r="V3348" s="111"/>
      <c r="W3348" s="28"/>
      <c r="X3348" s="97"/>
      <c r="Y3348" s="111"/>
      <c r="Z3348" s="28"/>
      <c r="AA3348" s="97"/>
      <c r="AB3348" s="111"/>
      <c r="AC3348" s="28"/>
      <c r="AD3348" s="97"/>
      <c r="AE3348" s="111"/>
      <c r="AF3348" s="28"/>
      <c r="AG3348" s="97"/>
      <c r="AH3348" s="111"/>
      <c r="AI3348" s="28"/>
      <c r="AJ3348" s="97"/>
      <c r="AK3348" s="111"/>
      <c r="AL3348" s="28"/>
      <c r="AM3348" s="97"/>
      <c r="AN3348" s="111"/>
      <c r="AO3348" s="28"/>
      <c r="AP3348" s="97"/>
      <c r="AQ3348" s="111"/>
      <c r="AR3348" s="28"/>
      <c r="AS3348" s="97"/>
      <c r="AT3348" s="111"/>
      <c r="AU3348" s="28"/>
    </row>
    <row r="3349" spans="15:47" x14ac:dyDescent="0.25">
      <c r="O3349" s="1"/>
      <c r="P3349" s="1"/>
      <c r="Q3349" s="1"/>
      <c r="R3349" s="98"/>
      <c r="S3349" s="108" t="s">
        <v>137</v>
      </c>
      <c r="T3349" s="26" t="s">
        <v>146</v>
      </c>
      <c r="U3349" s="98"/>
      <c r="V3349" s="108" t="s">
        <v>137</v>
      </c>
      <c r="W3349" s="26" t="s">
        <v>146</v>
      </c>
      <c r="X3349" s="98"/>
      <c r="Y3349" s="108" t="s">
        <v>137</v>
      </c>
      <c r="Z3349" s="26" t="s">
        <v>146</v>
      </c>
      <c r="AA3349" s="98"/>
      <c r="AB3349" s="108" t="s">
        <v>137</v>
      </c>
      <c r="AC3349" s="26" t="s">
        <v>146</v>
      </c>
      <c r="AD3349" s="98"/>
      <c r="AE3349" s="108" t="s">
        <v>137</v>
      </c>
      <c r="AF3349" s="26" t="s">
        <v>146</v>
      </c>
      <c r="AG3349" s="98"/>
      <c r="AH3349" s="108" t="s">
        <v>137</v>
      </c>
      <c r="AI3349" s="26" t="s">
        <v>146</v>
      </c>
      <c r="AJ3349" s="98"/>
      <c r="AK3349" s="108" t="s">
        <v>137</v>
      </c>
      <c r="AL3349" s="26" t="s">
        <v>146</v>
      </c>
      <c r="AM3349" s="98"/>
      <c r="AN3349" s="108" t="s">
        <v>137</v>
      </c>
      <c r="AO3349" s="26" t="s">
        <v>146</v>
      </c>
      <c r="AP3349" s="98"/>
      <c r="AQ3349" s="108" t="s">
        <v>137</v>
      </c>
      <c r="AR3349" s="26" t="s">
        <v>146</v>
      </c>
      <c r="AS3349" s="98"/>
      <c r="AT3349" s="108" t="s">
        <v>137</v>
      </c>
      <c r="AU3349" s="26" t="s">
        <v>146</v>
      </c>
    </row>
    <row r="3350" spans="15:47" ht="13.8" x14ac:dyDescent="0.25">
      <c r="O3350" s="20" t="s">
        <v>136</v>
      </c>
      <c r="P3350" s="1"/>
      <c r="Q3350" s="1"/>
      <c r="R3350" s="96">
        <f>R3336*1.02</f>
        <v>34795.843681712395</v>
      </c>
      <c r="S3350" s="109" t="s">
        <v>144</v>
      </c>
      <c r="T3350" s="23" t="s">
        <v>147</v>
      </c>
      <c r="U3350" s="96">
        <f ca="1">U3336*1.01</f>
        <v>123789.41504179515</v>
      </c>
      <c r="V3350" s="109" t="s">
        <v>144</v>
      </c>
      <c r="W3350" s="23" t="s">
        <v>147</v>
      </c>
      <c r="X3350" s="96">
        <f ca="1">X3336*1.01</f>
        <v>303114.80644696194</v>
      </c>
      <c r="Y3350" s="109" t="s">
        <v>144</v>
      </c>
      <c r="Z3350" s="23" t="s">
        <v>147</v>
      </c>
      <c r="AA3350" s="96">
        <f ca="1">AA3336*1.01</f>
        <v>590390.27429461898</v>
      </c>
      <c r="AB3350" s="109" t="s">
        <v>144</v>
      </c>
      <c r="AC3350" s="23" t="s">
        <v>147</v>
      </c>
      <c r="AD3350" s="96">
        <f ca="1">AD3336*1.01</f>
        <v>990491.22252355132</v>
      </c>
      <c r="AE3350" s="109" t="s">
        <v>144</v>
      </c>
      <c r="AF3350" s="23" t="s">
        <v>147</v>
      </c>
      <c r="AG3350" s="96">
        <f ca="1">AG3336*1.01</f>
        <v>1445648.9164324836</v>
      </c>
      <c r="AH3350" s="109" t="s">
        <v>144</v>
      </c>
      <c r="AI3350" s="23" t="s">
        <v>147</v>
      </c>
      <c r="AJ3350" s="96">
        <f ca="1">AJ3336*1.01</f>
        <v>1929224.0831343699</v>
      </c>
      <c r="AK3350" s="109" t="s">
        <v>144</v>
      </c>
      <c r="AL3350" s="23" t="s">
        <v>147</v>
      </c>
      <c r="AM3350" s="96">
        <f ca="1">AM3336*1.01</f>
        <v>2354020.0110683064</v>
      </c>
      <c r="AN3350" s="109" t="s">
        <v>144</v>
      </c>
      <c r="AO3350" s="23" t="s">
        <v>147</v>
      </c>
      <c r="AP3350" s="96">
        <f ca="1">AP3336*1.01</f>
        <v>2732944.1531700436</v>
      </c>
      <c r="AQ3350" s="109" t="s">
        <v>144</v>
      </c>
      <c r="AR3350" s="23" t="s">
        <v>147</v>
      </c>
      <c r="AS3350" s="96">
        <f ca="1">AS3336*1.01</f>
        <v>3204591.9517762749</v>
      </c>
      <c r="AT3350" s="109" t="s">
        <v>144</v>
      </c>
      <c r="AU3350" s="23" t="s">
        <v>147</v>
      </c>
    </row>
    <row r="3351" spans="15:47" x14ac:dyDescent="0.25">
      <c r="O3351" s="1"/>
      <c r="P3351" s="1"/>
      <c r="Q3351" s="1"/>
      <c r="R3351" s="98"/>
      <c r="S3351" s="107"/>
      <c r="T3351" s="1"/>
      <c r="U3351" s="47"/>
      <c r="V3351" s="107"/>
      <c r="W3351" s="1"/>
      <c r="X3351" s="47"/>
      <c r="Y3351" s="107"/>
      <c r="Z3351" s="1"/>
      <c r="AA3351" s="47"/>
      <c r="AB3351" s="107"/>
      <c r="AC3351" s="1"/>
      <c r="AD3351" s="47"/>
      <c r="AE3351" s="107"/>
      <c r="AF3351" s="1"/>
      <c r="AG3351" s="47"/>
      <c r="AH3351" s="107"/>
      <c r="AI3351" s="1"/>
      <c r="AJ3351" s="47"/>
      <c r="AK3351" s="107"/>
      <c r="AL3351" s="1"/>
      <c r="AM3351" s="47"/>
      <c r="AN3351" s="107"/>
      <c r="AO3351" s="1"/>
      <c r="AP3351" s="47"/>
      <c r="AQ3351" s="107"/>
      <c r="AR3351" s="1"/>
      <c r="AS3351" s="47"/>
      <c r="AT3351" s="107"/>
      <c r="AU3351" s="1"/>
    </row>
    <row r="3352" spans="15:47" x14ac:dyDescent="0.25">
      <c r="O3352" s="8" t="s">
        <v>132</v>
      </c>
      <c r="P3352" s="8"/>
      <c r="Q3352" s="8"/>
      <c r="R3352" s="96">
        <f>P_1_minQ-(R3350^2*R_up)+dpup_minQ</f>
        <v>89.964367997597364</v>
      </c>
      <c r="S3352" s="106"/>
      <c r="T3352" s="22"/>
      <c r="U3352" s="96">
        <f ca="1">P_1_minQ-(U3350^2*R_up)+dpup_minQ</f>
        <v>87.392107265859906</v>
      </c>
      <c r="V3352" s="107"/>
      <c r="W3352" s="1"/>
      <c r="X3352" s="96">
        <f ca="1">P_1_minQ-(X3350^2*R_up)+dpup_minQ</f>
        <v>73.439165746554195</v>
      </c>
      <c r="Y3352" s="107"/>
      <c r="Z3352" s="1"/>
      <c r="AA3352" s="96">
        <f ca="1">P_1_minQ-(AA3350^2*R_up)+dpup_minQ</f>
        <v>26.656054116967454</v>
      </c>
      <c r="AB3352" s="107"/>
      <c r="AC3352" s="1"/>
      <c r="AD3352" s="96">
        <f ca="1">P_1_minQ-(AD3350^2*R_up)+dpup_minQ</f>
        <v>-88.626193233606983</v>
      </c>
      <c r="AE3352" s="107"/>
      <c r="AF3352" s="1"/>
      <c r="AG3352" s="96">
        <f ca="1">P_1_minQ-(AG3350^2*R_up)+dpup_minQ</f>
        <v>-290.72218169891295</v>
      </c>
      <c r="AH3352" s="107"/>
      <c r="AI3352" s="1"/>
      <c r="AJ3352" s="96">
        <f ca="1">P_1_minQ-(AJ3350^2*R_up)+dpup_minQ</f>
        <v>-588.17285877662505</v>
      </c>
      <c r="AK3352" s="107"/>
      <c r="AL3352" s="1"/>
      <c r="AM3352" s="96">
        <f ca="1">P_1_minQ-(AM3350^2*R_up)+dpup_minQ</f>
        <v>-919.79743414084896</v>
      </c>
      <c r="AN3352" s="107"/>
      <c r="AO3352" s="1"/>
      <c r="AP3352" s="96">
        <f ca="1">P_1_minQ-(AP3350^2*R_up)+dpup_minQ</f>
        <v>-1271.1187424604361</v>
      </c>
      <c r="AQ3352" s="107"/>
      <c r="AR3352" s="1"/>
      <c r="AS3352" s="96">
        <f ca="1">P_1_minQ-(AS3350^2*R_up)+dpup_minQ</f>
        <v>-1781.5269065419157</v>
      </c>
      <c r="AT3352" s="107"/>
      <c r="AU3352" s="1"/>
    </row>
    <row r="3353" spans="15:47" x14ac:dyDescent="0.25">
      <c r="O3353" s="8" t="s">
        <v>134</v>
      </c>
      <c r="P3353" s="1"/>
      <c r="Q3353" s="8"/>
      <c r="R3353" s="97">
        <f>P_2_minQ+(R3350^2*R_dn)-dpdn_minQ</f>
        <v>60</v>
      </c>
      <c r="S3353" s="106"/>
      <c r="T3353" s="22"/>
      <c r="U3353" s="97">
        <f ca="1">P_2_minQ+(U3350^2*R_dn)-dpdn_minQ</f>
        <v>60</v>
      </c>
      <c r="V3353" s="107"/>
      <c r="W3353" s="1"/>
      <c r="X3353" s="97">
        <f ca="1">P_2_minQ+(X3350^2*R_dn)-dpdn_minQ</f>
        <v>60</v>
      </c>
      <c r="Y3353" s="107"/>
      <c r="Z3353" s="1"/>
      <c r="AA3353" s="97">
        <f ca="1">P_2_minQ+(AA3350^2*R_dn)-dpdn_minQ</f>
        <v>60</v>
      </c>
      <c r="AB3353" s="107"/>
      <c r="AC3353" s="1"/>
      <c r="AD3353" s="97">
        <f ca="1">P_2_minQ+(AD3350^2*R_dn)-dpdn_minQ</f>
        <v>60</v>
      </c>
      <c r="AE3353" s="107"/>
      <c r="AF3353" s="1"/>
      <c r="AG3353" s="97">
        <f ca="1">P_2_minQ+(AG3350^2*R_dn)-dpdn_minQ</f>
        <v>60</v>
      </c>
      <c r="AH3353" s="107"/>
      <c r="AI3353" s="1"/>
      <c r="AJ3353" s="97">
        <f ca="1">P_2_minQ+(AJ3350^2*R_dn)-dpdn_minQ</f>
        <v>60</v>
      </c>
      <c r="AK3353" s="107"/>
      <c r="AL3353" s="1"/>
      <c r="AM3353" s="97">
        <f ca="1">P_2_minQ+(AM3350^2*R_dn)-dpdn_minQ</f>
        <v>60</v>
      </c>
      <c r="AN3353" s="107"/>
      <c r="AO3353" s="1"/>
      <c r="AP3353" s="97">
        <f ca="1">P_2_minQ+(AP3350^2*R_dn)-dpdn_minQ</f>
        <v>60</v>
      </c>
      <c r="AQ3353" s="107"/>
      <c r="AR3353" s="1"/>
      <c r="AS3353" s="97">
        <f ca="1">P_2_minQ+(AS3350^2*R_dn)-dpdn_minQ</f>
        <v>60</v>
      </c>
      <c r="AT3353" s="107"/>
      <c r="AU3353" s="1"/>
    </row>
    <row r="3354" spans="15:47" x14ac:dyDescent="0.25">
      <c r="O3354" s="8" t="s">
        <v>138</v>
      </c>
      <c r="P3354" s="1"/>
      <c r="Q3354" s="8"/>
      <c r="R3354" s="97">
        <f>R3352-R3353</f>
        <v>29.964367997597364</v>
      </c>
      <c r="S3354" s="106"/>
      <c r="T3354" s="22"/>
      <c r="U3354" s="97">
        <f ca="1">U3352-U3353</f>
        <v>27.392107265859906</v>
      </c>
      <c r="V3354" s="110"/>
      <c r="W3354" s="25"/>
      <c r="X3354" s="97">
        <f ca="1">X3352-X3353</f>
        <v>13.439165746554195</v>
      </c>
      <c r="Y3354" s="110"/>
      <c r="Z3354" s="25"/>
      <c r="AA3354" s="97">
        <f ca="1">AA3352-AA3353</f>
        <v>-33.343945883032546</v>
      </c>
      <c r="AB3354" s="110"/>
      <c r="AC3354" s="25"/>
      <c r="AD3354" s="97">
        <f ca="1">AD3352-AD3353</f>
        <v>-148.62619323360698</v>
      </c>
      <c r="AE3354" s="110"/>
      <c r="AF3354" s="25"/>
      <c r="AG3354" s="97">
        <f ca="1">AG3352-AG3353</f>
        <v>-350.72218169891295</v>
      </c>
      <c r="AH3354" s="110"/>
      <c r="AI3354" s="25"/>
      <c r="AJ3354" s="97">
        <f ca="1">AJ3352-AJ3353</f>
        <v>-648.17285877662505</v>
      </c>
      <c r="AK3354" s="110"/>
      <c r="AL3354" s="25"/>
      <c r="AM3354" s="97">
        <f ca="1">AM3352-AM3353</f>
        <v>-979.79743414084896</v>
      </c>
      <c r="AN3354" s="110"/>
      <c r="AO3354" s="25"/>
      <c r="AP3354" s="97">
        <f ca="1">AP3352-AP3353</f>
        <v>-1331.1187424604361</v>
      </c>
      <c r="AQ3354" s="110"/>
      <c r="AR3354" s="25"/>
      <c r="AS3354" s="97">
        <f ca="1">AS3352-AS3353</f>
        <v>-1841.5269065419157</v>
      </c>
      <c r="AT3354" s="110"/>
      <c r="AU3354" s="25"/>
    </row>
    <row r="3355" spans="15:47" ht="14.4" x14ac:dyDescent="0.3">
      <c r="O3355" s="2" t="s">
        <v>140</v>
      </c>
      <c r="P3355" s="11"/>
      <c r="Q3355" s="2"/>
      <c r="R3355" s="96">
        <f>R3354/R3352</f>
        <v>0.3330692880363213</v>
      </c>
      <c r="S3355" s="106"/>
      <c r="T3355" s="22"/>
      <c r="U3355" s="96">
        <f ca="1">U3354/U3352</f>
        <v>0.3134391436806645</v>
      </c>
      <c r="V3355" s="111"/>
      <c r="W3355" s="28"/>
      <c r="X3355" s="96">
        <f ca="1">X3354/X3352</f>
        <v>0.18299725507413961</v>
      </c>
      <c r="Y3355" s="111"/>
      <c r="Z3355" s="28"/>
      <c r="AA3355" s="96">
        <f ca="1">AA3354/AA3352</f>
        <v>-1.250895790379118</v>
      </c>
      <c r="AB3355" s="111"/>
      <c r="AC3355" s="28"/>
      <c r="AD3355" s="96">
        <f ca="1">AD3354/AD3352</f>
        <v>1.6770007580247512</v>
      </c>
      <c r="AE3355" s="111"/>
      <c r="AF3355" s="28"/>
      <c r="AG3355" s="96">
        <f ca="1">AG3354/AG3352</f>
        <v>1.2063826009056959</v>
      </c>
      <c r="AH3355" s="111"/>
      <c r="AI3355" s="28"/>
      <c r="AJ3355" s="96">
        <f ca="1">AJ3354/AJ3352</f>
        <v>1.1020108274373583</v>
      </c>
      <c r="AK3355" s="111"/>
      <c r="AL3355" s="28"/>
      <c r="AM3355" s="96">
        <f ca="1">AM3354/AM3352</f>
        <v>1.0652317540503295</v>
      </c>
      <c r="AN3355" s="111"/>
      <c r="AO3355" s="28"/>
      <c r="AP3355" s="96">
        <f ca="1">AP3354/AP3352</f>
        <v>1.0472025138138246</v>
      </c>
      <c r="AQ3355" s="111"/>
      <c r="AR3355" s="28"/>
      <c r="AS3355" s="96">
        <f ca="1">AS3354/AS3352</f>
        <v>1.0336789749173447</v>
      </c>
      <c r="AT3355" s="111"/>
      <c r="AU3355" s="28"/>
    </row>
    <row r="3356" spans="15:47" x14ac:dyDescent="0.25">
      <c r="O3356" s="2" t="s">
        <v>21</v>
      </c>
      <c r="P3356" s="8">
        <v>12</v>
      </c>
      <c r="Q3356" s="2"/>
      <c r="R3356" s="96">
        <f ca="1">1-R3355/(3*F_GAMMA*R$29)</f>
        <v>0.82653446169234135</v>
      </c>
      <c r="S3356" s="106"/>
      <c r="T3356" s="22"/>
      <c r="U3356" s="96">
        <f ca="1">1-U3355/(3*F_GAMMA*U$29)</f>
        <v>0.83679594438018268</v>
      </c>
      <c r="V3356" s="111"/>
      <c r="W3356" s="28"/>
      <c r="X3356" s="96">
        <f ca="1">1-X3355/(3*F_GAMMA*X$29)</f>
        <v>0.9038079816897272</v>
      </c>
      <c r="Y3356" s="111"/>
      <c r="Z3356" s="28"/>
      <c r="AA3356" s="96">
        <f ca="1">1-AA3355/(3*F_GAMMA*AA$29)</f>
        <v>1.6667986277647309</v>
      </c>
      <c r="AB3356" s="111"/>
      <c r="AC3356" s="28"/>
      <c r="AD3356" s="96">
        <f ca="1">1-AD3355/(3*F_GAMMA*AD$29)</f>
        <v>7.8338462321390745E-2</v>
      </c>
      <c r="AE3356" s="111"/>
      <c r="AF3356" s="28"/>
      <c r="AG3356" s="96">
        <f ca="1">1-AG3355/(3*F_GAMMA*AG$29)</f>
        <v>0.29720013946624135</v>
      </c>
      <c r="AH3356" s="111"/>
      <c r="AI3356" s="28"/>
      <c r="AJ3356" s="96">
        <f ca="1">1-AJ3355/(3*F_GAMMA*AJ$29)</f>
        <v>0.30929997447518431</v>
      </c>
      <c r="AK3356" s="111"/>
      <c r="AL3356" s="28"/>
      <c r="AM3356" s="96">
        <f ca="1">1-AM3355/(3*F_GAMMA*AM$29)</f>
        <v>0.25351422110878818</v>
      </c>
      <c r="AN3356" s="111"/>
      <c r="AO3356" s="28"/>
      <c r="AP3356" s="96">
        <f ca="1">1-AP3355/(3*F_GAMMA*AP$29)</f>
        <v>0.408902751548189</v>
      </c>
      <c r="AQ3356" s="111"/>
      <c r="AR3356" s="28"/>
      <c r="AS3356" s="96">
        <f ca="1">1-AS3355/(3*F_GAMMA*AS$29)</f>
        <v>8.5296399978380677E-2</v>
      </c>
      <c r="AT3356" s="111"/>
      <c r="AU3356" s="28"/>
    </row>
    <row r="3357" spans="15:47" x14ac:dyDescent="0.25">
      <c r="O3357" s="2" t="s">
        <v>57</v>
      </c>
      <c r="P3357" s="143">
        <v>7</v>
      </c>
      <c r="Q3357" s="2"/>
      <c r="R3357" s="96">
        <f ca="1">(R3350/(N_9*R$27*R3352*R3356))*SQRT(M*'Valve Sizing'!$W$6*'Valve Sizing'!$G$8/R3355)</f>
        <v>14.106348591821044</v>
      </c>
      <c r="S3357" s="107"/>
      <c r="T3357" s="22"/>
      <c r="U3357" s="96">
        <f ca="1">(U3350/(N_9*U$27*U3352*U3356))*SQRT(M*'Valve Sizing'!$W$6*'Valve Sizing'!$G$8/U3355)</f>
        <v>52.636380118861652</v>
      </c>
      <c r="V3357" s="111"/>
      <c r="W3357" s="28"/>
      <c r="X3357" s="96">
        <f ca="1">(X3350/(N_9*X$27*X3352*X3356))*SQRT(M*'Valve Sizing'!$W$6*'Valve Sizing'!$G$8/X3355)</f>
        <v>186.27323396147332</v>
      </c>
      <c r="Y3357" s="111"/>
      <c r="Z3357" s="28"/>
      <c r="AA3357" s="96" t="e">
        <f ca="1">(AA3350/(N_9*AA$27*AA3352*AA3356))*SQRT(M*'Valve Sizing'!$W$6*'Valve Sizing'!$G$8/AA3355)</f>
        <v>#NUM!</v>
      </c>
      <c r="AB3357" s="111"/>
      <c r="AC3357" s="28"/>
      <c r="AD3357" s="96">
        <f ca="1">(AD3350/(N_9*AD$27*AD3352*AD3356))*SQRT(M*'Valve Sizing'!$W$6*'Valve Sizing'!$G$8/AD3355)</f>
        <v>-1957.6402683859601</v>
      </c>
      <c r="AE3357" s="111"/>
      <c r="AF3357" s="28"/>
      <c r="AG3357" s="96">
        <f ca="1">(AG3350/(N_9*AG$27*AG3352*AG3356))*SQRT(M*'Valve Sizing'!$W$6*'Valve Sizing'!$G$8/AG3355)</f>
        <v>-276.78621972344661</v>
      </c>
      <c r="AH3357" s="111"/>
      <c r="AI3357" s="28"/>
      <c r="AJ3357" s="96">
        <f ca="1">(AJ3350/(N_9*AJ$27*AJ3352*AJ3356))*SQRT(M*'Valve Sizing'!$W$6*'Valve Sizing'!$G$8/AJ3355)</f>
        <v>-190.18631268351714</v>
      </c>
      <c r="AK3357" s="111"/>
      <c r="AL3357" s="28"/>
      <c r="AM3357" s="96">
        <f ca="1">(AM3350/(N_9*AM$27*AM3352*AM3356))*SQRT(M*'Valve Sizing'!$W$6*'Valve Sizing'!$G$8/AM3355)</f>
        <v>-195.38294406794478</v>
      </c>
      <c r="AN3357" s="111"/>
      <c r="AO3357" s="28"/>
      <c r="AP3357" s="96">
        <f ca="1">(AP3350/(N_9*AP$27*AP3352*AP3356))*SQRT(M*'Valve Sizing'!$W$6*'Valve Sizing'!$G$8/AP3355)</f>
        <v>-116.82043009630506</v>
      </c>
      <c r="AQ3357" s="111"/>
      <c r="AR3357" s="28"/>
      <c r="AS3357" s="96">
        <f ca="1">(AS3350/(N_9*AS$27*AS3352*AS3356))*SQRT(M*'Valve Sizing'!$W$6*'Valve Sizing'!$G$8/AS3355)</f>
        <v>-631.64544038957069</v>
      </c>
      <c r="AT3357" s="111"/>
      <c r="AU3357" s="28"/>
    </row>
    <row r="3358" spans="15:47" x14ac:dyDescent="0.25">
      <c r="O3358" s="2" t="s">
        <v>59</v>
      </c>
      <c r="P3358" s="143">
        <v>7</v>
      </c>
      <c r="Q3358" s="2"/>
      <c r="R3358" s="96">
        <f ca="1">(R3350/(N_9*R$27*R3352*0.667))*SQRT(M*'Valve Sizing'!$W$6*'Valve Sizing'!$G$8/R3359)</f>
        <v>12.610054836765128</v>
      </c>
      <c r="S3358" s="107"/>
      <c r="T3358" s="22"/>
      <c r="U3358" s="96">
        <f ca="1">(U3350/(N_9*U$27*U3352*0.667))*SQRT(M*'Valve Sizing'!$W$6*'Valve Sizing'!$G$8/U3359)</f>
        <v>46.206795220840938</v>
      </c>
      <c r="V3358" s="111"/>
      <c r="W3358" s="28"/>
      <c r="X3358" s="96">
        <f ca="1">(X3350/(N_9*X$27*X3352*0.667))*SQRT(M*'Valve Sizing'!$W$6*'Valve Sizing'!$G$8/X3359)</f>
        <v>135.59102350094167</v>
      </c>
      <c r="Y3358" s="111"/>
      <c r="Z3358" s="28"/>
      <c r="AA3358" s="96">
        <f ca="1">(AA3350/(N_9*AA$27*AA3352*0.667))*SQRT(M*'Valve Sizing'!$W$6*'Valve Sizing'!$G$8/AA3359)</f>
        <v>737.06200967790176</v>
      </c>
      <c r="AB3358" s="111"/>
      <c r="AC3358" s="28"/>
      <c r="AD3358" s="96">
        <f ca="1">(AD3350/(N_9*AD$27*AD3352*0.667))*SQRT(M*'Valve Sizing'!$W$6*'Valve Sizing'!$G$8/AD3359)</f>
        <v>-382.32126808748995</v>
      </c>
      <c r="AE3358" s="111"/>
      <c r="AF3358" s="28"/>
      <c r="AG3358" s="96">
        <f ca="1">(AG3350/(N_9*AG$27*AG3352*0.667))*SQRT(M*'Valve Sizing'!$W$6*'Valve Sizing'!$G$8/AG3359)</f>
        <v>-179.07876880561719</v>
      </c>
      <c r="AH3358" s="111"/>
      <c r="AI3358" s="28"/>
      <c r="AJ3358" s="96">
        <f ca="1">(AJ3350/(N_9*AJ$27*AJ3352*0.667))*SQRT(M*'Valve Sizing'!$W$6*'Valve Sizing'!$G$8/AJ3359)</f>
        <v>-126.95174420754903</v>
      </c>
      <c r="AK3358" s="111"/>
      <c r="AL3358" s="28"/>
      <c r="AM3358" s="96">
        <f ca="1">(AM3350/(N_9*AM$27*AM3352*0.667))*SQRT(M*'Valve Sizing'!$W$6*'Valve Sizing'!$G$8/AM3359)</f>
        <v>-111.13082502955312</v>
      </c>
      <c r="AN3358" s="111"/>
      <c r="AO3358" s="28"/>
      <c r="AP3358" s="96">
        <f ca="1">(AP3350/(N_9*AP$27*AP3352*0.667))*SQRT(M*'Valve Sizing'!$W$6*'Valve Sizing'!$G$8/AP3359)</f>
        <v>-95.368092482354555</v>
      </c>
      <c r="AQ3358" s="111"/>
      <c r="AR3358" s="28"/>
      <c r="AS3358" s="96">
        <f ca="1">(AS3350/(N_9*AS$27*AS3352*0.667))*SQRT(M*'Valve Sizing'!$W$6*'Valve Sizing'!$G$8/AS3359)</f>
        <v>-133.80706810172973</v>
      </c>
      <c r="AT3358" s="111"/>
      <c r="AU3358" s="28"/>
    </row>
    <row r="3359" spans="15:47" ht="15.6" x14ac:dyDescent="0.35">
      <c r="O3359" s="2" t="s">
        <v>68</v>
      </c>
      <c r="P3359" s="143">
        <v>10</v>
      </c>
      <c r="Q3359" s="2"/>
      <c r="R3359" s="96">
        <f ca="1">F_GAMMA*R$29</f>
        <v>0.64002969751372984</v>
      </c>
      <c r="S3359" s="107"/>
      <c r="T3359" s="1"/>
      <c r="U3359" s="96">
        <f ca="1">F_GAMMA*U$29</f>
        <v>0.64017842058782071</v>
      </c>
      <c r="V3359" s="111"/>
      <c r="W3359" s="28"/>
      <c r="X3359" s="96">
        <f ca="1">F_GAMMA*X$29</f>
        <v>0.63413873724904268</v>
      </c>
      <c r="Y3359" s="111"/>
      <c r="Z3359" s="28"/>
      <c r="AA3359" s="96">
        <f ca="1">F_GAMMA*AA$29</f>
        <v>0.62532411750377137</v>
      </c>
      <c r="AB3359" s="111"/>
      <c r="AC3359" s="28"/>
      <c r="AD3359" s="96">
        <f ca="1">F_GAMMA*AD$29</f>
        <v>0.60651359509139569</v>
      </c>
      <c r="AE3359" s="111"/>
      <c r="AF3359" s="28"/>
      <c r="AG3359" s="96">
        <f ca="1">F_GAMMA*AG$29</f>
        <v>0.57217930198481592</v>
      </c>
      <c r="AH3359" s="111"/>
      <c r="AI3359" s="28"/>
      <c r="AJ3359" s="96">
        <f ca="1">F_GAMMA*AJ$29</f>
        <v>0.53183282018848232</v>
      </c>
      <c r="AK3359" s="111"/>
      <c r="AL3359" s="28"/>
      <c r="AM3359" s="96">
        <f ca="1">F_GAMMA*AM$29</f>
        <v>0.47566512503094399</v>
      </c>
      <c r="AN3359" s="111"/>
      <c r="AO3359" s="28"/>
      <c r="AP3359" s="96">
        <f ca="1">F_GAMMA*AP$29</f>
        <v>0.59054158265645496</v>
      </c>
      <c r="AQ3359" s="111"/>
      <c r="AR3359" s="28"/>
      <c r="AS3359" s="96">
        <f ca="1">F_GAMMA*AS$29</f>
        <v>0.3766899554102966</v>
      </c>
      <c r="AT3359" s="111"/>
      <c r="AU3359" s="28"/>
    </row>
    <row r="3360" spans="15:47" x14ac:dyDescent="0.25">
      <c r="O3360" s="2" t="s">
        <v>145</v>
      </c>
      <c r="P3360" s="12"/>
      <c r="Q3360" s="2"/>
      <c r="R3360" s="96">
        <f ca="1">IF(R3355&lt;R3359,R3357,R3358)</f>
        <v>14.106348591821044</v>
      </c>
      <c r="S3360" s="116"/>
      <c r="T3360" s="1"/>
      <c r="U3360" s="96">
        <f ca="1">IF(U3355&lt;U3359,U3357,U3358)</f>
        <v>52.636380118861652</v>
      </c>
      <c r="V3360" s="111"/>
      <c r="W3360" s="28"/>
      <c r="X3360" s="96">
        <f ca="1">IF(X3355&lt;X3359,X3357,X3358)</f>
        <v>186.27323396147332</v>
      </c>
      <c r="Y3360" s="111"/>
      <c r="Z3360" s="28"/>
      <c r="AA3360" s="96" t="e">
        <f ca="1">IF(AA3355&lt;AA3359,AA3357,AA3358)</f>
        <v>#NUM!</v>
      </c>
      <c r="AB3360" s="111"/>
      <c r="AC3360" s="28"/>
      <c r="AD3360" s="96">
        <f ca="1">IF(AD3355&lt;AD3359,AD3357,AD3358)</f>
        <v>-382.32126808748995</v>
      </c>
      <c r="AE3360" s="111"/>
      <c r="AF3360" s="28"/>
      <c r="AG3360" s="96">
        <f ca="1">IF(AG3355&lt;AG3359,AG3357,AG3358)</f>
        <v>-179.07876880561719</v>
      </c>
      <c r="AH3360" s="111"/>
      <c r="AI3360" s="28"/>
      <c r="AJ3360" s="96">
        <f ca="1">IF(AJ3355&lt;AJ3359,AJ3357,AJ3358)</f>
        <v>-126.95174420754903</v>
      </c>
      <c r="AK3360" s="111"/>
      <c r="AL3360" s="28"/>
      <c r="AM3360" s="96">
        <f ca="1">IF(AM3355&lt;AM3359,AM3357,AM3358)</f>
        <v>-111.13082502955312</v>
      </c>
      <c r="AN3360" s="111"/>
      <c r="AO3360" s="28"/>
      <c r="AP3360" s="96">
        <f ca="1">IF(AP3355&lt;AP3359,AP3357,AP3358)</f>
        <v>-95.368092482354555</v>
      </c>
      <c r="AQ3360" s="111"/>
      <c r="AR3360" s="28"/>
      <c r="AS3360" s="96">
        <f ca="1">IF(AS3355&lt;AS3359,AS3357,AS3358)</f>
        <v>-133.80706810172973</v>
      </c>
      <c r="AT3360" s="111"/>
      <c r="AU3360" s="28"/>
    </row>
    <row r="3361" spans="15:47" x14ac:dyDescent="0.25">
      <c r="O3361" s="13" t="s">
        <v>143</v>
      </c>
      <c r="P3361" s="1"/>
      <c r="Q3361" s="1"/>
      <c r="R3361" s="113"/>
      <c r="S3361" s="106">
        <f ca="1">IF(R3354&lt;=0,Q_max,ABS(R$23-R3360))</f>
        <v>9.3763485918210439</v>
      </c>
      <c r="T3361" s="7">
        <f>R3350</f>
        <v>34795.843681712395</v>
      </c>
      <c r="U3361" s="98"/>
      <c r="V3361" s="106">
        <f ca="1">IF(U3354&lt;=0,Q_max,ABS(U$23-U3360))</f>
        <v>41.036380118861651</v>
      </c>
      <c r="W3361" s="9">
        <f ca="1">U3350</f>
        <v>123789.41504179515</v>
      </c>
      <c r="X3361" s="98"/>
      <c r="Y3361" s="106">
        <f ca="1">IF(X3354&lt;=0,Q_max,ABS(X$23-X3360))</f>
        <v>163.27323396147332</v>
      </c>
      <c r="Z3361" s="9">
        <f ca="1">X3350</f>
        <v>303114.80644696194</v>
      </c>
      <c r="AA3361" s="98"/>
      <c r="AB3361" s="106">
        <f ca="1">IF(AA3354&lt;=0,Q_max,ABS(AA$23-AA3360))</f>
        <v>236393</v>
      </c>
      <c r="AC3361" s="9">
        <f ca="1">AA3350</f>
        <v>590390.27429461898</v>
      </c>
      <c r="AD3361" s="98"/>
      <c r="AE3361" s="106">
        <f ca="1">IF(AD3354&lt;=0,Q_max,ABS(AD$23-AD3360))</f>
        <v>236393</v>
      </c>
      <c r="AF3361" s="9">
        <f ca="1">AD3350</f>
        <v>990491.22252355132</v>
      </c>
      <c r="AG3361" s="98"/>
      <c r="AH3361" s="106">
        <f ca="1">IF(AG3354&lt;=0,Q_max,ABS(AG$23-AG3360))</f>
        <v>236393</v>
      </c>
      <c r="AI3361" s="9">
        <f ca="1">AG3350</f>
        <v>1445648.9164324836</v>
      </c>
      <c r="AJ3361" s="98"/>
      <c r="AK3361" s="106">
        <f ca="1">IF(AJ3354&lt;=0,Q_max,ABS(AJ$23-AJ3360))</f>
        <v>236393</v>
      </c>
      <c r="AL3361" s="9">
        <f ca="1">AJ3350</f>
        <v>1929224.0831343699</v>
      </c>
      <c r="AM3361" s="98"/>
      <c r="AN3361" s="106">
        <f ca="1">IF(AM3354&lt;=0,Q_max,ABS(AM$23-AM3360))</f>
        <v>236393</v>
      </c>
      <c r="AO3361" s="9">
        <f ca="1">AM3350</f>
        <v>2354020.0110683064</v>
      </c>
      <c r="AP3361" s="98"/>
      <c r="AQ3361" s="106">
        <f ca="1">IF(AP3354&lt;=0,Q_max,ABS(AP$23-AP3360))</f>
        <v>236393</v>
      </c>
      <c r="AR3361" s="9">
        <f ca="1">AP3350</f>
        <v>2732944.1531700436</v>
      </c>
      <c r="AS3361" s="98"/>
      <c r="AT3361" s="106">
        <f ca="1">IF(AS3354&lt;=0,Q_max,ABS(AS$23-AS3360))</f>
        <v>236393</v>
      </c>
      <c r="AU3361" s="9">
        <f ca="1">AS3350</f>
        <v>3204591.9517762749</v>
      </c>
    </row>
    <row r="3362" spans="15:47" x14ac:dyDescent="0.25">
      <c r="O3362" s="21"/>
      <c r="P3362" s="14"/>
      <c r="Q3362" s="21"/>
      <c r="R3362" s="97"/>
      <c r="S3362" s="106"/>
      <c r="T3362" s="28"/>
      <c r="U3362" s="97"/>
      <c r="V3362" s="111"/>
      <c r="W3362" s="28"/>
      <c r="X3362" s="97"/>
      <c r="Y3362" s="111"/>
      <c r="Z3362" s="28"/>
      <c r="AA3362" s="97"/>
      <c r="AB3362" s="111"/>
      <c r="AC3362" s="28"/>
      <c r="AD3362" s="97"/>
      <c r="AE3362" s="111"/>
      <c r="AF3362" s="28"/>
      <c r="AG3362" s="97"/>
      <c r="AH3362" s="111"/>
      <c r="AI3362" s="28"/>
      <c r="AJ3362" s="97"/>
      <c r="AK3362" s="111"/>
      <c r="AL3362" s="28"/>
      <c r="AM3362" s="97"/>
      <c r="AN3362" s="111"/>
      <c r="AO3362" s="28"/>
      <c r="AP3362" s="97"/>
      <c r="AQ3362" s="111"/>
      <c r="AR3362" s="28"/>
      <c r="AS3362" s="97"/>
      <c r="AT3362" s="111"/>
      <c r="AU3362" s="28"/>
    </row>
    <row r="3363" spans="15:47" x14ac:dyDescent="0.25">
      <c r="O3363" s="1"/>
      <c r="P3363" s="1"/>
      <c r="Q3363" s="1"/>
      <c r="R3363" s="98"/>
      <c r="S3363" s="108" t="s">
        <v>137</v>
      </c>
      <c r="T3363" s="26" t="s">
        <v>146</v>
      </c>
      <c r="U3363" s="98"/>
      <c r="V3363" s="108" t="s">
        <v>137</v>
      </c>
      <c r="W3363" s="26" t="s">
        <v>146</v>
      </c>
      <c r="X3363" s="98"/>
      <c r="Y3363" s="108" t="s">
        <v>137</v>
      </c>
      <c r="Z3363" s="26" t="s">
        <v>146</v>
      </c>
      <c r="AA3363" s="98"/>
      <c r="AB3363" s="108" t="s">
        <v>137</v>
      </c>
      <c r="AC3363" s="26" t="s">
        <v>146</v>
      </c>
      <c r="AD3363" s="98"/>
      <c r="AE3363" s="108" t="s">
        <v>137</v>
      </c>
      <c r="AF3363" s="26" t="s">
        <v>146</v>
      </c>
      <c r="AG3363" s="98"/>
      <c r="AH3363" s="108" t="s">
        <v>137</v>
      </c>
      <c r="AI3363" s="26" t="s">
        <v>146</v>
      </c>
      <c r="AJ3363" s="98"/>
      <c r="AK3363" s="108" t="s">
        <v>137</v>
      </c>
      <c r="AL3363" s="26" t="s">
        <v>146</v>
      </c>
      <c r="AM3363" s="98"/>
      <c r="AN3363" s="108" t="s">
        <v>137</v>
      </c>
      <c r="AO3363" s="26" t="s">
        <v>146</v>
      </c>
      <c r="AP3363" s="98"/>
      <c r="AQ3363" s="108" t="s">
        <v>137</v>
      </c>
      <c r="AR3363" s="26" t="s">
        <v>146</v>
      </c>
      <c r="AS3363" s="98"/>
      <c r="AT3363" s="108" t="s">
        <v>137</v>
      </c>
      <c r="AU3363" s="26" t="s">
        <v>146</v>
      </c>
    </row>
    <row r="3364" spans="15:47" ht="13.8" x14ac:dyDescent="0.25">
      <c r="O3364" s="20" t="s">
        <v>136</v>
      </c>
      <c r="P3364" s="1"/>
      <c r="Q3364" s="1"/>
      <c r="R3364" s="96">
        <f>R3350*1.02</f>
        <v>35491.760555346642</v>
      </c>
      <c r="S3364" s="109" t="s">
        <v>144</v>
      </c>
      <c r="T3364" s="23" t="s">
        <v>147</v>
      </c>
      <c r="U3364" s="96">
        <f ca="1">U3350*1.01</f>
        <v>125027.3091922131</v>
      </c>
      <c r="V3364" s="109" t="s">
        <v>144</v>
      </c>
      <c r="W3364" s="23" t="s">
        <v>147</v>
      </c>
      <c r="X3364" s="96">
        <f ca="1">X3350*1.01</f>
        <v>306145.95451143157</v>
      </c>
      <c r="Y3364" s="109" t="s">
        <v>144</v>
      </c>
      <c r="Z3364" s="23" t="s">
        <v>147</v>
      </c>
      <c r="AA3364" s="96">
        <f ca="1">AA3350*1.01</f>
        <v>596294.17703756515</v>
      </c>
      <c r="AB3364" s="109" t="s">
        <v>144</v>
      </c>
      <c r="AC3364" s="23" t="s">
        <v>147</v>
      </c>
      <c r="AD3364" s="96">
        <f ca="1">AD3350*1.01</f>
        <v>1000396.1347487868</v>
      </c>
      <c r="AE3364" s="109" t="s">
        <v>144</v>
      </c>
      <c r="AF3364" s="23" t="s">
        <v>147</v>
      </c>
      <c r="AG3364" s="96">
        <f ca="1">AG3350*1.01</f>
        <v>1460105.4055968085</v>
      </c>
      <c r="AH3364" s="109" t="s">
        <v>144</v>
      </c>
      <c r="AI3364" s="23" t="s">
        <v>147</v>
      </c>
      <c r="AJ3364" s="96">
        <f ca="1">AJ3350*1.01</f>
        <v>1948516.3239657136</v>
      </c>
      <c r="AK3364" s="109" t="s">
        <v>144</v>
      </c>
      <c r="AL3364" s="23" t="s">
        <v>147</v>
      </c>
      <c r="AM3364" s="96">
        <f ca="1">AM3350*1.01</f>
        <v>2377560.2111789896</v>
      </c>
      <c r="AN3364" s="109" t="s">
        <v>144</v>
      </c>
      <c r="AO3364" s="23" t="s">
        <v>147</v>
      </c>
      <c r="AP3364" s="96">
        <f ca="1">AP3350*1.01</f>
        <v>2760273.5947017442</v>
      </c>
      <c r="AQ3364" s="109" t="s">
        <v>144</v>
      </c>
      <c r="AR3364" s="23" t="s">
        <v>147</v>
      </c>
      <c r="AS3364" s="96">
        <f ca="1">AS3350*1.01</f>
        <v>3236637.8712940379</v>
      </c>
      <c r="AT3364" s="109" t="s">
        <v>144</v>
      </c>
      <c r="AU3364" s="23" t="s">
        <v>147</v>
      </c>
    </row>
    <row r="3365" spans="15:47" x14ac:dyDescent="0.25">
      <c r="O3365" s="1"/>
      <c r="P3365" s="1"/>
      <c r="Q3365" s="1"/>
      <c r="R3365" s="98"/>
      <c r="S3365" s="107"/>
      <c r="T3365" s="1"/>
      <c r="U3365" s="47"/>
      <c r="V3365" s="107"/>
      <c r="W3365" s="1"/>
      <c r="X3365" s="47"/>
      <c r="Y3365" s="107"/>
      <c r="Z3365" s="1"/>
      <c r="AA3365" s="47"/>
      <c r="AB3365" s="107"/>
      <c r="AC3365" s="1"/>
      <c r="AD3365" s="47"/>
      <c r="AE3365" s="107"/>
      <c r="AF3365" s="1"/>
      <c r="AG3365" s="47"/>
      <c r="AH3365" s="107"/>
      <c r="AI3365" s="1"/>
      <c r="AJ3365" s="47"/>
      <c r="AK3365" s="107"/>
      <c r="AL3365" s="1"/>
      <c r="AM3365" s="47"/>
      <c r="AN3365" s="107"/>
      <c r="AO3365" s="1"/>
      <c r="AP3365" s="47"/>
      <c r="AQ3365" s="107"/>
      <c r="AR3365" s="1"/>
      <c r="AS3365" s="47"/>
      <c r="AT3365" s="107"/>
      <c r="AU3365" s="1"/>
    </row>
    <row r="3366" spans="15:47" x14ac:dyDescent="0.25">
      <c r="O3366" s="8" t="s">
        <v>132</v>
      </c>
      <c r="P3366" s="8"/>
      <c r="Q3366" s="8"/>
      <c r="R3366" s="96">
        <f>P_1_minQ-(R3364^2*R_up)+dpup_minQ</f>
        <v>89.955452827277981</v>
      </c>
      <c r="S3366" s="106"/>
      <c r="T3366" s="22"/>
      <c r="U3366" s="96">
        <f ca="1">P_1_minQ-(U3364^2*R_up)+dpup_minQ</f>
        <v>87.335969307245563</v>
      </c>
      <c r="V3366" s="107"/>
      <c r="W3366" s="1"/>
      <c r="X3366" s="96">
        <f ca="1">P_1_minQ-(X3364^2*R_up)+dpup_minQ</f>
        <v>73.102573663401799</v>
      </c>
      <c r="Y3366" s="107"/>
      <c r="Z3366" s="1"/>
      <c r="AA3366" s="96">
        <f ca="1">P_1_minQ-(AA3364^2*R_up)+dpup_minQ</f>
        <v>25.379121490060371</v>
      </c>
      <c r="AB3366" s="107"/>
      <c r="AC3366" s="1"/>
      <c r="AD3366" s="96">
        <f ca="1">P_1_minQ-(AD3364^2*R_up)+dpup_minQ</f>
        <v>-92.220299032260613</v>
      </c>
      <c r="AE3366" s="107"/>
      <c r="AF3366" s="1"/>
      <c r="AG3366" s="96">
        <f ca="1">P_1_minQ-(AG3364^2*R_up)+dpup_minQ</f>
        <v>-298.37841686571926</v>
      </c>
      <c r="AH3366" s="107"/>
      <c r="AI3366" s="1"/>
      <c r="AJ3366" s="96">
        <f ca="1">P_1_minQ-(AJ3364^2*R_up)+dpup_minQ</f>
        <v>-601.80785255269336</v>
      </c>
      <c r="AK3366" s="107"/>
      <c r="AL3366" s="1"/>
      <c r="AM3366" s="96">
        <f ca="1">P_1_minQ-(AM3364^2*R_up)+dpup_minQ</f>
        <v>-940.09808188173815</v>
      </c>
      <c r="AN3366" s="107"/>
      <c r="AO3366" s="1"/>
      <c r="AP3366" s="96">
        <f ca="1">P_1_minQ-(AP3364^2*R_up)+dpup_minQ</f>
        <v>-1298.480948498549</v>
      </c>
      <c r="AQ3366" s="107"/>
      <c r="AR3366" s="1"/>
      <c r="AS3366" s="96">
        <f ca="1">P_1_minQ-(AS3364^2*R_up)+dpup_minQ</f>
        <v>-1819.1483166780665</v>
      </c>
      <c r="AT3366" s="107"/>
      <c r="AU3366" s="1"/>
    </row>
    <row r="3367" spans="15:47" x14ac:dyDescent="0.25">
      <c r="O3367" s="8" t="s">
        <v>134</v>
      </c>
      <c r="P3367" s="1"/>
      <c r="Q3367" s="8"/>
      <c r="R3367" s="97">
        <f>P_2_minQ+(R3364^2*R_dn)-dpdn_minQ</f>
        <v>60</v>
      </c>
      <c r="S3367" s="106"/>
      <c r="T3367" s="22"/>
      <c r="U3367" s="97">
        <f ca="1">P_2_minQ+(U3364^2*R_dn)-dpdn_minQ</f>
        <v>60</v>
      </c>
      <c r="V3367" s="107"/>
      <c r="W3367" s="1"/>
      <c r="X3367" s="97">
        <f ca="1">P_2_minQ+(X3364^2*R_dn)-dpdn_minQ</f>
        <v>60</v>
      </c>
      <c r="Y3367" s="107"/>
      <c r="Z3367" s="1"/>
      <c r="AA3367" s="97">
        <f ca="1">P_2_minQ+(AA3364^2*R_dn)-dpdn_minQ</f>
        <v>60</v>
      </c>
      <c r="AB3367" s="107"/>
      <c r="AC3367" s="1"/>
      <c r="AD3367" s="97">
        <f ca="1">P_2_minQ+(AD3364^2*R_dn)-dpdn_minQ</f>
        <v>60</v>
      </c>
      <c r="AE3367" s="107"/>
      <c r="AF3367" s="1"/>
      <c r="AG3367" s="97">
        <f ca="1">P_2_minQ+(AG3364^2*R_dn)-dpdn_minQ</f>
        <v>60</v>
      </c>
      <c r="AH3367" s="107"/>
      <c r="AI3367" s="1"/>
      <c r="AJ3367" s="97">
        <f ca="1">P_2_minQ+(AJ3364^2*R_dn)-dpdn_minQ</f>
        <v>60</v>
      </c>
      <c r="AK3367" s="107"/>
      <c r="AL3367" s="1"/>
      <c r="AM3367" s="97">
        <f ca="1">P_2_minQ+(AM3364^2*R_dn)-dpdn_minQ</f>
        <v>60</v>
      </c>
      <c r="AN3367" s="107"/>
      <c r="AO3367" s="1"/>
      <c r="AP3367" s="97">
        <f ca="1">P_2_minQ+(AP3364^2*R_dn)-dpdn_minQ</f>
        <v>60</v>
      </c>
      <c r="AQ3367" s="107"/>
      <c r="AR3367" s="1"/>
      <c r="AS3367" s="97">
        <f ca="1">P_2_minQ+(AS3364^2*R_dn)-dpdn_minQ</f>
        <v>60</v>
      </c>
      <c r="AT3367" s="107"/>
      <c r="AU3367" s="1"/>
    </row>
    <row r="3368" spans="15:47" x14ac:dyDescent="0.25">
      <c r="O3368" s="8" t="s">
        <v>138</v>
      </c>
      <c r="P3368" s="1"/>
      <c r="Q3368" s="8"/>
      <c r="R3368" s="97">
        <f>R3366-R3367</f>
        <v>29.955452827277981</v>
      </c>
      <c r="S3368" s="106"/>
      <c r="T3368" s="22"/>
      <c r="U3368" s="97">
        <f ca="1">U3366-U3367</f>
        <v>27.335969307245563</v>
      </c>
      <c r="V3368" s="110"/>
      <c r="W3368" s="25"/>
      <c r="X3368" s="97">
        <f ca="1">X3366-X3367</f>
        <v>13.102573663401799</v>
      </c>
      <c r="Y3368" s="110"/>
      <c r="Z3368" s="25"/>
      <c r="AA3368" s="97">
        <f ca="1">AA3366-AA3367</f>
        <v>-34.620878509939629</v>
      </c>
      <c r="AB3368" s="110"/>
      <c r="AC3368" s="25"/>
      <c r="AD3368" s="97">
        <f ca="1">AD3366-AD3367</f>
        <v>-152.22029903226061</v>
      </c>
      <c r="AE3368" s="110"/>
      <c r="AF3368" s="25"/>
      <c r="AG3368" s="97">
        <f ca="1">AG3366-AG3367</f>
        <v>-358.37841686571926</v>
      </c>
      <c r="AH3368" s="110"/>
      <c r="AI3368" s="25"/>
      <c r="AJ3368" s="97">
        <f ca="1">AJ3366-AJ3367</f>
        <v>-661.80785255269336</v>
      </c>
      <c r="AK3368" s="110"/>
      <c r="AL3368" s="25"/>
      <c r="AM3368" s="97">
        <f ca="1">AM3366-AM3367</f>
        <v>-1000.0980818817382</v>
      </c>
      <c r="AN3368" s="110"/>
      <c r="AO3368" s="25"/>
      <c r="AP3368" s="97">
        <f ca="1">AP3366-AP3367</f>
        <v>-1358.480948498549</v>
      </c>
      <c r="AQ3368" s="110"/>
      <c r="AR3368" s="25"/>
      <c r="AS3368" s="97">
        <f ca="1">AS3366-AS3367</f>
        <v>-1879.1483166780665</v>
      </c>
      <c r="AT3368" s="110"/>
      <c r="AU3368" s="25"/>
    </row>
    <row r="3369" spans="15:47" ht="14.4" x14ac:dyDescent="0.3">
      <c r="O3369" s="2" t="s">
        <v>140</v>
      </c>
      <c r="P3369" s="11"/>
      <c r="Q3369" s="2"/>
      <c r="R3369" s="96">
        <f>R3368/R3366</f>
        <v>0.33300319086598301</v>
      </c>
      <c r="S3369" s="106"/>
      <c r="T3369" s="22"/>
      <c r="U3369" s="96">
        <f ca="1">U3368/U3366</f>
        <v>0.31299783495936673</v>
      </c>
      <c r="V3369" s="111"/>
      <c r="W3369" s="28"/>
      <c r="X3369" s="96">
        <f ca="1">X3368/X3366</f>
        <v>0.17923546336045751</v>
      </c>
      <c r="Y3369" s="111"/>
      <c r="Z3369" s="28"/>
      <c r="AA3369" s="96">
        <f ca="1">AA3368/AA3366</f>
        <v>-1.3641480270898563</v>
      </c>
      <c r="AB3369" s="111"/>
      <c r="AC3369" s="28"/>
      <c r="AD3369" s="96">
        <f ca="1">AD3368/AD3366</f>
        <v>1.6506159774976519</v>
      </c>
      <c r="AE3369" s="111"/>
      <c r="AF3369" s="28"/>
      <c r="AG3369" s="96">
        <f ca="1">AG3368/AG3366</f>
        <v>1.2010869305838636</v>
      </c>
      <c r="AH3369" s="111"/>
      <c r="AI3369" s="28"/>
      <c r="AJ3369" s="96">
        <f ca="1">AJ3368/AJ3366</f>
        <v>1.0996995963836256</v>
      </c>
      <c r="AK3369" s="111"/>
      <c r="AL3369" s="28"/>
      <c r="AM3369" s="96">
        <f ca="1">AM3368/AM3366</f>
        <v>1.0638231277739676</v>
      </c>
      <c r="AN3369" s="111"/>
      <c r="AO3369" s="28"/>
      <c r="AP3369" s="96">
        <f ca="1">AP3368/AP3366</f>
        <v>1.0462078400683343</v>
      </c>
      <c r="AQ3369" s="111"/>
      <c r="AR3369" s="28"/>
      <c r="AS3369" s="96">
        <f ca="1">AS3368/AS3366</f>
        <v>1.0329824673721852</v>
      </c>
      <c r="AT3369" s="111"/>
      <c r="AU3369" s="28"/>
    </row>
    <row r="3370" spans="15:47" x14ac:dyDescent="0.25">
      <c r="O3370" s="2" t="s">
        <v>21</v>
      </c>
      <c r="P3370" s="8">
        <v>12</v>
      </c>
      <c r="Q3370" s="2"/>
      <c r="R3370" s="96">
        <f ca="1">1-R3369/(3*F_GAMMA*R$29)</f>
        <v>0.8265688857045369</v>
      </c>
      <c r="S3370" s="106"/>
      <c r="T3370" s="22"/>
      <c r="U3370" s="96">
        <f ca="1">1-U3369/(3*F_GAMMA*U$29)</f>
        <v>0.83702572861277869</v>
      </c>
      <c r="V3370" s="111"/>
      <c r="W3370" s="28"/>
      <c r="X3370" s="96">
        <f ca="1">1-X3369/(3*F_GAMMA*X$29)</f>
        <v>0.90578535745558408</v>
      </c>
      <c r="Y3370" s="111"/>
      <c r="Z3370" s="28"/>
      <c r="AA3370" s="96">
        <f ca="1">1-AA3369/(3*F_GAMMA*AA$29)</f>
        <v>1.7271685135784158</v>
      </c>
      <c r="AB3370" s="111"/>
      <c r="AC3370" s="28"/>
      <c r="AD3370" s="96">
        <f ca="1">1-AD3369/(3*F_GAMMA*AD$29)</f>
        <v>9.2839253257562926E-2</v>
      </c>
      <c r="AE3370" s="111"/>
      <c r="AF3370" s="28"/>
      <c r="AG3370" s="96">
        <f ca="1">1-AG3369/(3*F_GAMMA*AG$29)</f>
        <v>0.30028522736523988</v>
      </c>
      <c r="AH3370" s="111"/>
      <c r="AI3370" s="28"/>
      <c r="AJ3370" s="96">
        <f ca="1">1-AJ3369/(3*F_GAMMA*AJ$29)</f>
        <v>0.31074856945089724</v>
      </c>
      <c r="AK3370" s="111"/>
      <c r="AL3370" s="28"/>
      <c r="AM3370" s="96">
        <f ca="1">1-AM3369/(3*F_GAMMA*AM$29)</f>
        <v>0.25450134853817485</v>
      </c>
      <c r="AN3370" s="111"/>
      <c r="AO3370" s="28"/>
      <c r="AP3370" s="96">
        <f ca="1">1-AP3369/(3*F_GAMMA*AP$29)</f>
        <v>0.40946419874327389</v>
      </c>
      <c r="AQ3370" s="111"/>
      <c r="AR3370" s="28"/>
      <c r="AS3370" s="96">
        <f ca="1">1-AS3369/(3*F_GAMMA*AS$29)</f>
        <v>8.5912740229521556E-2</v>
      </c>
      <c r="AT3370" s="111"/>
      <c r="AU3370" s="28"/>
    </row>
    <row r="3371" spans="15:47" x14ac:dyDescent="0.25">
      <c r="O3371" s="2" t="s">
        <v>57</v>
      </c>
      <c r="P3371" s="143">
        <v>7</v>
      </c>
      <c r="Q3371" s="2"/>
      <c r="R3371" s="96">
        <f ca="1">(R3364/(N_9*R$27*R3366*R3370))*SQRT(M*'Valve Sizing'!$W$6*'Valve Sizing'!$G$8/R3369)</f>
        <v>14.39073024246772</v>
      </c>
      <c r="S3371" s="107"/>
      <c r="T3371" s="22"/>
      <c r="U3371" s="96">
        <f ca="1">(U3364/(N_9*U$27*U3366*U3370))*SQRT(M*'Valve Sizing'!$W$6*'Valve Sizing'!$G$8/U3369)</f>
        <v>53.219790864830216</v>
      </c>
      <c r="V3371" s="111"/>
      <c r="W3371" s="28"/>
      <c r="X3371" s="96">
        <f ca="1">(X3364/(N_9*X$27*X3366*X3370))*SQRT(M*'Valve Sizing'!$W$6*'Valve Sizing'!$G$8/X3369)</f>
        <v>190.55839612876528</v>
      </c>
      <c r="Y3371" s="111"/>
      <c r="Z3371" s="28"/>
      <c r="AA3371" s="96" t="e">
        <f ca="1">(AA3364/(N_9*AA$27*AA3366*AA3370))*SQRT(M*'Valve Sizing'!$W$6*'Valve Sizing'!$G$8/AA3369)</f>
        <v>#NUM!</v>
      </c>
      <c r="AB3371" s="111"/>
      <c r="AC3371" s="28"/>
      <c r="AD3371" s="96">
        <f ca="1">(AD3364/(N_9*AD$27*AD3366*AD3370))*SQRT(M*'Valve Sizing'!$W$6*'Valve Sizing'!$G$8/AD3369)</f>
        <v>-1616.1320542447882</v>
      </c>
      <c r="AE3371" s="111"/>
      <c r="AF3371" s="28"/>
      <c r="AG3371" s="96">
        <f ca="1">(AG3364/(N_9*AG$27*AG3366*AG3370))*SQRT(M*'Valve Sizing'!$W$6*'Valve Sizing'!$G$8/AG3369)</f>
        <v>-270.17611659854242</v>
      </c>
      <c r="AH3371" s="111"/>
      <c r="AI3371" s="28"/>
      <c r="AJ3371" s="96">
        <f ca="1">(AJ3364/(N_9*AJ$27*AJ3366*AJ3370))*SQRT(M*'Valve Sizing'!$W$6*'Valve Sizing'!$G$8/AJ3369)</f>
        <v>-187.05719008141565</v>
      </c>
      <c r="AK3371" s="111"/>
      <c r="AL3371" s="28"/>
      <c r="AM3371" s="96">
        <f ca="1">(AM3364/(N_9*AM$27*AM3366*AM3370))*SQRT(M*'Valve Sizing'!$W$6*'Valve Sizing'!$G$8/AM3369)</f>
        <v>-192.45386043931455</v>
      </c>
      <c r="AN3371" s="111"/>
      <c r="AO3371" s="28"/>
      <c r="AP3371" s="96">
        <f ca="1">(AP3364/(N_9*AP$27*AP3366*AP3370))*SQRT(M*'Valve Sizing'!$W$6*'Valve Sizing'!$G$8/AP3369)</f>
        <v>-115.39876617691843</v>
      </c>
      <c r="AQ3371" s="111"/>
      <c r="AR3371" s="28"/>
      <c r="AS3371" s="96">
        <f ca="1">(AS3364/(N_9*AS$27*AS3366*AS3370))*SQRT(M*'Valve Sizing'!$W$6*'Valve Sizing'!$G$8/AS3369)</f>
        <v>-620.49532381065148</v>
      </c>
      <c r="AT3371" s="111"/>
      <c r="AU3371" s="28"/>
    </row>
    <row r="3372" spans="15:47" x14ac:dyDescent="0.25">
      <c r="O3372" s="2" t="s">
        <v>59</v>
      </c>
      <c r="P3372" s="143">
        <v>7</v>
      </c>
      <c r="Q3372" s="2"/>
      <c r="R3372" s="96">
        <f ca="1">(R3364/(N_9*R$27*R3366*0.667))*SQRT(M*'Valve Sizing'!$W$6*'Valve Sizing'!$G$8/R3373)</f>
        <v>12.863530666701525</v>
      </c>
      <c r="S3372" s="107"/>
      <c r="T3372" s="22"/>
      <c r="U3372" s="96">
        <f ca="1">(U3364/(N_9*U$27*U3366*0.667))*SQRT(M*'Valve Sizing'!$W$6*'Valve Sizing'!$G$8/U3373)</f>
        <v>46.698861062008135</v>
      </c>
      <c r="V3372" s="111"/>
      <c r="W3372" s="28"/>
      <c r="X3372" s="96">
        <f ca="1">(X3364/(N_9*X$27*X3366*0.667))*SQRT(M*'Valve Sizing'!$W$6*'Valve Sizing'!$G$8/X3373)</f>
        <v>137.5774895617933</v>
      </c>
      <c r="Y3372" s="111"/>
      <c r="Z3372" s="28"/>
      <c r="AA3372" s="96">
        <f ca="1">(AA3364/(N_9*AA$27*AA3366*0.667))*SQRT(M*'Valve Sizing'!$W$6*'Valve Sizing'!$G$8/AA3373)</f>
        <v>781.8882333449551</v>
      </c>
      <c r="AB3372" s="111"/>
      <c r="AC3372" s="28"/>
      <c r="AD3372" s="96">
        <f ca="1">(AD3364/(N_9*AD$27*AD3366*0.667))*SQRT(M*'Valve Sizing'!$W$6*'Valve Sizing'!$G$8/AD3373)</f>
        <v>-371.09525481690508</v>
      </c>
      <c r="AE3372" s="111"/>
      <c r="AF3372" s="28"/>
      <c r="AG3372" s="96">
        <f ca="1">(AG3364/(N_9*AG$27*AG3366*0.667))*SQRT(M*'Valve Sizing'!$W$6*'Valve Sizing'!$G$8/AG3373)</f>
        <v>-176.22853763722333</v>
      </c>
      <c r="AH3372" s="111"/>
      <c r="AI3372" s="28"/>
      <c r="AJ3372" s="96">
        <f ca="1">(AJ3364/(N_9*AJ$27*AJ3366*0.667))*SQRT(M*'Valve Sizing'!$W$6*'Valve Sizing'!$G$8/AJ3373)</f>
        <v>-125.31618804990913</v>
      </c>
      <c r="AK3372" s="111"/>
      <c r="AL3372" s="28"/>
      <c r="AM3372" s="96">
        <f ca="1">(AM3364/(N_9*AM$27*AM3366*0.667))*SQRT(M*'Valve Sizing'!$W$6*'Valve Sizing'!$G$8/AM3373)</f>
        <v>-109.81835638537909</v>
      </c>
      <c r="AN3372" s="111"/>
      <c r="AO3372" s="28"/>
      <c r="AP3372" s="96">
        <f ca="1">(AP3364/(N_9*AP$27*AP3366*0.667))*SQRT(M*'Valve Sizing'!$W$6*'Valve Sizing'!$G$8/AP3373)</f>
        <v>-94.292035340577172</v>
      </c>
      <c r="AQ3372" s="111"/>
      <c r="AR3372" s="28"/>
      <c r="AS3372" s="96">
        <f ca="1">(AS3364/(N_9*AS$27*AS3366*0.667))*SQRT(M*'Valve Sizing'!$W$6*'Valve Sizing'!$G$8/AS3373)</f>
        <v>-132.35023160149134</v>
      </c>
      <c r="AT3372" s="111"/>
      <c r="AU3372" s="28"/>
    </row>
    <row r="3373" spans="15:47" ht="15.6" x14ac:dyDescent="0.35">
      <c r="O3373" s="2" t="s">
        <v>68</v>
      </c>
      <c r="P3373" s="143">
        <v>10</v>
      </c>
      <c r="Q3373" s="2"/>
      <c r="R3373" s="96">
        <f ca="1">F_GAMMA*R$29</f>
        <v>0.64002969751372984</v>
      </c>
      <c r="S3373" s="107"/>
      <c r="T3373" s="1"/>
      <c r="U3373" s="96">
        <f ca="1">F_GAMMA*U$29</f>
        <v>0.64017842058782071</v>
      </c>
      <c r="V3373" s="111"/>
      <c r="W3373" s="28"/>
      <c r="X3373" s="96">
        <f ca="1">F_GAMMA*X$29</f>
        <v>0.63413873724904268</v>
      </c>
      <c r="Y3373" s="111"/>
      <c r="Z3373" s="28"/>
      <c r="AA3373" s="96">
        <f ca="1">F_GAMMA*AA$29</f>
        <v>0.62532411750377137</v>
      </c>
      <c r="AB3373" s="111"/>
      <c r="AC3373" s="28"/>
      <c r="AD3373" s="96">
        <f ca="1">F_GAMMA*AD$29</f>
        <v>0.60651359509139569</v>
      </c>
      <c r="AE3373" s="111"/>
      <c r="AF3373" s="28"/>
      <c r="AG3373" s="96">
        <f ca="1">F_GAMMA*AG$29</f>
        <v>0.57217930198481592</v>
      </c>
      <c r="AH3373" s="111"/>
      <c r="AI3373" s="28"/>
      <c r="AJ3373" s="96">
        <f ca="1">F_GAMMA*AJ$29</f>
        <v>0.53183282018848232</v>
      </c>
      <c r="AK3373" s="111"/>
      <c r="AL3373" s="28"/>
      <c r="AM3373" s="96">
        <f ca="1">F_GAMMA*AM$29</f>
        <v>0.47566512503094399</v>
      </c>
      <c r="AN3373" s="111"/>
      <c r="AO3373" s="28"/>
      <c r="AP3373" s="96">
        <f ca="1">F_GAMMA*AP$29</f>
        <v>0.59054158265645496</v>
      </c>
      <c r="AQ3373" s="111"/>
      <c r="AR3373" s="28"/>
      <c r="AS3373" s="96">
        <f ca="1">F_GAMMA*AS$29</f>
        <v>0.3766899554102966</v>
      </c>
      <c r="AT3373" s="111"/>
      <c r="AU3373" s="28"/>
    </row>
    <row r="3374" spans="15:47" x14ac:dyDescent="0.25">
      <c r="O3374" s="2" t="s">
        <v>145</v>
      </c>
      <c r="P3374" s="12"/>
      <c r="Q3374" s="2"/>
      <c r="R3374" s="96">
        <f ca="1">IF(R3369&lt;R3373,R3371,R3372)</f>
        <v>14.39073024246772</v>
      </c>
      <c r="S3374" s="116"/>
      <c r="T3374" s="1"/>
      <c r="U3374" s="96">
        <f ca="1">IF(U3369&lt;U3373,U3371,U3372)</f>
        <v>53.219790864830216</v>
      </c>
      <c r="V3374" s="111"/>
      <c r="W3374" s="28"/>
      <c r="X3374" s="96">
        <f ca="1">IF(X3369&lt;X3373,X3371,X3372)</f>
        <v>190.55839612876528</v>
      </c>
      <c r="Y3374" s="111"/>
      <c r="Z3374" s="28"/>
      <c r="AA3374" s="96" t="e">
        <f ca="1">IF(AA3369&lt;AA3373,AA3371,AA3372)</f>
        <v>#NUM!</v>
      </c>
      <c r="AB3374" s="111"/>
      <c r="AC3374" s="28"/>
      <c r="AD3374" s="96">
        <f ca="1">IF(AD3369&lt;AD3373,AD3371,AD3372)</f>
        <v>-371.09525481690508</v>
      </c>
      <c r="AE3374" s="111"/>
      <c r="AF3374" s="28"/>
      <c r="AG3374" s="96">
        <f ca="1">IF(AG3369&lt;AG3373,AG3371,AG3372)</f>
        <v>-176.22853763722333</v>
      </c>
      <c r="AH3374" s="111"/>
      <c r="AI3374" s="28"/>
      <c r="AJ3374" s="96">
        <f ca="1">IF(AJ3369&lt;AJ3373,AJ3371,AJ3372)</f>
        <v>-125.31618804990913</v>
      </c>
      <c r="AK3374" s="111"/>
      <c r="AL3374" s="28"/>
      <c r="AM3374" s="96">
        <f ca="1">IF(AM3369&lt;AM3373,AM3371,AM3372)</f>
        <v>-109.81835638537909</v>
      </c>
      <c r="AN3374" s="111"/>
      <c r="AO3374" s="28"/>
      <c r="AP3374" s="96">
        <f ca="1">IF(AP3369&lt;AP3373,AP3371,AP3372)</f>
        <v>-94.292035340577172</v>
      </c>
      <c r="AQ3374" s="111"/>
      <c r="AR3374" s="28"/>
      <c r="AS3374" s="96">
        <f ca="1">IF(AS3369&lt;AS3373,AS3371,AS3372)</f>
        <v>-132.35023160149134</v>
      </c>
      <c r="AT3374" s="111"/>
      <c r="AU3374" s="28"/>
    </row>
    <row r="3375" spans="15:47" x14ac:dyDescent="0.25">
      <c r="O3375" s="13" t="s">
        <v>143</v>
      </c>
      <c r="P3375" s="1"/>
      <c r="Q3375" s="1"/>
      <c r="R3375" s="113"/>
      <c r="S3375" s="106">
        <f ca="1">IF(R3368&lt;=0,Q_max,ABS(R$23-R3374))</f>
        <v>9.6607302424677197</v>
      </c>
      <c r="T3375" s="7">
        <f>R3364</f>
        <v>35491.760555346642</v>
      </c>
      <c r="U3375" s="98"/>
      <c r="V3375" s="106">
        <f ca="1">IF(U3368&lt;=0,Q_max,ABS(U$23-U3374))</f>
        <v>41.619790864830215</v>
      </c>
      <c r="W3375" s="9">
        <f ca="1">U3364</f>
        <v>125027.3091922131</v>
      </c>
      <c r="X3375" s="98"/>
      <c r="Y3375" s="106">
        <f ca="1">IF(X3368&lt;=0,Q_max,ABS(X$23-X3374))</f>
        <v>167.55839612876528</v>
      </c>
      <c r="Z3375" s="9">
        <f ca="1">X3364</f>
        <v>306145.95451143157</v>
      </c>
      <c r="AA3375" s="98"/>
      <c r="AB3375" s="106">
        <f ca="1">IF(AA3368&lt;=0,Q_max,ABS(AA$23-AA3374))</f>
        <v>236393</v>
      </c>
      <c r="AC3375" s="9">
        <f ca="1">AA3364</f>
        <v>596294.17703756515</v>
      </c>
      <c r="AD3375" s="98"/>
      <c r="AE3375" s="106">
        <f ca="1">IF(AD3368&lt;=0,Q_max,ABS(AD$23-AD3374))</f>
        <v>236393</v>
      </c>
      <c r="AF3375" s="9">
        <f ca="1">AD3364</f>
        <v>1000396.1347487868</v>
      </c>
      <c r="AG3375" s="98"/>
      <c r="AH3375" s="106">
        <f ca="1">IF(AG3368&lt;=0,Q_max,ABS(AG$23-AG3374))</f>
        <v>236393</v>
      </c>
      <c r="AI3375" s="9">
        <f ca="1">AG3364</f>
        <v>1460105.4055968085</v>
      </c>
      <c r="AJ3375" s="98"/>
      <c r="AK3375" s="106">
        <f ca="1">IF(AJ3368&lt;=0,Q_max,ABS(AJ$23-AJ3374))</f>
        <v>236393</v>
      </c>
      <c r="AL3375" s="9">
        <f ca="1">AJ3364</f>
        <v>1948516.3239657136</v>
      </c>
      <c r="AM3375" s="98"/>
      <c r="AN3375" s="106">
        <f ca="1">IF(AM3368&lt;=0,Q_max,ABS(AM$23-AM3374))</f>
        <v>236393</v>
      </c>
      <c r="AO3375" s="9">
        <f ca="1">AM3364</f>
        <v>2377560.2111789896</v>
      </c>
      <c r="AP3375" s="98"/>
      <c r="AQ3375" s="106">
        <f ca="1">IF(AP3368&lt;=0,Q_max,ABS(AP$23-AP3374))</f>
        <v>236393</v>
      </c>
      <c r="AR3375" s="9">
        <f ca="1">AP3364</f>
        <v>2760273.5947017442</v>
      </c>
      <c r="AS3375" s="98"/>
      <c r="AT3375" s="106">
        <f ca="1">IF(AS3368&lt;=0,Q_max,ABS(AS$23-AS3374))</f>
        <v>236393</v>
      </c>
      <c r="AU3375" s="9">
        <f ca="1">AS3364</f>
        <v>3236637.8712940379</v>
      </c>
    </row>
    <row r="3376" spans="15:47" x14ac:dyDescent="0.25">
      <c r="O3376" s="21"/>
      <c r="P3376" s="14"/>
      <c r="Q3376" s="21"/>
      <c r="R3376" s="97"/>
      <c r="S3376" s="106"/>
      <c r="T3376" s="28"/>
      <c r="U3376" s="97"/>
      <c r="V3376" s="111"/>
      <c r="W3376" s="28"/>
      <c r="X3376" s="97"/>
      <c r="Y3376" s="111"/>
      <c r="Z3376" s="28"/>
      <c r="AA3376" s="97"/>
      <c r="AB3376" s="111"/>
      <c r="AC3376" s="28"/>
      <c r="AD3376" s="97"/>
      <c r="AE3376" s="111"/>
      <c r="AF3376" s="28"/>
      <c r="AG3376" s="97"/>
      <c r="AH3376" s="111"/>
      <c r="AI3376" s="28"/>
      <c r="AJ3376" s="97"/>
      <c r="AK3376" s="111"/>
      <c r="AL3376" s="28"/>
      <c r="AM3376" s="97"/>
      <c r="AN3376" s="111"/>
      <c r="AO3376" s="28"/>
      <c r="AP3376" s="97"/>
      <c r="AQ3376" s="111"/>
      <c r="AR3376" s="28"/>
      <c r="AS3376" s="97"/>
      <c r="AT3376" s="111"/>
      <c r="AU3376" s="28"/>
    </row>
    <row r="3377" spans="15:47" x14ac:dyDescent="0.25">
      <c r="O3377" s="1"/>
      <c r="P3377" s="1"/>
      <c r="Q3377" s="1"/>
      <c r="R3377" s="98"/>
      <c r="S3377" s="108" t="s">
        <v>137</v>
      </c>
      <c r="T3377" s="26" t="s">
        <v>146</v>
      </c>
      <c r="U3377" s="98"/>
      <c r="V3377" s="108" t="s">
        <v>137</v>
      </c>
      <c r="W3377" s="26" t="s">
        <v>146</v>
      </c>
      <c r="X3377" s="98"/>
      <c r="Y3377" s="108" t="s">
        <v>137</v>
      </c>
      <c r="Z3377" s="26" t="s">
        <v>146</v>
      </c>
      <c r="AA3377" s="98"/>
      <c r="AB3377" s="108" t="s">
        <v>137</v>
      </c>
      <c r="AC3377" s="26" t="s">
        <v>146</v>
      </c>
      <c r="AD3377" s="98"/>
      <c r="AE3377" s="108" t="s">
        <v>137</v>
      </c>
      <c r="AF3377" s="26" t="s">
        <v>146</v>
      </c>
      <c r="AG3377" s="98"/>
      <c r="AH3377" s="108" t="s">
        <v>137</v>
      </c>
      <c r="AI3377" s="26" t="s">
        <v>146</v>
      </c>
      <c r="AJ3377" s="98"/>
      <c r="AK3377" s="108" t="s">
        <v>137</v>
      </c>
      <c r="AL3377" s="26" t="s">
        <v>146</v>
      </c>
      <c r="AM3377" s="98"/>
      <c r="AN3377" s="108" t="s">
        <v>137</v>
      </c>
      <c r="AO3377" s="26" t="s">
        <v>146</v>
      </c>
      <c r="AP3377" s="98"/>
      <c r="AQ3377" s="108" t="s">
        <v>137</v>
      </c>
      <c r="AR3377" s="26" t="s">
        <v>146</v>
      </c>
      <c r="AS3377" s="98"/>
      <c r="AT3377" s="108" t="s">
        <v>137</v>
      </c>
      <c r="AU3377" s="26" t="s">
        <v>146</v>
      </c>
    </row>
    <row r="3378" spans="15:47" ht="13.8" x14ac:dyDescent="0.25">
      <c r="O3378" s="20" t="s">
        <v>136</v>
      </c>
      <c r="P3378" s="1"/>
      <c r="Q3378" s="1"/>
      <c r="R3378" s="96">
        <f>R3364*1.02</f>
        <v>36201.595766453574</v>
      </c>
      <c r="S3378" s="109" t="s">
        <v>144</v>
      </c>
      <c r="T3378" s="23" t="s">
        <v>147</v>
      </c>
      <c r="U3378" s="96">
        <f ca="1">U3364*1.01</f>
        <v>126277.58228413523</v>
      </c>
      <c r="V3378" s="109" t="s">
        <v>144</v>
      </c>
      <c r="W3378" s="23" t="s">
        <v>147</v>
      </c>
      <c r="X3378" s="96">
        <f ca="1">X3364*1.01</f>
        <v>309207.41405654588</v>
      </c>
      <c r="Y3378" s="109" t="s">
        <v>144</v>
      </c>
      <c r="Z3378" s="23" t="s">
        <v>147</v>
      </c>
      <c r="AA3378" s="96">
        <f ca="1">AA3364*1.01</f>
        <v>602257.11880794086</v>
      </c>
      <c r="AB3378" s="109" t="s">
        <v>144</v>
      </c>
      <c r="AC3378" s="23" t="s">
        <v>147</v>
      </c>
      <c r="AD3378" s="96">
        <f ca="1">AD3364*1.01</f>
        <v>1010400.0960962747</v>
      </c>
      <c r="AE3378" s="109" t="s">
        <v>144</v>
      </c>
      <c r="AF3378" s="23" t="s">
        <v>147</v>
      </c>
      <c r="AG3378" s="96">
        <f ca="1">AG3364*1.01</f>
        <v>1474706.4596527766</v>
      </c>
      <c r="AH3378" s="109" t="s">
        <v>144</v>
      </c>
      <c r="AI3378" s="23" t="s">
        <v>147</v>
      </c>
      <c r="AJ3378" s="96">
        <f ca="1">AJ3364*1.01</f>
        <v>1968001.4872053708</v>
      </c>
      <c r="AK3378" s="109" t="s">
        <v>144</v>
      </c>
      <c r="AL3378" s="23" t="s">
        <v>147</v>
      </c>
      <c r="AM3378" s="96">
        <f ca="1">AM3364*1.01</f>
        <v>2401335.8132907795</v>
      </c>
      <c r="AN3378" s="109" t="s">
        <v>144</v>
      </c>
      <c r="AO3378" s="23" t="s">
        <v>147</v>
      </c>
      <c r="AP3378" s="96">
        <f ca="1">AP3364*1.01</f>
        <v>2787876.3306487617</v>
      </c>
      <c r="AQ3378" s="109" t="s">
        <v>144</v>
      </c>
      <c r="AR3378" s="23" t="s">
        <v>147</v>
      </c>
      <c r="AS3378" s="96">
        <f ca="1">AS3364*1.01</f>
        <v>3269004.2500069784</v>
      </c>
      <c r="AT3378" s="109" t="s">
        <v>144</v>
      </c>
      <c r="AU3378" s="23" t="s">
        <v>147</v>
      </c>
    </row>
    <row r="3379" spans="15:47" x14ac:dyDescent="0.25">
      <c r="O3379" s="1"/>
      <c r="P3379" s="1"/>
      <c r="Q3379" s="1"/>
      <c r="R3379" s="98"/>
      <c r="S3379" s="107"/>
      <c r="T3379" s="1"/>
      <c r="U3379" s="47"/>
      <c r="V3379" s="107"/>
      <c r="W3379" s="1"/>
      <c r="X3379" s="47"/>
      <c r="Y3379" s="107"/>
      <c r="Z3379" s="1"/>
      <c r="AA3379" s="47"/>
      <c r="AB3379" s="107"/>
      <c r="AC3379" s="1"/>
      <c r="AD3379" s="47"/>
      <c r="AE3379" s="107"/>
      <c r="AF3379" s="1"/>
      <c r="AG3379" s="47"/>
      <c r="AH3379" s="107"/>
      <c r="AI3379" s="1"/>
      <c r="AJ3379" s="47"/>
      <c r="AK3379" s="107"/>
      <c r="AL3379" s="1"/>
      <c r="AM3379" s="47"/>
      <c r="AN3379" s="107"/>
      <c r="AO3379" s="1"/>
      <c r="AP3379" s="47"/>
      <c r="AQ3379" s="107"/>
      <c r="AR3379" s="1"/>
      <c r="AS3379" s="47"/>
      <c r="AT3379" s="107"/>
      <c r="AU3379" s="1"/>
    </row>
    <row r="3380" spans="15:47" x14ac:dyDescent="0.25">
      <c r="O3380" s="8" t="s">
        <v>132</v>
      </c>
      <c r="P3380" s="8"/>
      <c r="Q3380" s="8"/>
      <c r="R3380" s="96">
        <f>P_1_minQ-(R3378^2*R_up)+dpup_minQ</f>
        <v>89.94617748407768</v>
      </c>
      <c r="S3380" s="106"/>
      <c r="T3380" s="22"/>
      <c r="U3380" s="96">
        <f ca="1">P_1_minQ-(U3378^2*R_up)+dpup_minQ</f>
        <v>87.278702975663052</v>
      </c>
      <c r="V3380" s="107"/>
      <c r="W3380" s="1"/>
      <c r="X3380" s="96">
        <f ca="1">P_1_minQ-(X3378^2*R_up)+dpup_minQ</f>
        <v>72.759216079378035</v>
      </c>
      <c r="Y3380" s="107"/>
      <c r="Z3380" s="1"/>
      <c r="AA3380" s="96">
        <f ca="1">P_1_minQ-(AA3378^2*R_up)+dpup_minQ</f>
        <v>24.07652251735243</v>
      </c>
      <c r="AB3380" s="107"/>
      <c r="AC3380" s="1"/>
      <c r="AD3380" s="96">
        <f ca="1">P_1_minQ-(AD3378^2*R_up)+dpup_minQ</f>
        <v>-95.886646357467185</v>
      </c>
      <c r="AE3380" s="107"/>
      <c r="AF3380" s="1"/>
      <c r="AG3380" s="96">
        <f ca="1">P_1_minQ-(AG3378^2*R_up)+dpup_minQ</f>
        <v>-306.1885423593784</v>
      </c>
      <c r="AH3380" s="107"/>
      <c r="AI3380" s="1"/>
      <c r="AJ3380" s="96">
        <f ca="1">P_1_minQ-(AJ3378^2*R_up)+dpup_minQ</f>
        <v>-615.71690970366069</v>
      </c>
      <c r="AK3380" s="107"/>
      <c r="AL3380" s="1"/>
      <c r="AM3380" s="96">
        <f ca="1">P_1_minQ-(AM3378^2*R_up)+dpup_minQ</f>
        <v>-960.80677264221936</v>
      </c>
      <c r="AN3380" s="107"/>
      <c r="AO3380" s="1"/>
      <c r="AP3380" s="96">
        <f ca="1">P_1_minQ-(AP3378^2*R_up)+dpup_minQ</f>
        <v>-1326.3931348780281</v>
      </c>
      <c r="AQ3380" s="107"/>
      <c r="AR3380" s="1"/>
      <c r="AS3380" s="96">
        <f ca="1">P_1_minQ-(AS3378^2*R_up)+dpup_minQ</f>
        <v>-1857.5259171579542</v>
      </c>
      <c r="AT3380" s="107"/>
      <c r="AU3380" s="1"/>
    </row>
    <row r="3381" spans="15:47" x14ac:dyDescent="0.25">
      <c r="O3381" s="8" t="s">
        <v>134</v>
      </c>
      <c r="P3381" s="1"/>
      <c r="Q3381" s="8"/>
      <c r="R3381" s="97">
        <f>P_2_minQ+(R3378^2*R_dn)-dpdn_minQ</f>
        <v>60</v>
      </c>
      <c r="S3381" s="106"/>
      <c r="T3381" s="22"/>
      <c r="U3381" s="97">
        <f ca="1">P_2_minQ+(U3378^2*R_dn)-dpdn_minQ</f>
        <v>60</v>
      </c>
      <c r="V3381" s="107"/>
      <c r="W3381" s="1"/>
      <c r="X3381" s="97">
        <f ca="1">P_2_minQ+(X3378^2*R_dn)-dpdn_minQ</f>
        <v>60</v>
      </c>
      <c r="Y3381" s="107"/>
      <c r="Z3381" s="1"/>
      <c r="AA3381" s="97">
        <f ca="1">P_2_minQ+(AA3378^2*R_dn)-dpdn_minQ</f>
        <v>60</v>
      </c>
      <c r="AB3381" s="107"/>
      <c r="AC3381" s="1"/>
      <c r="AD3381" s="97">
        <f ca="1">P_2_minQ+(AD3378^2*R_dn)-dpdn_minQ</f>
        <v>60</v>
      </c>
      <c r="AE3381" s="107"/>
      <c r="AF3381" s="1"/>
      <c r="AG3381" s="97">
        <f ca="1">P_2_minQ+(AG3378^2*R_dn)-dpdn_minQ</f>
        <v>60</v>
      </c>
      <c r="AH3381" s="107"/>
      <c r="AI3381" s="1"/>
      <c r="AJ3381" s="97">
        <f ca="1">P_2_minQ+(AJ3378^2*R_dn)-dpdn_minQ</f>
        <v>60</v>
      </c>
      <c r="AK3381" s="107"/>
      <c r="AL3381" s="1"/>
      <c r="AM3381" s="97">
        <f ca="1">P_2_minQ+(AM3378^2*R_dn)-dpdn_minQ</f>
        <v>60</v>
      </c>
      <c r="AN3381" s="107"/>
      <c r="AO3381" s="1"/>
      <c r="AP3381" s="97">
        <f ca="1">P_2_minQ+(AP3378^2*R_dn)-dpdn_minQ</f>
        <v>60</v>
      </c>
      <c r="AQ3381" s="107"/>
      <c r="AR3381" s="1"/>
      <c r="AS3381" s="97">
        <f ca="1">P_2_minQ+(AS3378^2*R_dn)-dpdn_minQ</f>
        <v>60</v>
      </c>
      <c r="AT3381" s="107"/>
      <c r="AU3381" s="1"/>
    </row>
    <row r="3382" spans="15:47" x14ac:dyDescent="0.25">
      <c r="O3382" s="8" t="s">
        <v>138</v>
      </c>
      <c r="P3382" s="1"/>
      <c r="Q3382" s="8"/>
      <c r="R3382" s="97">
        <f>R3380-R3381</f>
        <v>29.94617748407768</v>
      </c>
      <c r="S3382" s="106"/>
      <c r="T3382" s="22"/>
      <c r="U3382" s="97">
        <f ca="1">U3380-U3381</f>
        <v>27.278702975663052</v>
      </c>
      <c r="V3382" s="110"/>
      <c r="W3382" s="25"/>
      <c r="X3382" s="97">
        <f ca="1">X3380-X3381</f>
        <v>12.759216079378035</v>
      </c>
      <c r="Y3382" s="110"/>
      <c r="Z3382" s="25"/>
      <c r="AA3382" s="97">
        <f ca="1">AA3380-AA3381</f>
        <v>-35.92347748264757</v>
      </c>
      <c r="AB3382" s="110"/>
      <c r="AC3382" s="25"/>
      <c r="AD3382" s="97">
        <f ca="1">AD3380-AD3381</f>
        <v>-155.88664635746719</v>
      </c>
      <c r="AE3382" s="110"/>
      <c r="AF3382" s="25"/>
      <c r="AG3382" s="97">
        <f ca="1">AG3380-AG3381</f>
        <v>-366.1885423593784</v>
      </c>
      <c r="AH3382" s="110"/>
      <c r="AI3382" s="25"/>
      <c r="AJ3382" s="97">
        <f ca="1">AJ3380-AJ3381</f>
        <v>-675.71690970366069</v>
      </c>
      <c r="AK3382" s="110"/>
      <c r="AL3382" s="25"/>
      <c r="AM3382" s="97">
        <f ca="1">AM3380-AM3381</f>
        <v>-1020.8067726422194</v>
      </c>
      <c r="AN3382" s="110"/>
      <c r="AO3382" s="25"/>
      <c r="AP3382" s="97">
        <f ca="1">AP3380-AP3381</f>
        <v>-1386.3931348780281</v>
      </c>
      <c r="AQ3382" s="110"/>
      <c r="AR3382" s="25"/>
      <c r="AS3382" s="97">
        <f ca="1">AS3380-AS3381</f>
        <v>-1917.5259171579542</v>
      </c>
      <c r="AT3382" s="110"/>
      <c r="AU3382" s="25"/>
    </row>
    <row r="3383" spans="15:47" ht="14.4" x14ac:dyDescent="0.3">
      <c r="O3383" s="2" t="s">
        <v>140</v>
      </c>
      <c r="P3383" s="11"/>
      <c r="Q3383" s="2"/>
      <c r="R3383" s="96">
        <f>R3382/R3380</f>
        <v>0.33293440946257852</v>
      </c>
      <c r="S3383" s="106"/>
      <c r="T3383" s="22"/>
      <c r="U3383" s="96">
        <f ca="1">U3382/U3380</f>
        <v>0.31254707099931922</v>
      </c>
      <c r="V3383" s="111"/>
      <c r="W3383" s="28"/>
      <c r="X3383" s="96">
        <f ca="1">X3382/X3380</f>
        <v>0.17536219831530522</v>
      </c>
      <c r="Y3383" s="111"/>
      <c r="Z3383" s="28"/>
      <c r="AA3383" s="96">
        <f ca="1">AA3382/AA3380</f>
        <v>-1.4920542390105052</v>
      </c>
      <c r="AB3383" s="111"/>
      <c r="AC3383" s="28"/>
      <c r="AD3383" s="96">
        <f ca="1">AD3382/AD3380</f>
        <v>1.6257388518555429</v>
      </c>
      <c r="AE3383" s="111"/>
      <c r="AF3383" s="28"/>
      <c r="AG3383" s="96">
        <f ca="1">AG3382/AG3380</f>
        <v>1.1959576917466004</v>
      </c>
      <c r="AH3383" s="111"/>
      <c r="AI3383" s="28"/>
      <c r="AJ3383" s="96">
        <f ca="1">AJ3382/AJ3380</f>
        <v>1.0974473805321954</v>
      </c>
      <c r="AK3383" s="111"/>
      <c r="AL3383" s="28"/>
      <c r="AM3383" s="96">
        <f ca="1">AM3382/AM3380</f>
        <v>1.0624475198431418</v>
      </c>
      <c r="AN3383" s="111"/>
      <c r="AO3383" s="28"/>
      <c r="AP3383" s="96">
        <f ca="1">AP3382/AP3380</f>
        <v>1.0452354572880969</v>
      </c>
      <c r="AQ3383" s="111"/>
      <c r="AR3383" s="28"/>
      <c r="AS3383" s="96">
        <f ca="1">AS3382/AS3380</f>
        <v>1.0323010297976358</v>
      </c>
      <c r="AT3383" s="111"/>
      <c r="AU3383" s="28"/>
    </row>
    <row r="3384" spans="15:47" x14ac:dyDescent="0.25">
      <c r="O3384" s="2" t="s">
        <v>21</v>
      </c>
      <c r="P3384" s="8">
        <v>12</v>
      </c>
      <c r="Q3384" s="2"/>
      <c r="R3384" s="96">
        <f ca="1">1-R3383/(3*F_GAMMA*R$29)</f>
        <v>0.82660470768991856</v>
      </c>
      <c r="S3384" s="106"/>
      <c r="T3384" s="22"/>
      <c r="U3384" s="96">
        <f ca="1">1-U3383/(3*F_GAMMA*U$29)</f>
        <v>0.83726043607638101</v>
      </c>
      <c r="V3384" s="111"/>
      <c r="W3384" s="28"/>
      <c r="X3384" s="96">
        <f ca="1">1-X3383/(3*F_GAMMA*X$29)</f>
        <v>0.90782132888036249</v>
      </c>
      <c r="Y3384" s="111"/>
      <c r="Z3384" s="28"/>
      <c r="AA3384" s="96">
        <f ca="1">1-AA3383/(3*F_GAMMA*AA$29)</f>
        <v>1.7953498019377161</v>
      </c>
      <c r="AB3384" s="111"/>
      <c r="AC3384" s="28"/>
      <c r="AD3384" s="96">
        <f ca="1">1-AD3383/(3*F_GAMMA*AD$29)</f>
        <v>0.10651145332224032</v>
      </c>
      <c r="AE3384" s="111"/>
      <c r="AF3384" s="28"/>
      <c r="AG3384" s="96">
        <f ca="1">1-AG3383/(3*F_GAMMA*AG$29)</f>
        <v>0.30327335761244889</v>
      </c>
      <c r="AH3384" s="111"/>
      <c r="AI3384" s="28"/>
      <c r="AJ3384" s="96">
        <f ca="1">1-AJ3383/(3*F_GAMMA*AJ$29)</f>
        <v>0.31216017585923683</v>
      </c>
      <c r="AK3384" s="111"/>
      <c r="AL3384" s="28"/>
      <c r="AM3384" s="96">
        <f ca="1">1-AM3383/(3*F_GAMMA*AM$29)</f>
        <v>0.25546533759857126</v>
      </c>
      <c r="AN3384" s="111"/>
      <c r="AO3384" s="28"/>
      <c r="AP3384" s="96">
        <f ca="1">1-AP3383/(3*F_GAMMA*AP$29)</f>
        <v>0.41001306372235702</v>
      </c>
      <c r="AQ3384" s="111"/>
      <c r="AR3384" s="28"/>
      <c r="AS3384" s="96">
        <f ca="1">1-AS3383/(3*F_GAMMA*AS$29)</f>
        <v>8.6515745047995529E-2</v>
      </c>
      <c r="AT3384" s="111"/>
      <c r="AU3384" s="28"/>
    </row>
    <row r="3385" spans="15:47" x14ac:dyDescent="0.25">
      <c r="O3385" s="2" t="s">
        <v>57</v>
      </c>
      <c r="P3385" s="143">
        <v>7</v>
      </c>
      <c r="Q3385" s="2"/>
      <c r="R3385" s="96">
        <f ca="1">(R3378/(N_9*R$27*R3380*R3384))*SQRT(M*'Valve Sizing'!$W$6*'Valve Sizing'!$G$8/R3383)</f>
        <v>14.680938578043355</v>
      </c>
      <c r="S3385" s="107"/>
      <c r="T3385" s="22"/>
      <c r="U3385" s="96">
        <f ca="1">(U3378/(N_9*U$27*U3380*U3384))*SQRT(M*'Valve Sizing'!$W$6*'Valve Sizing'!$G$8/U3383)</f>
        <v>53.810940978073567</v>
      </c>
      <c r="V3385" s="111"/>
      <c r="W3385" s="28"/>
      <c r="X3385" s="96">
        <f ca="1">(X3378/(N_9*X$27*X3380*X3384))*SQRT(M*'Valve Sizing'!$W$6*'Valve Sizing'!$G$8/X3383)</f>
        <v>195.05766140777976</v>
      </c>
      <c r="Y3385" s="111"/>
      <c r="Z3385" s="28"/>
      <c r="AA3385" s="96" t="e">
        <f ca="1">(AA3378/(N_9*AA$27*AA3380*AA3384))*SQRT(M*'Valve Sizing'!$W$6*'Valve Sizing'!$G$8/AA3383)</f>
        <v>#NUM!</v>
      </c>
      <c r="AB3385" s="111"/>
      <c r="AC3385" s="28"/>
      <c r="AD3385" s="96">
        <f ca="1">(AD3378/(N_9*AD$27*AD3380*AD3384))*SQRT(M*'Valve Sizing'!$W$6*'Valve Sizing'!$G$8/AD3383)</f>
        <v>-1378.7945962427427</v>
      </c>
      <c r="AE3385" s="111"/>
      <c r="AF3385" s="28"/>
      <c r="AG3385" s="96">
        <f ca="1">(AG3378/(N_9*AG$27*AG3380*AG3384))*SQRT(M*'Valve Sizing'!$W$6*'Valve Sizing'!$G$8/AG3383)</f>
        <v>-263.8613738531588</v>
      </c>
      <c r="AH3385" s="111"/>
      <c r="AI3385" s="28"/>
      <c r="AJ3385" s="96">
        <f ca="1">(AJ3378/(N_9*AJ$27*AJ3380*AJ3384))*SQRT(M*'Valve Sizing'!$W$6*'Valve Sizing'!$G$8/AJ3383)</f>
        <v>-184.01336629152863</v>
      </c>
      <c r="AK3385" s="111"/>
      <c r="AL3385" s="28"/>
      <c r="AM3385" s="96">
        <f ca="1">(AM3378/(N_9*AM$27*AM3380*AM3384))*SQRT(M*'Valve Sizing'!$W$6*'Valve Sizing'!$G$8/AM3383)</f>
        <v>-189.59382482537723</v>
      </c>
      <c r="AN3385" s="111"/>
      <c r="AO3385" s="28"/>
      <c r="AP3385" s="96">
        <f ca="1">(AP3378/(N_9*AP$27*AP3380*AP3384))*SQRT(M*'Valve Sizing'!$W$6*'Valve Sizing'!$G$8/AP3383)</f>
        <v>-114.00030550770555</v>
      </c>
      <c r="AQ3385" s="111"/>
      <c r="AR3385" s="28"/>
      <c r="AS3385" s="96">
        <f ca="1">(AS3378/(N_9*AS$27*AS3380*AS3384))*SQRT(M*'Valve Sizing'!$W$6*'Valve Sizing'!$G$8/AS3383)</f>
        <v>-609.67561868582322</v>
      </c>
      <c r="AT3385" s="111"/>
      <c r="AU3385" s="28"/>
    </row>
    <row r="3386" spans="15:47" x14ac:dyDescent="0.25">
      <c r="O3386" s="2" t="s">
        <v>59</v>
      </c>
      <c r="P3386" s="143">
        <v>7</v>
      </c>
      <c r="Q3386" s="2"/>
      <c r="R3386" s="96">
        <f ca="1">(R3378/(N_9*R$27*R3380*0.667))*SQRT(M*'Valve Sizing'!$W$6*'Valve Sizing'!$G$8/R3387)</f>
        <v>13.122154310684989</v>
      </c>
      <c r="S3386" s="107"/>
      <c r="T3386" s="22"/>
      <c r="U3386" s="96">
        <f ca="1">(U3378/(N_9*U$27*U3380*0.667))*SQRT(M*'Valve Sizing'!$W$6*'Valve Sizing'!$G$8/U3387)</f>
        <v>47.196796685984701</v>
      </c>
      <c r="V3386" s="111"/>
      <c r="W3386" s="28"/>
      <c r="X3386" s="96">
        <f ca="1">(X3378/(N_9*X$27*X3380*0.667))*SQRT(M*'Valve Sizing'!$W$6*'Valve Sizing'!$G$8/X3387)</f>
        <v>139.60899798159133</v>
      </c>
      <c r="Y3386" s="111"/>
      <c r="Z3386" s="28"/>
      <c r="AA3386" s="96">
        <f ca="1">(AA3378/(N_9*AA$27*AA3380*0.667))*SQRT(M*'Valve Sizing'!$W$6*'Valve Sizing'!$G$8/AA3387)</f>
        <v>832.43220925790558</v>
      </c>
      <c r="AB3386" s="111"/>
      <c r="AC3386" s="28"/>
      <c r="AD3386" s="96">
        <f ca="1">(AD3378/(N_9*AD$27*AD3380*0.667))*SQRT(M*'Valve Sizing'!$W$6*'Valve Sizing'!$G$8/AD3387)</f>
        <v>-360.47501748571574</v>
      </c>
      <c r="AE3386" s="111"/>
      <c r="AF3386" s="28"/>
      <c r="AG3386" s="96">
        <f ca="1">(AG3378/(N_9*AG$27*AG3380*0.667))*SQRT(M*'Valve Sizing'!$W$6*'Valve Sizing'!$G$8/AG3387)</f>
        <v>-173.45070974304659</v>
      </c>
      <c r="AH3386" s="111"/>
      <c r="AI3386" s="28"/>
      <c r="AJ3386" s="96">
        <f ca="1">(AJ3378/(N_9*AJ$27*AJ3380*0.667))*SQRT(M*'Valve Sizing'!$W$6*'Valve Sizing'!$G$8/AJ3387)</f>
        <v>-123.71014581566311</v>
      </c>
      <c r="AK3386" s="111"/>
      <c r="AL3386" s="28"/>
      <c r="AM3386" s="96">
        <f ca="1">(AM3378/(N_9*AM$27*AM3380*0.667))*SQRT(M*'Valve Sizing'!$W$6*'Valve Sizing'!$G$8/AM3387)</f>
        <v>-108.52590700259508</v>
      </c>
      <c r="AN3386" s="111"/>
      <c r="AO3386" s="28"/>
      <c r="AP3386" s="96">
        <f ca="1">(AP3378/(N_9*AP$27*AP3380*0.667))*SQRT(M*'Valve Sizing'!$W$6*'Valve Sizing'!$G$8/AP3387)</f>
        <v>-93.230862214249754</v>
      </c>
      <c r="AQ3386" s="111"/>
      <c r="AR3386" s="28"/>
      <c r="AS3386" s="96">
        <f ca="1">(AS3378/(N_9*AS$27*AS3380*0.667))*SQRT(M*'Valve Sizing'!$W$6*'Valve Sizing'!$G$8/AS3387)</f>
        <v>-130.91195433340766</v>
      </c>
      <c r="AT3386" s="111"/>
      <c r="AU3386" s="28"/>
    </row>
    <row r="3387" spans="15:47" ht="15.6" x14ac:dyDescent="0.35">
      <c r="O3387" s="2" t="s">
        <v>68</v>
      </c>
      <c r="P3387" s="143">
        <v>10</v>
      </c>
      <c r="Q3387" s="2"/>
      <c r="R3387" s="96">
        <f ca="1">F_GAMMA*R$29</f>
        <v>0.64002969751372984</v>
      </c>
      <c r="S3387" s="107"/>
      <c r="T3387" s="1"/>
      <c r="U3387" s="96">
        <f ca="1">F_GAMMA*U$29</f>
        <v>0.64017842058782071</v>
      </c>
      <c r="V3387" s="111"/>
      <c r="W3387" s="28"/>
      <c r="X3387" s="96">
        <f ca="1">F_GAMMA*X$29</f>
        <v>0.63413873724904268</v>
      </c>
      <c r="Y3387" s="111"/>
      <c r="Z3387" s="28"/>
      <c r="AA3387" s="96">
        <f ca="1">F_GAMMA*AA$29</f>
        <v>0.62532411750377137</v>
      </c>
      <c r="AB3387" s="111"/>
      <c r="AC3387" s="28"/>
      <c r="AD3387" s="96">
        <f ca="1">F_GAMMA*AD$29</f>
        <v>0.60651359509139569</v>
      </c>
      <c r="AE3387" s="111"/>
      <c r="AF3387" s="28"/>
      <c r="AG3387" s="96">
        <f ca="1">F_GAMMA*AG$29</f>
        <v>0.57217930198481592</v>
      </c>
      <c r="AH3387" s="111"/>
      <c r="AI3387" s="28"/>
      <c r="AJ3387" s="96">
        <f ca="1">F_GAMMA*AJ$29</f>
        <v>0.53183282018848232</v>
      </c>
      <c r="AK3387" s="111"/>
      <c r="AL3387" s="28"/>
      <c r="AM3387" s="96">
        <f ca="1">F_GAMMA*AM$29</f>
        <v>0.47566512503094399</v>
      </c>
      <c r="AN3387" s="111"/>
      <c r="AO3387" s="28"/>
      <c r="AP3387" s="96">
        <f ca="1">F_GAMMA*AP$29</f>
        <v>0.59054158265645496</v>
      </c>
      <c r="AQ3387" s="111"/>
      <c r="AR3387" s="28"/>
      <c r="AS3387" s="96">
        <f ca="1">F_GAMMA*AS$29</f>
        <v>0.3766899554102966</v>
      </c>
      <c r="AT3387" s="111"/>
      <c r="AU3387" s="28"/>
    </row>
    <row r="3388" spans="15:47" x14ac:dyDescent="0.25">
      <c r="O3388" s="2" t="s">
        <v>145</v>
      </c>
      <c r="P3388" s="12"/>
      <c r="Q3388" s="2"/>
      <c r="R3388" s="96">
        <f ca="1">IF(R3383&lt;R3387,R3385,R3386)</f>
        <v>14.680938578043355</v>
      </c>
      <c r="S3388" s="116"/>
      <c r="T3388" s="1"/>
      <c r="U3388" s="96">
        <f ca="1">IF(U3383&lt;U3387,U3385,U3386)</f>
        <v>53.810940978073567</v>
      </c>
      <c r="V3388" s="111"/>
      <c r="W3388" s="28"/>
      <c r="X3388" s="96">
        <f ca="1">IF(X3383&lt;X3387,X3385,X3386)</f>
        <v>195.05766140777976</v>
      </c>
      <c r="Y3388" s="111"/>
      <c r="Z3388" s="28"/>
      <c r="AA3388" s="96" t="e">
        <f ca="1">IF(AA3383&lt;AA3387,AA3385,AA3386)</f>
        <v>#NUM!</v>
      </c>
      <c r="AB3388" s="111"/>
      <c r="AC3388" s="28"/>
      <c r="AD3388" s="96">
        <f ca="1">IF(AD3383&lt;AD3387,AD3385,AD3386)</f>
        <v>-360.47501748571574</v>
      </c>
      <c r="AE3388" s="111"/>
      <c r="AF3388" s="28"/>
      <c r="AG3388" s="96">
        <f ca="1">IF(AG3383&lt;AG3387,AG3385,AG3386)</f>
        <v>-173.45070974304659</v>
      </c>
      <c r="AH3388" s="111"/>
      <c r="AI3388" s="28"/>
      <c r="AJ3388" s="96">
        <f ca="1">IF(AJ3383&lt;AJ3387,AJ3385,AJ3386)</f>
        <v>-123.71014581566311</v>
      </c>
      <c r="AK3388" s="111"/>
      <c r="AL3388" s="28"/>
      <c r="AM3388" s="96">
        <f ca="1">IF(AM3383&lt;AM3387,AM3385,AM3386)</f>
        <v>-108.52590700259508</v>
      </c>
      <c r="AN3388" s="111"/>
      <c r="AO3388" s="28"/>
      <c r="AP3388" s="96">
        <f ca="1">IF(AP3383&lt;AP3387,AP3385,AP3386)</f>
        <v>-93.230862214249754</v>
      </c>
      <c r="AQ3388" s="111"/>
      <c r="AR3388" s="28"/>
      <c r="AS3388" s="96">
        <f ca="1">IF(AS3383&lt;AS3387,AS3385,AS3386)</f>
        <v>-130.91195433340766</v>
      </c>
      <c r="AT3388" s="111"/>
      <c r="AU3388" s="28"/>
    </row>
    <row r="3389" spans="15:47" x14ac:dyDescent="0.25">
      <c r="O3389" s="13" t="s">
        <v>143</v>
      </c>
      <c r="P3389" s="1"/>
      <c r="Q3389" s="1"/>
      <c r="R3389" s="113"/>
      <c r="S3389" s="106">
        <f ca="1">IF(R3382&lt;=0,Q_max,ABS(R$23-R3388))</f>
        <v>9.9509385780433544</v>
      </c>
      <c r="T3389" s="7">
        <f>R3378</f>
        <v>36201.595766453574</v>
      </c>
      <c r="U3389" s="98"/>
      <c r="V3389" s="106">
        <f ca="1">IF(U3382&lt;=0,Q_max,ABS(U$23-U3388))</f>
        <v>42.210940978073566</v>
      </c>
      <c r="W3389" s="9">
        <f ca="1">U3378</f>
        <v>126277.58228413523</v>
      </c>
      <c r="X3389" s="98"/>
      <c r="Y3389" s="106">
        <f ca="1">IF(X3382&lt;=0,Q_max,ABS(X$23-X3388))</f>
        <v>172.05766140777976</v>
      </c>
      <c r="Z3389" s="9">
        <f ca="1">X3378</f>
        <v>309207.41405654588</v>
      </c>
      <c r="AA3389" s="98"/>
      <c r="AB3389" s="106">
        <f ca="1">IF(AA3382&lt;=0,Q_max,ABS(AA$23-AA3388))</f>
        <v>236393</v>
      </c>
      <c r="AC3389" s="9">
        <f ca="1">AA3378</f>
        <v>602257.11880794086</v>
      </c>
      <c r="AD3389" s="98"/>
      <c r="AE3389" s="106">
        <f ca="1">IF(AD3382&lt;=0,Q_max,ABS(AD$23-AD3388))</f>
        <v>236393</v>
      </c>
      <c r="AF3389" s="9">
        <f ca="1">AD3378</f>
        <v>1010400.0960962747</v>
      </c>
      <c r="AG3389" s="98"/>
      <c r="AH3389" s="106">
        <f ca="1">IF(AG3382&lt;=0,Q_max,ABS(AG$23-AG3388))</f>
        <v>236393</v>
      </c>
      <c r="AI3389" s="9">
        <f ca="1">AG3378</f>
        <v>1474706.4596527766</v>
      </c>
      <c r="AJ3389" s="98"/>
      <c r="AK3389" s="106">
        <f ca="1">IF(AJ3382&lt;=0,Q_max,ABS(AJ$23-AJ3388))</f>
        <v>236393</v>
      </c>
      <c r="AL3389" s="9">
        <f ca="1">AJ3378</f>
        <v>1968001.4872053708</v>
      </c>
      <c r="AM3389" s="98"/>
      <c r="AN3389" s="106">
        <f ca="1">IF(AM3382&lt;=0,Q_max,ABS(AM$23-AM3388))</f>
        <v>236393</v>
      </c>
      <c r="AO3389" s="9">
        <f ca="1">AM3378</f>
        <v>2401335.8132907795</v>
      </c>
      <c r="AP3389" s="98"/>
      <c r="AQ3389" s="106">
        <f ca="1">IF(AP3382&lt;=0,Q_max,ABS(AP$23-AP3388))</f>
        <v>236393</v>
      </c>
      <c r="AR3389" s="9">
        <f ca="1">AP3378</f>
        <v>2787876.3306487617</v>
      </c>
      <c r="AS3389" s="98"/>
      <c r="AT3389" s="106">
        <f ca="1">IF(AS3382&lt;=0,Q_max,ABS(AS$23-AS3388))</f>
        <v>236393</v>
      </c>
      <c r="AU3389" s="9">
        <f ca="1">AS3378</f>
        <v>3269004.2500069784</v>
      </c>
    </row>
    <row r="3390" spans="15:47" x14ac:dyDescent="0.25">
      <c r="O3390" s="21"/>
      <c r="P3390" s="14"/>
      <c r="Q3390" s="21"/>
      <c r="R3390" s="97"/>
      <c r="S3390" s="106"/>
      <c r="T3390" s="28"/>
      <c r="U3390" s="97"/>
      <c r="V3390" s="111"/>
      <c r="W3390" s="28"/>
      <c r="X3390" s="97"/>
      <c r="Y3390" s="111"/>
      <c r="Z3390" s="28"/>
      <c r="AA3390" s="97"/>
      <c r="AB3390" s="111"/>
      <c r="AC3390" s="28"/>
      <c r="AD3390" s="97"/>
      <c r="AE3390" s="111"/>
      <c r="AF3390" s="28"/>
      <c r="AG3390" s="97"/>
      <c r="AH3390" s="111"/>
      <c r="AI3390" s="28"/>
      <c r="AJ3390" s="97"/>
      <c r="AK3390" s="111"/>
      <c r="AL3390" s="28"/>
      <c r="AM3390" s="97"/>
      <c r="AN3390" s="111"/>
      <c r="AO3390" s="28"/>
      <c r="AP3390" s="97"/>
      <c r="AQ3390" s="111"/>
      <c r="AR3390" s="28"/>
      <c r="AS3390" s="97"/>
      <c r="AT3390" s="111"/>
      <c r="AU3390" s="28"/>
    </row>
    <row r="3391" spans="15:47" x14ac:dyDescent="0.25">
      <c r="O3391" s="1"/>
      <c r="P3391" s="1"/>
      <c r="Q3391" s="1"/>
      <c r="R3391" s="98"/>
      <c r="S3391" s="108" t="s">
        <v>137</v>
      </c>
      <c r="T3391" s="26" t="s">
        <v>146</v>
      </c>
      <c r="U3391" s="98"/>
      <c r="V3391" s="108" t="s">
        <v>137</v>
      </c>
      <c r="W3391" s="26" t="s">
        <v>146</v>
      </c>
      <c r="X3391" s="98"/>
      <c r="Y3391" s="108" t="s">
        <v>137</v>
      </c>
      <c r="Z3391" s="26" t="s">
        <v>146</v>
      </c>
      <c r="AA3391" s="98"/>
      <c r="AB3391" s="108" t="s">
        <v>137</v>
      </c>
      <c r="AC3391" s="26" t="s">
        <v>146</v>
      </c>
      <c r="AD3391" s="98"/>
      <c r="AE3391" s="108" t="s">
        <v>137</v>
      </c>
      <c r="AF3391" s="26" t="s">
        <v>146</v>
      </c>
      <c r="AG3391" s="98"/>
      <c r="AH3391" s="108" t="s">
        <v>137</v>
      </c>
      <c r="AI3391" s="26" t="s">
        <v>146</v>
      </c>
      <c r="AJ3391" s="98"/>
      <c r="AK3391" s="108" t="s">
        <v>137</v>
      </c>
      <c r="AL3391" s="26" t="s">
        <v>146</v>
      </c>
      <c r="AM3391" s="98"/>
      <c r="AN3391" s="108" t="s">
        <v>137</v>
      </c>
      <c r="AO3391" s="26" t="s">
        <v>146</v>
      </c>
      <c r="AP3391" s="98"/>
      <c r="AQ3391" s="108" t="s">
        <v>137</v>
      </c>
      <c r="AR3391" s="26" t="s">
        <v>146</v>
      </c>
      <c r="AS3391" s="98"/>
      <c r="AT3391" s="108" t="s">
        <v>137</v>
      </c>
      <c r="AU3391" s="26" t="s">
        <v>146</v>
      </c>
    </row>
    <row r="3392" spans="15:47" ht="13.8" x14ac:dyDescent="0.25">
      <c r="O3392" s="20" t="s">
        <v>136</v>
      </c>
      <c r="P3392" s="1"/>
      <c r="Q3392" s="1"/>
      <c r="R3392" s="96">
        <f>R3378*1.02</f>
        <v>36925.627681782644</v>
      </c>
      <c r="S3392" s="109" t="s">
        <v>144</v>
      </c>
      <c r="T3392" s="23" t="s">
        <v>147</v>
      </c>
      <c r="U3392" s="96">
        <f ca="1">U3378*1.01</f>
        <v>127540.35810697659</v>
      </c>
      <c r="V3392" s="109" t="s">
        <v>144</v>
      </c>
      <c r="W3392" s="23" t="s">
        <v>147</v>
      </c>
      <c r="X3392" s="96">
        <f ca="1">X3378*1.01</f>
        <v>312299.48819711135</v>
      </c>
      <c r="Y3392" s="109" t="s">
        <v>144</v>
      </c>
      <c r="Z3392" s="23" t="s">
        <v>147</v>
      </c>
      <c r="AA3392" s="96">
        <f ca="1">AA3378*1.01</f>
        <v>608279.68999602029</v>
      </c>
      <c r="AB3392" s="109" t="s">
        <v>144</v>
      </c>
      <c r="AC3392" s="23" t="s">
        <v>147</v>
      </c>
      <c r="AD3392" s="96">
        <f ca="1">AD3378*1.01</f>
        <v>1020504.0970572374</v>
      </c>
      <c r="AE3392" s="109" t="s">
        <v>144</v>
      </c>
      <c r="AF3392" s="23" t="s">
        <v>147</v>
      </c>
      <c r="AG3392" s="96">
        <f ca="1">AG3378*1.01</f>
        <v>1489453.5242493043</v>
      </c>
      <c r="AH3392" s="109" t="s">
        <v>144</v>
      </c>
      <c r="AI3392" s="23" t="s">
        <v>147</v>
      </c>
      <c r="AJ3392" s="96">
        <f ca="1">AJ3378*1.01</f>
        <v>1987681.5020774244</v>
      </c>
      <c r="AK3392" s="109" t="s">
        <v>144</v>
      </c>
      <c r="AL3392" s="23" t="s">
        <v>147</v>
      </c>
      <c r="AM3392" s="96">
        <f ca="1">AM3378*1.01</f>
        <v>2425349.1714236871</v>
      </c>
      <c r="AN3392" s="109" t="s">
        <v>144</v>
      </c>
      <c r="AO3392" s="23" t="s">
        <v>147</v>
      </c>
      <c r="AP3392" s="96">
        <f ca="1">AP3378*1.01</f>
        <v>2815755.0939552495</v>
      </c>
      <c r="AQ3392" s="109" t="s">
        <v>144</v>
      </c>
      <c r="AR3392" s="23" t="s">
        <v>147</v>
      </c>
      <c r="AS3392" s="96">
        <f ca="1">AS3378*1.01</f>
        <v>3301694.2925070482</v>
      </c>
      <c r="AT3392" s="109" t="s">
        <v>144</v>
      </c>
      <c r="AU3392" s="23" t="s">
        <v>147</v>
      </c>
    </row>
    <row r="3393" spans="15:47" x14ac:dyDescent="0.25">
      <c r="O3393" s="1"/>
      <c r="P3393" s="1"/>
      <c r="Q3393" s="1"/>
      <c r="R3393" s="98"/>
      <c r="S3393" s="107"/>
      <c r="T3393" s="1"/>
      <c r="U3393" s="47"/>
      <c r="V3393" s="107"/>
      <c r="W3393" s="1"/>
      <c r="X3393" s="47"/>
      <c r="Y3393" s="107"/>
      <c r="Z3393" s="1"/>
      <c r="AA3393" s="47"/>
      <c r="AB3393" s="107"/>
      <c r="AC3393" s="1"/>
      <c r="AD3393" s="47"/>
      <c r="AE3393" s="107"/>
      <c r="AF3393" s="1"/>
      <c r="AG3393" s="47"/>
      <c r="AH3393" s="107"/>
      <c r="AI3393" s="1"/>
      <c r="AJ3393" s="47"/>
      <c r="AK3393" s="107"/>
      <c r="AL3393" s="1"/>
      <c r="AM3393" s="47"/>
      <c r="AN3393" s="107"/>
      <c r="AO3393" s="1"/>
      <c r="AP3393" s="47"/>
      <c r="AQ3393" s="107"/>
      <c r="AR3393" s="1"/>
      <c r="AS3393" s="47"/>
      <c r="AT3393" s="107"/>
      <c r="AU3393" s="1"/>
    </row>
    <row r="3394" spans="15:47" x14ac:dyDescent="0.25">
      <c r="O3394" s="8" t="s">
        <v>132</v>
      </c>
      <c r="P3394" s="8"/>
      <c r="Q3394" s="8"/>
      <c r="R3394" s="96">
        <f>P_1_minQ-(R3392^2*R_up)+dpup_minQ</f>
        <v>89.936527417012101</v>
      </c>
      <c r="S3394" s="106"/>
      <c r="T3394" s="22"/>
      <c r="U3394" s="96">
        <f ca="1">P_1_minQ-(U3392^2*R_up)+dpup_minQ</f>
        <v>87.220285590815749</v>
      </c>
      <c r="V3394" s="107"/>
      <c r="W3394" s="1"/>
      <c r="X3394" s="96">
        <f ca="1">P_1_minQ-(X3392^2*R_up)+dpup_minQ</f>
        <v>72.408957007915404</v>
      </c>
      <c r="Y3394" s="107"/>
      <c r="Z3394" s="1"/>
      <c r="AA3394" s="96">
        <f ca="1">P_1_minQ-(AA3392^2*R_up)+dpup_minQ</f>
        <v>22.747741305293076</v>
      </c>
      <c r="AB3394" s="107"/>
      <c r="AC3394" s="1"/>
      <c r="AD3394" s="96">
        <f ca="1">P_1_minQ-(AD3392^2*R_up)+dpup_minQ</f>
        <v>-99.626687263910412</v>
      </c>
      <c r="AE3394" s="107"/>
      <c r="AF3394" s="1"/>
      <c r="AG3394" s="96">
        <f ca="1">P_1_minQ-(AG3392^2*R_up)+dpup_minQ</f>
        <v>-314.15565137545997</v>
      </c>
      <c r="AH3394" s="107"/>
      <c r="AI3394" s="1"/>
      <c r="AJ3394" s="96">
        <f ca="1">P_1_minQ-(AJ3392^2*R_up)+dpup_minQ</f>
        <v>-629.9055389033623</v>
      </c>
      <c r="AK3394" s="107"/>
      <c r="AL3394" s="1"/>
      <c r="AM3394" s="96">
        <f ca="1">P_1_minQ-(AM3392^2*R_up)+dpup_minQ</f>
        <v>-981.93170808698596</v>
      </c>
      <c r="AN3394" s="107"/>
      <c r="AO3394" s="1"/>
      <c r="AP3394" s="96">
        <f ca="1">P_1_minQ-(AP3392^2*R_up)+dpup_minQ</f>
        <v>-1354.866356203735</v>
      </c>
      <c r="AQ3394" s="107"/>
      <c r="AR3394" s="1"/>
      <c r="AS3394" s="96">
        <f ca="1">P_1_minQ-(AS3392^2*R_up)+dpup_minQ</f>
        <v>-1896.6749074074869</v>
      </c>
      <c r="AT3394" s="107"/>
      <c r="AU3394" s="1"/>
    </row>
    <row r="3395" spans="15:47" x14ac:dyDescent="0.25">
      <c r="O3395" s="8" t="s">
        <v>134</v>
      </c>
      <c r="P3395" s="1"/>
      <c r="Q3395" s="8"/>
      <c r="R3395" s="97">
        <f>P_2_minQ+(R3392^2*R_dn)-dpdn_minQ</f>
        <v>60</v>
      </c>
      <c r="S3395" s="106"/>
      <c r="T3395" s="22"/>
      <c r="U3395" s="97">
        <f ca="1">P_2_minQ+(U3392^2*R_dn)-dpdn_minQ</f>
        <v>60</v>
      </c>
      <c r="V3395" s="107"/>
      <c r="W3395" s="1"/>
      <c r="X3395" s="97">
        <f ca="1">P_2_minQ+(X3392^2*R_dn)-dpdn_minQ</f>
        <v>60</v>
      </c>
      <c r="Y3395" s="107"/>
      <c r="Z3395" s="1"/>
      <c r="AA3395" s="97">
        <f ca="1">P_2_minQ+(AA3392^2*R_dn)-dpdn_minQ</f>
        <v>60</v>
      </c>
      <c r="AB3395" s="107"/>
      <c r="AC3395" s="1"/>
      <c r="AD3395" s="97">
        <f ca="1">P_2_minQ+(AD3392^2*R_dn)-dpdn_minQ</f>
        <v>60</v>
      </c>
      <c r="AE3395" s="107"/>
      <c r="AF3395" s="1"/>
      <c r="AG3395" s="97">
        <f ca="1">P_2_minQ+(AG3392^2*R_dn)-dpdn_minQ</f>
        <v>60</v>
      </c>
      <c r="AH3395" s="107"/>
      <c r="AI3395" s="1"/>
      <c r="AJ3395" s="97">
        <f ca="1">P_2_minQ+(AJ3392^2*R_dn)-dpdn_minQ</f>
        <v>60</v>
      </c>
      <c r="AK3395" s="107"/>
      <c r="AL3395" s="1"/>
      <c r="AM3395" s="97">
        <f ca="1">P_2_minQ+(AM3392^2*R_dn)-dpdn_minQ</f>
        <v>60</v>
      </c>
      <c r="AN3395" s="107"/>
      <c r="AO3395" s="1"/>
      <c r="AP3395" s="97">
        <f ca="1">P_2_minQ+(AP3392^2*R_dn)-dpdn_minQ</f>
        <v>60</v>
      </c>
      <c r="AQ3395" s="107"/>
      <c r="AR3395" s="1"/>
      <c r="AS3395" s="97">
        <f ca="1">P_2_minQ+(AS3392^2*R_dn)-dpdn_minQ</f>
        <v>60</v>
      </c>
      <c r="AT3395" s="107"/>
      <c r="AU3395" s="1"/>
    </row>
    <row r="3396" spans="15:47" x14ac:dyDescent="0.25">
      <c r="O3396" s="8" t="s">
        <v>138</v>
      </c>
      <c r="P3396" s="1"/>
      <c r="Q3396" s="8"/>
      <c r="R3396" s="97">
        <f>R3394-R3395</f>
        <v>29.936527417012101</v>
      </c>
      <c r="S3396" s="106"/>
      <c r="T3396" s="22"/>
      <c r="U3396" s="97">
        <f ca="1">U3394-U3395</f>
        <v>27.220285590815749</v>
      </c>
      <c r="V3396" s="110"/>
      <c r="W3396" s="25"/>
      <c r="X3396" s="97">
        <f ca="1">X3394-X3395</f>
        <v>12.408957007915404</v>
      </c>
      <c r="Y3396" s="110"/>
      <c r="Z3396" s="25"/>
      <c r="AA3396" s="97">
        <f ca="1">AA3394-AA3395</f>
        <v>-37.252258694706924</v>
      </c>
      <c r="AB3396" s="110"/>
      <c r="AC3396" s="25"/>
      <c r="AD3396" s="97">
        <f ca="1">AD3394-AD3395</f>
        <v>-159.62668726391041</v>
      </c>
      <c r="AE3396" s="110"/>
      <c r="AF3396" s="25"/>
      <c r="AG3396" s="97">
        <f ca="1">AG3394-AG3395</f>
        <v>-374.15565137545997</v>
      </c>
      <c r="AH3396" s="110"/>
      <c r="AI3396" s="25"/>
      <c r="AJ3396" s="97">
        <f ca="1">AJ3394-AJ3395</f>
        <v>-689.9055389033623</v>
      </c>
      <c r="AK3396" s="110"/>
      <c r="AL3396" s="25"/>
      <c r="AM3396" s="97">
        <f ca="1">AM3394-AM3395</f>
        <v>-1041.931708086986</v>
      </c>
      <c r="AN3396" s="110"/>
      <c r="AO3396" s="25"/>
      <c r="AP3396" s="97">
        <f ca="1">AP3394-AP3395</f>
        <v>-1414.866356203735</v>
      </c>
      <c r="AQ3396" s="110"/>
      <c r="AR3396" s="25"/>
      <c r="AS3396" s="97">
        <f ca="1">AS3394-AS3395</f>
        <v>-1956.6749074074869</v>
      </c>
      <c r="AT3396" s="110"/>
      <c r="AU3396" s="25"/>
    </row>
    <row r="3397" spans="15:47" ht="14.4" x14ac:dyDescent="0.3">
      <c r="O3397" s="2" t="s">
        <v>140</v>
      </c>
      <c r="P3397" s="11"/>
      <c r="Q3397" s="2"/>
      <c r="R3397" s="96">
        <f>R3396/R3394</f>
        <v>0.33286283423201646</v>
      </c>
      <c r="S3397" s="106"/>
      <c r="T3397" s="22"/>
      <c r="U3397" s="96">
        <f ca="1">U3396/U3394</f>
        <v>0.31208663680048798</v>
      </c>
      <c r="V3397" s="111"/>
      <c r="W3397" s="28"/>
      <c r="X3397" s="96">
        <f ca="1">X3396/X3394</f>
        <v>0.1713732322723405</v>
      </c>
      <c r="Y3397" s="111"/>
      <c r="Z3397" s="28"/>
      <c r="AA3397" s="96">
        <f ca="1">AA3396/AA3394</f>
        <v>-1.6376245093854156</v>
      </c>
      <c r="AB3397" s="111"/>
      <c r="AC3397" s="28"/>
      <c r="AD3397" s="96">
        <f ca="1">AD3396/AD3394</f>
        <v>1.6022482694928961</v>
      </c>
      <c r="AE3397" s="111"/>
      <c r="AF3397" s="28"/>
      <c r="AG3397" s="96">
        <f ca="1">AG3396/AG3394</f>
        <v>1.1909881287740758</v>
      </c>
      <c r="AH3397" s="111"/>
      <c r="AI3397" s="28"/>
      <c r="AJ3397" s="96">
        <f ca="1">AJ3396/AJ3394</f>
        <v>1.0952523772127125</v>
      </c>
      <c r="AK3397" s="111"/>
      <c r="AL3397" s="28"/>
      <c r="AM3397" s="96">
        <f ca="1">AM3396/AM3394</f>
        <v>1.0611040457354135</v>
      </c>
      <c r="AN3397" s="111"/>
      <c r="AO3397" s="28"/>
      <c r="AP3397" s="96">
        <f ca="1">AP3396/AP3394</f>
        <v>1.0442848106200797</v>
      </c>
      <c r="AQ3397" s="111"/>
      <c r="AR3397" s="28"/>
      <c r="AS3397" s="96">
        <f ca="1">AS3396/AS3394</f>
        <v>1.0316343089507165</v>
      </c>
      <c r="AT3397" s="111"/>
      <c r="AU3397" s="28"/>
    </row>
    <row r="3398" spans="15:47" x14ac:dyDescent="0.25">
      <c r="O3398" s="2" t="s">
        <v>21</v>
      </c>
      <c r="P3398" s="8">
        <v>12</v>
      </c>
      <c r="Q3398" s="2"/>
      <c r="R3398" s="96">
        <f ca="1">1-R3397/(3*F_GAMMA*R$29)</f>
        <v>0.82664198472609374</v>
      </c>
      <c r="S3398" s="106"/>
      <c r="T3398" s="22"/>
      <c r="U3398" s="96">
        <f ca="1">1-U3397/(3*F_GAMMA*U$29)</f>
        <v>0.8375001787189652</v>
      </c>
      <c r="V3398" s="111"/>
      <c r="W3398" s="28"/>
      <c r="X3398" s="96">
        <f ca="1">1-X3397/(3*F_GAMMA*X$29)</f>
        <v>0.90991811822558222</v>
      </c>
      <c r="Y3398" s="111"/>
      <c r="Z3398" s="28"/>
      <c r="AA3398" s="96">
        <f ca="1">1-AA3397/(3*F_GAMMA*AA$29)</f>
        <v>1.8729470384748321</v>
      </c>
      <c r="AB3398" s="111"/>
      <c r="AC3398" s="28"/>
      <c r="AD3398" s="96">
        <f ca="1">1-AD3397/(3*F_GAMMA*AD$29)</f>
        <v>0.11942162414817592</v>
      </c>
      <c r="AE3398" s="111"/>
      <c r="AF3398" s="28"/>
      <c r="AG3398" s="96">
        <f ca="1">1-AG3397/(3*F_GAMMA*AG$29)</f>
        <v>0.30616846581558599</v>
      </c>
      <c r="AH3398" s="111"/>
      <c r="AI3398" s="28"/>
      <c r="AJ3398" s="96">
        <f ca="1">1-AJ3397/(3*F_GAMMA*AJ$29)</f>
        <v>0.31353592354795912</v>
      </c>
      <c r="AK3398" s="111"/>
      <c r="AL3398" s="28"/>
      <c r="AM3398" s="96">
        <f ca="1">1-AM3397/(3*F_GAMMA*AM$29)</f>
        <v>0.25640680813952577</v>
      </c>
      <c r="AN3398" s="111"/>
      <c r="AO3398" s="28"/>
      <c r="AP3398" s="96">
        <f ca="1">1-AP3397/(3*F_GAMMA*AP$29)</f>
        <v>0.41054965967424062</v>
      </c>
      <c r="AQ3398" s="111"/>
      <c r="AR3398" s="28"/>
      <c r="AS3398" s="96">
        <f ca="1">1-AS3397/(3*F_GAMMA*AS$29)</f>
        <v>8.7105727018882861E-2</v>
      </c>
      <c r="AT3398" s="111"/>
      <c r="AU3398" s="28"/>
    </row>
    <row r="3399" spans="15:47" x14ac:dyDescent="0.25">
      <c r="O3399" s="2" t="s">
        <v>57</v>
      </c>
      <c r="P3399" s="143">
        <v>7</v>
      </c>
      <c r="Q3399" s="2"/>
      <c r="R3399" s="96">
        <f ca="1">(R3392/(N_9*R$27*R3394*R3398))*SQRT(M*'Valve Sizing'!$W$6*'Valve Sizing'!$G$8/R3397)</f>
        <v>14.977098753254568</v>
      </c>
      <c r="S3399" s="107"/>
      <c r="T3399" s="22"/>
      <c r="U3399" s="96">
        <f ca="1">(U3392/(N_9*U$27*U3394*U3398))*SQRT(M*'Valve Sizing'!$W$6*'Valve Sizing'!$G$8/U3397)</f>
        <v>54.409975567319599</v>
      </c>
      <c r="V3399" s="111"/>
      <c r="W3399" s="28"/>
      <c r="X3399" s="96">
        <f ca="1">(X3392/(N_9*X$27*X3394*X3398))*SQRT(M*'Valve Sizing'!$W$6*'Valve Sizing'!$G$8/X3397)</f>
        <v>199.79042562083117</v>
      </c>
      <c r="Y3399" s="111"/>
      <c r="Z3399" s="28"/>
      <c r="AA3399" s="96" t="e">
        <f ca="1">(AA3392/(N_9*AA$27*AA3394*AA3398))*SQRT(M*'Valve Sizing'!$W$6*'Valve Sizing'!$G$8/AA3397)</f>
        <v>#NUM!</v>
      </c>
      <c r="AB3399" s="111"/>
      <c r="AC3399" s="28"/>
      <c r="AD3399" s="96">
        <f ca="1">(AD3392/(N_9*AD$27*AD3394*AD3398))*SQRT(M*'Valve Sizing'!$W$6*'Valve Sizing'!$G$8/AD3397)</f>
        <v>-1204.1406288877065</v>
      </c>
      <c r="AE3399" s="111"/>
      <c r="AF3399" s="28"/>
      <c r="AG3399" s="96">
        <f ca="1">(AG3392/(N_9*AG$27*AG3394*AG3398))*SQRT(M*'Valve Sizing'!$W$6*'Valve Sizing'!$G$8/AG3397)</f>
        <v>-257.82156782025055</v>
      </c>
      <c r="AH3399" s="111"/>
      <c r="AI3399" s="28"/>
      <c r="AJ3399" s="96">
        <f ca="1">(AJ3392/(N_9*AJ$27*AJ3394*AJ3398))*SQRT(M*'Valve Sizing'!$W$6*'Valve Sizing'!$G$8/AJ3397)</f>
        <v>-181.05117090701344</v>
      </c>
      <c r="AK3399" s="111"/>
      <c r="AL3399" s="28"/>
      <c r="AM3399" s="96">
        <f ca="1">(AM3392/(N_9*AM$27*AM3394*AM3398))*SQRT(M*'Valve Sizing'!$W$6*'Valve Sizing'!$G$8/AM3397)</f>
        <v>-186.80027921272929</v>
      </c>
      <c r="AN3399" s="111"/>
      <c r="AO3399" s="28"/>
      <c r="AP3399" s="96">
        <f ca="1">(AP3392/(N_9*AP$27*AP3394*AP3398))*SQRT(M*'Valve Sizing'!$W$6*'Valve Sizing'!$G$8/AP3397)</f>
        <v>-112.6244751157157</v>
      </c>
      <c r="AQ3399" s="111"/>
      <c r="AR3399" s="28"/>
      <c r="AS3399" s="96">
        <f ca="1">(AS3392/(N_9*AS$27*AS3394*AS3398))*SQRT(M*'Valve Sizing'!$W$6*'Valve Sizing'!$G$8/AS3397)</f>
        <v>-599.17118430275468</v>
      </c>
      <c r="AT3399" s="111"/>
      <c r="AU3399" s="28"/>
    </row>
    <row r="3400" spans="15:47" x14ac:dyDescent="0.25">
      <c r="O3400" s="2" t="s">
        <v>59</v>
      </c>
      <c r="P3400" s="143">
        <v>7</v>
      </c>
      <c r="Q3400" s="2"/>
      <c r="R3400" s="96">
        <f ca="1">(R3392/(N_9*R$27*R3394*0.667))*SQRT(M*'Valve Sizing'!$W$6*'Valve Sizing'!$G$8/R3401)</f>
        <v>13.386033545994451</v>
      </c>
      <c r="S3400" s="107"/>
      <c r="T3400" s="22"/>
      <c r="U3400" s="96">
        <f ca="1">(U3392/(N_9*U$27*U3394*0.667))*SQRT(M*'Valve Sizing'!$W$6*'Valve Sizing'!$G$8/U3401)</f>
        <v>47.700691681643626</v>
      </c>
      <c r="V3400" s="111"/>
      <c r="W3400" s="28"/>
      <c r="X3400" s="96">
        <f ca="1">(X3392/(N_9*X$27*X3394*0.667))*SQRT(M*'Valve Sizing'!$W$6*'Valve Sizing'!$G$8/X3401)</f>
        <v>141.68716257236278</v>
      </c>
      <c r="Y3400" s="111"/>
      <c r="Z3400" s="28"/>
      <c r="AA3400" s="96">
        <f ca="1">(AA3392/(N_9*AA$27*AA3394*0.667))*SQRT(M*'Valve Sizing'!$W$6*'Valve Sizing'!$G$8/AA3401)</f>
        <v>889.86828569045338</v>
      </c>
      <c r="AB3400" s="111"/>
      <c r="AC3400" s="28"/>
      <c r="AD3400" s="96">
        <f ca="1">(AD3392/(N_9*AD$27*AD3394*0.667))*SQRT(M*'Valve Sizing'!$W$6*'Valve Sizing'!$G$8/AD3401)</f>
        <v>-350.41201194516066</v>
      </c>
      <c r="AE3400" s="111"/>
      <c r="AF3400" s="28"/>
      <c r="AG3400" s="96">
        <f ca="1">(AG3392/(N_9*AG$27*AG3394*0.667))*SQRT(M*'Valve Sizing'!$W$6*'Valve Sizing'!$G$8/AG3401)</f>
        <v>-170.7424518783854</v>
      </c>
      <c r="AH3400" s="111"/>
      <c r="AI3400" s="28"/>
      <c r="AJ3400" s="96">
        <f ca="1">(AJ3392/(N_9*AJ$27*AJ3394*0.667))*SQRT(M*'Valve Sizing'!$W$6*'Valve Sizing'!$G$8/AJ3401)</f>
        <v>-122.13280915318016</v>
      </c>
      <c r="AK3400" s="111"/>
      <c r="AL3400" s="28"/>
      <c r="AM3400" s="96">
        <f ca="1">(AM3392/(N_9*AM$27*AM3394*0.667))*SQRT(M*'Valve Sizing'!$W$6*'Valve Sizing'!$G$8/AM3401)</f>
        <v>-107.25302977022901</v>
      </c>
      <c r="AN3400" s="111"/>
      <c r="AO3400" s="28"/>
      <c r="AP3400" s="96">
        <f ca="1">(AP3392/(N_9*AP$27*AP3394*0.667))*SQRT(M*'Valve Sizing'!$W$6*'Valve Sizing'!$G$8/AP3401)</f>
        <v>-92.184282814205844</v>
      </c>
      <c r="AQ3400" s="111"/>
      <c r="AR3400" s="28"/>
      <c r="AS3400" s="96">
        <f ca="1">(AS3392/(N_9*AS$27*AS3394*0.667))*SQRT(M*'Valve Sizing'!$W$6*'Valve Sizing'!$G$8/AS3401)</f>
        <v>-129.49191796722496</v>
      </c>
      <c r="AT3400" s="111"/>
      <c r="AU3400" s="28"/>
    </row>
    <row r="3401" spans="15:47" ht="15.6" x14ac:dyDescent="0.35">
      <c r="O3401" s="2" t="s">
        <v>68</v>
      </c>
      <c r="P3401" s="143">
        <v>10</v>
      </c>
      <c r="Q3401" s="2"/>
      <c r="R3401" s="96">
        <f ca="1">F_GAMMA*R$29</f>
        <v>0.64002969751372984</v>
      </c>
      <c r="S3401" s="107"/>
      <c r="T3401" s="1"/>
      <c r="U3401" s="96">
        <f ca="1">F_GAMMA*U$29</f>
        <v>0.64017842058782071</v>
      </c>
      <c r="V3401" s="111"/>
      <c r="W3401" s="28"/>
      <c r="X3401" s="96">
        <f ca="1">F_GAMMA*X$29</f>
        <v>0.63413873724904268</v>
      </c>
      <c r="Y3401" s="111"/>
      <c r="Z3401" s="28"/>
      <c r="AA3401" s="96">
        <f ca="1">F_GAMMA*AA$29</f>
        <v>0.62532411750377137</v>
      </c>
      <c r="AB3401" s="111"/>
      <c r="AC3401" s="28"/>
      <c r="AD3401" s="96">
        <f ca="1">F_GAMMA*AD$29</f>
        <v>0.60651359509139569</v>
      </c>
      <c r="AE3401" s="111"/>
      <c r="AF3401" s="28"/>
      <c r="AG3401" s="96">
        <f ca="1">F_GAMMA*AG$29</f>
        <v>0.57217930198481592</v>
      </c>
      <c r="AH3401" s="111"/>
      <c r="AI3401" s="28"/>
      <c r="AJ3401" s="96">
        <f ca="1">F_GAMMA*AJ$29</f>
        <v>0.53183282018848232</v>
      </c>
      <c r="AK3401" s="111"/>
      <c r="AL3401" s="28"/>
      <c r="AM3401" s="96">
        <f ca="1">F_GAMMA*AM$29</f>
        <v>0.47566512503094399</v>
      </c>
      <c r="AN3401" s="111"/>
      <c r="AO3401" s="28"/>
      <c r="AP3401" s="96">
        <f ca="1">F_GAMMA*AP$29</f>
        <v>0.59054158265645496</v>
      </c>
      <c r="AQ3401" s="111"/>
      <c r="AR3401" s="28"/>
      <c r="AS3401" s="96">
        <f ca="1">F_GAMMA*AS$29</f>
        <v>0.3766899554102966</v>
      </c>
      <c r="AT3401" s="111"/>
      <c r="AU3401" s="28"/>
    </row>
    <row r="3402" spans="15:47" x14ac:dyDescent="0.25">
      <c r="O3402" s="2" t="s">
        <v>145</v>
      </c>
      <c r="P3402" s="12"/>
      <c r="Q3402" s="2"/>
      <c r="R3402" s="96">
        <f ca="1">IF(R3397&lt;R3401,R3399,R3400)</f>
        <v>14.977098753254568</v>
      </c>
      <c r="S3402" s="116"/>
      <c r="T3402" s="1"/>
      <c r="U3402" s="96">
        <f ca="1">IF(U3397&lt;U3401,U3399,U3400)</f>
        <v>54.409975567319599</v>
      </c>
      <c r="V3402" s="111"/>
      <c r="W3402" s="28"/>
      <c r="X3402" s="96">
        <f ca="1">IF(X3397&lt;X3401,X3399,X3400)</f>
        <v>199.79042562083117</v>
      </c>
      <c r="Y3402" s="111"/>
      <c r="Z3402" s="28"/>
      <c r="AA3402" s="96" t="e">
        <f ca="1">IF(AA3397&lt;AA3401,AA3399,AA3400)</f>
        <v>#NUM!</v>
      </c>
      <c r="AB3402" s="111"/>
      <c r="AC3402" s="28"/>
      <c r="AD3402" s="96">
        <f ca="1">IF(AD3397&lt;AD3401,AD3399,AD3400)</f>
        <v>-350.41201194516066</v>
      </c>
      <c r="AE3402" s="111"/>
      <c r="AF3402" s="28"/>
      <c r="AG3402" s="96">
        <f ca="1">IF(AG3397&lt;AG3401,AG3399,AG3400)</f>
        <v>-170.7424518783854</v>
      </c>
      <c r="AH3402" s="111"/>
      <c r="AI3402" s="28"/>
      <c r="AJ3402" s="96">
        <f ca="1">IF(AJ3397&lt;AJ3401,AJ3399,AJ3400)</f>
        <v>-122.13280915318016</v>
      </c>
      <c r="AK3402" s="111"/>
      <c r="AL3402" s="28"/>
      <c r="AM3402" s="96">
        <f ca="1">IF(AM3397&lt;AM3401,AM3399,AM3400)</f>
        <v>-107.25302977022901</v>
      </c>
      <c r="AN3402" s="111"/>
      <c r="AO3402" s="28"/>
      <c r="AP3402" s="96">
        <f ca="1">IF(AP3397&lt;AP3401,AP3399,AP3400)</f>
        <v>-92.184282814205844</v>
      </c>
      <c r="AQ3402" s="111"/>
      <c r="AR3402" s="28"/>
      <c r="AS3402" s="96">
        <f ca="1">IF(AS3397&lt;AS3401,AS3399,AS3400)</f>
        <v>-129.49191796722496</v>
      </c>
      <c r="AT3402" s="111"/>
      <c r="AU3402" s="28"/>
    </row>
    <row r="3403" spans="15:47" x14ac:dyDescent="0.25">
      <c r="O3403" s="13" t="s">
        <v>143</v>
      </c>
      <c r="P3403" s="1"/>
      <c r="Q3403" s="1"/>
      <c r="R3403" s="113"/>
      <c r="S3403" s="106">
        <f ca="1">IF(R3396&lt;=0,Q_max,ABS(R$23-R3402))</f>
        <v>10.247098753254567</v>
      </c>
      <c r="T3403" s="7">
        <f>R3392</f>
        <v>36925.627681782644</v>
      </c>
      <c r="U3403" s="98"/>
      <c r="V3403" s="106">
        <f ca="1">IF(U3396&lt;=0,Q_max,ABS(U$23-U3402))</f>
        <v>42.809975567319597</v>
      </c>
      <c r="W3403" s="9">
        <f ca="1">U3392</f>
        <v>127540.35810697659</v>
      </c>
      <c r="X3403" s="98"/>
      <c r="Y3403" s="106">
        <f ca="1">IF(X3396&lt;=0,Q_max,ABS(X$23-X3402))</f>
        <v>176.79042562083117</v>
      </c>
      <c r="Z3403" s="9">
        <f ca="1">X3392</f>
        <v>312299.48819711135</v>
      </c>
      <c r="AA3403" s="98"/>
      <c r="AB3403" s="106">
        <f ca="1">IF(AA3396&lt;=0,Q_max,ABS(AA$23-AA3402))</f>
        <v>236393</v>
      </c>
      <c r="AC3403" s="9">
        <f ca="1">AA3392</f>
        <v>608279.68999602029</v>
      </c>
      <c r="AD3403" s="98"/>
      <c r="AE3403" s="106">
        <f ca="1">IF(AD3396&lt;=0,Q_max,ABS(AD$23-AD3402))</f>
        <v>236393</v>
      </c>
      <c r="AF3403" s="9">
        <f ca="1">AD3392</f>
        <v>1020504.0970572374</v>
      </c>
      <c r="AG3403" s="98"/>
      <c r="AH3403" s="106">
        <f ca="1">IF(AG3396&lt;=0,Q_max,ABS(AG$23-AG3402))</f>
        <v>236393</v>
      </c>
      <c r="AI3403" s="9">
        <f ca="1">AG3392</f>
        <v>1489453.5242493043</v>
      </c>
      <c r="AJ3403" s="98"/>
      <c r="AK3403" s="106">
        <f ca="1">IF(AJ3396&lt;=0,Q_max,ABS(AJ$23-AJ3402))</f>
        <v>236393</v>
      </c>
      <c r="AL3403" s="9">
        <f ca="1">AJ3392</f>
        <v>1987681.5020774244</v>
      </c>
      <c r="AM3403" s="98"/>
      <c r="AN3403" s="106">
        <f ca="1">IF(AM3396&lt;=0,Q_max,ABS(AM$23-AM3402))</f>
        <v>236393</v>
      </c>
      <c r="AO3403" s="9">
        <f ca="1">AM3392</f>
        <v>2425349.1714236871</v>
      </c>
      <c r="AP3403" s="98"/>
      <c r="AQ3403" s="106">
        <f ca="1">IF(AP3396&lt;=0,Q_max,ABS(AP$23-AP3402))</f>
        <v>236393</v>
      </c>
      <c r="AR3403" s="9">
        <f ca="1">AP3392</f>
        <v>2815755.0939552495</v>
      </c>
      <c r="AS3403" s="98"/>
      <c r="AT3403" s="106">
        <f ca="1">IF(AS3396&lt;=0,Q_max,ABS(AS$23-AS3402))</f>
        <v>236393</v>
      </c>
      <c r="AU3403" s="9">
        <f ca="1">AS3392</f>
        <v>3301694.2925070482</v>
      </c>
    </row>
    <row r="3404" spans="15:47" x14ac:dyDescent="0.25">
      <c r="O3404" s="21"/>
      <c r="P3404" s="14"/>
      <c r="Q3404" s="21"/>
      <c r="R3404" s="97"/>
      <c r="S3404" s="106"/>
      <c r="T3404" s="28"/>
      <c r="U3404" s="97"/>
      <c r="V3404" s="111"/>
      <c r="W3404" s="28"/>
      <c r="X3404" s="97"/>
      <c r="Y3404" s="111"/>
      <c r="Z3404" s="28"/>
      <c r="AA3404" s="97"/>
      <c r="AB3404" s="111"/>
      <c r="AC3404" s="28"/>
      <c r="AD3404" s="97"/>
      <c r="AE3404" s="111"/>
      <c r="AF3404" s="28"/>
      <c r="AG3404" s="97"/>
      <c r="AH3404" s="111"/>
      <c r="AI3404" s="28"/>
      <c r="AJ3404" s="97"/>
      <c r="AK3404" s="111"/>
      <c r="AL3404" s="28"/>
      <c r="AM3404" s="97"/>
      <c r="AN3404" s="111"/>
      <c r="AO3404" s="28"/>
      <c r="AP3404" s="97"/>
      <c r="AQ3404" s="111"/>
      <c r="AR3404" s="28"/>
      <c r="AS3404" s="97"/>
      <c r="AT3404" s="111"/>
      <c r="AU3404" s="28"/>
    </row>
    <row r="3405" spans="15:47" x14ac:dyDescent="0.25">
      <c r="O3405" s="1"/>
      <c r="P3405" s="1"/>
      <c r="Q3405" s="1"/>
      <c r="R3405" s="98"/>
      <c r="S3405" s="108" t="s">
        <v>137</v>
      </c>
      <c r="T3405" s="26" t="s">
        <v>146</v>
      </c>
      <c r="U3405" s="98"/>
      <c r="V3405" s="108" t="s">
        <v>137</v>
      </c>
      <c r="W3405" s="26" t="s">
        <v>146</v>
      </c>
      <c r="X3405" s="98"/>
      <c r="Y3405" s="108" t="s">
        <v>137</v>
      </c>
      <c r="Z3405" s="26" t="s">
        <v>146</v>
      </c>
      <c r="AA3405" s="98"/>
      <c r="AB3405" s="108" t="s">
        <v>137</v>
      </c>
      <c r="AC3405" s="26" t="s">
        <v>146</v>
      </c>
      <c r="AD3405" s="98"/>
      <c r="AE3405" s="108" t="s">
        <v>137</v>
      </c>
      <c r="AF3405" s="26" t="s">
        <v>146</v>
      </c>
      <c r="AG3405" s="98"/>
      <c r="AH3405" s="108" t="s">
        <v>137</v>
      </c>
      <c r="AI3405" s="26" t="s">
        <v>146</v>
      </c>
      <c r="AJ3405" s="98"/>
      <c r="AK3405" s="108" t="s">
        <v>137</v>
      </c>
      <c r="AL3405" s="26" t="s">
        <v>146</v>
      </c>
      <c r="AM3405" s="98"/>
      <c r="AN3405" s="108" t="s">
        <v>137</v>
      </c>
      <c r="AO3405" s="26" t="s">
        <v>146</v>
      </c>
      <c r="AP3405" s="98"/>
      <c r="AQ3405" s="108" t="s">
        <v>137</v>
      </c>
      <c r="AR3405" s="26" t="s">
        <v>146</v>
      </c>
      <c r="AS3405" s="98"/>
      <c r="AT3405" s="108" t="s">
        <v>137</v>
      </c>
      <c r="AU3405" s="26" t="s">
        <v>146</v>
      </c>
    </row>
    <row r="3406" spans="15:47" ht="13.8" x14ac:dyDescent="0.25">
      <c r="O3406" s="20" t="s">
        <v>136</v>
      </c>
      <c r="P3406" s="1"/>
      <c r="Q3406" s="1"/>
      <c r="R3406" s="96">
        <f>R3392*1.02</f>
        <v>37664.140235418294</v>
      </c>
      <c r="S3406" s="109" t="s">
        <v>144</v>
      </c>
      <c r="T3406" s="23" t="s">
        <v>147</v>
      </c>
      <c r="U3406" s="96">
        <f ca="1">U3392*1.01</f>
        <v>128815.76168804636</v>
      </c>
      <c r="V3406" s="109" t="s">
        <v>144</v>
      </c>
      <c r="W3406" s="23" t="s">
        <v>147</v>
      </c>
      <c r="X3406" s="96">
        <f ca="1">X3392*1.01</f>
        <v>315422.48307908245</v>
      </c>
      <c r="Y3406" s="109" t="s">
        <v>144</v>
      </c>
      <c r="Z3406" s="23" t="s">
        <v>147</v>
      </c>
      <c r="AA3406" s="96">
        <f ca="1">AA3392*1.01</f>
        <v>614362.48689598055</v>
      </c>
      <c r="AB3406" s="109" t="s">
        <v>144</v>
      </c>
      <c r="AC3406" s="23" t="s">
        <v>147</v>
      </c>
      <c r="AD3406" s="96">
        <f ca="1">AD3392*1.01</f>
        <v>1030709.1380278098</v>
      </c>
      <c r="AE3406" s="109" t="s">
        <v>144</v>
      </c>
      <c r="AF3406" s="23" t="s">
        <v>147</v>
      </c>
      <c r="AG3406" s="96">
        <f ca="1">AG3392*1.01</f>
        <v>1504348.0594917974</v>
      </c>
      <c r="AH3406" s="109" t="s">
        <v>144</v>
      </c>
      <c r="AI3406" s="23" t="s">
        <v>147</v>
      </c>
      <c r="AJ3406" s="96">
        <f ca="1">AJ3392*1.01</f>
        <v>2007558.3170981987</v>
      </c>
      <c r="AK3406" s="109" t="s">
        <v>144</v>
      </c>
      <c r="AL3406" s="23" t="s">
        <v>147</v>
      </c>
      <c r="AM3406" s="96">
        <f ca="1">AM3392*1.01</f>
        <v>2449602.6631379239</v>
      </c>
      <c r="AN3406" s="109" t="s">
        <v>144</v>
      </c>
      <c r="AO3406" s="23" t="s">
        <v>147</v>
      </c>
      <c r="AP3406" s="96">
        <f ca="1">AP3392*1.01</f>
        <v>2843912.644894802</v>
      </c>
      <c r="AQ3406" s="109" t="s">
        <v>144</v>
      </c>
      <c r="AR3406" s="23" t="s">
        <v>147</v>
      </c>
      <c r="AS3406" s="96">
        <f ca="1">AS3392*1.01</f>
        <v>3334711.2354321186</v>
      </c>
      <c r="AT3406" s="109" t="s">
        <v>144</v>
      </c>
      <c r="AU3406" s="23" t="s">
        <v>147</v>
      </c>
    </row>
    <row r="3407" spans="15:47" x14ac:dyDescent="0.25">
      <c r="O3407" s="1"/>
      <c r="P3407" s="1"/>
      <c r="Q3407" s="1"/>
      <c r="R3407" s="98"/>
      <c r="S3407" s="107"/>
      <c r="T3407" s="1"/>
      <c r="U3407" s="47"/>
      <c r="V3407" s="107"/>
      <c r="W3407" s="1"/>
      <c r="X3407" s="47"/>
      <c r="Y3407" s="107"/>
      <c r="Z3407" s="1"/>
      <c r="AA3407" s="47"/>
      <c r="AB3407" s="107"/>
      <c r="AC3407" s="1"/>
      <c r="AD3407" s="47"/>
      <c r="AE3407" s="107"/>
      <c r="AF3407" s="1"/>
      <c r="AG3407" s="47"/>
      <c r="AH3407" s="107"/>
      <c r="AI3407" s="1"/>
      <c r="AJ3407" s="47"/>
      <c r="AK3407" s="107"/>
      <c r="AL3407" s="1"/>
      <c r="AM3407" s="47"/>
      <c r="AN3407" s="107"/>
      <c r="AO3407" s="1"/>
      <c r="AP3407" s="47"/>
      <c r="AQ3407" s="107"/>
      <c r="AR3407" s="1"/>
      <c r="AS3407" s="47"/>
      <c r="AT3407" s="107"/>
      <c r="AU3407" s="1"/>
    </row>
    <row r="3408" spans="15:47" x14ac:dyDescent="0.25">
      <c r="O3408" s="8" t="s">
        <v>132</v>
      </c>
      <c r="P3408" s="8"/>
      <c r="Q3408" s="8"/>
      <c r="R3408" s="96">
        <f>P_1_minQ-(R3406^2*R_up)+dpup_minQ</f>
        <v>89.926487487237068</v>
      </c>
      <c r="S3408" s="106"/>
      <c r="T3408" s="22"/>
      <c r="U3408" s="96">
        <f ca="1">P_1_minQ-(U3406^2*R_up)+dpup_minQ</f>
        <v>87.160694016533014</v>
      </c>
      <c r="V3408" s="107"/>
      <c r="W3408" s="1"/>
      <c r="X3408" s="96">
        <f ca="1">P_1_minQ-(X3406^2*R_up)+dpup_minQ</f>
        <v>72.051657729116357</v>
      </c>
      <c r="Y3408" s="107"/>
      <c r="Z3408" s="1"/>
      <c r="AA3408" s="96">
        <f ca="1">P_1_minQ-(AA3406^2*R_up)+dpup_minQ</f>
        <v>21.392251590871311</v>
      </c>
      <c r="AB3408" s="107"/>
      <c r="AC3408" s="1"/>
      <c r="AD3408" s="96">
        <f ca="1">P_1_minQ-(AD3406^2*R_up)+dpup_minQ</f>
        <v>-103.44190299257315</v>
      </c>
      <c r="AE3408" s="107"/>
      <c r="AF3408" s="1"/>
      <c r="AG3408" s="96">
        <f ca="1">P_1_minQ-(AG3406^2*R_up)+dpup_minQ</f>
        <v>-322.2828992827649</v>
      </c>
      <c r="AH3408" s="107"/>
      <c r="AI3408" s="1"/>
      <c r="AJ3408" s="96">
        <f ca="1">P_1_minQ-(AJ3406^2*R_up)+dpup_minQ</f>
        <v>-644.37935954997806</v>
      </c>
      <c r="AK3408" s="107"/>
      <c r="AL3408" s="1"/>
      <c r="AM3408" s="96">
        <f ca="1">P_1_minQ-(AM3406^2*R_up)+dpup_minQ</f>
        <v>-1003.4812547341924</v>
      </c>
      <c r="AN3408" s="107"/>
      <c r="AO3408" s="1"/>
      <c r="AP3408" s="96">
        <f ca="1">P_1_minQ-(AP3406^2*R_up)+dpup_minQ</f>
        <v>-1383.911889278088</v>
      </c>
      <c r="AQ3408" s="107"/>
      <c r="AR3408" s="1"/>
      <c r="AS3408" s="96">
        <f ca="1">P_1_minQ-(AS3406^2*R_up)+dpup_minQ</f>
        <v>-1936.6107923610357</v>
      </c>
      <c r="AT3408" s="107"/>
      <c r="AU3408" s="1"/>
    </row>
    <row r="3409" spans="15:47" x14ac:dyDescent="0.25">
      <c r="O3409" s="8" t="s">
        <v>134</v>
      </c>
      <c r="P3409" s="1"/>
      <c r="Q3409" s="8"/>
      <c r="R3409" s="97">
        <f>P_2_minQ+(R3406^2*R_dn)-dpdn_minQ</f>
        <v>60</v>
      </c>
      <c r="S3409" s="106"/>
      <c r="T3409" s="22"/>
      <c r="U3409" s="97">
        <f ca="1">P_2_minQ+(U3406^2*R_dn)-dpdn_minQ</f>
        <v>60</v>
      </c>
      <c r="V3409" s="107"/>
      <c r="W3409" s="1"/>
      <c r="X3409" s="97">
        <f ca="1">P_2_minQ+(X3406^2*R_dn)-dpdn_minQ</f>
        <v>60</v>
      </c>
      <c r="Y3409" s="107"/>
      <c r="Z3409" s="1"/>
      <c r="AA3409" s="97">
        <f ca="1">P_2_minQ+(AA3406^2*R_dn)-dpdn_minQ</f>
        <v>60</v>
      </c>
      <c r="AB3409" s="107"/>
      <c r="AC3409" s="1"/>
      <c r="AD3409" s="97">
        <f ca="1">P_2_minQ+(AD3406^2*R_dn)-dpdn_minQ</f>
        <v>60</v>
      </c>
      <c r="AE3409" s="107"/>
      <c r="AF3409" s="1"/>
      <c r="AG3409" s="97">
        <f ca="1">P_2_minQ+(AG3406^2*R_dn)-dpdn_minQ</f>
        <v>60</v>
      </c>
      <c r="AH3409" s="107"/>
      <c r="AI3409" s="1"/>
      <c r="AJ3409" s="97">
        <f ca="1">P_2_minQ+(AJ3406^2*R_dn)-dpdn_minQ</f>
        <v>60</v>
      </c>
      <c r="AK3409" s="107"/>
      <c r="AL3409" s="1"/>
      <c r="AM3409" s="97">
        <f ca="1">P_2_minQ+(AM3406^2*R_dn)-dpdn_minQ</f>
        <v>60</v>
      </c>
      <c r="AN3409" s="107"/>
      <c r="AO3409" s="1"/>
      <c r="AP3409" s="97">
        <f ca="1">P_2_minQ+(AP3406^2*R_dn)-dpdn_minQ</f>
        <v>60</v>
      </c>
      <c r="AQ3409" s="107"/>
      <c r="AR3409" s="1"/>
      <c r="AS3409" s="97">
        <f ca="1">P_2_minQ+(AS3406^2*R_dn)-dpdn_minQ</f>
        <v>60</v>
      </c>
      <c r="AT3409" s="107"/>
      <c r="AU3409" s="1"/>
    </row>
    <row r="3410" spans="15:47" x14ac:dyDescent="0.25">
      <c r="O3410" s="8" t="s">
        <v>138</v>
      </c>
      <c r="P3410" s="1"/>
      <c r="Q3410" s="8"/>
      <c r="R3410" s="97">
        <f>R3408-R3409</f>
        <v>29.926487487237068</v>
      </c>
      <c r="S3410" s="106"/>
      <c r="T3410" s="22"/>
      <c r="U3410" s="97">
        <f ca="1">U3408-U3409</f>
        <v>27.160694016533014</v>
      </c>
      <c r="V3410" s="110"/>
      <c r="W3410" s="25"/>
      <c r="X3410" s="97">
        <f ca="1">X3408-X3409</f>
        <v>12.051657729116357</v>
      </c>
      <c r="Y3410" s="110"/>
      <c r="Z3410" s="25"/>
      <c r="AA3410" s="97">
        <f ca="1">AA3408-AA3409</f>
        <v>-38.607748409128689</v>
      </c>
      <c r="AB3410" s="110"/>
      <c r="AC3410" s="25"/>
      <c r="AD3410" s="97">
        <f ca="1">AD3408-AD3409</f>
        <v>-163.44190299257315</v>
      </c>
      <c r="AE3410" s="110"/>
      <c r="AF3410" s="25"/>
      <c r="AG3410" s="97">
        <f ca="1">AG3408-AG3409</f>
        <v>-382.2828992827649</v>
      </c>
      <c r="AH3410" s="110"/>
      <c r="AI3410" s="25"/>
      <c r="AJ3410" s="97">
        <f ca="1">AJ3408-AJ3409</f>
        <v>-704.37935954997806</v>
      </c>
      <c r="AK3410" s="110"/>
      <c r="AL3410" s="25"/>
      <c r="AM3410" s="97">
        <f ca="1">AM3408-AM3409</f>
        <v>-1063.4812547341924</v>
      </c>
      <c r="AN3410" s="110"/>
      <c r="AO3410" s="25"/>
      <c r="AP3410" s="97">
        <f ca="1">AP3408-AP3409</f>
        <v>-1443.911889278088</v>
      </c>
      <c r="AQ3410" s="110"/>
      <c r="AR3410" s="25"/>
      <c r="AS3410" s="97">
        <f ca="1">AS3408-AS3409</f>
        <v>-1996.6107923610357</v>
      </c>
      <c r="AT3410" s="110"/>
      <c r="AU3410" s="25"/>
    </row>
    <row r="3411" spans="15:47" ht="14.4" x14ac:dyDescent="0.3">
      <c r="O3411" s="2" t="s">
        <v>140</v>
      </c>
      <c r="P3411" s="11"/>
      <c r="Q3411" s="2"/>
      <c r="R3411" s="96">
        <f>R3410/R3408</f>
        <v>0.3327883510571279</v>
      </c>
      <c r="S3411" s="106"/>
      <c r="T3411" s="22"/>
      <c r="U3411" s="96">
        <f ca="1">U3410/U3408</f>
        <v>0.31161631195113082</v>
      </c>
      <c r="V3411" s="111"/>
      <c r="W3411" s="28"/>
      <c r="X3411" s="96">
        <f ca="1">X3410/X3408</f>
        <v>0.16726412839001531</v>
      </c>
      <c r="Y3411" s="111"/>
      <c r="Z3411" s="28"/>
      <c r="AA3411" s="96">
        <f ca="1">AA3410/AA3408</f>
        <v>-1.8047538495482041</v>
      </c>
      <c r="AB3411" s="111"/>
      <c r="AC3411" s="28"/>
      <c r="AD3411" s="96">
        <f ca="1">AD3410/AD3408</f>
        <v>1.5800357327562684</v>
      </c>
      <c r="AE3411" s="111"/>
      <c r="AF3411" s="28"/>
      <c r="AG3411" s="96">
        <f ca="1">AG3410/AG3408</f>
        <v>1.1861718388829472</v>
      </c>
      <c r="AH3411" s="111"/>
      <c r="AI3411" s="28"/>
      <c r="AJ3411" s="96">
        <f ca="1">AJ3410/AJ3408</f>
        <v>1.0931128520967879</v>
      </c>
      <c r="AK3411" s="111"/>
      <c r="AL3411" s="28"/>
      <c r="AM3411" s="96">
        <f ca="1">AM3410/AM3408</f>
        <v>1.059791849341414</v>
      </c>
      <c r="AN3411" s="111"/>
      <c r="AO3411" s="28"/>
      <c r="AP3411" s="96">
        <f ca="1">AP3410/AP3408</f>
        <v>1.0433553613238331</v>
      </c>
      <c r="AQ3411" s="111"/>
      <c r="AR3411" s="28"/>
      <c r="AS3411" s="96">
        <f ca="1">AS3410/AS3408</f>
        <v>1.0309819609787729</v>
      </c>
      <c r="AT3411" s="111"/>
      <c r="AU3411" s="28"/>
    </row>
    <row r="3412" spans="15:47" x14ac:dyDescent="0.25">
      <c r="O3412" s="2" t="s">
        <v>21</v>
      </c>
      <c r="P3412" s="8">
        <v>12</v>
      </c>
      <c r="Q3412" s="2"/>
      <c r="R3412" s="96">
        <f ca="1">1-R3411/(3*F_GAMMA*R$29)</f>
        <v>0.82668077624632985</v>
      </c>
      <c r="S3412" s="106"/>
      <c r="T3412" s="22"/>
      <c r="U3412" s="96">
        <f ca="1">1-U3411/(3*F_GAMMA*U$29)</f>
        <v>0.83774507130631881</v>
      </c>
      <c r="V3412" s="111"/>
      <c r="W3412" s="28"/>
      <c r="X3412" s="96">
        <f ca="1">1-X3411/(3*F_GAMMA*X$29)</f>
        <v>0.91207805770515149</v>
      </c>
      <c r="Y3412" s="111"/>
      <c r="Z3412" s="28"/>
      <c r="AA3412" s="96">
        <f ca="1">1-AA3411/(3*F_GAMMA*AA$29)</f>
        <v>1.9620364858427835</v>
      </c>
      <c r="AB3412" s="111"/>
      <c r="AC3412" s="28"/>
      <c r="AD3412" s="96">
        <f ca="1">1-AD3411/(3*F_GAMMA*AD$29)</f>
        <v>0.13162939487604142</v>
      </c>
      <c r="AE3412" s="111"/>
      <c r="AF3412" s="28"/>
      <c r="AG3412" s="96">
        <f ca="1">1-AG3411/(3*F_GAMMA*AG$29)</f>
        <v>0.30897428203113331</v>
      </c>
      <c r="AH3412" s="111"/>
      <c r="AI3412" s="28"/>
      <c r="AJ3412" s="96">
        <f ca="1">1-AJ3411/(3*F_GAMMA*AJ$29)</f>
        <v>0.31487689953057862</v>
      </c>
      <c r="AK3412" s="111"/>
      <c r="AL3412" s="28"/>
      <c r="AM3412" s="96">
        <f ca="1">1-AM3411/(3*F_GAMMA*AM$29)</f>
        <v>0.25732636009947107</v>
      </c>
      <c r="AN3412" s="111"/>
      <c r="AO3412" s="28"/>
      <c r="AP3412" s="96">
        <f ca="1">1-AP3411/(3*F_GAMMA*AP$29)</f>
        <v>0.41107429069292101</v>
      </c>
      <c r="AQ3412" s="111"/>
      <c r="AR3412" s="28"/>
      <c r="AS3412" s="96">
        <f ca="1">1-AS3411/(3*F_GAMMA*AS$29)</f>
        <v>8.768299041775518E-2</v>
      </c>
      <c r="AT3412" s="111"/>
      <c r="AU3412" s="28"/>
    </row>
    <row r="3413" spans="15:47" x14ac:dyDescent="0.25">
      <c r="O3413" s="2" t="s">
        <v>57</v>
      </c>
      <c r="P3413" s="143">
        <v>7</v>
      </c>
      <c r="Q3413" s="2"/>
      <c r="R3413" s="96">
        <f ca="1">(R3406/(N_9*R$27*R3408*R3412))*SQRT(M*'Valve Sizing'!$W$6*'Valve Sizing'!$G$8/R3411)</f>
        <v>15.279338965150661</v>
      </c>
      <c r="S3413" s="107"/>
      <c r="T3413" s="22"/>
      <c r="U3413" s="96">
        <f ca="1">(U3406/(N_9*U$27*U3408*U3412))*SQRT(M*'Valve Sizing'!$W$6*'Valve Sizing'!$G$8/U3411)</f>
        <v>55.017043831327811</v>
      </c>
      <c r="V3413" s="111"/>
      <c r="W3413" s="28"/>
      <c r="X3413" s="96">
        <f ca="1">(X3406/(N_9*X$27*X3408*X3412))*SQRT(M*'Valve Sizing'!$W$6*'Valve Sizing'!$G$8/X3411)</f>
        <v>204.77868673323917</v>
      </c>
      <c r="Y3413" s="111"/>
      <c r="Z3413" s="28"/>
      <c r="AA3413" s="96" t="e">
        <f ca="1">(AA3406/(N_9*AA$27*AA3408*AA3412))*SQRT(M*'Valve Sizing'!$W$6*'Valve Sizing'!$G$8/AA3411)</f>
        <v>#NUM!</v>
      </c>
      <c r="AB3413" s="111"/>
      <c r="AC3413" s="28"/>
      <c r="AD3413" s="96">
        <f ca="1">(AD3406/(N_9*AD$27*AD3408*AD3412))*SQRT(M*'Valve Sizing'!$W$6*'Valve Sizing'!$G$8/AD3411)</f>
        <v>-1070.1368319107528</v>
      </c>
      <c r="AE3413" s="111"/>
      <c r="AF3413" s="28"/>
      <c r="AG3413" s="96">
        <f ca="1">(AG3406/(N_9*AG$27*AG3408*AG3412))*SQRT(M*'Valve Sizing'!$W$6*'Valve Sizing'!$G$8/AG3411)</f>
        <v>-252.03814327157053</v>
      </c>
      <c r="AH3413" s="111"/>
      <c r="AI3413" s="28"/>
      <c r="AJ3413" s="96">
        <f ca="1">(AJ3406/(N_9*AJ$27*AJ3408*AJ3412))*SQRT(M*'Valve Sizing'!$W$6*'Valve Sizing'!$G$8/AJ3411)</f>
        <v>-178.16714758589373</v>
      </c>
      <c r="AK3413" s="111"/>
      <c r="AL3413" s="28"/>
      <c r="AM3413" s="96">
        <f ca="1">(AM3406/(N_9*AM$27*AM3408*AM3412))*SQRT(M*'Valve Sizing'!$W$6*'Valve Sizing'!$G$8/AM3411)</f>
        <v>-184.07079502443696</v>
      </c>
      <c r="AN3413" s="111"/>
      <c r="AO3413" s="28"/>
      <c r="AP3413" s="96">
        <f ca="1">(AP3406/(N_9*AP$27*AP3408*AP3412))*SQRT(M*'Valve Sizing'!$W$6*'Valve Sizing'!$G$8/AP3411)</f>
        <v>-111.27072220608783</v>
      </c>
      <c r="AQ3413" s="111"/>
      <c r="AR3413" s="28"/>
      <c r="AS3413" s="96">
        <f ca="1">(AS3406/(N_9*AS$27*AS3408*AS3412))*SQRT(M*'Valve Sizing'!$W$6*'Valve Sizing'!$G$8/AS3411)</f>
        <v>-588.96780533391484</v>
      </c>
      <c r="AT3413" s="111"/>
      <c r="AU3413" s="28"/>
    </row>
    <row r="3414" spans="15:47" x14ac:dyDescent="0.25">
      <c r="O3414" s="2" t="s">
        <v>59</v>
      </c>
      <c r="P3414" s="143">
        <v>7</v>
      </c>
      <c r="Q3414" s="2"/>
      <c r="R3414" s="96">
        <f ca="1">(R3406/(N_9*R$27*R3408*0.667))*SQRT(M*'Valve Sizing'!$W$6*'Valve Sizing'!$G$8/R3415)</f>
        <v>13.655278603525378</v>
      </c>
      <c r="S3414" s="107"/>
      <c r="T3414" s="22"/>
      <c r="U3414" s="96">
        <f ca="1">(U3406/(N_9*U$27*U3408*0.667))*SQRT(M*'Valve Sizing'!$W$6*'Valve Sizing'!$G$8/U3415)</f>
        <v>48.210637584745051</v>
      </c>
      <c r="V3414" s="111"/>
      <c r="W3414" s="28"/>
      <c r="X3414" s="96">
        <f ca="1">(X3406/(N_9*X$27*X3408*0.667))*SQRT(M*'Valve Sizing'!$W$6*'Valve Sizing'!$G$8/X3415)</f>
        <v>143.81367738776069</v>
      </c>
      <c r="Y3414" s="111"/>
      <c r="Z3414" s="28"/>
      <c r="AA3414" s="96">
        <f ca="1">(AA3406/(N_9*AA$27*AA3408*0.667))*SQRT(M*'Valve Sizing'!$W$6*'Valve Sizing'!$G$8/AA3415)</f>
        <v>955.7160641744797</v>
      </c>
      <c r="AB3414" s="111"/>
      <c r="AC3414" s="28"/>
      <c r="AD3414" s="96">
        <f ca="1">(AD3406/(N_9*AD$27*AD3408*0.667))*SQRT(M*'Valve Sizing'!$W$6*'Valve Sizing'!$G$8/AD3415)</f>
        <v>-340.8627527800362</v>
      </c>
      <c r="AE3414" s="111"/>
      <c r="AF3414" s="28"/>
      <c r="AG3414" s="96">
        <f ca="1">(AG3406/(N_9*AG$27*AG3408*0.667))*SQRT(M*'Valve Sizing'!$W$6*'Valve Sizing'!$G$8/AG3415)</f>
        <v>-168.10107942350734</v>
      </c>
      <c r="AH3414" s="111"/>
      <c r="AI3414" s="28"/>
      <c r="AJ3414" s="96">
        <f ca="1">(AJ3406/(N_9*AJ$27*AJ3408*0.667))*SQRT(M*'Valve Sizing'!$W$6*'Valve Sizing'!$G$8/AJ3415)</f>
        <v>-120.58340036117042</v>
      </c>
      <c r="AK3414" s="111"/>
      <c r="AL3414" s="28"/>
      <c r="AM3414" s="96">
        <f ca="1">(AM3406/(N_9*AM$27*AM3408*0.667))*SQRT(M*'Valve Sizing'!$W$6*'Valve Sizing'!$G$8/AM3415)</f>
        <v>-105.99929169096296</v>
      </c>
      <c r="AN3414" s="111"/>
      <c r="AO3414" s="28"/>
      <c r="AP3414" s="96">
        <f ca="1">(AP3406/(N_9*AP$27*AP3408*0.667))*SQRT(M*'Valve Sizing'!$W$6*'Valve Sizing'!$G$8/AP3415)</f>
        <v>-91.152014927119936</v>
      </c>
      <c r="AQ3414" s="111"/>
      <c r="AR3414" s="28"/>
      <c r="AS3414" s="96">
        <f ca="1">(AS3406/(N_9*AS$27*AS3408*0.667))*SQRT(M*'Valve Sizing'!$W$6*'Valve Sizing'!$G$8/AS3415)</f>
        <v>-128.08981196127939</v>
      </c>
      <c r="AT3414" s="111"/>
      <c r="AU3414" s="28"/>
    </row>
    <row r="3415" spans="15:47" ht="15.6" x14ac:dyDescent="0.35">
      <c r="O3415" s="2" t="s">
        <v>68</v>
      </c>
      <c r="P3415" s="143">
        <v>10</v>
      </c>
      <c r="Q3415" s="2"/>
      <c r="R3415" s="96">
        <f ca="1">F_GAMMA*R$29</f>
        <v>0.64002969751372984</v>
      </c>
      <c r="S3415" s="107"/>
      <c r="T3415" s="1"/>
      <c r="U3415" s="96">
        <f ca="1">F_GAMMA*U$29</f>
        <v>0.64017842058782071</v>
      </c>
      <c r="V3415" s="111"/>
      <c r="W3415" s="28"/>
      <c r="X3415" s="96">
        <f ca="1">F_GAMMA*X$29</f>
        <v>0.63413873724904268</v>
      </c>
      <c r="Y3415" s="111"/>
      <c r="Z3415" s="28"/>
      <c r="AA3415" s="96">
        <f ca="1">F_GAMMA*AA$29</f>
        <v>0.62532411750377137</v>
      </c>
      <c r="AB3415" s="111"/>
      <c r="AC3415" s="28"/>
      <c r="AD3415" s="96">
        <f ca="1">F_GAMMA*AD$29</f>
        <v>0.60651359509139569</v>
      </c>
      <c r="AE3415" s="111"/>
      <c r="AF3415" s="28"/>
      <c r="AG3415" s="96">
        <f ca="1">F_GAMMA*AG$29</f>
        <v>0.57217930198481592</v>
      </c>
      <c r="AH3415" s="111"/>
      <c r="AI3415" s="28"/>
      <c r="AJ3415" s="96">
        <f ca="1">F_GAMMA*AJ$29</f>
        <v>0.53183282018848232</v>
      </c>
      <c r="AK3415" s="111"/>
      <c r="AL3415" s="28"/>
      <c r="AM3415" s="96">
        <f ca="1">F_GAMMA*AM$29</f>
        <v>0.47566512503094399</v>
      </c>
      <c r="AN3415" s="111"/>
      <c r="AO3415" s="28"/>
      <c r="AP3415" s="96">
        <f ca="1">F_GAMMA*AP$29</f>
        <v>0.59054158265645496</v>
      </c>
      <c r="AQ3415" s="111"/>
      <c r="AR3415" s="28"/>
      <c r="AS3415" s="96">
        <f ca="1">F_GAMMA*AS$29</f>
        <v>0.3766899554102966</v>
      </c>
      <c r="AT3415" s="111"/>
      <c r="AU3415" s="28"/>
    </row>
    <row r="3416" spans="15:47" x14ac:dyDescent="0.25">
      <c r="O3416" s="2" t="s">
        <v>145</v>
      </c>
      <c r="P3416" s="12"/>
      <c r="Q3416" s="2"/>
      <c r="R3416" s="96">
        <f ca="1">IF(R3411&lt;R3415,R3413,R3414)</f>
        <v>15.279338965150661</v>
      </c>
      <c r="S3416" s="116"/>
      <c r="T3416" s="1"/>
      <c r="U3416" s="96">
        <f ca="1">IF(U3411&lt;U3415,U3413,U3414)</f>
        <v>55.017043831327811</v>
      </c>
      <c r="V3416" s="111"/>
      <c r="W3416" s="28"/>
      <c r="X3416" s="96">
        <f ca="1">IF(X3411&lt;X3415,X3413,X3414)</f>
        <v>204.77868673323917</v>
      </c>
      <c r="Y3416" s="111"/>
      <c r="Z3416" s="28"/>
      <c r="AA3416" s="96" t="e">
        <f ca="1">IF(AA3411&lt;AA3415,AA3413,AA3414)</f>
        <v>#NUM!</v>
      </c>
      <c r="AB3416" s="111"/>
      <c r="AC3416" s="28"/>
      <c r="AD3416" s="96">
        <f ca="1">IF(AD3411&lt;AD3415,AD3413,AD3414)</f>
        <v>-340.8627527800362</v>
      </c>
      <c r="AE3416" s="111"/>
      <c r="AF3416" s="28"/>
      <c r="AG3416" s="96">
        <f ca="1">IF(AG3411&lt;AG3415,AG3413,AG3414)</f>
        <v>-168.10107942350734</v>
      </c>
      <c r="AH3416" s="111"/>
      <c r="AI3416" s="28"/>
      <c r="AJ3416" s="96">
        <f ca="1">IF(AJ3411&lt;AJ3415,AJ3413,AJ3414)</f>
        <v>-120.58340036117042</v>
      </c>
      <c r="AK3416" s="111"/>
      <c r="AL3416" s="28"/>
      <c r="AM3416" s="96">
        <f ca="1">IF(AM3411&lt;AM3415,AM3413,AM3414)</f>
        <v>-105.99929169096296</v>
      </c>
      <c r="AN3416" s="111"/>
      <c r="AO3416" s="28"/>
      <c r="AP3416" s="96">
        <f ca="1">IF(AP3411&lt;AP3415,AP3413,AP3414)</f>
        <v>-91.152014927119936</v>
      </c>
      <c r="AQ3416" s="111"/>
      <c r="AR3416" s="28"/>
      <c r="AS3416" s="96">
        <f ca="1">IF(AS3411&lt;AS3415,AS3413,AS3414)</f>
        <v>-128.08981196127939</v>
      </c>
      <c r="AT3416" s="111"/>
      <c r="AU3416" s="28"/>
    </row>
    <row r="3417" spans="15:47" x14ac:dyDescent="0.25">
      <c r="O3417" s="13" t="s">
        <v>143</v>
      </c>
      <c r="P3417" s="1"/>
      <c r="Q3417" s="1"/>
      <c r="R3417" s="113"/>
      <c r="S3417" s="106">
        <f ca="1">IF(R3410&lt;=0,Q_max,ABS(R$23-R3416))</f>
        <v>10.54933896515066</v>
      </c>
      <c r="T3417" s="7">
        <f>R3406</f>
        <v>37664.140235418294</v>
      </c>
      <c r="U3417" s="98"/>
      <c r="V3417" s="106">
        <f ca="1">IF(U3410&lt;=0,Q_max,ABS(U$23-U3416))</f>
        <v>43.41704383132781</v>
      </c>
      <c r="W3417" s="9">
        <f ca="1">U3406</f>
        <v>128815.76168804636</v>
      </c>
      <c r="X3417" s="98"/>
      <c r="Y3417" s="106">
        <f ca="1">IF(X3410&lt;=0,Q_max,ABS(X$23-X3416))</f>
        <v>181.77868673323917</v>
      </c>
      <c r="Z3417" s="9">
        <f ca="1">X3406</f>
        <v>315422.48307908245</v>
      </c>
      <c r="AA3417" s="98"/>
      <c r="AB3417" s="106">
        <f ca="1">IF(AA3410&lt;=0,Q_max,ABS(AA$23-AA3416))</f>
        <v>236393</v>
      </c>
      <c r="AC3417" s="9">
        <f ca="1">AA3406</f>
        <v>614362.48689598055</v>
      </c>
      <c r="AD3417" s="98"/>
      <c r="AE3417" s="106">
        <f ca="1">IF(AD3410&lt;=0,Q_max,ABS(AD$23-AD3416))</f>
        <v>236393</v>
      </c>
      <c r="AF3417" s="9">
        <f ca="1">AD3406</f>
        <v>1030709.1380278098</v>
      </c>
      <c r="AG3417" s="98"/>
      <c r="AH3417" s="106">
        <f ca="1">IF(AG3410&lt;=0,Q_max,ABS(AG$23-AG3416))</f>
        <v>236393</v>
      </c>
      <c r="AI3417" s="9">
        <f ca="1">AG3406</f>
        <v>1504348.0594917974</v>
      </c>
      <c r="AJ3417" s="98"/>
      <c r="AK3417" s="106">
        <f ca="1">IF(AJ3410&lt;=0,Q_max,ABS(AJ$23-AJ3416))</f>
        <v>236393</v>
      </c>
      <c r="AL3417" s="9">
        <f ca="1">AJ3406</f>
        <v>2007558.3170981987</v>
      </c>
      <c r="AM3417" s="98"/>
      <c r="AN3417" s="106">
        <f ca="1">IF(AM3410&lt;=0,Q_max,ABS(AM$23-AM3416))</f>
        <v>236393</v>
      </c>
      <c r="AO3417" s="9">
        <f ca="1">AM3406</f>
        <v>2449602.6631379239</v>
      </c>
      <c r="AP3417" s="98"/>
      <c r="AQ3417" s="106">
        <f ca="1">IF(AP3410&lt;=0,Q_max,ABS(AP$23-AP3416))</f>
        <v>236393</v>
      </c>
      <c r="AR3417" s="9">
        <f ca="1">AP3406</f>
        <v>2843912.644894802</v>
      </c>
      <c r="AS3417" s="98"/>
      <c r="AT3417" s="106">
        <f ca="1">IF(AS3410&lt;=0,Q_max,ABS(AS$23-AS3416))</f>
        <v>236393</v>
      </c>
      <c r="AU3417" s="9">
        <f ca="1">AS3406</f>
        <v>3334711.2354321186</v>
      </c>
    </row>
    <row r="3418" spans="15:47" x14ac:dyDescent="0.25">
      <c r="O3418" s="21"/>
      <c r="P3418" s="14"/>
      <c r="Q3418" s="21"/>
      <c r="R3418" s="97"/>
      <c r="S3418" s="106"/>
      <c r="T3418" s="28"/>
      <c r="U3418" s="99"/>
      <c r="V3418" s="110"/>
      <c r="W3418" s="25"/>
      <c r="X3418" s="99"/>
      <c r="Y3418" s="110"/>
      <c r="Z3418" s="25"/>
      <c r="AA3418" s="99"/>
      <c r="AB3418" s="110"/>
      <c r="AC3418" s="25"/>
      <c r="AD3418" s="99"/>
      <c r="AE3418" s="110"/>
      <c r="AF3418" s="25"/>
      <c r="AG3418" s="99"/>
      <c r="AH3418" s="110"/>
      <c r="AI3418" s="25"/>
      <c r="AJ3418" s="99"/>
      <c r="AK3418" s="110"/>
      <c r="AL3418" s="25"/>
      <c r="AM3418" s="99"/>
      <c r="AN3418" s="110"/>
      <c r="AO3418" s="25"/>
      <c r="AP3418" s="99"/>
      <c r="AQ3418" s="110"/>
      <c r="AR3418" s="25"/>
      <c r="AS3418" s="99"/>
      <c r="AT3418" s="110"/>
      <c r="AU3418" s="25"/>
    </row>
    <row r="3419" spans="15:47" x14ac:dyDescent="0.25">
      <c r="O3419" s="1"/>
      <c r="P3419" s="1"/>
      <c r="Q3419" s="1"/>
      <c r="R3419" s="98"/>
      <c r="S3419" s="108" t="s">
        <v>137</v>
      </c>
      <c r="T3419" s="26" t="s">
        <v>146</v>
      </c>
      <c r="U3419" s="98"/>
      <c r="V3419" s="108" t="s">
        <v>137</v>
      </c>
      <c r="W3419" s="26" t="s">
        <v>146</v>
      </c>
      <c r="X3419" s="98"/>
      <c r="Y3419" s="108" t="s">
        <v>137</v>
      </c>
      <c r="Z3419" s="26" t="s">
        <v>146</v>
      </c>
      <c r="AA3419" s="98"/>
      <c r="AB3419" s="108" t="s">
        <v>137</v>
      </c>
      <c r="AC3419" s="26" t="s">
        <v>146</v>
      </c>
      <c r="AD3419" s="98"/>
      <c r="AE3419" s="108" t="s">
        <v>137</v>
      </c>
      <c r="AF3419" s="26" t="s">
        <v>146</v>
      </c>
      <c r="AG3419" s="98"/>
      <c r="AH3419" s="108" t="s">
        <v>137</v>
      </c>
      <c r="AI3419" s="26" t="s">
        <v>146</v>
      </c>
      <c r="AJ3419" s="98"/>
      <c r="AK3419" s="108" t="s">
        <v>137</v>
      </c>
      <c r="AL3419" s="26" t="s">
        <v>146</v>
      </c>
      <c r="AM3419" s="98"/>
      <c r="AN3419" s="108" t="s">
        <v>137</v>
      </c>
      <c r="AO3419" s="26" t="s">
        <v>146</v>
      </c>
      <c r="AP3419" s="98"/>
      <c r="AQ3419" s="108" t="s">
        <v>137</v>
      </c>
      <c r="AR3419" s="26" t="s">
        <v>146</v>
      </c>
      <c r="AS3419" s="98"/>
      <c r="AT3419" s="108" t="s">
        <v>137</v>
      </c>
      <c r="AU3419" s="26" t="s">
        <v>146</v>
      </c>
    </row>
    <row r="3420" spans="15:47" ht="13.8" x14ac:dyDescent="0.25">
      <c r="O3420" s="20" t="s">
        <v>136</v>
      </c>
      <c r="P3420" s="1"/>
      <c r="Q3420" s="1"/>
      <c r="R3420" s="96">
        <f>R3406*1.02</f>
        <v>38417.423040126661</v>
      </c>
      <c r="S3420" s="109" t="s">
        <v>144</v>
      </c>
      <c r="T3420" s="23" t="s">
        <v>147</v>
      </c>
      <c r="U3420" s="96">
        <f ca="1">U3406*1.01</f>
        <v>130103.91930492682</v>
      </c>
      <c r="V3420" s="109" t="s">
        <v>144</v>
      </c>
      <c r="W3420" s="23" t="s">
        <v>147</v>
      </c>
      <c r="X3420" s="96">
        <f ca="1">X3406*1.01</f>
        <v>318576.70790987328</v>
      </c>
      <c r="Y3420" s="109" t="s">
        <v>144</v>
      </c>
      <c r="Z3420" s="23" t="s">
        <v>147</v>
      </c>
      <c r="AA3420" s="96">
        <f ca="1">AA3406*1.01</f>
        <v>620506.11176494032</v>
      </c>
      <c r="AB3420" s="109" t="s">
        <v>144</v>
      </c>
      <c r="AC3420" s="23" t="s">
        <v>147</v>
      </c>
      <c r="AD3420" s="96">
        <f ca="1">AD3406*1.01</f>
        <v>1041016.2294080879</v>
      </c>
      <c r="AE3420" s="109" t="s">
        <v>144</v>
      </c>
      <c r="AF3420" s="23" t="s">
        <v>147</v>
      </c>
      <c r="AG3420" s="96">
        <f ca="1">AG3406*1.01</f>
        <v>1519391.5400867152</v>
      </c>
      <c r="AH3420" s="109" t="s">
        <v>144</v>
      </c>
      <c r="AI3420" s="23" t="s">
        <v>147</v>
      </c>
      <c r="AJ3420" s="96">
        <f ca="1">AJ3406*1.01</f>
        <v>2027633.9002691808</v>
      </c>
      <c r="AK3420" s="109" t="s">
        <v>144</v>
      </c>
      <c r="AL3420" s="23" t="s">
        <v>147</v>
      </c>
      <c r="AM3420" s="96">
        <f ca="1">AM3406*1.01</f>
        <v>2474098.689769303</v>
      </c>
      <c r="AN3420" s="109" t="s">
        <v>144</v>
      </c>
      <c r="AO3420" s="23" t="s">
        <v>147</v>
      </c>
      <c r="AP3420" s="96">
        <f ca="1">AP3406*1.01</f>
        <v>2872351.7713437499</v>
      </c>
      <c r="AQ3420" s="109" t="s">
        <v>144</v>
      </c>
      <c r="AR3420" s="23" t="s">
        <v>147</v>
      </c>
      <c r="AS3420" s="96">
        <f ca="1">AS3406*1.01</f>
        <v>3368058.34778644</v>
      </c>
      <c r="AT3420" s="109" t="s">
        <v>144</v>
      </c>
      <c r="AU3420" s="23" t="s">
        <v>147</v>
      </c>
    </row>
    <row r="3421" spans="15:47" x14ac:dyDescent="0.25">
      <c r="O3421" s="1"/>
      <c r="P3421" s="1"/>
      <c r="Q3421" s="1"/>
      <c r="R3421" s="98"/>
      <c r="S3421" s="107"/>
      <c r="T3421" s="1"/>
      <c r="U3421" s="47"/>
      <c r="V3421" s="107"/>
      <c r="W3421" s="1"/>
      <c r="X3421" s="47"/>
      <c r="Y3421" s="107"/>
      <c r="Z3421" s="1"/>
      <c r="AA3421" s="47"/>
      <c r="AB3421" s="107"/>
      <c r="AC3421" s="1"/>
      <c r="AD3421" s="47"/>
      <c r="AE3421" s="107"/>
      <c r="AF3421" s="1"/>
      <c r="AG3421" s="47"/>
      <c r="AH3421" s="107"/>
      <c r="AI3421" s="1"/>
      <c r="AJ3421" s="47"/>
      <c r="AK3421" s="107"/>
      <c r="AL3421" s="1"/>
      <c r="AM3421" s="47"/>
      <c r="AN3421" s="107"/>
      <c r="AO3421" s="1"/>
      <c r="AP3421" s="47"/>
      <c r="AQ3421" s="107"/>
      <c r="AR3421" s="1"/>
      <c r="AS3421" s="47"/>
      <c r="AT3421" s="107"/>
      <c r="AU3421" s="1"/>
    </row>
    <row r="3422" spans="15:47" x14ac:dyDescent="0.25">
      <c r="O3422" s="8" t="s">
        <v>132</v>
      </c>
      <c r="P3422" s="8"/>
      <c r="Q3422" s="8"/>
      <c r="R3422" s="96">
        <f>P_1_minQ-(R3420^2*R_up)+dpup_minQ</f>
        <v>89.91604194429911</v>
      </c>
      <c r="S3422" s="106"/>
      <c r="T3422" s="22"/>
      <c r="U3422" s="96">
        <f ca="1">P_1_minQ-(U3420^2*R_up)+dpup_minQ</f>
        <v>87.09990465160719</v>
      </c>
      <c r="V3422" s="107"/>
      <c r="W3422" s="1"/>
      <c r="X3422" s="96">
        <f ca="1">P_1_minQ-(X3420^2*R_up)+dpup_minQ</f>
        <v>71.687176734813463</v>
      </c>
      <c r="Y3422" s="107"/>
      <c r="Z3422" s="1"/>
      <c r="AA3422" s="96">
        <f ca="1">P_1_minQ-(AA3420^2*R_up)+dpup_minQ</f>
        <v>20.009516533189696</v>
      </c>
      <c r="AB3422" s="107"/>
      <c r="AC3422" s="1"/>
      <c r="AD3422" s="96">
        <f ca="1">P_1_minQ-(AD3420^2*R_up)+dpup_minQ</f>
        <v>-107.33380455738202</v>
      </c>
      <c r="AE3422" s="107"/>
      <c r="AF3422" s="1"/>
      <c r="AG3422" s="96">
        <f ca="1">P_1_minQ-(AG3420^2*R_up)+dpup_minQ</f>
        <v>-330.57350487300653</v>
      </c>
      <c r="AH3422" s="107"/>
      <c r="AI3422" s="1"/>
      <c r="AJ3422" s="96">
        <f ca="1">P_1_minQ-(AJ3420^2*R_up)+dpup_minQ</f>
        <v>-659.14410399159078</v>
      </c>
      <c r="AK3422" s="107"/>
      <c r="AL3422" s="1"/>
      <c r="AM3422" s="96">
        <f ca="1">P_1_minQ-(AM3420^2*R_up)+dpup_minQ</f>
        <v>-1025.4639472690076</v>
      </c>
      <c r="AN3422" s="107"/>
      <c r="AO3422" s="1"/>
      <c r="AP3422" s="96">
        <f ca="1">P_1_minQ-(AP3420^2*R_up)+dpup_minQ</f>
        <v>-1413.5412375672356</v>
      </c>
      <c r="AQ3422" s="107"/>
      <c r="AR3422" s="1"/>
      <c r="AS3422" s="96">
        <f ca="1">P_1_minQ-(AS3420^2*R_up)+dpup_minQ</f>
        <v>-1977.3493886021508</v>
      </c>
      <c r="AT3422" s="107"/>
      <c r="AU3422" s="1"/>
    </row>
    <row r="3423" spans="15:47" x14ac:dyDescent="0.25">
      <c r="O3423" s="8" t="s">
        <v>134</v>
      </c>
      <c r="P3423" s="1"/>
      <c r="Q3423" s="8"/>
      <c r="R3423" s="97">
        <f>P_2_minQ+(R3420^2*R_dn)-dpdn_minQ</f>
        <v>60</v>
      </c>
      <c r="S3423" s="106"/>
      <c r="T3423" s="22"/>
      <c r="U3423" s="97">
        <f ca="1">P_2_minQ+(U3420^2*R_dn)-dpdn_minQ</f>
        <v>60</v>
      </c>
      <c r="V3423" s="107"/>
      <c r="W3423" s="1"/>
      <c r="X3423" s="97">
        <f ca="1">P_2_minQ+(X3420^2*R_dn)-dpdn_minQ</f>
        <v>60</v>
      </c>
      <c r="Y3423" s="107"/>
      <c r="Z3423" s="1"/>
      <c r="AA3423" s="97">
        <f ca="1">P_2_minQ+(AA3420^2*R_dn)-dpdn_minQ</f>
        <v>60</v>
      </c>
      <c r="AB3423" s="107"/>
      <c r="AC3423" s="1"/>
      <c r="AD3423" s="97">
        <f ca="1">P_2_minQ+(AD3420^2*R_dn)-dpdn_minQ</f>
        <v>60</v>
      </c>
      <c r="AE3423" s="107"/>
      <c r="AF3423" s="1"/>
      <c r="AG3423" s="97">
        <f ca="1">P_2_minQ+(AG3420^2*R_dn)-dpdn_minQ</f>
        <v>60</v>
      </c>
      <c r="AH3423" s="107"/>
      <c r="AI3423" s="1"/>
      <c r="AJ3423" s="97">
        <f ca="1">P_2_minQ+(AJ3420^2*R_dn)-dpdn_minQ</f>
        <v>60</v>
      </c>
      <c r="AK3423" s="107"/>
      <c r="AL3423" s="1"/>
      <c r="AM3423" s="97">
        <f ca="1">P_2_minQ+(AM3420^2*R_dn)-dpdn_minQ</f>
        <v>60</v>
      </c>
      <c r="AN3423" s="107"/>
      <c r="AO3423" s="1"/>
      <c r="AP3423" s="97">
        <f ca="1">P_2_minQ+(AP3420^2*R_dn)-dpdn_minQ</f>
        <v>60</v>
      </c>
      <c r="AQ3423" s="107"/>
      <c r="AR3423" s="1"/>
      <c r="AS3423" s="97">
        <f ca="1">P_2_minQ+(AS3420^2*R_dn)-dpdn_minQ</f>
        <v>60</v>
      </c>
      <c r="AT3423" s="107"/>
      <c r="AU3423" s="1"/>
    </row>
    <row r="3424" spans="15:47" x14ac:dyDescent="0.25">
      <c r="O3424" s="8" t="s">
        <v>138</v>
      </c>
      <c r="P3424" s="1"/>
      <c r="Q3424" s="8"/>
      <c r="R3424" s="97">
        <f>R3422-R3423</f>
        <v>29.91604194429911</v>
      </c>
      <c r="S3424" s="106"/>
      <c r="T3424" s="22"/>
      <c r="U3424" s="97">
        <f ca="1">U3422-U3423</f>
        <v>27.09990465160719</v>
      </c>
      <c r="V3424" s="110"/>
      <c r="W3424" s="25"/>
      <c r="X3424" s="97">
        <f ca="1">X3422-X3423</f>
        <v>11.687176734813463</v>
      </c>
      <c r="Y3424" s="110"/>
      <c r="Z3424" s="25"/>
      <c r="AA3424" s="97">
        <f ca="1">AA3422-AA3423</f>
        <v>-39.990483466810304</v>
      </c>
      <c r="AB3424" s="110"/>
      <c r="AC3424" s="25"/>
      <c r="AD3424" s="97">
        <f ca="1">AD3422-AD3423</f>
        <v>-167.33380455738202</v>
      </c>
      <c r="AE3424" s="110"/>
      <c r="AF3424" s="25"/>
      <c r="AG3424" s="97">
        <f ca="1">AG3422-AG3423</f>
        <v>-390.57350487300653</v>
      </c>
      <c r="AH3424" s="110"/>
      <c r="AI3424" s="25"/>
      <c r="AJ3424" s="97">
        <f ca="1">AJ3422-AJ3423</f>
        <v>-719.14410399159078</v>
      </c>
      <c r="AK3424" s="110"/>
      <c r="AL3424" s="25"/>
      <c r="AM3424" s="97">
        <f ca="1">AM3422-AM3423</f>
        <v>-1085.4639472690076</v>
      </c>
      <c r="AN3424" s="110"/>
      <c r="AO3424" s="25"/>
      <c r="AP3424" s="97">
        <f ca="1">AP3422-AP3423</f>
        <v>-1473.5412375672356</v>
      </c>
      <c r="AQ3424" s="110"/>
      <c r="AR3424" s="25"/>
      <c r="AS3424" s="97">
        <f ca="1">AS3422-AS3423</f>
        <v>-2037.3493886021508</v>
      </c>
      <c r="AT3424" s="110"/>
      <c r="AU3424" s="25"/>
    </row>
    <row r="3425" spans="15:47" ht="14.4" x14ac:dyDescent="0.3">
      <c r="O3425" s="2" t="s">
        <v>140</v>
      </c>
      <c r="P3425" s="11"/>
      <c r="Q3425" s="2"/>
      <c r="R3425" s="96">
        <f>R3424/R3422</f>
        <v>0.33271084110698956</v>
      </c>
      <c r="S3425" s="106"/>
      <c r="T3425" s="22"/>
      <c r="U3425" s="96">
        <f ca="1">U3424/U3422</f>
        <v>0.31113587046971741</v>
      </c>
      <c r="V3425" s="111"/>
      <c r="W3425" s="28"/>
      <c r="X3425" s="96">
        <f ca="1">X3424/X3422</f>
        <v>0.16303022754051097</v>
      </c>
      <c r="Y3425" s="111"/>
      <c r="Z3425" s="28"/>
      <c r="AA3425" s="96">
        <f ca="1">AA3424/AA3422</f>
        <v>-1.9985731989315316</v>
      </c>
      <c r="AB3425" s="111"/>
      <c r="AC3425" s="28"/>
      <c r="AD3425" s="96">
        <f ca="1">AD3424/AD3422</f>
        <v>1.5590037569936621</v>
      </c>
      <c r="AE3425" s="111"/>
      <c r="AF3425" s="28"/>
      <c r="AG3425" s="96">
        <f ca="1">AG3424/AG3422</f>
        <v>1.1815027493599333</v>
      </c>
      <c r="AH3425" s="111"/>
      <c r="AI3425" s="28"/>
      <c r="AJ3425" s="96">
        <f ca="1">AJ3424/AJ3422</f>
        <v>1.0910271360035795</v>
      </c>
      <c r="AK3425" s="111"/>
      <c r="AL3425" s="28"/>
      <c r="AM3425" s="96">
        <f ca="1">AM3424/AM3422</f>
        <v>1.0585101018517429</v>
      </c>
      <c r="AN3425" s="111"/>
      <c r="AO3425" s="28"/>
      <c r="AP3425" s="96">
        <f ca="1">AP3424/AP3422</f>
        <v>1.0424465862087353</v>
      </c>
      <c r="AQ3425" s="111"/>
      <c r="AR3425" s="28"/>
      <c r="AS3425" s="96">
        <f ca="1">AS3424/AS3422</f>
        <v>1.0303436511250124</v>
      </c>
      <c r="AT3425" s="111"/>
      <c r="AU3425" s="28"/>
    </row>
    <row r="3426" spans="15:47" x14ac:dyDescent="0.25">
      <c r="O3426" s="2" t="s">
        <v>21</v>
      </c>
      <c r="P3426" s="8">
        <v>12</v>
      </c>
      <c r="Q3426" s="2"/>
      <c r="R3426" s="96">
        <f ca="1">1-R3425/(3*F_GAMMA*R$29)</f>
        <v>0.82672114413886122</v>
      </c>
      <c r="S3426" s="106"/>
      <c r="T3426" s="22"/>
      <c r="U3426" s="96">
        <f ca="1">1-U3425/(3*F_GAMMA*U$29)</f>
        <v>0.83799523150435251</v>
      </c>
      <c r="V3426" s="111"/>
      <c r="W3426" s="28"/>
      <c r="X3426" s="96">
        <f ca="1">1-X3425/(3*F_GAMMA*X$29)</f>
        <v>0.91430359637716274</v>
      </c>
      <c r="Y3426" s="111"/>
      <c r="Z3426" s="28"/>
      <c r="AA3426" s="96">
        <f ca="1">1-AA3425/(3*F_GAMMA*AA$29)</f>
        <v>2.0653532266912649</v>
      </c>
      <c r="AB3426" s="111"/>
      <c r="AC3426" s="28"/>
      <c r="AD3426" s="96">
        <f ca="1">1-AD3425/(3*F_GAMMA*AD$29)</f>
        <v>0.14318834201964015</v>
      </c>
      <c r="AE3426" s="111"/>
      <c r="AF3426" s="28"/>
      <c r="AG3426" s="96">
        <f ca="1">1-AG3425/(3*F_GAMMA*AG$29)</f>
        <v>0.31169434402732776</v>
      </c>
      <c r="AH3426" s="111"/>
      <c r="AI3426" s="28"/>
      <c r="AJ3426" s="96">
        <f ca="1">1-AJ3425/(3*F_GAMMA*AJ$29)</f>
        <v>0.31618414998851341</v>
      </c>
      <c r="AK3426" s="111"/>
      <c r="AL3426" s="28"/>
      <c r="AM3426" s="96">
        <f ca="1">1-AM3425/(3*F_GAMMA*AM$29)</f>
        <v>0.25822457428575585</v>
      </c>
      <c r="AN3426" s="111"/>
      <c r="AO3426" s="28"/>
      <c r="AP3426" s="96">
        <f ca="1">1-AP3425/(3*F_GAMMA*AP$29)</f>
        <v>0.41158725209523805</v>
      </c>
      <c r="AQ3426" s="111"/>
      <c r="AR3426" s="28"/>
      <c r="AS3426" s="96">
        <f ca="1">1-AS3425/(3*F_GAMMA*AS$29)</f>
        <v>8.8247831471246374E-2</v>
      </c>
      <c r="AT3426" s="111"/>
      <c r="AU3426" s="28"/>
    </row>
    <row r="3427" spans="15:47" x14ac:dyDescent="0.25">
      <c r="O3427" s="2" t="s">
        <v>57</v>
      </c>
      <c r="P3427" s="143">
        <v>7</v>
      </c>
      <c r="Q3427" s="2"/>
      <c r="R3427" s="96">
        <f ca="1">(R3420/(N_9*R$27*R3422*R3426))*SQRT(M*'Valve Sizing'!$W$6*'Valve Sizing'!$G$8/R3425)</f>
        <v>15.58779054820145</v>
      </c>
      <c r="S3427" s="107"/>
      <c r="T3427" s="22"/>
      <c r="U3427" s="96">
        <f ca="1">(U3420/(N_9*U$27*U3422*U3426))*SQRT(M*'Valve Sizing'!$W$6*'Valve Sizing'!$G$8/U3425)</f>
        <v>55.632299216126221</v>
      </c>
      <c r="V3427" s="111"/>
      <c r="W3427" s="28"/>
      <c r="X3427" s="96">
        <f ca="1">(X3420/(N_9*X$27*X3422*X3426))*SQRT(M*'Valve Sizing'!$W$6*'Valve Sizing'!$G$8/X3425)</f>
        <v>210.04751409508259</v>
      </c>
      <c r="Y3427" s="111"/>
      <c r="Z3427" s="28"/>
      <c r="AA3427" s="96" t="e">
        <f ca="1">(AA3420/(N_9*AA$27*AA3422*AA3426))*SQRT(M*'Valve Sizing'!$W$6*'Valve Sizing'!$G$8/AA3425)</f>
        <v>#NUM!</v>
      </c>
      <c r="AB3427" s="111"/>
      <c r="AC3427" s="28"/>
      <c r="AD3427" s="96">
        <f ca="1">(AD3420/(N_9*AD$27*AD3422*AD3426))*SQRT(M*'Valve Sizing'!$W$6*'Valve Sizing'!$G$8/AD3425)</f>
        <v>-963.99717529792883</v>
      </c>
      <c r="AE3427" s="111"/>
      <c r="AF3427" s="28"/>
      <c r="AG3427" s="96">
        <f ca="1">(AG3420/(N_9*AG$27*AG3422*AG3426))*SQRT(M*'Valve Sizing'!$W$6*'Valve Sizing'!$G$8/AG3425)</f>
        <v>-246.49420366412525</v>
      </c>
      <c r="AH3427" s="111"/>
      <c r="AI3427" s="28"/>
      <c r="AJ3427" s="96">
        <f ca="1">(AJ3420/(N_9*AJ$27*AJ3422*AJ3426))*SQRT(M*'Valve Sizing'!$W$6*'Valve Sizing'!$G$8/AJ3425)</f>
        <v>-175.35803856864558</v>
      </c>
      <c r="AK3427" s="111"/>
      <c r="AL3427" s="28"/>
      <c r="AM3427" s="96">
        <f ca="1">(AM3420/(N_9*AM$27*AM3422*AM3426))*SQRT(M*'Valve Sizing'!$W$6*'Valve Sizing'!$G$8/AM3425)</f>
        <v>-181.40306498404527</v>
      </c>
      <c r="AN3427" s="111"/>
      <c r="AO3427" s="28"/>
      <c r="AP3427" s="96">
        <f ca="1">(AP3420/(N_9*AP$27*AP3422*AP3426))*SQRT(M*'Valve Sizing'!$W$6*'Valve Sizing'!$G$8/AP3425)</f>
        <v>-109.93851325937054</v>
      </c>
      <c r="AQ3427" s="111"/>
      <c r="AR3427" s="28"/>
      <c r="AS3427" s="96">
        <f ca="1">(AS3420/(N_9*AS$27*AS3422*AS3426))*SQRT(M*'Valve Sizing'!$W$6*'Valve Sizing'!$G$8/AS3425)</f>
        <v>-579.05212216511006</v>
      </c>
      <c r="AT3427" s="111"/>
      <c r="AU3427" s="28"/>
    </row>
    <row r="3428" spans="15:47" x14ac:dyDescent="0.25">
      <c r="O3428" s="2" t="s">
        <v>59</v>
      </c>
      <c r="P3428" s="143">
        <v>7</v>
      </c>
      <c r="Q3428" s="2"/>
      <c r="R3428" s="96">
        <f ca="1">(R3420/(N_9*R$27*R3422*0.667))*SQRT(M*'Valve Sizing'!$W$6*'Valve Sizing'!$G$8/R3429)</f>
        <v>13.930002235419433</v>
      </c>
      <c r="S3428" s="107"/>
      <c r="T3428" s="22"/>
      <c r="U3428" s="96">
        <f ca="1">(U3420/(N_9*U$27*U3422*0.667))*SQRT(M*'Valve Sizing'!$W$6*'Valve Sizing'!$G$8/U3429)</f>
        <v>48.726727935588791</v>
      </c>
      <c r="V3428" s="111"/>
      <c r="W3428" s="28"/>
      <c r="X3428" s="96">
        <f ca="1">(X3420/(N_9*X$27*X3422*0.667))*SQRT(M*'Valve Sizing'!$W$6*'Valve Sizing'!$G$8/X3429)</f>
        <v>145.99032177291966</v>
      </c>
      <c r="Y3428" s="111"/>
      <c r="Z3428" s="28"/>
      <c r="AA3428" s="96">
        <f ca="1">(AA3420/(N_9*AA$27*AA3422*0.667))*SQRT(M*'Valve Sizing'!$W$6*'Valve Sizing'!$G$8/AA3429)</f>
        <v>1031.9773416288865</v>
      </c>
      <c r="AB3428" s="111"/>
      <c r="AC3428" s="28"/>
      <c r="AD3428" s="96">
        <f ca="1">(AD3420/(N_9*AD$27*AD3422*0.667))*SQRT(M*'Valve Sizing'!$W$6*'Valve Sizing'!$G$8/AD3429)</f>
        <v>-331.78817122692988</v>
      </c>
      <c r="AE3428" s="111"/>
      <c r="AF3428" s="28"/>
      <c r="AG3428" s="96">
        <f ca="1">(AG3420/(N_9*AG$27*AG3422*0.667))*SQRT(M*'Valve Sizing'!$W$6*'Valve Sizing'!$G$8/AG3429)</f>
        <v>-165.52404677042236</v>
      </c>
      <c r="AH3428" s="111"/>
      <c r="AI3428" s="28"/>
      <c r="AJ3428" s="96">
        <f ca="1">(AJ3420/(N_9*AJ$27*AJ3422*0.667))*SQRT(M*'Valve Sizing'!$W$6*'Valve Sizing'!$G$8/AJ3429)</f>
        <v>-119.06117094094753</v>
      </c>
      <c r="AK3428" s="111"/>
      <c r="AL3428" s="28"/>
      <c r="AM3428" s="96">
        <f ca="1">(AM3420/(N_9*AM$27*AM3422*0.667))*SQRT(M*'Valve Sizing'!$W$6*'Valve Sizing'!$G$8/AM3429)</f>
        <v>-104.76427331781231</v>
      </c>
      <c r="AN3428" s="111"/>
      <c r="AO3428" s="28"/>
      <c r="AP3428" s="96">
        <f ca="1">(AP3420/(N_9*AP$27*AP3422*0.667))*SQRT(M*'Valve Sizing'!$W$6*'Valve Sizing'!$G$8/AP3429)</f>
        <v>-90.133784126780924</v>
      </c>
      <c r="AQ3428" s="111"/>
      <c r="AR3428" s="28"/>
      <c r="AS3428" s="96">
        <f ca="1">(AS3420/(N_9*AS$27*AS3422*0.667))*SQRT(M*'Valve Sizing'!$W$6*'Valve Sizing'!$G$8/AS3429)</f>
        <v>-126.7053333124812</v>
      </c>
      <c r="AT3428" s="111"/>
      <c r="AU3428" s="28"/>
    </row>
    <row r="3429" spans="15:47" ht="15.6" x14ac:dyDescent="0.35">
      <c r="O3429" s="2" t="s">
        <v>68</v>
      </c>
      <c r="P3429" s="143">
        <v>10</v>
      </c>
      <c r="Q3429" s="2"/>
      <c r="R3429" s="96">
        <f ca="1">F_GAMMA*R$29</f>
        <v>0.64002969751372984</v>
      </c>
      <c r="S3429" s="107"/>
      <c r="T3429" s="1"/>
      <c r="U3429" s="96">
        <f ca="1">F_GAMMA*U$29</f>
        <v>0.64017842058782071</v>
      </c>
      <c r="V3429" s="111"/>
      <c r="W3429" s="28"/>
      <c r="X3429" s="96">
        <f ca="1">F_GAMMA*X$29</f>
        <v>0.63413873724904268</v>
      </c>
      <c r="Y3429" s="111"/>
      <c r="Z3429" s="28"/>
      <c r="AA3429" s="96">
        <f ca="1">F_GAMMA*AA$29</f>
        <v>0.62532411750377137</v>
      </c>
      <c r="AB3429" s="111"/>
      <c r="AC3429" s="28"/>
      <c r="AD3429" s="96">
        <f ca="1">F_GAMMA*AD$29</f>
        <v>0.60651359509139569</v>
      </c>
      <c r="AE3429" s="111"/>
      <c r="AF3429" s="28"/>
      <c r="AG3429" s="96">
        <f ca="1">F_GAMMA*AG$29</f>
        <v>0.57217930198481592</v>
      </c>
      <c r="AH3429" s="111"/>
      <c r="AI3429" s="28"/>
      <c r="AJ3429" s="96">
        <f ca="1">F_GAMMA*AJ$29</f>
        <v>0.53183282018848232</v>
      </c>
      <c r="AK3429" s="111"/>
      <c r="AL3429" s="28"/>
      <c r="AM3429" s="96">
        <f ca="1">F_GAMMA*AM$29</f>
        <v>0.47566512503094399</v>
      </c>
      <c r="AN3429" s="111"/>
      <c r="AO3429" s="28"/>
      <c r="AP3429" s="96">
        <f ca="1">F_GAMMA*AP$29</f>
        <v>0.59054158265645496</v>
      </c>
      <c r="AQ3429" s="111"/>
      <c r="AR3429" s="28"/>
      <c r="AS3429" s="96">
        <f ca="1">F_GAMMA*AS$29</f>
        <v>0.3766899554102966</v>
      </c>
      <c r="AT3429" s="111"/>
      <c r="AU3429" s="28"/>
    </row>
    <row r="3430" spans="15:47" x14ac:dyDescent="0.25">
      <c r="O3430" s="2" t="s">
        <v>145</v>
      </c>
      <c r="P3430" s="12"/>
      <c r="Q3430" s="2"/>
      <c r="R3430" s="96">
        <f ca="1">IF(R3425&lt;R3429,R3427,R3428)</f>
        <v>15.58779054820145</v>
      </c>
      <c r="S3430" s="116"/>
      <c r="T3430" s="1"/>
      <c r="U3430" s="96">
        <f ca="1">IF(U3425&lt;U3429,U3427,U3428)</f>
        <v>55.632299216126221</v>
      </c>
      <c r="V3430" s="111"/>
      <c r="W3430" s="28"/>
      <c r="X3430" s="96">
        <f ca="1">IF(X3425&lt;X3429,X3427,X3428)</f>
        <v>210.04751409508259</v>
      </c>
      <c r="Y3430" s="111"/>
      <c r="Z3430" s="28"/>
      <c r="AA3430" s="96" t="e">
        <f ca="1">IF(AA3425&lt;AA3429,AA3427,AA3428)</f>
        <v>#NUM!</v>
      </c>
      <c r="AB3430" s="111"/>
      <c r="AC3430" s="28"/>
      <c r="AD3430" s="96">
        <f ca="1">IF(AD3425&lt;AD3429,AD3427,AD3428)</f>
        <v>-331.78817122692988</v>
      </c>
      <c r="AE3430" s="111"/>
      <c r="AF3430" s="28"/>
      <c r="AG3430" s="96">
        <f ca="1">IF(AG3425&lt;AG3429,AG3427,AG3428)</f>
        <v>-165.52404677042236</v>
      </c>
      <c r="AH3430" s="111"/>
      <c r="AI3430" s="28"/>
      <c r="AJ3430" s="96">
        <f ca="1">IF(AJ3425&lt;AJ3429,AJ3427,AJ3428)</f>
        <v>-119.06117094094753</v>
      </c>
      <c r="AK3430" s="111"/>
      <c r="AL3430" s="28"/>
      <c r="AM3430" s="96">
        <f ca="1">IF(AM3425&lt;AM3429,AM3427,AM3428)</f>
        <v>-104.76427331781231</v>
      </c>
      <c r="AN3430" s="111"/>
      <c r="AO3430" s="28"/>
      <c r="AP3430" s="96">
        <f ca="1">IF(AP3425&lt;AP3429,AP3427,AP3428)</f>
        <v>-90.133784126780924</v>
      </c>
      <c r="AQ3430" s="111"/>
      <c r="AR3430" s="28"/>
      <c r="AS3430" s="96">
        <f ca="1">IF(AS3425&lt;AS3429,AS3427,AS3428)</f>
        <v>-126.7053333124812</v>
      </c>
      <c r="AT3430" s="111"/>
      <c r="AU3430" s="28"/>
    </row>
    <row r="3431" spans="15:47" x14ac:dyDescent="0.25">
      <c r="O3431" s="13" t="s">
        <v>143</v>
      </c>
      <c r="P3431" s="1"/>
      <c r="Q3431" s="1"/>
      <c r="R3431" s="113"/>
      <c r="S3431" s="106">
        <f ca="1">IF(R3424&lt;=0,Q_max,ABS(R$23-R3430))</f>
        <v>10.85779054820145</v>
      </c>
      <c r="T3431" s="7">
        <f>R3420</f>
        <v>38417.423040126661</v>
      </c>
      <c r="U3431" s="98"/>
      <c r="V3431" s="106">
        <f ca="1">IF(U3424&lt;=0,Q_max,ABS(U$23-U3430))</f>
        <v>44.032299216126219</v>
      </c>
      <c r="W3431" s="9">
        <f ca="1">U3420</f>
        <v>130103.91930492682</v>
      </c>
      <c r="X3431" s="98"/>
      <c r="Y3431" s="106">
        <f ca="1">IF(X3424&lt;=0,Q_max,ABS(X$23-X3430))</f>
        <v>187.04751409508259</v>
      </c>
      <c r="Z3431" s="9">
        <f ca="1">X3420</f>
        <v>318576.70790987328</v>
      </c>
      <c r="AA3431" s="98"/>
      <c r="AB3431" s="106">
        <f ca="1">IF(AA3424&lt;=0,Q_max,ABS(AA$23-AA3430))</f>
        <v>236393</v>
      </c>
      <c r="AC3431" s="9">
        <f ca="1">AA3420</f>
        <v>620506.11176494032</v>
      </c>
      <c r="AD3431" s="98"/>
      <c r="AE3431" s="106">
        <f ca="1">IF(AD3424&lt;=0,Q_max,ABS(AD$23-AD3430))</f>
        <v>236393</v>
      </c>
      <c r="AF3431" s="9">
        <f ca="1">AD3420</f>
        <v>1041016.2294080879</v>
      </c>
      <c r="AG3431" s="98"/>
      <c r="AH3431" s="106">
        <f ca="1">IF(AG3424&lt;=0,Q_max,ABS(AG$23-AG3430))</f>
        <v>236393</v>
      </c>
      <c r="AI3431" s="9">
        <f ca="1">AG3420</f>
        <v>1519391.5400867152</v>
      </c>
      <c r="AJ3431" s="98"/>
      <c r="AK3431" s="106">
        <f ca="1">IF(AJ3424&lt;=0,Q_max,ABS(AJ$23-AJ3430))</f>
        <v>236393</v>
      </c>
      <c r="AL3431" s="9">
        <f ca="1">AJ3420</f>
        <v>2027633.9002691808</v>
      </c>
      <c r="AM3431" s="98"/>
      <c r="AN3431" s="106">
        <f ca="1">IF(AM3424&lt;=0,Q_max,ABS(AM$23-AM3430))</f>
        <v>236393</v>
      </c>
      <c r="AO3431" s="9">
        <f ca="1">AM3420</f>
        <v>2474098.689769303</v>
      </c>
      <c r="AP3431" s="98"/>
      <c r="AQ3431" s="106">
        <f ca="1">IF(AP3424&lt;=0,Q_max,ABS(AP$23-AP3430))</f>
        <v>236393</v>
      </c>
      <c r="AR3431" s="9">
        <f ca="1">AP3420</f>
        <v>2872351.7713437499</v>
      </c>
      <c r="AS3431" s="98"/>
      <c r="AT3431" s="106">
        <f ca="1">IF(AS3424&lt;=0,Q_max,ABS(AS$23-AS3430))</f>
        <v>236393</v>
      </c>
      <c r="AU3431" s="9">
        <f ca="1">AS3420</f>
        <v>3368058.34778644</v>
      </c>
    </row>
    <row r="3432" spans="15:47" x14ac:dyDescent="0.25">
      <c r="O3432" s="21"/>
      <c r="P3432" s="14"/>
      <c r="Q3432" s="21"/>
      <c r="R3432" s="97"/>
      <c r="S3432" s="106"/>
      <c r="T3432" s="28"/>
      <c r="U3432" s="97"/>
      <c r="V3432" s="111"/>
      <c r="W3432" s="28"/>
      <c r="X3432" s="97"/>
      <c r="Y3432" s="111"/>
      <c r="Z3432" s="28"/>
      <c r="AA3432" s="97"/>
      <c r="AB3432" s="111"/>
      <c r="AC3432" s="28"/>
      <c r="AD3432" s="97"/>
      <c r="AE3432" s="111"/>
      <c r="AF3432" s="28"/>
      <c r="AG3432" s="97"/>
      <c r="AH3432" s="111"/>
      <c r="AI3432" s="28"/>
      <c r="AJ3432" s="97"/>
      <c r="AK3432" s="111"/>
      <c r="AL3432" s="28"/>
      <c r="AM3432" s="97"/>
      <c r="AN3432" s="111"/>
      <c r="AO3432" s="28"/>
      <c r="AP3432" s="97"/>
      <c r="AQ3432" s="111"/>
      <c r="AR3432" s="28"/>
      <c r="AS3432" s="97"/>
      <c r="AT3432" s="111"/>
      <c r="AU3432" s="28"/>
    </row>
    <row r="3433" spans="15:47" x14ac:dyDescent="0.25">
      <c r="O3433" s="1"/>
      <c r="P3433" s="1"/>
      <c r="Q3433" s="1"/>
      <c r="R3433" s="98"/>
      <c r="S3433" s="108" t="s">
        <v>137</v>
      </c>
      <c r="T3433" s="26" t="s">
        <v>146</v>
      </c>
      <c r="U3433" s="98"/>
      <c r="V3433" s="108" t="s">
        <v>137</v>
      </c>
      <c r="W3433" s="26" t="s">
        <v>146</v>
      </c>
      <c r="X3433" s="98"/>
      <c r="Y3433" s="108" t="s">
        <v>137</v>
      </c>
      <c r="Z3433" s="26" t="s">
        <v>146</v>
      </c>
      <c r="AA3433" s="98"/>
      <c r="AB3433" s="108" t="s">
        <v>137</v>
      </c>
      <c r="AC3433" s="26" t="s">
        <v>146</v>
      </c>
      <c r="AD3433" s="98"/>
      <c r="AE3433" s="108" t="s">
        <v>137</v>
      </c>
      <c r="AF3433" s="26" t="s">
        <v>146</v>
      </c>
      <c r="AG3433" s="98"/>
      <c r="AH3433" s="108" t="s">
        <v>137</v>
      </c>
      <c r="AI3433" s="26" t="s">
        <v>146</v>
      </c>
      <c r="AJ3433" s="98"/>
      <c r="AK3433" s="108" t="s">
        <v>137</v>
      </c>
      <c r="AL3433" s="26" t="s">
        <v>146</v>
      </c>
      <c r="AM3433" s="98"/>
      <c r="AN3433" s="108" t="s">
        <v>137</v>
      </c>
      <c r="AO3433" s="26" t="s">
        <v>146</v>
      </c>
      <c r="AP3433" s="98"/>
      <c r="AQ3433" s="108" t="s">
        <v>137</v>
      </c>
      <c r="AR3433" s="26" t="s">
        <v>146</v>
      </c>
      <c r="AS3433" s="98"/>
      <c r="AT3433" s="108" t="s">
        <v>137</v>
      </c>
      <c r="AU3433" s="26" t="s">
        <v>146</v>
      </c>
    </row>
    <row r="3434" spans="15:47" ht="13.8" x14ac:dyDescent="0.25">
      <c r="O3434" s="20" t="s">
        <v>136</v>
      </c>
      <c r="P3434" s="1"/>
      <c r="Q3434" s="1"/>
      <c r="R3434" s="96">
        <f>R3420*1.02</f>
        <v>39185.771500929193</v>
      </c>
      <c r="S3434" s="109" t="s">
        <v>144</v>
      </c>
      <c r="T3434" s="23" t="s">
        <v>147</v>
      </c>
      <c r="U3434" s="96">
        <f ca="1">U3420*1.01</f>
        <v>131404.9584979761</v>
      </c>
      <c r="V3434" s="109" t="s">
        <v>144</v>
      </c>
      <c r="W3434" s="23" t="s">
        <v>147</v>
      </c>
      <c r="X3434" s="96">
        <f ca="1">X3420*1.01</f>
        <v>321762.47498897201</v>
      </c>
      <c r="Y3434" s="109" t="s">
        <v>144</v>
      </c>
      <c r="Z3434" s="23" t="s">
        <v>147</v>
      </c>
      <c r="AA3434" s="96">
        <f ca="1">AA3420*1.01</f>
        <v>626711.17288258974</v>
      </c>
      <c r="AB3434" s="109" t="s">
        <v>144</v>
      </c>
      <c r="AC3434" s="23" t="s">
        <v>147</v>
      </c>
      <c r="AD3434" s="96">
        <f ca="1">AD3420*1.01</f>
        <v>1051426.3917021689</v>
      </c>
      <c r="AE3434" s="109" t="s">
        <v>144</v>
      </c>
      <c r="AF3434" s="23" t="s">
        <v>147</v>
      </c>
      <c r="AG3434" s="96">
        <f ca="1">AG3420*1.01</f>
        <v>1534585.4554875824</v>
      </c>
      <c r="AH3434" s="109" t="s">
        <v>144</v>
      </c>
      <c r="AI3434" s="23" t="s">
        <v>147</v>
      </c>
      <c r="AJ3434" s="96">
        <f ca="1">AJ3420*1.01</f>
        <v>2047910.2392718727</v>
      </c>
      <c r="AK3434" s="109" t="s">
        <v>144</v>
      </c>
      <c r="AL3434" s="23" t="s">
        <v>147</v>
      </c>
      <c r="AM3434" s="96">
        <f ca="1">AM3420*1.01</f>
        <v>2498839.676666996</v>
      </c>
      <c r="AN3434" s="109" t="s">
        <v>144</v>
      </c>
      <c r="AO3434" s="23" t="s">
        <v>147</v>
      </c>
      <c r="AP3434" s="96">
        <f ca="1">AP3420*1.01</f>
        <v>2901075.2890571873</v>
      </c>
      <c r="AQ3434" s="109" t="s">
        <v>144</v>
      </c>
      <c r="AR3434" s="23" t="s">
        <v>147</v>
      </c>
      <c r="AS3434" s="96">
        <f ca="1">AS3420*1.01</f>
        <v>3401738.9312643046</v>
      </c>
      <c r="AT3434" s="109" t="s">
        <v>144</v>
      </c>
      <c r="AU3434" s="23" t="s">
        <v>147</v>
      </c>
    </row>
    <row r="3435" spans="15:47" x14ac:dyDescent="0.25">
      <c r="O3435" s="1"/>
      <c r="P3435" s="1"/>
      <c r="Q3435" s="1"/>
      <c r="R3435" s="98"/>
      <c r="S3435" s="107"/>
      <c r="T3435" s="1"/>
      <c r="U3435" s="47"/>
      <c r="V3435" s="107"/>
      <c r="W3435" s="1"/>
      <c r="X3435" s="47"/>
      <c r="Y3435" s="107"/>
      <c r="Z3435" s="1"/>
      <c r="AA3435" s="47"/>
      <c r="AB3435" s="107"/>
      <c r="AC3435" s="1"/>
      <c r="AD3435" s="47"/>
      <c r="AE3435" s="107"/>
      <c r="AF3435" s="1"/>
      <c r="AG3435" s="47"/>
      <c r="AH3435" s="107"/>
      <c r="AI3435" s="1"/>
      <c r="AJ3435" s="47"/>
      <c r="AK3435" s="107"/>
      <c r="AL3435" s="1"/>
      <c r="AM3435" s="47"/>
      <c r="AN3435" s="107"/>
      <c r="AO3435" s="1"/>
      <c r="AP3435" s="47"/>
      <c r="AQ3435" s="107"/>
      <c r="AR3435" s="1"/>
      <c r="AS3435" s="47"/>
      <c r="AT3435" s="107"/>
      <c r="AU3435" s="1"/>
    </row>
    <row r="3436" spans="15:47" x14ac:dyDescent="0.25">
      <c r="O3436" s="8" t="s">
        <v>132</v>
      </c>
      <c r="P3436" s="8"/>
      <c r="Q3436" s="8"/>
      <c r="R3436" s="96">
        <f>P_1_minQ-(R3434^2*R_up)+dpup_minQ</f>
        <v>89.905174401426478</v>
      </c>
      <c r="S3436" s="106"/>
      <c r="T3436" s="22"/>
      <c r="U3436" s="96">
        <f ca="1">P_1_minQ-(U3434^2*R_up)+dpup_minQ</f>
        <v>87.037893420446352</v>
      </c>
      <c r="V3436" s="107"/>
      <c r="W3436" s="1"/>
      <c r="X3436" s="96">
        <f ca="1">P_1_minQ-(X3434^2*R_up)+dpup_minQ</f>
        <v>71.31536967252508</v>
      </c>
      <c r="Y3436" s="107"/>
      <c r="Z3436" s="1"/>
      <c r="AA3436" s="96">
        <f ca="1">P_1_minQ-(AA3434^2*R_up)+dpup_minQ</f>
        <v>18.598988500848677</v>
      </c>
      <c r="AB3436" s="107"/>
      <c r="AC3436" s="1"/>
      <c r="AD3436" s="96">
        <f ca="1">P_1_minQ-(AD3434^2*R_up)+dpup_minQ</f>
        <v>-111.30393334364354</v>
      </c>
      <c r="AE3436" s="107"/>
      <c r="AF3436" s="1"/>
      <c r="AG3436" s="96">
        <f ca="1">P_1_minQ-(AG3434^2*R_up)+dpup_minQ</f>
        <v>-339.03075163561209</v>
      </c>
      <c r="AH3436" s="107"/>
      <c r="AI3436" s="1"/>
      <c r="AJ3436" s="96">
        <f ca="1">P_1_minQ-(AJ3434^2*R_up)+dpup_minQ</f>
        <v>-674.20561979647994</v>
      </c>
      <c r="AK3436" s="107"/>
      <c r="AL3436" s="1"/>
      <c r="AM3436" s="96">
        <f ca="1">P_1_minQ-(AM3434^2*R_up)+dpup_minQ</f>
        <v>-1047.8884919237728</v>
      </c>
      <c r="AN3436" s="107"/>
      <c r="AO3436" s="1"/>
      <c r="AP3436" s="96">
        <f ca="1">P_1_minQ-(AP3434^2*R_up)+dpup_minQ</f>
        <v>-1443.766135756995</v>
      </c>
      <c r="AQ3436" s="107"/>
      <c r="AR3436" s="1"/>
      <c r="AS3436" s="96">
        <f ca="1">P_1_minQ-(AS3434^2*R_up)+dpup_minQ</f>
        <v>-2018.9068306277125</v>
      </c>
      <c r="AT3436" s="107"/>
      <c r="AU3436" s="1"/>
    </row>
    <row r="3437" spans="15:47" x14ac:dyDescent="0.25">
      <c r="O3437" s="8" t="s">
        <v>134</v>
      </c>
      <c r="P3437" s="1"/>
      <c r="Q3437" s="8"/>
      <c r="R3437" s="97">
        <f>P_2_minQ+(R3434^2*R_dn)-dpdn_minQ</f>
        <v>60</v>
      </c>
      <c r="S3437" s="106"/>
      <c r="T3437" s="22"/>
      <c r="U3437" s="97">
        <f ca="1">P_2_minQ+(U3434^2*R_dn)-dpdn_minQ</f>
        <v>60</v>
      </c>
      <c r="V3437" s="107"/>
      <c r="W3437" s="1"/>
      <c r="X3437" s="97">
        <f ca="1">P_2_minQ+(X3434^2*R_dn)-dpdn_minQ</f>
        <v>60</v>
      </c>
      <c r="Y3437" s="107"/>
      <c r="Z3437" s="1"/>
      <c r="AA3437" s="97">
        <f ca="1">P_2_minQ+(AA3434^2*R_dn)-dpdn_minQ</f>
        <v>60</v>
      </c>
      <c r="AB3437" s="107"/>
      <c r="AC3437" s="1"/>
      <c r="AD3437" s="97">
        <f ca="1">P_2_minQ+(AD3434^2*R_dn)-dpdn_minQ</f>
        <v>60</v>
      </c>
      <c r="AE3437" s="107"/>
      <c r="AF3437" s="1"/>
      <c r="AG3437" s="97">
        <f ca="1">P_2_minQ+(AG3434^2*R_dn)-dpdn_minQ</f>
        <v>60</v>
      </c>
      <c r="AH3437" s="107"/>
      <c r="AI3437" s="1"/>
      <c r="AJ3437" s="97">
        <f ca="1">P_2_minQ+(AJ3434^2*R_dn)-dpdn_minQ</f>
        <v>60</v>
      </c>
      <c r="AK3437" s="107"/>
      <c r="AL3437" s="1"/>
      <c r="AM3437" s="97">
        <f ca="1">P_2_minQ+(AM3434^2*R_dn)-dpdn_minQ</f>
        <v>60</v>
      </c>
      <c r="AN3437" s="107"/>
      <c r="AO3437" s="1"/>
      <c r="AP3437" s="97">
        <f ca="1">P_2_minQ+(AP3434^2*R_dn)-dpdn_minQ</f>
        <v>60</v>
      </c>
      <c r="AQ3437" s="107"/>
      <c r="AR3437" s="1"/>
      <c r="AS3437" s="97">
        <f ca="1">P_2_minQ+(AS3434^2*R_dn)-dpdn_minQ</f>
        <v>60</v>
      </c>
      <c r="AT3437" s="107"/>
      <c r="AU3437" s="1"/>
    </row>
    <row r="3438" spans="15:47" x14ac:dyDescent="0.25">
      <c r="O3438" s="8" t="s">
        <v>138</v>
      </c>
      <c r="P3438" s="1"/>
      <c r="Q3438" s="8"/>
      <c r="R3438" s="97">
        <f>R3436-R3437</f>
        <v>29.905174401426478</v>
      </c>
      <c r="S3438" s="106"/>
      <c r="T3438" s="22"/>
      <c r="U3438" s="97">
        <f ca="1">U3436-U3437</f>
        <v>27.037893420446352</v>
      </c>
      <c r="V3438" s="110"/>
      <c r="W3438" s="25"/>
      <c r="X3438" s="97">
        <f ca="1">X3436-X3437</f>
        <v>11.31536967252508</v>
      </c>
      <c r="Y3438" s="110"/>
      <c r="Z3438" s="25"/>
      <c r="AA3438" s="97">
        <f ca="1">AA3436-AA3437</f>
        <v>-41.401011499151323</v>
      </c>
      <c r="AB3438" s="110"/>
      <c r="AC3438" s="25"/>
      <c r="AD3438" s="97">
        <f ca="1">AD3436-AD3437</f>
        <v>-171.30393334364354</v>
      </c>
      <c r="AE3438" s="110"/>
      <c r="AF3438" s="25"/>
      <c r="AG3438" s="97">
        <f ca="1">AG3436-AG3437</f>
        <v>-399.03075163561209</v>
      </c>
      <c r="AH3438" s="110"/>
      <c r="AI3438" s="25"/>
      <c r="AJ3438" s="97">
        <f ca="1">AJ3436-AJ3437</f>
        <v>-734.20561979647994</v>
      </c>
      <c r="AK3438" s="110"/>
      <c r="AL3438" s="25"/>
      <c r="AM3438" s="97">
        <f ca="1">AM3436-AM3437</f>
        <v>-1107.8884919237728</v>
      </c>
      <c r="AN3438" s="110"/>
      <c r="AO3438" s="25"/>
      <c r="AP3438" s="97">
        <f ca="1">AP3436-AP3437</f>
        <v>-1503.766135756995</v>
      </c>
      <c r="AQ3438" s="110"/>
      <c r="AR3438" s="25"/>
      <c r="AS3438" s="97">
        <f ca="1">AS3436-AS3437</f>
        <v>-2078.9068306277122</v>
      </c>
      <c r="AT3438" s="110"/>
      <c r="AU3438" s="25"/>
    </row>
    <row r="3439" spans="15:47" ht="14.4" x14ac:dyDescent="0.3">
      <c r="O3439" s="2" t="s">
        <v>140</v>
      </c>
      <c r="P3439" s="11"/>
      <c r="Q3439" s="2"/>
      <c r="R3439" s="96">
        <f>R3438/R3436</f>
        <v>0.33263018063787869</v>
      </c>
      <c r="S3439" s="106"/>
      <c r="T3439" s="22"/>
      <c r="U3439" s="96">
        <f ca="1">U3438/U3436</f>
        <v>0.31064508064133356</v>
      </c>
      <c r="V3439" s="111"/>
      <c r="W3439" s="28"/>
      <c r="X3439" s="96">
        <f ca="1">X3438/X3436</f>
        <v>0.1586666341979916</v>
      </c>
      <c r="Y3439" s="111"/>
      <c r="Z3439" s="28"/>
      <c r="AA3439" s="96">
        <f ca="1">AA3438/AA3436</f>
        <v>-2.2259818859107412</v>
      </c>
      <c r="AB3439" s="111"/>
      <c r="AC3439" s="28"/>
      <c r="AD3439" s="96">
        <f ca="1">AD3438/AD3436</f>
        <v>1.5390645074038307</v>
      </c>
      <c r="AE3439" s="111"/>
      <c r="AF3439" s="28"/>
      <c r="AG3439" s="96">
        <f ca="1">AG3438/AG3436</f>
        <v>1.1769750965378136</v>
      </c>
      <c r="AH3439" s="111"/>
      <c r="AI3439" s="28"/>
      <c r="AJ3439" s="96">
        <f ca="1">AJ3438/AJ3436</f>
        <v>1.0889936218836502</v>
      </c>
      <c r="AK3439" s="111"/>
      <c r="AL3439" s="28"/>
      <c r="AM3439" s="96">
        <f ca="1">AM3438/AM3436</f>
        <v>1.0572580006960937</v>
      </c>
      <c r="AN3439" s="111"/>
      <c r="AO3439" s="28"/>
      <c r="AP3439" s="96">
        <f ca="1">AP3438/AP3436</f>
        <v>1.0415579770947743</v>
      </c>
      <c r="AQ3439" s="111"/>
      <c r="AR3439" s="28"/>
      <c r="AS3439" s="96">
        <f ca="1">AS3438/AS3436</f>
        <v>1.0297190534450491</v>
      </c>
      <c r="AT3439" s="111"/>
      <c r="AU3439" s="28"/>
    </row>
    <row r="3440" spans="15:47" x14ac:dyDescent="0.25">
      <c r="O3440" s="2" t="s">
        <v>21</v>
      </c>
      <c r="P3440" s="8">
        <v>12</v>
      </c>
      <c r="Q3440" s="2"/>
      <c r="R3440" s="96">
        <f ca="1">1-R3439/(3*F_GAMMA*R$29)</f>
        <v>0.82676315285055291</v>
      </c>
      <c r="S3440" s="106"/>
      <c r="T3440" s="22"/>
      <c r="U3440" s="96">
        <f ca="1">1-U3439/(3*F_GAMMA*U$29)</f>
        <v>0.83825077996428199</v>
      </c>
      <c r="V3440" s="111"/>
      <c r="W3440" s="28"/>
      <c r="X3440" s="96">
        <f ca="1">1-X3439/(3*F_GAMMA*X$29)</f>
        <v>0.91659730756169466</v>
      </c>
      <c r="Y3440" s="111"/>
      <c r="Z3440" s="28"/>
      <c r="AA3440" s="96">
        <f ca="1">1-AA3439/(3*F_GAMMA*AA$29)</f>
        <v>2.1865749955914215</v>
      </c>
      <c r="AB3440" s="111"/>
      <c r="AC3440" s="28"/>
      <c r="AD3440" s="96">
        <f ca="1">1-AD3439/(3*F_GAMMA*AD$29)</f>
        <v>0.15414673863883255</v>
      </c>
      <c r="AE3440" s="111"/>
      <c r="AF3440" s="28"/>
      <c r="AG3440" s="96">
        <f ca="1">1-AG3439/(3*F_GAMMA*AG$29)</f>
        <v>0.31433200953207063</v>
      </c>
      <c r="AH3440" s="111"/>
      <c r="AI3440" s="28"/>
      <c r="AJ3440" s="96">
        <f ca="1">1-AJ3439/(3*F_GAMMA*AJ$29)</f>
        <v>0.31745868216149242</v>
      </c>
      <c r="AK3440" s="111"/>
      <c r="AL3440" s="28"/>
      <c r="AM3440" s="96">
        <f ca="1">1-AM3439/(3*F_GAMMA*AM$29)</f>
        <v>0.25910201311807712</v>
      </c>
      <c r="AN3440" s="111"/>
      <c r="AO3440" s="28"/>
      <c r="AP3440" s="96">
        <f ca="1">1-AP3439/(3*F_GAMMA*AP$29)</f>
        <v>0.41208883072523828</v>
      </c>
      <c r="AQ3440" s="111"/>
      <c r="AR3440" s="28"/>
      <c r="AS3440" s="96">
        <f ca="1">1-AS3439/(3*F_GAMMA*AS$29)</f>
        <v>8.8800538607882507E-2</v>
      </c>
      <c r="AT3440" s="111"/>
      <c r="AU3440" s="28"/>
    </row>
    <row r="3441" spans="15:47" x14ac:dyDescent="0.25">
      <c r="O3441" s="2" t="s">
        <v>57</v>
      </c>
      <c r="P3441" s="143">
        <v>7</v>
      </c>
      <c r="Q3441" s="2"/>
      <c r="R3441" s="96">
        <f ca="1">(R3434/(N_9*R$27*R3436*R3440))*SQRT(M*'Valve Sizing'!$W$6*'Valve Sizing'!$G$8/R3439)</f>
        <v>15.902588073502377</v>
      </c>
      <c r="S3441" s="107"/>
      <c r="T3441" s="22"/>
      <c r="U3441" s="96">
        <f ca="1">(U3434/(N_9*U$27*U3436*U3440))*SQRT(M*'Valve Sizing'!$W$6*'Valve Sizing'!$G$8/U3439)</f>
        <v>56.255899579751478</v>
      </c>
      <c r="V3441" s="111"/>
      <c r="W3441" s="28"/>
      <c r="X3441" s="96">
        <f ca="1">(X3434/(N_9*X$27*X3436*X3440))*SQRT(M*'Valve Sizing'!$W$6*'Valve Sizing'!$G$8/X3439)</f>
        <v>215.62562564304304</v>
      </c>
      <c r="Y3441" s="111"/>
      <c r="Z3441" s="28"/>
      <c r="AA3441" s="96" t="e">
        <f ca="1">(AA3434/(N_9*AA$27*AA3436*AA3440))*SQRT(M*'Valve Sizing'!$W$6*'Valve Sizing'!$G$8/AA3439)</f>
        <v>#NUM!</v>
      </c>
      <c r="AB3441" s="111"/>
      <c r="AC3441" s="28"/>
      <c r="AD3441" s="96">
        <f ca="1">(AD3434/(N_9*AD$27*AD3436*AD3440))*SQRT(M*'Valve Sizing'!$W$6*'Valve Sizing'!$G$8/AD3439)</f>
        <v>-877.79203540540891</v>
      </c>
      <c r="AE3441" s="111"/>
      <c r="AF3441" s="28"/>
      <c r="AG3441" s="96">
        <f ca="1">(AG3434/(N_9*AG$27*AG3436*AG3440))*SQRT(M*'Valve Sizing'!$W$6*'Valve Sizing'!$G$8/AG3439)</f>
        <v>-241.17432907087044</v>
      </c>
      <c r="AH3441" s="111"/>
      <c r="AI3441" s="28"/>
      <c r="AJ3441" s="96">
        <f ca="1">(AJ3434/(N_9*AJ$27*AJ3436*AJ3440))*SQRT(M*'Valve Sizing'!$W$6*'Valve Sizing'!$G$8/AJ3439)</f>
        <v>-172.62077052378578</v>
      </c>
      <c r="AK3441" s="111"/>
      <c r="AL3441" s="28"/>
      <c r="AM3441" s="96">
        <f ca="1">(AM3434/(N_9*AM$27*AM3436*AM3440))*SQRT(M*'Valve Sizing'!$W$6*'Valve Sizing'!$G$8/AM3439)</f>
        <v>-178.79489558655038</v>
      </c>
      <c r="AN3441" s="111"/>
      <c r="AO3441" s="28"/>
      <c r="AP3441" s="96">
        <f ca="1">(AP3434/(N_9*AP$27*AP3436*AP3440))*SQRT(M*'Valve Sizing'!$W$6*'Valve Sizing'!$G$8/AP3439)</f>
        <v>-108.62733317702828</v>
      </c>
      <c r="AQ3441" s="111"/>
      <c r="AR3441" s="28"/>
      <c r="AS3441" s="96">
        <f ca="1">(AS3434/(N_9*AS$27*AS3436*AS3440))*SQRT(M*'Valve Sizing'!$W$6*'Valve Sizing'!$G$8/AS3439)</f>
        <v>-569.41156742431656</v>
      </c>
      <c r="AT3441" s="111"/>
      <c r="AU3441" s="28"/>
    </row>
    <row r="3442" spans="15:47" x14ac:dyDescent="0.25">
      <c r="O3442" s="2" t="s">
        <v>59</v>
      </c>
      <c r="P3442" s="143">
        <v>7</v>
      </c>
      <c r="Q3442" s="2"/>
      <c r="R3442" s="96">
        <f ca="1">(R3434/(N_9*R$27*R3436*0.667))*SQRT(M*'Valve Sizing'!$W$6*'Valve Sizing'!$G$8/R3443)</f>
        <v>14.210319785215461</v>
      </c>
      <c r="S3442" s="107"/>
      <c r="T3442" s="22"/>
      <c r="U3442" s="96">
        <f ca="1">(U3434/(N_9*U$27*U3436*0.667))*SQRT(M*'Valve Sizing'!$W$6*'Valve Sizing'!$G$8/U3443)</f>
        <v>49.249058338759966</v>
      </c>
      <c r="V3442" s="111"/>
      <c r="W3442" s="28"/>
      <c r="X3442" s="96">
        <f ca="1">(X3434/(N_9*X$27*X3436*0.667))*SQRT(M*'Valve Sizing'!$W$6*'Valve Sizing'!$G$8/X3443)</f>
        <v>148.21896579980793</v>
      </c>
      <c r="Y3442" s="111"/>
      <c r="Z3442" s="28"/>
      <c r="AA3442" s="96">
        <f ca="1">(AA3434/(N_9*AA$27*AA3436*0.667))*SQRT(M*'Valve Sizing'!$W$6*'Valve Sizing'!$G$8/AA3443)</f>
        <v>1121.3438491582865</v>
      </c>
      <c r="AB3442" s="111"/>
      <c r="AC3442" s="28"/>
      <c r="AD3442" s="96">
        <f ca="1">(AD3434/(N_9*AD$27*AD3436*0.667))*SQRT(M*'Valve Sizing'!$W$6*'Valve Sizing'!$G$8/AD3443)</f>
        <v>-323.1530684645461</v>
      </c>
      <c r="AE3442" s="111"/>
      <c r="AF3442" s="28"/>
      <c r="AG3442" s="96">
        <f ca="1">(AG3434/(N_9*AG$27*AG3436*0.667))*SQRT(M*'Valve Sizing'!$W$6*'Valve Sizing'!$G$8/AG3443)</f>
        <v>-163.00893844543359</v>
      </c>
      <c r="AH3442" s="111"/>
      <c r="AI3442" s="28"/>
      <c r="AJ3442" s="96">
        <f ca="1">(AJ3434/(N_9*AJ$27*AJ3436*0.667))*SQRT(M*'Valve Sizing'!$W$6*'Valve Sizing'!$G$8/AJ3443)</f>
        <v>-117.5654002296629</v>
      </c>
      <c r="AK3442" s="111"/>
      <c r="AL3442" s="28"/>
      <c r="AM3442" s="96">
        <f ca="1">(AM3434/(N_9*AM$27*AM3436*0.667))*SQRT(M*'Valve Sizing'!$W$6*'Valve Sizing'!$G$8/AM3443)</f>
        <v>-103.54756821743841</v>
      </c>
      <c r="AN3442" s="111"/>
      <c r="AO3442" s="28"/>
      <c r="AP3442" s="96">
        <f ca="1">(AP3434/(N_9*AP$27*AP3436*0.667))*SQRT(M*'Valve Sizing'!$W$6*'Valve Sizing'!$G$8/AP3443)</f>
        <v>-89.129323497624085</v>
      </c>
      <c r="AQ3442" s="111"/>
      <c r="AR3442" s="28"/>
      <c r="AS3442" s="96">
        <f ca="1">(AS3434/(N_9*AS$27*AS3436*0.667))*SQRT(M*'Valve Sizing'!$W$6*'Valve Sizing'!$G$8/AS3443)</f>
        <v>-125.33818631589391</v>
      </c>
      <c r="AT3442" s="111"/>
      <c r="AU3442" s="28"/>
    </row>
    <row r="3443" spans="15:47" ht="15.6" x14ac:dyDescent="0.35">
      <c r="O3443" s="2" t="s">
        <v>68</v>
      </c>
      <c r="P3443" s="143">
        <v>10</v>
      </c>
      <c r="Q3443" s="2"/>
      <c r="R3443" s="96">
        <f ca="1">F_GAMMA*R$29</f>
        <v>0.64002969751372984</v>
      </c>
      <c r="S3443" s="107"/>
      <c r="T3443" s="1"/>
      <c r="U3443" s="96">
        <f ca="1">F_GAMMA*U$29</f>
        <v>0.64017842058782071</v>
      </c>
      <c r="V3443" s="111"/>
      <c r="W3443" s="28"/>
      <c r="X3443" s="96">
        <f ca="1">F_GAMMA*X$29</f>
        <v>0.63413873724904268</v>
      </c>
      <c r="Y3443" s="111"/>
      <c r="Z3443" s="28"/>
      <c r="AA3443" s="96">
        <f ca="1">F_GAMMA*AA$29</f>
        <v>0.62532411750377137</v>
      </c>
      <c r="AB3443" s="111"/>
      <c r="AC3443" s="28"/>
      <c r="AD3443" s="96">
        <f ca="1">F_GAMMA*AD$29</f>
        <v>0.60651359509139569</v>
      </c>
      <c r="AE3443" s="111"/>
      <c r="AF3443" s="28"/>
      <c r="AG3443" s="96">
        <f ca="1">F_GAMMA*AG$29</f>
        <v>0.57217930198481592</v>
      </c>
      <c r="AH3443" s="111"/>
      <c r="AI3443" s="28"/>
      <c r="AJ3443" s="96">
        <f ca="1">F_GAMMA*AJ$29</f>
        <v>0.53183282018848232</v>
      </c>
      <c r="AK3443" s="111"/>
      <c r="AL3443" s="28"/>
      <c r="AM3443" s="96">
        <f ca="1">F_GAMMA*AM$29</f>
        <v>0.47566512503094399</v>
      </c>
      <c r="AN3443" s="111"/>
      <c r="AO3443" s="28"/>
      <c r="AP3443" s="96">
        <f ca="1">F_GAMMA*AP$29</f>
        <v>0.59054158265645496</v>
      </c>
      <c r="AQ3443" s="111"/>
      <c r="AR3443" s="28"/>
      <c r="AS3443" s="96">
        <f ca="1">F_GAMMA*AS$29</f>
        <v>0.3766899554102966</v>
      </c>
      <c r="AT3443" s="111"/>
      <c r="AU3443" s="28"/>
    </row>
    <row r="3444" spans="15:47" x14ac:dyDescent="0.25">
      <c r="O3444" s="2" t="s">
        <v>145</v>
      </c>
      <c r="P3444" s="12"/>
      <c r="Q3444" s="2"/>
      <c r="R3444" s="96">
        <f ca="1">IF(R3439&lt;R3443,R3441,R3442)</f>
        <v>15.902588073502377</v>
      </c>
      <c r="S3444" s="116"/>
      <c r="T3444" s="1"/>
      <c r="U3444" s="96">
        <f ca="1">IF(U3439&lt;U3443,U3441,U3442)</f>
        <v>56.255899579751478</v>
      </c>
      <c r="V3444" s="111"/>
      <c r="W3444" s="28"/>
      <c r="X3444" s="96">
        <f ca="1">IF(X3439&lt;X3443,X3441,X3442)</f>
        <v>215.62562564304304</v>
      </c>
      <c r="Y3444" s="111"/>
      <c r="Z3444" s="28"/>
      <c r="AA3444" s="96" t="e">
        <f ca="1">IF(AA3439&lt;AA3443,AA3441,AA3442)</f>
        <v>#NUM!</v>
      </c>
      <c r="AB3444" s="111"/>
      <c r="AC3444" s="28"/>
      <c r="AD3444" s="96">
        <f ca="1">IF(AD3439&lt;AD3443,AD3441,AD3442)</f>
        <v>-323.1530684645461</v>
      </c>
      <c r="AE3444" s="111"/>
      <c r="AF3444" s="28"/>
      <c r="AG3444" s="96">
        <f ca="1">IF(AG3439&lt;AG3443,AG3441,AG3442)</f>
        <v>-163.00893844543359</v>
      </c>
      <c r="AH3444" s="111"/>
      <c r="AI3444" s="28"/>
      <c r="AJ3444" s="96">
        <f ca="1">IF(AJ3439&lt;AJ3443,AJ3441,AJ3442)</f>
        <v>-117.5654002296629</v>
      </c>
      <c r="AK3444" s="111"/>
      <c r="AL3444" s="28"/>
      <c r="AM3444" s="96">
        <f ca="1">IF(AM3439&lt;AM3443,AM3441,AM3442)</f>
        <v>-103.54756821743841</v>
      </c>
      <c r="AN3444" s="111"/>
      <c r="AO3444" s="28"/>
      <c r="AP3444" s="96">
        <f ca="1">IF(AP3439&lt;AP3443,AP3441,AP3442)</f>
        <v>-89.129323497624085</v>
      </c>
      <c r="AQ3444" s="111"/>
      <c r="AR3444" s="28"/>
      <c r="AS3444" s="96">
        <f ca="1">IF(AS3439&lt;AS3443,AS3441,AS3442)</f>
        <v>-125.33818631589391</v>
      </c>
      <c r="AT3444" s="111"/>
      <c r="AU3444" s="28"/>
    </row>
    <row r="3445" spans="15:47" x14ac:dyDescent="0.25">
      <c r="O3445" s="13" t="s">
        <v>143</v>
      </c>
      <c r="P3445" s="1"/>
      <c r="Q3445" s="1"/>
      <c r="R3445" s="113"/>
      <c r="S3445" s="106">
        <f ca="1">IF(R3438&lt;=0,Q_max,ABS(R$23-R3444))</f>
        <v>11.172588073502377</v>
      </c>
      <c r="T3445" s="7">
        <f>R3434</f>
        <v>39185.771500929193</v>
      </c>
      <c r="U3445" s="98"/>
      <c r="V3445" s="106">
        <f ca="1">IF(U3438&lt;=0,Q_max,ABS(U$23-U3444))</f>
        <v>44.655899579751477</v>
      </c>
      <c r="W3445" s="9">
        <f ca="1">U3434</f>
        <v>131404.9584979761</v>
      </c>
      <c r="X3445" s="98"/>
      <c r="Y3445" s="106">
        <f ca="1">IF(X3438&lt;=0,Q_max,ABS(X$23-X3444))</f>
        <v>192.62562564304304</v>
      </c>
      <c r="Z3445" s="9">
        <f ca="1">X3434</f>
        <v>321762.47498897201</v>
      </c>
      <c r="AA3445" s="98"/>
      <c r="AB3445" s="106">
        <f ca="1">IF(AA3438&lt;=0,Q_max,ABS(AA$23-AA3444))</f>
        <v>236393</v>
      </c>
      <c r="AC3445" s="9">
        <f ca="1">AA3434</f>
        <v>626711.17288258974</v>
      </c>
      <c r="AD3445" s="98"/>
      <c r="AE3445" s="106">
        <f ca="1">IF(AD3438&lt;=0,Q_max,ABS(AD$23-AD3444))</f>
        <v>236393</v>
      </c>
      <c r="AF3445" s="9">
        <f ca="1">AD3434</f>
        <v>1051426.3917021689</v>
      </c>
      <c r="AG3445" s="98"/>
      <c r="AH3445" s="106">
        <f ca="1">IF(AG3438&lt;=0,Q_max,ABS(AG$23-AG3444))</f>
        <v>236393</v>
      </c>
      <c r="AI3445" s="9">
        <f ca="1">AG3434</f>
        <v>1534585.4554875824</v>
      </c>
      <c r="AJ3445" s="98"/>
      <c r="AK3445" s="106">
        <f ca="1">IF(AJ3438&lt;=0,Q_max,ABS(AJ$23-AJ3444))</f>
        <v>236393</v>
      </c>
      <c r="AL3445" s="9">
        <f ca="1">AJ3434</f>
        <v>2047910.2392718727</v>
      </c>
      <c r="AM3445" s="98"/>
      <c r="AN3445" s="106">
        <f ca="1">IF(AM3438&lt;=0,Q_max,ABS(AM$23-AM3444))</f>
        <v>236393</v>
      </c>
      <c r="AO3445" s="9">
        <f ca="1">AM3434</f>
        <v>2498839.676666996</v>
      </c>
      <c r="AP3445" s="98"/>
      <c r="AQ3445" s="106">
        <f ca="1">IF(AP3438&lt;=0,Q_max,ABS(AP$23-AP3444))</f>
        <v>236393</v>
      </c>
      <c r="AR3445" s="9">
        <f ca="1">AP3434</f>
        <v>2901075.2890571873</v>
      </c>
      <c r="AS3445" s="98"/>
      <c r="AT3445" s="106">
        <f ca="1">IF(AS3438&lt;=0,Q_max,ABS(AS$23-AS3444))</f>
        <v>236393</v>
      </c>
      <c r="AU3445" s="9">
        <f ca="1">AS3434</f>
        <v>3401738.9312643046</v>
      </c>
    </row>
    <row r="3446" spans="15:47" x14ac:dyDescent="0.25">
      <c r="O3446" s="21"/>
      <c r="P3446" s="14"/>
      <c r="Q3446" s="21"/>
      <c r="R3446" s="97"/>
      <c r="S3446" s="106"/>
      <c r="T3446" s="28"/>
      <c r="U3446" s="97"/>
      <c r="V3446" s="111"/>
      <c r="W3446" s="28"/>
      <c r="X3446" s="97"/>
      <c r="Y3446" s="111"/>
      <c r="Z3446" s="28"/>
      <c r="AA3446" s="97"/>
      <c r="AB3446" s="111"/>
      <c r="AC3446" s="28"/>
      <c r="AD3446" s="97"/>
      <c r="AE3446" s="111"/>
      <c r="AF3446" s="28"/>
      <c r="AG3446" s="97"/>
      <c r="AH3446" s="111"/>
      <c r="AI3446" s="28"/>
      <c r="AJ3446" s="97"/>
      <c r="AK3446" s="111"/>
      <c r="AL3446" s="28"/>
      <c r="AM3446" s="97"/>
      <c r="AN3446" s="111"/>
      <c r="AO3446" s="28"/>
      <c r="AP3446" s="97"/>
      <c r="AQ3446" s="111"/>
      <c r="AR3446" s="28"/>
      <c r="AS3446" s="97"/>
      <c r="AT3446" s="111"/>
      <c r="AU3446" s="28"/>
    </row>
    <row r="3447" spans="15:47" x14ac:dyDescent="0.25">
      <c r="O3447" s="1"/>
      <c r="P3447" s="1"/>
      <c r="Q3447" s="1"/>
      <c r="R3447" s="98"/>
      <c r="S3447" s="108" t="s">
        <v>137</v>
      </c>
      <c r="T3447" s="26" t="s">
        <v>146</v>
      </c>
      <c r="U3447" s="98"/>
      <c r="V3447" s="108" t="s">
        <v>137</v>
      </c>
      <c r="W3447" s="26" t="s">
        <v>146</v>
      </c>
      <c r="X3447" s="98"/>
      <c r="Y3447" s="108" t="s">
        <v>137</v>
      </c>
      <c r="Z3447" s="26" t="s">
        <v>146</v>
      </c>
      <c r="AA3447" s="98"/>
      <c r="AB3447" s="108" t="s">
        <v>137</v>
      </c>
      <c r="AC3447" s="26" t="s">
        <v>146</v>
      </c>
      <c r="AD3447" s="98"/>
      <c r="AE3447" s="108" t="s">
        <v>137</v>
      </c>
      <c r="AF3447" s="26" t="s">
        <v>146</v>
      </c>
      <c r="AG3447" s="98"/>
      <c r="AH3447" s="108" t="s">
        <v>137</v>
      </c>
      <c r="AI3447" s="26" t="s">
        <v>146</v>
      </c>
      <c r="AJ3447" s="98"/>
      <c r="AK3447" s="108" t="s">
        <v>137</v>
      </c>
      <c r="AL3447" s="26" t="s">
        <v>146</v>
      </c>
      <c r="AM3447" s="98"/>
      <c r="AN3447" s="108" t="s">
        <v>137</v>
      </c>
      <c r="AO3447" s="26" t="s">
        <v>146</v>
      </c>
      <c r="AP3447" s="98"/>
      <c r="AQ3447" s="108" t="s">
        <v>137</v>
      </c>
      <c r="AR3447" s="26" t="s">
        <v>146</v>
      </c>
      <c r="AS3447" s="98"/>
      <c r="AT3447" s="108" t="s">
        <v>137</v>
      </c>
      <c r="AU3447" s="26" t="s">
        <v>146</v>
      </c>
    </row>
    <row r="3448" spans="15:47" ht="13.8" x14ac:dyDescent="0.25">
      <c r="O3448" s="20" t="s">
        <v>136</v>
      </c>
      <c r="P3448" s="1"/>
      <c r="Q3448" s="1"/>
      <c r="R3448" s="96">
        <f>R3434*1.02</f>
        <v>39969.48693094778</v>
      </c>
      <c r="S3448" s="109" t="s">
        <v>144</v>
      </c>
      <c r="T3448" s="23" t="s">
        <v>147</v>
      </c>
      <c r="U3448" s="96">
        <f ca="1">U3434*1.01</f>
        <v>132719.00808295587</v>
      </c>
      <c r="V3448" s="109" t="s">
        <v>144</v>
      </c>
      <c r="W3448" s="23" t="s">
        <v>147</v>
      </c>
      <c r="X3448" s="96">
        <f ca="1">X3434*1.01</f>
        <v>324980.09973886173</v>
      </c>
      <c r="Y3448" s="109" t="s">
        <v>144</v>
      </c>
      <c r="Z3448" s="23" t="s">
        <v>147</v>
      </c>
      <c r="AA3448" s="96">
        <f ca="1">AA3434*1.01</f>
        <v>632978.2846114157</v>
      </c>
      <c r="AB3448" s="109" t="s">
        <v>144</v>
      </c>
      <c r="AC3448" s="23" t="s">
        <v>147</v>
      </c>
      <c r="AD3448" s="96">
        <f ca="1">AD3434*1.01</f>
        <v>1061940.6556191905</v>
      </c>
      <c r="AE3448" s="109" t="s">
        <v>144</v>
      </c>
      <c r="AF3448" s="23" t="s">
        <v>147</v>
      </c>
      <c r="AG3448" s="96">
        <f ca="1">AG3434*1.01</f>
        <v>1549931.3100424581</v>
      </c>
      <c r="AH3448" s="109" t="s">
        <v>144</v>
      </c>
      <c r="AI3448" s="23" t="s">
        <v>147</v>
      </c>
      <c r="AJ3448" s="96">
        <f ca="1">AJ3434*1.01</f>
        <v>2068389.3416645913</v>
      </c>
      <c r="AK3448" s="109" t="s">
        <v>144</v>
      </c>
      <c r="AL3448" s="23" t="s">
        <v>147</v>
      </c>
      <c r="AM3448" s="96">
        <f ca="1">AM3434*1.01</f>
        <v>2523828.073433666</v>
      </c>
      <c r="AN3448" s="109" t="s">
        <v>144</v>
      </c>
      <c r="AO3448" s="23" t="s">
        <v>147</v>
      </c>
      <c r="AP3448" s="96">
        <f ca="1">AP3434*1.01</f>
        <v>2930086.0419477592</v>
      </c>
      <c r="AQ3448" s="109" t="s">
        <v>144</v>
      </c>
      <c r="AR3448" s="23" t="s">
        <v>147</v>
      </c>
      <c r="AS3448" s="96">
        <f ca="1">AS3434*1.01</f>
        <v>3435756.3205769476</v>
      </c>
      <c r="AT3448" s="109" t="s">
        <v>144</v>
      </c>
      <c r="AU3448" s="23" t="s">
        <v>147</v>
      </c>
    </row>
    <row r="3449" spans="15:47" x14ac:dyDescent="0.25">
      <c r="O3449" s="1"/>
      <c r="P3449" s="1"/>
      <c r="Q3449" s="1"/>
      <c r="R3449" s="98"/>
      <c r="S3449" s="107"/>
      <c r="T3449" s="1"/>
      <c r="U3449" s="47"/>
      <c r="V3449" s="107"/>
      <c r="W3449" s="1"/>
      <c r="X3449" s="47"/>
      <c r="Y3449" s="107"/>
      <c r="Z3449" s="1"/>
      <c r="AA3449" s="47"/>
      <c r="AB3449" s="107"/>
      <c r="AC3449" s="1"/>
      <c r="AD3449" s="47"/>
      <c r="AE3449" s="107"/>
      <c r="AF3449" s="1"/>
      <c r="AG3449" s="47"/>
      <c r="AH3449" s="107"/>
      <c r="AI3449" s="1"/>
      <c r="AJ3449" s="47"/>
      <c r="AK3449" s="107"/>
      <c r="AL3449" s="1"/>
      <c r="AM3449" s="47"/>
      <c r="AN3449" s="107"/>
      <c r="AO3449" s="1"/>
      <c r="AP3449" s="47"/>
      <c r="AQ3449" s="107"/>
      <c r="AR3449" s="1"/>
      <c r="AS3449" s="47"/>
      <c r="AT3449" s="107"/>
      <c r="AU3449" s="1"/>
    </row>
    <row r="3450" spans="15:47" x14ac:dyDescent="0.25">
      <c r="O3450" s="8" t="s">
        <v>132</v>
      </c>
      <c r="P3450" s="8"/>
      <c r="Q3450" s="8"/>
      <c r="R3450" s="96">
        <f>P_1_minQ-(R3448^2*R_up)+dpup_minQ</f>
        <v>89.893867809821785</v>
      </c>
      <c r="S3450" s="106"/>
      <c r="T3450" s="22"/>
      <c r="U3450" s="96">
        <f ca="1">P_1_minQ-(U3448^2*R_up)+dpup_minQ</f>
        <v>86.974635763539183</v>
      </c>
      <c r="V3450" s="107"/>
      <c r="W3450" s="1"/>
      <c r="X3450" s="96">
        <f ca="1">P_1_minQ-(X3448^2*R_up)+dpup_minQ</f>
        <v>70.936089288284705</v>
      </c>
      <c r="Y3450" s="107"/>
      <c r="Z3450" s="1"/>
      <c r="AA3450" s="96">
        <f ca="1">P_1_minQ-(AA3448^2*R_up)+dpup_minQ</f>
        <v>17.160108855057587</v>
      </c>
      <c r="AB3450" s="107"/>
      <c r="AC3450" s="1"/>
      <c r="AD3450" s="96">
        <f ca="1">P_1_minQ-(AD3448^2*R_up)+dpup_minQ</f>
        <v>-115.35386171850894</v>
      </c>
      <c r="AE3450" s="107"/>
      <c r="AF3450" s="1"/>
      <c r="AG3450" s="96">
        <f ca="1">P_1_minQ-(AG3448^2*R_up)+dpup_minQ</f>
        <v>-347.65798905814603</v>
      </c>
      <c r="AH3450" s="107"/>
      <c r="AI3450" s="1"/>
      <c r="AJ3450" s="96">
        <f ca="1">P_1_minQ-(AJ3448^2*R_up)+dpup_minQ</f>
        <v>-689.56987206904728</v>
      </c>
      <c r="AK3450" s="107"/>
      <c r="AL3450" s="1"/>
      <c r="AM3450" s="96">
        <f ca="1">P_1_minQ-(AM3448^2*R_up)+dpup_minQ</f>
        <v>-1070.763769926099</v>
      </c>
      <c r="AN3450" s="107"/>
      <c r="AO3450" s="1"/>
      <c r="AP3450" s="96">
        <f ca="1">P_1_minQ-(AP3448^2*R_up)+dpup_minQ</f>
        <v>-1474.5985544003688</v>
      </c>
      <c r="AQ3450" s="107"/>
      <c r="AR3450" s="1"/>
      <c r="AS3450" s="96">
        <f ca="1">P_1_minQ-(AS3448^2*R_up)+dpup_minQ</f>
        <v>-2061.2995772379873</v>
      </c>
      <c r="AT3450" s="107"/>
      <c r="AU3450" s="1"/>
    </row>
    <row r="3451" spans="15:47" x14ac:dyDescent="0.25">
      <c r="O3451" s="8" t="s">
        <v>134</v>
      </c>
      <c r="P3451" s="1"/>
      <c r="Q3451" s="8"/>
      <c r="R3451" s="97">
        <f>P_2_minQ+(R3448^2*R_dn)-dpdn_minQ</f>
        <v>60</v>
      </c>
      <c r="S3451" s="106"/>
      <c r="T3451" s="22"/>
      <c r="U3451" s="97">
        <f ca="1">P_2_minQ+(U3448^2*R_dn)-dpdn_minQ</f>
        <v>60</v>
      </c>
      <c r="V3451" s="107"/>
      <c r="W3451" s="1"/>
      <c r="X3451" s="97">
        <f ca="1">P_2_minQ+(X3448^2*R_dn)-dpdn_minQ</f>
        <v>60</v>
      </c>
      <c r="Y3451" s="107"/>
      <c r="Z3451" s="1"/>
      <c r="AA3451" s="97">
        <f ca="1">P_2_minQ+(AA3448^2*R_dn)-dpdn_minQ</f>
        <v>60</v>
      </c>
      <c r="AB3451" s="107"/>
      <c r="AC3451" s="1"/>
      <c r="AD3451" s="97">
        <f ca="1">P_2_minQ+(AD3448^2*R_dn)-dpdn_minQ</f>
        <v>60</v>
      </c>
      <c r="AE3451" s="107"/>
      <c r="AF3451" s="1"/>
      <c r="AG3451" s="97">
        <f ca="1">P_2_minQ+(AG3448^2*R_dn)-dpdn_minQ</f>
        <v>60</v>
      </c>
      <c r="AH3451" s="107"/>
      <c r="AI3451" s="1"/>
      <c r="AJ3451" s="97">
        <f ca="1">P_2_minQ+(AJ3448^2*R_dn)-dpdn_minQ</f>
        <v>60</v>
      </c>
      <c r="AK3451" s="107"/>
      <c r="AL3451" s="1"/>
      <c r="AM3451" s="97">
        <f ca="1">P_2_minQ+(AM3448^2*R_dn)-dpdn_minQ</f>
        <v>60</v>
      </c>
      <c r="AN3451" s="107"/>
      <c r="AO3451" s="1"/>
      <c r="AP3451" s="97">
        <f ca="1">P_2_minQ+(AP3448^2*R_dn)-dpdn_minQ</f>
        <v>60</v>
      </c>
      <c r="AQ3451" s="107"/>
      <c r="AR3451" s="1"/>
      <c r="AS3451" s="97">
        <f ca="1">P_2_minQ+(AS3448^2*R_dn)-dpdn_minQ</f>
        <v>60</v>
      </c>
      <c r="AT3451" s="107"/>
      <c r="AU3451" s="1"/>
    </row>
    <row r="3452" spans="15:47" x14ac:dyDescent="0.25">
      <c r="O3452" s="8" t="s">
        <v>138</v>
      </c>
      <c r="P3452" s="1"/>
      <c r="Q3452" s="8"/>
      <c r="R3452" s="97">
        <f>R3450-R3451</f>
        <v>29.893867809821785</v>
      </c>
      <c r="S3452" s="106"/>
      <c r="T3452" s="22"/>
      <c r="U3452" s="97">
        <f ca="1">U3450-U3451</f>
        <v>26.974635763539183</v>
      </c>
      <c r="V3452" s="110"/>
      <c r="W3452" s="25"/>
      <c r="X3452" s="97">
        <f ca="1">X3450-X3451</f>
        <v>10.936089288284705</v>
      </c>
      <c r="Y3452" s="110"/>
      <c r="Z3452" s="25"/>
      <c r="AA3452" s="97">
        <f ca="1">AA3450-AA3451</f>
        <v>-42.839891144942413</v>
      </c>
      <c r="AB3452" s="110"/>
      <c r="AC3452" s="25"/>
      <c r="AD3452" s="97">
        <f ca="1">AD3450-AD3451</f>
        <v>-175.35386171850894</v>
      </c>
      <c r="AE3452" s="110"/>
      <c r="AF3452" s="25"/>
      <c r="AG3452" s="97">
        <f ca="1">AG3450-AG3451</f>
        <v>-407.65798905814603</v>
      </c>
      <c r="AH3452" s="110"/>
      <c r="AI3452" s="25"/>
      <c r="AJ3452" s="97">
        <f ca="1">AJ3450-AJ3451</f>
        <v>-749.56987206904728</v>
      </c>
      <c r="AK3452" s="110"/>
      <c r="AL3452" s="25"/>
      <c r="AM3452" s="97">
        <f ca="1">AM3450-AM3451</f>
        <v>-1130.763769926099</v>
      </c>
      <c r="AN3452" s="110"/>
      <c r="AO3452" s="25"/>
      <c r="AP3452" s="97">
        <f ca="1">AP3450-AP3451</f>
        <v>-1534.5985544003688</v>
      </c>
      <c r="AQ3452" s="110"/>
      <c r="AR3452" s="25"/>
      <c r="AS3452" s="97">
        <f ca="1">AS3450-AS3451</f>
        <v>-2121.2995772379873</v>
      </c>
      <c r="AT3452" s="110"/>
      <c r="AU3452" s="25"/>
    </row>
    <row r="3453" spans="15:47" ht="14.4" x14ac:dyDescent="0.3">
      <c r="O3453" s="2" t="s">
        <v>140</v>
      </c>
      <c r="P3453" s="11"/>
      <c r="Q3453" s="2"/>
      <c r="R3453" s="96">
        <f>R3452/R3450</f>
        <v>0.3325462407854653</v>
      </c>
      <c r="S3453" s="106"/>
      <c r="T3453" s="22"/>
      <c r="U3453" s="96">
        <f ca="1">U3452/U3450</f>
        <v>0.31014370484834242</v>
      </c>
      <c r="V3453" s="111"/>
      <c r="W3453" s="28"/>
      <c r="X3453" s="96">
        <f ca="1">X3452/X3450</f>
        <v>0.1541682012359093</v>
      </c>
      <c r="Y3453" s="111"/>
      <c r="Z3453" s="28"/>
      <c r="AA3453" s="96">
        <f ca="1">AA3452/AA3450</f>
        <v>-2.4964813164525026</v>
      </c>
      <c r="AB3453" s="111"/>
      <c r="AC3453" s="28"/>
      <c r="AD3453" s="96">
        <f ca="1">AD3452/AD3450</f>
        <v>1.5201386334721447</v>
      </c>
      <c r="AE3453" s="111"/>
      <c r="AF3453" s="28"/>
      <c r="AG3453" s="96">
        <f ca="1">AG3452/AG3450</f>
        <v>1.172583406360223</v>
      </c>
      <c r="AH3453" s="111"/>
      <c r="AI3453" s="28"/>
      <c r="AJ3453" s="96">
        <f ca="1">AJ3452/AJ3450</f>
        <v>1.0870107619695892</v>
      </c>
      <c r="AK3453" s="111"/>
      <c r="AL3453" s="28"/>
      <c r="AM3453" s="96">
        <f ca="1">AM3452/AM3450</f>
        <v>1.0560347685317566</v>
      </c>
      <c r="AN3453" s="111"/>
      <c r="AO3453" s="28"/>
      <c r="AP3453" s="96">
        <f ca="1">AP3452/AP3450</f>
        <v>1.0406890402957152</v>
      </c>
      <c r="AQ3453" s="111"/>
      <c r="AR3453" s="28"/>
      <c r="AS3453" s="96">
        <f ca="1">AS3452/AS3450</f>
        <v>1.0291078505339804</v>
      </c>
      <c r="AT3453" s="111"/>
      <c r="AU3453" s="28"/>
    </row>
    <row r="3454" spans="15:47" x14ac:dyDescent="0.25">
      <c r="O3454" s="2" t="s">
        <v>21</v>
      </c>
      <c r="P3454" s="8">
        <v>12</v>
      </c>
      <c r="Q3454" s="2"/>
      <c r="R3454" s="96">
        <f ca="1">1-R3453/(3*F_GAMMA*R$29)</f>
        <v>0.82680686949512916</v>
      </c>
      <c r="S3454" s="106"/>
      <c r="T3454" s="22"/>
      <c r="U3454" s="96">
        <f ca="1">1-U3453/(3*F_GAMMA*U$29)</f>
        <v>0.83851184041080085</v>
      </c>
      <c r="V3454" s="111"/>
      <c r="W3454" s="28"/>
      <c r="X3454" s="96">
        <f ca="1">1-X3453/(3*F_GAMMA*X$29)</f>
        <v>0.91896189683206841</v>
      </c>
      <c r="Y3454" s="111"/>
      <c r="Z3454" s="28"/>
      <c r="AA3454" s="96">
        <f ca="1">1-AA3453/(3*F_GAMMA*AA$29)</f>
        <v>2.3307665825194759</v>
      </c>
      <c r="AB3454" s="111"/>
      <c r="AC3454" s="28"/>
      <c r="AD3454" s="96">
        <f ca="1">1-AD3453/(3*F_GAMMA*AD$29)</f>
        <v>0.16454819492101969</v>
      </c>
      <c r="AE3454" s="111"/>
      <c r="AF3454" s="28"/>
      <c r="AG3454" s="96">
        <f ca="1">1-AG3453/(3*F_GAMMA*AG$29)</f>
        <v>0.31689046755525585</v>
      </c>
      <c r="AH3454" s="111"/>
      <c r="AI3454" s="28"/>
      <c r="AJ3454" s="96">
        <f ca="1">1-AJ3453/(3*F_GAMMA*AJ$29)</f>
        <v>0.31870146613344208</v>
      </c>
      <c r="AK3454" s="111"/>
      <c r="AL3454" s="28"/>
      <c r="AM3454" s="96">
        <f ca="1">1-AM3453/(3*F_GAMMA*AM$29)</f>
        <v>0.25995922133731009</v>
      </c>
      <c r="AN3454" s="111"/>
      <c r="AO3454" s="28"/>
      <c r="AP3454" s="96">
        <f ca="1">1-AP3453/(3*F_GAMMA*AP$29)</f>
        <v>0.41257930524590358</v>
      </c>
      <c r="AQ3454" s="111"/>
      <c r="AR3454" s="28"/>
      <c r="AS3454" s="96">
        <f ca="1">1-AS3453/(3*F_GAMMA*AS$29)</f>
        <v>8.9341392699592181E-2</v>
      </c>
      <c r="AT3454" s="111"/>
      <c r="AU3454" s="28"/>
    </row>
    <row r="3455" spans="15:47" x14ac:dyDescent="0.25">
      <c r="O3455" s="2" t="s">
        <v>57</v>
      </c>
      <c r="P3455" s="143">
        <v>7</v>
      </c>
      <c r="Q3455" s="2"/>
      <c r="R3455" s="96">
        <f ca="1">(R3448/(N_9*R$27*R3450*R3454))*SQRT(M*'Valve Sizing'!$W$6*'Valve Sizing'!$G$8/R3453)</f>
        <v>16.22386945233978</v>
      </c>
      <c r="S3455" s="107"/>
      <c r="T3455" s="22"/>
      <c r="U3455" s="96">
        <f ca="1">(U3448/(N_9*U$27*U3450*U3454))*SQRT(M*'Valve Sizing'!$W$6*'Valve Sizing'!$G$8/U3453)</f>
        <v>56.888007364918607</v>
      </c>
      <c r="V3455" s="111"/>
      <c r="W3455" s="28"/>
      <c r="X3455" s="96">
        <f ca="1">(X3448/(N_9*X$27*X3450*X3454))*SQRT(M*'Valve Sizing'!$W$6*'Valve Sizing'!$G$8/X3453)</f>
        <v>221.54610372819502</v>
      </c>
      <c r="Y3455" s="111"/>
      <c r="Z3455" s="28"/>
      <c r="AA3455" s="96" t="e">
        <f ca="1">(AA3448/(N_9*AA$27*AA3450*AA3454))*SQRT(M*'Valve Sizing'!$W$6*'Valve Sizing'!$G$8/AA3453)</f>
        <v>#NUM!</v>
      </c>
      <c r="AB3455" s="111"/>
      <c r="AC3455" s="28"/>
      <c r="AD3455" s="96">
        <f ca="1">(AD3448/(N_9*AD$27*AD3450*AD3454))*SQRT(M*'Valve Sizing'!$W$6*'Valve Sizing'!$G$8/AD3453)</f>
        <v>-806.34224796920319</v>
      </c>
      <c r="AE3455" s="111"/>
      <c r="AF3455" s="28"/>
      <c r="AG3455" s="96">
        <f ca="1">(AG3448/(N_9*AG$27*AG3450*AG3454))*SQRT(M*'Valve Sizing'!$W$6*'Valve Sizing'!$G$8/AG3453)</f>
        <v>-236.06441762130493</v>
      </c>
      <c r="AH3455" s="111"/>
      <c r="AI3455" s="28"/>
      <c r="AJ3455" s="96">
        <f ca="1">(AJ3448/(N_9*AJ$27*AJ3450*AJ3454))*SQRT(M*'Valve Sizing'!$W$6*'Valve Sizing'!$G$8/AJ3453)</f>
        <v>-169.95244159023048</v>
      </c>
      <c r="AK3455" s="111"/>
      <c r="AL3455" s="28"/>
      <c r="AM3455" s="96">
        <f ca="1">(AM3448/(N_9*AM$27*AM3450*AM3454))*SQRT(M*'Valve Sizing'!$W$6*'Valve Sizing'!$G$8/AM3453)</f>
        <v>-176.24420012409092</v>
      </c>
      <c r="AN3455" s="111"/>
      <c r="AO3455" s="28"/>
      <c r="AP3455" s="96">
        <f ca="1">(AP3448/(N_9*AP$27*AP3450*AP3454))*SQRT(M*'Valve Sizing'!$W$6*'Valve Sizing'!$G$8/AP3453)</f>
        <v>-107.3366844721502</v>
      </c>
      <c r="AQ3455" s="111"/>
      <c r="AR3455" s="28"/>
      <c r="AS3455" s="96">
        <f ca="1">(AS3448/(N_9*AS$27*AS3450*AS3454))*SQRT(M*'Valve Sizing'!$W$6*'Valve Sizing'!$G$8/AS3453)</f>
        <v>-560.0343080764294</v>
      </c>
      <c r="AT3455" s="111"/>
      <c r="AU3455" s="28"/>
    </row>
    <row r="3456" spans="15:47" x14ac:dyDescent="0.25">
      <c r="O3456" s="2" t="s">
        <v>59</v>
      </c>
      <c r="P3456" s="143">
        <v>7</v>
      </c>
      <c r="Q3456" s="2"/>
      <c r="R3456" s="96">
        <f ca="1">(R3448/(N_9*R$27*R3450*0.667))*SQRT(M*'Valve Sizing'!$W$6*'Valve Sizing'!$G$8/R3457)</f>
        <v>14.496349260647277</v>
      </c>
      <c r="S3456" s="107"/>
      <c r="T3456" s="22"/>
      <c r="U3456" s="96">
        <f ca="1">(U3448/(N_9*U$27*U3450*0.667))*SQRT(M*'Valve Sizing'!$W$6*'Valve Sizing'!$G$8/U3457)</f>
        <v>49.777726525055883</v>
      </c>
      <c r="V3456" s="111"/>
      <c r="W3456" s="28"/>
      <c r="X3456" s="96">
        <f ca="1">(X3448/(N_9*X$27*X3450*0.667))*SQRT(M*'Valve Sizing'!$W$6*'Valve Sizing'!$G$8/X3457)</f>
        <v>150.50157612284318</v>
      </c>
      <c r="Y3456" s="111"/>
      <c r="Z3456" s="28"/>
      <c r="AA3456" s="96">
        <f ca="1">(AA3448/(N_9*AA$27*AA3450*0.667))*SQRT(M*'Valve Sizing'!$W$6*'Valve Sizing'!$G$8/AA3457)</f>
        <v>1227.5225144241426</v>
      </c>
      <c r="AB3456" s="111"/>
      <c r="AC3456" s="28"/>
      <c r="AD3456" s="96">
        <f ca="1">(AD3448/(N_9*AD$27*AD3450*0.667))*SQRT(M*'Valve Sizing'!$W$6*'Valve Sizing'!$G$8/AD3457)</f>
        <v>-314.92564814814949</v>
      </c>
      <c r="AE3456" s="111"/>
      <c r="AF3456" s="28"/>
      <c r="AG3456" s="96">
        <f ca="1">(AG3448/(N_9*AG$27*AG3450*0.667))*SQRT(M*'Valve Sizing'!$W$6*'Valve Sizing'!$G$8/AG3457)</f>
        <v>-160.5534609025994</v>
      </c>
      <c r="AH3456" s="111"/>
      <c r="AI3456" s="28"/>
      <c r="AJ3456" s="96">
        <f ca="1">(AJ3448/(N_9*AJ$27*AJ3450*0.667))*SQRT(M*'Valve Sizing'!$W$6*'Valve Sizing'!$G$8/AJ3457)</f>
        <v>-116.09539410928565</v>
      </c>
      <c r="AK3456" s="111"/>
      <c r="AL3456" s="28"/>
      <c r="AM3456" s="96">
        <f ca="1">(AM3448/(N_9*AM$27*AM3450*0.667))*SQRT(M*'Valve Sizing'!$W$6*'Valve Sizing'!$G$8/AM3457)</f>
        <v>-102.3487824586432</v>
      </c>
      <c r="AN3456" s="111"/>
      <c r="AO3456" s="28"/>
      <c r="AP3456" s="96">
        <f ca="1">(AP3448/(N_9*AP$27*AP3450*0.667))*SQRT(M*'Valve Sizing'!$W$6*'Valve Sizing'!$G$8/AP3457)</f>
        <v>-88.138373369922618</v>
      </c>
      <c r="AQ3456" s="111"/>
      <c r="AR3456" s="28"/>
      <c r="AS3456" s="96">
        <f ca="1">(AS3448/(N_9*AS$27*AS3450*0.667))*SQRT(M*'Valve Sizing'!$W$6*'Valve Sizing'!$G$8/AS3457)</f>
        <v>-123.98808233348605</v>
      </c>
      <c r="AT3456" s="111"/>
      <c r="AU3456" s="28"/>
    </row>
    <row r="3457" spans="15:47" ht="15.6" x14ac:dyDescent="0.35">
      <c r="O3457" s="2" t="s">
        <v>68</v>
      </c>
      <c r="P3457" s="143">
        <v>10</v>
      </c>
      <c r="Q3457" s="2"/>
      <c r="R3457" s="96">
        <f ca="1">F_GAMMA*R$29</f>
        <v>0.64002969751372984</v>
      </c>
      <c r="S3457" s="107"/>
      <c r="T3457" s="1"/>
      <c r="U3457" s="96">
        <f ca="1">F_GAMMA*U$29</f>
        <v>0.64017842058782071</v>
      </c>
      <c r="V3457" s="111"/>
      <c r="W3457" s="28"/>
      <c r="X3457" s="96">
        <f ca="1">F_GAMMA*X$29</f>
        <v>0.63413873724904268</v>
      </c>
      <c r="Y3457" s="111"/>
      <c r="Z3457" s="28"/>
      <c r="AA3457" s="96">
        <f ca="1">F_GAMMA*AA$29</f>
        <v>0.62532411750377137</v>
      </c>
      <c r="AB3457" s="111"/>
      <c r="AC3457" s="28"/>
      <c r="AD3457" s="96">
        <f ca="1">F_GAMMA*AD$29</f>
        <v>0.60651359509139569</v>
      </c>
      <c r="AE3457" s="111"/>
      <c r="AF3457" s="28"/>
      <c r="AG3457" s="96">
        <f ca="1">F_GAMMA*AG$29</f>
        <v>0.57217930198481592</v>
      </c>
      <c r="AH3457" s="111"/>
      <c r="AI3457" s="28"/>
      <c r="AJ3457" s="96">
        <f ca="1">F_GAMMA*AJ$29</f>
        <v>0.53183282018848232</v>
      </c>
      <c r="AK3457" s="111"/>
      <c r="AL3457" s="28"/>
      <c r="AM3457" s="96">
        <f ca="1">F_GAMMA*AM$29</f>
        <v>0.47566512503094399</v>
      </c>
      <c r="AN3457" s="111"/>
      <c r="AO3457" s="28"/>
      <c r="AP3457" s="96">
        <f ca="1">F_GAMMA*AP$29</f>
        <v>0.59054158265645496</v>
      </c>
      <c r="AQ3457" s="111"/>
      <c r="AR3457" s="28"/>
      <c r="AS3457" s="96">
        <f ca="1">F_GAMMA*AS$29</f>
        <v>0.3766899554102966</v>
      </c>
      <c r="AT3457" s="111"/>
      <c r="AU3457" s="28"/>
    </row>
    <row r="3458" spans="15:47" x14ac:dyDescent="0.25">
      <c r="O3458" s="2" t="s">
        <v>145</v>
      </c>
      <c r="P3458" s="12"/>
      <c r="Q3458" s="2"/>
      <c r="R3458" s="96">
        <f ca="1">IF(R3453&lt;R3457,R3455,R3456)</f>
        <v>16.22386945233978</v>
      </c>
      <c r="S3458" s="116"/>
      <c r="T3458" s="1"/>
      <c r="U3458" s="96">
        <f ca="1">IF(U3453&lt;U3457,U3455,U3456)</f>
        <v>56.888007364918607</v>
      </c>
      <c r="V3458" s="111"/>
      <c r="W3458" s="28"/>
      <c r="X3458" s="96">
        <f ca="1">IF(X3453&lt;X3457,X3455,X3456)</f>
        <v>221.54610372819502</v>
      </c>
      <c r="Y3458" s="111"/>
      <c r="Z3458" s="28"/>
      <c r="AA3458" s="96" t="e">
        <f ca="1">IF(AA3453&lt;AA3457,AA3455,AA3456)</f>
        <v>#NUM!</v>
      </c>
      <c r="AB3458" s="111"/>
      <c r="AC3458" s="28"/>
      <c r="AD3458" s="96">
        <f ca="1">IF(AD3453&lt;AD3457,AD3455,AD3456)</f>
        <v>-314.92564814814949</v>
      </c>
      <c r="AE3458" s="111"/>
      <c r="AF3458" s="28"/>
      <c r="AG3458" s="96">
        <f ca="1">IF(AG3453&lt;AG3457,AG3455,AG3456)</f>
        <v>-160.5534609025994</v>
      </c>
      <c r="AH3458" s="111"/>
      <c r="AI3458" s="28"/>
      <c r="AJ3458" s="96">
        <f ca="1">IF(AJ3453&lt;AJ3457,AJ3455,AJ3456)</f>
        <v>-116.09539410928565</v>
      </c>
      <c r="AK3458" s="111"/>
      <c r="AL3458" s="28"/>
      <c r="AM3458" s="96">
        <f ca="1">IF(AM3453&lt;AM3457,AM3455,AM3456)</f>
        <v>-102.3487824586432</v>
      </c>
      <c r="AN3458" s="111"/>
      <c r="AO3458" s="28"/>
      <c r="AP3458" s="96">
        <f ca="1">IF(AP3453&lt;AP3457,AP3455,AP3456)</f>
        <v>-88.138373369922618</v>
      </c>
      <c r="AQ3458" s="111"/>
      <c r="AR3458" s="28"/>
      <c r="AS3458" s="96">
        <f ca="1">IF(AS3453&lt;AS3457,AS3455,AS3456)</f>
        <v>-123.98808233348605</v>
      </c>
      <c r="AT3458" s="111"/>
      <c r="AU3458" s="28"/>
    </row>
    <row r="3459" spans="15:47" x14ac:dyDescent="0.25">
      <c r="O3459" s="13" t="s">
        <v>143</v>
      </c>
      <c r="P3459" s="1"/>
      <c r="Q3459" s="1"/>
      <c r="R3459" s="113"/>
      <c r="S3459" s="106">
        <f ca="1">IF(R3452&lt;=0,Q_max,ABS(R$23-R3458))</f>
        <v>11.49386945233978</v>
      </c>
      <c r="T3459" s="7">
        <f>R3448</f>
        <v>39969.48693094778</v>
      </c>
      <c r="U3459" s="98"/>
      <c r="V3459" s="106">
        <f ca="1">IF(U3452&lt;=0,Q_max,ABS(U$23-U3458))</f>
        <v>45.288007364918606</v>
      </c>
      <c r="W3459" s="9">
        <f ca="1">U3448</f>
        <v>132719.00808295587</v>
      </c>
      <c r="X3459" s="98"/>
      <c r="Y3459" s="106">
        <f ca="1">IF(X3452&lt;=0,Q_max,ABS(X$23-X3458))</f>
        <v>198.54610372819502</v>
      </c>
      <c r="Z3459" s="9">
        <f ca="1">X3448</f>
        <v>324980.09973886173</v>
      </c>
      <c r="AA3459" s="98"/>
      <c r="AB3459" s="106">
        <f ca="1">IF(AA3452&lt;=0,Q_max,ABS(AA$23-AA3458))</f>
        <v>236393</v>
      </c>
      <c r="AC3459" s="9">
        <f ca="1">AA3448</f>
        <v>632978.2846114157</v>
      </c>
      <c r="AD3459" s="98"/>
      <c r="AE3459" s="106">
        <f ca="1">IF(AD3452&lt;=0,Q_max,ABS(AD$23-AD3458))</f>
        <v>236393</v>
      </c>
      <c r="AF3459" s="9">
        <f ca="1">AD3448</f>
        <v>1061940.6556191905</v>
      </c>
      <c r="AG3459" s="98"/>
      <c r="AH3459" s="106">
        <f ca="1">IF(AG3452&lt;=0,Q_max,ABS(AG$23-AG3458))</f>
        <v>236393</v>
      </c>
      <c r="AI3459" s="9">
        <f ca="1">AG3448</f>
        <v>1549931.3100424581</v>
      </c>
      <c r="AJ3459" s="98"/>
      <c r="AK3459" s="106">
        <f ca="1">IF(AJ3452&lt;=0,Q_max,ABS(AJ$23-AJ3458))</f>
        <v>236393</v>
      </c>
      <c r="AL3459" s="9">
        <f ca="1">AJ3448</f>
        <v>2068389.3416645913</v>
      </c>
      <c r="AM3459" s="98"/>
      <c r="AN3459" s="106">
        <f ca="1">IF(AM3452&lt;=0,Q_max,ABS(AM$23-AM3458))</f>
        <v>236393</v>
      </c>
      <c r="AO3459" s="9">
        <f ca="1">AM3448</f>
        <v>2523828.073433666</v>
      </c>
      <c r="AP3459" s="98"/>
      <c r="AQ3459" s="106">
        <f ca="1">IF(AP3452&lt;=0,Q_max,ABS(AP$23-AP3458))</f>
        <v>236393</v>
      </c>
      <c r="AR3459" s="9">
        <f ca="1">AP3448</f>
        <v>2930086.0419477592</v>
      </c>
      <c r="AS3459" s="98"/>
      <c r="AT3459" s="106">
        <f ca="1">IF(AS3452&lt;=0,Q_max,ABS(AS$23-AS3458))</f>
        <v>236393</v>
      </c>
      <c r="AU3459" s="9">
        <f ca="1">AS3448</f>
        <v>3435756.3205769476</v>
      </c>
    </row>
    <row r="3460" spans="15:47" x14ac:dyDescent="0.25">
      <c r="O3460" s="21"/>
      <c r="P3460" s="14"/>
      <c r="Q3460" s="21"/>
      <c r="R3460" s="97"/>
      <c r="S3460" s="106"/>
      <c r="T3460" s="28"/>
      <c r="U3460" s="97"/>
      <c r="V3460" s="111"/>
      <c r="W3460" s="28"/>
      <c r="X3460" s="97"/>
      <c r="Y3460" s="111"/>
      <c r="Z3460" s="28"/>
      <c r="AA3460" s="97"/>
      <c r="AB3460" s="111"/>
      <c r="AC3460" s="28"/>
      <c r="AD3460" s="97"/>
      <c r="AE3460" s="111"/>
      <c r="AF3460" s="28"/>
      <c r="AG3460" s="97"/>
      <c r="AH3460" s="111"/>
      <c r="AI3460" s="28"/>
      <c r="AJ3460" s="97"/>
      <c r="AK3460" s="111"/>
      <c r="AL3460" s="28"/>
      <c r="AM3460" s="97"/>
      <c r="AN3460" s="111"/>
      <c r="AO3460" s="28"/>
      <c r="AP3460" s="97"/>
      <c r="AQ3460" s="111"/>
      <c r="AR3460" s="28"/>
      <c r="AS3460" s="97"/>
      <c r="AT3460" s="111"/>
      <c r="AU3460" s="28"/>
    </row>
    <row r="3461" spans="15:47" x14ac:dyDescent="0.25">
      <c r="O3461" s="1"/>
      <c r="P3461" s="1"/>
      <c r="Q3461" s="1"/>
      <c r="R3461" s="98"/>
      <c r="S3461" s="108" t="s">
        <v>137</v>
      </c>
      <c r="T3461" s="26" t="s">
        <v>146</v>
      </c>
      <c r="U3461" s="98"/>
      <c r="V3461" s="108" t="s">
        <v>137</v>
      </c>
      <c r="W3461" s="26" t="s">
        <v>146</v>
      </c>
      <c r="X3461" s="98"/>
      <c r="Y3461" s="108" t="s">
        <v>137</v>
      </c>
      <c r="Z3461" s="26" t="s">
        <v>146</v>
      </c>
      <c r="AA3461" s="98"/>
      <c r="AB3461" s="108" t="s">
        <v>137</v>
      </c>
      <c r="AC3461" s="26" t="s">
        <v>146</v>
      </c>
      <c r="AD3461" s="98"/>
      <c r="AE3461" s="108" t="s">
        <v>137</v>
      </c>
      <c r="AF3461" s="26" t="s">
        <v>146</v>
      </c>
      <c r="AG3461" s="98"/>
      <c r="AH3461" s="108" t="s">
        <v>137</v>
      </c>
      <c r="AI3461" s="26" t="s">
        <v>146</v>
      </c>
      <c r="AJ3461" s="98"/>
      <c r="AK3461" s="108" t="s">
        <v>137</v>
      </c>
      <c r="AL3461" s="26" t="s">
        <v>146</v>
      </c>
      <c r="AM3461" s="98"/>
      <c r="AN3461" s="108" t="s">
        <v>137</v>
      </c>
      <c r="AO3461" s="26" t="s">
        <v>146</v>
      </c>
      <c r="AP3461" s="98"/>
      <c r="AQ3461" s="108" t="s">
        <v>137</v>
      </c>
      <c r="AR3461" s="26" t="s">
        <v>146</v>
      </c>
      <c r="AS3461" s="98"/>
      <c r="AT3461" s="108" t="s">
        <v>137</v>
      </c>
      <c r="AU3461" s="26" t="s">
        <v>146</v>
      </c>
    </row>
    <row r="3462" spans="15:47" ht="13.8" x14ac:dyDescent="0.25">
      <c r="O3462" s="20" t="s">
        <v>136</v>
      </c>
      <c r="P3462" s="1"/>
      <c r="Q3462" s="1"/>
      <c r="R3462" s="96">
        <f>R3448*1.02</f>
        <v>40768.876669566736</v>
      </c>
      <c r="S3462" s="109" t="s">
        <v>144</v>
      </c>
      <c r="T3462" s="23" t="s">
        <v>147</v>
      </c>
      <c r="U3462" s="96">
        <f ca="1">U3448*1.01</f>
        <v>134046.19816378542</v>
      </c>
      <c r="V3462" s="109" t="s">
        <v>144</v>
      </c>
      <c r="W3462" s="23" t="s">
        <v>147</v>
      </c>
      <c r="X3462" s="96">
        <f ca="1">X3448*1.01</f>
        <v>328229.90073625033</v>
      </c>
      <c r="Y3462" s="109" t="s">
        <v>144</v>
      </c>
      <c r="Z3462" s="23" t="s">
        <v>147</v>
      </c>
      <c r="AA3462" s="96">
        <f ca="1">AA3448*1.01</f>
        <v>639308.06745752983</v>
      </c>
      <c r="AB3462" s="109" t="s">
        <v>144</v>
      </c>
      <c r="AC3462" s="23" t="s">
        <v>147</v>
      </c>
      <c r="AD3462" s="96">
        <f ca="1">AD3448*1.01</f>
        <v>1072560.0621753824</v>
      </c>
      <c r="AE3462" s="109" t="s">
        <v>144</v>
      </c>
      <c r="AF3462" s="23" t="s">
        <v>147</v>
      </c>
      <c r="AG3462" s="96">
        <f ca="1">AG3448*1.01</f>
        <v>1565430.6231428827</v>
      </c>
      <c r="AH3462" s="109" t="s">
        <v>144</v>
      </c>
      <c r="AI3462" s="23" t="s">
        <v>147</v>
      </c>
      <c r="AJ3462" s="96">
        <f ca="1">AJ3448*1.01</f>
        <v>2089073.2350812373</v>
      </c>
      <c r="AK3462" s="109" t="s">
        <v>144</v>
      </c>
      <c r="AL3462" s="23" t="s">
        <v>147</v>
      </c>
      <c r="AM3462" s="96">
        <f ca="1">AM3448*1.01</f>
        <v>2549066.3541680025</v>
      </c>
      <c r="AN3462" s="109" t="s">
        <v>144</v>
      </c>
      <c r="AO3462" s="23" t="s">
        <v>147</v>
      </c>
      <c r="AP3462" s="96">
        <f ca="1">AP3448*1.01</f>
        <v>2959386.902367237</v>
      </c>
      <c r="AQ3462" s="109" t="s">
        <v>144</v>
      </c>
      <c r="AR3462" s="23" t="s">
        <v>147</v>
      </c>
      <c r="AS3462" s="96">
        <f ca="1">AS3448*1.01</f>
        <v>3470113.8837827169</v>
      </c>
      <c r="AT3462" s="109" t="s">
        <v>144</v>
      </c>
      <c r="AU3462" s="23" t="s">
        <v>147</v>
      </c>
    </row>
    <row r="3463" spans="15:47" x14ac:dyDescent="0.25">
      <c r="O3463" s="1"/>
      <c r="P3463" s="1"/>
      <c r="Q3463" s="1"/>
      <c r="R3463" s="98"/>
      <c r="S3463" s="107"/>
      <c r="T3463" s="1"/>
      <c r="U3463" s="47"/>
      <c r="V3463" s="107"/>
      <c r="W3463" s="1"/>
      <c r="X3463" s="47"/>
      <c r="Y3463" s="107"/>
      <c r="Z3463" s="1"/>
      <c r="AA3463" s="47"/>
      <c r="AB3463" s="107"/>
      <c r="AC3463" s="1"/>
      <c r="AD3463" s="47"/>
      <c r="AE3463" s="107"/>
      <c r="AF3463" s="1"/>
      <c r="AG3463" s="47"/>
      <c r="AH3463" s="107"/>
      <c r="AI3463" s="1"/>
      <c r="AJ3463" s="47"/>
      <c r="AK3463" s="107"/>
      <c r="AL3463" s="1"/>
      <c r="AM3463" s="47"/>
      <c r="AN3463" s="107"/>
      <c r="AO3463" s="1"/>
      <c r="AP3463" s="47"/>
      <c r="AQ3463" s="107"/>
      <c r="AR3463" s="1"/>
      <c r="AS3463" s="47"/>
      <c r="AT3463" s="107"/>
      <c r="AU3463" s="1"/>
    </row>
    <row r="3464" spans="15:47" x14ac:dyDescent="0.25">
      <c r="O3464" s="8" t="s">
        <v>132</v>
      </c>
      <c r="P3464" s="8"/>
      <c r="Q3464" s="8"/>
      <c r="R3464" s="96">
        <f>P_1_minQ-(R3462^2*R_up)+dpup_minQ</f>
        <v>89.882104431916261</v>
      </c>
      <c r="S3464" s="106"/>
      <c r="T3464" s="22"/>
      <c r="U3464" s="96">
        <f ca="1">P_1_minQ-(U3462^2*R_up)+dpup_minQ</f>
        <v>86.910106627728183</v>
      </c>
      <c r="V3464" s="107"/>
      <c r="W3464" s="1"/>
      <c r="X3464" s="96">
        <f ca="1">P_1_minQ-(X3462^2*R_up)+dpup_minQ</f>
        <v>70.549185368321076</v>
      </c>
      <c r="Y3464" s="107"/>
      <c r="Z3464" s="1"/>
      <c r="AA3464" s="96">
        <f ca="1">P_1_minQ-(AA3462^2*R_up)+dpup_minQ</f>
        <v>15.69230772838611</v>
      </c>
      <c r="AB3464" s="107"/>
      <c r="AC3464" s="1"/>
      <c r="AD3464" s="96">
        <f ca="1">P_1_minQ-(AD3462^2*R_up)+dpup_minQ</f>
        <v>-119.48519365370908</v>
      </c>
      <c r="AE3464" s="107"/>
      <c r="AF3464" s="1"/>
      <c r="AG3464" s="96">
        <f ca="1">P_1_minQ-(AG3462^2*R_up)+dpup_minQ</f>
        <v>-356.45863395287284</v>
      </c>
      <c r="AH3464" s="107"/>
      <c r="AI3464" s="1"/>
      <c r="AJ3464" s="96">
        <f ca="1">P_1_minQ-(AJ3462^2*R_up)+dpup_minQ</f>
        <v>-705.24294581229333</v>
      </c>
      <c r="AK3464" s="107"/>
      <c r="AL3464" s="1"/>
      <c r="AM3464" s="96">
        <f ca="1">P_1_minQ-(AM3462^2*R_up)+dpup_minQ</f>
        <v>-1094.0988410162715</v>
      </c>
      <c r="AN3464" s="107"/>
      <c r="AO3464" s="1"/>
      <c r="AP3464" s="96">
        <f ca="1">P_1_minQ-(AP3462^2*R_up)+dpup_minQ</f>
        <v>-1506.0507046584746</v>
      </c>
      <c r="AQ3464" s="107"/>
      <c r="AR3464" s="1"/>
      <c r="AS3464" s="96">
        <f ca="1">P_1_minQ-(AS3462^2*R_up)+dpup_minQ</f>
        <v>-2104.544418055129</v>
      </c>
      <c r="AT3464" s="107"/>
      <c r="AU3464" s="1"/>
    </row>
    <row r="3465" spans="15:47" x14ac:dyDescent="0.25">
      <c r="O3465" s="8" t="s">
        <v>134</v>
      </c>
      <c r="P3465" s="1"/>
      <c r="Q3465" s="8"/>
      <c r="R3465" s="97">
        <f>P_2_minQ+(R3462^2*R_dn)-dpdn_minQ</f>
        <v>60</v>
      </c>
      <c r="S3465" s="106"/>
      <c r="T3465" s="22"/>
      <c r="U3465" s="97">
        <f ca="1">P_2_minQ+(U3462^2*R_dn)-dpdn_minQ</f>
        <v>60</v>
      </c>
      <c r="V3465" s="107"/>
      <c r="W3465" s="1"/>
      <c r="X3465" s="97">
        <f ca="1">P_2_minQ+(X3462^2*R_dn)-dpdn_minQ</f>
        <v>60</v>
      </c>
      <c r="Y3465" s="107"/>
      <c r="Z3465" s="1"/>
      <c r="AA3465" s="97">
        <f ca="1">P_2_minQ+(AA3462^2*R_dn)-dpdn_minQ</f>
        <v>60</v>
      </c>
      <c r="AB3465" s="107"/>
      <c r="AC3465" s="1"/>
      <c r="AD3465" s="97">
        <f ca="1">P_2_minQ+(AD3462^2*R_dn)-dpdn_minQ</f>
        <v>60</v>
      </c>
      <c r="AE3465" s="107"/>
      <c r="AF3465" s="1"/>
      <c r="AG3465" s="97">
        <f ca="1">P_2_minQ+(AG3462^2*R_dn)-dpdn_minQ</f>
        <v>60</v>
      </c>
      <c r="AH3465" s="107"/>
      <c r="AI3465" s="1"/>
      <c r="AJ3465" s="97">
        <f ca="1">P_2_minQ+(AJ3462^2*R_dn)-dpdn_minQ</f>
        <v>60</v>
      </c>
      <c r="AK3465" s="107"/>
      <c r="AL3465" s="1"/>
      <c r="AM3465" s="97">
        <f ca="1">P_2_minQ+(AM3462^2*R_dn)-dpdn_minQ</f>
        <v>60</v>
      </c>
      <c r="AN3465" s="107"/>
      <c r="AO3465" s="1"/>
      <c r="AP3465" s="97">
        <f ca="1">P_2_minQ+(AP3462^2*R_dn)-dpdn_minQ</f>
        <v>60</v>
      </c>
      <c r="AQ3465" s="107"/>
      <c r="AR3465" s="1"/>
      <c r="AS3465" s="97">
        <f ca="1">P_2_minQ+(AS3462^2*R_dn)-dpdn_minQ</f>
        <v>60</v>
      </c>
      <c r="AT3465" s="107"/>
      <c r="AU3465" s="1"/>
    </row>
    <row r="3466" spans="15:47" x14ac:dyDescent="0.25">
      <c r="O3466" s="8" t="s">
        <v>138</v>
      </c>
      <c r="P3466" s="1"/>
      <c r="Q3466" s="8"/>
      <c r="R3466" s="97">
        <f>R3464-R3465</f>
        <v>29.882104431916261</v>
      </c>
      <c r="S3466" s="106"/>
      <c r="T3466" s="22"/>
      <c r="U3466" s="97">
        <f ca="1">U3464-U3465</f>
        <v>26.910106627728183</v>
      </c>
      <c r="V3466" s="110"/>
      <c r="W3466" s="25"/>
      <c r="X3466" s="97">
        <f ca="1">X3464-X3465</f>
        <v>10.549185368321076</v>
      </c>
      <c r="Y3466" s="110"/>
      <c r="Z3466" s="25"/>
      <c r="AA3466" s="97">
        <f ca="1">AA3464-AA3465</f>
        <v>-44.307692271613888</v>
      </c>
      <c r="AB3466" s="110"/>
      <c r="AC3466" s="25"/>
      <c r="AD3466" s="97">
        <f ca="1">AD3464-AD3465</f>
        <v>-179.48519365370908</v>
      </c>
      <c r="AE3466" s="110"/>
      <c r="AF3466" s="25"/>
      <c r="AG3466" s="97">
        <f ca="1">AG3464-AG3465</f>
        <v>-416.45863395287284</v>
      </c>
      <c r="AH3466" s="110"/>
      <c r="AI3466" s="25"/>
      <c r="AJ3466" s="97">
        <f ca="1">AJ3464-AJ3465</f>
        <v>-765.24294581229333</v>
      </c>
      <c r="AK3466" s="110"/>
      <c r="AL3466" s="25"/>
      <c r="AM3466" s="97">
        <f ca="1">AM3464-AM3465</f>
        <v>-1154.0988410162715</v>
      </c>
      <c r="AN3466" s="110"/>
      <c r="AO3466" s="25"/>
      <c r="AP3466" s="97">
        <f ca="1">AP3464-AP3465</f>
        <v>-1566.0507046584746</v>
      </c>
      <c r="AQ3466" s="110"/>
      <c r="AR3466" s="25"/>
      <c r="AS3466" s="97">
        <f ca="1">AS3464-AS3465</f>
        <v>-2164.544418055129</v>
      </c>
      <c r="AT3466" s="110"/>
      <c r="AU3466" s="25"/>
    </row>
    <row r="3467" spans="15:47" ht="14.4" x14ac:dyDescent="0.3">
      <c r="O3467" s="2" t="s">
        <v>140</v>
      </c>
      <c r="P3467" s="11"/>
      <c r="Q3467" s="2"/>
      <c r="R3467" s="96">
        <f>R3466/R3464</f>
        <v>0.33245888734782914</v>
      </c>
      <c r="S3467" s="106"/>
      <c r="T3467" s="22"/>
      <c r="U3467" s="96">
        <f ca="1">U3466/U3464</f>
        <v>0.3096314993950619</v>
      </c>
      <c r="V3467" s="111"/>
      <c r="W3467" s="28"/>
      <c r="X3467" s="96">
        <f ca="1">X3466/X3464</f>
        <v>0.14952951353366031</v>
      </c>
      <c r="Y3467" s="111"/>
      <c r="Z3467" s="28"/>
      <c r="AA3467" s="96">
        <f ca="1">AA3466/AA3464</f>
        <v>-2.8235294029739726</v>
      </c>
      <c r="AB3467" s="111"/>
      <c r="AC3467" s="28"/>
      <c r="AD3467" s="96">
        <f ca="1">AD3466/AD3464</f>
        <v>1.5021542683681082</v>
      </c>
      <c r="AE3467" s="111"/>
      <c r="AF3467" s="28"/>
      <c r="AG3467" s="96">
        <f ca="1">AG3466/AG3464</f>
        <v>1.1683224763968898</v>
      </c>
      <c r="AH3467" s="111"/>
      <c r="AI3467" s="28"/>
      <c r="AJ3467" s="96">
        <f ca="1">AJ3466/AJ3464</f>
        <v>1.0850770650827177</v>
      </c>
      <c r="AK3467" s="111"/>
      <c r="AL3467" s="28"/>
      <c r="AM3467" s="96">
        <f ca="1">AM3466/AM3464</f>
        <v>1.054839652278827</v>
      </c>
      <c r="AN3467" s="111"/>
      <c r="AO3467" s="28"/>
      <c r="AP3467" s="96">
        <f ca="1">AP3466/AP3464</f>
        <v>1.0398392961235698</v>
      </c>
      <c r="AQ3467" s="111"/>
      <c r="AR3467" s="28"/>
      <c r="AS3467" s="96">
        <f ca="1">AS3466/AS3464</f>
        <v>1.0285097332635287</v>
      </c>
      <c r="AT3467" s="111"/>
      <c r="AU3467" s="28"/>
    </row>
    <row r="3468" spans="15:47" x14ac:dyDescent="0.25">
      <c r="O3468" s="2" t="s">
        <v>21</v>
      </c>
      <c r="P3468" s="8">
        <v>12</v>
      </c>
      <c r="Q3468" s="2"/>
      <c r="R3468" s="96">
        <f ca="1">1-R3467/(3*F_GAMMA*R$29)</f>
        <v>0.82685236396618023</v>
      </c>
      <c r="S3468" s="106"/>
      <c r="T3468" s="22"/>
      <c r="U3468" s="96">
        <f ca="1">1-U3467/(3*F_GAMMA*U$29)</f>
        <v>0.83877853973336891</v>
      </c>
      <c r="V3468" s="111"/>
      <c r="W3468" s="28"/>
      <c r="X3468" s="96">
        <f ca="1">1-X3467/(3*F_GAMMA*X$29)</f>
        <v>0.92140021063196453</v>
      </c>
      <c r="Y3468" s="111"/>
      <c r="Z3468" s="28"/>
      <c r="AA3468" s="96">
        <f ca="1">1-AA3467/(3*F_GAMMA*AA$29)</f>
        <v>2.5051018205008138</v>
      </c>
      <c r="AB3468" s="111"/>
      <c r="AC3468" s="28"/>
      <c r="AD3468" s="96">
        <f ca="1">1-AD3467/(3*F_GAMMA*AD$29)</f>
        <v>0.17443220810148086</v>
      </c>
      <c r="AE3468" s="111"/>
      <c r="AF3468" s="28"/>
      <c r="AG3468" s="96">
        <f ca="1">1-AG3467/(3*F_GAMMA*AG$29)</f>
        <v>0.31937274886611566</v>
      </c>
      <c r="AH3468" s="111"/>
      <c r="AI3468" s="28"/>
      <c r="AJ3468" s="96">
        <f ca="1">1-AJ3467/(3*F_GAMMA*AJ$29)</f>
        <v>0.3199134365205436</v>
      </c>
      <c r="AK3468" s="111"/>
      <c r="AL3468" s="28"/>
      <c r="AM3468" s="96">
        <f ca="1">1-AM3467/(3*F_GAMMA*AM$29)</f>
        <v>0.26079672668160869</v>
      </c>
      <c r="AN3468" s="111"/>
      <c r="AO3468" s="28"/>
      <c r="AP3468" s="96">
        <f ca="1">1-AP3467/(3*F_GAMMA*AP$29)</f>
        <v>0.41305894641885477</v>
      </c>
      <c r="AQ3468" s="111"/>
      <c r="AR3468" s="28"/>
      <c r="AS3468" s="96">
        <f ca="1">1-AS3467/(3*F_GAMMA*AS$29)</f>
        <v>8.9870667294309592E-2</v>
      </c>
      <c r="AT3468" s="111"/>
      <c r="AU3468" s="28"/>
    </row>
    <row r="3469" spans="15:47" x14ac:dyDescent="0.25">
      <c r="O3469" s="2" t="s">
        <v>57</v>
      </c>
      <c r="P3469" s="143">
        <v>7</v>
      </c>
      <c r="Q3469" s="2"/>
      <c r="R3469" s="96">
        <f ca="1">(R3462/(N_9*R$27*R3464*R3468))*SQRT(M*'Valve Sizing'!$W$6*'Valve Sizing'!$G$8/R3467)</f>
        <v>16.551776044364289</v>
      </c>
      <c r="S3469" s="107"/>
      <c r="T3469" s="22"/>
      <c r="U3469" s="96">
        <f ca="1">(U3462/(N_9*U$27*U3464*U3468))*SQRT(M*'Valve Sizing'!$W$6*'Valve Sizing'!$G$8/U3467)</f>
        <v>57.528789780075364</v>
      </c>
      <c r="V3469" s="111"/>
      <c r="W3469" s="28"/>
      <c r="X3469" s="96">
        <f ca="1">(X3462/(N_9*X$27*X3464*X3468))*SQRT(M*'Valve Sizing'!$W$6*'Valve Sizing'!$G$8/X3467)</f>
        <v>227.84729075164489</v>
      </c>
      <c r="Y3469" s="111"/>
      <c r="Z3469" s="28"/>
      <c r="AA3469" s="96" t="e">
        <f ca="1">(AA3462/(N_9*AA$27*AA3464*AA3468))*SQRT(M*'Valve Sizing'!$W$6*'Valve Sizing'!$G$8/AA3467)</f>
        <v>#NUM!</v>
      </c>
      <c r="AB3469" s="111"/>
      <c r="AC3469" s="28"/>
      <c r="AD3469" s="96">
        <f ca="1">(AD3462/(N_9*AD$27*AD3464*AD3468))*SQRT(M*'Valve Sizing'!$W$6*'Valve Sizing'!$G$8/AD3467)</f>
        <v>-746.1215938563746</v>
      </c>
      <c r="AE3469" s="111"/>
      <c r="AF3469" s="28"/>
      <c r="AG3469" s="96">
        <f ca="1">(AG3462/(N_9*AG$27*AG3464*AG3468))*SQRT(M*'Valve Sizing'!$W$6*'Valve Sizing'!$G$8/AG3467)</f>
        <v>-231.15154698203091</v>
      </c>
      <c r="AH3469" s="111"/>
      <c r="AI3469" s="28"/>
      <c r="AJ3469" s="96">
        <f ca="1">(AJ3462/(N_9*AJ$27*AJ3464*AJ3468))*SQRT(M*'Valve Sizing'!$W$6*'Valve Sizing'!$G$8/AJ3467)</f>
        <v>-167.35030949981899</v>
      </c>
      <c r="AK3469" s="111"/>
      <c r="AL3469" s="28"/>
      <c r="AM3469" s="96">
        <f ca="1">(AM3462/(N_9*AM$27*AM3464*AM3468))*SQRT(M*'Valve Sizing'!$W$6*'Valve Sizing'!$G$8/AM3467)</f>
        <v>-173.74899221919705</v>
      </c>
      <c r="AN3469" s="111"/>
      <c r="AO3469" s="28"/>
      <c r="AP3469" s="96">
        <f ca="1">(AP3462/(N_9*AP$27*AP3464*AP3468))*SQRT(M*'Valve Sizing'!$W$6*'Valve Sizing'!$G$8/AP3467)</f>
        <v>-106.06608650259237</v>
      </c>
      <c r="AQ3469" s="111"/>
      <c r="AR3469" s="28"/>
      <c r="AS3469" s="96">
        <f ca="1">(AS3462/(N_9*AS$27*AS3464*AS3468))*SQRT(M*'Valve Sizing'!$W$6*'Valve Sizing'!$G$8/AS3467)</f>
        <v>-550.90919252258107</v>
      </c>
      <c r="AT3469" s="111"/>
      <c r="AU3469" s="28"/>
    </row>
    <row r="3470" spans="15:47" x14ac:dyDescent="0.25">
      <c r="O3470" s="2" t="s">
        <v>59</v>
      </c>
      <c r="P3470" s="143">
        <v>7</v>
      </c>
      <c r="Q3470" s="2"/>
      <c r="R3470" s="96">
        <f ca="1">(R3462/(N_9*R$27*R3464*0.667))*SQRT(M*'Valve Sizing'!$W$6*'Valve Sizing'!$G$8/R3471)</f>
        <v>14.788211409221102</v>
      </c>
      <c r="S3470" s="107"/>
      <c r="T3470" s="22"/>
      <c r="U3470" s="96">
        <f ca="1">(U3462/(N_9*U$27*U3464*0.667))*SQRT(M*'Valve Sizing'!$W$6*'Valve Sizing'!$G$8/U3471)</f>
        <v>50.312832415686536</v>
      </c>
      <c r="V3470" s="111"/>
      <c r="W3470" s="28"/>
      <c r="X3470" s="96">
        <f ca="1">(X3462/(N_9*X$27*X3464*0.667))*SQRT(M*'Valve Sizing'!$W$6*'Valve Sizing'!$G$8/X3471)</f>
        <v>152.84022229317151</v>
      </c>
      <c r="Y3470" s="111"/>
      <c r="Z3470" s="28"/>
      <c r="AA3470" s="96">
        <f ca="1">(AA3462/(N_9*AA$27*AA3464*0.667))*SQRT(M*'Valve Sizing'!$W$6*'Valve Sizing'!$G$8/AA3471)</f>
        <v>1355.7638900212837</v>
      </c>
      <c r="AB3470" s="111"/>
      <c r="AC3470" s="28"/>
      <c r="AD3470" s="96">
        <f ca="1">(AD3462/(N_9*AD$27*AD3464*0.667))*SQRT(M*'Valve Sizing'!$W$6*'Valve Sizing'!$G$8/AD3471)</f>
        <v>-307.07711510358666</v>
      </c>
      <c r="AE3470" s="111"/>
      <c r="AF3470" s="28"/>
      <c r="AG3470" s="96">
        <f ca="1">(AG3462/(N_9*AG$27*AG3464*0.667))*SQRT(M*'Valve Sizing'!$W$6*'Valve Sizing'!$G$8/AG3471)</f>
        <v>-158.15543492969235</v>
      </c>
      <c r="AH3470" s="111"/>
      <c r="AI3470" s="28"/>
      <c r="AJ3470" s="96">
        <f ca="1">(AJ3462/(N_9*AJ$27*AJ3464*0.667))*SQRT(M*'Valve Sizing'!$W$6*'Valve Sizing'!$G$8/AJ3471)</f>
        <v>-114.65048378648204</v>
      </c>
      <c r="AK3470" s="111"/>
      <c r="AL3470" s="28"/>
      <c r="AM3470" s="96">
        <f ca="1">(AM3462/(N_9*AM$27*AM3464*0.667))*SQRT(M*'Valve Sizing'!$W$6*'Valve Sizing'!$G$8/AM3471)</f>
        <v>-101.16753412468377</v>
      </c>
      <c r="AN3470" s="111"/>
      <c r="AO3470" s="28"/>
      <c r="AP3470" s="96">
        <f ca="1">(AP3462/(N_9*AP$27*AP3464*0.667))*SQRT(M*'Valve Sizing'!$W$6*'Valve Sizing'!$G$8/AP3471)</f>
        <v>-87.160681066073607</v>
      </c>
      <c r="AQ3470" s="111"/>
      <c r="AR3470" s="28"/>
      <c r="AS3470" s="96">
        <f ca="1">(AS3462/(N_9*AS$27*AS3464*0.667))*SQRT(M*'Valve Sizing'!$W$6*'Valve Sizing'!$G$8/AS3471)</f>
        <v>-122.65473957165364</v>
      </c>
      <c r="AT3470" s="111"/>
      <c r="AU3470" s="28"/>
    </row>
    <row r="3471" spans="15:47" ht="15.6" x14ac:dyDescent="0.35">
      <c r="O3471" s="2" t="s">
        <v>68</v>
      </c>
      <c r="P3471" s="143">
        <v>10</v>
      </c>
      <c r="Q3471" s="2"/>
      <c r="R3471" s="96">
        <f ca="1">F_GAMMA*R$29</f>
        <v>0.64002969751372984</v>
      </c>
      <c r="S3471" s="107"/>
      <c r="T3471" s="1"/>
      <c r="U3471" s="96">
        <f ca="1">F_GAMMA*U$29</f>
        <v>0.64017842058782071</v>
      </c>
      <c r="V3471" s="111"/>
      <c r="W3471" s="28"/>
      <c r="X3471" s="96">
        <f ca="1">F_GAMMA*X$29</f>
        <v>0.63413873724904268</v>
      </c>
      <c r="Y3471" s="111"/>
      <c r="Z3471" s="28"/>
      <c r="AA3471" s="96">
        <f ca="1">F_GAMMA*AA$29</f>
        <v>0.62532411750377137</v>
      </c>
      <c r="AB3471" s="111"/>
      <c r="AC3471" s="28"/>
      <c r="AD3471" s="96">
        <f ca="1">F_GAMMA*AD$29</f>
        <v>0.60651359509139569</v>
      </c>
      <c r="AE3471" s="111"/>
      <c r="AF3471" s="28"/>
      <c r="AG3471" s="96">
        <f ca="1">F_GAMMA*AG$29</f>
        <v>0.57217930198481592</v>
      </c>
      <c r="AH3471" s="111"/>
      <c r="AI3471" s="28"/>
      <c r="AJ3471" s="96">
        <f ca="1">F_GAMMA*AJ$29</f>
        <v>0.53183282018848232</v>
      </c>
      <c r="AK3471" s="111"/>
      <c r="AL3471" s="28"/>
      <c r="AM3471" s="96">
        <f ca="1">F_GAMMA*AM$29</f>
        <v>0.47566512503094399</v>
      </c>
      <c r="AN3471" s="111"/>
      <c r="AO3471" s="28"/>
      <c r="AP3471" s="96">
        <f ca="1">F_GAMMA*AP$29</f>
        <v>0.59054158265645496</v>
      </c>
      <c r="AQ3471" s="111"/>
      <c r="AR3471" s="28"/>
      <c r="AS3471" s="96">
        <f ca="1">F_GAMMA*AS$29</f>
        <v>0.3766899554102966</v>
      </c>
      <c r="AT3471" s="111"/>
      <c r="AU3471" s="28"/>
    </row>
    <row r="3472" spans="15:47" x14ac:dyDescent="0.25">
      <c r="O3472" s="2" t="s">
        <v>145</v>
      </c>
      <c r="P3472" s="12"/>
      <c r="Q3472" s="2"/>
      <c r="R3472" s="96">
        <f ca="1">IF(R3467&lt;R3471,R3469,R3470)</f>
        <v>16.551776044364289</v>
      </c>
      <c r="S3472" s="116"/>
      <c r="T3472" s="1"/>
      <c r="U3472" s="96">
        <f ca="1">IF(U3467&lt;U3471,U3469,U3470)</f>
        <v>57.528789780075364</v>
      </c>
      <c r="V3472" s="111"/>
      <c r="W3472" s="28"/>
      <c r="X3472" s="96">
        <f ca="1">IF(X3467&lt;X3471,X3469,X3470)</f>
        <v>227.84729075164489</v>
      </c>
      <c r="Y3472" s="111"/>
      <c r="Z3472" s="28"/>
      <c r="AA3472" s="96" t="e">
        <f ca="1">IF(AA3467&lt;AA3471,AA3469,AA3470)</f>
        <v>#NUM!</v>
      </c>
      <c r="AB3472" s="111"/>
      <c r="AC3472" s="28"/>
      <c r="AD3472" s="96">
        <f ca="1">IF(AD3467&lt;AD3471,AD3469,AD3470)</f>
        <v>-307.07711510358666</v>
      </c>
      <c r="AE3472" s="111"/>
      <c r="AF3472" s="28"/>
      <c r="AG3472" s="96">
        <f ca="1">IF(AG3467&lt;AG3471,AG3469,AG3470)</f>
        <v>-158.15543492969235</v>
      </c>
      <c r="AH3472" s="111"/>
      <c r="AI3472" s="28"/>
      <c r="AJ3472" s="96">
        <f ca="1">IF(AJ3467&lt;AJ3471,AJ3469,AJ3470)</f>
        <v>-114.65048378648204</v>
      </c>
      <c r="AK3472" s="111"/>
      <c r="AL3472" s="28"/>
      <c r="AM3472" s="96">
        <f ca="1">IF(AM3467&lt;AM3471,AM3469,AM3470)</f>
        <v>-101.16753412468377</v>
      </c>
      <c r="AN3472" s="111"/>
      <c r="AO3472" s="28"/>
      <c r="AP3472" s="96">
        <f ca="1">IF(AP3467&lt;AP3471,AP3469,AP3470)</f>
        <v>-87.160681066073607</v>
      </c>
      <c r="AQ3472" s="111"/>
      <c r="AR3472" s="28"/>
      <c r="AS3472" s="96">
        <f ca="1">IF(AS3467&lt;AS3471,AS3469,AS3470)</f>
        <v>-122.65473957165364</v>
      </c>
      <c r="AT3472" s="111"/>
      <c r="AU3472" s="28"/>
    </row>
    <row r="3473" spans="15:47" x14ac:dyDescent="0.25">
      <c r="O3473" s="13" t="s">
        <v>143</v>
      </c>
      <c r="P3473" s="1"/>
      <c r="Q3473" s="1"/>
      <c r="R3473" s="113"/>
      <c r="S3473" s="106">
        <f ca="1">IF(R3466&lt;=0,Q_max,ABS(R$23-R3472))</f>
        <v>11.821776044364288</v>
      </c>
      <c r="T3473" s="7">
        <f>R3462</f>
        <v>40768.876669566736</v>
      </c>
      <c r="U3473" s="98"/>
      <c r="V3473" s="106">
        <f ca="1">IF(U3466&lt;=0,Q_max,ABS(U$23-U3472))</f>
        <v>45.928789780075363</v>
      </c>
      <c r="W3473" s="9">
        <f ca="1">U3462</f>
        <v>134046.19816378542</v>
      </c>
      <c r="X3473" s="98"/>
      <c r="Y3473" s="106">
        <f ca="1">IF(X3466&lt;=0,Q_max,ABS(X$23-X3472))</f>
        <v>204.84729075164489</v>
      </c>
      <c r="Z3473" s="9">
        <f ca="1">X3462</f>
        <v>328229.90073625033</v>
      </c>
      <c r="AA3473" s="98"/>
      <c r="AB3473" s="106">
        <f ca="1">IF(AA3466&lt;=0,Q_max,ABS(AA$23-AA3472))</f>
        <v>236393</v>
      </c>
      <c r="AC3473" s="9">
        <f ca="1">AA3462</f>
        <v>639308.06745752983</v>
      </c>
      <c r="AD3473" s="98"/>
      <c r="AE3473" s="106">
        <f ca="1">IF(AD3466&lt;=0,Q_max,ABS(AD$23-AD3472))</f>
        <v>236393</v>
      </c>
      <c r="AF3473" s="9">
        <f ca="1">AD3462</f>
        <v>1072560.0621753824</v>
      </c>
      <c r="AG3473" s="98"/>
      <c r="AH3473" s="106">
        <f ca="1">IF(AG3466&lt;=0,Q_max,ABS(AG$23-AG3472))</f>
        <v>236393</v>
      </c>
      <c r="AI3473" s="9">
        <f ca="1">AG3462</f>
        <v>1565430.6231428827</v>
      </c>
      <c r="AJ3473" s="98"/>
      <c r="AK3473" s="106">
        <f ca="1">IF(AJ3466&lt;=0,Q_max,ABS(AJ$23-AJ3472))</f>
        <v>236393</v>
      </c>
      <c r="AL3473" s="9">
        <f ca="1">AJ3462</f>
        <v>2089073.2350812373</v>
      </c>
      <c r="AM3473" s="98"/>
      <c r="AN3473" s="106">
        <f ca="1">IF(AM3466&lt;=0,Q_max,ABS(AM$23-AM3472))</f>
        <v>236393</v>
      </c>
      <c r="AO3473" s="9">
        <f ca="1">AM3462</f>
        <v>2549066.3541680025</v>
      </c>
      <c r="AP3473" s="98"/>
      <c r="AQ3473" s="106">
        <f ca="1">IF(AP3466&lt;=0,Q_max,ABS(AP$23-AP3472))</f>
        <v>236393</v>
      </c>
      <c r="AR3473" s="9">
        <f ca="1">AP3462</f>
        <v>2959386.902367237</v>
      </c>
      <c r="AS3473" s="98"/>
      <c r="AT3473" s="106">
        <f ca="1">IF(AS3466&lt;=0,Q_max,ABS(AS$23-AS3472))</f>
        <v>236393</v>
      </c>
      <c r="AU3473" s="9">
        <f ca="1">AS3462</f>
        <v>3470113.8837827169</v>
      </c>
    </row>
    <row r="3474" spans="15:47" x14ac:dyDescent="0.25">
      <c r="O3474" s="21"/>
      <c r="P3474" s="14"/>
      <c r="Q3474" s="21"/>
      <c r="R3474" s="97"/>
      <c r="S3474" s="106"/>
      <c r="T3474" s="28"/>
      <c r="U3474" s="97"/>
      <c r="V3474" s="111"/>
      <c r="W3474" s="28"/>
      <c r="X3474" s="97"/>
      <c r="Y3474" s="111"/>
      <c r="Z3474" s="28"/>
      <c r="AA3474" s="97"/>
      <c r="AB3474" s="111"/>
      <c r="AC3474" s="28"/>
      <c r="AD3474" s="97"/>
      <c r="AE3474" s="111"/>
      <c r="AF3474" s="28"/>
      <c r="AG3474" s="97"/>
      <c r="AH3474" s="111"/>
      <c r="AI3474" s="28"/>
      <c r="AJ3474" s="97"/>
      <c r="AK3474" s="111"/>
      <c r="AL3474" s="28"/>
      <c r="AM3474" s="97"/>
      <c r="AN3474" s="111"/>
      <c r="AO3474" s="28"/>
      <c r="AP3474" s="97"/>
      <c r="AQ3474" s="111"/>
      <c r="AR3474" s="28"/>
      <c r="AS3474" s="97"/>
      <c r="AT3474" s="111"/>
      <c r="AU3474" s="28"/>
    </row>
    <row r="3475" spans="15:47" x14ac:dyDescent="0.25">
      <c r="O3475" s="1"/>
      <c r="P3475" s="1"/>
      <c r="Q3475" s="1"/>
      <c r="R3475" s="98"/>
      <c r="S3475" s="108" t="s">
        <v>137</v>
      </c>
      <c r="T3475" s="26" t="s">
        <v>146</v>
      </c>
      <c r="U3475" s="98"/>
      <c r="V3475" s="108" t="s">
        <v>137</v>
      </c>
      <c r="W3475" s="26" t="s">
        <v>146</v>
      </c>
      <c r="X3475" s="98"/>
      <c r="Y3475" s="108" t="s">
        <v>137</v>
      </c>
      <c r="Z3475" s="26" t="s">
        <v>146</v>
      </c>
      <c r="AA3475" s="98"/>
      <c r="AB3475" s="108" t="s">
        <v>137</v>
      </c>
      <c r="AC3475" s="26" t="s">
        <v>146</v>
      </c>
      <c r="AD3475" s="98"/>
      <c r="AE3475" s="108" t="s">
        <v>137</v>
      </c>
      <c r="AF3475" s="26" t="s">
        <v>146</v>
      </c>
      <c r="AG3475" s="98"/>
      <c r="AH3475" s="108" t="s">
        <v>137</v>
      </c>
      <c r="AI3475" s="26" t="s">
        <v>146</v>
      </c>
      <c r="AJ3475" s="98"/>
      <c r="AK3475" s="108" t="s">
        <v>137</v>
      </c>
      <c r="AL3475" s="26" t="s">
        <v>146</v>
      </c>
      <c r="AM3475" s="98"/>
      <c r="AN3475" s="108" t="s">
        <v>137</v>
      </c>
      <c r="AO3475" s="26" t="s">
        <v>146</v>
      </c>
      <c r="AP3475" s="98"/>
      <c r="AQ3475" s="108" t="s">
        <v>137</v>
      </c>
      <c r="AR3475" s="26" t="s">
        <v>146</v>
      </c>
      <c r="AS3475" s="98"/>
      <c r="AT3475" s="108" t="s">
        <v>137</v>
      </c>
      <c r="AU3475" s="26" t="s">
        <v>146</v>
      </c>
    </row>
    <row r="3476" spans="15:47" ht="13.8" x14ac:dyDescent="0.25">
      <c r="O3476" s="20" t="s">
        <v>136</v>
      </c>
      <c r="P3476" s="1"/>
      <c r="Q3476" s="1"/>
      <c r="R3476" s="96">
        <f>R3462*1.02</f>
        <v>41584.254202958073</v>
      </c>
      <c r="S3476" s="109" t="s">
        <v>144</v>
      </c>
      <c r="T3476" s="23" t="s">
        <v>147</v>
      </c>
      <c r="U3476" s="96">
        <f ca="1">U3462*1.01</f>
        <v>135386.66014542329</v>
      </c>
      <c r="V3476" s="109" t="s">
        <v>144</v>
      </c>
      <c r="W3476" s="23" t="s">
        <v>147</v>
      </c>
      <c r="X3476" s="96">
        <f ca="1">X3462*1.01</f>
        <v>331512.19974361284</v>
      </c>
      <c r="Y3476" s="109" t="s">
        <v>144</v>
      </c>
      <c r="Z3476" s="23" t="s">
        <v>147</v>
      </c>
      <c r="AA3476" s="96">
        <f ca="1">AA3462*1.01</f>
        <v>645701.14813210513</v>
      </c>
      <c r="AB3476" s="109" t="s">
        <v>144</v>
      </c>
      <c r="AC3476" s="23" t="s">
        <v>147</v>
      </c>
      <c r="AD3476" s="96">
        <f ca="1">AD3462*1.01</f>
        <v>1083285.6627971362</v>
      </c>
      <c r="AE3476" s="109" t="s">
        <v>144</v>
      </c>
      <c r="AF3476" s="23" t="s">
        <v>147</v>
      </c>
      <c r="AG3476" s="96">
        <f ca="1">AG3462*1.01</f>
        <v>1581084.9293743116</v>
      </c>
      <c r="AH3476" s="109" t="s">
        <v>144</v>
      </c>
      <c r="AI3476" s="23" t="s">
        <v>147</v>
      </c>
      <c r="AJ3476" s="96">
        <f ca="1">AJ3462*1.01</f>
        <v>2109963.9674320496</v>
      </c>
      <c r="AK3476" s="109" t="s">
        <v>144</v>
      </c>
      <c r="AL3476" s="23" t="s">
        <v>147</v>
      </c>
      <c r="AM3476" s="96">
        <f ca="1">AM3462*1.01</f>
        <v>2574557.0177096827</v>
      </c>
      <c r="AN3476" s="109" t="s">
        <v>144</v>
      </c>
      <c r="AO3476" s="23" t="s">
        <v>147</v>
      </c>
      <c r="AP3476" s="96">
        <f ca="1">AP3462*1.01</f>
        <v>2988980.7713909093</v>
      </c>
      <c r="AQ3476" s="109" t="s">
        <v>144</v>
      </c>
      <c r="AR3476" s="23" t="s">
        <v>147</v>
      </c>
      <c r="AS3476" s="96">
        <f ca="1">AS3462*1.01</f>
        <v>3504815.0226205443</v>
      </c>
      <c r="AT3476" s="109" t="s">
        <v>144</v>
      </c>
      <c r="AU3476" s="23" t="s">
        <v>147</v>
      </c>
    </row>
    <row r="3477" spans="15:47" x14ac:dyDescent="0.25">
      <c r="O3477" s="1"/>
      <c r="P3477" s="1"/>
      <c r="Q3477" s="1"/>
      <c r="R3477" s="98"/>
      <c r="S3477" s="107"/>
      <c r="T3477" s="1"/>
      <c r="U3477" s="47"/>
      <c r="V3477" s="107"/>
      <c r="W3477" s="1"/>
      <c r="X3477" s="47"/>
      <c r="Y3477" s="107"/>
      <c r="Z3477" s="1"/>
      <c r="AA3477" s="47"/>
      <c r="AB3477" s="107"/>
      <c r="AC3477" s="1"/>
      <c r="AD3477" s="47"/>
      <c r="AE3477" s="107"/>
      <c r="AF3477" s="1"/>
      <c r="AG3477" s="47"/>
      <c r="AH3477" s="107"/>
      <c r="AI3477" s="1"/>
      <c r="AJ3477" s="47"/>
      <c r="AK3477" s="107"/>
      <c r="AL3477" s="1"/>
      <c r="AM3477" s="47"/>
      <c r="AN3477" s="107"/>
      <c r="AO3477" s="1"/>
      <c r="AP3477" s="47"/>
      <c r="AQ3477" s="107"/>
      <c r="AR3477" s="1"/>
      <c r="AS3477" s="47"/>
      <c r="AT3477" s="107"/>
      <c r="AU3477" s="1"/>
    </row>
    <row r="3478" spans="15:47" x14ac:dyDescent="0.25">
      <c r="O3478" s="8" t="s">
        <v>132</v>
      </c>
      <c r="P3478" s="8"/>
      <c r="Q3478" s="8"/>
      <c r="R3478" s="96">
        <f>P_1_minQ-(R3476^2*R_up)+dpup_minQ</f>
        <v>89.869865813543342</v>
      </c>
      <c r="S3478" s="106"/>
      <c r="T3478" s="22"/>
      <c r="U3478" s="96">
        <f ca="1">P_1_minQ-(U3476^2*R_up)+dpup_minQ</f>
        <v>86.844280456287393</v>
      </c>
      <c r="V3478" s="107"/>
      <c r="W3478" s="1"/>
      <c r="X3478" s="96">
        <f ca="1">P_1_minQ-(X3476^2*R_up)+dpup_minQ</f>
        <v>70.154504679566202</v>
      </c>
      <c r="Y3478" s="107"/>
      <c r="Z3478" s="1"/>
      <c r="AA3478" s="96">
        <f ca="1">P_1_minQ-(AA3476^2*R_up)+dpup_minQ</f>
        <v>14.195003799068528</v>
      </c>
      <c r="AB3478" s="107"/>
      <c r="AC3478" s="1"/>
      <c r="AD3478" s="96">
        <f ca="1">P_1_minQ-(AD3476^2*R_up)+dpup_minQ</f>
        <v>-123.69956536080679</v>
      </c>
      <c r="AE3478" s="107"/>
      <c r="AF3478" s="1"/>
      <c r="AG3478" s="96">
        <f ca="1">P_1_minQ-(AG3476^2*R_up)+dpup_minQ</f>
        <v>-365.43617180998376</v>
      </c>
      <c r="AH3478" s="107"/>
      <c r="AI3478" s="1"/>
      <c r="AJ3478" s="96">
        <f ca="1">P_1_minQ-(AJ3476^2*R_up)+dpup_minQ</f>
        <v>-721.23104833777836</v>
      </c>
      <c r="AK3478" s="107"/>
      <c r="AL3478" s="1"/>
      <c r="AM3478" s="96">
        <f ca="1">P_1_minQ-(AM3476^2*R_up)+dpup_minQ</f>
        <v>-1117.9029470353569</v>
      </c>
      <c r="AN3478" s="107"/>
      <c r="AO3478" s="1"/>
      <c r="AP3478" s="96">
        <f ca="1">P_1_minQ-(AP3476^2*R_up)+dpup_minQ</f>
        <v>-1538.135043136768</v>
      </c>
      <c r="AQ3478" s="107"/>
      <c r="AR3478" s="1"/>
      <c r="AS3478" s="96">
        <f ca="1">P_1_minQ-(AS3476^2*R_up)+dpup_minQ</f>
        <v>-2148.6584801726954</v>
      </c>
      <c r="AT3478" s="107"/>
      <c r="AU3478" s="1"/>
    </row>
    <row r="3479" spans="15:47" x14ac:dyDescent="0.25">
      <c r="O3479" s="8" t="s">
        <v>134</v>
      </c>
      <c r="P3479" s="1"/>
      <c r="Q3479" s="8"/>
      <c r="R3479" s="97">
        <f>P_2_minQ+(R3476^2*R_dn)-dpdn_minQ</f>
        <v>60</v>
      </c>
      <c r="S3479" s="106"/>
      <c r="T3479" s="22"/>
      <c r="U3479" s="97">
        <f ca="1">P_2_minQ+(U3476^2*R_dn)-dpdn_minQ</f>
        <v>60</v>
      </c>
      <c r="V3479" s="107"/>
      <c r="W3479" s="1"/>
      <c r="X3479" s="97">
        <f ca="1">P_2_minQ+(X3476^2*R_dn)-dpdn_minQ</f>
        <v>60</v>
      </c>
      <c r="Y3479" s="107"/>
      <c r="Z3479" s="1"/>
      <c r="AA3479" s="97">
        <f ca="1">P_2_minQ+(AA3476^2*R_dn)-dpdn_minQ</f>
        <v>60</v>
      </c>
      <c r="AB3479" s="107"/>
      <c r="AC3479" s="1"/>
      <c r="AD3479" s="97">
        <f ca="1">P_2_minQ+(AD3476^2*R_dn)-dpdn_minQ</f>
        <v>60</v>
      </c>
      <c r="AE3479" s="107"/>
      <c r="AF3479" s="1"/>
      <c r="AG3479" s="97">
        <f ca="1">P_2_minQ+(AG3476^2*R_dn)-dpdn_minQ</f>
        <v>60</v>
      </c>
      <c r="AH3479" s="107"/>
      <c r="AI3479" s="1"/>
      <c r="AJ3479" s="97">
        <f ca="1">P_2_minQ+(AJ3476^2*R_dn)-dpdn_minQ</f>
        <v>60</v>
      </c>
      <c r="AK3479" s="107"/>
      <c r="AL3479" s="1"/>
      <c r="AM3479" s="97">
        <f ca="1">P_2_minQ+(AM3476^2*R_dn)-dpdn_minQ</f>
        <v>60</v>
      </c>
      <c r="AN3479" s="107"/>
      <c r="AO3479" s="1"/>
      <c r="AP3479" s="97">
        <f ca="1">P_2_minQ+(AP3476^2*R_dn)-dpdn_minQ</f>
        <v>60</v>
      </c>
      <c r="AQ3479" s="107"/>
      <c r="AR3479" s="1"/>
      <c r="AS3479" s="97">
        <f ca="1">P_2_minQ+(AS3476^2*R_dn)-dpdn_minQ</f>
        <v>60</v>
      </c>
      <c r="AT3479" s="107"/>
      <c r="AU3479" s="1"/>
    </row>
    <row r="3480" spans="15:47" x14ac:dyDescent="0.25">
      <c r="O3480" s="8" t="s">
        <v>138</v>
      </c>
      <c r="P3480" s="1"/>
      <c r="Q3480" s="8"/>
      <c r="R3480" s="97">
        <f>R3478-R3479</f>
        <v>29.869865813543342</v>
      </c>
      <c r="S3480" s="106"/>
      <c r="T3480" s="22"/>
      <c r="U3480" s="97">
        <f ca="1">U3478-U3479</f>
        <v>26.844280456287393</v>
      </c>
      <c r="V3480" s="110"/>
      <c r="W3480" s="25"/>
      <c r="X3480" s="97">
        <f ca="1">X3478-X3479</f>
        <v>10.154504679566202</v>
      </c>
      <c r="Y3480" s="110"/>
      <c r="Z3480" s="25"/>
      <c r="AA3480" s="97">
        <f ca="1">AA3478-AA3479</f>
        <v>-45.80499620093147</v>
      </c>
      <c r="AB3480" s="110"/>
      <c r="AC3480" s="25"/>
      <c r="AD3480" s="97">
        <f ca="1">AD3478-AD3479</f>
        <v>-183.69956536080679</v>
      </c>
      <c r="AE3480" s="110"/>
      <c r="AF3480" s="25"/>
      <c r="AG3480" s="97">
        <f ca="1">AG3478-AG3479</f>
        <v>-425.43617180998376</v>
      </c>
      <c r="AH3480" s="110"/>
      <c r="AI3480" s="25"/>
      <c r="AJ3480" s="97">
        <f ca="1">AJ3478-AJ3479</f>
        <v>-781.23104833777836</v>
      </c>
      <c r="AK3480" s="110"/>
      <c r="AL3480" s="25"/>
      <c r="AM3480" s="97">
        <f ca="1">AM3478-AM3479</f>
        <v>-1177.9029470353569</v>
      </c>
      <c r="AN3480" s="110"/>
      <c r="AO3480" s="25"/>
      <c r="AP3480" s="97">
        <f ca="1">AP3478-AP3479</f>
        <v>-1598.135043136768</v>
      </c>
      <c r="AQ3480" s="110"/>
      <c r="AR3480" s="25"/>
      <c r="AS3480" s="97">
        <f ca="1">AS3478-AS3479</f>
        <v>-2208.6584801726954</v>
      </c>
      <c r="AT3480" s="110"/>
      <c r="AU3480" s="25"/>
    </row>
    <row r="3481" spans="15:47" ht="14.4" x14ac:dyDescent="0.3">
      <c r="O3481" s="2" t="s">
        <v>140</v>
      </c>
      <c r="P3481" s="11"/>
      <c r="Q3481" s="2"/>
      <c r="R3481" s="96">
        <f>R3480/R3478</f>
        <v>0.33236798055886235</v>
      </c>
      <c r="S3481" s="106"/>
      <c r="T3481" s="22"/>
      <c r="U3481" s="96">
        <f ca="1">U3480/U3478</f>
        <v>0.30910821432620794</v>
      </c>
      <c r="V3481" s="111"/>
      <c r="W3481" s="28"/>
      <c r="X3481" s="96">
        <f ca="1">X3480/X3478</f>
        <v>0.14474487028234823</v>
      </c>
      <c r="Y3481" s="111"/>
      <c r="Z3481" s="28"/>
      <c r="AA3481" s="96">
        <f ca="1">AA3480/AA3478</f>
        <v>-3.2268393055264402</v>
      </c>
      <c r="AB3481" s="111"/>
      <c r="AC3481" s="28"/>
      <c r="AD3481" s="96">
        <f ca="1">AD3480/AD3478</f>
        <v>1.4850461666942163</v>
      </c>
      <c r="AE3481" s="111"/>
      <c r="AF3481" s="28"/>
      <c r="AG3481" s="96">
        <f ca="1">AG3480/AG3478</f>
        <v>1.1641873591845699</v>
      </c>
      <c r="AH3481" s="111"/>
      <c r="AI3481" s="28"/>
      <c r="AJ3481" s="96">
        <f ca="1">AJ3480/AJ3478</f>
        <v>1.0831910940859826</v>
      </c>
      <c r="AK3481" s="111"/>
      <c r="AL3481" s="28"/>
      <c r="AM3481" s="96">
        <f ca="1">AM3480/AM3478</f>
        <v>1.0536719221996131</v>
      </c>
      <c r="AN3481" s="111"/>
      <c r="AO3481" s="28"/>
      <c r="AP3481" s="96">
        <f ca="1">AP3480/AP3478</f>
        <v>1.0390082784133441</v>
      </c>
      <c r="AQ3481" s="111"/>
      <c r="AR3481" s="28"/>
      <c r="AS3481" s="96">
        <f ca="1">AS3480/AS3478</f>
        <v>1.0279244005288255</v>
      </c>
      <c r="AT3481" s="111"/>
      <c r="AU3481" s="28"/>
    </row>
    <row r="3482" spans="15:47" x14ac:dyDescent="0.25">
      <c r="O3482" s="2" t="s">
        <v>21</v>
      </c>
      <c r="P3482" s="8">
        <v>12</v>
      </c>
      <c r="Q3482" s="2"/>
      <c r="R3482" s="96">
        <f ca="1">1-R3481/(3*F_GAMMA*R$29)</f>
        <v>0.8268997090551764</v>
      </c>
      <c r="S3482" s="106"/>
      <c r="T3482" s="22"/>
      <c r="U3482" s="96">
        <f ca="1">1-U3481/(3*F_GAMMA*U$29)</f>
        <v>0.83905100808074695</v>
      </c>
      <c r="V3482" s="111"/>
      <c r="W3482" s="28"/>
      <c r="X3482" s="96">
        <f ca="1">1-X3481/(3*F_GAMMA*X$29)</f>
        <v>0.9239152455763513</v>
      </c>
      <c r="Y3482" s="111"/>
      <c r="Z3482" s="28"/>
      <c r="AA3482" s="96">
        <f ca="1">1-AA3481/(3*F_GAMMA*AA$29)</f>
        <v>2.7200889454510118</v>
      </c>
      <c r="AB3482" s="111"/>
      <c r="AC3482" s="28"/>
      <c r="AD3482" s="96">
        <f ca="1">1-AD3481/(3*F_GAMMA*AD$29)</f>
        <v>0.18383463634730535</v>
      </c>
      <c r="AE3482" s="111"/>
      <c r="AF3482" s="28"/>
      <c r="AG3482" s="96">
        <f ca="1">1-AG3481/(3*F_GAMMA*AG$29)</f>
        <v>0.32178173569825941</v>
      </c>
      <c r="AH3482" s="111"/>
      <c r="AI3482" s="28"/>
      <c r="AJ3482" s="96">
        <f ca="1">1-AJ3481/(3*F_GAMMA*AJ$29)</f>
        <v>0.32109549406766702</v>
      </c>
      <c r="AK3482" s="111"/>
      <c r="AL3482" s="28"/>
      <c r="AM3482" s="96">
        <f ca="1">1-AM3481/(3*F_GAMMA*AM$29)</f>
        <v>0.26161504053153117</v>
      </c>
      <c r="AN3482" s="111"/>
      <c r="AO3482" s="28"/>
      <c r="AP3482" s="96">
        <f ca="1">1-AP3481/(3*F_GAMMA*AP$29)</f>
        <v>0.41352801737260969</v>
      </c>
      <c r="AQ3482" s="111"/>
      <c r="AR3482" s="28"/>
      <c r="AS3482" s="96">
        <f ca="1">1-AS3481/(3*F_GAMMA*AS$29)</f>
        <v>9.0388628840046059E-2</v>
      </c>
      <c r="AT3482" s="111"/>
      <c r="AU3482" s="28"/>
    </row>
    <row r="3483" spans="15:47" x14ac:dyDescent="0.25">
      <c r="O3483" s="2" t="s">
        <v>57</v>
      </c>
      <c r="P3483" s="143">
        <v>7</v>
      </c>
      <c r="Q3483" s="2"/>
      <c r="R3483" s="96">
        <f ca="1">(R3476/(N_9*R$27*R3478*R3482))*SQRT(M*'Valve Sizing'!$W$6*'Valve Sizing'!$G$8/R3481)</f>
        <v>16.886452770637412</v>
      </c>
      <c r="S3483" s="107"/>
      <c r="T3483" s="22"/>
      <c r="U3483" s="96">
        <f ca="1">(U3476/(N_9*U$27*U3478*U3482))*SQRT(M*'Valve Sizing'!$W$6*'Valve Sizing'!$G$8/U3481)</f>
        <v>58.178418989326858</v>
      </c>
      <c r="V3483" s="111"/>
      <c r="W3483" s="28"/>
      <c r="X3483" s="96">
        <f ca="1">(X3476/(N_9*X$27*X3478*X3482))*SQRT(M*'Valve Sizing'!$W$6*'Valve Sizing'!$G$8/X3481)</f>
        <v>234.57392059062431</v>
      </c>
      <c r="Y3483" s="111"/>
      <c r="Z3483" s="28"/>
      <c r="AA3483" s="96" t="e">
        <f ca="1">(AA3476/(N_9*AA$27*AA3478*AA3482))*SQRT(M*'Valve Sizing'!$W$6*'Valve Sizing'!$G$8/AA3481)</f>
        <v>#NUM!</v>
      </c>
      <c r="AB3483" s="111"/>
      <c r="AC3483" s="28"/>
      <c r="AD3483" s="96">
        <f ca="1">(AD3476/(N_9*AD$27*AD3478*AD3482))*SQRT(M*'Valve Sizing'!$W$6*'Valve Sizing'!$G$8/AD3481)</f>
        <v>-694.64598501404373</v>
      </c>
      <c r="AE3483" s="111"/>
      <c r="AF3483" s="28"/>
      <c r="AG3483" s="96">
        <f ca="1">(AG3476/(N_9*AG$27*AG3478*AG3482))*SQRT(M*'Valve Sizing'!$W$6*'Valve Sizing'!$G$8/AG3481)</f>
        <v>-226.42385298077616</v>
      </c>
      <c r="AH3483" s="111"/>
      <c r="AI3483" s="28"/>
      <c r="AJ3483" s="96">
        <f ca="1">(AJ3476/(N_9*AJ$27*AJ3478*AJ3482))*SQRT(M*'Valve Sizing'!$W$6*'Valve Sizing'!$G$8/AJ3481)</f>
        <v>-164.81178067621511</v>
      </c>
      <c r="AK3483" s="111"/>
      <c r="AL3483" s="28"/>
      <c r="AM3483" s="96">
        <f ca="1">(AM3476/(N_9*AM$27*AM3478*AM3482))*SQRT(M*'Valve Sizing'!$W$6*'Valve Sizing'!$G$8/AM3481)</f>
        <v>-171.307379822966</v>
      </c>
      <c r="AN3483" s="111"/>
      <c r="AO3483" s="28"/>
      <c r="AP3483" s="96">
        <f ca="1">(AP3476/(N_9*AP$27*AP3478*AP3482))*SQRT(M*'Valve Sizing'!$W$6*'Valve Sizing'!$G$8/AP3481)</f>
        <v>-104.81507474397314</v>
      </c>
      <c r="AQ3483" s="111"/>
      <c r="AR3483" s="28"/>
      <c r="AS3483" s="96">
        <f ca="1">(AS3476/(N_9*AS$27*AS3478*AS3482))*SQRT(M*'Valve Sizing'!$W$6*'Valve Sizing'!$G$8/AS3481)</f>
        <v>-542.02570220657583</v>
      </c>
      <c r="AT3483" s="111"/>
      <c r="AU3483" s="28"/>
    </row>
    <row r="3484" spans="15:47" x14ac:dyDescent="0.25">
      <c r="O3484" s="2" t="s">
        <v>59</v>
      </c>
      <c r="P3484" s="143">
        <v>7</v>
      </c>
      <c r="Q3484" s="2"/>
      <c r="R3484" s="96">
        <f ca="1">(R3476/(N_9*R$27*R3478*0.667))*SQRT(M*'Valve Sizing'!$W$6*'Valve Sizing'!$G$8/R3485)</f>
        <v>15.086029796713559</v>
      </c>
      <c r="S3484" s="107"/>
      <c r="T3484" s="22"/>
      <c r="U3484" s="96">
        <f ca="1">(U3476/(N_9*U$27*U3478*0.667))*SQRT(M*'Valve Sizing'!$W$6*'Valve Sizing'!$G$8/U3485)</f>
        <v>50.854478188845391</v>
      </c>
      <c r="V3484" s="111"/>
      <c r="W3484" s="28"/>
      <c r="X3484" s="96">
        <f ca="1">(X3476/(N_9*X$27*X3478*0.667))*SQRT(M*'Valve Sizing'!$W$6*'Valve Sizing'!$G$8/X3485)</f>
        <v>155.23708357407023</v>
      </c>
      <c r="Y3484" s="111"/>
      <c r="Z3484" s="28"/>
      <c r="AA3484" s="96">
        <f ca="1">(AA3476/(N_9*AA$27*AA3478*0.667))*SQRT(M*'Valve Sizing'!$W$6*'Valve Sizing'!$G$8/AA3485)</f>
        <v>1513.7590038792598</v>
      </c>
      <c r="AB3484" s="111"/>
      <c r="AC3484" s="28"/>
      <c r="AD3484" s="96">
        <f ca="1">(AD3476/(N_9*AD$27*AD3478*0.667))*SQRT(M*'Valve Sizing'!$W$6*'Valve Sizing'!$G$8/AD3485)</f>
        <v>-299.58132950856481</v>
      </c>
      <c r="AE3484" s="111"/>
      <c r="AF3484" s="28"/>
      <c r="AG3484" s="96">
        <f ca="1">(AG3476/(N_9*AG$27*AG3478*0.667))*SQRT(M*'Valve Sizing'!$W$6*'Valve Sizing'!$G$8/AG3485)</f>
        <v>-155.81278861398584</v>
      </c>
      <c r="AH3484" s="111"/>
      <c r="AI3484" s="28"/>
      <c r="AJ3484" s="96">
        <f ca="1">(AJ3476/(N_9*AJ$27*AJ3478*0.667))*SQRT(M*'Valve Sizing'!$W$6*'Valve Sizing'!$G$8/AJ3485)</f>
        <v>-113.23002463890093</v>
      </c>
      <c r="AK3484" s="111"/>
      <c r="AL3484" s="28"/>
      <c r="AM3484" s="96">
        <f ca="1">(AM3476/(N_9*AM$27*AM3478*0.667))*SQRT(M*'Valve Sizing'!$W$6*'Valve Sizing'!$G$8/AM3485)</f>
        <v>-100.00345284812788</v>
      </c>
      <c r="AN3484" s="111"/>
      <c r="AO3484" s="28"/>
      <c r="AP3484" s="96">
        <f ca="1">(AP3476/(N_9*AP$27*AP3478*0.667))*SQRT(M*'Valve Sizing'!$W$6*'Valve Sizing'!$G$8/AP3485)</f>
        <v>-86.196000657443321</v>
      </c>
      <c r="AQ3484" s="111"/>
      <c r="AR3484" s="28"/>
      <c r="AS3484" s="96">
        <f ca="1">(AS3476/(N_9*AS$27*AS3478*0.667))*SQRT(M*'Valve Sizing'!$W$6*'Valve Sizing'!$G$8/AS3485)</f>
        <v>-121.33788286713207</v>
      </c>
      <c r="AT3484" s="111"/>
      <c r="AU3484" s="28"/>
    </row>
    <row r="3485" spans="15:47" ht="15.6" x14ac:dyDescent="0.35">
      <c r="O3485" s="2" t="s">
        <v>68</v>
      </c>
      <c r="P3485" s="143">
        <v>10</v>
      </c>
      <c r="Q3485" s="2"/>
      <c r="R3485" s="96">
        <f ca="1">F_GAMMA*R$29</f>
        <v>0.64002969751372984</v>
      </c>
      <c r="S3485" s="107"/>
      <c r="T3485" s="1"/>
      <c r="U3485" s="96">
        <f ca="1">F_GAMMA*U$29</f>
        <v>0.64017842058782071</v>
      </c>
      <c r="V3485" s="111"/>
      <c r="W3485" s="28"/>
      <c r="X3485" s="96">
        <f ca="1">F_GAMMA*X$29</f>
        <v>0.63413873724904268</v>
      </c>
      <c r="Y3485" s="111"/>
      <c r="Z3485" s="28"/>
      <c r="AA3485" s="96">
        <f ca="1">F_GAMMA*AA$29</f>
        <v>0.62532411750377137</v>
      </c>
      <c r="AB3485" s="111"/>
      <c r="AC3485" s="28"/>
      <c r="AD3485" s="96">
        <f ca="1">F_GAMMA*AD$29</f>
        <v>0.60651359509139569</v>
      </c>
      <c r="AE3485" s="111"/>
      <c r="AF3485" s="28"/>
      <c r="AG3485" s="96">
        <f ca="1">F_GAMMA*AG$29</f>
        <v>0.57217930198481592</v>
      </c>
      <c r="AH3485" s="111"/>
      <c r="AI3485" s="28"/>
      <c r="AJ3485" s="96">
        <f ca="1">F_GAMMA*AJ$29</f>
        <v>0.53183282018848232</v>
      </c>
      <c r="AK3485" s="111"/>
      <c r="AL3485" s="28"/>
      <c r="AM3485" s="96">
        <f ca="1">F_GAMMA*AM$29</f>
        <v>0.47566512503094399</v>
      </c>
      <c r="AN3485" s="111"/>
      <c r="AO3485" s="28"/>
      <c r="AP3485" s="96">
        <f ca="1">F_GAMMA*AP$29</f>
        <v>0.59054158265645496</v>
      </c>
      <c r="AQ3485" s="111"/>
      <c r="AR3485" s="28"/>
      <c r="AS3485" s="96">
        <f ca="1">F_GAMMA*AS$29</f>
        <v>0.3766899554102966</v>
      </c>
      <c r="AT3485" s="111"/>
      <c r="AU3485" s="28"/>
    </row>
    <row r="3486" spans="15:47" x14ac:dyDescent="0.25">
      <c r="O3486" s="2" t="s">
        <v>145</v>
      </c>
      <c r="P3486" s="12"/>
      <c r="Q3486" s="2"/>
      <c r="R3486" s="96">
        <f ca="1">IF(R3481&lt;R3485,R3483,R3484)</f>
        <v>16.886452770637412</v>
      </c>
      <c r="S3486" s="116"/>
      <c r="T3486" s="1"/>
      <c r="U3486" s="96">
        <f ca="1">IF(U3481&lt;U3485,U3483,U3484)</f>
        <v>58.178418989326858</v>
      </c>
      <c r="V3486" s="111"/>
      <c r="W3486" s="28"/>
      <c r="X3486" s="96">
        <f ca="1">IF(X3481&lt;X3485,X3483,X3484)</f>
        <v>234.57392059062431</v>
      </c>
      <c r="Y3486" s="111"/>
      <c r="Z3486" s="28"/>
      <c r="AA3486" s="96" t="e">
        <f ca="1">IF(AA3481&lt;AA3485,AA3483,AA3484)</f>
        <v>#NUM!</v>
      </c>
      <c r="AB3486" s="111"/>
      <c r="AC3486" s="28"/>
      <c r="AD3486" s="96">
        <f ca="1">IF(AD3481&lt;AD3485,AD3483,AD3484)</f>
        <v>-299.58132950856481</v>
      </c>
      <c r="AE3486" s="111"/>
      <c r="AF3486" s="28"/>
      <c r="AG3486" s="96">
        <f ca="1">IF(AG3481&lt;AG3485,AG3483,AG3484)</f>
        <v>-155.81278861398584</v>
      </c>
      <c r="AH3486" s="111"/>
      <c r="AI3486" s="28"/>
      <c r="AJ3486" s="96">
        <f ca="1">IF(AJ3481&lt;AJ3485,AJ3483,AJ3484)</f>
        <v>-113.23002463890093</v>
      </c>
      <c r="AK3486" s="111"/>
      <c r="AL3486" s="28"/>
      <c r="AM3486" s="96">
        <f ca="1">IF(AM3481&lt;AM3485,AM3483,AM3484)</f>
        <v>-100.00345284812788</v>
      </c>
      <c r="AN3486" s="111"/>
      <c r="AO3486" s="28"/>
      <c r="AP3486" s="96">
        <f ca="1">IF(AP3481&lt;AP3485,AP3483,AP3484)</f>
        <v>-86.196000657443321</v>
      </c>
      <c r="AQ3486" s="111"/>
      <c r="AR3486" s="28"/>
      <c r="AS3486" s="96">
        <f ca="1">IF(AS3481&lt;AS3485,AS3483,AS3484)</f>
        <v>-121.33788286713207</v>
      </c>
      <c r="AT3486" s="111"/>
      <c r="AU3486" s="28"/>
    </row>
    <row r="3487" spans="15:47" x14ac:dyDescent="0.25">
      <c r="O3487" s="13" t="s">
        <v>143</v>
      </c>
      <c r="P3487" s="1"/>
      <c r="Q3487" s="1"/>
      <c r="R3487" s="113"/>
      <c r="S3487" s="106">
        <f ca="1">IF(R3480&lt;=0,Q_max,ABS(R$23-R3486))</f>
        <v>12.156452770637411</v>
      </c>
      <c r="T3487" s="7">
        <f>R3476</f>
        <v>41584.254202958073</v>
      </c>
      <c r="U3487" s="98"/>
      <c r="V3487" s="106">
        <f ca="1">IF(U3480&lt;=0,Q_max,ABS(U$23-U3486))</f>
        <v>46.578418989326856</v>
      </c>
      <c r="W3487" s="9">
        <f ca="1">U3476</f>
        <v>135386.66014542329</v>
      </c>
      <c r="X3487" s="98"/>
      <c r="Y3487" s="106">
        <f ca="1">IF(X3480&lt;=0,Q_max,ABS(X$23-X3486))</f>
        <v>211.57392059062431</v>
      </c>
      <c r="Z3487" s="9">
        <f ca="1">X3476</f>
        <v>331512.19974361284</v>
      </c>
      <c r="AA3487" s="98"/>
      <c r="AB3487" s="106">
        <f ca="1">IF(AA3480&lt;=0,Q_max,ABS(AA$23-AA3486))</f>
        <v>236393</v>
      </c>
      <c r="AC3487" s="9">
        <f ca="1">AA3476</f>
        <v>645701.14813210513</v>
      </c>
      <c r="AD3487" s="98"/>
      <c r="AE3487" s="106">
        <f ca="1">IF(AD3480&lt;=0,Q_max,ABS(AD$23-AD3486))</f>
        <v>236393</v>
      </c>
      <c r="AF3487" s="9">
        <f ca="1">AD3476</f>
        <v>1083285.6627971362</v>
      </c>
      <c r="AG3487" s="98"/>
      <c r="AH3487" s="106">
        <f ca="1">IF(AG3480&lt;=0,Q_max,ABS(AG$23-AG3486))</f>
        <v>236393</v>
      </c>
      <c r="AI3487" s="9">
        <f ca="1">AG3476</f>
        <v>1581084.9293743116</v>
      </c>
      <c r="AJ3487" s="98"/>
      <c r="AK3487" s="106">
        <f ca="1">IF(AJ3480&lt;=0,Q_max,ABS(AJ$23-AJ3486))</f>
        <v>236393</v>
      </c>
      <c r="AL3487" s="9">
        <f ca="1">AJ3476</f>
        <v>2109963.9674320496</v>
      </c>
      <c r="AM3487" s="98"/>
      <c r="AN3487" s="106">
        <f ca="1">IF(AM3480&lt;=0,Q_max,ABS(AM$23-AM3486))</f>
        <v>236393</v>
      </c>
      <c r="AO3487" s="9">
        <f ca="1">AM3476</f>
        <v>2574557.0177096827</v>
      </c>
      <c r="AP3487" s="98"/>
      <c r="AQ3487" s="106">
        <f ca="1">IF(AP3480&lt;=0,Q_max,ABS(AP$23-AP3486))</f>
        <v>236393</v>
      </c>
      <c r="AR3487" s="9">
        <f ca="1">AP3476</f>
        <v>2988980.7713909093</v>
      </c>
      <c r="AS3487" s="98"/>
      <c r="AT3487" s="106">
        <f ca="1">IF(AS3480&lt;=0,Q_max,ABS(AS$23-AS3486))</f>
        <v>236393</v>
      </c>
      <c r="AU3487" s="9">
        <f ca="1">AS3476</f>
        <v>3504815.0226205443</v>
      </c>
    </row>
    <row r="3488" spans="15:47" x14ac:dyDescent="0.25">
      <c r="O3488" s="21"/>
      <c r="P3488" s="14"/>
      <c r="Q3488" s="21"/>
      <c r="R3488" s="97"/>
      <c r="S3488" s="106"/>
      <c r="T3488" s="28"/>
      <c r="U3488" s="97"/>
      <c r="V3488" s="111"/>
      <c r="W3488" s="28"/>
      <c r="X3488" s="97"/>
      <c r="Y3488" s="111"/>
      <c r="Z3488" s="28"/>
      <c r="AA3488" s="97"/>
      <c r="AB3488" s="111"/>
      <c r="AC3488" s="28"/>
      <c r="AD3488" s="97"/>
      <c r="AE3488" s="111"/>
      <c r="AF3488" s="28"/>
      <c r="AG3488" s="97"/>
      <c r="AH3488" s="111"/>
      <c r="AI3488" s="28"/>
      <c r="AJ3488" s="97"/>
      <c r="AK3488" s="111"/>
      <c r="AL3488" s="28"/>
      <c r="AM3488" s="97"/>
      <c r="AN3488" s="111"/>
      <c r="AO3488" s="28"/>
      <c r="AP3488" s="97"/>
      <c r="AQ3488" s="111"/>
      <c r="AR3488" s="28"/>
      <c r="AS3488" s="97"/>
      <c r="AT3488" s="111"/>
      <c r="AU3488" s="28"/>
    </row>
    <row r="3489" spans="15:47" x14ac:dyDescent="0.25">
      <c r="O3489" s="1"/>
      <c r="P3489" s="1"/>
      <c r="Q3489" s="1"/>
      <c r="R3489" s="98"/>
      <c r="S3489" s="108" t="s">
        <v>137</v>
      </c>
      <c r="T3489" s="26" t="s">
        <v>146</v>
      </c>
      <c r="U3489" s="98"/>
      <c r="V3489" s="108" t="s">
        <v>137</v>
      </c>
      <c r="W3489" s="26" t="s">
        <v>146</v>
      </c>
      <c r="X3489" s="98"/>
      <c r="Y3489" s="108" t="s">
        <v>137</v>
      </c>
      <c r="Z3489" s="26" t="s">
        <v>146</v>
      </c>
      <c r="AA3489" s="98"/>
      <c r="AB3489" s="108" t="s">
        <v>137</v>
      </c>
      <c r="AC3489" s="26" t="s">
        <v>146</v>
      </c>
      <c r="AD3489" s="98"/>
      <c r="AE3489" s="108" t="s">
        <v>137</v>
      </c>
      <c r="AF3489" s="26" t="s">
        <v>146</v>
      </c>
      <c r="AG3489" s="98"/>
      <c r="AH3489" s="108" t="s">
        <v>137</v>
      </c>
      <c r="AI3489" s="26" t="s">
        <v>146</v>
      </c>
      <c r="AJ3489" s="98"/>
      <c r="AK3489" s="108" t="s">
        <v>137</v>
      </c>
      <c r="AL3489" s="26" t="s">
        <v>146</v>
      </c>
      <c r="AM3489" s="98"/>
      <c r="AN3489" s="108" t="s">
        <v>137</v>
      </c>
      <c r="AO3489" s="26" t="s">
        <v>146</v>
      </c>
      <c r="AP3489" s="98"/>
      <c r="AQ3489" s="108" t="s">
        <v>137</v>
      </c>
      <c r="AR3489" s="26" t="s">
        <v>146</v>
      </c>
      <c r="AS3489" s="98"/>
      <c r="AT3489" s="108" t="s">
        <v>137</v>
      </c>
      <c r="AU3489" s="26" t="s">
        <v>146</v>
      </c>
    </row>
    <row r="3490" spans="15:47" ht="13.8" x14ac:dyDescent="0.25">
      <c r="O3490" s="20" t="s">
        <v>136</v>
      </c>
      <c r="P3490" s="1"/>
      <c r="Q3490" s="1"/>
      <c r="R3490" s="96">
        <f>R3476*1.02</f>
        <v>42415.939287017238</v>
      </c>
      <c r="S3490" s="109" t="s">
        <v>144</v>
      </c>
      <c r="T3490" s="23" t="s">
        <v>147</v>
      </c>
      <c r="U3490" s="96">
        <f ca="1">U3476*1.01</f>
        <v>136740.52674687753</v>
      </c>
      <c r="V3490" s="109" t="s">
        <v>144</v>
      </c>
      <c r="W3490" s="23" t="s">
        <v>147</v>
      </c>
      <c r="X3490" s="96">
        <f ca="1">X3476*1.01</f>
        <v>334827.321741049</v>
      </c>
      <c r="Y3490" s="109" t="s">
        <v>144</v>
      </c>
      <c r="Z3490" s="23" t="s">
        <v>147</v>
      </c>
      <c r="AA3490" s="96">
        <f ca="1">AA3476*1.01</f>
        <v>652158.15961342619</v>
      </c>
      <c r="AB3490" s="109" t="s">
        <v>144</v>
      </c>
      <c r="AC3490" s="23" t="s">
        <v>147</v>
      </c>
      <c r="AD3490" s="96">
        <f ca="1">AD3476*1.01</f>
        <v>1094118.5194251076</v>
      </c>
      <c r="AE3490" s="109" t="s">
        <v>144</v>
      </c>
      <c r="AF3490" s="23" t="s">
        <v>147</v>
      </c>
      <c r="AG3490" s="96">
        <f ca="1">AG3476*1.01</f>
        <v>1596895.7786680546</v>
      </c>
      <c r="AH3490" s="109" t="s">
        <v>144</v>
      </c>
      <c r="AI3490" s="23" t="s">
        <v>147</v>
      </c>
      <c r="AJ3490" s="96">
        <f ca="1">AJ3476*1.01</f>
        <v>2131063.6071063699</v>
      </c>
      <c r="AK3490" s="109" t="s">
        <v>144</v>
      </c>
      <c r="AL3490" s="23" t="s">
        <v>147</v>
      </c>
      <c r="AM3490" s="96">
        <f ca="1">AM3476*1.01</f>
        <v>2600302.5878867796</v>
      </c>
      <c r="AN3490" s="109" t="s">
        <v>144</v>
      </c>
      <c r="AO3490" s="23" t="s">
        <v>147</v>
      </c>
      <c r="AP3490" s="96">
        <f ca="1">AP3476*1.01</f>
        <v>3018870.5791048184</v>
      </c>
      <c r="AQ3490" s="109" t="s">
        <v>144</v>
      </c>
      <c r="AR3490" s="23" t="s">
        <v>147</v>
      </c>
      <c r="AS3490" s="96">
        <f ca="1">AS3476*1.01</f>
        <v>3539863.1728467499</v>
      </c>
      <c r="AT3490" s="109" t="s">
        <v>144</v>
      </c>
      <c r="AU3490" s="23" t="s">
        <v>147</v>
      </c>
    </row>
    <row r="3491" spans="15:47" x14ac:dyDescent="0.25">
      <c r="O3491" s="1"/>
      <c r="P3491" s="1"/>
      <c r="Q3491" s="1"/>
      <c r="R3491" s="98"/>
      <c r="S3491" s="107"/>
      <c r="T3491" s="1"/>
      <c r="U3491" s="47"/>
      <c r="V3491" s="107"/>
      <c r="W3491" s="1"/>
      <c r="X3491" s="47"/>
      <c r="Y3491" s="107"/>
      <c r="Z3491" s="1"/>
      <c r="AA3491" s="47"/>
      <c r="AB3491" s="107"/>
      <c r="AC3491" s="1"/>
      <c r="AD3491" s="47"/>
      <c r="AE3491" s="107"/>
      <c r="AF3491" s="1"/>
      <c r="AG3491" s="47"/>
      <c r="AH3491" s="107"/>
      <c r="AI3491" s="1"/>
      <c r="AJ3491" s="47"/>
      <c r="AK3491" s="107"/>
      <c r="AL3491" s="1"/>
      <c r="AM3491" s="47"/>
      <c r="AN3491" s="107"/>
      <c r="AO3491" s="1"/>
      <c r="AP3491" s="47"/>
      <c r="AQ3491" s="107"/>
      <c r="AR3491" s="1"/>
      <c r="AS3491" s="47"/>
      <c r="AT3491" s="107"/>
      <c r="AU3491" s="1"/>
    </row>
    <row r="3492" spans="15:47" x14ac:dyDescent="0.25">
      <c r="O3492" s="8" t="s">
        <v>132</v>
      </c>
      <c r="P3492" s="8"/>
      <c r="Q3492" s="8"/>
      <c r="R3492" s="96">
        <f>P_1_minQ-(R3490^2*R_up)+dpup_minQ</f>
        <v>89.857132754988172</v>
      </c>
      <c r="S3492" s="106"/>
      <c r="T3492" s="22"/>
      <c r="U3492" s="96">
        <f ca="1">P_1_minQ-(U3490^2*R_up)+dpup_minQ</f>
        <v>86.77713117880063</v>
      </c>
      <c r="V3492" s="107"/>
      <c r="W3492" s="1"/>
      <c r="X3492" s="96">
        <f ca="1">P_1_minQ-(X3490^2*R_up)+dpup_minQ</f>
        <v>69.75189090896734</v>
      </c>
      <c r="Y3492" s="107"/>
      <c r="Z3492" s="1"/>
      <c r="AA3492" s="96">
        <f ca="1">P_1_minQ-(AA3490^2*R_up)+dpup_minQ</f>
        <v>12.667604060771664</v>
      </c>
      <c r="AB3492" s="107"/>
      <c r="AC3492" s="1"/>
      <c r="AD3492" s="96">
        <f ca="1">P_1_minQ-(AD3490^2*R_up)+dpup_minQ</f>
        <v>-127.99864593921714</v>
      </c>
      <c r="AE3492" s="107"/>
      <c r="AF3492" s="1"/>
      <c r="AG3492" s="96">
        <f ca="1">P_1_minQ-(AG3490^2*R_up)+dpup_minQ</f>
        <v>-374.59415817802255</v>
      </c>
      <c r="AH3492" s="107"/>
      <c r="AI3492" s="1"/>
      <c r="AJ3492" s="96">
        <f ca="1">P_1_minQ-(AJ3490^2*R_up)+dpup_minQ</f>
        <v>-737.54051172402592</v>
      </c>
      <c r="AK3492" s="107"/>
      <c r="AL3492" s="1"/>
      <c r="AM3492" s="96">
        <f ca="1">P_1_minQ-(AM3490^2*R_up)+dpup_minQ</f>
        <v>-1142.1855155854255</v>
      </c>
      <c r="AN3492" s="107"/>
      <c r="AO3492" s="1"/>
      <c r="AP3492" s="96">
        <f ca="1">P_1_minQ-(AP3490^2*R_up)+dpup_minQ</f>
        <v>-1570.8642768184752</v>
      </c>
      <c r="AQ3492" s="107"/>
      <c r="AR3492" s="1"/>
      <c r="AS3492" s="96">
        <f ca="1">P_1_minQ-(AS3490^2*R_up)+dpup_minQ</f>
        <v>-2193.6592349388247</v>
      </c>
      <c r="AT3492" s="107"/>
      <c r="AU3492" s="1"/>
    </row>
    <row r="3493" spans="15:47" x14ac:dyDescent="0.25">
      <c r="O3493" s="8" t="s">
        <v>134</v>
      </c>
      <c r="P3493" s="1"/>
      <c r="Q3493" s="8"/>
      <c r="R3493" s="97">
        <f>P_2_minQ+(R3490^2*R_dn)-dpdn_minQ</f>
        <v>60</v>
      </c>
      <c r="S3493" s="106"/>
      <c r="T3493" s="22"/>
      <c r="U3493" s="97">
        <f ca="1">P_2_minQ+(U3490^2*R_dn)-dpdn_minQ</f>
        <v>60</v>
      </c>
      <c r="V3493" s="107"/>
      <c r="W3493" s="1"/>
      <c r="X3493" s="97">
        <f ca="1">P_2_minQ+(X3490^2*R_dn)-dpdn_minQ</f>
        <v>60</v>
      </c>
      <c r="Y3493" s="107"/>
      <c r="Z3493" s="1"/>
      <c r="AA3493" s="97">
        <f ca="1">P_2_minQ+(AA3490^2*R_dn)-dpdn_minQ</f>
        <v>60</v>
      </c>
      <c r="AB3493" s="107"/>
      <c r="AC3493" s="1"/>
      <c r="AD3493" s="97">
        <f ca="1">P_2_minQ+(AD3490^2*R_dn)-dpdn_minQ</f>
        <v>60</v>
      </c>
      <c r="AE3493" s="107"/>
      <c r="AF3493" s="1"/>
      <c r="AG3493" s="97">
        <f ca="1">P_2_minQ+(AG3490^2*R_dn)-dpdn_minQ</f>
        <v>60</v>
      </c>
      <c r="AH3493" s="107"/>
      <c r="AI3493" s="1"/>
      <c r="AJ3493" s="97">
        <f ca="1">P_2_minQ+(AJ3490^2*R_dn)-dpdn_minQ</f>
        <v>60</v>
      </c>
      <c r="AK3493" s="107"/>
      <c r="AL3493" s="1"/>
      <c r="AM3493" s="97">
        <f ca="1">P_2_minQ+(AM3490^2*R_dn)-dpdn_minQ</f>
        <v>60</v>
      </c>
      <c r="AN3493" s="107"/>
      <c r="AO3493" s="1"/>
      <c r="AP3493" s="97">
        <f ca="1">P_2_minQ+(AP3490^2*R_dn)-dpdn_minQ</f>
        <v>60</v>
      </c>
      <c r="AQ3493" s="107"/>
      <c r="AR3493" s="1"/>
      <c r="AS3493" s="97">
        <f ca="1">P_2_minQ+(AS3490^2*R_dn)-dpdn_minQ</f>
        <v>60</v>
      </c>
      <c r="AT3493" s="107"/>
      <c r="AU3493" s="1"/>
    </row>
    <row r="3494" spans="15:47" x14ac:dyDescent="0.25">
      <c r="O3494" s="8" t="s">
        <v>138</v>
      </c>
      <c r="P3494" s="1"/>
      <c r="Q3494" s="8"/>
      <c r="R3494" s="97">
        <f>R3492-R3493</f>
        <v>29.857132754988172</v>
      </c>
      <c r="S3494" s="106"/>
      <c r="T3494" s="22"/>
      <c r="U3494" s="97">
        <f ca="1">U3492-U3493</f>
        <v>26.77713117880063</v>
      </c>
      <c r="V3494" s="110"/>
      <c r="W3494" s="25"/>
      <c r="X3494" s="97">
        <f ca="1">X3492-X3493</f>
        <v>9.75189090896734</v>
      </c>
      <c r="Y3494" s="110"/>
      <c r="Z3494" s="25"/>
      <c r="AA3494" s="97">
        <f ca="1">AA3492-AA3493</f>
        <v>-47.332395939228334</v>
      </c>
      <c r="AB3494" s="110"/>
      <c r="AC3494" s="25"/>
      <c r="AD3494" s="97">
        <f ca="1">AD3492-AD3493</f>
        <v>-187.99864593921714</v>
      </c>
      <c r="AE3494" s="110"/>
      <c r="AF3494" s="25"/>
      <c r="AG3494" s="97">
        <f ca="1">AG3492-AG3493</f>
        <v>-434.59415817802255</v>
      </c>
      <c r="AH3494" s="110"/>
      <c r="AI3494" s="25"/>
      <c r="AJ3494" s="97">
        <f ca="1">AJ3492-AJ3493</f>
        <v>-797.54051172402592</v>
      </c>
      <c r="AK3494" s="110"/>
      <c r="AL3494" s="25"/>
      <c r="AM3494" s="97">
        <f ca="1">AM3492-AM3493</f>
        <v>-1202.1855155854255</v>
      </c>
      <c r="AN3494" s="110"/>
      <c r="AO3494" s="25"/>
      <c r="AP3494" s="97">
        <f ca="1">AP3492-AP3493</f>
        <v>-1630.8642768184752</v>
      </c>
      <c r="AQ3494" s="110"/>
      <c r="AR3494" s="25"/>
      <c r="AS3494" s="97">
        <f ca="1">AS3492-AS3493</f>
        <v>-2253.6592349388247</v>
      </c>
      <c r="AT3494" s="110"/>
      <c r="AU3494" s="25"/>
    </row>
    <row r="3495" spans="15:47" ht="14.4" x14ac:dyDescent="0.3">
      <c r="O3495" s="2" t="s">
        <v>140</v>
      </c>
      <c r="P3495" s="11"/>
      <c r="Q3495" s="2"/>
      <c r="R3495" s="96">
        <f>R3494/R3492</f>
        <v>0.33227337485160002</v>
      </c>
      <c r="S3495" s="106"/>
      <c r="T3495" s="22"/>
      <c r="U3495" s="96">
        <f ca="1">U3494/U3492</f>
        <v>0.30857359323883937</v>
      </c>
      <c r="V3495" s="111"/>
      <c r="W3495" s="28"/>
      <c r="X3495" s="96">
        <f ca="1">X3494/X3492</f>
        <v>0.13980826586757997</v>
      </c>
      <c r="Y3495" s="111"/>
      <c r="Z3495" s="28"/>
      <c r="AA3495" s="96">
        <f ca="1">AA3494/AA3492</f>
        <v>-3.7364915821615141</v>
      </c>
      <c r="AB3495" s="111"/>
      <c r="AC3495" s="28"/>
      <c r="AD3495" s="96">
        <f ca="1">AD3494/AD3492</f>
        <v>1.4687549587711441</v>
      </c>
      <c r="AE3495" s="111"/>
      <c r="AF3495" s="28"/>
      <c r="AG3495" s="96">
        <f ca="1">AG3494/AG3492</f>
        <v>1.1601733467810396</v>
      </c>
      <c r="AH3495" s="111"/>
      <c r="AI3495" s="28"/>
      <c r="AJ3495" s="96">
        <f ca="1">AJ3494/AJ3492</f>
        <v>1.0813514634738477</v>
      </c>
      <c r="AK3495" s="111"/>
      <c r="AL3495" s="28"/>
      <c r="AM3495" s="96">
        <f ca="1">AM3494/AM3492</f>
        <v>1.052530871019886</v>
      </c>
      <c r="AN3495" s="111"/>
      <c r="AO3495" s="28"/>
      <c r="AP3495" s="96">
        <f ca="1">AP3494/AP3492</f>
        <v>1.0381955340670934</v>
      </c>
      <c r="AQ3495" s="111"/>
      <c r="AR3495" s="28"/>
      <c r="AS3495" s="96">
        <f ca="1">AS3494/AS3492</f>
        <v>1.0273515590044109</v>
      </c>
      <c r="AT3495" s="111"/>
      <c r="AU3495" s="28"/>
    </row>
    <row r="3496" spans="15:47" x14ac:dyDescent="0.25">
      <c r="O3496" s="2" t="s">
        <v>21</v>
      </c>
      <c r="P3496" s="8">
        <v>12</v>
      </c>
      <c r="Q3496" s="2"/>
      <c r="R3496" s="96">
        <f ca="1">1-R3495/(3*F_GAMMA*R$29)</f>
        <v>0.8269489805747271</v>
      </c>
      <c r="S3496" s="106"/>
      <c r="T3496" s="22"/>
      <c r="U3496" s="96">
        <f ca="1">1-U3495/(3*F_GAMMA*U$29)</f>
        <v>0.83932937895891435</v>
      </c>
      <c r="V3496" s="111"/>
      <c r="W3496" s="28"/>
      <c r="X3496" s="96">
        <f ca="1">1-X3495/(3*F_GAMMA*X$29)</f>
        <v>0.92651015850039264</v>
      </c>
      <c r="Y3496" s="111"/>
      <c r="Z3496" s="28"/>
      <c r="AA3496" s="96">
        <f ca="1">1-AA3495/(3*F_GAMMA*AA$29)</f>
        <v>2.9917626062876526</v>
      </c>
      <c r="AB3496" s="111"/>
      <c r="AC3496" s="28"/>
      <c r="AD3496" s="96">
        <f ca="1">1-AD3495/(3*F_GAMMA*AD$29)</f>
        <v>0.1927881085942148</v>
      </c>
      <c r="AE3496" s="111"/>
      <c r="AF3496" s="28"/>
      <c r="AG3496" s="96">
        <f ca="1">1-AG3495/(3*F_GAMMA*AG$29)</f>
        <v>0.32412017074802224</v>
      </c>
      <c r="AH3496" s="111"/>
      <c r="AI3496" s="28"/>
      <c r="AJ3496" s="96">
        <f ca="1">1-AJ3495/(3*F_GAMMA*AJ$29)</f>
        <v>0.32224850715893816</v>
      </c>
      <c r="AK3496" s="111"/>
      <c r="AL3496" s="28"/>
      <c r="AM3496" s="96">
        <f ca="1">1-AM3495/(3*F_GAMMA*AM$29)</f>
        <v>0.26241465852584522</v>
      </c>
      <c r="AN3496" s="111"/>
      <c r="AO3496" s="28"/>
      <c r="AP3496" s="96">
        <f ca="1">1-AP3495/(3*F_GAMMA*AP$29)</f>
        <v>0.41398677385994265</v>
      </c>
      <c r="AQ3496" s="111"/>
      <c r="AR3496" s="28"/>
      <c r="AS3496" s="96">
        <f ca="1">1-AS3495/(3*F_GAMMA*AS$29)</f>
        <v>9.0895536900806206E-2</v>
      </c>
      <c r="AT3496" s="111"/>
      <c r="AU3496" s="28"/>
    </row>
    <row r="3497" spans="15:47" x14ac:dyDescent="0.25">
      <c r="O3497" s="2" t="s">
        <v>57</v>
      </c>
      <c r="P3497" s="143">
        <v>7</v>
      </c>
      <c r="Q3497" s="2"/>
      <c r="R3497" s="96">
        <f ca="1">(R3490/(N_9*R$27*R3492*R3496))*SQRT(M*'Valve Sizing'!$W$6*'Valve Sizing'!$G$8/R3495)</f>
        <v>17.228048231833426</v>
      </c>
      <c r="S3497" s="107"/>
      <c r="T3497" s="22"/>
      <c r="U3497" s="96">
        <f ca="1">(U3490/(N_9*U$27*U3492*U3496))*SQRT(M*'Valve Sizing'!$W$6*'Valve Sizing'!$G$8/U3495)</f>
        <v>58.837072311748393</v>
      </c>
      <c r="V3497" s="111"/>
      <c r="W3497" s="28"/>
      <c r="X3497" s="96">
        <f ca="1">(X3490/(N_9*X$27*X3492*X3496))*SQRT(M*'Valve Sizing'!$W$6*'Valve Sizing'!$G$8/X3495)</f>
        <v>241.77856293311766</v>
      </c>
      <c r="Y3497" s="111"/>
      <c r="Z3497" s="28"/>
      <c r="AA3497" s="96" t="e">
        <f ca="1">(AA3490/(N_9*AA$27*AA3492*AA3496))*SQRT(M*'Valve Sizing'!$W$6*'Valve Sizing'!$G$8/AA3495)</f>
        <v>#NUM!</v>
      </c>
      <c r="AB3497" s="111"/>
      <c r="AC3497" s="28"/>
      <c r="AD3497" s="96">
        <f ca="1">(AD3490/(N_9*AD$27*AD3492*AD3496))*SQRT(M*'Valve Sizing'!$W$6*'Valve Sizing'!$G$8/AD3495)</f>
        <v>-650.11487684236306</v>
      </c>
      <c r="AE3497" s="111"/>
      <c r="AF3497" s="28"/>
      <c r="AG3497" s="96">
        <f ca="1">(AG3490/(N_9*AG$27*AG3492*AG3496))*SQRT(M*'Valve Sizing'!$W$6*'Valve Sizing'!$G$8/AG3495)</f>
        <v>-221.87042294633972</v>
      </c>
      <c r="AH3497" s="111"/>
      <c r="AI3497" s="28"/>
      <c r="AJ3497" s="96">
        <f ca="1">(AJ3490/(N_9*AJ$27*AJ3492*AJ3496))*SQRT(M*'Valve Sizing'!$W$6*'Valve Sizing'!$G$8/AJ3495)</f>
        <v>-162.33440021765162</v>
      </c>
      <c r="AK3497" s="111"/>
      <c r="AL3497" s="28"/>
      <c r="AM3497" s="96">
        <f ca="1">(AM3490/(N_9*AM$27*AM3492*AM3496))*SQRT(M*'Valve Sizing'!$W$6*'Valve Sizing'!$G$8/AM3495)</f>
        <v>-168.91755963957942</v>
      </c>
      <c r="AN3497" s="111"/>
      <c r="AO3497" s="28"/>
      <c r="AP3497" s="96">
        <f ca="1">(AP3490/(N_9*AP$27*AP3492*AP3496))*SQRT(M*'Valve Sizing'!$W$6*'Valve Sizing'!$G$8/AP3495)</f>
        <v>-103.58320010012213</v>
      </c>
      <c r="AQ3497" s="111"/>
      <c r="AR3497" s="28"/>
      <c r="AS3497" s="96">
        <f ca="1">(AS3490/(N_9*AS$27*AS3492*AS3496))*SQRT(M*'Valve Sizing'!$W$6*'Valve Sizing'!$G$8/AS3495)</f>
        <v>-533.37390728659034</v>
      </c>
      <c r="AT3497" s="111"/>
      <c r="AU3497" s="28"/>
    </row>
    <row r="3498" spans="15:47" x14ac:dyDescent="0.25">
      <c r="O3498" s="2" t="s">
        <v>59</v>
      </c>
      <c r="P3498" s="143">
        <v>7</v>
      </c>
      <c r="Q3498" s="2"/>
      <c r="R3498" s="96">
        <f ca="1">(R3490/(N_9*R$27*R3492*0.667))*SQRT(M*'Valve Sizing'!$W$6*'Valve Sizing'!$G$8/R3499)</f>
        <v>15.389930888739515</v>
      </c>
      <c r="S3498" s="107"/>
      <c r="T3498" s="22"/>
      <c r="U3498" s="96">
        <f ca="1">(U3490/(N_9*U$27*U3492*0.667))*SQRT(M*'Valve Sizing'!$W$6*'Valve Sizing'!$G$8/U3499)</f>
        <v>51.402768348751884</v>
      </c>
      <c r="V3498" s="111"/>
      <c r="W3498" s="28"/>
      <c r="X3498" s="96">
        <f ca="1">(X3490/(N_9*X$27*X3492*0.667))*SQRT(M*'Valve Sizing'!$W$6*'Valve Sizing'!$G$8/X3499)</f>
        <v>157.69445630449016</v>
      </c>
      <c r="Y3498" s="111"/>
      <c r="Z3498" s="28"/>
      <c r="AA3498" s="96">
        <f ca="1">(AA3490/(N_9*AA$27*AA3492*0.667))*SQRT(M*'Valve Sizing'!$W$6*'Valve Sizing'!$G$8/AA3499)</f>
        <v>1713.2437085129136</v>
      </c>
      <c r="AB3498" s="111"/>
      <c r="AC3498" s="28"/>
      <c r="AD3498" s="96">
        <f ca="1">(AD3490/(N_9*AD$27*AD3492*0.667))*SQRT(M*'Valve Sizing'!$W$6*'Valve Sizing'!$G$8/AD3499)</f>
        <v>-292.41450781206015</v>
      </c>
      <c r="AE3498" s="111"/>
      <c r="AF3498" s="28"/>
      <c r="AG3498" s="96">
        <f ca="1">(AG3490/(N_9*AG$27*AG3492*0.667))*SQRT(M*'Valve Sizing'!$W$6*'Valve Sizing'!$G$8/AG3499)</f>
        <v>-153.52355082030908</v>
      </c>
      <c r="AH3498" s="111"/>
      <c r="AI3498" s="28"/>
      <c r="AJ3498" s="96">
        <f ca="1">(AJ3490/(N_9*AJ$27*AJ3492*0.667))*SQRT(M*'Valve Sizing'!$W$6*'Valve Sizing'!$G$8/AJ3499)</f>
        <v>-111.8333951236924</v>
      </c>
      <c r="AK3498" s="111"/>
      <c r="AL3498" s="28"/>
      <c r="AM3498" s="96">
        <f ca="1">(AM3490/(N_9*AM$27*AM3492*0.667))*SQRT(M*'Valve Sizing'!$W$6*'Valve Sizing'!$G$8/AM3499)</f>
        <v>-98.856179367050487</v>
      </c>
      <c r="AN3498" s="111"/>
      <c r="AO3498" s="28"/>
      <c r="AP3498" s="96">
        <f ca="1">(AP3490/(N_9*AP$27*AP3492*0.667))*SQRT(M*'Valve Sizing'!$W$6*'Valve Sizing'!$G$8/AP3499)</f>
        <v>-85.244092731266505</v>
      </c>
      <c r="AQ3498" s="111"/>
      <c r="AR3498" s="28"/>
      <c r="AS3498" s="96">
        <f ca="1">(AS3490/(N_9*AS$27*AS3492*0.667))*SQRT(M*'Valve Sizing'!$W$6*'Valve Sizing'!$G$8/AS3499)</f>
        <v>-120.03724348093401</v>
      </c>
      <c r="AT3498" s="111"/>
      <c r="AU3498" s="28"/>
    </row>
    <row r="3499" spans="15:47" ht="15.6" x14ac:dyDescent="0.35">
      <c r="O3499" s="2" t="s">
        <v>68</v>
      </c>
      <c r="P3499" s="143">
        <v>10</v>
      </c>
      <c r="Q3499" s="2"/>
      <c r="R3499" s="96">
        <f ca="1">F_GAMMA*R$29</f>
        <v>0.64002969751372984</v>
      </c>
      <c r="S3499" s="107"/>
      <c r="T3499" s="1"/>
      <c r="U3499" s="96">
        <f ca="1">F_GAMMA*U$29</f>
        <v>0.64017842058782071</v>
      </c>
      <c r="V3499" s="111"/>
      <c r="W3499" s="28"/>
      <c r="X3499" s="96">
        <f ca="1">F_GAMMA*X$29</f>
        <v>0.63413873724904268</v>
      </c>
      <c r="Y3499" s="111"/>
      <c r="Z3499" s="28"/>
      <c r="AA3499" s="96">
        <f ca="1">F_GAMMA*AA$29</f>
        <v>0.62532411750377137</v>
      </c>
      <c r="AB3499" s="111"/>
      <c r="AC3499" s="28"/>
      <c r="AD3499" s="96">
        <f ca="1">F_GAMMA*AD$29</f>
        <v>0.60651359509139569</v>
      </c>
      <c r="AE3499" s="111"/>
      <c r="AF3499" s="28"/>
      <c r="AG3499" s="96">
        <f ca="1">F_GAMMA*AG$29</f>
        <v>0.57217930198481592</v>
      </c>
      <c r="AH3499" s="111"/>
      <c r="AI3499" s="28"/>
      <c r="AJ3499" s="96">
        <f ca="1">F_GAMMA*AJ$29</f>
        <v>0.53183282018848232</v>
      </c>
      <c r="AK3499" s="111"/>
      <c r="AL3499" s="28"/>
      <c r="AM3499" s="96">
        <f ca="1">F_GAMMA*AM$29</f>
        <v>0.47566512503094399</v>
      </c>
      <c r="AN3499" s="111"/>
      <c r="AO3499" s="28"/>
      <c r="AP3499" s="96">
        <f ca="1">F_GAMMA*AP$29</f>
        <v>0.59054158265645496</v>
      </c>
      <c r="AQ3499" s="111"/>
      <c r="AR3499" s="28"/>
      <c r="AS3499" s="96">
        <f ca="1">F_GAMMA*AS$29</f>
        <v>0.3766899554102966</v>
      </c>
      <c r="AT3499" s="111"/>
      <c r="AU3499" s="28"/>
    </row>
    <row r="3500" spans="15:47" x14ac:dyDescent="0.25">
      <c r="O3500" s="2" t="s">
        <v>145</v>
      </c>
      <c r="P3500" s="12"/>
      <c r="Q3500" s="2"/>
      <c r="R3500" s="96">
        <f ca="1">IF(R3495&lt;R3499,R3497,R3498)</f>
        <v>17.228048231833426</v>
      </c>
      <c r="S3500" s="116"/>
      <c r="T3500" s="1"/>
      <c r="U3500" s="96">
        <f ca="1">IF(U3495&lt;U3499,U3497,U3498)</f>
        <v>58.837072311748393</v>
      </c>
      <c r="V3500" s="111"/>
      <c r="W3500" s="28"/>
      <c r="X3500" s="96">
        <f ca="1">IF(X3495&lt;X3499,X3497,X3498)</f>
        <v>241.77856293311766</v>
      </c>
      <c r="Y3500" s="111"/>
      <c r="Z3500" s="28"/>
      <c r="AA3500" s="96" t="e">
        <f ca="1">IF(AA3495&lt;AA3499,AA3497,AA3498)</f>
        <v>#NUM!</v>
      </c>
      <c r="AB3500" s="111"/>
      <c r="AC3500" s="28"/>
      <c r="AD3500" s="96">
        <f ca="1">IF(AD3495&lt;AD3499,AD3497,AD3498)</f>
        <v>-292.41450781206015</v>
      </c>
      <c r="AE3500" s="111"/>
      <c r="AF3500" s="28"/>
      <c r="AG3500" s="96">
        <f ca="1">IF(AG3495&lt;AG3499,AG3497,AG3498)</f>
        <v>-153.52355082030908</v>
      </c>
      <c r="AH3500" s="111"/>
      <c r="AI3500" s="28"/>
      <c r="AJ3500" s="96">
        <f ca="1">IF(AJ3495&lt;AJ3499,AJ3497,AJ3498)</f>
        <v>-111.8333951236924</v>
      </c>
      <c r="AK3500" s="111"/>
      <c r="AL3500" s="28"/>
      <c r="AM3500" s="96">
        <f ca="1">IF(AM3495&lt;AM3499,AM3497,AM3498)</f>
        <v>-98.856179367050487</v>
      </c>
      <c r="AN3500" s="111"/>
      <c r="AO3500" s="28"/>
      <c r="AP3500" s="96">
        <f ca="1">IF(AP3495&lt;AP3499,AP3497,AP3498)</f>
        <v>-85.244092731266505</v>
      </c>
      <c r="AQ3500" s="111"/>
      <c r="AR3500" s="28"/>
      <c r="AS3500" s="96">
        <f ca="1">IF(AS3495&lt;AS3499,AS3497,AS3498)</f>
        <v>-120.03724348093401</v>
      </c>
      <c r="AT3500" s="111"/>
      <c r="AU3500" s="28"/>
    </row>
    <row r="3501" spans="15:47" x14ac:dyDescent="0.25">
      <c r="O3501" s="13" t="s">
        <v>143</v>
      </c>
      <c r="P3501" s="1"/>
      <c r="Q3501" s="1"/>
      <c r="R3501" s="113"/>
      <c r="S3501" s="106">
        <f ca="1">IF(R3494&lt;=0,Q_max,ABS(R$23-R3500))</f>
        <v>12.498048231833426</v>
      </c>
      <c r="T3501" s="7">
        <f>R3490</f>
        <v>42415.939287017238</v>
      </c>
      <c r="U3501" s="98"/>
      <c r="V3501" s="106">
        <f ca="1">IF(U3494&lt;=0,Q_max,ABS(U$23-U3500))</f>
        <v>47.237072311748392</v>
      </c>
      <c r="W3501" s="9">
        <f ca="1">U3490</f>
        <v>136740.52674687753</v>
      </c>
      <c r="X3501" s="98"/>
      <c r="Y3501" s="106">
        <f ca="1">IF(X3494&lt;=0,Q_max,ABS(X$23-X3500))</f>
        <v>218.77856293311766</v>
      </c>
      <c r="Z3501" s="9">
        <f ca="1">X3490</f>
        <v>334827.321741049</v>
      </c>
      <c r="AA3501" s="98"/>
      <c r="AB3501" s="106">
        <f ca="1">IF(AA3494&lt;=0,Q_max,ABS(AA$23-AA3500))</f>
        <v>236393</v>
      </c>
      <c r="AC3501" s="9">
        <f ca="1">AA3490</f>
        <v>652158.15961342619</v>
      </c>
      <c r="AD3501" s="98"/>
      <c r="AE3501" s="106">
        <f ca="1">IF(AD3494&lt;=0,Q_max,ABS(AD$23-AD3500))</f>
        <v>236393</v>
      </c>
      <c r="AF3501" s="9">
        <f ca="1">AD3490</f>
        <v>1094118.5194251076</v>
      </c>
      <c r="AG3501" s="98"/>
      <c r="AH3501" s="106">
        <f ca="1">IF(AG3494&lt;=0,Q_max,ABS(AG$23-AG3500))</f>
        <v>236393</v>
      </c>
      <c r="AI3501" s="9">
        <f ca="1">AG3490</f>
        <v>1596895.7786680546</v>
      </c>
      <c r="AJ3501" s="98"/>
      <c r="AK3501" s="106">
        <f ca="1">IF(AJ3494&lt;=0,Q_max,ABS(AJ$23-AJ3500))</f>
        <v>236393</v>
      </c>
      <c r="AL3501" s="9">
        <f ca="1">AJ3490</f>
        <v>2131063.6071063699</v>
      </c>
      <c r="AM3501" s="98"/>
      <c r="AN3501" s="106">
        <f ca="1">IF(AM3494&lt;=0,Q_max,ABS(AM$23-AM3500))</f>
        <v>236393</v>
      </c>
      <c r="AO3501" s="9">
        <f ca="1">AM3490</f>
        <v>2600302.5878867796</v>
      </c>
      <c r="AP3501" s="98"/>
      <c r="AQ3501" s="106">
        <f ca="1">IF(AP3494&lt;=0,Q_max,ABS(AP$23-AP3500))</f>
        <v>236393</v>
      </c>
      <c r="AR3501" s="9">
        <f ca="1">AP3490</f>
        <v>3018870.5791048184</v>
      </c>
      <c r="AS3501" s="98"/>
      <c r="AT3501" s="106">
        <f ca="1">IF(AS3494&lt;=0,Q_max,ABS(AS$23-AS3500))</f>
        <v>236393</v>
      </c>
      <c r="AU3501" s="9">
        <f ca="1">AS3490</f>
        <v>3539863.1728467499</v>
      </c>
    </row>
    <row r="3502" spans="15:47" x14ac:dyDescent="0.25">
      <c r="O3502" s="21"/>
      <c r="P3502" s="14"/>
      <c r="Q3502" s="21"/>
      <c r="R3502" s="97"/>
      <c r="S3502" s="106"/>
      <c r="T3502" s="28"/>
      <c r="U3502" s="97"/>
      <c r="V3502" s="111"/>
      <c r="W3502" s="28"/>
      <c r="X3502" s="97"/>
      <c r="Y3502" s="111"/>
      <c r="Z3502" s="28"/>
      <c r="AA3502" s="97"/>
      <c r="AB3502" s="111"/>
      <c r="AC3502" s="28"/>
      <c r="AD3502" s="97"/>
      <c r="AE3502" s="111"/>
      <c r="AF3502" s="28"/>
      <c r="AG3502" s="97"/>
      <c r="AH3502" s="111"/>
      <c r="AI3502" s="28"/>
      <c r="AJ3502" s="97"/>
      <c r="AK3502" s="111"/>
      <c r="AL3502" s="28"/>
      <c r="AM3502" s="97"/>
      <c r="AN3502" s="111"/>
      <c r="AO3502" s="28"/>
      <c r="AP3502" s="97"/>
      <c r="AQ3502" s="111"/>
      <c r="AR3502" s="28"/>
      <c r="AS3502" s="97"/>
      <c r="AT3502" s="111"/>
      <c r="AU3502" s="28"/>
    </row>
    <row r="3503" spans="15:47" x14ac:dyDescent="0.25">
      <c r="O3503" s="1"/>
      <c r="P3503" s="1"/>
      <c r="Q3503" s="1"/>
      <c r="R3503" s="98"/>
      <c r="S3503" s="108" t="s">
        <v>137</v>
      </c>
      <c r="T3503" s="26" t="s">
        <v>146</v>
      </c>
      <c r="U3503" s="98"/>
      <c r="V3503" s="108" t="s">
        <v>137</v>
      </c>
      <c r="W3503" s="26" t="s">
        <v>146</v>
      </c>
      <c r="X3503" s="98"/>
      <c r="Y3503" s="108" t="s">
        <v>137</v>
      </c>
      <c r="Z3503" s="26" t="s">
        <v>146</v>
      </c>
      <c r="AA3503" s="98"/>
      <c r="AB3503" s="108" t="s">
        <v>137</v>
      </c>
      <c r="AC3503" s="26" t="s">
        <v>146</v>
      </c>
      <c r="AD3503" s="98"/>
      <c r="AE3503" s="108" t="s">
        <v>137</v>
      </c>
      <c r="AF3503" s="26" t="s">
        <v>146</v>
      </c>
      <c r="AG3503" s="98"/>
      <c r="AH3503" s="108" t="s">
        <v>137</v>
      </c>
      <c r="AI3503" s="26" t="s">
        <v>146</v>
      </c>
      <c r="AJ3503" s="98"/>
      <c r="AK3503" s="108" t="s">
        <v>137</v>
      </c>
      <c r="AL3503" s="26" t="s">
        <v>146</v>
      </c>
      <c r="AM3503" s="98"/>
      <c r="AN3503" s="108" t="s">
        <v>137</v>
      </c>
      <c r="AO3503" s="26" t="s">
        <v>146</v>
      </c>
      <c r="AP3503" s="98"/>
      <c r="AQ3503" s="108" t="s">
        <v>137</v>
      </c>
      <c r="AR3503" s="26" t="s">
        <v>146</v>
      </c>
      <c r="AS3503" s="98"/>
      <c r="AT3503" s="108" t="s">
        <v>137</v>
      </c>
      <c r="AU3503" s="26" t="s">
        <v>146</v>
      </c>
    </row>
    <row r="3504" spans="15:47" ht="13.8" x14ac:dyDescent="0.25">
      <c r="O3504" s="20" t="s">
        <v>136</v>
      </c>
      <c r="P3504" s="1"/>
      <c r="Q3504" s="1"/>
      <c r="R3504" s="96">
        <f>R3490*1.02</f>
        <v>43264.258072757584</v>
      </c>
      <c r="S3504" s="109" t="s">
        <v>144</v>
      </c>
      <c r="T3504" s="23" t="s">
        <v>147</v>
      </c>
      <c r="U3504" s="96">
        <f ca="1">U3490*1.01</f>
        <v>138107.9320143463</v>
      </c>
      <c r="V3504" s="109" t="s">
        <v>144</v>
      </c>
      <c r="W3504" s="23" t="s">
        <v>147</v>
      </c>
      <c r="X3504" s="96">
        <f ca="1">X3490*1.01</f>
        <v>338175.59495845949</v>
      </c>
      <c r="Y3504" s="109" t="s">
        <v>144</v>
      </c>
      <c r="Z3504" s="23" t="s">
        <v>147</v>
      </c>
      <c r="AA3504" s="96">
        <f ca="1">AA3490*1.01</f>
        <v>658679.74120956042</v>
      </c>
      <c r="AB3504" s="109" t="s">
        <v>144</v>
      </c>
      <c r="AC3504" s="23" t="s">
        <v>147</v>
      </c>
      <c r="AD3504" s="96">
        <f ca="1">AD3490*1.01</f>
        <v>1105059.7046193588</v>
      </c>
      <c r="AE3504" s="109" t="s">
        <v>144</v>
      </c>
      <c r="AF3504" s="23" t="s">
        <v>147</v>
      </c>
      <c r="AG3504" s="96">
        <f ca="1">AG3490*1.01</f>
        <v>1612864.7364547353</v>
      </c>
      <c r="AH3504" s="109" t="s">
        <v>144</v>
      </c>
      <c r="AI3504" s="23" t="s">
        <v>147</v>
      </c>
      <c r="AJ3504" s="96">
        <f ca="1">AJ3490*1.01</f>
        <v>2152374.2431774335</v>
      </c>
      <c r="AK3504" s="109" t="s">
        <v>144</v>
      </c>
      <c r="AL3504" s="23" t="s">
        <v>147</v>
      </c>
      <c r="AM3504" s="96">
        <f ca="1">AM3490*1.01</f>
        <v>2626305.6137656472</v>
      </c>
      <c r="AN3504" s="109" t="s">
        <v>144</v>
      </c>
      <c r="AO3504" s="23" t="s">
        <v>147</v>
      </c>
      <c r="AP3504" s="96">
        <f ca="1">AP3490*1.01</f>
        <v>3049059.2848958666</v>
      </c>
      <c r="AQ3504" s="109" t="s">
        <v>144</v>
      </c>
      <c r="AR3504" s="23" t="s">
        <v>147</v>
      </c>
      <c r="AS3504" s="96">
        <f ca="1">AS3490*1.01</f>
        <v>3575261.8045752174</v>
      </c>
      <c r="AT3504" s="109" t="s">
        <v>144</v>
      </c>
      <c r="AU3504" s="23" t="s">
        <v>147</v>
      </c>
    </row>
    <row r="3505" spans="15:47" x14ac:dyDescent="0.25">
      <c r="O3505" s="1"/>
      <c r="P3505" s="1"/>
      <c r="Q3505" s="1"/>
      <c r="R3505" s="98"/>
      <c r="S3505" s="107"/>
      <c r="T3505" s="1"/>
      <c r="U3505" s="47"/>
      <c r="V3505" s="107"/>
      <c r="W3505" s="1"/>
      <c r="X3505" s="47"/>
      <c r="Y3505" s="107"/>
      <c r="Z3505" s="1"/>
      <c r="AA3505" s="47"/>
      <c r="AB3505" s="107"/>
      <c r="AC3505" s="1"/>
      <c r="AD3505" s="47"/>
      <c r="AE3505" s="107"/>
      <c r="AF3505" s="1"/>
      <c r="AG3505" s="47"/>
      <c r="AH3505" s="107"/>
      <c r="AI3505" s="1"/>
      <c r="AJ3505" s="47"/>
      <c r="AK3505" s="107"/>
      <c r="AL3505" s="1"/>
      <c r="AM3505" s="47"/>
      <c r="AN3505" s="107"/>
      <c r="AO3505" s="1"/>
      <c r="AP3505" s="47"/>
      <c r="AQ3505" s="107"/>
      <c r="AR3505" s="1"/>
      <c r="AS3505" s="47"/>
      <c r="AT3505" s="107"/>
      <c r="AU3505" s="1"/>
    </row>
    <row r="3506" spans="15:47" x14ac:dyDescent="0.25">
      <c r="O3506" s="8" t="s">
        <v>132</v>
      </c>
      <c r="P3506" s="8"/>
      <c r="Q3506" s="8"/>
      <c r="R3506" s="96">
        <f>P_1_minQ-(R3504^2*R_up)+dpup_minQ</f>
        <v>89.843885280867369</v>
      </c>
      <c r="S3506" s="106"/>
      <c r="T3506" s="22"/>
      <c r="U3506" s="96">
        <f ca="1">P_1_minQ-(U3504^2*R_up)+dpup_minQ</f>
        <v>86.708632200836377</v>
      </c>
      <c r="V3506" s="107"/>
      <c r="W3506" s="1"/>
      <c r="X3506" s="96">
        <f ca="1">P_1_minQ-(X3504^2*R_up)+dpup_minQ</f>
        <v>69.341184601579442</v>
      </c>
      <c r="Y3506" s="107"/>
      <c r="Z3506" s="1"/>
      <c r="AA3506" s="96">
        <f ca="1">P_1_minQ-(AA3504^2*R_up)+dpup_minQ</f>
        <v>11.109503587735047</v>
      </c>
      <c r="AB3506" s="107"/>
      <c r="AC3506" s="1"/>
      <c r="AD3506" s="96">
        <f ca="1">P_1_minQ-(AD3504^2*R_up)+dpup_minQ</f>
        <v>-132.38413803725354</v>
      </c>
      <c r="AE3506" s="107"/>
      <c r="AF3506" s="1"/>
      <c r="AG3506" s="96">
        <f ca="1">P_1_minQ-(AG3504^2*R_up)+dpup_minQ</f>
        <v>-383.93622007205897</v>
      </c>
      <c r="AH3506" s="107"/>
      <c r="AI3506" s="1"/>
      <c r="AJ3506" s="96">
        <f ca="1">P_1_minQ-(AJ3504^2*R_up)+dpup_minQ</f>
        <v>-754.1777953243369</v>
      </c>
      <c r="AK3506" s="107"/>
      <c r="AL3506" s="1"/>
      <c r="AM3506" s="96">
        <f ca="1">P_1_minQ-(AM3504^2*R_up)+dpup_minQ</f>
        <v>-1166.9561637633508</v>
      </c>
      <c r="AN3506" s="107"/>
      <c r="AO3506" s="1"/>
      <c r="AP3506" s="96">
        <f ca="1">P_1_minQ-(AP3504^2*R_up)+dpup_minQ</f>
        <v>-1604.2513680971847</v>
      </c>
      <c r="AQ3506" s="107"/>
      <c r="AR3506" s="1"/>
      <c r="AS3506" s="96">
        <f ca="1">P_1_minQ-(AS3504^2*R_up)+dpup_minQ</f>
        <v>-2239.5645048757533</v>
      </c>
      <c r="AT3506" s="107"/>
      <c r="AU3506" s="1"/>
    </row>
    <row r="3507" spans="15:47" x14ac:dyDescent="0.25">
      <c r="O3507" s="8" t="s">
        <v>134</v>
      </c>
      <c r="P3507" s="1"/>
      <c r="Q3507" s="8"/>
      <c r="R3507" s="97">
        <f>P_2_minQ+(R3504^2*R_dn)-dpdn_minQ</f>
        <v>60</v>
      </c>
      <c r="S3507" s="106"/>
      <c r="T3507" s="22"/>
      <c r="U3507" s="97">
        <f ca="1">P_2_minQ+(U3504^2*R_dn)-dpdn_minQ</f>
        <v>60</v>
      </c>
      <c r="V3507" s="107"/>
      <c r="W3507" s="1"/>
      <c r="X3507" s="97">
        <f ca="1">P_2_minQ+(X3504^2*R_dn)-dpdn_minQ</f>
        <v>60</v>
      </c>
      <c r="Y3507" s="107"/>
      <c r="Z3507" s="1"/>
      <c r="AA3507" s="97">
        <f ca="1">P_2_minQ+(AA3504^2*R_dn)-dpdn_minQ</f>
        <v>60</v>
      </c>
      <c r="AB3507" s="107"/>
      <c r="AC3507" s="1"/>
      <c r="AD3507" s="97">
        <f ca="1">P_2_minQ+(AD3504^2*R_dn)-dpdn_minQ</f>
        <v>60</v>
      </c>
      <c r="AE3507" s="107"/>
      <c r="AF3507" s="1"/>
      <c r="AG3507" s="97">
        <f ca="1">P_2_minQ+(AG3504^2*R_dn)-dpdn_minQ</f>
        <v>60</v>
      </c>
      <c r="AH3507" s="107"/>
      <c r="AI3507" s="1"/>
      <c r="AJ3507" s="97">
        <f ca="1">P_2_minQ+(AJ3504^2*R_dn)-dpdn_minQ</f>
        <v>60</v>
      </c>
      <c r="AK3507" s="107"/>
      <c r="AL3507" s="1"/>
      <c r="AM3507" s="97">
        <f ca="1">P_2_minQ+(AM3504^2*R_dn)-dpdn_minQ</f>
        <v>60</v>
      </c>
      <c r="AN3507" s="107"/>
      <c r="AO3507" s="1"/>
      <c r="AP3507" s="97">
        <f ca="1">P_2_minQ+(AP3504^2*R_dn)-dpdn_minQ</f>
        <v>60</v>
      </c>
      <c r="AQ3507" s="107"/>
      <c r="AR3507" s="1"/>
      <c r="AS3507" s="97">
        <f ca="1">P_2_minQ+(AS3504^2*R_dn)-dpdn_minQ</f>
        <v>60</v>
      </c>
      <c r="AT3507" s="107"/>
      <c r="AU3507" s="1"/>
    </row>
    <row r="3508" spans="15:47" x14ac:dyDescent="0.25">
      <c r="O3508" s="8" t="s">
        <v>138</v>
      </c>
      <c r="P3508" s="1"/>
      <c r="Q3508" s="8"/>
      <c r="R3508" s="97">
        <f>R3506-R3507</f>
        <v>29.843885280867369</v>
      </c>
      <c r="S3508" s="106"/>
      <c r="T3508" s="22"/>
      <c r="U3508" s="97">
        <f ca="1">U3506-U3507</f>
        <v>26.708632200836377</v>
      </c>
      <c r="V3508" s="110"/>
      <c r="W3508" s="25"/>
      <c r="X3508" s="97">
        <f ca="1">X3506-X3507</f>
        <v>9.3411846015794424</v>
      </c>
      <c r="Y3508" s="110"/>
      <c r="Z3508" s="25"/>
      <c r="AA3508" s="97">
        <f ca="1">AA3506-AA3507</f>
        <v>-48.890496412264952</v>
      </c>
      <c r="AB3508" s="110"/>
      <c r="AC3508" s="25"/>
      <c r="AD3508" s="97">
        <f ca="1">AD3506-AD3507</f>
        <v>-192.38413803725354</v>
      </c>
      <c r="AE3508" s="110"/>
      <c r="AF3508" s="25"/>
      <c r="AG3508" s="97">
        <f ca="1">AG3506-AG3507</f>
        <v>-443.93622007205897</v>
      </c>
      <c r="AH3508" s="110"/>
      <c r="AI3508" s="25"/>
      <c r="AJ3508" s="97">
        <f ca="1">AJ3506-AJ3507</f>
        <v>-814.1777953243369</v>
      </c>
      <c r="AK3508" s="110"/>
      <c r="AL3508" s="25"/>
      <c r="AM3508" s="97">
        <f ca="1">AM3506-AM3507</f>
        <v>-1226.9561637633508</v>
      </c>
      <c r="AN3508" s="110"/>
      <c r="AO3508" s="25"/>
      <c r="AP3508" s="97">
        <f ca="1">AP3506-AP3507</f>
        <v>-1664.2513680971847</v>
      </c>
      <c r="AQ3508" s="110"/>
      <c r="AR3508" s="25"/>
      <c r="AS3508" s="97">
        <f ca="1">AS3506-AS3507</f>
        <v>-2299.5645048757533</v>
      </c>
      <c r="AT3508" s="110"/>
      <c r="AU3508" s="25"/>
    </row>
    <row r="3509" spans="15:47" ht="14.4" x14ac:dyDescent="0.3">
      <c r="O3509" s="2" t="s">
        <v>140</v>
      </c>
      <c r="P3509" s="11"/>
      <c r="Q3509" s="2"/>
      <c r="R3509" s="96">
        <f>R3508/R3506</f>
        <v>0.33217491861099141</v>
      </c>
      <c r="S3509" s="106"/>
      <c r="T3509" s="22"/>
      <c r="U3509" s="96">
        <f ca="1">U3508/U3506</f>
        <v>0.3080273730875292</v>
      </c>
      <c r="V3509" s="111"/>
      <c r="W3509" s="28"/>
      <c r="X3509" s="96">
        <f ca="1">X3508/X3506</f>
        <v>0.13471336919396487</v>
      </c>
      <c r="Y3509" s="111"/>
      <c r="Z3509" s="28"/>
      <c r="AA3509" s="96">
        <f ca="1">AA3508/AA3506</f>
        <v>-4.4007813694070297</v>
      </c>
      <c r="AB3509" s="111"/>
      <c r="AC3509" s="28"/>
      <c r="AD3509" s="96">
        <f ca="1">AD3508/AD3506</f>
        <v>1.4532265034887768</v>
      </c>
      <c r="AE3509" s="111"/>
      <c r="AF3509" s="28"/>
      <c r="AG3509" s="96">
        <f ca="1">AG3508/AG3506</f>
        <v>1.1562759564303127</v>
      </c>
      <c r="AH3509" s="111"/>
      <c r="AI3509" s="28"/>
      <c r="AJ3509" s="96">
        <f ca="1">AJ3508/AJ3506</f>
        <v>1.079556837090645</v>
      </c>
      <c r="AK3509" s="111"/>
      <c r="AL3509" s="28"/>
      <c r="AM3509" s="96">
        <f ca="1">AM3508/AM3506</f>
        <v>1.0514158130897602</v>
      </c>
      <c r="AN3509" s="111"/>
      <c r="AO3509" s="28"/>
      <c r="AP3509" s="96">
        <f ca="1">AP3508/AP3506</f>
        <v>1.0374006226163712</v>
      </c>
      <c r="AQ3509" s="111"/>
      <c r="AR3509" s="28"/>
      <c r="AS3509" s="96">
        <f ca="1">AS3508/AS3506</f>
        <v>1.026790922909063</v>
      </c>
      <c r="AT3509" s="111"/>
      <c r="AU3509" s="28"/>
    </row>
    <row r="3510" spans="15:47" x14ac:dyDescent="0.25">
      <c r="O3510" s="2" t="s">
        <v>21</v>
      </c>
      <c r="P3510" s="8">
        <v>12</v>
      </c>
      <c r="Q3510" s="2"/>
      <c r="R3510" s="96">
        <f ca="1">1-R3509/(3*F_GAMMA*R$29)</f>
        <v>0.82700025748734074</v>
      </c>
      <c r="S3510" s="106"/>
      <c r="T3510" s="22"/>
      <c r="U3510" s="96">
        <f ca="1">1-U3509/(3*F_GAMMA*U$29)</f>
        <v>0.8396137893325144</v>
      </c>
      <c r="V3510" s="111"/>
      <c r="W3510" s="28"/>
      <c r="X3510" s="96">
        <f ca="1">1-X3509/(3*F_GAMMA*X$29)</f>
        <v>0.92918827732746889</v>
      </c>
      <c r="Y3510" s="111"/>
      <c r="Z3510" s="28"/>
      <c r="AA3510" s="96">
        <f ca="1">1-AA3509/(3*F_GAMMA*AA$29)</f>
        <v>3.3458668586004592</v>
      </c>
      <c r="AB3510" s="111"/>
      <c r="AC3510" s="28"/>
      <c r="AD3510" s="96">
        <f ca="1">1-AD3509/(3*F_GAMMA*AD$29)</f>
        <v>0.20132238021265914</v>
      </c>
      <c r="AE3510" s="111"/>
      <c r="AF3510" s="28"/>
      <c r="AG3510" s="96">
        <f ca="1">1-AG3509/(3*F_GAMMA*AG$29)</f>
        <v>0.32639066552545026</v>
      </c>
      <c r="AH3510" s="111"/>
      <c r="AI3510" s="28"/>
      <c r="AJ3510" s="96">
        <f ca="1">1-AJ3509/(3*F_GAMMA*AJ$29)</f>
        <v>0.32337331324779317</v>
      </c>
      <c r="AK3510" s="111"/>
      <c r="AL3510" s="28"/>
      <c r="AM3510" s="96">
        <f ca="1">1-AM3509/(3*F_GAMMA*AM$29)</f>
        <v>0.26319606114955962</v>
      </c>
      <c r="AN3510" s="111"/>
      <c r="AO3510" s="28"/>
      <c r="AP3510" s="96">
        <f ca="1">1-AP3509/(3*F_GAMMA*AP$29)</f>
        <v>0.41443546450486246</v>
      </c>
      <c r="AQ3510" s="111"/>
      <c r="AR3510" s="28"/>
      <c r="AS3510" s="96">
        <f ca="1">1-AS3509/(3*F_GAMMA*AS$29)</f>
        <v>9.1391644364690494E-2</v>
      </c>
      <c r="AT3510" s="111"/>
      <c r="AU3510" s="28"/>
    </row>
    <row r="3511" spans="15:47" x14ac:dyDescent="0.25">
      <c r="O3511" s="2" t="s">
        <v>57</v>
      </c>
      <c r="P3511" s="143">
        <v>7</v>
      </c>
      <c r="Q3511" s="2"/>
      <c r="R3511" s="96">
        <f ca="1">(R3504/(N_9*R$27*R3506*R3510))*SQRT(M*'Valve Sizing'!$W$6*'Valve Sizing'!$G$8/R3509)</f>
        <v>17.576714831898432</v>
      </c>
      <c r="S3511" s="107"/>
      <c r="T3511" s="22"/>
      <c r="U3511" s="96">
        <f ca="1">(U3504/(N_9*U$27*U3506*U3510))*SQRT(M*'Valve Sizing'!$W$6*'Valve Sizing'!$G$8/U3509)</f>
        <v>59.504932430640245</v>
      </c>
      <c r="V3511" s="111"/>
      <c r="W3511" s="28"/>
      <c r="X3511" s="96">
        <f ca="1">(X3504/(N_9*X$27*X3506*X3510))*SQRT(M*'Valve Sizing'!$W$6*'Valve Sizing'!$G$8/X3509)</f>
        <v>249.52348830140551</v>
      </c>
      <c r="Y3511" s="111"/>
      <c r="Z3511" s="28"/>
      <c r="AA3511" s="96" t="e">
        <f ca="1">(AA3504/(N_9*AA$27*AA3506*AA3510))*SQRT(M*'Valve Sizing'!$W$6*'Valve Sizing'!$G$8/AA3509)</f>
        <v>#NUM!</v>
      </c>
      <c r="AB3511" s="111"/>
      <c r="AC3511" s="28"/>
      <c r="AD3511" s="96">
        <f ca="1">(AD3504/(N_9*AD$27*AD3506*AD3510))*SQRT(M*'Valve Sizing'!$W$6*'Valve Sizing'!$G$8/AD3509)</f>
        <v>-611.19121839365425</v>
      </c>
      <c r="AE3511" s="111"/>
      <c r="AF3511" s="28"/>
      <c r="AG3511" s="96">
        <f ca="1">(AG3504/(N_9*AG$27*AG3506*AG3510))*SQRT(M*'Valve Sizing'!$W$6*'Valve Sizing'!$G$8/AG3509)</f>
        <v>-217.48120172213601</v>
      </c>
      <c r="AH3511" s="111"/>
      <c r="AI3511" s="28"/>
      <c r="AJ3511" s="96">
        <f ca="1">(AJ3504/(N_9*AJ$27*AJ3506*AJ3510))*SQRT(M*'Valve Sizing'!$W$6*'Valve Sizing'!$G$8/AJ3509)</f>
        <v>-159.91584268088289</v>
      </c>
      <c r="AK3511" s="111"/>
      <c r="AL3511" s="28"/>
      <c r="AM3511" s="96">
        <f ca="1">(AM3504/(N_9*AM$27*AM3506*AM3510))*SQRT(M*'Valve Sizing'!$W$6*'Valve Sizing'!$G$8/AM3509)</f>
        <v>-166.57781194219942</v>
      </c>
      <c r="AN3511" s="111"/>
      <c r="AO3511" s="28"/>
      <c r="AP3511" s="96">
        <f ca="1">(AP3504/(N_9*AP$27*AP3506*AP3510))*SQRT(M*'Valve Sizing'!$W$6*'Valve Sizing'!$G$8/AP3509)</f>
        <v>-102.37002824874637</v>
      </c>
      <c r="AQ3511" s="111"/>
      <c r="AR3511" s="28"/>
      <c r="AS3511" s="96">
        <f ca="1">(AS3504/(N_9*AS$27*AS3506*AS3510))*SQRT(M*'Valve Sizing'!$W$6*'Valve Sizing'!$G$8/AS3509)</f>
        <v>-524.94442597921397</v>
      </c>
      <c r="AT3511" s="111"/>
      <c r="AU3511" s="28"/>
    </row>
    <row r="3512" spans="15:47" x14ac:dyDescent="0.25">
      <c r="O3512" s="2" t="s">
        <v>59</v>
      </c>
      <c r="P3512" s="143">
        <v>7</v>
      </c>
      <c r="Q3512" s="2"/>
      <c r="R3512" s="96">
        <f ca="1">(R3504/(N_9*R$27*R3506*0.667))*SQRT(M*'Valve Sizing'!$W$6*'Valve Sizing'!$G$8/R3513)</f>
        <v>15.700044135548241</v>
      </c>
      <c r="S3512" s="107"/>
      <c r="T3512" s="22"/>
      <c r="U3512" s="96">
        <f ca="1">(U3504/(N_9*U$27*U3506*0.667))*SQRT(M*'Valve Sizing'!$W$6*'Valve Sizing'!$G$8/U3513)</f>
        <v>51.957809797272041</v>
      </c>
      <c r="V3512" s="111"/>
      <c r="W3512" s="28"/>
      <c r="X3512" s="96">
        <f ca="1">(X3504/(N_9*X$27*X3506*0.667))*SQRT(M*'Valve Sizing'!$W$6*'Valve Sizing'!$G$8/X3513)</f>
        <v>160.21476186286063</v>
      </c>
      <c r="Y3512" s="111"/>
      <c r="Z3512" s="28"/>
      <c r="AA3512" s="96">
        <f ca="1">(AA3504/(N_9*AA$27*AA3506*0.667))*SQRT(M*'Valve Sizing'!$W$6*'Valve Sizing'!$G$8/AA3513)</f>
        <v>1973.0602466198111</v>
      </c>
      <c r="AB3512" s="111"/>
      <c r="AC3512" s="28"/>
      <c r="AD3512" s="96">
        <f ca="1">(AD3504/(N_9*AD$27*AD3506*0.667))*SQRT(M*'Valve Sizing'!$W$6*'Valve Sizing'!$G$8/AD3513)</f>
        <v>-285.55496318462008</v>
      </c>
      <c r="AE3512" s="111"/>
      <c r="AF3512" s="28"/>
      <c r="AG3512" s="96">
        <f ca="1">(AG3504/(N_9*AG$27*AG3506*0.667))*SQRT(M*'Valve Sizing'!$W$6*'Valve Sizing'!$G$8/AG3513)</f>
        <v>-151.28584513837581</v>
      </c>
      <c r="AH3512" s="111"/>
      <c r="AI3512" s="28"/>
      <c r="AJ3512" s="96">
        <f ca="1">(AJ3504/(N_9*AJ$27*AJ3506*0.667))*SQRT(M*'Valve Sizing'!$W$6*'Valve Sizing'!$G$8/AJ3513)</f>
        <v>-110.45999574438628</v>
      </c>
      <c r="AK3512" s="111"/>
      <c r="AL3512" s="28"/>
      <c r="AM3512" s="96">
        <f ca="1">(AM3504/(N_9*AM$27*AM3506*0.667))*SQRT(M*'Valve Sizing'!$W$6*'Valve Sizing'!$G$8/AM3513)</f>
        <v>-97.725365101441895</v>
      </c>
      <c r="AN3512" s="111"/>
      <c r="AO3512" s="28"/>
      <c r="AP3512" s="96">
        <f ca="1">(AP3504/(N_9*AP$27*AP3506*0.667))*SQRT(M*'Valve Sizing'!$W$6*'Valve Sizing'!$G$8/AP3513)</f>
        <v>-84.304724167122131</v>
      </c>
      <c r="AQ3512" s="111"/>
      <c r="AR3512" s="28"/>
      <c r="AS3512" s="96">
        <f ca="1">(AS3504/(N_9*AS$27*AS3506*0.667))*SQRT(M*'Valve Sizing'!$W$6*'Valve Sizing'!$G$8/AS3513)</f>
        <v>-118.75255889996852</v>
      </c>
      <c r="AT3512" s="111"/>
      <c r="AU3512" s="28"/>
    </row>
    <row r="3513" spans="15:47" ht="15.6" x14ac:dyDescent="0.35">
      <c r="O3513" s="2" t="s">
        <v>68</v>
      </c>
      <c r="P3513" s="143">
        <v>10</v>
      </c>
      <c r="Q3513" s="2"/>
      <c r="R3513" s="96">
        <f ca="1">F_GAMMA*R$29</f>
        <v>0.64002969751372984</v>
      </c>
      <c r="S3513" s="107"/>
      <c r="T3513" s="1"/>
      <c r="U3513" s="96">
        <f ca="1">F_GAMMA*U$29</f>
        <v>0.64017842058782071</v>
      </c>
      <c r="V3513" s="111"/>
      <c r="W3513" s="28"/>
      <c r="X3513" s="96">
        <f ca="1">F_GAMMA*X$29</f>
        <v>0.63413873724904268</v>
      </c>
      <c r="Y3513" s="111"/>
      <c r="Z3513" s="28"/>
      <c r="AA3513" s="96">
        <f ca="1">F_GAMMA*AA$29</f>
        <v>0.62532411750377137</v>
      </c>
      <c r="AB3513" s="111"/>
      <c r="AC3513" s="28"/>
      <c r="AD3513" s="96">
        <f ca="1">F_GAMMA*AD$29</f>
        <v>0.60651359509139569</v>
      </c>
      <c r="AE3513" s="111"/>
      <c r="AF3513" s="28"/>
      <c r="AG3513" s="96">
        <f ca="1">F_GAMMA*AG$29</f>
        <v>0.57217930198481592</v>
      </c>
      <c r="AH3513" s="111"/>
      <c r="AI3513" s="28"/>
      <c r="AJ3513" s="96">
        <f ca="1">F_GAMMA*AJ$29</f>
        <v>0.53183282018848232</v>
      </c>
      <c r="AK3513" s="111"/>
      <c r="AL3513" s="28"/>
      <c r="AM3513" s="96">
        <f ca="1">F_GAMMA*AM$29</f>
        <v>0.47566512503094399</v>
      </c>
      <c r="AN3513" s="111"/>
      <c r="AO3513" s="28"/>
      <c r="AP3513" s="96">
        <f ca="1">F_GAMMA*AP$29</f>
        <v>0.59054158265645496</v>
      </c>
      <c r="AQ3513" s="111"/>
      <c r="AR3513" s="28"/>
      <c r="AS3513" s="96">
        <f ca="1">F_GAMMA*AS$29</f>
        <v>0.3766899554102966</v>
      </c>
      <c r="AT3513" s="111"/>
      <c r="AU3513" s="28"/>
    </row>
    <row r="3514" spans="15:47" x14ac:dyDescent="0.25">
      <c r="O3514" s="2" t="s">
        <v>145</v>
      </c>
      <c r="P3514" s="12"/>
      <c r="Q3514" s="2"/>
      <c r="R3514" s="96">
        <f ca="1">IF(R3509&lt;R3513,R3511,R3512)</f>
        <v>17.576714831898432</v>
      </c>
      <c r="S3514" s="116"/>
      <c r="T3514" s="1"/>
      <c r="U3514" s="96">
        <f ca="1">IF(U3509&lt;U3513,U3511,U3512)</f>
        <v>59.504932430640245</v>
      </c>
      <c r="V3514" s="111"/>
      <c r="W3514" s="28"/>
      <c r="X3514" s="96">
        <f ca="1">IF(X3509&lt;X3513,X3511,X3512)</f>
        <v>249.52348830140551</v>
      </c>
      <c r="Y3514" s="111"/>
      <c r="Z3514" s="28"/>
      <c r="AA3514" s="96" t="e">
        <f ca="1">IF(AA3509&lt;AA3513,AA3511,AA3512)</f>
        <v>#NUM!</v>
      </c>
      <c r="AB3514" s="111"/>
      <c r="AC3514" s="28"/>
      <c r="AD3514" s="96">
        <f ca="1">IF(AD3509&lt;AD3513,AD3511,AD3512)</f>
        <v>-285.55496318462008</v>
      </c>
      <c r="AE3514" s="111"/>
      <c r="AF3514" s="28"/>
      <c r="AG3514" s="96">
        <f ca="1">IF(AG3509&lt;AG3513,AG3511,AG3512)</f>
        <v>-151.28584513837581</v>
      </c>
      <c r="AH3514" s="111"/>
      <c r="AI3514" s="28"/>
      <c r="AJ3514" s="96">
        <f ca="1">IF(AJ3509&lt;AJ3513,AJ3511,AJ3512)</f>
        <v>-110.45999574438628</v>
      </c>
      <c r="AK3514" s="111"/>
      <c r="AL3514" s="28"/>
      <c r="AM3514" s="96">
        <f ca="1">IF(AM3509&lt;AM3513,AM3511,AM3512)</f>
        <v>-97.725365101441895</v>
      </c>
      <c r="AN3514" s="111"/>
      <c r="AO3514" s="28"/>
      <c r="AP3514" s="96">
        <f ca="1">IF(AP3509&lt;AP3513,AP3511,AP3512)</f>
        <v>-84.304724167122131</v>
      </c>
      <c r="AQ3514" s="111"/>
      <c r="AR3514" s="28"/>
      <c r="AS3514" s="96">
        <f ca="1">IF(AS3509&lt;AS3513,AS3511,AS3512)</f>
        <v>-118.75255889996852</v>
      </c>
      <c r="AT3514" s="111"/>
      <c r="AU3514" s="28"/>
    </row>
    <row r="3515" spans="15:47" x14ac:dyDescent="0.25">
      <c r="O3515" s="13" t="s">
        <v>143</v>
      </c>
      <c r="P3515" s="1"/>
      <c r="Q3515" s="1"/>
      <c r="R3515" s="113"/>
      <c r="S3515" s="106">
        <f ca="1">IF(R3508&lt;=0,Q_max,ABS(R$23-R3514))</f>
        <v>12.846714831898431</v>
      </c>
      <c r="T3515" s="7">
        <f>R3504</f>
        <v>43264.258072757584</v>
      </c>
      <c r="U3515" s="98"/>
      <c r="V3515" s="106">
        <f ca="1">IF(U3508&lt;=0,Q_max,ABS(U$23-U3514))</f>
        <v>47.904932430640244</v>
      </c>
      <c r="W3515" s="9">
        <f ca="1">U3504</f>
        <v>138107.9320143463</v>
      </c>
      <c r="X3515" s="98"/>
      <c r="Y3515" s="106">
        <f ca="1">IF(X3508&lt;=0,Q_max,ABS(X$23-X3514))</f>
        <v>226.52348830140551</v>
      </c>
      <c r="Z3515" s="9">
        <f ca="1">X3504</f>
        <v>338175.59495845949</v>
      </c>
      <c r="AA3515" s="98"/>
      <c r="AB3515" s="106">
        <f ca="1">IF(AA3508&lt;=0,Q_max,ABS(AA$23-AA3514))</f>
        <v>236393</v>
      </c>
      <c r="AC3515" s="9">
        <f ca="1">AA3504</f>
        <v>658679.74120956042</v>
      </c>
      <c r="AD3515" s="98"/>
      <c r="AE3515" s="106">
        <f ca="1">IF(AD3508&lt;=0,Q_max,ABS(AD$23-AD3514))</f>
        <v>236393</v>
      </c>
      <c r="AF3515" s="9">
        <f ca="1">AD3504</f>
        <v>1105059.7046193588</v>
      </c>
      <c r="AG3515" s="98"/>
      <c r="AH3515" s="106">
        <f ca="1">IF(AG3508&lt;=0,Q_max,ABS(AG$23-AG3514))</f>
        <v>236393</v>
      </c>
      <c r="AI3515" s="9">
        <f ca="1">AG3504</f>
        <v>1612864.7364547353</v>
      </c>
      <c r="AJ3515" s="98"/>
      <c r="AK3515" s="106">
        <f ca="1">IF(AJ3508&lt;=0,Q_max,ABS(AJ$23-AJ3514))</f>
        <v>236393</v>
      </c>
      <c r="AL3515" s="9">
        <f ca="1">AJ3504</f>
        <v>2152374.2431774335</v>
      </c>
      <c r="AM3515" s="98"/>
      <c r="AN3515" s="106">
        <f ca="1">IF(AM3508&lt;=0,Q_max,ABS(AM$23-AM3514))</f>
        <v>236393</v>
      </c>
      <c r="AO3515" s="9">
        <f ca="1">AM3504</f>
        <v>2626305.6137656472</v>
      </c>
      <c r="AP3515" s="98"/>
      <c r="AQ3515" s="106">
        <f ca="1">IF(AP3508&lt;=0,Q_max,ABS(AP$23-AP3514))</f>
        <v>236393</v>
      </c>
      <c r="AR3515" s="9">
        <f ca="1">AP3504</f>
        <v>3049059.2848958666</v>
      </c>
      <c r="AS3515" s="98"/>
      <c r="AT3515" s="106">
        <f ca="1">IF(AS3508&lt;=0,Q_max,ABS(AS$23-AS3514))</f>
        <v>236393</v>
      </c>
      <c r="AU3515" s="9">
        <f ca="1">AS3504</f>
        <v>3575261.8045752174</v>
      </c>
    </row>
    <row r="3516" spans="15:47" x14ac:dyDescent="0.25">
      <c r="O3516" s="21"/>
      <c r="P3516" s="14"/>
      <c r="Q3516" s="21"/>
      <c r="R3516" s="97"/>
      <c r="S3516" s="106"/>
      <c r="T3516" s="28"/>
      <c r="U3516" s="97"/>
      <c r="V3516" s="111"/>
      <c r="W3516" s="28"/>
      <c r="X3516" s="97"/>
      <c r="Y3516" s="111"/>
      <c r="Z3516" s="28"/>
      <c r="AA3516" s="97"/>
      <c r="AB3516" s="111"/>
      <c r="AC3516" s="28"/>
      <c r="AD3516" s="97"/>
      <c r="AE3516" s="111"/>
      <c r="AF3516" s="28"/>
      <c r="AG3516" s="97"/>
      <c r="AH3516" s="111"/>
      <c r="AI3516" s="28"/>
      <c r="AJ3516" s="97"/>
      <c r="AK3516" s="111"/>
      <c r="AL3516" s="28"/>
      <c r="AM3516" s="97"/>
      <c r="AN3516" s="111"/>
      <c r="AO3516" s="28"/>
      <c r="AP3516" s="97"/>
      <c r="AQ3516" s="111"/>
      <c r="AR3516" s="28"/>
      <c r="AS3516" s="97"/>
      <c r="AT3516" s="111"/>
      <c r="AU3516" s="28"/>
    </row>
    <row r="3517" spans="15:47" x14ac:dyDescent="0.25">
      <c r="O3517" s="1"/>
      <c r="P3517" s="1"/>
      <c r="Q3517" s="1"/>
      <c r="R3517" s="98"/>
      <c r="S3517" s="108" t="s">
        <v>137</v>
      </c>
      <c r="T3517" s="26" t="s">
        <v>146</v>
      </c>
      <c r="U3517" s="98"/>
      <c r="V3517" s="108" t="s">
        <v>137</v>
      </c>
      <c r="W3517" s="26" t="s">
        <v>146</v>
      </c>
      <c r="X3517" s="98"/>
      <c r="Y3517" s="108" t="s">
        <v>137</v>
      </c>
      <c r="Z3517" s="26" t="s">
        <v>146</v>
      </c>
      <c r="AA3517" s="98"/>
      <c r="AB3517" s="108" t="s">
        <v>137</v>
      </c>
      <c r="AC3517" s="26" t="s">
        <v>146</v>
      </c>
      <c r="AD3517" s="98"/>
      <c r="AE3517" s="108" t="s">
        <v>137</v>
      </c>
      <c r="AF3517" s="26" t="s">
        <v>146</v>
      </c>
      <c r="AG3517" s="98"/>
      <c r="AH3517" s="108" t="s">
        <v>137</v>
      </c>
      <c r="AI3517" s="26" t="s">
        <v>146</v>
      </c>
      <c r="AJ3517" s="98"/>
      <c r="AK3517" s="108" t="s">
        <v>137</v>
      </c>
      <c r="AL3517" s="26" t="s">
        <v>146</v>
      </c>
      <c r="AM3517" s="98"/>
      <c r="AN3517" s="108" t="s">
        <v>137</v>
      </c>
      <c r="AO3517" s="26" t="s">
        <v>146</v>
      </c>
      <c r="AP3517" s="98"/>
      <c r="AQ3517" s="108" t="s">
        <v>137</v>
      </c>
      <c r="AR3517" s="26" t="s">
        <v>146</v>
      </c>
      <c r="AS3517" s="98"/>
      <c r="AT3517" s="108" t="s">
        <v>137</v>
      </c>
      <c r="AU3517" s="26" t="s">
        <v>146</v>
      </c>
    </row>
    <row r="3518" spans="15:47" ht="13.8" x14ac:dyDescent="0.25">
      <c r="O3518" s="20" t="s">
        <v>136</v>
      </c>
      <c r="P3518" s="1"/>
      <c r="Q3518" s="1"/>
      <c r="R3518" s="96">
        <f>R3504*1.02</f>
        <v>44129.543234212739</v>
      </c>
      <c r="S3518" s="109" t="s">
        <v>144</v>
      </c>
      <c r="T3518" s="23" t="s">
        <v>147</v>
      </c>
      <c r="U3518" s="96">
        <f ca="1">U3504*1.01</f>
        <v>139489.01133448977</v>
      </c>
      <c r="V3518" s="109" t="s">
        <v>144</v>
      </c>
      <c r="W3518" s="23" t="s">
        <v>147</v>
      </c>
      <c r="X3518" s="96">
        <f ca="1">X3504*1.01</f>
        <v>341557.35090804409</v>
      </c>
      <c r="Y3518" s="109" t="s">
        <v>144</v>
      </c>
      <c r="Z3518" s="23" t="s">
        <v>147</v>
      </c>
      <c r="AA3518" s="96">
        <f ca="1">AA3504*1.01</f>
        <v>665266.53862165601</v>
      </c>
      <c r="AB3518" s="109" t="s">
        <v>144</v>
      </c>
      <c r="AC3518" s="23" t="s">
        <v>147</v>
      </c>
      <c r="AD3518" s="96">
        <f ca="1">AD3504*1.01</f>
        <v>1116110.3016655524</v>
      </c>
      <c r="AE3518" s="109" t="s">
        <v>144</v>
      </c>
      <c r="AF3518" s="23" t="s">
        <v>147</v>
      </c>
      <c r="AG3518" s="96">
        <f ca="1">AG3504*1.01</f>
        <v>1628993.3838192828</v>
      </c>
      <c r="AH3518" s="109" t="s">
        <v>144</v>
      </c>
      <c r="AI3518" s="23" t="s">
        <v>147</v>
      </c>
      <c r="AJ3518" s="96">
        <f ca="1">AJ3504*1.01</f>
        <v>2173897.9856092078</v>
      </c>
      <c r="AK3518" s="109" t="s">
        <v>144</v>
      </c>
      <c r="AL3518" s="23" t="s">
        <v>147</v>
      </c>
      <c r="AM3518" s="96">
        <f ca="1">AM3504*1.01</f>
        <v>2652568.6699033035</v>
      </c>
      <c r="AN3518" s="109" t="s">
        <v>144</v>
      </c>
      <c r="AO3518" s="23" t="s">
        <v>147</v>
      </c>
      <c r="AP3518" s="96">
        <f ca="1">AP3504*1.01</f>
        <v>3079549.8777448256</v>
      </c>
      <c r="AQ3518" s="109" t="s">
        <v>144</v>
      </c>
      <c r="AR3518" s="23" t="s">
        <v>147</v>
      </c>
      <c r="AS3518" s="96">
        <f ca="1">AS3504*1.01</f>
        <v>3611014.4226209698</v>
      </c>
      <c r="AT3518" s="109" t="s">
        <v>144</v>
      </c>
      <c r="AU3518" s="23" t="s">
        <v>147</v>
      </c>
    </row>
    <row r="3519" spans="15:47" x14ac:dyDescent="0.25">
      <c r="O3519" s="1"/>
      <c r="P3519" s="1"/>
      <c r="Q3519" s="1"/>
      <c r="R3519" s="98"/>
      <c r="S3519" s="107"/>
      <c r="T3519" s="1"/>
      <c r="U3519" s="47"/>
      <c r="V3519" s="107"/>
      <c r="W3519" s="1"/>
      <c r="X3519" s="47"/>
      <c r="Y3519" s="107"/>
      <c r="Z3519" s="1"/>
      <c r="AA3519" s="47"/>
      <c r="AB3519" s="107"/>
      <c r="AC3519" s="1"/>
      <c r="AD3519" s="47"/>
      <c r="AE3519" s="107"/>
      <c r="AF3519" s="1"/>
      <c r="AG3519" s="47"/>
      <c r="AH3519" s="107"/>
      <c r="AI3519" s="1"/>
      <c r="AJ3519" s="47"/>
      <c r="AK3519" s="107"/>
      <c r="AL3519" s="1"/>
      <c r="AM3519" s="47"/>
      <c r="AN3519" s="107"/>
      <c r="AO3519" s="1"/>
      <c r="AP3519" s="47"/>
      <c r="AQ3519" s="107"/>
      <c r="AR3519" s="1"/>
      <c r="AS3519" s="47"/>
      <c r="AT3519" s="107"/>
      <c r="AU3519" s="1"/>
    </row>
    <row r="3520" spans="15:47" x14ac:dyDescent="0.25">
      <c r="O3520" s="8" t="s">
        <v>132</v>
      </c>
      <c r="P3520" s="8"/>
      <c r="Q3520" s="8"/>
      <c r="R3520" s="96">
        <f>P_1_minQ-(R3518^2*R_up)+dpup_minQ</f>
        <v>89.830102608792089</v>
      </c>
      <c r="S3520" s="106"/>
      <c r="T3520" s="22"/>
      <c r="U3520" s="96">
        <f ca="1">P_1_minQ-(U3518^2*R_up)+dpup_minQ</f>
        <v>86.638756393415065</v>
      </c>
      <c r="V3520" s="107"/>
      <c r="W3520" s="1"/>
      <c r="X3520" s="96">
        <f ca="1">P_1_minQ-(X3518^2*R_up)+dpup_minQ</f>
        <v>68.922223097413053</v>
      </c>
      <c r="Y3520" s="107"/>
      <c r="Z3520" s="1"/>
      <c r="AA3520" s="96">
        <f ca="1">P_1_minQ-(AA3518^2*R_up)+dpup_minQ</f>
        <v>9.5200852951903823</v>
      </c>
      <c r="AB3520" s="107"/>
      <c r="AC3520" s="1"/>
      <c r="AD3520" s="96">
        <f ca="1">P_1_minQ-(AD3518^2*R_up)+dpup_minQ</f>
        <v>-136.85777852646052</v>
      </c>
      <c r="AE3520" s="107"/>
      <c r="AF3520" s="1"/>
      <c r="AG3520" s="96">
        <f ca="1">P_1_minQ-(AG3518^2*R_up)+dpup_minQ</f>
        <v>-393.4660574101656</v>
      </c>
      <c r="AH3520" s="107"/>
      <c r="AI3520" s="1"/>
      <c r="AJ3520" s="96">
        <f ca="1">P_1_minQ-(AJ3518^2*R_up)+dpup_minQ</f>
        <v>-771.14948832501409</v>
      </c>
      <c r="AK3520" s="107"/>
      <c r="AL3520" s="1"/>
      <c r="AM3520" s="96">
        <f ca="1">P_1_minQ-(AM3518^2*R_up)+dpup_minQ</f>
        <v>-1192.224701969652</v>
      </c>
      <c r="AN3520" s="107"/>
      <c r="AO3520" s="1"/>
      <c r="AP3520" s="96">
        <f ca="1">P_1_minQ-(AP3518^2*R_up)+dpup_minQ</f>
        <v>-1638.3095399105966</v>
      </c>
      <c r="AQ3520" s="107"/>
      <c r="AR3520" s="1"/>
      <c r="AS3520" s="96">
        <f ca="1">P_1_minQ-(AS3518^2*R_up)+dpup_minQ</f>
        <v>-2286.3924707384144</v>
      </c>
      <c r="AT3520" s="107"/>
      <c r="AU3520" s="1"/>
    </row>
    <row r="3521" spans="15:47" x14ac:dyDescent="0.25">
      <c r="O3521" s="8" t="s">
        <v>134</v>
      </c>
      <c r="P3521" s="1"/>
      <c r="Q3521" s="8"/>
      <c r="R3521" s="97">
        <f>P_2_minQ+(R3518^2*R_dn)-dpdn_minQ</f>
        <v>60</v>
      </c>
      <c r="S3521" s="106"/>
      <c r="T3521" s="22"/>
      <c r="U3521" s="97">
        <f ca="1">P_2_minQ+(U3518^2*R_dn)-dpdn_minQ</f>
        <v>60</v>
      </c>
      <c r="V3521" s="107"/>
      <c r="W3521" s="1"/>
      <c r="X3521" s="97">
        <f ca="1">P_2_minQ+(X3518^2*R_dn)-dpdn_minQ</f>
        <v>60</v>
      </c>
      <c r="Y3521" s="107"/>
      <c r="Z3521" s="1"/>
      <c r="AA3521" s="97">
        <f ca="1">P_2_minQ+(AA3518^2*R_dn)-dpdn_minQ</f>
        <v>60</v>
      </c>
      <c r="AB3521" s="107"/>
      <c r="AC3521" s="1"/>
      <c r="AD3521" s="97">
        <f ca="1">P_2_minQ+(AD3518^2*R_dn)-dpdn_minQ</f>
        <v>60</v>
      </c>
      <c r="AE3521" s="107"/>
      <c r="AF3521" s="1"/>
      <c r="AG3521" s="97">
        <f ca="1">P_2_minQ+(AG3518^2*R_dn)-dpdn_minQ</f>
        <v>60</v>
      </c>
      <c r="AH3521" s="107"/>
      <c r="AI3521" s="1"/>
      <c r="AJ3521" s="97">
        <f ca="1">P_2_minQ+(AJ3518^2*R_dn)-dpdn_minQ</f>
        <v>60</v>
      </c>
      <c r="AK3521" s="107"/>
      <c r="AL3521" s="1"/>
      <c r="AM3521" s="97">
        <f ca="1">P_2_minQ+(AM3518^2*R_dn)-dpdn_minQ</f>
        <v>60</v>
      </c>
      <c r="AN3521" s="107"/>
      <c r="AO3521" s="1"/>
      <c r="AP3521" s="97">
        <f ca="1">P_2_minQ+(AP3518^2*R_dn)-dpdn_minQ</f>
        <v>60</v>
      </c>
      <c r="AQ3521" s="107"/>
      <c r="AR3521" s="1"/>
      <c r="AS3521" s="97">
        <f ca="1">P_2_minQ+(AS3518^2*R_dn)-dpdn_minQ</f>
        <v>60</v>
      </c>
      <c r="AT3521" s="107"/>
      <c r="AU3521" s="1"/>
    </row>
    <row r="3522" spans="15:47" x14ac:dyDescent="0.25">
      <c r="O3522" s="8" t="s">
        <v>138</v>
      </c>
      <c r="P3522" s="1"/>
      <c r="Q3522" s="8"/>
      <c r="R3522" s="97">
        <f>R3520-R3521</f>
        <v>29.830102608792089</v>
      </c>
      <c r="S3522" s="106"/>
      <c r="T3522" s="22"/>
      <c r="U3522" s="97">
        <f ca="1">U3520-U3521</f>
        <v>26.638756393415065</v>
      </c>
      <c r="V3522" s="110"/>
      <c r="W3522" s="25"/>
      <c r="X3522" s="97">
        <f ca="1">X3520-X3521</f>
        <v>8.9222230974130525</v>
      </c>
      <c r="Y3522" s="110"/>
      <c r="Z3522" s="25"/>
      <c r="AA3522" s="97">
        <f ca="1">AA3520-AA3521</f>
        <v>-50.479914704809616</v>
      </c>
      <c r="AB3522" s="110"/>
      <c r="AC3522" s="25"/>
      <c r="AD3522" s="97">
        <f ca="1">AD3520-AD3521</f>
        <v>-196.85777852646052</v>
      </c>
      <c r="AE3522" s="110"/>
      <c r="AF3522" s="25"/>
      <c r="AG3522" s="97">
        <f ca="1">AG3520-AG3521</f>
        <v>-453.4660574101656</v>
      </c>
      <c r="AH3522" s="110"/>
      <c r="AI3522" s="25"/>
      <c r="AJ3522" s="97">
        <f ca="1">AJ3520-AJ3521</f>
        <v>-831.14948832501409</v>
      </c>
      <c r="AK3522" s="110"/>
      <c r="AL3522" s="25"/>
      <c r="AM3522" s="97">
        <f ca="1">AM3520-AM3521</f>
        <v>-1252.224701969652</v>
      </c>
      <c r="AN3522" s="110"/>
      <c r="AO3522" s="25"/>
      <c r="AP3522" s="97">
        <f ca="1">AP3520-AP3521</f>
        <v>-1698.3095399105966</v>
      </c>
      <c r="AQ3522" s="110"/>
      <c r="AR3522" s="25"/>
      <c r="AS3522" s="97">
        <f ca="1">AS3520-AS3521</f>
        <v>-2346.3924707384144</v>
      </c>
      <c r="AT3522" s="110"/>
      <c r="AU3522" s="25"/>
    </row>
    <row r="3523" spans="15:47" ht="14.4" x14ac:dyDescent="0.3">
      <c r="O3523" s="2" t="s">
        <v>140</v>
      </c>
      <c r="P3523" s="11"/>
      <c r="Q3523" s="2"/>
      <c r="R3523" s="96">
        <f>R3522/R3520</f>
        <v>0.33207245391560397</v>
      </c>
      <c r="S3523" s="106"/>
      <c r="T3523" s="22"/>
      <c r="U3523" s="96">
        <f ca="1">U3522/U3520</f>
        <v>0.30746928398247103</v>
      </c>
      <c r="V3523" s="111"/>
      <c r="W3523" s="28"/>
      <c r="X3523" s="96">
        <f ca="1">X3522/X3520</f>
        <v>0.12945350130106209</v>
      </c>
      <c r="Y3523" s="111"/>
      <c r="Z3523" s="28"/>
      <c r="AA3523" s="96">
        <f ca="1">AA3522/AA3520</f>
        <v>-5.3024645409755351</v>
      </c>
      <c r="AB3523" s="111"/>
      <c r="AC3523" s="28"/>
      <c r="AD3523" s="96">
        <f ca="1">AD3522/AD3520</f>
        <v>1.4384113248513632</v>
      </c>
      <c r="AE3523" s="111"/>
      <c r="AF3523" s="28"/>
      <c r="AG3523" s="96">
        <f ca="1">AG3522/AG3520</f>
        <v>1.1524909172469062</v>
      </c>
      <c r="AH3523" s="111"/>
      <c r="AI3523" s="28"/>
      <c r="AJ3523" s="96">
        <f ca="1">AJ3522/AJ3520</f>
        <v>1.0778059259694561</v>
      </c>
      <c r="AK3523" s="111"/>
      <c r="AL3523" s="28"/>
      <c r="AM3523" s="96">
        <f ca="1">AM3522/AM3520</f>
        <v>1.050326083582126</v>
      </c>
      <c r="AN3523" s="111"/>
      <c r="AO3523" s="28"/>
      <c r="AP3523" s="96">
        <f ca="1">AP3522/AP3520</f>
        <v>1.0366231158022032</v>
      </c>
      <c r="AQ3523" s="111"/>
      <c r="AR3523" s="28"/>
      <c r="AS3523" s="96">
        <f ca="1">AS3522/AS3520</f>
        <v>1.0262422137790816</v>
      </c>
      <c r="AT3523" s="111"/>
      <c r="AU3523" s="28"/>
    </row>
    <row r="3524" spans="15:47" x14ac:dyDescent="0.25">
      <c r="O3524" s="2" t="s">
        <v>21</v>
      </c>
      <c r="P3524" s="8">
        <v>12</v>
      </c>
      <c r="Q3524" s="2"/>
      <c r="R3524" s="96">
        <f ca="1">1-R3523/(3*F_GAMMA*R$29)</f>
        <v>0.82705362203994692</v>
      </c>
      <c r="S3524" s="106"/>
      <c r="T3524" s="22"/>
      <c r="U3524" s="96">
        <f ca="1">1-U3523/(3*F_GAMMA*U$29)</f>
        <v>0.83990437972997778</v>
      </c>
      <c r="V3524" s="111"/>
      <c r="W3524" s="28"/>
      <c r="X3524" s="96">
        <f ca="1">1-X3523/(3*F_GAMMA*X$29)</f>
        <v>0.93195311283529514</v>
      </c>
      <c r="Y3524" s="111"/>
      <c r="Z3524" s="28"/>
      <c r="AA3524" s="96">
        <f ca="1">1-AA3523/(3*F_GAMMA*AA$29)</f>
        <v>3.826515291591194</v>
      </c>
      <c r="AB3524" s="111"/>
      <c r="AC3524" s="28"/>
      <c r="AD3524" s="96">
        <f ca="1">1-AD3523/(3*F_GAMMA*AD$29)</f>
        <v>0.20946464267652631</v>
      </c>
      <c r="AE3524" s="111"/>
      <c r="AF3524" s="28"/>
      <c r="AG3524" s="96">
        <f ca="1">1-AG3523/(3*F_GAMMA*AG$29)</f>
        <v>0.32859570811162131</v>
      </c>
      <c r="AH3524" s="111"/>
      <c r="AI3524" s="28"/>
      <c r="AJ3524" s="96">
        <f ca="1">1-AJ3523/(3*F_GAMMA*AJ$29)</f>
        <v>0.32447072021148793</v>
      </c>
      <c r="AK3524" s="111"/>
      <c r="AL3524" s="28"/>
      <c r="AM3524" s="96">
        <f ca="1">1-AM3523/(3*F_GAMMA*AM$29)</f>
        <v>0.26395971429564169</v>
      </c>
      <c r="AN3524" s="111"/>
      <c r="AO3524" s="28"/>
      <c r="AP3524" s="96">
        <f ca="1">1-AP3523/(3*F_GAMMA*AP$29)</f>
        <v>0.41487433103969673</v>
      </c>
      <c r="AQ3524" s="111"/>
      <c r="AR3524" s="28"/>
      <c r="AS3524" s="96">
        <f ca="1">1-AS3523/(3*F_GAMMA*AS$29)</f>
        <v>9.187719764451685E-2</v>
      </c>
      <c r="AT3524" s="111"/>
      <c r="AU3524" s="28"/>
    </row>
    <row r="3525" spans="15:47" x14ac:dyDescent="0.25">
      <c r="O3525" s="2" t="s">
        <v>57</v>
      </c>
      <c r="P3525" s="143">
        <v>7</v>
      </c>
      <c r="Q3525" s="2"/>
      <c r="R3525" s="96">
        <f ca="1">(R3518/(N_9*R$27*R3520*R3524))*SQRT(M*'Valve Sizing'!$W$6*'Valve Sizing'!$G$8/R3523)</f>
        <v>17.93260890748839</v>
      </c>
      <c r="S3525" s="107"/>
      <c r="T3525" s="22"/>
      <c r="U3525" s="96">
        <f ca="1">(U3518/(N_9*U$27*U3520*U3524))*SQRT(M*'Valve Sizing'!$W$6*'Valve Sizing'!$G$8/U3523)</f>
        <v>60.182187613316344</v>
      </c>
      <c r="V3525" s="111"/>
      <c r="W3525" s="28"/>
      <c r="X3525" s="96">
        <f ca="1">(X3518/(N_9*X$27*X3520*X3524))*SQRT(M*'Valve Sizing'!$W$6*'Valve Sizing'!$G$8/X3523)</f>
        <v>257.88310680414452</v>
      </c>
      <c r="Y3525" s="111"/>
      <c r="Z3525" s="28"/>
      <c r="AA3525" s="96" t="e">
        <f ca="1">(AA3518/(N_9*AA$27*AA3520*AA3524))*SQRT(M*'Valve Sizing'!$W$6*'Valve Sizing'!$G$8/AA3523)</f>
        <v>#NUM!</v>
      </c>
      <c r="AB3525" s="111"/>
      <c r="AC3525" s="28"/>
      <c r="AD3525" s="96">
        <f ca="1">(AD3518/(N_9*AD$27*AD3520*AD3524))*SQRT(M*'Valve Sizing'!$W$6*'Valve Sizing'!$G$8/AD3523)</f>
        <v>-576.86127358365241</v>
      </c>
      <c r="AE3525" s="111"/>
      <c r="AF3525" s="28"/>
      <c r="AG3525" s="96">
        <f ca="1">(AG3518/(N_9*AG$27*AG3520*AG3524))*SQRT(M*'Valve Sizing'!$W$6*'Valve Sizing'!$G$8/AG3523)</f>
        <v>-213.24690862879623</v>
      </c>
      <c r="AH3525" s="111"/>
      <c r="AI3525" s="28"/>
      <c r="AJ3525" s="96">
        <f ca="1">(AJ3518/(N_9*AJ$27*AJ3520*AJ3524))*SQRT(M*'Valve Sizing'!$W$6*'Valve Sizing'!$G$8/AJ3523)</f>
        <v>-157.55390359243125</v>
      </c>
      <c r="AK3525" s="111"/>
      <c r="AL3525" s="28"/>
      <c r="AM3525" s="96">
        <f ca="1">(AM3518/(N_9*AM$27*AM3520*AM3524))*SQRT(M*'Valve Sizing'!$W$6*'Valve Sizing'!$G$8/AM3523)</f>
        <v>-164.28649574851957</v>
      </c>
      <c r="AN3525" s="111"/>
      <c r="AO3525" s="28"/>
      <c r="AP3525" s="96">
        <f ca="1">(AP3518/(N_9*AP$27*AP3520*AP3524))*SQRT(M*'Valve Sizing'!$W$6*'Valve Sizing'!$G$8/AP3523)</f>
        <v>-101.17513902022942</v>
      </c>
      <c r="AQ3525" s="111"/>
      <c r="AR3525" s="28"/>
      <c r="AS3525" s="96">
        <f ca="1">(AS3518/(N_9*AS$27*AS3520*AS3524))*SQRT(M*'Valve Sizing'!$W$6*'Valve Sizing'!$G$8/AS3523)</f>
        <v>-516.72838722567246</v>
      </c>
      <c r="AT3525" s="111"/>
      <c r="AU3525" s="28"/>
    </row>
    <row r="3526" spans="15:47" x14ac:dyDescent="0.25">
      <c r="O3526" s="2" t="s">
        <v>59</v>
      </c>
      <c r="P3526" s="143">
        <v>7</v>
      </c>
      <c r="Q3526" s="2"/>
      <c r="R3526" s="96">
        <f ca="1">(R3518/(N_9*R$27*R3520*0.667))*SQRT(M*'Valve Sizing'!$W$6*'Valve Sizing'!$G$8/R3527)</f>
        <v>16.016502060215917</v>
      </c>
      <c r="S3526" s="107"/>
      <c r="T3526" s="22"/>
      <c r="U3526" s="96">
        <f ca="1">(U3518/(N_9*U$27*U3520*0.667))*SQRT(M*'Valve Sizing'!$W$6*'Valve Sizing'!$G$8/U3527)</f>
        <v>52.519711908229098</v>
      </c>
      <c r="V3526" s="111"/>
      <c r="W3526" s="28"/>
      <c r="X3526" s="96">
        <f ca="1">(X3518/(N_9*X$27*X3520*0.667))*SQRT(M*'Valve Sizing'!$W$6*'Valve Sizing'!$G$8/X3527)</f>
        <v>162.80055528902659</v>
      </c>
      <c r="Y3526" s="111"/>
      <c r="Z3526" s="28"/>
      <c r="AA3526" s="96">
        <f ca="1">(AA3518/(N_9*AA$27*AA3520*0.667))*SQRT(M*'Valve Sizing'!$W$6*'Valve Sizing'!$G$8/AA3527)</f>
        <v>2325.4956653288955</v>
      </c>
      <c r="AB3526" s="111"/>
      <c r="AC3526" s="28"/>
      <c r="AD3526" s="96">
        <f ca="1">(AD3518/(N_9*AD$27*AD3520*0.667))*SQRT(M*'Valve Sizing'!$W$6*'Valve Sizing'!$G$8/AD3527)</f>
        <v>-278.98287953510891</v>
      </c>
      <c r="AE3526" s="111"/>
      <c r="AF3526" s="28"/>
      <c r="AG3526" s="96">
        <f ca="1">(AG3518/(N_9*AG$27*AG3520*0.667))*SQRT(M*'Valve Sizing'!$W$6*'Valve Sizing'!$G$8/AG3527)</f>
        <v>-149.09788426046728</v>
      </c>
      <c r="AH3526" s="111"/>
      <c r="AI3526" s="28"/>
      <c r="AJ3526" s="96">
        <f ca="1">(AJ3518/(N_9*AJ$27*AJ3520*0.667))*SQRT(M*'Valve Sizing'!$W$6*'Valve Sizing'!$G$8/AJ3527)</f>
        <v>-109.10924807252833</v>
      </c>
      <c r="AK3526" s="111"/>
      <c r="AL3526" s="28"/>
      <c r="AM3526" s="96">
        <f ca="1">(AM3518/(N_9*AM$27*AM3520*0.667))*SQRT(M*'Valve Sizing'!$W$6*'Valve Sizing'!$G$8/AM3527)</f>
        <v>-96.610671748768127</v>
      </c>
      <c r="AN3526" s="111"/>
      <c r="AO3526" s="28"/>
      <c r="AP3526" s="96">
        <f ca="1">(AP3518/(N_9*AP$27*AP3520*0.667))*SQRT(M*'Valve Sizing'!$W$6*'Valve Sizing'!$G$8/AP3527)</f>
        <v>-83.377667922532737</v>
      </c>
      <c r="AQ3526" s="111"/>
      <c r="AR3526" s="28"/>
      <c r="AS3526" s="96">
        <f ca="1">(AS3518/(N_9*AS$27*AS3520*0.667))*SQRT(M*'Valve Sizing'!$W$6*'Valve Sizing'!$G$8/AS3527)</f>
        <v>-117.48357264601231</v>
      </c>
      <c r="AT3526" s="111"/>
      <c r="AU3526" s="28"/>
    </row>
    <row r="3527" spans="15:47" ht="15.6" x14ac:dyDescent="0.35">
      <c r="O3527" s="2" t="s">
        <v>68</v>
      </c>
      <c r="P3527" s="143">
        <v>10</v>
      </c>
      <c r="Q3527" s="2"/>
      <c r="R3527" s="96">
        <f ca="1">F_GAMMA*R$29</f>
        <v>0.64002969751372984</v>
      </c>
      <c r="S3527" s="107"/>
      <c r="T3527" s="1"/>
      <c r="U3527" s="96">
        <f ca="1">F_GAMMA*U$29</f>
        <v>0.64017842058782071</v>
      </c>
      <c r="V3527" s="111"/>
      <c r="W3527" s="28"/>
      <c r="X3527" s="96">
        <f ca="1">F_GAMMA*X$29</f>
        <v>0.63413873724904268</v>
      </c>
      <c r="Y3527" s="111"/>
      <c r="Z3527" s="28"/>
      <c r="AA3527" s="96">
        <f ca="1">F_GAMMA*AA$29</f>
        <v>0.62532411750377137</v>
      </c>
      <c r="AB3527" s="111"/>
      <c r="AC3527" s="28"/>
      <c r="AD3527" s="96">
        <f ca="1">F_GAMMA*AD$29</f>
        <v>0.60651359509139569</v>
      </c>
      <c r="AE3527" s="111"/>
      <c r="AF3527" s="28"/>
      <c r="AG3527" s="96">
        <f ca="1">F_GAMMA*AG$29</f>
        <v>0.57217930198481592</v>
      </c>
      <c r="AH3527" s="111"/>
      <c r="AI3527" s="28"/>
      <c r="AJ3527" s="96">
        <f ca="1">F_GAMMA*AJ$29</f>
        <v>0.53183282018848232</v>
      </c>
      <c r="AK3527" s="111"/>
      <c r="AL3527" s="28"/>
      <c r="AM3527" s="96">
        <f ca="1">F_GAMMA*AM$29</f>
        <v>0.47566512503094399</v>
      </c>
      <c r="AN3527" s="111"/>
      <c r="AO3527" s="28"/>
      <c r="AP3527" s="96">
        <f ca="1">F_GAMMA*AP$29</f>
        <v>0.59054158265645496</v>
      </c>
      <c r="AQ3527" s="111"/>
      <c r="AR3527" s="28"/>
      <c r="AS3527" s="96">
        <f ca="1">F_GAMMA*AS$29</f>
        <v>0.3766899554102966</v>
      </c>
      <c r="AT3527" s="111"/>
      <c r="AU3527" s="28"/>
    </row>
    <row r="3528" spans="15:47" x14ac:dyDescent="0.25">
      <c r="O3528" s="2" t="s">
        <v>145</v>
      </c>
      <c r="P3528" s="12"/>
      <c r="Q3528" s="2"/>
      <c r="R3528" s="96">
        <f ca="1">IF(R3523&lt;R3527,R3525,R3526)</f>
        <v>17.93260890748839</v>
      </c>
      <c r="S3528" s="116"/>
      <c r="T3528" s="1"/>
      <c r="U3528" s="96">
        <f ca="1">IF(U3523&lt;U3527,U3525,U3526)</f>
        <v>60.182187613316344</v>
      </c>
      <c r="V3528" s="111"/>
      <c r="W3528" s="28"/>
      <c r="X3528" s="96">
        <f ca="1">IF(X3523&lt;X3527,X3525,X3526)</f>
        <v>257.88310680414452</v>
      </c>
      <c r="Y3528" s="111"/>
      <c r="Z3528" s="28"/>
      <c r="AA3528" s="96" t="e">
        <f ca="1">IF(AA3523&lt;AA3527,AA3525,AA3526)</f>
        <v>#NUM!</v>
      </c>
      <c r="AB3528" s="111"/>
      <c r="AC3528" s="28"/>
      <c r="AD3528" s="96">
        <f ca="1">IF(AD3523&lt;AD3527,AD3525,AD3526)</f>
        <v>-278.98287953510891</v>
      </c>
      <c r="AE3528" s="111"/>
      <c r="AF3528" s="28"/>
      <c r="AG3528" s="96">
        <f ca="1">IF(AG3523&lt;AG3527,AG3525,AG3526)</f>
        <v>-149.09788426046728</v>
      </c>
      <c r="AH3528" s="111"/>
      <c r="AI3528" s="28"/>
      <c r="AJ3528" s="96">
        <f ca="1">IF(AJ3523&lt;AJ3527,AJ3525,AJ3526)</f>
        <v>-109.10924807252833</v>
      </c>
      <c r="AK3528" s="111"/>
      <c r="AL3528" s="28"/>
      <c r="AM3528" s="96">
        <f ca="1">IF(AM3523&lt;AM3527,AM3525,AM3526)</f>
        <v>-96.610671748768127</v>
      </c>
      <c r="AN3528" s="111"/>
      <c r="AO3528" s="28"/>
      <c r="AP3528" s="96">
        <f ca="1">IF(AP3523&lt;AP3527,AP3525,AP3526)</f>
        <v>-83.377667922532737</v>
      </c>
      <c r="AQ3528" s="111"/>
      <c r="AR3528" s="28"/>
      <c r="AS3528" s="96">
        <f ca="1">IF(AS3523&lt;AS3527,AS3525,AS3526)</f>
        <v>-117.48357264601231</v>
      </c>
      <c r="AT3528" s="111"/>
      <c r="AU3528" s="28"/>
    </row>
    <row r="3529" spans="15:47" x14ac:dyDescent="0.25">
      <c r="O3529" s="13" t="s">
        <v>143</v>
      </c>
      <c r="P3529" s="1"/>
      <c r="Q3529" s="1"/>
      <c r="R3529" s="113"/>
      <c r="S3529" s="106">
        <f ca="1">IF(R3522&lt;=0,Q_max,ABS(R$23-R3528))</f>
        <v>13.20260890748839</v>
      </c>
      <c r="T3529" s="7">
        <f>R3518</f>
        <v>44129.543234212739</v>
      </c>
      <c r="U3529" s="98"/>
      <c r="V3529" s="106">
        <f ca="1">IF(U3522&lt;=0,Q_max,ABS(U$23-U3528))</f>
        <v>48.582187613316343</v>
      </c>
      <c r="W3529" s="9">
        <f ca="1">U3518</f>
        <v>139489.01133448977</v>
      </c>
      <c r="X3529" s="98"/>
      <c r="Y3529" s="106">
        <f ca="1">IF(X3522&lt;=0,Q_max,ABS(X$23-X3528))</f>
        <v>234.88310680414452</v>
      </c>
      <c r="Z3529" s="9">
        <f ca="1">X3518</f>
        <v>341557.35090804409</v>
      </c>
      <c r="AA3529" s="98"/>
      <c r="AB3529" s="106">
        <f ca="1">IF(AA3522&lt;=0,Q_max,ABS(AA$23-AA3528))</f>
        <v>236393</v>
      </c>
      <c r="AC3529" s="9">
        <f ca="1">AA3518</f>
        <v>665266.53862165601</v>
      </c>
      <c r="AD3529" s="98"/>
      <c r="AE3529" s="106">
        <f ca="1">IF(AD3522&lt;=0,Q_max,ABS(AD$23-AD3528))</f>
        <v>236393</v>
      </c>
      <c r="AF3529" s="9">
        <f ca="1">AD3518</f>
        <v>1116110.3016655524</v>
      </c>
      <c r="AG3529" s="98"/>
      <c r="AH3529" s="106">
        <f ca="1">IF(AG3522&lt;=0,Q_max,ABS(AG$23-AG3528))</f>
        <v>236393</v>
      </c>
      <c r="AI3529" s="9">
        <f ca="1">AG3518</f>
        <v>1628993.3838192828</v>
      </c>
      <c r="AJ3529" s="98"/>
      <c r="AK3529" s="106">
        <f ca="1">IF(AJ3522&lt;=0,Q_max,ABS(AJ$23-AJ3528))</f>
        <v>236393</v>
      </c>
      <c r="AL3529" s="9">
        <f ca="1">AJ3518</f>
        <v>2173897.9856092078</v>
      </c>
      <c r="AM3529" s="98"/>
      <c r="AN3529" s="106">
        <f ca="1">IF(AM3522&lt;=0,Q_max,ABS(AM$23-AM3528))</f>
        <v>236393</v>
      </c>
      <c r="AO3529" s="9">
        <f ca="1">AM3518</f>
        <v>2652568.6699033035</v>
      </c>
      <c r="AP3529" s="98"/>
      <c r="AQ3529" s="106">
        <f ca="1">IF(AP3522&lt;=0,Q_max,ABS(AP$23-AP3528))</f>
        <v>236393</v>
      </c>
      <c r="AR3529" s="9">
        <f ca="1">AP3518</f>
        <v>3079549.8777448256</v>
      </c>
      <c r="AS3529" s="98"/>
      <c r="AT3529" s="106">
        <f ca="1">IF(AS3522&lt;=0,Q_max,ABS(AS$23-AS3528))</f>
        <v>236393</v>
      </c>
      <c r="AU3529" s="9">
        <f ca="1">AS3518</f>
        <v>3611014.4226209698</v>
      </c>
    </row>
    <row r="3530" spans="15:47" x14ac:dyDescent="0.25">
      <c r="O3530" s="21"/>
      <c r="P3530" s="14"/>
      <c r="Q3530" s="21"/>
      <c r="R3530" s="97"/>
      <c r="S3530" s="106"/>
      <c r="T3530" s="28"/>
      <c r="U3530" s="97"/>
      <c r="V3530" s="111"/>
      <c r="W3530" s="28"/>
      <c r="X3530" s="97"/>
      <c r="Y3530" s="111"/>
      <c r="Z3530" s="28"/>
      <c r="AA3530" s="97"/>
      <c r="AB3530" s="111"/>
      <c r="AC3530" s="28"/>
      <c r="AD3530" s="97"/>
      <c r="AE3530" s="111"/>
      <c r="AF3530" s="28"/>
      <c r="AG3530" s="97"/>
      <c r="AH3530" s="111"/>
      <c r="AI3530" s="28"/>
      <c r="AJ3530" s="97"/>
      <c r="AK3530" s="111"/>
      <c r="AL3530" s="28"/>
      <c r="AM3530" s="97"/>
      <c r="AN3530" s="111"/>
      <c r="AO3530" s="28"/>
      <c r="AP3530" s="97"/>
      <c r="AQ3530" s="111"/>
      <c r="AR3530" s="28"/>
      <c r="AS3530" s="97"/>
      <c r="AT3530" s="111"/>
      <c r="AU3530" s="28"/>
    </row>
    <row r="3531" spans="15:47" x14ac:dyDescent="0.25">
      <c r="O3531" s="1"/>
      <c r="P3531" s="1"/>
      <c r="Q3531" s="1"/>
      <c r="R3531" s="98"/>
      <c r="S3531" s="108" t="s">
        <v>137</v>
      </c>
      <c r="T3531" s="26" t="s">
        <v>146</v>
      </c>
      <c r="U3531" s="98"/>
      <c r="V3531" s="108" t="s">
        <v>137</v>
      </c>
      <c r="W3531" s="26" t="s">
        <v>146</v>
      </c>
      <c r="X3531" s="98"/>
      <c r="Y3531" s="108" t="s">
        <v>137</v>
      </c>
      <c r="Z3531" s="26" t="s">
        <v>146</v>
      </c>
      <c r="AA3531" s="98"/>
      <c r="AB3531" s="108" t="s">
        <v>137</v>
      </c>
      <c r="AC3531" s="26" t="s">
        <v>146</v>
      </c>
      <c r="AD3531" s="98"/>
      <c r="AE3531" s="108" t="s">
        <v>137</v>
      </c>
      <c r="AF3531" s="26" t="s">
        <v>146</v>
      </c>
      <c r="AG3531" s="98"/>
      <c r="AH3531" s="108" t="s">
        <v>137</v>
      </c>
      <c r="AI3531" s="26" t="s">
        <v>146</v>
      </c>
      <c r="AJ3531" s="98"/>
      <c r="AK3531" s="108" t="s">
        <v>137</v>
      </c>
      <c r="AL3531" s="26" t="s">
        <v>146</v>
      </c>
      <c r="AM3531" s="98"/>
      <c r="AN3531" s="108" t="s">
        <v>137</v>
      </c>
      <c r="AO3531" s="26" t="s">
        <v>146</v>
      </c>
      <c r="AP3531" s="98"/>
      <c r="AQ3531" s="108" t="s">
        <v>137</v>
      </c>
      <c r="AR3531" s="26" t="s">
        <v>146</v>
      </c>
      <c r="AS3531" s="98"/>
      <c r="AT3531" s="108" t="s">
        <v>137</v>
      </c>
      <c r="AU3531" s="26" t="s">
        <v>146</v>
      </c>
    </row>
    <row r="3532" spans="15:47" ht="13.8" x14ac:dyDescent="0.25">
      <c r="O3532" s="20" t="s">
        <v>136</v>
      </c>
      <c r="P3532" s="1"/>
      <c r="Q3532" s="1"/>
      <c r="R3532" s="96">
        <f>R3518*1.02</f>
        <v>45012.134098896997</v>
      </c>
      <c r="S3532" s="109" t="s">
        <v>144</v>
      </c>
      <c r="T3532" s="23" t="s">
        <v>147</v>
      </c>
      <c r="U3532" s="96">
        <f ca="1">U3518*1.01</f>
        <v>140883.90144783468</v>
      </c>
      <c r="V3532" s="109" t="s">
        <v>144</v>
      </c>
      <c r="W3532" s="23" t="s">
        <v>147</v>
      </c>
      <c r="X3532" s="96">
        <f ca="1">X3518*1.01</f>
        <v>344972.92441712454</v>
      </c>
      <c r="Y3532" s="109" t="s">
        <v>144</v>
      </c>
      <c r="Z3532" s="23" t="s">
        <v>147</v>
      </c>
      <c r="AA3532" s="96">
        <f ca="1">AA3518*1.01</f>
        <v>671919.20400787261</v>
      </c>
      <c r="AB3532" s="109" t="s">
        <v>144</v>
      </c>
      <c r="AC3532" s="23" t="s">
        <v>147</v>
      </c>
      <c r="AD3532" s="96">
        <f ca="1">AD3518*1.01</f>
        <v>1127271.4046822079</v>
      </c>
      <c r="AE3532" s="109" t="s">
        <v>144</v>
      </c>
      <c r="AF3532" s="23" t="s">
        <v>147</v>
      </c>
      <c r="AG3532" s="96">
        <f ca="1">AG3518*1.01</f>
        <v>1645283.3176574756</v>
      </c>
      <c r="AH3532" s="109" t="s">
        <v>144</v>
      </c>
      <c r="AI3532" s="23" t="s">
        <v>147</v>
      </c>
      <c r="AJ3532" s="96">
        <f ca="1">AJ3518*1.01</f>
        <v>2195636.9654652998</v>
      </c>
      <c r="AK3532" s="109" t="s">
        <v>144</v>
      </c>
      <c r="AL3532" s="23" t="s">
        <v>147</v>
      </c>
      <c r="AM3532" s="96">
        <f ca="1">AM3518*1.01</f>
        <v>2679094.3566023367</v>
      </c>
      <c r="AN3532" s="109" t="s">
        <v>144</v>
      </c>
      <c r="AO3532" s="23" t="s">
        <v>147</v>
      </c>
      <c r="AP3532" s="96">
        <f ca="1">AP3518*1.01</f>
        <v>3110345.3765222738</v>
      </c>
      <c r="AQ3532" s="109" t="s">
        <v>144</v>
      </c>
      <c r="AR3532" s="23" t="s">
        <v>147</v>
      </c>
      <c r="AS3532" s="96">
        <f ca="1">AS3518*1.01</f>
        <v>3647124.5668471796</v>
      </c>
      <c r="AT3532" s="109" t="s">
        <v>144</v>
      </c>
      <c r="AU3532" s="23" t="s">
        <v>147</v>
      </c>
    </row>
    <row r="3533" spans="15:47" x14ac:dyDescent="0.25">
      <c r="O3533" s="1"/>
      <c r="P3533" s="1"/>
      <c r="Q3533" s="1"/>
      <c r="R3533" s="98"/>
      <c r="S3533" s="107"/>
      <c r="T3533" s="1"/>
      <c r="U3533" s="47"/>
      <c r="V3533" s="107"/>
      <c r="W3533" s="1"/>
      <c r="X3533" s="47"/>
      <c r="Y3533" s="107"/>
      <c r="Z3533" s="1"/>
      <c r="AA3533" s="47"/>
      <c r="AB3533" s="107"/>
      <c r="AC3533" s="1"/>
      <c r="AD3533" s="47"/>
      <c r="AE3533" s="107"/>
      <c r="AF3533" s="1"/>
      <c r="AG3533" s="47"/>
      <c r="AH3533" s="107"/>
      <c r="AI3533" s="1"/>
      <c r="AJ3533" s="47"/>
      <c r="AK3533" s="107"/>
      <c r="AL3533" s="1"/>
      <c r="AM3533" s="47"/>
      <c r="AN3533" s="107"/>
      <c r="AO3533" s="1"/>
      <c r="AP3533" s="47"/>
      <c r="AQ3533" s="107"/>
      <c r="AR3533" s="1"/>
      <c r="AS3533" s="47"/>
      <c r="AT3533" s="107"/>
      <c r="AU3533" s="1"/>
    </row>
    <row r="3534" spans="15:47" x14ac:dyDescent="0.25">
      <c r="O3534" s="8" t="s">
        <v>132</v>
      </c>
      <c r="P3534" s="8"/>
      <c r="Q3534" s="8"/>
      <c r="R3534" s="96">
        <f>P_1_minQ-(R3532^2*R_up)+dpup_minQ</f>
        <v>89.81576311676497</v>
      </c>
      <c r="S3534" s="106"/>
      <c r="T3534" s="22"/>
      <c r="U3534" s="96">
        <f ca="1">P_1_minQ-(U3532^2*R_up)+dpup_minQ</f>
        <v>86.567476082264562</v>
      </c>
      <c r="V3534" s="107"/>
      <c r="W3534" s="1"/>
      <c r="X3534" s="96">
        <f ca="1">P_1_minQ-(X3532^2*R_up)+dpup_minQ</f>
        <v>68.494840467012921</v>
      </c>
      <c r="Y3534" s="107"/>
      <c r="Z3534" s="1"/>
      <c r="AA3534" s="96">
        <f ca="1">P_1_minQ-(AA3532^2*R_up)+dpup_minQ</f>
        <v>7.8987196949655774</v>
      </c>
      <c r="AB3534" s="107"/>
      <c r="AC3534" s="1"/>
      <c r="AD3534" s="96">
        <f ca="1">P_1_minQ-(AD3532^2*R_up)+dpup_minQ</f>
        <v>-141.42133918950046</v>
      </c>
      <c r="AE3534" s="107"/>
      <c r="AF3534" s="1"/>
      <c r="AG3534" s="96">
        <f ca="1">P_1_minQ-(AG3532^2*R_up)+dpup_minQ</f>
        <v>-403.18744447876804</v>
      </c>
      <c r="AH3534" s="107"/>
      <c r="AI3534" s="1"/>
      <c r="AJ3534" s="96">
        <f ca="1">P_1_minQ-(AJ3532^2*R_up)+dpup_minQ</f>
        <v>-788.46231235500488</v>
      </c>
      <c r="AK3534" s="107"/>
      <c r="AL3534" s="1"/>
      <c r="AM3534" s="96">
        <f ca="1">P_1_minQ-(AM3532^2*R_up)+dpup_minQ</f>
        <v>-1218.0011377939002</v>
      </c>
      <c r="AN3534" s="107"/>
      <c r="AO3534" s="1"/>
      <c r="AP3534" s="96">
        <f ca="1">P_1_minQ-(AP3532^2*R_up)+dpup_minQ</f>
        <v>-1673.0522809774575</v>
      </c>
      <c r="AQ3534" s="107"/>
      <c r="AR3534" s="1"/>
      <c r="AS3534" s="96">
        <f ca="1">P_1_minQ-(AS3532^2*R_up)+dpup_minQ</f>
        <v>-2334.1616787149146</v>
      </c>
      <c r="AT3534" s="107"/>
      <c r="AU3534" s="1"/>
    </row>
    <row r="3535" spans="15:47" x14ac:dyDescent="0.25">
      <c r="O3535" s="8" t="s">
        <v>134</v>
      </c>
      <c r="P3535" s="1"/>
      <c r="Q3535" s="8"/>
      <c r="R3535" s="97">
        <f>P_2_minQ+(R3532^2*R_dn)-dpdn_minQ</f>
        <v>60</v>
      </c>
      <c r="S3535" s="106"/>
      <c r="T3535" s="22"/>
      <c r="U3535" s="97">
        <f ca="1">P_2_minQ+(U3532^2*R_dn)-dpdn_minQ</f>
        <v>60</v>
      </c>
      <c r="V3535" s="107"/>
      <c r="W3535" s="1"/>
      <c r="X3535" s="97">
        <f ca="1">P_2_minQ+(X3532^2*R_dn)-dpdn_minQ</f>
        <v>60</v>
      </c>
      <c r="Y3535" s="107"/>
      <c r="Z3535" s="1"/>
      <c r="AA3535" s="97">
        <f ca="1">P_2_minQ+(AA3532^2*R_dn)-dpdn_minQ</f>
        <v>60</v>
      </c>
      <c r="AB3535" s="107"/>
      <c r="AC3535" s="1"/>
      <c r="AD3535" s="97">
        <f ca="1">P_2_minQ+(AD3532^2*R_dn)-dpdn_minQ</f>
        <v>60</v>
      </c>
      <c r="AE3535" s="107"/>
      <c r="AF3535" s="1"/>
      <c r="AG3535" s="97">
        <f ca="1">P_2_minQ+(AG3532^2*R_dn)-dpdn_minQ</f>
        <v>60</v>
      </c>
      <c r="AH3535" s="107"/>
      <c r="AI3535" s="1"/>
      <c r="AJ3535" s="97">
        <f ca="1">P_2_minQ+(AJ3532^2*R_dn)-dpdn_minQ</f>
        <v>60</v>
      </c>
      <c r="AK3535" s="107"/>
      <c r="AL3535" s="1"/>
      <c r="AM3535" s="97">
        <f ca="1">P_2_minQ+(AM3532^2*R_dn)-dpdn_minQ</f>
        <v>60</v>
      </c>
      <c r="AN3535" s="107"/>
      <c r="AO3535" s="1"/>
      <c r="AP3535" s="97">
        <f ca="1">P_2_minQ+(AP3532^2*R_dn)-dpdn_minQ</f>
        <v>60</v>
      </c>
      <c r="AQ3535" s="107"/>
      <c r="AR3535" s="1"/>
      <c r="AS3535" s="97">
        <f ca="1">P_2_minQ+(AS3532^2*R_dn)-dpdn_minQ</f>
        <v>60</v>
      </c>
      <c r="AT3535" s="107"/>
      <c r="AU3535" s="1"/>
    </row>
    <row r="3536" spans="15:47" x14ac:dyDescent="0.25">
      <c r="O3536" s="8" t="s">
        <v>138</v>
      </c>
      <c r="P3536" s="1"/>
      <c r="Q3536" s="8"/>
      <c r="R3536" s="97">
        <f>R3534-R3535</f>
        <v>29.81576311676497</v>
      </c>
      <c r="S3536" s="106"/>
      <c r="T3536" s="22"/>
      <c r="U3536" s="97">
        <f ca="1">U3534-U3535</f>
        <v>26.567476082264562</v>
      </c>
      <c r="V3536" s="110"/>
      <c r="W3536" s="25"/>
      <c r="X3536" s="97">
        <f ca="1">X3534-X3535</f>
        <v>8.4948404670129207</v>
      </c>
      <c r="Y3536" s="110"/>
      <c r="Z3536" s="25"/>
      <c r="AA3536" s="97">
        <f ca="1">AA3534-AA3535</f>
        <v>-52.101280305034422</v>
      </c>
      <c r="AB3536" s="110"/>
      <c r="AC3536" s="25"/>
      <c r="AD3536" s="97">
        <f ca="1">AD3534-AD3535</f>
        <v>-201.42133918950046</v>
      </c>
      <c r="AE3536" s="110"/>
      <c r="AF3536" s="25"/>
      <c r="AG3536" s="97">
        <f ca="1">AG3534-AG3535</f>
        <v>-463.18744447876804</v>
      </c>
      <c r="AH3536" s="110"/>
      <c r="AI3536" s="25"/>
      <c r="AJ3536" s="97">
        <f ca="1">AJ3534-AJ3535</f>
        <v>-848.46231235500488</v>
      </c>
      <c r="AK3536" s="110"/>
      <c r="AL3536" s="25"/>
      <c r="AM3536" s="97">
        <f ca="1">AM3534-AM3535</f>
        <v>-1278.0011377939002</v>
      </c>
      <c r="AN3536" s="110"/>
      <c r="AO3536" s="25"/>
      <c r="AP3536" s="97">
        <f ca="1">AP3534-AP3535</f>
        <v>-1733.0522809774575</v>
      </c>
      <c r="AQ3536" s="110"/>
      <c r="AR3536" s="25"/>
      <c r="AS3536" s="97">
        <f ca="1">AS3534-AS3535</f>
        <v>-2394.1616787149146</v>
      </c>
      <c r="AT3536" s="110"/>
      <c r="AU3536" s="25"/>
    </row>
    <row r="3537" spans="15:47" ht="14.4" x14ac:dyDescent="0.3">
      <c r="O3537" s="2" t="s">
        <v>140</v>
      </c>
      <c r="P3537" s="11"/>
      <c r="Q3537" s="2"/>
      <c r="R3537" s="96">
        <f>R3536/R3534</f>
        <v>0.33196581626771898</v>
      </c>
      <c r="S3537" s="106"/>
      <c r="T3537" s="22"/>
      <c r="U3537" s="96">
        <f ca="1">U3536/U3534</f>
        <v>0.30689904898021569</v>
      </c>
      <c r="V3537" s="111"/>
      <c r="W3537" s="28"/>
      <c r="X3537" s="96">
        <f ca="1">X3536/X3534</f>
        <v>0.12402161110374484</v>
      </c>
      <c r="Y3537" s="111"/>
      <c r="Z3537" s="28"/>
      <c r="AA3537" s="96">
        <f ca="1">AA3536/AA3534</f>
        <v>-6.5961677736510032</v>
      </c>
      <c r="AB3537" s="111"/>
      <c r="AC3537" s="28"/>
      <c r="AD3537" s="96">
        <f ca="1">AD3536/AD3534</f>
        <v>1.4242641198553618</v>
      </c>
      <c r="AE3537" s="111"/>
      <c r="AF3537" s="28"/>
      <c r="AG3537" s="96">
        <f ca="1">AG3536/AG3534</f>
        <v>1.1488141578356108</v>
      </c>
      <c r="AH3537" s="111"/>
      <c r="AI3537" s="28"/>
      <c r="AJ3537" s="96">
        <f ca="1">AJ3536/AJ3534</f>
        <v>1.0760974862841448</v>
      </c>
      <c r="AK3537" s="111"/>
      <c r="AL3537" s="28"/>
      <c r="AM3537" s="96">
        <f ca="1">AM3536/AM3534</f>
        <v>1.0492610377266762</v>
      </c>
      <c r="AN3537" s="111"/>
      <c r="AO3537" s="28"/>
      <c r="AP3537" s="96">
        <f ca="1">AP3536/AP3534</f>
        <v>1.0358625971717668</v>
      </c>
      <c r="AQ3537" s="111"/>
      <c r="AR3537" s="28"/>
      <c r="AS3537" s="96">
        <f ca="1">AS3536/AS3534</f>
        <v>1.0257051602496676</v>
      </c>
      <c r="AT3537" s="111"/>
      <c r="AU3537" s="28"/>
    </row>
    <row r="3538" spans="15:47" x14ac:dyDescent="0.25">
      <c r="O3538" s="2" t="s">
        <v>21</v>
      </c>
      <c r="P3538" s="8">
        <v>12</v>
      </c>
      <c r="Q3538" s="2"/>
      <c r="R3538" s="96">
        <f ca="1">1-R3537/(3*F_GAMMA*R$29)</f>
        <v>0.82710915990446532</v>
      </c>
      <c r="S3538" s="106"/>
      <c r="T3538" s="22"/>
      <c r="U3538" s="96">
        <f ca="1">1-U3537/(3*F_GAMMA*U$29)</f>
        <v>0.84020129435248347</v>
      </c>
      <c r="V3538" s="111"/>
      <c r="W3538" s="28"/>
      <c r="X3538" s="96">
        <f ca="1">1-X3537/(3*F_GAMMA*X$29)</f>
        <v>0.93480837140793349</v>
      </c>
      <c r="Y3538" s="111"/>
      <c r="Z3538" s="28"/>
      <c r="AA3538" s="96">
        <f ca="1">1-AA3537/(3*F_GAMMA*AA$29)</f>
        <v>4.5161327216901093</v>
      </c>
      <c r="AB3538" s="111"/>
      <c r="AC3538" s="28"/>
      <c r="AD3538" s="96">
        <f ca="1">1-AD3537/(3*F_GAMMA*AD$29)</f>
        <v>0.21723979402817328</v>
      </c>
      <c r="AE3538" s="111"/>
      <c r="AF3538" s="28"/>
      <c r="AG3538" s="96">
        <f ca="1">1-AG3537/(3*F_GAMMA*AG$29)</f>
        <v>0.33073767037096979</v>
      </c>
      <c r="AH3538" s="111"/>
      <c r="AI3538" s="28"/>
      <c r="AJ3538" s="96">
        <f ca="1">1-AJ3537/(3*F_GAMMA*AJ$29)</f>
        <v>0.3255415076346897</v>
      </c>
      <c r="AK3538" s="111"/>
      <c r="AL3538" s="28"/>
      <c r="AM3538" s="96">
        <f ca="1">1-AM3537/(3*F_GAMMA*AM$29)</f>
        <v>0.26470606980179068</v>
      </c>
      <c r="AN3538" s="111"/>
      <c r="AO3538" s="28"/>
      <c r="AP3538" s="96">
        <f ca="1">1-AP3537/(3*F_GAMMA*AP$29)</f>
        <v>0.41530360853274828</v>
      </c>
      <c r="AQ3538" s="111"/>
      <c r="AR3538" s="28"/>
      <c r="AS3538" s="96">
        <f ca="1">1-AS3537/(3*F_GAMMA*AS$29)</f>
        <v>9.2352436871278365E-2</v>
      </c>
      <c r="AT3538" s="111"/>
      <c r="AU3538" s="28"/>
    </row>
    <row r="3539" spans="15:47" x14ac:dyDescent="0.25">
      <c r="O3539" s="2" t="s">
        <v>57</v>
      </c>
      <c r="P3539" s="143">
        <v>7</v>
      </c>
      <c r="Q3539" s="2"/>
      <c r="R3539" s="96">
        <f ca="1">(R3532/(N_9*R$27*R3534*R3538))*SQRT(M*'Valve Sizing'!$W$6*'Valve Sizing'!$G$8/R3537)</f>
        <v>18.295890863530417</v>
      </c>
      <c r="S3539" s="107"/>
      <c r="T3539" s="22"/>
      <c r="U3539" s="96">
        <f ca="1">(U3532/(N_9*U$27*U3534*U3538))*SQRT(M*'Valve Sizing'!$W$6*'Valve Sizing'!$G$8/U3537)</f>
        <v>60.869031942059543</v>
      </c>
      <c r="V3539" s="111"/>
      <c r="W3539" s="28"/>
      <c r="X3539" s="96">
        <f ca="1">(X3532/(N_9*X$27*X3534*X3538))*SQRT(M*'Valve Sizing'!$W$6*'Valve Sizing'!$G$8/X3537)</f>
        <v>266.94720174306991</v>
      </c>
      <c r="Y3539" s="111"/>
      <c r="Z3539" s="28"/>
      <c r="AA3539" s="96" t="e">
        <f ca="1">(AA3532/(N_9*AA$27*AA3534*AA3538))*SQRT(M*'Valve Sizing'!$W$6*'Valve Sizing'!$G$8/AA3537)</f>
        <v>#NUM!</v>
      </c>
      <c r="AB3539" s="111"/>
      <c r="AC3539" s="28"/>
      <c r="AD3539" s="96">
        <f ca="1">(AD3532/(N_9*AD$27*AD3534*AD3538))*SQRT(M*'Valve Sizing'!$W$6*'Valve Sizing'!$G$8/AD3537)</f>
        <v>-546.34241984018615</v>
      </c>
      <c r="AE3539" s="111"/>
      <c r="AF3539" s="28"/>
      <c r="AG3539" s="96">
        <f ca="1">(AG3532/(N_9*AG$27*AG3534*AG3538))*SQRT(M*'Valve Sizing'!$W$6*'Valve Sizing'!$G$8/AG3537)</f>
        <v>-209.1589639144803</v>
      </c>
      <c r="AH3539" s="111"/>
      <c r="AI3539" s="28"/>
      <c r="AJ3539" s="96">
        <f ca="1">(AJ3532/(N_9*AJ$27*AJ3534*AJ3538))*SQRT(M*'Valve Sizing'!$W$6*'Valve Sizing'!$G$8/AJ3537)</f>
        <v>-155.24649162091342</v>
      </c>
      <c r="AK3539" s="111"/>
      <c r="AL3539" s="28"/>
      <c r="AM3539" s="96">
        <f ca="1">(AM3532/(N_9*AM$27*AM3534*AM3538))*SQRT(M*'Valve Sizing'!$W$6*'Valve Sizing'!$G$8/AM3537)</f>
        <v>-162.04204432715667</v>
      </c>
      <c r="AN3539" s="111"/>
      <c r="AO3539" s="28"/>
      <c r="AP3539" s="96">
        <f ca="1">(AP3532/(N_9*AP$27*AP3534*AP3538))*SQRT(M*'Valve Sizing'!$W$6*'Valve Sizing'!$G$8/AP3537)</f>
        <v>-99.998125807618464</v>
      </c>
      <c r="AQ3539" s="111"/>
      <c r="AR3539" s="28"/>
      <c r="AS3539" s="96">
        <f ca="1">(AS3532/(N_9*AS$27*AS3534*AS3538))*SQRT(M*'Valve Sizing'!$W$6*'Valve Sizing'!$G$8/AS3537)</f>
        <v>-508.7173963677244</v>
      </c>
      <c r="AT3539" s="111"/>
      <c r="AU3539" s="28"/>
    </row>
    <row r="3540" spans="15:47" x14ac:dyDescent="0.25">
      <c r="O3540" s="2" t="s">
        <v>59</v>
      </c>
      <c r="P3540" s="143">
        <v>7</v>
      </c>
      <c r="Q3540" s="2"/>
      <c r="R3540" s="96">
        <f ca="1">(R3532/(N_9*R$27*R3534*0.667))*SQRT(M*'Valve Sizing'!$W$6*'Valve Sizing'!$G$8/R3541)</f>
        <v>16.339440350412815</v>
      </c>
      <c r="S3540" s="107"/>
      <c r="T3540" s="22"/>
      <c r="U3540" s="96">
        <f ca="1">(U3532/(N_9*U$27*U3534*0.667))*SQRT(M*'Valve Sizing'!$W$6*'Valve Sizing'!$G$8/U3541)</f>
        <v>53.088586604520913</v>
      </c>
      <c r="V3540" s="111"/>
      <c r="W3540" s="28"/>
      <c r="X3540" s="96">
        <f ca="1">(X3532/(N_9*X$27*X3534*0.667))*SQRT(M*'Valve Sizing'!$W$6*'Valve Sizing'!$G$8/X3541)</f>
        <v>165.45453462864856</v>
      </c>
      <c r="Y3540" s="111"/>
      <c r="Z3540" s="28"/>
      <c r="AA3540" s="96">
        <f ca="1">(AA3532/(N_9*AA$27*AA3534*0.667))*SQRT(M*'Valve Sizing'!$W$6*'Valve Sizing'!$G$8/AA3541)</f>
        <v>2830.8772968173166</v>
      </c>
      <c r="AB3540" s="111"/>
      <c r="AC3540" s="28"/>
      <c r="AD3540" s="96">
        <f ca="1">(AD3532/(N_9*AD$27*AD3534*0.667))*SQRT(M*'Valve Sizing'!$W$6*'Valve Sizing'!$G$8/AD3541)</f>
        <v>-272.68011413622696</v>
      </c>
      <c r="AE3540" s="111"/>
      <c r="AF3540" s="28"/>
      <c r="AG3540" s="96">
        <f ca="1">(AG3532/(N_9*AG$27*AG3534*0.667))*SQRT(M*'Valve Sizing'!$W$6*'Valve Sizing'!$G$8/AG3541)</f>
        <v>-146.95796475419533</v>
      </c>
      <c r="AH3540" s="111"/>
      <c r="AI3540" s="28"/>
      <c r="AJ3540" s="96">
        <f ca="1">(AJ3532/(N_9*AJ$27*AJ3534*0.667))*SQRT(M*'Valve Sizing'!$W$6*'Valve Sizing'!$G$8/AJ3541)</f>
        <v>-107.78059382072429</v>
      </c>
      <c r="AK3540" s="111"/>
      <c r="AL3540" s="28"/>
      <c r="AM3540" s="96">
        <f ca="1">(AM3532/(N_9*AM$27*AM3534*0.667))*SQRT(M*'Valve Sizing'!$W$6*'Valve Sizing'!$G$8/AM3541)</f>
        <v>-95.51177089768494</v>
      </c>
      <c r="AN3540" s="111"/>
      <c r="AO3540" s="28"/>
      <c r="AP3540" s="96">
        <f ca="1">(AP3532/(N_9*AP$27*AP3534*0.667))*SQRT(M*'Valve Sizing'!$W$6*'Valve Sizing'!$G$8/AP3541)</f>
        <v>-82.462702827259605</v>
      </c>
      <c r="AQ3540" s="111"/>
      <c r="AR3540" s="28"/>
      <c r="AS3540" s="96">
        <f ca="1">(AS3532/(N_9*AS$27*AS3534*0.667))*SQRT(M*'Valve Sizing'!$W$6*'Valve Sizing'!$G$8/AS3541)</f>
        <v>-116.23003409172175</v>
      </c>
      <c r="AT3540" s="111"/>
      <c r="AU3540" s="28"/>
    </row>
    <row r="3541" spans="15:47" ht="15.6" x14ac:dyDescent="0.35">
      <c r="O3541" s="2" t="s">
        <v>68</v>
      </c>
      <c r="P3541" s="143">
        <v>10</v>
      </c>
      <c r="Q3541" s="2"/>
      <c r="R3541" s="96">
        <f ca="1">F_GAMMA*R$29</f>
        <v>0.64002969751372984</v>
      </c>
      <c r="S3541" s="107"/>
      <c r="T3541" s="1"/>
      <c r="U3541" s="96">
        <f ca="1">F_GAMMA*U$29</f>
        <v>0.64017842058782071</v>
      </c>
      <c r="V3541" s="111"/>
      <c r="W3541" s="28"/>
      <c r="X3541" s="96">
        <f ca="1">F_GAMMA*X$29</f>
        <v>0.63413873724904268</v>
      </c>
      <c r="Y3541" s="111"/>
      <c r="Z3541" s="28"/>
      <c r="AA3541" s="96">
        <f ca="1">F_GAMMA*AA$29</f>
        <v>0.62532411750377137</v>
      </c>
      <c r="AB3541" s="111"/>
      <c r="AC3541" s="28"/>
      <c r="AD3541" s="96">
        <f ca="1">F_GAMMA*AD$29</f>
        <v>0.60651359509139569</v>
      </c>
      <c r="AE3541" s="111"/>
      <c r="AF3541" s="28"/>
      <c r="AG3541" s="96">
        <f ca="1">F_GAMMA*AG$29</f>
        <v>0.57217930198481592</v>
      </c>
      <c r="AH3541" s="111"/>
      <c r="AI3541" s="28"/>
      <c r="AJ3541" s="96">
        <f ca="1">F_GAMMA*AJ$29</f>
        <v>0.53183282018848232</v>
      </c>
      <c r="AK3541" s="111"/>
      <c r="AL3541" s="28"/>
      <c r="AM3541" s="96">
        <f ca="1">F_GAMMA*AM$29</f>
        <v>0.47566512503094399</v>
      </c>
      <c r="AN3541" s="111"/>
      <c r="AO3541" s="28"/>
      <c r="AP3541" s="96">
        <f ca="1">F_GAMMA*AP$29</f>
        <v>0.59054158265645496</v>
      </c>
      <c r="AQ3541" s="111"/>
      <c r="AR3541" s="28"/>
      <c r="AS3541" s="96">
        <f ca="1">F_GAMMA*AS$29</f>
        <v>0.3766899554102966</v>
      </c>
      <c r="AT3541" s="111"/>
      <c r="AU3541" s="28"/>
    </row>
    <row r="3542" spans="15:47" x14ac:dyDescent="0.25">
      <c r="O3542" s="2" t="s">
        <v>145</v>
      </c>
      <c r="P3542" s="12"/>
      <c r="Q3542" s="2"/>
      <c r="R3542" s="96">
        <f ca="1">IF(R3537&lt;R3541,R3539,R3540)</f>
        <v>18.295890863530417</v>
      </c>
      <c r="S3542" s="116"/>
      <c r="T3542" s="1"/>
      <c r="U3542" s="96">
        <f ca="1">IF(U3537&lt;U3541,U3539,U3540)</f>
        <v>60.869031942059543</v>
      </c>
      <c r="V3542" s="111"/>
      <c r="W3542" s="28"/>
      <c r="X3542" s="96">
        <f ca="1">IF(X3537&lt;X3541,X3539,X3540)</f>
        <v>266.94720174306991</v>
      </c>
      <c r="Y3542" s="111"/>
      <c r="Z3542" s="28"/>
      <c r="AA3542" s="96" t="e">
        <f ca="1">IF(AA3537&lt;AA3541,AA3539,AA3540)</f>
        <v>#NUM!</v>
      </c>
      <c r="AB3542" s="111"/>
      <c r="AC3542" s="28"/>
      <c r="AD3542" s="96">
        <f ca="1">IF(AD3537&lt;AD3541,AD3539,AD3540)</f>
        <v>-272.68011413622696</v>
      </c>
      <c r="AE3542" s="111"/>
      <c r="AF3542" s="28"/>
      <c r="AG3542" s="96">
        <f ca="1">IF(AG3537&lt;AG3541,AG3539,AG3540)</f>
        <v>-146.95796475419533</v>
      </c>
      <c r="AH3542" s="111"/>
      <c r="AI3542" s="28"/>
      <c r="AJ3542" s="96">
        <f ca="1">IF(AJ3537&lt;AJ3541,AJ3539,AJ3540)</f>
        <v>-107.78059382072429</v>
      </c>
      <c r="AK3542" s="111"/>
      <c r="AL3542" s="28"/>
      <c r="AM3542" s="96">
        <f ca="1">IF(AM3537&lt;AM3541,AM3539,AM3540)</f>
        <v>-95.51177089768494</v>
      </c>
      <c r="AN3542" s="111"/>
      <c r="AO3542" s="28"/>
      <c r="AP3542" s="96">
        <f ca="1">IF(AP3537&lt;AP3541,AP3539,AP3540)</f>
        <v>-82.462702827259605</v>
      </c>
      <c r="AQ3542" s="111"/>
      <c r="AR3542" s="28"/>
      <c r="AS3542" s="96">
        <f ca="1">IF(AS3537&lt;AS3541,AS3539,AS3540)</f>
        <v>-116.23003409172175</v>
      </c>
      <c r="AT3542" s="111"/>
      <c r="AU3542" s="28"/>
    </row>
    <row r="3543" spans="15:47" x14ac:dyDescent="0.25">
      <c r="O3543" s="13" t="s">
        <v>143</v>
      </c>
      <c r="P3543" s="1"/>
      <c r="Q3543" s="1"/>
      <c r="R3543" s="113"/>
      <c r="S3543" s="106">
        <f ca="1">IF(R3536&lt;=0,Q_max,ABS(R$23-R3542))</f>
        <v>13.565890863530417</v>
      </c>
      <c r="T3543" s="7">
        <f>R3532</f>
        <v>45012.134098896997</v>
      </c>
      <c r="U3543" s="98"/>
      <c r="V3543" s="106">
        <f ca="1">IF(U3536&lt;=0,Q_max,ABS(U$23-U3542))</f>
        <v>49.269031942059542</v>
      </c>
      <c r="W3543" s="9">
        <f ca="1">U3532</f>
        <v>140883.90144783468</v>
      </c>
      <c r="X3543" s="98"/>
      <c r="Y3543" s="106">
        <f ca="1">IF(X3536&lt;=0,Q_max,ABS(X$23-X3542))</f>
        <v>243.94720174306991</v>
      </c>
      <c r="Z3543" s="9">
        <f ca="1">X3532</f>
        <v>344972.92441712454</v>
      </c>
      <c r="AA3543" s="98"/>
      <c r="AB3543" s="106">
        <f ca="1">IF(AA3536&lt;=0,Q_max,ABS(AA$23-AA3542))</f>
        <v>236393</v>
      </c>
      <c r="AC3543" s="9">
        <f ca="1">AA3532</f>
        <v>671919.20400787261</v>
      </c>
      <c r="AD3543" s="98"/>
      <c r="AE3543" s="106">
        <f ca="1">IF(AD3536&lt;=0,Q_max,ABS(AD$23-AD3542))</f>
        <v>236393</v>
      </c>
      <c r="AF3543" s="9">
        <f ca="1">AD3532</f>
        <v>1127271.4046822079</v>
      </c>
      <c r="AG3543" s="98"/>
      <c r="AH3543" s="106">
        <f ca="1">IF(AG3536&lt;=0,Q_max,ABS(AG$23-AG3542))</f>
        <v>236393</v>
      </c>
      <c r="AI3543" s="9">
        <f ca="1">AG3532</f>
        <v>1645283.3176574756</v>
      </c>
      <c r="AJ3543" s="98"/>
      <c r="AK3543" s="106">
        <f ca="1">IF(AJ3536&lt;=0,Q_max,ABS(AJ$23-AJ3542))</f>
        <v>236393</v>
      </c>
      <c r="AL3543" s="9">
        <f ca="1">AJ3532</f>
        <v>2195636.9654652998</v>
      </c>
      <c r="AM3543" s="98"/>
      <c r="AN3543" s="106">
        <f ca="1">IF(AM3536&lt;=0,Q_max,ABS(AM$23-AM3542))</f>
        <v>236393</v>
      </c>
      <c r="AO3543" s="9">
        <f ca="1">AM3532</f>
        <v>2679094.3566023367</v>
      </c>
      <c r="AP3543" s="98"/>
      <c r="AQ3543" s="106">
        <f ca="1">IF(AP3536&lt;=0,Q_max,ABS(AP$23-AP3542))</f>
        <v>236393</v>
      </c>
      <c r="AR3543" s="9">
        <f ca="1">AP3532</f>
        <v>3110345.3765222738</v>
      </c>
      <c r="AS3543" s="98"/>
      <c r="AT3543" s="106">
        <f ca="1">IF(AS3536&lt;=0,Q_max,ABS(AS$23-AS3542))</f>
        <v>236393</v>
      </c>
      <c r="AU3543" s="9">
        <f ca="1">AS3532</f>
        <v>3647124.5668471796</v>
      </c>
    </row>
    <row r="3544" spans="15:47" x14ac:dyDescent="0.25">
      <c r="O3544" s="21"/>
      <c r="P3544" s="14"/>
      <c r="Q3544" s="21"/>
      <c r="R3544" s="97"/>
      <c r="S3544" s="106"/>
      <c r="T3544" s="28"/>
      <c r="U3544" s="99"/>
      <c r="V3544" s="110"/>
      <c r="W3544" s="25"/>
      <c r="X3544" s="99"/>
      <c r="Y3544" s="110"/>
      <c r="Z3544" s="25"/>
      <c r="AA3544" s="99"/>
      <c r="AB3544" s="110"/>
      <c r="AC3544" s="25"/>
      <c r="AD3544" s="99"/>
      <c r="AE3544" s="110"/>
      <c r="AF3544" s="25"/>
      <c r="AG3544" s="99"/>
      <c r="AH3544" s="110"/>
      <c r="AI3544" s="25"/>
      <c r="AJ3544" s="99"/>
      <c r="AK3544" s="110"/>
      <c r="AL3544" s="25"/>
      <c r="AM3544" s="99"/>
      <c r="AN3544" s="110"/>
      <c r="AO3544" s="25"/>
      <c r="AP3544" s="99"/>
      <c r="AQ3544" s="110"/>
      <c r="AR3544" s="25"/>
      <c r="AS3544" s="99"/>
      <c r="AT3544" s="110"/>
      <c r="AU3544" s="25"/>
    </row>
    <row r="3545" spans="15:47" x14ac:dyDescent="0.25">
      <c r="O3545" s="1"/>
      <c r="P3545" s="1"/>
      <c r="Q3545" s="1"/>
      <c r="R3545" s="98"/>
      <c r="S3545" s="108" t="s">
        <v>137</v>
      </c>
      <c r="T3545" s="26" t="s">
        <v>146</v>
      </c>
      <c r="U3545" s="98"/>
      <c r="V3545" s="108" t="s">
        <v>137</v>
      </c>
      <c r="W3545" s="26" t="s">
        <v>146</v>
      </c>
      <c r="X3545" s="98"/>
      <c r="Y3545" s="108" t="s">
        <v>137</v>
      </c>
      <c r="Z3545" s="26" t="s">
        <v>146</v>
      </c>
      <c r="AA3545" s="98"/>
      <c r="AB3545" s="108" t="s">
        <v>137</v>
      </c>
      <c r="AC3545" s="26" t="s">
        <v>146</v>
      </c>
      <c r="AD3545" s="98"/>
      <c r="AE3545" s="108" t="s">
        <v>137</v>
      </c>
      <c r="AF3545" s="26" t="s">
        <v>146</v>
      </c>
      <c r="AG3545" s="98"/>
      <c r="AH3545" s="108" t="s">
        <v>137</v>
      </c>
      <c r="AI3545" s="26" t="s">
        <v>146</v>
      </c>
      <c r="AJ3545" s="98"/>
      <c r="AK3545" s="108" t="s">
        <v>137</v>
      </c>
      <c r="AL3545" s="26" t="s">
        <v>146</v>
      </c>
      <c r="AM3545" s="98"/>
      <c r="AN3545" s="108" t="s">
        <v>137</v>
      </c>
      <c r="AO3545" s="26" t="s">
        <v>146</v>
      </c>
      <c r="AP3545" s="98"/>
      <c r="AQ3545" s="108" t="s">
        <v>137</v>
      </c>
      <c r="AR3545" s="26" t="s">
        <v>146</v>
      </c>
      <c r="AS3545" s="98"/>
      <c r="AT3545" s="108" t="s">
        <v>137</v>
      </c>
      <c r="AU3545" s="26" t="s">
        <v>146</v>
      </c>
    </row>
    <row r="3546" spans="15:47" ht="13.8" x14ac:dyDescent="0.25">
      <c r="O3546" s="20" t="s">
        <v>136</v>
      </c>
      <c r="P3546" s="1"/>
      <c r="Q3546" s="1"/>
      <c r="R3546" s="96">
        <f>R3532*1.02</f>
        <v>45912.37678087494</v>
      </c>
      <c r="S3546" s="109" t="s">
        <v>144</v>
      </c>
      <c r="T3546" s="23" t="s">
        <v>147</v>
      </c>
      <c r="U3546" s="96">
        <f ca="1">U3532*1.01</f>
        <v>142292.74046231303</v>
      </c>
      <c r="V3546" s="109" t="s">
        <v>144</v>
      </c>
      <c r="W3546" s="23" t="s">
        <v>147</v>
      </c>
      <c r="X3546" s="96">
        <f ca="1">X3532*1.01</f>
        <v>348422.65366129577</v>
      </c>
      <c r="Y3546" s="109" t="s">
        <v>144</v>
      </c>
      <c r="Z3546" s="23" t="s">
        <v>147</v>
      </c>
      <c r="AA3546" s="96">
        <f ca="1">AA3532*1.01</f>
        <v>678638.3960479513</v>
      </c>
      <c r="AB3546" s="109" t="s">
        <v>144</v>
      </c>
      <c r="AC3546" s="23" t="s">
        <v>147</v>
      </c>
      <c r="AD3546" s="96">
        <f ca="1">AD3532*1.01</f>
        <v>1138544.11872903</v>
      </c>
      <c r="AE3546" s="109" t="s">
        <v>144</v>
      </c>
      <c r="AF3546" s="23" t="s">
        <v>147</v>
      </c>
      <c r="AG3546" s="96">
        <f ca="1">AG3532*1.01</f>
        <v>1661736.1508340503</v>
      </c>
      <c r="AH3546" s="109" t="s">
        <v>144</v>
      </c>
      <c r="AI3546" s="23" t="s">
        <v>147</v>
      </c>
      <c r="AJ3546" s="96">
        <f ca="1">AJ3532*1.01</f>
        <v>2217593.3351199529</v>
      </c>
      <c r="AK3546" s="109" t="s">
        <v>144</v>
      </c>
      <c r="AL3546" s="23" t="s">
        <v>147</v>
      </c>
      <c r="AM3546" s="96">
        <f ca="1">AM3532*1.01</f>
        <v>2705885.3001683601</v>
      </c>
      <c r="AN3546" s="109" t="s">
        <v>144</v>
      </c>
      <c r="AO3546" s="23" t="s">
        <v>147</v>
      </c>
      <c r="AP3546" s="96">
        <f ca="1">AP3532*1.01</f>
        <v>3141448.8302874966</v>
      </c>
      <c r="AQ3546" s="109" t="s">
        <v>144</v>
      </c>
      <c r="AR3546" s="23" t="s">
        <v>147</v>
      </c>
      <c r="AS3546" s="96">
        <f ca="1">AS3532*1.01</f>
        <v>3683595.8125156513</v>
      </c>
      <c r="AT3546" s="109" t="s">
        <v>144</v>
      </c>
      <c r="AU3546" s="23" t="s">
        <v>147</v>
      </c>
    </row>
    <row r="3547" spans="15:47" x14ac:dyDescent="0.25">
      <c r="O3547" s="1"/>
      <c r="P3547" s="1"/>
      <c r="Q3547" s="1"/>
      <c r="R3547" s="98"/>
      <c r="S3547" s="107"/>
      <c r="T3547" s="1"/>
      <c r="U3547" s="47"/>
      <c r="V3547" s="107"/>
      <c r="W3547" s="1"/>
      <c r="X3547" s="47"/>
      <c r="Y3547" s="107"/>
      <c r="Z3547" s="1"/>
      <c r="AA3547" s="47"/>
      <c r="AB3547" s="107"/>
      <c r="AC3547" s="1"/>
      <c r="AD3547" s="47"/>
      <c r="AE3547" s="107"/>
      <c r="AF3547" s="1"/>
      <c r="AG3547" s="47"/>
      <c r="AH3547" s="107"/>
      <c r="AI3547" s="1"/>
      <c r="AJ3547" s="47"/>
      <c r="AK3547" s="107"/>
      <c r="AL3547" s="1"/>
      <c r="AM3547" s="47"/>
      <c r="AN3547" s="107"/>
      <c r="AO3547" s="1"/>
      <c r="AP3547" s="47"/>
      <c r="AQ3547" s="107"/>
      <c r="AR3547" s="1"/>
      <c r="AS3547" s="47"/>
      <c r="AT3547" s="107"/>
      <c r="AU3547" s="1"/>
    </row>
    <row r="3548" spans="15:47" x14ac:dyDescent="0.25">
      <c r="O3548" s="8" t="s">
        <v>132</v>
      </c>
      <c r="P3548" s="8"/>
      <c r="Q3548" s="8"/>
      <c r="R3548" s="96">
        <f>P_1_minQ-(R3546^2*R_up)+dpup_minQ</f>
        <v>89.800844309259944</v>
      </c>
      <c r="S3548" s="106"/>
      <c r="T3548" s="22"/>
      <c r="U3548" s="96">
        <f ca="1">P_1_minQ-(U3546^2*R_up)+dpup_minQ</f>
        <v>86.49476303685995</v>
      </c>
      <c r="V3548" s="107"/>
      <c r="W3548" s="1"/>
      <c r="X3548" s="96">
        <f ca="1">P_1_minQ-(X3546^2*R_up)+dpup_minQ</f>
        <v>68.058867445741754</v>
      </c>
      <c r="Y3548" s="107"/>
      <c r="Z3548" s="1"/>
      <c r="AA3548" s="96">
        <f ca="1">P_1_minQ-(AA3546^2*R_up)+dpup_minQ</f>
        <v>6.2447646461762494</v>
      </c>
      <c r="AB3548" s="107"/>
      <c r="AC3548" s="1"/>
      <c r="AD3548" s="96">
        <f ca="1">P_1_minQ-(AD3546^2*R_up)+dpup_minQ</f>
        <v>-146.07662742186761</v>
      </c>
      <c r="AE3548" s="107"/>
      <c r="AF3548" s="1"/>
      <c r="AG3548" s="96">
        <f ca="1">P_1_minQ-(AG3546^2*R_up)+dpup_minQ</f>
        <v>-413.10423142744941</v>
      </c>
      <c r="AH3548" s="107"/>
      <c r="AI3548" s="1"/>
      <c r="AJ3548" s="96">
        <f ca="1">P_1_minQ-(AJ3546^2*R_up)+dpup_minQ</f>
        <v>-806.12312414799874</v>
      </c>
      <c r="AK3548" s="107"/>
      <c r="AL3548" s="1"/>
      <c r="AM3548" s="96">
        <f ca="1">P_1_minQ-(AM3546^2*R_up)+dpup_minQ</f>
        <v>-1244.295679978216</v>
      </c>
      <c r="AN3548" s="107"/>
      <c r="AO3548" s="1"/>
      <c r="AP3548" s="96">
        <f ca="1">P_1_minQ-(AP3546^2*R_up)+dpup_minQ</f>
        <v>-1708.4933511397626</v>
      </c>
      <c r="AQ3548" s="107"/>
      <c r="AR3548" s="1"/>
      <c r="AS3548" s="96">
        <f ca="1">P_1_minQ-(AS3546^2*R_up)+dpup_minQ</f>
        <v>-2382.8910477717427</v>
      </c>
      <c r="AT3548" s="107"/>
      <c r="AU3548" s="1"/>
    </row>
    <row r="3549" spans="15:47" x14ac:dyDescent="0.25">
      <c r="O3549" s="8" t="s">
        <v>134</v>
      </c>
      <c r="P3549" s="1"/>
      <c r="Q3549" s="8"/>
      <c r="R3549" s="97">
        <f>P_2_minQ+(R3546^2*R_dn)-dpdn_minQ</f>
        <v>60</v>
      </c>
      <c r="S3549" s="106"/>
      <c r="T3549" s="22"/>
      <c r="U3549" s="97">
        <f ca="1">P_2_minQ+(U3546^2*R_dn)-dpdn_minQ</f>
        <v>60</v>
      </c>
      <c r="V3549" s="107"/>
      <c r="W3549" s="1"/>
      <c r="X3549" s="97">
        <f ca="1">P_2_minQ+(X3546^2*R_dn)-dpdn_minQ</f>
        <v>60</v>
      </c>
      <c r="Y3549" s="107"/>
      <c r="Z3549" s="1"/>
      <c r="AA3549" s="97">
        <f ca="1">P_2_minQ+(AA3546^2*R_dn)-dpdn_minQ</f>
        <v>60</v>
      </c>
      <c r="AB3549" s="107"/>
      <c r="AC3549" s="1"/>
      <c r="AD3549" s="97">
        <f ca="1">P_2_minQ+(AD3546^2*R_dn)-dpdn_minQ</f>
        <v>60</v>
      </c>
      <c r="AE3549" s="107"/>
      <c r="AF3549" s="1"/>
      <c r="AG3549" s="97">
        <f ca="1">P_2_minQ+(AG3546^2*R_dn)-dpdn_minQ</f>
        <v>60</v>
      </c>
      <c r="AH3549" s="107"/>
      <c r="AI3549" s="1"/>
      <c r="AJ3549" s="97">
        <f ca="1">P_2_minQ+(AJ3546^2*R_dn)-dpdn_minQ</f>
        <v>60</v>
      </c>
      <c r="AK3549" s="107"/>
      <c r="AL3549" s="1"/>
      <c r="AM3549" s="97">
        <f ca="1">P_2_minQ+(AM3546^2*R_dn)-dpdn_minQ</f>
        <v>60</v>
      </c>
      <c r="AN3549" s="107"/>
      <c r="AO3549" s="1"/>
      <c r="AP3549" s="97">
        <f ca="1">P_2_minQ+(AP3546^2*R_dn)-dpdn_minQ</f>
        <v>60</v>
      </c>
      <c r="AQ3549" s="107"/>
      <c r="AR3549" s="1"/>
      <c r="AS3549" s="97">
        <f ca="1">P_2_minQ+(AS3546^2*R_dn)-dpdn_minQ</f>
        <v>60</v>
      </c>
      <c r="AT3549" s="107"/>
      <c r="AU3549" s="1"/>
    </row>
    <row r="3550" spans="15:47" x14ac:dyDescent="0.25">
      <c r="O3550" s="8" t="s">
        <v>138</v>
      </c>
      <c r="P3550" s="1"/>
      <c r="Q3550" s="8"/>
      <c r="R3550" s="97">
        <f>R3548-R3549</f>
        <v>29.800844309259944</v>
      </c>
      <c r="S3550" s="106"/>
      <c r="T3550" s="22"/>
      <c r="U3550" s="97">
        <f ca="1">U3548-U3549</f>
        <v>26.49476303685995</v>
      </c>
      <c r="V3550" s="110"/>
      <c r="W3550" s="25"/>
      <c r="X3550" s="97">
        <f ca="1">X3548-X3549</f>
        <v>8.058867445741754</v>
      </c>
      <c r="Y3550" s="110"/>
      <c r="Z3550" s="25"/>
      <c r="AA3550" s="97">
        <f ca="1">AA3548-AA3549</f>
        <v>-53.75523535382375</v>
      </c>
      <c r="AB3550" s="110"/>
      <c r="AC3550" s="25"/>
      <c r="AD3550" s="97">
        <f ca="1">AD3548-AD3549</f>
        <v>-206.07662742186761</v>
      </c>
      <c r="AE3550" s="110"/>
      <c r="AF3550" s="25"/>
      <c r="AG3550" s="97">
        <f ca="1">AG3548-AG3549</f>
        <v>-473.10423142744941</v>
      </c>
      <c r="AH3550" s="110"/>
      <c r="AI3550" s="25"/>
      <c r="AJ3550" s="97">
        <f ca="1">AJ3548-AJ3549</f>
        <v>-866.12312414799874</v>
      </c>
      <c r="AK3550" s="110"/>
      <c r="AL3550" s="25"/>
      <c r="AM3550" s="97">
        <f ca="1">AM3548-AM3549</f>
        <v>-1304.295679978216</v>
      </c>
      <c r="AN3550" s="110"/>
      <c r="AO3550" s="25"/>
      <c r="AP3550" s="97">
        <f ca="1">AP3548-AP3549</f>
        <v>-1768.4933511397626</v>
      </c>
      <c r="AQ3550" s="110"/>
      <c r="AR3550" s="25"/>
      <c r="AS3550" s="97">
        <f ca="1">AS3548-AS3549</f>
        <v>-2442.8910477717427</v>
      </c>
      <c r="AT3550" s="110"/>
      <c r="AU3550" s="25"/>
    </row>
    <row r="3551" spans="15:47" ht="14.4" x14ac:dyDescent="0.3">
      <c r="O3551" s="2" t="s">
        <v>140</v>
      </c>
      <c r="P3551" s="11"/>
      <c r="Q3551" s="2"/>
      <c r="R3551" s="96">
        <f>R3550/R3548</f>
        <v>0.3318548343112514</v>
      </c>
      <c r="S3551" s="106"/>
      <c r="T3551" s="22"/>
      <c r="U3551" s="96">
        <f ca="1">U3550/U3548</f>
        <v>0.306316383866722</v>
      </c>
      <c r="V3551" s="111"/>
      <c r="W3551" s="28"/>
      <c r="X3551" s="96">
        <f ca="1">X3550/X3548</f>
        <v>0.11841024907101909</v>
      </c>
      <c r="Y3551" s="111"/>
      <c r="Z3551" s="28"/>
      <c r="AA3551" s="96">
        <f ca="1">AA3550/AA3548</f>
        <v>-8.6080482451390345</v>
      </c>
      <c r="AB3551" s="111"/>
      <c r="AC3551" s="28"/>
      <c r="AD3551" s="96">
        <f ca="1">AD3550/AD3548</f>
        <v>1.4107433273820096</v>
      </c>
      <c r="AE3551" s="111"/>
      <c r="AF3551" s="28"/>
      <c r="AG3551" s="96">
        <f ca="1">AG3550/AG3548</f>
        <v>1.1452417947709581</v>
      </c>
      <c r="AH3551" s="111"/>
      <c r="AI3551" s="28"/>
      <c r="AJ3551" s="96">
        <f ca="1">AJ3550/AJ3548</f>
        <v>1.0744303174076724</v>
      </c>
      <c r="AK3551" s="111"/>
      <c r="AL3551" s="28"/>
      <c r="AM3551" s="96">
        <f ca="1">AM3550/AM3548</f>
        <v>1.0482200500776877</v>
      </c>
      <c r="AN3551" s="111"/>
      <c r="AO3551" s="28"/>
      <c r="AP3551" s="96">
        <f ca="1">AP3550/AP3548</f>
        <v>1.035118661691</v>
      </c>
      <c r="AQ3551" s="111"/>
      <c r="AR3551" s="28"/>
      <c r="AS3551" s="96">
        <f ca="1">AS3550/AS3548</f>
        <v>1.0251794978440607</v>
      </c>
      <c r="AT3551" s="111"/>
      <c r="AU3551" s="28"/>
    </row>
    <row r="3552" spans="15:47" x14ac:dyDescent="0.25">
      <c r="O3552" s="2" t="s">
        <v>21</v>
      </c>
      <c r="P3552" s="8">
        <v>12</v>
      </c>
      <c r="Q3552" s="2"/>
      <c r="R3552" s="96">
        <f ca="1">1-R3551/(3*F_GAMMA*R$29)</f>
        <v>0.82716696032471604</v>
      </c>
      <c r="S3552" s="106"/>
      <c r="T3552" s="22"/>
      <c r="U3552" s="96">
        <f ca="1">1-U3551/(3*F_GAMMA*U$29)</f>
        <v>0.84050468118692179</v>
      </c>
      <c r="V3552" s="111"/>
      <c r="W3552" s="28"/>
      <c r="X3552" s="96">
        <f ca="1">1-X3551/(3*F_GAMMA*X$29)</f>
        <v>0.93775796887145202</v>
      </c>
      <c r="Y3552" s="111"/>
      <c r="Z3552" s="28"/>
      <c r="AA3552" s="96">
        <f ca="1">1-AA3551/(3*F_GAMMA*AA$29)</f>
        <v>5.5885794817901608</v>
      </c>
      <c r="AB3552" s="111"/>
      <c r="AC3552" s="28"/>
      <c r="AD3552" s="96">
        <f ca="1">1-AD3551/(3*F_GAMMA*AD$29)</f>
        <v>0.22467067581042188</v>
      </c>
      <c r="AE3552" s="111"/>
      <c r="AF3552" s="28"/>
      <c r="AG3552" s="96">
        <f ca="1">1-AG3551/(3*F_GAMMA*AG$29)</f>
        <v>0.33281881466277985</v>
      </c>
      <c r="AH3552" s="111"/>
      <c r="AI3552" s="28"/>
      <c r="AJ3552" s="96">
        <f ca="1">1-AJ3551/(3*F_GAMMA*AJ$29)</f>
        <v>0.32658642802645343</v>
      </c>
      <c r="AK3552" s="111"/>
      <c r="AL3552" s="28"/>
      <c r="AM3552" s="96">
        <f ca="1">1-AM3551/(3*F_GAMMA*AM$29)</f>
        <v>0.265435565963557</v>
      </c>
      <c r="AN3552" s="111"/>
      <c r="AO3552" s="28"/>
      <c r="AP3552" s="96">
        <f ca="1">1-AP3551/(3*F_GAMMA*AP$29)</f>
        <v>0.41572352560695913</v>
      </c>
      <c r="AQ3552" s="111"/>
      <c r="AR3552" s="28"/>
      <c r="AS3552" s="96">
        <f ca="1">1-AS3551/(3*F_GAMMA*AS$29)</f>
        <v>9.2817596080735143E-2</v>
      </c>
      <c r="AT3552" s="111"/>
      <c r="AU3552" s="28"/>
    </row>
    <row r="3553" spans="15:47" x14ac:dyDescent="0.25">
      <c r="O3553" s="2" t="s">
        <v>57</v>
      </c>
      <c r="P3553" s="143">
        <v>7</v>
      </c>
      <c r="Q3553" s="2"/>
      <c r="R3553" s="96">
        <f ca="1">(R3546/(N_9*R$27*R3548*R3552))*SQRT(M*'Valve Sizing'!$W$6*'Valve Sizing'!$G$8/R3551)</f>
        <v>18.66672531527519</v>
      </c>
      <c r="S3553" s="107"/>
      <c r="T3553" s="22"/>
      <c r="U3553" s="96">
        <f ca="1">(U3546/(N_9*U$27*U3548*U3552))*SQRT(M*'Valve Sizing'!$W$6*'Valve Sizing'!$G$8/U3551)</f>
        <v>61.565665556920806</v>
      </c>
      <c r="V3553" s="111"/>
      <c r="W3553" s="28"/>
      <c r="X3553" s="96">
        <f ca="1">(X3546/(N_9*X$27*X3548*X3552))*SQRT(M*'Valve Sizing'!$W$6*'Valve Sizing'!$G$8/X3551)</f>
        <v>276.82528379904267</v>
      </c>
      <c r="Y3553" s="111"/>
      <c r="Z3553" s="28"/>
      <c r="AA3553" s="96" t="e">
        <f ca="1">(AA3546/(N_9*AA$27*AA3548*AA3552))*SQRT(M*'Valve Sizing'!$W$6*'Valve Sizing'!$G$8/AA3551)</f>
        <v>#NUM!</v>
      </c>
      <c r="AB3553" s="111"/>
      <c r="AC3553" s="28"/>
      <c r="AD3553" s="96">
        <f ca="1">(AD3546/(N_9*AD$27*AD3548*AD3552))*SQRT(M*'Valve Sizing'!$W$6*'Valve Sizing'!$G$8/AD3551)</f>
        <v>-519.0208001011714</v>
      </c>
      <c r="AE3553" s="111"/>
      <c r="AF3553" s="28"/>
      <c r="AG3553" s="96">
        <f ca="1">(AG3546/(N_9*AG$27*AG3548*AG3552))*SQRT(M*'Valve Sizing'!$W$6*'Valve Sizing'!$G$8/AG3551)</f>
        <v>-205.20942345039873</v>
      </c>
      <c r="AH3553" s="111"/>
      <c r="AI3553" s="28"/>
      <c r="AJ3553" s="96">
        <f ca="1">(AJ3546/(N_9*AJ$27*AJ3548*AJ3552))*SQRT(M*'Valve Sizing'!$W$6*'Valve Sizing'!$G$8/AJ3551)</f>
        <v>-152.9916213510416</v>
      </c>
      <c r="AK3553" s="111"/>
      <c r="AL3553" s="28"/>
      <c r="AM3553" s="96">
        <f ca="1">(AM3546/(N_9*AM$27*AM3548*AM3552))*SQRT(M*'Valve Sizing'!$W$6*'Valve Sizing'!$G$8/AM3551)</f>
        <v>-159.84296100867928</v>
      </c>
      <c r="AN3553" s="111"/>
      <c r="AO3553" s="28"/>
      <c r="AP3553" s="96">
        <f ca="1">(AP3546/(N_9*AP$27*AP3548*AP3552))*SQRT(M*'Valve Sizing'!$W$6*'Valve Sizing'!$G$8/AP3551)</f>
        <v>-98.838595005985752</v>
      </c>
      <c r="AQ3553" s="111"/>
      <c r="AR3553" s="28"/>
      <c r="AS3553" s="96">
        <f ca="1">(AS3546/(N_9*AS$27*AS3548*AS3552))*SQRT(M*'Valve Sizing'!$W$6*'Valve Sizing'!$G$8/AS3551)</f>
        <v>-500.9035035538954</v>
      </c>
      <c r="AT3553" s="111"/>
      <c r="AU3553" s="28"/>
    </row>
    <row r="3554" spans="15:47" x14ac:dyDescent="0.25">
      <c r="O3554" s="2" t="s">
        <v>59</v>
      </c>
      <c r="P3554" s="143">
        <v>7</v>
      </c>
      <c r="Q3554" s="2"/>
      <c r="R3554" s="96">
        <f ca="1">(R3546/(N_9*R$27*R3548*0.667))*SQRT(M*'Valve Sizing'!$W$6*'Valve Sizing'!$G$8/R3555)</f>
        <v>16.668997953934586</v>
      </c>
      <c r="S3554" s="107"/>
      <c r="T3554" s="22"/>
      <c r="U3554" s="96">
        <f ca="1">(U3546/(N_9*U$27*U3548*0.667))*SQRT(M*'Valve Sizing'!$W$6*'Valve Sizing'!$G$8/U3555)</f>
        <v>53.664548438167337</v>
      </c>
      <c r="V3554" s="111"/>
      <c r="W3554" s="28"/>
      <c r="X3554" s="96">
        <f ca="1">(X3546/(N_9*X$27*X3548*0.667))*SQRT(M*'Valve Sizing'!$W$6*'Valve Sizing'!$G$8/X3555)</f>
        <v>168.17955107168962</v>
      </c>
      <c r="Y3554" s="111"/>
      <c r="Z3554" s="28"/>
      <c r="AA3554" s="96">
        <f ca="1">(AA3546/(N_9*AA$27*AA3548*0.667))*SQRT(M*'Valve Sizing'!$W$6*'Valve Sizing'!$G$8/AA3555)</f>
        <v>3616.4548386646234</v>
      </c>
      <c r="AB3554" s="111"/>
      <c r="AC3554" s="28"/>
      <c r="AD3554" s="96">
        <f ca="1">(AD3546/(N_9*AD$27*AD3548*0.667))*SQRT(M*'Valve Sizing'!$W$6*'Valve Sizing'!$G$8/AD3555)</f>
        <v>-266.63002472067888</v>
      </c>
      <c r="AE3554" s="111"/>
      <c r="AF3554" s="28"/>
      <c r="AG3554" s="96">
        <f ca="1">(AG3546/(N_9*AG$27*AG3548*0.667))*SQRT(M*'Valve Sizing'!$W$6*'Valve Sizing'!$G$8/AG3555)</f>
        <v>-144.86446219833826</v>
      </c>
      <c r="AH3554" s="111"/>
      <c r="AI3554" s="28"/>
      <c r="AJ3554" s="96">
        <f ca="1">(AJ3546/(N_9*AJ$27*AJ3548*0.667))*SQRT(M*'Valve Sizing'!$W$6*'Valve Sizing'!$G$8/AJ3555)</f>
        <v>-106.47349396397507</v>
      </c>
      <c r="AK3554" s="111"/>
      <c r="AL3554" s="28"/>
      <c r="AM3554" s="96">
        <f ca="1">(AM3546/(N_9*AM$27*AM3548*0.667))*SQRT(M*'Valve Sizing'!$W$6*'Valve Sizing'!$G$8/AM3555)</f>
        <v>-94.428343658967393</v>
      </c>
      <c r="AN3554" s="111"/>
      <c r="AO3554" s="28"/>
      <c r="AP3554" s="96">
        <f ca="1">(AP3546/(N_9*AP$27*AP3548*0.667))*SQRT(M*'Valve Sizing'!$W$6*'Valve Sizing'!$G$8/AP3555)</f>
        <v>-81.559613385888483</v>
      </c>
      <c r="AQ3554" s="111"/>
      <c r="AR3554" s="28"/>
      <c r="AS3554" s="96">
        <f ca="1">(AS3546/(N_9*AS$27*AS3548*0.667))*SQRT(M*'Valve Sizing'!$W$6*'Valve Sizing'!$G$8/AS3555)</f>
        <v>-114.99169828338664</v>
      </c>
      <c r="AT3554" s="111"/>
      <c r="AU3554" s="28"/>
    </row>
    <row r="3555" spans="15:47" ht="15.6" x14ac:dyDescent="0.35">
      <c r="O3555" s="2" t="s">
        <v>68</v>
      </c>
      <c r="P3555" s="143">
        <v>10</v>
      </c>
      <c r="Q3555" s="2"/>
      <c r="R3555" s="96">
        <f ca="1">F_GAMMA*R$29</f>
        <v>0.64002969751372984</v>
      </c>
      <c r="S3555" s="107"/>
      <c r="T3555" s="1"/>
      <c r="U3555" s="96">
        <f ca="1">F_GAMMA*U$29</f>
        <v>0.64017842058782071</v>
      </c>
      <c r="V3555" s="111"/>
      <c r="W3555" s="28"/>
      <c r="X3555" s="96">
        <f ca="1">F_GAMMA*X$29</f>
        <v>0.63413873724904268</v>
      </c>
      <c r="Y3555" s="111"/>
      <c r="Z3555" s="28"/>
      <c r="AA3555" s="96">
        <f ca="1">F_GAMMA*AA$29</f>
        <v>0.62532411750377137</v>
      </c>
      <c r="AB3555" s="111"/>
      <c r="AC3555" s="28"/>
      <c r="AD3555" s="96">
        <f ca="1">F_GAMMA*AD$29</f>
        <v>0.60651359509139569</v>
      </c>
      <c r="AE3555" s="111"/>
      <c r="AF3555" s="28"/>
      <c r="AG3555" s="96">
        <f ca="1">F_GAMMA*AG$29</f>
        <v>0.57217930198481592</v>
      </c>
      <c r="AH3555" s="111"/>
      <c r="AI3555" s="28"/>
      <c r="AJ3555" s="96">
        <f ca="1">F_GAMMA*AJ$29</f>
        <v>0.53183282018848232</v>
      </c>
      <c r="AK3555" s="111"/>
      <c r="AL3555" s="28"/>
      <c r="AM3555" s="96">
        <f ca="1">F_GAMMA*AM$29</f>
        <v>0.47566512503094399</v>
      </c>
      <c r="AN3555" s="111"/>
      <c r="AO3555" s="28"/>
      <c r="AP3555" s="96">
        <f ca="1">F_GAMMA*AP$29</f>
        <v>0.59054158265645496</v>
      </c>
      <c r="AQ3555" s="111"/>
      <c r="AR3555" s="28"/>
      <c r="AS3555" s="96">
        <f ca="1">F_GAMMA*AS$29</f>
        <v>0.3766899554102966</v>
      </c>
      <c r="AT3555" s="111"/>
      <c r="AU3555" s="28"/>
    </row>
    <row r="3556" spans="15:47" x14ac:dyDescent="0.25">
      <c r="O3556" s="2" t="s">
        <v>145</v>
      </c>
      <c r="P3556" s="12"/>
      <c r="Q3556" s="2"/>
      <c r="R3556" s="96">
        <f ca="1">IF(R3551&lt;R3555,R3553,R3554)</f>
        <v>18.66672531527519</v>
      </c>
      <c r="S3556" s="116"/>
      <c r="T3556" s="1"/>
      <c r="U3556" s="96">
        <f ca="1">IF(U3551&lt;U3555,U3553,U3554)</f>
        <v>61.565665556920806</v>
      </c>
      <c r="V3556" s="111"/>
      <c r="W3556" s="28"/>
      <c r="X3556" s="96">
        <f ca="1">IF(X3551&lt;X3555,X3553,X3554)</f>
        <v>276.82528379904267</v>
      </c>
      <c r="Y3556" s="111"/>
      <c r="Z3556" s="28"/>
      <c r="AA3556" s="96" t="e">
        <f ca="1">IF(AA3551&lt;AA3555,AA3553,AA3554)</f>
        <v>#NUM!</v>
      </c>
      <c r="AB3556" s="111"/>
      <c r="AC3556" s="28"/>
      <c r="AD3556" s="96">
        <f ca="1">IF(AD3551&lt;AD3555,AD3553,AD3554)</f>
        <v>-266.63002472067888</v>
      </c>
      <c r="AE3556" s="111"/>
      <c r="AF3556" s="28"/>
      <c r="AG3556" s="96">
        <f ca="1">IF(AG3551&lt;AG3555,AG3553,AG3554)</f>
        <v>-144.86446219833826</v>
      </c>
      <c r="AH3556" s="111"/>
      <c r="AI3556" s="28"/>
      <c r="AJ3556" s="96">
        <f ca="1">IF(AJ3551&lt;AJ3555,AJ3553,AJ3554)</f>
        <v>-106.47349396397507</v>
      </c>
      <c r="AK3556" s="111"/>
      <c r="AL3556" s="28"/>
      <c r="AM3556" s="96">
        <f ca="1">IF(AM3551&lt;AM3555,AM3553,AM3554)</f>
        <v>-94.428343658967393</v>
      </c>
      <c r="AN3556" s="111"/>
      <c r="AO3556" s="28"/>
      <c r="AP3556" s="96">
        <f ca="1">IF(AP3551&lt;AP3555,AP3553,AP3554)</f>
        <v>-81.559613385888483</v>
      </c>
      <c r="AQ3556" s="111"/>
      <c r="AR3556" s="28"/>
      <c r="AS3556" s="96">
        <f ca="1">IF(AS3551&lt;AS3555,AS3553,AS3554)</f>
        <v>-114.99169828338664</v>
      </c>
      <c r="AT3556" s="111"/>
      <c r="AU3556" s="28"/>
    </row>
    <row r="3557" spans="15:47" x14ac:dyDescent="0.25">
      <c r="O3557" s="13" t="s">
        <v>143</v>
      </c>
      <c r="P3557" s="1"/>
      <c r="Q3557" s="1"/>
      <c r="R3557" s="113"/>
      <c r="S3557" s="106">
        <f ca="1">IF(R3550&lt;=0,Q_max,ABS(R$23-R3556))</f>
        <v>13.93672531527519</v>
      </c>
      <c r="T3557" s="7">
        <f>R3546</f>
        <v>45912.37678087494</v>
      </c>
      <c r="U3557" s="98"/>
      <c r="V3557" s="106">
        <f ca="1">IF(U3550&lt;=0,Q_max,ABS(U$23-U3556))</f>
        <v>49.965665556920804</v>
      </c>
      <c r="W3557" s="9">
        <f ca="1">U3546</f>
        <v>142292.74046231303</v>
      </c>
      <c r="X3557" s="98"/>
      <c r="Y3557" s="106">
        <f ca="1">IF(X3550&lt;=0,Q_max,ABS(X$23-X3556))</f>
        <v>253.82528379904267</v>
      </c>
      <c r="Z3557" s="9">
        <f ca="1">X3546</f>
        <v>348422.65366129577</v>
      </c>
      <c r="AA3557" s="98"/>
      <c r="AB3557" s="106">
        <f ca="1">IF(AA3550&lt;=0,Q_max,ABS(AA$23-AA3556))</f>
        <v>236393</v>
      </c>
      <c r="AC3557" s="9">
        <f ca="1">AA3546</f>
        <v>678638.3960479513</v>
      </c>
      <c r="AD3557" s="98"/>
      <c r="AE3557" s="106">
        <f ca="1">IF(AD3550&lt;=0,Q_max,ABS(AD$23-AD3556))</f>
        <v>236393</v>
      </c>
      <c r="AF3557" s="9">
        <f ca="1">AD3546</f>
        <v>1138544.11872903</v>
      </c>
      <c r="AG3557" s="98"/>
      <c r="AH3557" s="106">
        <f ca="1">IF(AG3550&lt;=0,Q_max,ABS(AG$23-AG3556))</f>
        <v>236393</v>
      </c>
      <c r="AI3557" s="9">
        <f ca="1">AG3546</f>
        <v>1661736.1508340503</v>
      </c>
      <c r="AJ3557" s="98"/>
      <c r="AK3557" s="106">
        <f ca="1">IF(AJ3550&lt;=0,Q_max,ABS(AJ$23-AJ3556))</f>
        <v>236393</v>
      </c>
      <c r="AL3557" s="9">
        <f ca="1">AJ3546</f>
        <v>2217593.3351199529</v>
      </c>
      <c r="AM3557" s="98"/>
      <c r="AN3557" s="106">
        <f ca="1">IF(AM3550&lt;=0,Q_max,ABS(AM$23-AM3556))</f>
        <v>236393</v>
      </c>
      <c r="AO3557" s="9">
        <f ca="1">AM3546</f>
        <v>2705885.3001683601</v>
      </c>
      <c r="AP3557" s="98"/>
      <c r="AQ3557" s="106">
        <f ca="1">IF(AP3550&lt;=0,Q_max,ABS(AP$23-AP3556))</f>
        <v>236393</v>
      </c>
      <c r="AR3557" s="9">
        <f ca="1">AP3546</f>
        <v>3141448.8302874966</v>
      </c>
      <c r="AS3557" s="98"/>
      <c r="AT3557" s="106">
        <f ca="1">IF(AS3550&lt;=0,Q_max,ABS(AS$23-AS3556))</f>
        <v>236393</v>
      </c>
      <c r="AU3557" s="9">
        <f ca="1">AS3546</f>
        <v>3683595.8125156513</v>
      </c>
    </row>
    <row r="3558" spans="15:47" x14ac:dyDescent="0.25">
      <c r="O3558" s="21"/>
      <c r="P3558" s="14"/>
      <c r="Q3558" s="21"/>
      <c r="R3558" s="97"/>
      <c r="S3558" s="106"/>
      <c r="T3558" s="28"/>
      <c r="U3558" s="97"/>
      <c r="V3558" s="111"/>
      <c r="W3558" s="28"/>
      <c r="X3558" s="97"/>
      <c r="Y3558" s="111"/>
      <c r="Z3558" s="28"/>
      <c r="AA3558" s="97"/>
      <c r="AB3558" s="111"/>
      <c r="AC3558" s="28"/>
      <c r="AD3558" s="97"/>
      <c r="AE3558" s="111"/>
      <c r="AF3558" s="28"/>
      <c r="AG3558" s="97"/>
      <c r="AH3558" s="111"/>
      <c r="AI3558" s="28"/>
      <c r="AJ3558" s="97"/>
      <c r="AK3558" s="111"/>
      <c r="AL3558" s="28"/>
      <c r="AM3558" s="97"/>
      <c r="AN3558" s="111"/>
      <c r="AO3558" s="28"/>
      <c r="AP3558" s="97"/>
      <c r="AQ3558" s="111"/>
      <c r="AR3558" s="28"/>
      <c r="AS3558" s="97"/>
      <c r="AT3558" s="111"/>
      <c r="AU3558" s="28"/>
    </row>
    <row r="3559" spans="15:47" x14ac:dyDescent="0.25">
      <c r="O3559" s="1"/>
      <c r="P3559" s="1"/>
      <c r="Q3559" s="1"/>
      <c r="R3559" s="98"/>
      <c r="S3559" s="108" t="s">
        <v>137</v>
      </c>
      <c r="T3559" s="26" t="s">
        <v>146</v>
      </c>
      <c r="U3559" s="98"/>
      <c r="V3559" s="108" t="s">
        <v>137</v>
      </c>
      <c r="W3559" s="26" t="s">
        <v>146</v>
      </c>
      <c r="X3559" s="98"/>
      <c r="Y3559" s="108" t="s">
        <v>137</v>
      </c>
      <c r="Z3559" s="26" t="s">
        <v>146</v>
      </c>
      <c r="AA3559" s="98"/>
      <c r="AB3559" s="108" t="s">
        <v>137</v>
      </c>
      <c r="AC3559" s="26" t="s">
        <v>146</v>
      </c>
      <c r="AD3559" s="98"/>
      <c r="AE3559" s="108" t="s">
        <v>137</v>
      </c>
      <c r="AF3559" s="26" t="s">
        <v>146</v>
      </c>
      <c r="AG3559" s="98"/>
      <c r="AH3559" s="108" t="s">
        <v>137</v>
      </c>
      <c r="AI3559" s="26" t="s">
        <v>146</v>
      </c>
      <c r="AJ3559" s="98"/>
      <c r="AK3559" s="108" t="s">
        <v>137</v>
      </c>
      <c r="AL3559" s="26" t="s">
        <v>146</v>
      </c>
      <c r="AM3559" s="98"/>
      <c r="AN3559" s="108" t="s">
        <v>137</v>
      </c>
      <c r="AO3559" s="26" t="s">
        <v>146</v>
      </c>
      <c r="AP3559" s="98"/>
      <c r="AQ3559" s="108" t="s">
        <v>137</v>
      </c>
      <c r="AR3559" s="26" t="s">
        <v>146</v>
      </c>
      <c r="AS3559" s="98"/>
      <c r="AT3559" s="108" t="s">
        <v>137</v>
      </c>
      <c r="AU3559" s="26" t="s">
        <v>146</v>
      </c>
    </row>
    <row r="3560" spans="15:47" ht="13.8" x14ac:dyDescent="0.25">
      <c r="O3560" s="20" t="s">
        <v>136</v>
      </c>
      <c r="P3560" s="1"/>
      <c r="Q3560" s="1"/>
      <c r="R3560" s="96">
        <f>R3546*1.02</f>
        <v>46830.624316492438</v>
      </c>
      <c r="S3560" s="109" t="s">
        <v>144</v>
      </c>
      <c r="T3560" s="23" t="s">
        <v>147</v>
      </c>
      <c r="U3560" s="96">
        <f ca="1">U3546*1.01</f>
        <v>143715.66786693616</v>
      </c>
      <c r="V3560" s="109" t="s">
        <v>144</v>
      </c>
      <c r="W3560" s="23" t="s">
        <v>147</v>
      </c>
      <c r="X3560" s="96">
        <f ca="1">X3546*1.01</f>
        <v>351906.88019790873</v>
      </c>
      <c r="Y3560" s="109" t="s">
        <v>144</v>
      </c>
      <c r="Z3560" s="23" t="s">
        <v>147</v>
      </c>
      <c r="AA3560" s="96">
        <f ca="1">AA3546*1.01</f>
        <v>685424.78000843083</v>
      </c>
      <c r="AB3560" s="109" t="s">
        <v>144</v>
      </c>
      <c r="AC3560" s="23" t="s">
        <v>147</v>
      </c>
      <c r="AD3560" s="96">
        <f ca="1">AD3546*1.01</f>
        <v>1149929.5599163203</v>
      </c>
      <c r="AE3560" s="109" t="s">
        <v>144</v>
      </c>
      <c r="AF3560" s="23" t="s">
        <v>147</v>
      </c>
      <c r="AG3560" s="96">
        <f ca="1">AG3546*1.01</f>
        <v>1678353.5123423908</v>
      </c>
      <c r="AH3560" s="109" t="s">
        <v>144</v>
      </c>
      <c r="AI3560" s="23" t="s">
        <v>147</v>
      </c>
      <c r="AJ3560" s="96">
        <f ca="1">AJ3546*1.01</f>
        <v>2239769.2684711525</v>
      </c>
      <c r="AK3560" s="109" t="s">
        <v>144</v>
      </c>
      <c r="AL3560" s="23" t="s">
        <v>147</v>
      </c>
      <c r="AM3560" s="96">
        <f ca="1">AM3546*1.01</f>
        <v>2732944.1531700436</v>
      </c>
      <c r="AN3560" s="109" t="s">
        <v>144</v>
      </c>
      <c r="AO3560" s="23" t="s">
        <v>147</v>
      </c>
      <c r="AP3560" s="96">
        <f ca="1">AP3546*1.01</f>
        <v>3172863.3185903714</v>
      </c>
      <c r="AQ3560" s="109" t="s">
        <v>144</v>
      </c>
      <c r="AR3560" s="23" t="s">
        <v>147</v>
      </c>
      <c r="AS3560" s="96">
        <f ca="1">AS3546*1.01</f>
        <v>3720431.7706408077</v>
      </c>
      <c r="AT3560" s="109" t="s">
        <v>144</v>
      </c>
      <c r="AU3560" s="23" t="s">
        <v>147</v>
      </c>
    </row>
    <row r="3561" spans="15:47" x14ac:dyDescent="0.25">
      <c r="O3561" s="1"/>
      <c r="P3561" s="1"/>
      <c r="Q3561" s="1"/>
      <c r="R3561" s="98"/>
      <c r="S3561" s="107"/>
      <c r="T3561" s="1"/>
      <c r="U3561" s="47"/>
      <c r="V3561" s="107"/>
      <c r="W3561" s="1"/>
      <c r="X3561" s="47"/>
      <c r="Y3561" s="107"/>
      <c r="Z3561" s="1"/>
      <c r="AA3561" s="47"/>
      <c r="AB3561" s="107"/>
      <c r="AC3561" s="1"/>
      <c r="AD3561" s="47"/>
      <c r="AE3561" s="107"/>
      <c r="AF3561" s="1"/>
      <c r="AG3561" s="47"/>
      <c r="AH3561" s="107"/>
      <c r="AI3561" s="1"/>
      <c r="AJ3561" s="47"/>
      <c r="AK3561" s="107"/>
      <c r="AL3561" s="1"/>
      <c r="AM3561" s="47"/>
      <c r="AN3561" s="107"/>
      <c r="AO3561" s="1"/>
      <c r="AP3561" s="47"/>
      <c r="AQ3561" s="107"/>
      <c r="AR3561" s="1"/>
      <c r="AS3561" s="47"/>
      <c r="AT3561" s="107"/>
      <c r="AU3561" s="1"/>
    </row>
    <row r="3562" spans="15:47" x14ac:dyDescent="0.25">
      <c r="O3562" s="8" t="s">
        <v>132</v>
      </c>
      <c r="P3562" s="8"/>
      <c r="Q3562" s="8"/>
      <c r="R3562" s="96">
        <f>P_1_minQ-(R3560^2*R_up)+dpup_minQ</f>
        <v>89.785322781931725</v>
      </c>
      <c r="S3562" s="106"/>
      <c r="T3562" s="22"/>
      <c r="U3562" s="96">
        <f ca="1">P_1_minQ-(U3560^2*R_up)+dpup_minQ</f>
        <v>86.420588459242694</v>
      </c>
      <c r="V3562" s="107"/>
      <c r="W3562" s="1"/>
      <c r="X3562" s="96">
        <f ca="1">P_1_minQ-(X3560^2*R_up)+dpup_minQ</f>
        <v>67.614131366743024</v>
      </c>
      <c r="Y3562" s="107"/>
      <c r="Z3562" s="1"/>
      <c r="AA3562" s="96">
        <f ca="1">P_1_minQ-(AA3560^2*R_up)+dpup_minQ</f>
        <v>4.5575651009062588</v>
      </c>
      <c r="AB3562" s="107"/>
      <c r="AC3562" s="1"/>
      <c r="AD3562" s="96">
        <f ca="1">P_1_minQ-(AD3560^2*R_up)+dpup_minQ</f>
        <v>-150.82548694770526</v>
      </c>
      <c r="AE3562" s="107"/>
      <c r="AF3562" s="1"/>
      <c r="AG3562" s="96">
        <f ca="1">P_1_minQ-(AG3560^2*R_up)+dpup_minQ</f>
        <v>-423.22034579379937</v>
      </c>
      <c r="AH3562" s="107"/>
      <c r="AI3562" s="1"/>
      <c r="AJ3562" s="96">
        <f ca="1">P_1_minQ-(AJ3560^2*R_up)+dpup_minQ</f>
        <v>-824.13891825803171</v>
      </c>
      <c r="AK3562" s="107"/>
      <c r="AL3562" s="1"/>
      <c r="AM3562" s="96">
        <f ca="1">P_1_minQ-(AM3560^2*R_up)+dpup_minQ</f>
        <v>-1271.1187424604361</v>
      </c>
      <c r="AN3562" s="107"/>
      <c r="AO3562" s="1"/>
      <c r="AP3562" s="96">
        <f ca="1">P_1_minQ-(AP3560^2*R_up)+dpup_minQ</f>
        <v>-1744.64678681233</v>
      </c>
      <c r="AQ3562" s="107"/>
      <c r="AR3562" s="1"/>
      <c r="AS3562" s="96">
        <f ca="1">P_1_minQ-(AS3560^2*R_up)+dpup_minQ</f>
        <v>-2432.5998771466125</v>
      </c>
      <c r="AT3562" s="107"/>
      <c r="AU3562" s="1"/>
    </row>
    <row r="3563" spans="15:47" x14ac:dyDescent="0.25">
      <c r="O3563" s="8" t="s">
        <v>134</v>
      </c>
      <c r="P3563" s="1"/>
      <c r="Q3563" s="8"/>
      <c r="R3563" s="97">
        <f>P_2_minQ+(R3560^2*R_dn)-dpdn_minQ</f>
        <v>60</v>
      </c>
      <c r="S3563" s="106"/>
      <c r="T3563" s="22"/>
      <c r="U3563" s="97">
        <f ca="1">P_2_minQ+(U3560^2*R_dn)-dpdn_minQ</f>
        <v>60</v>
      </c>
      <c r="V3563" s="107"/>
      <c r="W3563" s="1"/>
      <c r="X3563" s="97">
        <f ca="1">P_2_minQ+(X3560^2*R_dn)-dpdn_minQ</f>
        <v>60</v>
      </c>
      <c r="Y3563" s="107"/>
      <c r="Z3563" s="1"/>
      <c r="AA3563" s="97">
        <f ca="1">P_2_minQ+(AA3560^2*R_dn)-dpdn_minQ</f>
        <v>60</v>
      </c>
      <c r="AB3563" s="107"/>
      <c r="AC3563" s="1"/>
      <c r="AD3563" s="97">
        <f ca="1">P_2_minQ+(AD3560^2*R_dn)-dpdn_minQ</f>
        <v>60</v>
      </c>
      <c r="AE3563" s="107"/>
      <c r="AF3563" s="1"/>
      <c r="AG3563" s="97">
        <f ca="1">P_2_minQ+(AG3560^2*R_dn)-dpdn_minQ</f>
        <v>60</v>
      </c>
      <c r="AH3563" s="107"/>
      <c r="AI3563" s="1"/>
      <c r="AJ3563" s="97">
        <f ca="1">P_2_minQ+(AJ3560^2*R_dn)-dpdn_minQ</f>
        <v>60</v>
      </c>
      <c r="AK3563" s="107"/>
      <c r="AL3563" s="1"/>
      <c r="AM3563" s="97">
        <f ca="1">P_2_minQ+(AM3560^2*R_dn)-dpdn_minQ</f>
        <v>60</v>
      </c>
      <c r="AN3563" s="107"/>
      <c r="AO3563" s="1"/>
      <c r="AP3563" s="97">
        <f ca="1">P_2_minQ+(AP3560^2*R_dn)-dpdn_minQ</f>
        <v>60</v>
      </c>
      <c r="AQ3563" s="107"/>
      <c r="AR3563" s="1"/>
      <c r="AS3563" s="97">
        <f ca="1">P_2_minQ+(AS3560^2*R_dn)-dpdn_minQ</f>
        <v>60</v>
      </c>
      <c r="AT3563" s="107"/>
      <c r="AU3563" s="1"/>
    </row>
    <row r="3564" spans="15:47" x14ac:dyDescent="0.25">
      <c r="O3564" s="8" t="s">
        <v>138</v>
      </c>
      <c r="P3564" s="1"/>
      <c r="Q3564" s="8"/>
      <c r="R3564" s="97">
        <f>R3562-R3563</f>
        <v>29.785322781931725</v>
      </c>
      <c r="S3564" s="106"/>
      <c r="T3564" s="22"/>
      <c r="U3564" s="97">
        <f ca="1">U3562-U3563</f>
        <v>26.420588459242694</v>
      </c>
      <c r="V3564" s="110"/>
      <c r="W3564" s="25"/>
      <c r="X3564" s="97">
        <f ca="1">X3562-X3563</f>
        <v>7.6141313667430239</v>
      </c>
      <c r="Y3564" s="110"/>
      <c r="Z3564" s="25"/>
      <c r="AA3564" s="97">
        <f ca="1">AA3562-AA3563</f>
        <v>-55.44243489909374</v>
      </c>
      <c r="AB3564" s="110"/>
      <c r="AC3564" s="25"/>
      <c r="AD3564" s="97">
        <f ca="1">AD3562-AD3563</f>
        <v>-210.82548694770526</v>
      </c>
      <c r="AE3564" s="110"/>
      <c r="AF3564" s="25"/>
      <c r="AG3564" s="97">
        <f ca="1">AG3562-AG3563</f>
        <v>-483.22034579379937</v>
      </c>
      <c r="AH3564" s="110"/>
      <c r="AI3564" s="25"/>
      <c r="AJ3564" s="97">
        <f ca="1">AJ3562-AJ3563</f>
        <v>-884.13891825803171</v>
      </c>
      <c r="AK3564" s="110"/>
      <c r="AL3564" s="25"/>
      <c r="AM3564" s="97">
        <f ca="1">AM3562-AM3563</f>
        <v>-1331.1187424604361</v>
      </c>
      <c r="AN3564" s="110"/>
      <c r="AO3564" s="25"/>
      <c r="AP3564" s="97">
        <f ca="1">AP3562-AP3563</f>
        <v>-1804.64678681233</v>
      </c>
      <c r="AQ3564" s="110"/>
      <c r="AR3564" s="25"/>
      <c r="AS3564" s="97">
        <f ca="1">AS3562-AS3563</f>
        <v>-2492.5998771466125</v>
      </c>
      <c r="AT3564" s="110"/>
      <c r="AU3564" s="25"/>
    </row>
    <row r="3565" spans="15:47" ht="14.4" x14ac:dyDescent="0.3">
      <c r="O3565" s="2" t="s">
        <v>140</v>
      </c>
      <c r="P3565" s="11"/>
      <c r="Q3565" s="2"/>
      <c r="R3565" s="96">
        <f>R3564/R3562</f>
        <v>0.33173932953689489</v>
      </c>
      <c r="S3565" s="106"/>
      <c r="T3565" s="22"/>
      <c r="U3565" s="96">
        <f ca="1">U3564/U3562</f>
        <v>0.30572099693238097</v>
      </c>
      <c r="V3565" s="111"/>
      <c r="W3565" s="28"/>
      <c r="X3565" s="96">
        <f ca="1">X3564/X3562</f>
        <v>0.11261153863596247</v>
      </c>
      <c r="Y3565" s="111"/>
      <c r="Z3565" s="28"/>
      <c r="AA3565" s="96">
        <f ca="1">AA3564/AA3562</f>
        <v>-12.164924399668843</v>
      </c>
      <c r="AB3565" s="111"/>
      <c r="AC3565" s="28"/>
      <c r="AD3565" s="96">
        <f ca="1">AD3564/AD3562</f>
        <v>1.3978107494577718</v>
      </c>
      <c r="AE3565" s="111"/>
      <c r="AF3565" s="28"/>
      <c r="AG3565" s="96">
        <f ca="1">AG3564/AG3562</f>
        <v>1.1417701218675178</v>
      </c>
      <c r="AH3565" s="111"/>
      <c r="AI3565" s="28"/>
      <c r="AJ3565" s="96">
        <f ca="1">AJ3564/AJ3562</f>
        <v>1.0728032600703059</v>
      </c>
      <c r="AK3565" s="111"/>
      <c r="AL3565" s="28"/>
      <c r="AM3565" s="96">
        <f ca="1">AM3564/AM3562</f>
        <v>1.0472025138138246</v>
      </c>
      <c r="AN3565" s="111"/>
      <c r="AO3565" s="28"/>
      <c r="AP3565" s="96">
        <f ca="1">AP3564/AP3562</f>
        <v>1.0343909153724042</v>
      </c>
      <c r="AQ3565" s="111"/>
      <c r="AR3565" s="28"/>
      <c r="AS3565" s="96">
        <f ca="1">AS3564/AS3562</f>
        <v>1.0246649687701122</v>
      </c>
      <c r="AT3565" s="111"/>
      <c r="AU3565" s="28"/>
    </row>
    <row r="3566" spans="15:47" x14ac:dyDescent="0.25">
      <c r="O3566" s="2" t="s">
        <v>21</v>
      </c>
      <c r="P3566" s="8">
        <v>12</v>
      </c>
      <c r="Q3566" s="2"/>
      <c r="R3566" s="96">
        <f ca="1">1-R3565/(3*F_GAMMA*R$29)</f>
        <v>0.82722711626998191</v>
      </c>
      <c r="S3566" s="106"/>
      <c r="T3566" s="22"/>
      <c r="U3566" s="96">
        <f ca="1">1-U3565/(3*F_GAMMA*U$29)</f>
        <v>0.84081469212303672</v>
      </c>
      <c r="V3566" s="111"/>
      <c r="W3566" s="28"/>
      <c r="X3566" s="96">
        <f ca="1">1-X3565/(3*F_GAMMA*X$29)</f>
        <v>0.94080604552221359</v>
      </c>
      <c r="Y3566" s="111"/>
      <c r="Z3566" s="28"/>
      <c r="AA3566" s="96">
        <f ca="1">1-AA3565/(3*F_GAMMA*AA$29)</f>
        <v>7.4845968456752487</v>
      </c>
      <c r="AB3566" s="111"/>
      <c r="AC3566" s="28"/>
      <c r="AD3566" s="96">
        <f ca="1">1-AD3565/(3*F_GAMMA*AD$29)</f>
        <v>0.23177828121773292</v>
      </c>
      <c r="AE3566" s="111"/>
      <c r="AF3566" s="28"/>
      <c r="AG3566" s="96">
        <f ca="1">1-AG3565/(3*F_GAMMA*AG$29)</f>
        <v>0.334841300091967</v>
      </c>
      <c r="AH3566" s="111"/>
      <c r="AI3566" s="28"/>
      <c r="AJ3566" s="96">
        <f ca="1">1-AJ3565/(3*F_GAMMA*AJ$29)</f>
        <v>0.32760620797458939</v>
      </c>
      <c r="AK3566" s="111"/>
      <c r="AL3566" s="28"/>
      <c r="AM3566" s="96">
        <f ca="1">1-AM3565/(3*F_GAMMA*AM$29)</f>
        <v>0.26614862802502093</v>
      </c>
      <c r="AN3566" s="111"/>
      <c r="AO3566" s="28"/>
      <c r="AP3566" s="96">
        <f ca="1">1-AP3565/(3*F_GAMMA*AP$29)</f>
        <v>0.41613430464999857</v>
      </c>
      <c r="AQ3566" s="111"/>
      <c r="AR3566" s="28"/>
      <c r="AS3566" s="96">
        <f ca="1">1-AS3565/(3*F_GAMMA*AS$29)</f>
        <v>9.3272903393427864E-2</v>
      </c>
      <c r="AT3566" s="111"/>
      <c r="AU3566" s="28"/>
    </row>
    <row r="3567" spans="15:47" x14ac:dyDescent="0.25">
      <c r="O3567" s="2" t="s">
        <v>57</v>
      </c>
      <c r="P3567" s="143">
        <v>7</v>
      </c>
      <c r="Q3567" s="2"/>
      <c r="R3567" s="96">
        <f ca="1">(R3560/(N_9*R$27*R3562*R3566))*SQRT(M*'Valve Sizing'!$W$6*'Valve Sizing'!$G$8/R3565)</f>
        <v>19.045281237233951</v>
      </c>
      <c r="S3567" s="107"/>
      <c r="T3567" s="22"/>
      <c r="U3567" s="96">
        <f ca="1">(U3560/(N_9*U$27*U3562*U3566))*SQRT(M*'Valve Sizing'!$W$6*'Valve Sizing'!$G$8/U3565)</f>
        <v>62.272294911087911</v>
      </c>
      <c r="V3567" s="111"/>
      <c r="W3567" s="28"/>
      <c r="X3567" s="96">
        <f ca="1">(X3560/(N_9*X$27*X3562*X3566))*SQRT(M*'Valve Sizing'!$W$6*'Valve Sizing'!$G$8/X3565)</f>
        <v>287.65255599979236</v>
      </c>
      <c r="Y3567" s="111"/>
      <c r="Z3567" s="28"/>
      <c r="AA3567" s="96" t="e">
        <f ca="1">(AA3560/(N_9*AA$27*AA3562*AA3566))*SQRT(M*'Valve Sizing'!$W$6*'Valve Sizing'!$G$8/AA3565)</f>
        <v>#NUM!</v>
      </c>
      <c r="AB3567" s="111"/>
      <c r="AC3567" s="28"/>
      <c r="AD3567" s="96">
        <f ca="1">(AD3560/(N_9*AD$27*AD3562*AD3566))*SQRT(M*'Valve Sizing'!$W$6*'Valve Sizing'!$G$8/AD3565)</f>
        <v>-494.40812816687975</v>
      </c>
      <c r="AE3567" s="111"/>
      <c r="AF3567" s="28"/>
      <c r="AG3567" s="96">
        <f ca="1">(AG3560/(N_9*AG$27*AG3562*AG3566))*SQRT(M*'Valve Sizing'!$W$6*'Valve Sizing'!$G$8/AG3565)</f>
        <v>-201.39092061169021</v>
      </c>
      <c r="AH3567" s="111"/>
      <c r="AI3567" s="28"/>
      <c r="AJ3567" s="96">
        <f ca="1">(AJ3560/(N_9*AJ$27*AJ3562*AJ3566))*SQRT(M*'Valve Sizing'!$W$6*'Valve Sizing'!$G$8/AJ3565)</f>
        <v>-150.78740660592376</v>
      </c>
      <c r="AK3567" s="111"/>
      <c r="AL3567" s="28"/>
      <c r="AM3567" s="96">
        <f ca="1">(AM3560/(N_9*AM$27*AM3562*AM3566))*SQRT(M*'Valve Sizing'!$W$6*'Valve Sizing'!$G$8/AM3565)</f>
        <v>-157.68781527741643</v>
      </c>
      <c r="AN3567" s="111"/>
      <c r="AO3567" s="28"/>
      <c r="AP3567" s="96">
        <f ca="1">(AP3560/(N_9*AP$27*AP3562*AP3566))*SQRT(M*'Valve Sizing'!$W$6*'Valve Sizing'!$G$8/AP3565)</f>
        <v>-97.696165479469258</v>
      </c>
      <c r="AQ3567" s="111"/>
      <c r="AR3567" s="28"/>
      <c r="AS3567" s="96">
        <f ca="1">(AS3560/(N_9*AS$27*AS3562*AS3566))*SQRT(M*'Valve Sizing'!$W$6*'Valve Sizing'!$G$8/AS3565)</f>
        <v>-493.27917462594075</v>
      </c>
      <c r="AT3567" s="111"/>
      <c r="AU3567" s="28"/>
    </row>
    <row r="3568" spans="15:47" x14ac:dyDescent="0.25">
      <c r="O3568" s="2" t="s">
        <v>59</v>
      </c>
      <c r="P3568" s="143">
        <v>7</v>
      </c>
      <c r="Q3568" s="2"/>
      <c r="R3568" s="96">
        <f ca="1">(R3560/(N_9*R$27*R3562*0.667))*SQRT(M*'Valve Sizing'!$W$6*'Valve Sizing'!$G$8/R3569)</f>
        <v>17.005317178198776</v>
      </c>
      <c r="S3568" s="107"/>
      <c r="T3568" s="22"/>
      <c r="U3568" s="96">
        <f ca="1">(U3560/(N_9*U$27*U3562*0.667))*SQRT(M*'Valve Sizing'!$W$6*'Valve Sizing'!$G$8/U3569)</f>
        <v>54.247714673416752</v>
      </c>
      <c r="V3568" s="111"/>
      <c r="W3568" s="28"/>
      <c r="X3568" s="96">
        <f ca="1">(X3560/(N_9*X$27*X3562*0.667))*SQRT(M*'Valve Sizing'!$W$6*'Valve Sizing'!$G$8/X3569)</f>
        <v>170.97861996484119</v>
      </c>
      <c r="Y3568" s="111"/>
      <c r="Z3568" s="28"/>
      <c r="AA3568" s="96">
        <f ca="1">(AA3560/(N_9*AA$27*AA3562*0.667))*SQRT(M*'Valve Sizing'!$W$6*'Valve Sizing'!$G$8/AA3569)</f>
        <v>5004.810224139218</v>
      </c>
      <c r="AB3568" s="111"/>
      <c r="AC3568" s="28"/>
      <c r="AD3568" s="96">
        <f ca="1">(AD3560/(N_9*AD$27*AD3562*0.667))*SQRT(M*'Valve Sizing'!$W$6*'Valve Sizing'!$G$8/AD3569)</f>
        <v>-260.81731758009443</v>
      </c>
      <c r="AE3568" s="111"/>
      <c r="AF3568" s="28"/>
      <c r="AG3568" s="96">
        <f ca="1">(AG3560/(N_9*AG$27*AG3562*0.667))*SQRT(M*'Valve Sizing'!$W$6*'Valve Sizing'!$G$8/AG3569)</f>
        <v>-142.81582665267229</v>
      </c>
      <c r="AH3568" s="111"/>
      <c r="AI3568" s="28"/>
      <c r="AJ3568" s="96">
        <f ca="1">(AJ3560/(N_9*AJ$27*AJ3562*0.667))*SQRT(M*'Valve Sizing'!$W$6*'Valve Sizing'!$G$8/AJ3569)</f>
        <v>-105.18742790639929</v>
      </c>
      <c r="AK3568" s="111"/>
      <c r="AL3568" s="28"/>
      <c r="AM3568" s="96">
        <f ca="1">(AM3560/(N_9*AM$27*AM3562*0.667))*SQRT(M*'Valve Sizing'!$W$6*'Valve Sizing'!$G$8/AM3569)</f>
        <v>-93.360080312771174</v>
      </c>
      <c r="AN3568" s="111"/>
      <c r="AO3568" s="28"/>
      <c r="AP3568" s="96">
        <f ca="1">(AP3560/(N_9*AP$27*AP3562*0.667))*SQRT(M*'Valve Sizing'!$W$6*'Valve Sizing'!$G$8/AP3569)</f>
        <v>-80.668189588321667</v>
      </c>
      <c r="AQ3568" s="111"/>
      <c r="AR3568" s="28"/>
      <c r="AS3568" s="96">
        <f ca="1">(AS3560/(N_9*AS$27*AS3562*0.667))*SQRT(M*'Valve Sizing'!$W$6*'Valve Sizing'!$G$8/AS3569)</f>
        <v>-113.76832577014345</v>
      </c>
      <c r="AT3568" s="111"/>
      <c r="AU3568" s="28"/>
    </row>
    <row r="3569" spans="15:47" ht="15.6" x14ac:dyDescent="0.35">
      <c r="O3569" s="2" t="s">
        <v>68</v>
      </c>
      <c r="P3569" s="143">
        <v>10</v>
      </c>
      <c r="Q3569" s="2"/>
      <c r="R3569" s="96">
        <f ca="1">F_GAMMA*R$29</f>
        <v>0.64002969751372984</v>
      </c>
      <c r="S3569" s="107"/>
      <c r="T3569" s="1"/>
      <c r="U3569" s="96">
        <f ca="1">F_GAMMA*U$29</f>
        <v>0.64017842058782071</v>
      </c>
      <c r="V3569" s="111"/>
      <c r="W3569" s="28"/>
      <c r="X3569" s="96">
        <f ca="1">F_GAMMA*X$29</f>
        <v>0.63413873724904268</v>
      </c>
      <c r="Y3569" s="111"/>
      <c r="Z3569" s="28"/>
      <c r="AA3569" s="96">
        <f ca="1">F_GAMMA*AA$29</f>
        <v>0.62532411750377137</v>
      </c>
      <c r="AB3569" s="111"/>
      <c r="AC3569" s="28"/>
      <c r="AD3569" s="96">
        <f ca="1">F_GAMMA*AD$29</f>
        <v>0.60651359509139569</v>
      </c>
      <c r="AE3569" s="111"/>
      <c r="AF3569" s="28"/>
      <c r="AG3569" s="96">
        <f ca="1">F_GAMMA*AG$29</f>
        <v>0.57217930198481592</v>
      </c>
      <c r="AH3569" s="111"/>
      <c r="AI3569" s="28"/>
      <c r="AJ3569" s="96">
        <f ca="1">F_GAMMA*AJ$29</f>
        <v>0.53183282018848232</v>
      </c>
      <c r="AK3569" s="111"/>
      <c r="AL3569" s="28"/>
      <c r="AM3569" s="96">
        <f ca="1">F_GAMMA*AM$29</f>
        <v>0.47566512503094399</v>
      </c>
      <c r="AN3569" s="111"/>
      <c r="AO3569" s="28"/>
      <c r="AP3569" s="96">
        <f ca="1">F_GAMMA*AP$29</f>
        <v>0.59054158265645496</v>
      </c>
      <c r="AQ3569" s="111"/>
      <c r="AR3569" s="28"/>
      <c r="AS3569" s="96">
        <f ca="1">F_GAMMA*AS$29</f>
        <v>0.3766899554102966</v>
      </c>
      <c r="AT3569" s="111"/>
      <c r="AU3569" s="28"/>
    </row>
    <row r="3570" spans="15:47" x14ac:dyDescent="0.25">
      <c r="O3570" s="2" t="s">
        <v>145</v>
      </c>
      <c r="P3570" s="12"/>
      <c r="Q3570" s="2"/>
      <c r="R3570" s="96">
        <f ca="1">IF(R3565&lt;R3569,R3567,R3568)</f>
        <v>19.045281237233951</v>
      </c>
      <c r="S3570" s="116"/>
      <c r="T3570" s="1"/>
      <c r="U3570" s="96">
        <f ca="1">IF(U3565&lt;U3569,U3567,U3568)</f>
        <v>62.272294911087911</v>
      </c>
      <c r="V3570" s="111"/>
      <c r="W3570" s="28"/>
      <c r="X3570" s="96">
        <f ca="1">IF(X3565&lt;X3569,X3567,X3568)</f>
        <v>287.65255599979236</v>
      </c>
      <c r="Y3570" s="111"/>
      <c r="Z3570" s="28"/>
      <c r="AA3570" s="96" t="e">
        <f ca="1">IF(AA3565&lt;AA3569,AA3567,AA3568)</f>
        <v>#NUM!</v>
      </c>
      <c r="AB3570" s="111"/>
      <c r="AC3570" s="28"/>
      <c r="AD3570" s="96">
        <f ca="1">IF(AD3565&lt;AD3569,AD3567,AD3568)</f>
        <v>-260.81731758009443</v>
      </c>
      <c r="AE3570" s="111"/>
      <c r="AF3570" s="28"/>
      <c r="AG3570" s="96">
        <f ca="1">IF(AG3565&lt;AG3569,AG3567,AG3568)</f>
        <v>-142.81582665267229</v>
      </c>
      <c r="AH3570" s="111"/>
      <c r="AI3570" s="28"/>
      <c r="AJ3570" s="96">
        <f ca="1">IF(AJ3565&lt;AJ3569,AJ3567,AJ3568)</f>
        <v>-105.18742790639929</v>
      </c>
      <c r="AK3570" s="111"/>
      <c r="AL3570" s="28"/>
      <c r="AM3570" s="96">
        <f ca="1">IF(AM3565&lt;AM3569,AM3567,AM3568)</f>
        <v>-93.360080312771174</v>
      </c>
      <c r="AN3570" s="111"/>
      <c r="AO3570" s="28"/>
      <c r="AP3570" s="96">
        <f ca="1">IF(AP3565&lt;AP3569,AP3567,AP3568)</f>
        <v>-80.668189588321667</v>
      </c>
      <c r="AQ3570" s="111"/>
      <c r="AR3570" s="28"/>
      <c r="AS3570" s="96">
        <f ca="1">IF(AS3565&lt;AS3569,AS3567,AS3568)</f>
        <v>-113.76832577014345</v>
      </c>
      <c r="AT3570" s="111"/>
      <c r="AU3570" s="28"/>
    </row>
    <row r="3571" spans="15:47" x14ac:dyDescent="0.25">
      <c r="O3571" s="13" t="s">
        <v>143</v>
      </c>
      <c r="P3571" s="1"/>
      <c r="Q3571" s="1"/>
      <c r="R3571" s="113"/>
      <c r="S3571" s="106">
        <f ca="1">IF(R3564&lt;=0,Q_max,ABS(R$23-R3570))</f>
        <v>14.31528123723395</v>
      </c>
      <c r="T3571" s="7">
        <f>R3560</f>
        <v>46830.624316492438</v>
      </c>
      <c r="U3571" s="98"/>
      <c r="V3571" s="106">
        <f ca="1">IF(U3564&lt;=0,Q_max,ABS(U$23-U3570))</f>
        <v>50.67229491108791</v>
      </c>
      <c r="W3571" s="9">
        <f ca="1">U3560</f>
        <v>143715.66786693616</v>
      </c>
      <c r="X3571" s="98"/>
      <c r="Y3571" s="106">
        <f ca="1">IF(X3564&lt;=0,Q_max,ABS(X$23-X3570))</f>
        <v>264.65255599979236</v>
      </c>
      <c r="Z3571" s="9">
        <f ca="1">X3560</f>
        <v>351906.88019790873</v>
      </c>
      <c r="AA3571" s="98"/>
      <c r="AB3571" s="106">
        <f ca="1">IF(AA3564&lt;=0,Q_max,ABS(AA$23-AA3570))</f>
        <v>236393</v>
      </c>
      <c r="AC3571" s="9">
        <f ca="1">AA3560</f>
        <v>685424.78000843083</v>
      </c>
      <c r="AD3571" s="98"/>
      <c r="AE3571" s="106">
        <f ca="1">IF(AD3564&lt;=0,Q_max,ABS(AD$23-AD3570))</f>
        <v>236393</v>
      </c>
      <c r="AF3571" s="9">
        <f ca="1">AD3560</f>
        <v>1149929.5599163203</v>
      </c>
      <c r="AG3571" s="98"/>
      <c r="AH3571" s="106">
        <f ca="1">IF(AG3564&lt;=0,Q_max,ABS(AG$23-AG3570))</f>
        <v>236393</v>
      </c>
      <c r="AI3571" s="9">
        <f ca="1">AG3560</f>
        <v>1678353.5123423908</v>
      </c>
      <c r="AJ3571" s="98"/>
      <c r="AK3571" s="106">
        <f ca="1">IF(AJ3564&lt;=0,Q_max,ABS(AJ$23-AJ3570))</f>
        <v>236393</v>
      </c>
      <c r="AL3571" s="9">
        <f ca="1">AJ3560</f>
        <v>2239769.2684711525</v>
      </c>
      <c r="AM3571" s="98"/>
      <c r="AN3571" s="106">
        <f ca="1">IF(AM3564&lt;=0,Q_max,ABS(AM$23-AM3570))</f>
        <v>236393</v>
      </c>
      <c r="AO3571" s="9">
        <f ca="1">AM3560</f>
        <v>2732944.1531700436</v>
      </c>
      <c r="AP3571" s="98"/>
      <c r="AQ3571" s="106">
        <f ca="1">IF(AP3564&lt;=0,Q_max,ABS(AP$23-AP3570))</f>
        <v>236393</v>
      </c>
      <c r="AR3571" s="9">
        <f ca="1">AP3560</f>
        <v>3172863.3185903714</v>
      </c>
      <c r="AS3571" s="98"/>
      <c r="AT3571" s="106">
        <f ca="1">IF(AS3564&lt;=0,Q_max,ABS(AS$23-AS3570))</f>
        <v>236393</v>
      </c>
      <c r="AU3571" s="9">
        <f ca="1">AS3560</f>
        <v>3720431.7706408077</v>
      </c>
    </row>
    <row r="3572" spans="15:47" x14ac:dyDescent="0.25">
      <c r="O3572" s="21"/>
      <c r="P3572" s="14"/>
      <c r="Q3572" s="21"/>
      <c r="R3572" s="97"/>
      <c r="S3572" s="106"/>
      <c r="T3572" s="28"/>
      <c r="U3572" s="97"/>
      <c r="V3572" s="111"/>
      <c r="W3572" s="28"/>
      <c r="X3572" s="97"/>
      <c r="Y3572" s="111"/>
      <c r="Z3572" s="28"/>
      <c r="AA3572" s="97"/>
      <c r="AB3572" s="111"/>
      <c r="AC3572" s="28"/>
      <c r="AD3572" s="97"/>
      <c r="AE3572" s="111"/>
      <c r="AF3572" s="28"/>
      <c r="AG3572" s="97"/>
      <c r="AH3572" s="111"/>
      <c r="AI3572" s="28"/>
      <c r="AJ3572" s="97"/>
      <c r="AK3572" s="111"/>
      <c r="AL3572" s="28"/>
      <c r="AM3572" s="97"/>
      <c r="AN3572" s="111"/>
      <c r="AO3572" s="28"/>
      <c r="AP3572" s="97"/>
      <c r="AQ3572" s="111"/>
      <c r="AR3572" s="28"/>
      <c r="AS3572" s="97"/>
      <c r="AT3572" s="111"/>
      <c r="AU3572" s="28"/>
    </row>
    <row r="3573" spans="15:47" x14ac:dyDescent="0.25">
      <c r="O3573" s="1"/>
      <c r="P3573" s="1"/>
      <c r="Q3573" s="1"/>
      <c r="R3573" s="98"/>
      <c r="S3573" s="108" t="s">
        <v>137</v>
      </c>
      <c r="T3573" s="26" t="s">
        <v>146</v>
      </c>
      <c r="U3573" s="98"/>
      <c r="V3573" s="108" t="s">
        <v>137</v>
      </c>
      <c r="W3573" s="26" t="s">
        <v>146</v>
      </c>
      <c r="X3573" s="98"/>
      <c r="Y3573" s="108" t="s">
        <v>137</v>
      </c>
      <c r="Z3573" s="26" t="s">
        <v>146</v>
      </c>
      <c r="AA3573" s="98"/>
      <c r="AB3573" s="108" t="s">
        <v>137</v>
      </c>
      <c r="AC3573" s="26" t="s">
        <v>146</v>
      </c>
      <c r="AD3573" s="98"/>
      <c r="AE3573" s="108" t="s">
        <v>137</v>
      </c>
      <c r="AF3573" s="26" t="s">
        <v>146</v>
      </c>
      <c r="AG3573" s="98"/>
      <c r="AH3573" s="108" t="s">
        <v>137</v>
      </c>
      <c r="AI3573" s="26" t="s">
        <v>146</v>
      </c>
      <c r="AJ3573" s="98"/>
      <c r="AK3573" s="108" t="s">
        <v>137</v>
      </c>
      <c r="AL3573" s="26" t="s">
        <v>146</v>
      </c>
      <c r="AM3573" s="98"/>
      <c r="AN3573" s="108" t="s">
        <v>137</v>
      </c>
      <c r="AO3573" s="26" t="s">
        <v>146</v>
      </c>
      <c r="AP3573" s="98"/>
      <c r="AQ3573" s="108" t="s">
        <v>137</v>
      </c>
      <c r="AR3573" s="26" t="s">
        <v>146</v>
      </c>
      <c r="AS3573" s="98"/>
      <c r="AT3573" s="108" t="s">
        <v>137</v>
      </c>
      <c r="AU3573" s="26" t="s">
        <v>146</v>
      </c>
    </row>
    <row r="3574" spans="15:47" ht="13.8" x14ac:dyDescent="0.25">
      <c r="O3574" s="20" t="s">
        <v>136</v>
      </c>
      <c r="P3574" s="1"/>
      <c r="Q3574" s="1"/>
      <c r="R3574" s="96">
        <f>R3560*1.02</f>
        <v>47767.236802822285</v>
      </c>
      <c r="S3574" s="109" t="s">
        <v>144</v>
      </c>
      <c r="T3574" s="23" t="s">
        <v>147</v>
      </c>
      <c r="U3574" s="96">
        <f ca="1">U3560*1.01</f>
        <v>145152.82454560552</v>
      </c>
      <c r="V3574" s="109" t="s">
        <v>144</v>
      </c>
      <c r="W3574" s="23" t="s">
        <v>147</v>
      </c>
      <c r="X3574" s="96">
        <f ca="1">X3560*1.01</f>
        <v>355425.9489998878</v>
      </c>
      <c r="Y3574" s="109" t="s">
        <v>144</v>
      </c>
      <c r="Z3574" s="23" t="s">
        <v>147</v>
      </c>
      <c r="AA3574" s="96">
        <f ca="1">AA3560*1.01</f>
        <v>692279.02780851512</v>
      </c>
      <c r="AB3574" s="109" t="s">
        <v>144</v>
      </c>
      <c r="AC3574" s="23" t="s">
        <v>147</v>
      </c>
      <c r="AD3574" s="96">
        <f ca="1">AD3560*1.01</f>
        <v>1161428.8555154835</v>
      </c>
      <c r="AE3574" s="109" t="s">
        <v>144</v>
      </c>
      <c r="AF3574" s="23" t="s">
        <v>147</v>
      </c>
      <c r="AG3574" s="96">
        <f ca="1">AG3560*1.01</f>
        <v>1695137.0474658147</v>
      </c>
      <c r="AH3574" s="109" t="s">
        <v>144</v>
      </c>
      <c r="AI3574" s="23" t="s">
        <v>147</v>
      </c>
      <c r="AJ3574" s="96">
        <f ca="1">AJ3560*1.01</f>
        <v>2262166.9611558639</v>
      </c>
      <c r="AK3574" s="109" t="s">
        <v>144</v>
      </c>
      <c r="AL3574" s="23" t="s">
        <v>147</v>
      </c>
      <c r="AM3574" s="96">
        <f ca="1">AM3560*1.01</f>
        <v>2760273.5947017442</v>
      </c>
      <c r="AN3574" s="109" t="s">
        <v>144</v>
      </c>
      <c r="AO3574" s="23" t="s">
        <v>147</v>
      </c>
      <c r="AP3574" s="96">
        <f ca="1">AP3560*1.01</f>
        <v>3204591.9517762749</v>
      </c>
      <c r="AQ3574" s="109" t="s">
        <v>144</v>
      </c>
      <c r="AR3574" s="23" t="s">
        <v>147</v>
      </c>
      <c r="AS3574" s="96">
        <f ca="1">AS3560*1.01</f>
        <v>3757636.0883472157</v>
      </c>
      <c r="AT3574" s="109" t="s">
        <v>144</v>
      </c>
      <c r="AU3574" s="23" t="s">
        <v>147</v>
      </c>
    </row>
    <row r="3575" spans="15:47" x14ac:dyDescent="0.25">
      <c r="O3575" s="1"/>
      <c r="P3575" s="1"/>
      <c r="Q3575" s="1"/>
      <c r="R3575" s="98"/>
      <c r="S3575" s="107"/>
      <c r="T3575" s="1"/>
      <c r="U3575" s="47"/>
      <c r="V3575" s="107"/>
      <c r="W3575" s="1"/>
      <c r="X3575" s="47"/>
      <c r="Y3575" s="107"/>
      <c r="Z3575" s="1"/>
      <c r="AA3575" s="47"/>
      <c r="AB3575" s="107"/>
      <c r="AC3575" s="1"/>
      <c r="AD3575" s="47"/>
      <c r="AE3575" s="107"/>
      <c r="AF3575" s="1"/>
      <c r="AG3575" s="47"/>
      <c r="AH3575" s="107"/>
      <c r="AI3575" s="1"/>
      <c r="AJ3575" s="47"/>
      <c r="AK3575" s="107"/>
      <c r="AL3575" s="1"/>
      <c r="AM3575" s="47"/>
      <c r="AN3575" s="107"/>
      <c r="AO3575" s="1"/>
      <c r="AP3575" s="47"/>
      <c r="AQ3575" s="107"/>
      <c r="AR3575" s="1"/>
      <c r="AS3575" s="47"/>
      <c r="AT3575" s="107"/>
      <c r="AU3575" s="1"/>
    </row>
    <row r="3576" spans="15:47" x14ac:dyDescent="0.25">
      <c r="O3576" s="8" t="s">
        <v>132</v>
      </c>
      <c r="P3576" s="8"/>
      <c r="Q3576" s="8"/>
      <c r="R3576" s="96">
        <f>P_1_minQ-(R3574^2*R_up)+dpup_minQ</f>
        <v>89.769174184899441</v>
      </c>
      <c r="S3576" s="106"/>
      <c r="T3576" s="22"/>
      <c r="U3576" s="96">
        <f ca="1">P_1_minQ-(U3574^2*R_up)+dpup_minQ</f>
        <v>86.344922972615336</v>
      </c>
      <c r="V3576" s="107"/>
      <c r="W3576" s="1"/>
      <c r="X3576" s="96">
        <f ca="1">P_1_minQ-(X3574^2*R_up)+dpup_minQ</f>
        <v>67.160456092556416</v>
      </c>
      <c r="Y3576" s="107"/>
      <c r="Z3576" s="1"/>
      <c r="AA3576" s="96">
        <f ca="1">P_1_minQ-(AA3574^2*R_up)+dpup_minQ</f>
        <v>2.8364528447763306</v>
      </c>
      <c r="AB3576" s="107"/>
      <c r="AC3576" s="1"/>
      <c r="AD3576" s="96">
        <f ca="1">P_1_minQ-(AD3574^2*R_up)+dpup_minQ</f>
        <v>-155.66979855001227</v>
      </c>
      <c r="AE3576" s="107"/>
      <c r="AF3576" s="1"/>
      <c r="AG3576" s="96">
        <f ca="1">P_1_minQ-(AG3574^2*R_up)+dpup_minQ</f>
        <v>-433.53979405891272</v>
      </c>
      <c r="AH3576" s="107"/>
      <c r="AI3576" s="1"/>
      <c r="AJ3576" s="96">
        <f ca="1">P_1_minQ-(AJ3574^2*R_up)+dpup_minQ</f>
        <v>-842.51682982967623</v>
      </c>
      <c r="AK3576" s="107"/>
      <c r="AL3576" s="1"/>
      <c r="AM3576" s="96">
        <f ca="1">P_1_minQ-(AM3574^2*R_up)+dpup_minQ</f>
        <v>-1298.480948498549</v>
      </c>
      <c r="AN3576" s="107"/>
      <c r="AO3576" s="1"/>
      <c r="AP3576" s="96">
        <f ca="1">P_1_minQ-(AP3574^2*R_up)+dpup_minQ</f>
        <v>-1781.5269065419157</v>
      </c>
      <c r="AQ3576" s="107"/>
      <c r="AR3576" s="1"/>
      <c r="AS3576" s="96">
        <f ca="1">P_1_minQ-(AS3574^2*R_up)+dpup_minQ</f>
        <v>-2483.3078539919175</v>
      </c>
      <c r="AT3576" s="107"/>
      <c r="AU3576" s="1"/>
    </row>
    <row r="3577" spans="15:47" x14ac:dyDescent="0.25">
      <c r="O3577" s="8" t="s">
        <v>134</v>
      </c>
      <c r="P3577" s="1"/>
      <c r="Q3577" s="8"/>
      <c r="R3577" s="97">
        <f>P_2_minQ+(R3574^2*R_dn)-dpdn_minQ</f>
        <v>60</v>
      </c>
      <c r="S3577" s="106"/>
      <c r="T3577" s="22"/>
      <c r="U3577" s="97">
        <f ca="1">P_2_minQ+(U3574^2*R_dn)-dpdn_minQ</f>
        <v>60</v>
      </c>
      <c r="V3577" s="107"/>
      <c r="W3577" s="1"/>
      <c r="X3577" s="97">
        <f ca="1">P_2_minQ+(X3574^2*R_dn)-dpdn_minQ</f>
        <v>60</v>
      </c>
      <c r="Y3577" s="107"/>
      <c r="Z3577" s="1"/>
      <c r="AA3577" s="97">
        <f ca="1">P_2_minQ+(AA3574^2*R_dn)-dpdn_minQ</f>
        <v>60</v>
      </c>
      <c r="AB3577" s="107"/>
      <c r="AC3577" s="1"/>
      <c r="AD3577" s="97">
        <f ca="1">P_2_minQ+(AD3574^2*R_dn)-dpdn_minQ</f>
        <v>60</v>
      </c>
      <c r="AE3577" s="107"/>
      <c r="AF3577" s="1"/>
      <c r="AG3577" s="97">
        <f ca="1">P_2_minQ+(AG3574^2*R_dn)-dpdn_minQ</f>
        <v>60</v>
      </c>
      <c r="AH3577" s="107"/>
      <c r="AI3577" s="1"/>
      <c r="AJ3577" s="97">
        <f ca="1">P_2_minQ+(AJ3574^2*R_dn)-dpdn_minQ</f>
        <v>60</v>
      </c>
      <c r="AK3577" s="107"/>
      <c r="AL3577" s="1"/>
      <c r="AM3577" s="97">
        <f ca="1">P_2_minQ+(AM3574^2*R_dn)-dpdn_minQ</f>
        <v>60</v>
      </c>
      <c r="AN3577" s="107"/>
      <c r="AO3577" s="1"/>
      <c r="AP3577" s="97">
        <f ca="1">P_2_minQ+(AP3574^2*R_dn)-dpdn_minQ</f>
        <v>60</v>
      </c>
      <c r="AQ3577" s="107"/>
      <c r="AR3577" s="1"/>
      <c r="AS3577" s="97">
        <f ca="1">P_2_minQ+(AS3574^2*R_dn)-dpdn_minQ</f>
        <v>60</v>
      </c>
      <c r="AT3577" s="107"/>
      <c r="AU3577" s="1"/>
    </row>
    <row r="3578" spans="15:47" x14ac:dyDescent="0.25">
      <c r="O3578" s="8" t="s">
        <v>138</v>
      </c>
      <c r="P3578" s="1"/>
      <c r="Q3578" s="8"/>
      <c r="R3578" s="97">
        <f>R3576-R3577</f>
        <v>29.769174184899441</v>
      </c>
      <c r="S3578" s="106"/>
      <c r="T3578" s="22"/>
      <c r="U3578" s="97">
        <f ca="1">U3576-U3577</f>
        <v>26.344922972615336</v>
      </c>
      <c r="V3578" s="110"/>
      <c r="W3578" s="25"/>
      <c r="X3578" s="97">
        <f ca="1">X3576-X3577</f>
        <v>7.1604560925564158</v>
      </c>
      <c r="Y3578" s="110"/>
      <c r="Z3578" s="25"/>
      <c r="AA3578" s="97">
        <f ca="1">AA3576-AA3577</f>
        <v>-57.163547155223668</v>
      </c>
      <c r="AB3578" s="110"/>
      <c r="AC3578" s="25"/>
      <c r="AD3578" s="97">
        <f ca="1">AD3576-AD3577</f>
        <v>-215.66979855001227</v>
      </c>
      <c r="AE3578" s="110"/>
      <c r="AF3578" s="25"/>
      <c r="AG3578" s="97">
        <f ca="1">AG3576-AG3577</f>
        <v>-493.53979405891272</v>
      </c>
      <c r="AH3578" s="110"/>
      <c r="AI3578" s="25"/>
      <c r="AJ3578" s="97">
        <f ca="1">AJ3576-AJ3577</f>
        <v>-902.51682982967623</v>
      </c>
      <c r="AK3578" s="110"/>
      <c r="AL3578" s="25"/>
      <c r="AM3578" s="97">
        <f ca="1">AM3576-AM3577</f>
        <v>-1358.480948498549</v>
      </c>
      <c r="AN3578" s="110"/>
      <c r="AO3578" s="25"/>
      <c r="AP3578" s="97">
        <f ca="1">AP3576-AP3577</f>
        <v>-1841.5269065419157</v>
      </c>
      <c r="AQ3578" s="110"/>
      <c r="AR3578" s="25"/>
      <c r="AS3578" s="97">
        <f ca="1">AS3576-AS3577</f>
        <v>-2543.3078539919175</v>
      </c>
      <c r="AT3578" s="110"/>
      <c r="AU3578" s="25"/>
    </row>
    <row r="3579" spans="15:47" ht="14.4" x14ac:dyDescent="0.3">
      <c r="O3579" s="2" t="s">
        <v>140</v>
      </c>
      <c r="P3579" s="11"/>
      <c r="Q3579" s="2"/>
      <c r="R3579" s="96">
        <f>R3578/R3576</f>
        <v>0.3316191159738559</v>
      </c>
      <c r="S3579" s="106"/>
      <c r="T3579" s="22"/>
      <c r="U3579" s="96">
        <f ca="1">U3578/U3576</f>
        <v>0.30511258873866554</v>
      </c>
      <c r="V3579" s="111"/>
      <c r="W3579" s="28"/>
      <c r="X3579" s="96">
        <f ca="1">X3578/X3576</f>
        <v>0.10661714510527319</v>
      </c>
      <c r="Y3579" s="111"/>
      <c r="Z3579" s="28"/>
      <c r="AA3579" s="96">
        <f ca="1">AA3578/AA3576</f>
        <v>-20.153180850687232</v>
      </c>
      <c r="AB3579" s="111"/>
      <c r="AC3579" s="28"/>
      <c r="AD3579" s="96">
        <f ca="1">AD3578/AD3576</f>
        <v>1.3854312176084926</v>
      </c>
      <c r="AE3579" s="111"/>
      <c r="AF3579" s="28"/>
      <c r="AG3579" s="96">
        <f ca="1">AG3578/AG3576</f>
        <v>1.1383956001783928</v>
      </c>
      <c r="AH3579" s="111"/>
      <c r="AI3579" s="28"/>
      <c r="AJ3579" s="96">
        <f ca="1">AJ3578/AJ3576</f>
        <v>1.0712151946117558</v>
      </c>
      <c r="AK3579" s="111"/>
      <c r="AL3579" s="28"/>
      <c r="AM3579" s="96">
        <f ca="1">AM3578/AM3576</f>
        <v>1.0462078400683343</v>
      </c>
      <c r="AN3579" s="111"/>
      <c r="AO3579" s="28"/>
      <c r="AP3579" s="96">
        <f ca="1">AP3578/AP3576</f>
        <v>1.0336789749173447</v>
      </c>
      <c r="AQ3579" s="111"/>
      <c r="AR3579" s="28"/>
      <c r="AS3579" s="96">
        <f ca="1">AS3578/AS3576</f>
        <v>1.024161321723986</v>
      </c>
      <c r="AT3579" s="111"/>
      <c r="AU3579" s="28"/>
    </row>
    <row r="3580" spans="15:47" x14ac:dyDescent="0.25">
      <c r="O3580" s="2" t="s">
        <v>21</v>
      </c>
      <c r="P3580" s="8">
        <v>12</v>
      </c>
      <c r="Q3580" s="2"/>
      <c r="R3580" s="96">
        <f ca="1">1-R3579/(3*F_GAMMA*R$29)</f>
        <v>0.82728972459555705</v>
      </c>
      <c r="S3580" s="106"/>
      <c r="T3580" s="22"/>
      <c r="U3580" s="96">
        <f ca="1">1-U3579/(3*F_GAMMA*U$29)</f>
        <v>0.84113148307492835</v>
      </c>
      <c r="V3580" s="111"/>
      <c r="W3580" s="28"/>
      <c r="X3580" s="96">
        <f ca="1">1-X3579/(3*F_GAMMA*X$29)</f>
        <v>0.94395698246948867</v>
      </c>
      <c r="Y3580" s="111"/>
      <c r="Z3580" s="28"/>
      <c r="AA3580" s="96">
        <f ca="1">1-AA3579/(3*F_GAMMA*AA$29)</f>
        <v>11.742792037264678</v>
      </c>
      <c r="AB3580" s="111"/>
      <c r="AC3580" s="28"/>
      <c r="AD3580" s="96">
        <f ca="1">1-AD3579/(3*F_GAMMA*AD$29)</f>
        <v>0.23858193846436826</v>
      </c>
      <c r="AE3580" s="111"/>
      <c r="AF3580" s="28"/>
      <c r="AG3580" s="96">
        <f ca="1">1-AG3579/(3*F_GAMMA*AG$29)</f>
        <v>0.33680718833563428</v>
      </c>
      <c r="AH3580" s="111"/>
      <c r="AI3580" s="28"/>
      <c r="AJ3580" s="96">
        <f ca="1">1-AJ3579/(3*F_GAMMA*AJ$29)</f>
        <v>0.32860154924115959</v>
      </c>
      <c r="AK3580" s="111"/>
      <c r="AL3580" s="28"/>
      <c r="AM3580" s="96">
        <f ca="1">1-AM3579/(3*F_GAMMA*AM$29)</f>
        <v>0.26684566864817327</v>
      </c>
      <c r="AN3580" s="111"/>
      <c r="AO3580" s="28"/>
      <c r="AP3580" s="96">
        <f ca="1">1-AP3579/(3*F_GAMMA*AP$29)</f>
        <v>0.41653616201616794</v>
      </c>
      <c r="AQ3580" s="111"/>
      <c r="AR3580" s="28"/>
      <c r="AS3580" s="96">
        <f ca="1">1-AS3579/(3*F_GAMMA*AS$29)</f>
        <v>9.3718581188382277E-2</v>
      </c>
      <c r="AT3580" s="111"/>
      <c r="AU3580" s="28"/>
    </row>
    <row r="3581" spans="15:47" x14ac:dyDescent="0.25">
      <c r="O3581" s="2" t="s">
        <v>57</v>
      </c>
      <c r="P3581" s="143">
        <v>7</v>
      </c>
      <c r="Q3581" s="2"/>
      <c r="R3581" s="96">
        <f ca="1">(R3574/(N_9*R$27*R3576*R3580))*SQRT(M*'Valve Sizing'!$W$6*'Valve Sizing'!$G$8/R3579)</f>
        <v>19.43173211942122</v>
      </c>
      <c r="S3581" s="107"/>
      <c r="T3581" s="22"/>
      <c r="U3581" s="96">
        <f ca="1">(U3574/(N_9*U$27*U3576*U3580))*SQRT(M*'Valve Sizing'!$W$6*'Valve Sizing'!$G$8/U3579)</f>
        <v>62.989133039600695</v>
      </c>
      <c r="V3581" s="111"/>
      <c r="W3581" s="28"/>
      <c r="X3581" s="96">
        <f ca="1">(X3574/(N_9*X$27*X3576*X3580))*SQRT(M*'Valve Sizing'!$W$6*'Valve Sizing'!$G$8/X3579)</f>
        <v>299.59824512424717</v>
      </c>
      <c r="Y3581" s="111"/>
      <c r="Z3581" s="28"/>
      <c r="AA3581" s="96" t="e">
        <f ca="1">(AA3574/(N_9*AA$27*AA3576*AA3580))*SQRT(M*'Valve Sizing'!$W$6*'Valve Sizing'!$G$8/AA3579)</f>
        <v>#NUM!</v>
      </c>
      <c r="AB3581" s="111"/>
      <c r="AC3581" s="28"/>
      <c r="AD3581" s="96">
        <f ca="1">(AD3574/(N_9*AD$27*AD3576*AD3580))*SQRT(M*'Valve Sizing'!$W$6*'Valve Sizing'!$G$8/AD3579)</f>
        <v>-472.11111690671623</v>
      </c>
      <c r="AE3581" s="111"/>
      <c r="AF3581" s="28"/>
      <c r="AG3581" s="96">
        <f ca="1">(AG3574/(N_9*AG$27*AG3576*AG3580))*SQRT(M*'Valve Sizing'!$W$6*'Valve Sizing'!$G$8/AG3579)</f>
        <v>-197.6966144367764</v>
      </c>
      <c r="AH3581" s="111"/>
      <c r="AI3581" s="28"/>
      <c r="AJ3581" s="96">
        <f ca="1">(AJ3574/(N_9*AJ$27*AJ3576*AJ3580))*SQRT(M*'Valve Sizing'!$W$6*'Valve Sizing'!$G$8/AJ3579)</f>
        <v>-148.63205426963714</v>
      </c>
      <c r="AK3581" s="111"/>
      <c r="AL3581" s="28"/>
      <c r="AM3581" s="96">
        <f ca="1">(AM3574/(N_9*AM$27*AM3576*AM3580))*SQRT(M*'Valve Sizing'!$W$6*'Valve Sizing'!$G$8/AM3579)</f>
        <v>-155.57523912230425</v>
      </c>
      <c r="AN3581" s="111"/>
      <c r="AO3581" s="28"/>
      <c r="AP3581" s="96">
        <f ca="1">(AP3574/(N_9*AP$27*AP3576*AP3580))*SQRT(M*'Valve Sizing'!$W$6*'Valve Sizing'!$G$8/AP3579)</f>
        <v>-96.570468054409446</v>
      </c>
      <c r="AQ3581" s="111"/>
      <c r="AR3581" s="28"/>
      <c r="AS3581" s="96">
        <f ca="1">(AS3574/(N_9*AS$27*AS3576*AS3580))*SQRT(M*'Valve Sizing'!$W$6*'Valve Sizing'!$G$8/AS3579)</f>
        <v>-485.83726426129522</v>
      </c>
      <c r="AT3581" s="111"/>
      <c r="AU3581" s="28"/>
    </row>
    <row r="3582" spans="15:47" x14ac:dyDescent="0.25">
      <c r="O3582" s="2" t="s">
        <v>59</v>
      </c>
      <c r="P3582" s="143">
        <v>7</v>
      </c>
      <c r="Q3582" s="2"/>
      <c r="R3582" s="96">
        <f ca="1">(R3574/(N_9*R$27*R3576*0.667))*SQRT(M*'Valve Sizing'!$W$6*'Valve Sizing'!$G$8/R3583)</f>
        <v>17.348543793920211</v>
      </c>
      <c r="S3582" s="107"/>
      <c r="T3582" s="22"/>
      <c r="U3582" s="96">
        <f ca="1">(U3574/(N_9*U$27*U3576*0.667))*SQRT(M*'Valve Sizing'!$W$6*'Valve Sizing'!$G$8/U3583)</f>
        <v>54.83820537304728</v>
      </c>
      <c r="V3582" s="111"/>
      <c r="W3582" s="28"/>
      <c r="X3582" s="96">
        <f ca="1">(X3574/(N_9*X$27*X3576*0.667))*SQRT(M*'Valve Sizing'!$W$6*'Valve Sizing'!$G$8/X3583)</f>
        <v>173.85493278705385</v>
      </c>
      <c r="Y3582" s="111"/>
      <c r="Z3582" s="28"/>
      <c r="AA3582" s="96">
        <f ca="1">(AA3574/(N_9*AA$27*AA3576*0.667))*SQRT(M*'Valve Sizing'!$W$6*'Valve Sizing'!$G$8/AA3583)</f>
        <v>8122.0620116300024</v>
      </c>
      <c r="AB3582" s="111"/>
      <c r="AC3582" s="28"/>
      <c r="AD3582" s="96">
        <f ca="1">(AD3574/(N_9*AD$27*AD3576*0.667))*SQRT(M*'Valve Sizing'!$W$6*'Valve Sizing'!$G$8/AD3583)</f>
        <v>-255.22791374931739</v>
      </c>
      <c r="AE3582" s="111"/>
      <c r="AF3582" s="28"/>
      <c r="AG3582" s="96">
        <f ca="1">(AG3574/(N_9*AG$27*AG3576*0.667))*SQRT(M*'Valve Sizing'!$W$6*'Valve Sizing'!$G$8/AG3583)</f>
        <v>-140.81057843535226</v>
      </c>
      <c r="AH3582" s="111"/>
      <c r="AI3582" s="28"/>
      <c r="AJ3582" s="96">
        <f ca="1">(AJ3574/(N_9*AJ$27*AJ3576*0.667))*SQRT(M*'Valve Sizing'!$W$6*'Valve Sizing'!$G$8/AJ3583)</f>
        <v>-103.92189269063766</v>
      </c>
      <c r="AK3582" s="111"/>
      <c r="AL3582" s="28"/>
      <c r="AM3582" s="96">
        <f ca="1">(AM3574/(N_9*AM$27*AM3576*0.667))*SQRT(M*'Valve Sizing'!$W$6*'Valve Sizing'!$G$8/AM3583)</f>
        <v>-92.30667997139328</v>
      </c>
      <c r="AN3582" s="111"/>
      <c r="AO3582" s="28"/>
      <c r="AP3582" s="96">
        <f ca="1">(AP3574/(N_9*AP$27*AP3576*0.667))*SQRT(M*'Valve Sizing'!$W$6*'Valve Sizing'!$G$8/AP3583)</f>
        <v>-79.78822672781294</v>
      </c>
      <c r="AQ3582" s="111"/>
      <c r="AR3582" s="28"/>
      <c r="AS3582" s="96">
        <f ca="1">(AS3574/(N_9*AS$27*AS3576*0.667))*SQRT(M*'Valve Sizing'!$W$6*'Valve Sizing'!$G$8/AS3583)</f>
        <v>-112.55968243937781</v>
      </c>
      <c r="AT3582" s="111"/>
      <c r="AU3582" s="28"/>
    </row>
    <row r="3583" spans="15:47" ht="15.6" x14ac:dyDescent="0.35">
      <c r="O3583" s="2" t="s">
        <v>68</v>
      </c>
      <c r="P3583" s="143">
        <v>10</v>
      </c>
      <c r="Q3583" s="2"/>
      <c r="R3583" s="96">
        <f ca="1">F_GAMMA*R$29</f>
        <v>0.64002969751372984</v>
      </c>
      <c r="S3583" s="107"/>
      <c r="T3583" s="1"/>
      <c r="U3583" s="96">
        <f ca="1">F_GAMMA*U$29</f>
        <v>0.64017842058782071</v>
      </c>
      <c r="V3583" s="111"/>
      <c r="W3583" s="28"/>
      <c r="X3583" s="96">
        <f ca="1">F_GAMMA*X$29</f>
        <v>0.63413873724904268</v>
      </c>
      <c r="Y3583" s="111"/>
      <c r="Z3583" s="28"/>
      <c r="AA3583" s="96">
        <f ca="1">F_GAMMA*AA$29</f>
        <v>0.62532411750377137</v>
      </c>
      <c r="AB3583" s="111"/>
      <c r="AC3583" s="28"/>
      <c r="AD3583" s="96">
        <f ca="1">F_GAMMA*AD$29</f>
        <v>0.60651359509139569</v>
      </c>
      <c r="AE3583" s="111"/>
      <c r="AF3583" s="28"/>
      <c r="AG3583" s="96">
        <f ca="1">F_GAMMA*AG$29</f>
        <v>0.57217930198481592</v>
      </c>
      <c r="AH3583" s="111"/>
      <c r="AI3583" s="28"/>
      <c r="AJ3583" s="96">
        <f ca="1">F_GAMMA*AJ$29</f>
        <v>0.53183282018848232</v>
      </c>
      <c r="AK3583" s="111"/>
      <c r="AL3583" s="28"/>
      <c r="AM3583" s="96">
        <f ca="1">F_GAMMA*AM$29</f>
        <v>0.47566512503094399</v>
      </c>
      <c r="AN3583" s="111"/>
      <c r="AO3583" s="28"/>
      <c r="AP3583" s="96">
        <f ca="1">F_GAMMA*AP$29</f>
        <v>0.59054158265645496</v>
      </c>
      <c r="AQ3583" s="111"/>
      <c r="AR3583" s="28"/>
      <c r="AS3583" s="96">
        <f ca="1">F_GAMMA*AS$29</f>
        <v>0.3766899554102966</v>
      </c>
      <c r="AT3583" s="111"/>
      <c r="AU3583" s="28"/>
    </row>
    <row r="3584" spans="15:47" x14ac:dyDescent="0.25">
      <c r="O3584" s="2" t="s">
        <v>145</v>
      </c>
      <c r="P3584" s="12"/>
      <c r="Q3584" s="2"/>
      <c r="R3584" s="96">
        <f ca="1">IF(R3579&lt;R3583,R3581,R3582)</f>
        <v>19.43173211942122</v>
      </c>
      <c r="S3584" s="116"/>
      <c r="T3584" s="1"/>
      <c r="U3584" s="96">
        <f ca="1">IF(U3579&lt;U3583,U3581,U3582)</f>
        <v>62.989133039600695</v>
      </c>
      <c r="V3584" s="111"/>
      <c r="W3584" s="28"/>
      <c r="X3584" s="96">
        <f ca="1">IF(X3579&lt;X3583,X3581,X3582)</f>
        <v>299.59824512424717</v>
      </c>
      <c r="Y3584" s="111"/>
      <c r="Z3584" s="28"/>
      <c r="AA3584" s="96" t="e">
        <f ca="1">IF(AA3579&lt;AA3583,AA3581,AA3582)</f>
        <v>#NUM!</v>
      </c>
      <c r="AB3584" s="111"/>
      <c r="AC3584" s="28"/>
      <c r="AD3584" s="96">
        <f ca="1">IF(AD3579&lt;AD3583,AD3581,AD3582)</f>
        <v>-255.22791374931739</v>
      </c>
      <c r="AE3584" s="111"/>
      <c r="AF3584" s="28"/>
      <c r="AG3584" s="96">
        <f ca="1">IF(AG3579&lt;AG3583,AG3581,AG3582)</f>
        <v>-140.81057843535226</v>
      </c>
      <c r="AH3584" s="111"/>
      <c r="AI3584" s="28"/>
      <c r="AJ3584" s="96">
        <f ca="1">IF(AJ3579&lt;AJ3583,AJ3581,AJ3582)</f>
        <v>-103.92189269063766</v>
      </c>
      <c r="AK3584" s="111"/>
      <c r="AL3584" s="28"/>
      <c r="AM3584" s="96">
        <f ca="1">IF(AM3579&lt;AM3583,AM3581,AM3582)</f>
        <v>-92.30667997139328</v>
      </c>
      <c r="AN3584" s="111"/>
      <c r="AO3584" s="28"/>
      <c r="AP3584" s="96">
        <f ca="1">IF(AP3579&lt;AP3583,AP3581,AP3582)</f>
        <v>-79.78822672781294</v>
      </c>
      <c r="AQ3584" s="111"/>
      <c r="AR3584" s="28"/>
      <c r="AS3584" s="96">
        <f ca="1">IF(AS3579&lt;AS3583,AS3581,AS3582)</f>
        <v>-112.55968243937781</v>
      </c>
      <c r="AT3584" s="111"/>
      <c r="AU3584" s="28"/>
    </row>
    <row r="3585" spans="15:47" x14ac:dyDescent="0.25">
      <c r="O3585" s="13" t="s">
        <v>143</v>
      </c>
      <c r="P3585" s="1"/>
      <c r="Q3585" s="1"/>
      <c r="R3585" s="113"/>
      <c r="S3585" s="106">
        <f ca="1">IF(R3578&lt;=0,Q_max,ABS(R$23-R3584))</f>
        <v>14.701732119421219</v>
      </c>
      <c r="T3585" s="7">
        <f>R3574</f>
        <v>47767.236802822285</v>
      </c>
      <c r="U3585" s="98"/>
      <c r="V3585" s="106">
        <f ca="1">IF(U3578&lt;=0,Q_max,ABS(U$23-U3584))</f>
        <v>51.389133039600694</v>
      </c>
      <c r="W3585" s="9">
        <f ca="1">U3574</f>
        <v>145152.82454560552</v>
      </c>
      <c r="X3585" s="98"/>
      <c r="Y3585" s="106">
        <f ca="1">IF(X3578&lt;=0,Q_max,ABS(X$23-X3584))</f>
        <v>276.59824512424717</v>
      </c>
      <c r="Z3585" s="9">
        <f ca="1">X3574</f>
        <v>355425.9489998878</v>
      </c>
      <c r="AA3585" s="98"/>
      <c r="AB3585" s="106">
        <f ca="1">IF(AA3578&lt;=0,Q_max,ABS(AA$23-AA3584))</f>
        <v>236393</v>
      </c>
      <c r="AC3585" s="9">
        <f ca="1">AA3574</f>
        <v>692279.02780851512</v>
      </c>
      <c r="AD3585" s="98"/>
      <c r="AE3585" s="106">
        <f ca="1">IF(AD3578&lt;=0,Q_max,ABS(AD$23-AD3584))</f>
        <v>236393</v>
      </c>
      <c r="AF3585" s="9">
        <f ca="1">AD3574</f>
        <v>1161428.8555154835</v>
      </c>
      <c r="AG3585" s="98"/>
      <c r="AH3585" s="106">
        <f ca="1">IF(AG3578&lt;=0,Q_max,ABS(AG$23-AG3584))</f>
        <v>236393</v>
      </c>
      <c r="AI3585" s="9">
        <f ca="1">AG3574</f>
        <v>1695137.0474658147</v>
      </c>
      <c r="AJ3585" s="98"/>
      <c r="AK3585" s="106">
        <f ca="1">IF(AJ3578&lt;=0,Q_max,ABS(AJ$23-AJ3584))</f>
        <v>236393</v>
      </c>
      <c r="AL3585" s="9">
        <f ca="1">AJ3574</f>
        <v>2262166.9611558639</v>
      </c>
      <c r="AM3585" s="98"/>
      <c r="AN3585" s="106">
        <f ca="1">IF(AM3578&lt;=0,Q_max,ABS(AM$23-AM3584))</f>
        <v>236393</v>
      </c>
      <c r="AO3585" s="9">
        <f ca="1">AM3574</f>
        <v>2760273.5947017442</v>
      </c>
      <c r="AP3585" s="98"/>
      <c r="AQ3585" s="106">
        <f ca="1">IF(AP3578&lt;=0,Q_max,ABS(AP$23-AP3584))</f>
        <v>236393</v>
      </c>
      <c r="AR3585" s="9">
        <f ca="1">AP3574</f>
        <v>3204591.9517762749</v>
      </c>
      <c r="AS3585" s="98"/>
      <c r="AT3585" s="106">
        <f ca="1">IF(AS3578&lt;=0,Q_max,ABS(AS$23-AS3584))</f>
        <v>236393</v>
      </c>
      <c r="AU3585" s="9">
        <f ca="1">AS3574</f>
        <v>3757636.0883472157</v>
      </c>
    </row>
    <row r="3586" spans="15:47" x14ac:dyDescent="0.25">
      <c r="O3586" s="21"/>
      <c r="P3586" s="14"/>
      <c r="Q3586" s="21"/>
      <c r="R3586" s="97"/>
      <c r="S3586" s="106"/>
      <c r="T3586" s="28"/>
      <c r="U3586" s="97"/>
      <c r="V3586" s="111"/>
      <c r="W3586" s="28"/>
      <c r="X3586" s="97"/>
      <c r="Y3586" s="111"/>
      <c r="Z3586" s="28"/>
      <c r="AA3586" s="97"/>
      <c r="AB3586" s="111"/>
      <c r="AC3586" s="28"/>
      <c r="AD3586" s="97"/>
      <c r="AE3586" s="111"/>
      <c r="AF3586" s="28"/>
      <c r="AG3586" s="97"/>
      <c r="AH3586" s="111"/>
      <c r="AI3586" s="28"/>
      <c r="AJ3586" s="97"/>
      <c r="AK3586" s="111"/>
      <c r="AL3586" s="28"/>
      <c r="AM3586" s="97"/>
      <c r="AN3586" s="111"/>
      <c r="AO3586" s="28"/>
      <c r="AP3586" s="97"/>
      <c r="AQ3586" s="111"/>
      <c r="AR3586" s="28"/>
      <c r="AS3586" s="97"/>
      <c r="AT3586" s="111"/>
      <c r="AU3586" s="28"/>
    </row>
    <row r="3587" spans="15:47" x14ac:dyDescent="0.25">
      <c r="O3587" s="1"/>
      <c r="P3587" s="1"/>
      <c r="Q3587" s="1"/>
      <c r="R3587" s="98"/>
      <c r="S3587" s="108" t="s">
        <v>137</v>
      </c>
      <c r="T3587" s="26" t="s">
        <v>146</v>
      </c>
      <c r="U3587" s="98"/>
      <c r="V3587" s="108" t="s">
        <v>137</v>
      </c>
      <c r="W3587" s="26" t="s">
        <v>146</v>
      </c>
      <c r="X3587" s="98"/>
      <c r="Y3587" s="108" t="s">
        <v>137</v>
      </c>
      <c r="Z3587" s="26" t="s">
        <v>146</v>
      </c>
      <c r="AA3587" s="98"/>
      <c r="AB3587" s="108" t="s">
        <v>137</v>
      </c>
      <c r="AC3587" s="26" t="s">
        <v>146</v>
      </c>
      <c r="AD3587" s="98"/>
      <c r="AE3587" s="108" t="s">
        <v>137</v>
      </c>
      <c r="AF3587" s="26" t="s">
        <v>146</v>
      </c>
      <c r="AG3587" s="98"/>
      <c r="AH3587" s="108" t="s">
        <v>137</v>
      </c>
      <c r="AI3587" s="26" t="s">
        <v>146</v>
      </c>
      <c r="AJ3587" s="98"/>
      <c r="AK3587" s="108" t="s">
        <v>137</v>
      </c>
      <c r="AL3587" s="26" t="s">
        <v>146</v>
      </c>
      <c r="AM3587" s="98"/>
      <c r="AN3587" s="108" t="s">
        <v>137</v>
      </c>
      <c r="AO3587" s="26" t="s">
        <v>146</v>
      </c>
      <c r="AP3587" s="98"/>
      <c r="AQ3587" s="108" t="s">
        <v>137</v>
      </c>
      <c r="AR3587" s="26" t="s">
        <v>146</v>
      </c>
      <c r="AS3587" s="98"/>
      <c r="AT3587" s="108" t="s">
        <v>137</v>
      </c>
      <c r="AU3587" s="26" t="s">
        <v>146</v>
      </c>
    </row>
    <row r="3588" spans="15:47" ht="13.8" x14ac:dyDescent="0.25">
      <c r="O3588" s="20" t="s">
        <v>136</v>
      </c>
      <c r="P3588" s="1"/>
      <c r="Q3588" s="1"/>
      <c r="R3588" s="96">
        <f>R3574*1.02</f>
        <v>48722.58153887873</v>
      </c>
      <c r="S3588" s="109" t="s">
        <v>144</v>
      </c>
      <c r="T3588" s="23" t="s">
        <v>147</v>
      </c>
      <c r="U3588" s="96">
        <f ca="1">U3574*1.01</f>
        <v>146604.35279106157</v>
      </c>
      <c r="V3588" s="109" t="s">
        <v>144</v>
      </c>
      <c r="W3588" s="23" t="s">
        <v>147</v>
      </c>
      <c r="X3588" s="96">
        <f ca="1">X3574*1.01</f>
        <v>358980.20848988666</v>
      </c>
      <c r="Y3588" s="109" t="s">
        <v>144</v>
      </c>
      <c r="Z3588" s="23" t="s">
        <v>147</v>
      </c>
      <c r="AA3588" s="96">
        <f ca="1">AA3574*1.01</f>
        <v>699201.81808660028</v>
      </c>
      <c r="AB3588" s="109" t="s">
        <v>144</v>
      </c>
      <c r="AC3588" s="23" t="s">
        <v>147</v>
      </c>
      <c r="AD3588" s="96">
        <f ca="1">AD3574*1.01</f>
        <v>1173043.1440706383</v>
      </c>
      <c r="AE3588" s="109" t="s">
        <v>144</v>
      </c>
      <c r="AF3588" s="23" t="s">
        <v>147</v>
      </c>
      <c r="AG3588" s="96">
        <f ca="1">AG3574*1.01</f>
        <v>1712088.417940473</v>
      </c>
      <c r="AH3588" s="109" t="s">
        <v>144</v>
      </c>
      <c r="AI3588" s="23" t="s">
        <v>147</v>
      </c>
      <c r="AJ3588" s="96">
        <f ca="1">AJ3574*1.01</f>
        <v>2284788.6307674227</v>
      </c>
      <c r="AK3588" s="109" t="s">
        <v>144</v>
      </c>
      <c r="AL3588" s="23" t="s">
        <v>147</v>
      </c>
      <c r="AM3588" s="96">
        <f ca="1">AM3574*1.01</f>
        <v>2787876.3306487617</v>
      </c>
      <c r="AN3588" s="109" t="s">
        <v>144</v>
      </c>
      <c r="AO3588" s="23" t="s">
        <v>147</v>
      </c>
      <c r="AP3588" s="96">
        <f ca="1">AP3574*1.01</f>
        <v>3236637.8712940379</v>
      </c>
      <c r="AQ3588" s="109" t="s">
        <v>144</v>
      </c>
      <c r="AR3588" s="23" t="s">
        <v>147</v>
      </c>
      <c r="AS3588" s="96">
        <f ca="1">AS3574*1.01</f>
        <v>3795212.4492306877</v>
      </c>
      <c r="AT3588" s="109" t="s">
        <v>144</v>
      </c>
      <c r="AU3588" s="23" t="s">
        <v>147</v>
      </c>
    </row>
    <row r="3589" spans="15:47" x14ac:dyDescent="0.25">
      <c r="O3589" s="1"/>
      <c r="P3589" s="1"/>
      <c r="Q3589" s="1"/>
      <c r="R3589" s="98"/>
      <c r="S3589" s="107"/>
      <c r="T3589" s="1"/>
      <c r="U3589" s="47"/>
      <c r="V3589" s="107"/>
      <c r="W3589" s="1"/>
      <c r="X3589" s="47"/>
      <c r="Y3589" s="107"/>
      <c r="Z3589" s="1"/>
      <c r="AA3589" s="47"/>
      <c r="AB3589" s="107"/>
      <c r="AC3589" s="1"/>
      <c r="AD3589" s="47"/>
      <c r="AE3589" s="107"/>
      <c r="AF3589" s="1"/>
      <c r="AG3589" s="47"/>
      <c r="AH3589" s="107"/>
      <c r="AI3589" s="1"/>
      <c r="AJ3589" s="47"/>
      <c r="AK3589" s="107"/>
      <c r="AL3589" s="1"/>
      <c r="AM3589" s="47"/>
      <c r="AN3589" s="107"/>
      <c r="AO3589" s="1"/>
      <c r="AP3589" s="47"/>
      <c r="AQ3589" s="107"/>
      <c r="AR3589" s="1"/>
      <c r="AS3589" s="47"/>
      <c r="AT3589" s="107"/>
      <c r="AU3589" s="1"/>
    </row>
    <row r="3590" spans="15:47" x14ac:dyDescent="0.25">
      <c r="O3590" s="8" t="s">
        <v>132</v>
      </c>
      <c r="P3590" s="8"/>
      <c r="Q3590" s="8"/>
      <c r="R3590" s="96">
        <f>P_1_minQ-(R3588^2*R_up)+dpup_minQ</f>
        <v>89.752373184547054</v>
      </c>
      <c r="S3590" s="106"/>
      <c r="T3590" s="22"/>
      <c r="U3590" s="96">
        <f ca="1">P_1_minQ-(U3588^2*R_up)+dpup_minQ</f>
        <v>86.267736609706773</v>
      </c>
      <c r="V3590" s="107"/>
      <c r="W3590" s="1"/>
      <c r="X3590" s="96">
        <f ca="1">P_1_minQ-(X3588^2*R_up)+dpup_minQ</f>
        <v>66.697661945358675</v>
      </c>
      <c r="Y3590" s="107"/>
      <c r="Z3590" s="1"/>
      <c r="AA3590" s="96">
        <f ca="1">P_1_minQ-(AA3588^2*R_up)+dpup_minQ</f>
        <v>1.0807462322981951</v>
      </c>
      <c r="AB3590" s="107"/>
      <c r="AC3590" s="1"/>
      <c r="AD3590" s="96">
        <f ca="1">P_1_minQ-(AD3588^2*R_up)+dpup_minQ</f>
        <v>-160.61148081552568</v>
      </c>
      <c r="AE3590" s="107"/>
      <c r="AF3590" s="1"/>
      <c r="AG3590" s="96">
        <f ca="1">P_1_minQ-(AG3588^2*R_up)+dpup_minQ</f>
        <v>-444.0666632341551</v>
      </c>
      <c r="AH3590" s="107"/>
      <c r="AI3590" s="1"/>
      <c r="AJ3590" s="96">
        <f ca="1">P_1_minQ-(AJ3588^2*R_up)+dpup_minQ</f>
        <v>-861.26413742391094</v>
      </c>
      <c r="AK3590" s="107"/>
      <c r="AL3590" s="1"/>
      <c r="AM3590" s="96">
        <f ca="1">P_1_minQ-(AM3588^2*R_up)+dpup_minQ</f>
        <v>-1326.3931348780281</v>
      </c>
      <c r="AN3590" s="107"/>
      <c r="AO3590" s="1"/>
      <c r="AP3590" s="96">
        <f ca="1">P_1_minQ-(AP3588^2*R_up)+dpup_minQ</f>
        <v>-1819.1483166780665</v>
      </c>
      <c r="AQ3590" s="107"/>
      <c r="AR3590" s="1"/>
      <c r="AS3590" s="96">
        <f ca="1">P_1_minQ-(AS3588^2*R_up)+dpup_minQ</f>
        <v>-2535.0350611718131</v>
      </c>
      <c r="AT3590" s="107"/>
      <c r="AU3590" s="1"/>
    </row>
    <row r="3591" spans="15:47" x14ac:dyDescent="0.25">
      <c r="O3591" s="8" t="s">
        <v>134</v>
      </c>
      <c r="P3591" s="1"/>
      <c r="Q3591" s="8"/>
      <c r="R3591" s="97">
        <f>P_2_minQ+(R3588^2*R_dn)-dpdn_minQ</f>
        <v>60</v>
      </c>
      <c r="S3591" s="106"/>
      <c r="T3591" s="22"/>
      <c r="U3591" s="97">
        <f ca="1">P_2_minQ+(U3588^2*R_dn)-dpdn_minQ</f>
        <v>60</v>
      </c>
      <c r="V3591" s="107"/>
      <c r="W3591" s="1"/>
      <c r="X3591" s="97">
        <f ca="1">P_2_minQ+(X3588^2*R_dn)-dpdn_minQ</f>
        <v>60</v>
      </c>
      <c r="Y3591" s="107"/>
      <c r="Z3591" s="1"/>
      <c r="AA3591" s="97">
        <f ca="1">P_2_minQ+(AA3588^2*R_dn)-dpdn_minQ</f>
        <v>60</v>
      </c>
      <c r="AB3591" s="107"/>
      <c r="AC3591" s="1"/>
      <c r="AD3591" s="97">
        <f ca="1">P_2_minQ+(AD3588^2*R_dn)-dpdn_minQ</f>
        <v>60</v>
      </c>
      <c r="AE3591" s="107"/>
      <c r="AF3591" s="1"/>
      <c r="AG3591" s="97">
        <f ca="1">P_2_minQ+(AG3588^2*R_dn)-dpdn_minQ</f>
        <v>60</v>
      </c>
      <c r="AH3591" s="107"/>
      <c r="AI3591" s="1"/>
      <c r="AJ3591" s="97">
        <f ca="1">P_2_minQ+(AJ3588^2*R_dn)-dpdn_minQ</f>
        <v>60</v>
      </c>
      <c r="AK3591" s="107"/>
      <c r="AL3591" s="1"/>
      <c r="AM3591" s="97">
        <f ca="1">P_2_minQ+(AM3588^2*R_dn)-dpdn_minQ</f>
        <v>60</v>
      </c>
      <c r="AN3591" s="107"/>
      <c r="AO3591" s="1"/>
      <c r="AP3591" s="97">
        <f ca="1">P_2_minQ+(AP3588^2*R_dn)-dpdn_minQ</f>
        <v>60</v>
      </c>
      <c r="AQ3591" s="107"/>
      <c r="AR3591" s="1"/>
      <c r="AS3591" s="97">
        <f ca="1">P_2_minQ+(AS3588^2*R_dn)-dpdn_minQ</f>
        <v>60</v>
      </c>
      <c r="AT3591" s="107"/>
      <c r="AU3591" s="1"/>
    </row>
    <row r="3592" spans="15:47" x14ac:dyDescent="0.25">
      <c r="O3592" s="8" t="s">
        <v>138</v>
      </c>
      <c r="P3592" s="1"/>
      <c r="Q3592" s="8"/>
      <c r="R3592" s="97">
        <f>R3590-R3591</f>
        <v>29.752373184547054</v>
      </c>
      <c r="S3592" s="106"/>
      <c r="T3592" s="22"/>
      <c r="U3592" s="97">
        <f ca="1">U3590-U3591</f>
        <v>26.267736609706773</v>
      </c>
      <c r="V3592" s="110"/>
      <c r="W3592" s="25"/>
      <c r="X3592" s="97">
        <f ca="1">X3590-X3591</f>
        <v>6.697661945358675</v>
      </c>
      <c r="Y3592" s="110"/>
      <c r="Z3592" s="25"/>
      <c r="AA3592" s="97">
        <f ca="1">AA3590-AA3591</f>
        <v>-58.919253767701804</v>
      </c>
      <c r="AB3592" s="110"/>
      <c r="AC3592" s="25"/>
      <c r="AD3592" s="97">
        <f ca="1">AD3590-AD3591</f>
        <v>-220.61148081552568</v>
      </c>
      <c r="AE3592" s="110"/>
      <c r="AF3592" s="25"/>
      <c r="AG3592" s="97">
        <f ca="1">AG3590-AG3591</f>
        <v>-504.0666632341551</v>
      </c>
      <c r="AH3592" s="110"/>
      <c r="AI3592" s="25"/>
      <c r="AJ3592" s="97">
        <f ca="1">AJ3590-AJ3591</f>
        <v>-921.26413742391094</v>
      </c>
      <c r="AK3592" s="110"/>
      <c r="AL3592" s="25"/>
      <c r="AM3592" s="97">
        <f ca="1">AM3590-AM3591</f>
        <v>-1386.3931348780281</v>
      </c>
      <c r="AN3592" s="110"/>
      <c r="AO3592" s="25"/>
      <c r="AP3592" s="97">
        <f ca="1">AP3590-AP3591</f>
        <v>-1879.1483166780665</v>
      </c>
      <c r="AQ3592" s="110"/>
      <c r="AR3592" s="25"/>
      <c r="AS3592" s="97">
        <f ca="1">AS3590-AS3591</f>
        <v>-2595.0350611718131</v>
      </c>
      <c r="AT3592" s="110"/>
      <c r="AU3592" s="25"/>
    </row>
    <row r="3593" spans="15:47" ht="14.4" x14ac:dyDescent="0.3">
      <c r="O3593" s="2" t="s">
        <v>140</v>
      </c>
      <c r="P3593" s="11"/>
      <c r="Q3593" s="2"/>
      <c r="R3593" s="96">
        <f>R3592/R3590</f>
        <v>0.33149399986751116</v>
      </c>
      <c r="S3593" s="106"/>
      <c r="T3593" s="22"/>
      <c r="U3593" s="96">
        <f ca="1">U3592/U3590</f>
        <v>0.30449085187603209</v>
      </c>
      <c r="V3593" s="111"/>
      <c r="W3593" s="28"/>
      <c r="X3593" s="96">
        <f ca="1">X3592/X3590</f>
        <v>0.10041824180952041</v>
      </c>
      <c r="Y3593" s="111"/>
      <c r="Z3593" s="28"/>
      <c r="AA3593" s="96">
        <f ca="1">AA3592/AA3590</f>
        <v>-54.517195625480603</v>
      </c>
      <c r="AB3593" s="111"/>
      <c r="AC3593" s="28"/>
      <c r="AD3593" s="96">
        <f ca="1">AD3592/AD3590</f>
        <v>1.3735722981653753</v>
      </c>
      <c r="AE3593" s="111"/>
      <c r="AF3593" s="28"/>
      <c r="AG3593" s="96">
        <f ca="1">AG3592/AG3590</f>
        <v>1.1351148486648774</v>
      </c>
      <c r="AH3593" s="111"/>
      <c r="AI3593" s="28"/>
      <c r="AJ3593" s="96">
        <f ca="1">AJ3592/AJ3590</f>
        <v>1.0696650393216922</v>
      </c>
      <c r="AK3593" s="111"/>
      <c r="AL3593" s="28"/>
      <c r="AM3593" s="96">
        <f ca="1">AM3592/AM3590</f>
        <v>1.0452354572880969</v>
      </c>
      <c r="AN3593" s="111"/>
      <c r="AO3593" s="28"/>
      <c r="AP3593" s="96">
        <f ca="1">AP3592/AP3590</f>
        <v>1.0329824673721852</v>
      </c>
      <c r="AQ3593" s="111"/>
      <c r="AR3593" s="28"/>
      <c r="AS3593" s="96">
        <f ca="1">AS3592/AS3590</f>
        <v>1.0236683117006931</v>
      </c>
      <c r="AT3593" s="111"/>
      <c r="AU3593" s="28"/>
    </row>
    <row r="3594" spans="15:47" x14ac:dyDescent="0.25">
      <c r="O3594" s="2" t="s">
        <v>21</v>
      </c>
      <c r="P3594" s="8">
        <v>12</v>
      </c>
      <c r="Q3594" s="2"/>
      <c r="R3594" s="96">
        <f ca="1">1-R3593/(3*F_GAMMA*R$29)</f>
        <v>0.82735488621062514</v>
      </c>
      <c r="S3594" s="106"/>
      <c r="T3594" s="22"/>
      <c r="U3594" s="96">
        <f ca="1">1-U3593/(3*F_GAMMA*U$29)</f>
        <v>0.84145521410711077</v>
      </c>
      <c r="V3594" s="111"/>
      <c r="W3594" s="28"/>
      <c r="X3594" s="96">
        <f ca="1">1-X3593/(3*F_GAMMA*X$29)</f>
        <v>0.94721541942848619</v>
      </c>
      <c r="Y3594" s="111"/>
      <c r="Z3594" s="28"/>
      <c r="AA3594" s="96">
        <f ca="1">1-AA3593/(3*F_GAMMA*AA$29)</f>
        <v>30.060767101657916</v>
      </c>
      <c r="AB3594" s="111"/>
      <c r="AC3594" s="28"/>
      <c r="AD3594" s="96">
        <f ca="1">1-AD3593/(3*F_GAMMA*AD$29)</f>
        <v>0.24509947274504684</v>
      </c>
      <c r="AE3594" s="111"/>
      <c r="AF3594" s="28"/>
      <c r="AG3594" s="96">
        <f ca="1">1-AG3593/(3*F_GAMMA*AG$29)</f>
        <v>0.33871844907863025</v>
      </c>
      <c r="AH3594" s="111"/>
      <c r="AI3594" s="28"/>
      <c r="AJ3594" s="96">
        <f ca="1">1-AJ3593/(3*F_GAMMA*AJ$29)</f>
        <v>0.32957312980258135</v>
      </c>
      <c r="AK3594" s="111"/>
      <c r="AL3594" s="28"/>
      <c r="AM3594" s="96">
        <f ca="1">1-AM3593/(3*F_GAMMA*AM$29)</f>
        <v>0.26752708836207684</v>
      </c>
      <c r="AN3594" s="111"/>
      <c r="AO3594" s="28"/>
      <c r="AP3594" s="96">
        <f ca="1">1-AP3593/(3*F_GAMMA*AP$29)</f>
        <v>0.41692930822049701</v>
      </c>
      <c r="AQ3594" s="111"/>
      <c r="AR3594" s="28"/>
      <c r="AS3594" s="96">
        <f ca="1">1-AS3593/(3*F_GAMMA*AS$29)</f>
        <v>9.4154846270768089E-2</v>
      </c>
      <c r="AT3594" s="111"/>
      <c r="AU3594" s="28"/>
    </row>
    <row r="3595" spans="15:47" x14ac:dyDescent="0.25">
      <c r="O3595" s="2" t="s">
        <v>57</v>
      </c>
      <c r="P3595" s="143">
        <v>7</v>
      </c>
      <c r="Q3595" s="2"/>
      <c r="R3595" s="96">
        <f ca="1">(R3588/(N_9*R$27*R3590*R3594))*SQRT(M*'Valve Sizing'!$W$6*'Valve Sizing'!$G$8/R3593)</f>
        <v>19.826256131354071</v>
      </c>
      <c r="S3595" s="107"/>
      <c r="T3595" s="22"/>
      <c r="U3595" s="96">
        <f ca="1">(U3588/(N_9*U$27*U3590*U3594))*SQRT(M*'Valve Sizing'!$W$6*'Valve Sizing'!$G$8/U3593)</f>
        <v>63.716399842246481</v>
      </c>
      <c r="V3595" s="111"/>
      <c r="W3595" s="28"/>
      <c r="X3595" s="96">
        <f ca="1">(X3588/(N_9*X$27*X3590*X3594))*SQRT(M*'Valve Sizing'!$W$6*'Valve Sizing'!$G$8/X3593)</f>
        <v>312.87749633693483</v>
      </c>
      <c r="Y3595" s="111"/>
      <c r="Z3595" s="28"/>
      <c r="AA3595" s="96" t="e">
        <f ca="1">(AA3588/(N_9*AA$27*AA3590*AA3594))*SQRT(M*'Valve Sizing'!$W$6*'Valve Sizing'!$G$8/AA3593)</f>
        <v>#NUM!</v>
      </c>
      <c r="AB3595" s="111"/>
      <c r="AC3595" s="28"/>
      <c r="AD3595" s="96">
        <f ca="1">(AD3588/(N_9*AD$27*AD3590*AD3594))*SQRT(M*'Valve Sizing'!$W$6*'Valve Sizing'!$G$8/AD3593)</f>
        <v>-451.80942537749024</v>
      </c>
      <c r="AE3595" s="111"/>
      <c r="AF3595" s="28"/>
      <c r="AG3595" s="96">
        <f ca="1">(AG3588/(N_9*AG$27*AG3590*AG3594))*SQRT(M*'Valve Sizing'!$W$6*'Valve Sizing'!$G$8/AG3593)</f>
        <v>-194.12014328688431</v>
      </c>
      <c r="AH3595" s="111"/>
      <c r="AI3595" s="28"/>
      <c r="AJ3595" s="96">
        <f ca="1">(AJ3588/(N_9*AJ$27*AJ3590*AJ3594))*SQRT(M*'Valve Sizing'!$W$6*'Valve Sizing'!$G$8/AJ3593)</f>
        <v>-146.52385856680374</v>
      </c>
      <c r="AK3595" s="111"/>
      <c r="AL3595" s="28"/>
      <c r="AM3595" s="96">
        <f ca="1">(AM3588/(N_9*AM$27*AM3590*AM3594))*SQRT(M*'Valve Sizing'!$W$6*'Valve Sizing'!$G$8/AM3593)</f>
        <v>-153.50392362693194</v>
      </c>
      <c r="AN3595" s="111"/>
      <c r="AO3595" s="28"/>
      <c r="AP3595" s="96">
        <f ca="1">(AP3588/(N_9*AP$27*AP3590*AP3594))*SQRT(M*'Valve Sizing'!$W$6*'Valve Sizing'!$G$8/AP3593)</f>
        <v>-95.461145037100906</v>
      </c>
      <c r="AQ3595" s="111"/>
      <c r="AR3595" s="28"/>
      <c r="AS3595" s="96">
        <f ca="1">(AS3588/(N_9*AS$27*AS3590*AS3594))*SQRT(M*'Valve Sizing'!$W$6*'Valve Sizing'!$G$8/AS3593)</f>
        <v>-478.57099117011859</v>
      </c>
      <c r="AT3595" s="111"/>
      <c r="AU3595" s="28"/>
    </row>
    <row r="3596" spans="15:47" x14ac:dyDescent="0.25">
      <c r="O3596" s="2" t="s">
        <v>59</v>
      </c>
      <c r="P3596" s="143">
        <v>7</v>
      </c>
      <c r="Q3596" s="2"/>
      <c r="R3596" s="96">
        <f ca="1">(R3588/(N_9*R$27*R3590*0.667))*SQRT(M*'Valve Sizing'!$W$6*'Valve Sizing'!$G$8/R3597)</f>
        <v>17.6988271431924</v>
      </c>
      <c r="S3596" s="107"/>
      <c r="T3596" s="22"/>
      <c r="U3596" s="96">
        <f ca="1">(U3588/(N_9*U$27*U3590*0.667))*SQRT(M*'Valve Sizing'!$W$6*'Valve Sizing'!$G$8/U3597)</f>
        <v>55.436143488005264</v>
      </c>
      <c r="V3596" s="111"/>
      <c r="W3596" s="28"/>
      <c r="X3596" s="96">
        <f ca="1">(X3588/(N_9*X$27*X3590*0.667))*SQRT(M*'Valve Sizing'!$W$6*'Valve Sizing'!$G$8/X3597)</f>
        <v>176.81187018788907</v>
      </c>
      <c r="Y3596" s="111"/>
      <c r="Z3596" s="28"/>
      <c r="AA3596" s="96">
        <f ca="1">(AA3588/(N_9*AA$27*AA3590*0.667))*SQRT(M*'Valve Sizing'!$W$6*'Valve Sizing'!$G$8/AA3597)</f>
        <v>21529.776058382766</v>
      </c>
      <c r="AB3596" s="111"/>
      <c r="AC3596" s="28"/>
      <c r="AD3596" s="96">
        <f ca="1">(AD3588/(N_9*AD$27*AD3590*0.667))*SQRT(M*'Valve Sizing'!$W$6*'Valve Sizing'!$G$8/AD3597)</f>
        <v>-249.84883081280975</v>
      </c>
      <c r="AE3596" s="111"/>
      <c r="AF3596" s="28"/>
      <c r="AG3596" s="96">
        <f ca="1">(AG3588/(N_9*AG$27*AG3590*0.667))*SQRT(M*'Valve Sizing'!$W$6*'Valve Sizing'!$G$8/AG3597)</f>
        <v>-138.84730418376165</v>
      </c>
      <c r="AH3596" s="111"/>
      <c r="AI3596" s="28"/>
      <c r="AJ3596" s="96">
        <f ca="1">(AJ3588/(N_9*AJ$27*AJ3590*0.667))*SQRT(M*'Valve Sizing'!$W$6*'Valve Sizing'!$G$8/AJ3597)</f>
        <v>-102.67640224741687</v>
      </c>
      <c r="AK3596" s="111"/>
      <c r="AL3596" s="28"/>
      <c r="AM3596" s="96">
        <f ca="1">(AM3588/(N_9*AM$27*AM3590*0.667))*SQRT(M*'Valve Sizing'!$W$6*'Valve Sizing'!$G$8/AM3597)</f>
        <v>-91.267850256748318</v>
      </c>
      <c r="AN3596" s="111"/>
      <c r="AO3596" s="28"/>
      <c r="AP3596" s="96">
        <f ca="1">(AP3588/(N_9*AP$27*AP3590*0.667))*SQRT(M*'Valve Sizing'!$W$6*'Valve Sizing'!$G$8/AP3597)</f>
        <v>-78.919525226200179</v>
      </c>
      <c r="AQ3596" s="111"/>
      <c r="AR3596" s="28"/>
      <c r="AS3596" s="96">
        <f ca="1">(AS3588/(N_9*AS$27*AS3590*0.667))*SQRT(M*'Valve Sizing'!$W$6*'Valve Sizing'!$G$8/AS3597)</f>
        <v>-111.36553935805877</v>
      </c>
      <c r="AT3596" s="111"/>
      <c r="AU3596" s="28"/>
    </row>
    <row r="3597" spans="15:47" ht="15.6" x14ac:dyDescent="0.35">
      <c r="O3597" s="2" t="s">
        <v>68</v>
      </c>
      <c r="P3597" s="143">
        <v>10</v>
      </c>
      <c r="Q3597" s="2"/>
      <c r="R3597" s="96">
        <f ca="1">F_GAMMA*R$29</f>
        <v>0.64002969751372984</v>
      </c>
      <c r="S3597" s="107"/>
      <c r="T3597" s="1"/>
      <c r="U3597" s="96">
        <f ca="1">F_GAMMA*U$29</f>
        <v>0.64017842058782071</v>
      </c>
      <c r="V3597" s="111"/>
      <c r="W3597" s="28"/>
      <c r="X3597" s="96">
        <f ca="1">F_GAMMA*X$29</f>
        <v>0.63413873724904268</v>
      </c>
      <c r="Y3597" s="111"/>
      <c r="Z3597" s="28"/>
      <c r="AA3597" s="96">
        <f ca="1">F_GAMMA*AA$29</f>
        <v>0.62532411750377137</v>
      </c>
      <c r="AB3597" s="111"/>
      <c r="AC3597" s="28"/>
      <c r="AD3597" s="96">
        <f ca="1">F_GAMMA*AD$29</f>
        <v>0.60651359509139569</v>
      </c>
      <c r="AE3597" s="111"/>
      <c r="AF3597" s="28"/>
      <c r="AG3597" s="96">
        <f ca="1">F_GAMMA*AG$29</f>
        <v>0.57217930198481592</v>
      </c>
      <c r="AH3597" s="111"/>
      <c r="AI3597" s="28"/>
      <c r="AJ3597" s="96">
        <f ca="1">F_GAMMA*AJ$29</f>
        <v>0.53183282018848232</v>
      </c>
      <c r="AK3597" s="111"/>
      <c r="AL3597" s="28"/>
      <c r="AM3597" s="96">
        <f ca="1">F_GAMMA*AM$29</f>
        <v>0.47566512503094399</v>
      </c>
      <c r="AN3597" s="111"/>
      <c r="AO3597" s="28"/>
      <c r="AP3597" s="96">
        <f ca="1">F_GAMMA*AP$29</f>
        <v>0.59054158265645496</v>
      </c>
      <c r="AQ3597" s="111"/>
      <c r="AR3597" s="28"/>
      <c r="AS3597" s="96">
        <f ca="1">F_GAMMA*AS$29</f>
        <v>0.3766899554102966</v>
      </c>
      <c r="AT3597" s="111"/>
      <c r="AU3597" s="28"/>
    </row>
    <row r="3598" spans="15:47" x14ac:dyDescent="0.25">
      <c r="O3598" s="2" t="s">
        <v>145</v>
      </c>
      <c r="P3598" s="12"/>
      <c r="Q3598" s="2"/>
      <c r="R3598" s="96">
        <f ca="1">IF(R3593&lt;R3597,R3595,R3596)</f>
        <v>19.826256131354071</v>
      </c>
      <c r="S3598" s="116"/>
      <c r="T3598" s="1"/>
      <c r="U3598" s="96">
        <f ca="1">IF(U3593&lt;U3597,U3595,U3596)</f>
        <v>63.716399842246481</v>
      </c>
      <c r="V3598" s="111"/>
      <c r="W3598" s="28"/>
      <c r="X3598" s="96">
        <f ca="1">IF(X3593&lt;X3597,X3595,X3596)</f>
        <v>312.87749633693483</v>
      </c>
      <c r="Y3598" s="111"/>
      <c r="Z3598" s="28"/>
      <c r="AA3598" s="96" t="e">
        <f ca="1">IF(AA3593&lt;AA3597,AA3595,AA3596)</f>
        <v>#NUM!</v>
      </c>
      <c r="AB3598" s="111"/>
      <c r="AC3598" s="28"/>
      <c r="AD3598" s="96">
        <f ca="1">IF(AD3593&lt;AD3597,AD3595,AD3596)</f>
        <v>-249.84883081280975</v>
      </c>
      <c r="AE3598" s="111"/>
      <c r="AF3598" s="28"/>
      <c r="AG3598" s="96">
        <f ca="1">IF(AG3593&lt;AG3597,AG3595,AG3596)</f>
        <v>-138.84730418376165</v>
      </c>
      <c r="AH3598" s="111"/>
      <c r="AI3598" s="28"/>
      <c r="AJ3598" s="96">
        <f ca="1">IF(AJ3593&lt;AJ3597,AJ3595,AJ3596)</f>
        <v>-102.67640224741687</v>
      </c>
      <c r="AK3598" s="111"/>
      <c r="AL3598" s="28"/>
      <c r="AM3598" s="96">
        <f ca="1">IF(AM3593&lt;AM3597,AM3595,AM3596)</f>
        <v>-91.267850256748318</v>
      </c>
      <c r="AN3598" s="111"/>
      <c r="AO3598" s="28"/>
      <c r="AP3598" s="96">
        <f ca="1">IF(AP3593&lt;AP3597,AP3595,AP3596)</f>
        <v>-78.919525226200179</v>
      </c>
      <c r="AQ3598" s="111"/>
      <c r="AR3598" s="28"/>
      <c r="AS3598" s="96">
        <f ca="1">IF(AS3593&lt;AS3597,AS3595,AS3596)</f>
        <v>-111.36553935805877</v>
      </c>
      <c r="AT3598" s="111"/>
      <c r="AU3598" s="28"/>
    </row>
    <row r="3599" spans="15:47" x14ac:dyDescent="0.25">
      <c r="O3599" s="13" t="s">
        <v>143</v>
      </c>
      <c r="P3599" s="1"/>
      <c r="Q3599" s="1"/>
      <c r="R3599" s="113"/>
      <c r="S3599" s="106">
        <f ca="1">IF(R3592&lt;=0,Q_max,ABS(R$23-R3598))</f>
        <v>15.096256131354071</v>
      </c>
      <c r="T3599" s="7">
        <f>R3588</f>
        <v>48722.58153887873</v>
      </c>
      <c r="U3599" s="98"/>
      <c r="V3599" s="106">
        <f ca="1">IF(U3592&lt;=0,Q_max,ABS(U$23-U3598))</f>
        <v>52.11639984224648</v>
      </c>
      <c r="W3599" s="9">
        <f ca="1">U3588</f>
        <v>146604.35279106157</v>
      </c>
      <c r="X3599" s="98"/>
      <c r="Y3599" s="106">
        <f ca="1">IF(X3592&lt;=0,Q_max,ABS(X$23-X3598))</f>
        <v>289.87749633693483</v>
      </c>
      <c r="Z3599" s="9">
        <f ca="1">X3588</f>
        <v>358980.20848988666</v>
      </c>
      <c r="AA3599" s="98"/>
      <c r="AB3599" s="106">
        <f ca="1">IF(AA3592&lt;=0,Q_max,ABS(AA$23-AA3598))</f>
        <v>236393</v>
      </c>
      <c r="AC3599" s="9">
        <f ca="1">AA3588</f>
        <v>699201.81808660028</v>
      </c>
      <c r="AD3599" s="98"/>
      <c r="AE3599" s="106">
        <f ca="1">IF(AD3592&lt;=0,Q_max,ABS(AD$23-AD3598))</f>
        <v>236393</v>
      </c>
      <c r="AF3599" s="9">
        <f ca="1">AD3588</f>
        <v>1173043.1440706383</v>
      </c>
      <c r="AG3599" s="98"/>
      <c r="AH3599" s="106">
        <f ca="1">IF(AG3592&lt;=0,Q_max,ABS(AG$23-AG3598))</f>
        <v>236393</v>
      </c>
      <c r="AI3599" s="9">
        <f ca="1">AG3588</f>
        <v>1712088.417940473</v>
      </c>
      <c r="AJ3599" s="98"/>
      <c r="AK3599" s="106">
        <f ca="1">IF(AJ3592&lt;=0,Q_max,ABS(AJ$23-AJ3598))</f>
        <v>236393</v>
      </c>
      <c r="AL3599" s="9">
        <f ca="1">AJ3588</f>
        <v>2284788.6307674227</v>
      </c>
      <c r="AM3599" s="98"/>
      <c r="AN3599" s="106">
        <f ca="1">IF(AM3592&lt;=0,Q_max,ABS(AM$23-AM3598))</f>
        <v>236393</v>
      </c>
      <c r="AO3599" s="9">
        <f ca="1">AM3588</f>
        <v>2787876.3306487617</v>
      </c>
      <c r="AP3599" s="98"/>
      <c r="AQ3599" s="106">
        <f ca="1">IF(AP3592&lt;=0,Q_max,ABS(AP$23-AP3598))</f>
        <v>236393</v>
      </c>
      <c r="AR3599" s="9">
        <f ca="1">AP3588</f>
        <v>3236637.8712940379</v>
      </c>
      <c r="AS3599" s="98"/>
      <c r="AT3599" s="106">
        <f ca="1">IF(AS3592&lt;=0,Q_max,ABS(AS$23-AS3598))</f>
        <v>236393</v>
      </c>
      <c r="AU3599" s="9">
        <f ca="1">AS3588</f>
        <v>3795212.4492306877</v>
      </c>
    </row>
    <row r="3600" spans="15:47" ht="13.8" x14ac:dyDescent="0.25">
      <c r="O3600" s="21"/>
      <c r="P3600" s="21"/>
      <c r="Q3600" s="21"/>
      <c r="R3600" s="114"/>
      <c r="S3600" s="117"/>
      <c r="T3600" s="25"/>
      <c r="U3600" s="99"/>
      <c r="V3600" s="111"/>
      <c r="W3600" s="28"/>
      <c r="X3600" s="99"/>
      <c r="Y3600" s="111"/>
      <c r="Z3600" s="28"/>
      <c r="AA3600" s="99"/>
      <c r="AB3600" s="111"/>
      <c r="AC3600" s="28"/>
      <c r="AD3600" s="99"/>
      <c r="AE3600" s="111"/>
      <c r="AF3600" s="28"/>
      <c r="AG3600" s="99"/>
      <c r="AH3600" s="111"/>
      <c r="AI3600" s="28"/>
      <c r="AJ3600" s="99"/>
      <c r="AK3600" s="111"/>
      <c r="AL3600" s="28"/>
      <c r="AM3600" s="99"/>
      <c r="AN3600" s="111"/>
      <c r="AO3600" s="28"/>
      <c r="AP3600" s="99"/>
      <c r="AQ3600" s="111"/>
      <c r="AR3600" s="28"/>
      <c r="AS3600" s="99"/>
      <c r="AT3600" s="111"/>
      <c r="AU3600" s="28"/>
    </row>
    <row r="3601" spans="15:47" x14ac:dyDescent="0.25">
      <c r="O3601" s="1"/>
      <c r="P3601" s="1"/>
      <c r="Q3601" s="1"/>
      <c r="R3601" s="98"/>
      <c r="S3601" s="108" t="s">
        <v>137</v>
      </c>
      <c r="T3601" s="26" t="s">
        <v>146</v>
      </c>
      <c r="U3601" s="98"/>
      <c r="V3601" s="108" t="s">
        <v>137</v>
      </c>
      <c r="W3601" s="26" t="s">
        <v>146</v>
      </c>
      <c r="X3601" s="98"/>
      <c r="Y3601" s="108" t="s">
        <v>137</v>
      </c>
      <c r="Z3601" s="26" t="s">
        <v>146</v>
      </c>
      <c r="AA3601" s="98"/>
      <c r="AB3601" s="108" t="s">
        <v>137</v>
      </c>
      <c r="AC3601" s="26" t="s">
        <v>146</v>
      </c>
      <c r="AD3601" s="98"/>
      <c r="AE3601" s="108" t="s">
        <v>137</v>
      </c>
      <c r="AF3601" s="26" t="s">
        <v>146</v>
      </c>
      <c r="AG3601" s="98"/>
      <c r="AH3601" s="108" t="s">
        <v>137</v>
      </c>
      <c r="AI3601" s="26" t="s">
        <v>146</v>
      </c>
      <c r="AJ3601" s="98"/>
      <c r="AK3601" s="108" t="s">
        <v>137</v>
      </c>
      <c r="AL3601" s="26" t="s">
        <v>146</v>
      </c>
      <c r="AM3601" s="98"/>
      <c r="AN3601" s="108" t="s">
        <v>137</v>
      </c>
      <c r="AO3601" s="26" t="s">
        <v>146</v>
      </c>
      <c r="AP3601" s="98"/>
      <c r="AQ3601" s="108" t="s">
        <v>137</v>
      </c>
      <c r="AR3601" s="26" t="s">
        <v>146</v>
      </c>
      <c r="AS3601" s="98"/>
      <c r="AT3601" s="108" t="s">
        <v>137</v>
      </c>
      <c r="AU3601" s="26" t="s">
        <v>146</v>
      </c>
    </row>
    <row r="3602" spans="15:47" ht="13.8" x14ac:dyDescent="0.25">
      <c r="O3602" s="20" t="s">
        <v>136</v>
      </c>
      <c r="P3602" s="1"/>
      <c r="Q3602" s="1"/>
      <c r="R3602" s="96">
        <f>R3588*1.02</f>
        <v>49697.033169656308</v>
      </c>
      <c r="S3602" s="109" t="s">
        <v>144</v>
      </c>
      <c r="T3602" s="23" t="s">
        <v>147</v>
      </c>
      <c r="U3602" s="96">
        <f ca="1">U3588*1.01</f>
        <v>148070.3963189722</v>
      </c>
      <c r="V3602" s="109" t="s">
        <v>144</v>
      </c>
      <c r="W3602" s="23" t="s">
        <v>147</v>
      </c>
      <c r="X3602" s="96">
        <f ca="1">X3588*1.01</f>
        <v>362570.01057478553</v>
      </c>
      <c r="Y3602" s="109" t="s">
        <v>144</v>
      </c>
      <c r="Z3602" s="23" t="s">
        <v>147</v>
      </c>
      <c r="AA3602" s="96">
        <f ca="1">AA3588*1.01</f>
        <v>706193.83626746631</v>
      </c>
      <c r="AB3602" s="109" t="s">
        <v>144</v>
      </c>
      <c r="AC3602" s="23" t="s">
        <v>147</v>
      </c>
      <c r="AD3602" s="96">
        <f ca="1">AD3588*1.01</f>
        <v>1184773.5755113447</v>
      </c>
      <c r="AE3602" s="109" t="s">
        <v>144</v>
      </c>
      <c r="AF3602" s="23" t="s">
        <v>147</v>
      </c>
      <c r="AG3602" s="96">
        <f ca="1">AG3588*1.01</f>
        <v>1729209.3021198777</v>
      </c>
      <c r="AH3602" s="109" t="s">
        <v>144</v>
      </c>
      <c r="AI3602" s="23" t="s">
        <v>147</v>
      </c>
      <c r="AJ3602" s="96">
        <f ca="1">AJ3588*1.01</f>
        <v>2307636.5170750972</v>
      </c>
      <c r="AK3602" s="109" t="s">
        <v>144</v>
      </c>
      <c r="AL3602" s="23" t="s">
        <v>147</v>
      </c>
      <c r="AM3602" s="96">
        <f ca="1">AM3588*1.01</f>
        <v>2815755.0939552495</v>
      </c>
      <c r="AN3602" s="109" t="s">
        <v>144</v>
      </c>
      <c r="AO3602" s="23" t="s">
        <v>147</v>
      </c>
      <c r="AP3602" s="96">
        <f ca="1">AP3588*1.01</f>
        <v>3269004.2500069784</v>
      </c>
      <c r="AQ3602" s="109" t="s">
        <v>144</v>
      </c>
      <c r="AR3602" s="23" t="s">
        <v>147</v>
      </c>
      <c r="AS3602" s="96">
        <f ca="1">AS3588*1.01</f>
        <v>3833164.5737229944</v>
      </c>
      <c r="AT3602" s="109" t="s">
        <v>144</v>
      </c>
      <c r="AU3602" s="23" t="s">
        <v>147</v>
      </c>
    </row>
    <row r="3603" spans="15:47" x14ac:dyDescent="0.25">
      <c r="O3603" s="1"/>
      <c r="P3603" s="1"/>
      <c r="Q3603" s="1"/>
      <c r="R3603" s="98"/>
      <c r="S3603" s="107"/>
      <c r="T3603" s="1"/>
      <c r="U3603" s="47"/>
      <c r="V3603" s="107"/>
      <c r="W3603" s="1"/>
      <c r="X3603" s="47"/>
      <c r="Y3603" s="107"/>
      <c r="Z3603" s="1"/>
      <c r="AA3603" s="47"/>
      <c r="AB3603" s="107"/>
      <c r="AC3603" s="1"/>
      <c r="AD3603" s="47"/>
      <c r="AE3603" s="107"/>
      <c r="AF3603" s="1"/>
      <c r="AG3603" s="47"/>
      <c r="AH3603" s="107"/>
      <c r="AI3603" s="1"/>
      <c r="AJ3603" s="47"/>
      <c r="AK3603" s="107"/>
      <c r="AL3603" s="1"/>
      <c r="AM3603" s="47"/>
      <c r="AN3603" s="107"/>
      <c r="AO3603" s="1"/>
      <c r="AP3603" s="47"/>
      <c r="AQ3603" s="107"/>
      <c r="AR3603" s="1"/>
      <c r="AS3603" s="47"/>
      <c r="AT3603" s="107"/>
      <c r="AU3603" s="1"/>
    </row>
    <row r="3604" spans="15:47" x14ac:dyDescent="0.25">
      <c r="O3604" s="8" t="s">
        <v>132</v>
      </c>
      <c r="P3604" s="8"/>
      <c r="Q3604" s="8"/>
      <c r="R3604" s="96">
        <f>P_1_minQ-(R3602^2*R_up)+dpup_minQ</f>
        <v>89.734893423780434</v>
      </c>
      <c r="S3604" s="106"/>
      <c r="T3604" s="22"/>
      <c r="U3604" s="96">
        <f ca="1">P_1_minQ-(U3602^2*R_up)+dpup_minQ</f>
        <v>86.188998800903732</v>
      </c>
      <c r="V3604" s="107"/>
      <c r="W3604" s="1"/>
      <c r="X3604" s="96">
        <f ca="1">P_1_minQ-(X3602^2*R_up)+dpup_minQ</f>
        <v>66.225565635802241</v>
      </c>
      <c r="Y3604" s="107"/>
      <c r="Z3604" s="1"/>
      <c r="AA3604" s="96">
        <f ca="1">P_1_minQ-(AA3602^2*R_up)+dpup_minQ</f>
        <v>-0.71025008309074289</v>
      </c>
      <c r="AB3604" s="107"/>
      <c r="AC3604" s="1"/>
      <c r="AD3604" s="96">
        <f ca="1">P_1_minQ-(AD3602^2*R_up)+dpup_minQ</f>
        <v>-165.65249089457586</v>
      </c>
      <c r="AE3604" s="107"/>
      <c r="AF3604" s="1"/>
      <c r="AG3604" s="96">
        <f ca="1">P_1_minQ-(AG3602^2*R_up)+dpup_minQ</f>
        <v>-454.80512247981977</v>
      </c>
      <c r="AH3604" s="107"/>
      <c r="AI3604" s="1"/>
      <c r="AJ3604" s="96">
        <f ca="1">P_1_minQ-(AJ3602^2*R_up)+dpup_minQ</f>
        <v>-880.38826590078997</v>
      </c>
      <c r="AK3604" s="107"/>
      <c r="AL3604" s="1"/>
      <c r="AM3604" s="96">
        <f ca="1">P_1_minQ-(AM3602^2*R_up)+dpup_minQ</f>
        <v>-1354.866356203735</v>
      </c>
      <c r="AN3604" s="107"/>
      <c r="AO3604" s="1"/>
      <c r="AP3604" s="96">
        <f ca="1">P_1_minQ-(AP3602^2*R_up)+dpup_minQ</f>
        <v>-1857.5259171579542</v>
      </c>
      <c r="AQ3604" s="107"/>
      <c r="AR3604" s="1"/>
      <c r="AS3604" s="96">
        <f ca="1">P_1_minQ-(AS3602^2*R_up)+dpup_minQ</f>
        <v>-2587.8019852160246</v>
      </c>
      <c r="AT3604" s="107"/>
      <c r="AU3604" s="1"/>
    </row>
    <row r="3605" spans="15:47" x14ac:dyDescent="0.25">
      <c r="O3605" s="8" t="s">
        <v>134</v>
      </c>
      <c r="P3605" s="1"/>
      <c r="Q3605" s="8"/>
      <c r="R3605" s="97">
        <f>P_2_minQ+(R3602^2*R_dn)-dpdn_minQ</f>
        <v>60</v>
      </c>
      <c r="S3605" s="106"/>
      <c r="T3605" s="22"/>
      <c r="U3605" s="97">
        <f ca="1">P_2_minQ+(U3602^2*R_dn)-dpdn_minQ</f>
        <v>60</v>
      </c>
      <c r="V3605" s="107"/>
      <c r="W3605" s="1"/>
      <c r="X3605" s="97">
        <f ca="1">P_2_minQ+(X3602^2*R_dn)-dpdn_minQ</f>
        <v>60</v>
      </c>
      <c r="Y3605" s="107"/>
      <c r="Z3605" s="1"/>
      <c r="AA3605" s="97">
        <f ca="1">P_2_minQ+(AA3602^2*R_dn)-dpdn_minQ</f>
        <v>60</v>
      </c>
      <c r="AB3605" s="107"/>
      <c r="AC3605" s="1"/>
      <c r="AD3605" s="97">
        <f ca="1">P_2_minQ+(AD3602^2*R_dn)-dpdn_minQ</f>
        <v>60</v>
      </c>
      <c r="AE3605" s="107"/>
      <c r="AF3605" s="1"/>
      <c r="AG3605" s="97">
        <f ca="1">P_2_minQ+(AG3602^2*R_dn)-dpdn_minQ</f>
        <v>60</v>
      </c>
      <c r="AH3605" s="107"/>
      <c r="AI3605" s="1"/>
      <c r="AJ3605" s="97">
        <f ca="1">P_2_minQ+(AJ3602^2*R_dn)-dpdn_minQ</f>
        <v>60</v>
      </c>
      <c r="AK3605" s="107"/>
      <c r="AL3605" s="1"/>
      <c r="AM3605" s="97">
        <f ca="1">P_2_minQ+(AM3602^2*R_dn)-dpdn_minQ</f>
        <v>60</v>
      </c>
      <c r="AN3605" s="107"/>
      <c r="AO3605" s="1"/>
      <c r="AP3605" s="97">
        <f ca="1">P_2_minQ+(AP3602^2*R_dn)-dpdn_minQ</f>
        <v>60</v>
      </c>
      <c r="AQ3605" s="107"/>
      <c r="AR3605" s="1"/>
      <c r="AS3605" s="97">
        <f ca="1">P_2_minQ+(AS3602^2*R_dn)-dpdn_minQ</f>
        <v>60</v>
      </c>
      <c r="AT3605" s="107"/>
      <c r="AU3605" s="1"/>
    </row>
    <row r="3606" spans="15:47" x14ac:dyDescent="0.25">
      <c r="O3606" s="8" t="s">
        <v>138</v>
      </c>
      <c r="P3606" s="1"/>
      <c r="Q3606" s="8"/>
      <c r="R3606" s="97">
        <f>R3604-R3605</f>
        <v>29.734893423780434</v>
      </c>
      <c r="S3606" s="106"/>
      <c r="T3606" s="22"/>
      <c r="U3606" s="97">
        <f ca="1">U3604-U3605</f>
        <v>26.188998800903732</v>
      </c>
      <c r="V3606" s="110"/>
      <c r="W3606" s="25"/>
      <c r="X3606" s="97">
        <f ca="1">X3604-X3605</f>
        <v>6.2255656358022406</v>
      </c>
      <c r="Y3606" s="110"/>
      <c r="Z3606" s="25"/>
      <c r="AA3606" s="97">
        <f ca="1">AA3604-AA3605</f>
        <v>-60.710250083090742</v>
      </c>
      <c r="AB3606" s="110"/>
      <c r="AC3606" s="25"/>
      <c r="AD3606" s="97">
        <f ca="1">AD3604-AD3605</f>
        <v>-225.65249089457586</v>
      </c>
      <c r="AE3606" s="110"/>
      <c r="AF3606" s="25"/>
      <c r="AG3606" s="97">
        <f ca="1">AG3604-AG3605</f>
        <v>-514.80512247981983</v>
      </c>
      <c r="AH3606" s="110"/>
      <c r="AI3606" s="25"/>
      <c r="AJ3606" s="97">
        <f ca="1">AJ3604-AJ3605</f>
        <v>-940.38826590078997</v>
      </c>
      <c r="AK3606" s="110"/>
      <c r="AL3606" s="25"/>
      <c r="AM3606" s="97">
        <f ca="1">AM3604-AM3605</f>
        <v>-1414.866356203735</v>
      </c>
      <c r="AN3606" s="110"/>
      <c r="AO3606" s="25"/>
      <c r="AP3606" s="97">
        <f ca="1">AP3604-AP3605</f>
        <v>-1917.5259171579542</v>
      </c>
      <c r="AQ3606" s="110"/>
      <c r="AR3606" s="25"/>
      <c r="AS3606" s="97">
        <f ca="1">AS3604-AS3605</f>
        <v>-2647.8019852160246</v>
      </c>
      <c r="AT3606" s="110"/>
      <c r="AU3606" s="25"/>
    </row>
    <row r="3607" spans="15:47" ht="14.4" x14ac:dyDescent="0.3">
      <c r="O3607" s="2" t="s">
        <v>140</v>
      </c>
      <c r="P3607" s="11"/>
      <c r="Q3607" s="2"/>
      <c r="R3607" s="96">
        <f>R3606/R3604</f>
        <v>0.33136377934227823</v>
      </c>
      <c r="S3607" s="106"/>
      <c r="T3607" s="22"/>
      <c r="U3607" s="96">
        <f ca="1">U3606/U3604</f>
        <v>0.30385547071268598</v>
      </c>
      <c r="V3607" s="111"/>
      <c r="W3607" s="28"/>
      <c r="X3607" s="96">
        <f ca="1">X3606/X3604</f>
        <v>9.4005473204091958E-2</v>
      </c>
      <c r="Y3607" s="111"/>
      <c r="Z3607" s="28"/>
      <c r="AA3607" s="96">
        <f ca="1">AA3606/AA3604</f>
        <v>85.477286843674023</v>
      </c>
      <c r="AB3607" s="111"/>
      <c r="AC3607" s="28"/>
      <c r="AD3607" s="96">
        <f ca="1">AD3606/AD3604</f>
        <v>1.3622040313187023</v>
      </c>
      <c r="AE3607" s="111"/>
      <c r="AF3607" s="28"/>
      <c r="AG3607" s="96">
        <f ca="1">AG3606/AG3604</f>
        <v>1.1319246354853056</v>
      </c>
      <c r="AH3607" s="111"/>
      <c r="AI3607" s="28"/>
      <c r="AJ3607" s="96">
        <f ca="1">AJ3606/AJ3604</f>
        <v>1.0681517488634513</v>
      </c>
      <c r="AK3607" s="111"/>
      <c r="AL3607" s="28"/>
      <c r="AM3607" s="96">
        <f ca="1">AM3606/AM3604</f>
        <v>1.0442848106200797</v>
      </c>
      <c r="AN3607" s="111"/>
      <c r="AO3607" s="28"/>
      <c r="AP3607" s="96">
        <f ca="1">AP3606/AP3604</f>
        <v>1.0323010297976358</v>
      </c>
      <c r="AQ3607" s="111"/>
      <c r="AR3607" s="28"/>
      <c r="AS3607" s="96">
        <f ca="1">AS3606/AS3604</f>
        <v>1.0231856998111821</v>
      </c>
      <c r="AT3607" s="111"/>
      <c r="AU3607" s="28"/>
    </row>
    <row r="3608" spans="15:47" x14ac:dyDescent="0.25">
      <c r="O3608" s="2" t="s">
        <v>21</v>
      </c>
      <c r="P3608" s="8">
        <v>12</v>
      </c>
      <c r="Q3608" s="2"/>
      <c r="R3608" s="96">
        <f ca="1">1-R3607/(3*F_GAMMA*R$29)</f>
        <v>0.82742270625384018</v>
      </c>
      <c r="S3608" s="106"/>
      <c r="T3608" s="22"/>
      <c r="U3608" s="96">
        <f ca="1">1-U3607/(3*F_GAMMA*U$29)</f>
        <v>0.8417860495653271</v>
      </c>
      <c r="V3608" s="111"/>
      <c r="W3608" s="28"/>
      <c r="X3608" s="96">
        <f ca="1">1-X3607/(3*F_GAMMA*X$29)</f>
        <v>0.95058627411624097</v>
      </c>
      <c r="Y3608" s="111"/>
      <c r="Z3608" s="28"/>
      <c r="AA3608" s="96">
        <f ca="1">1-AA3607/(3*F_GAMMA*AA$29)</f>
        <v>-44.564257239317982</v>
      </c>
      <c r="AB3608" s="111"/>
      <c r="AC3608" s="28"/>
      <c r="AD3608" s="96">
        <f ca="1">1-AD3607/(3*F_GAMMA*AD$29)</f>
        <v>0.25134734964820726</v>
      </c>
      <c r="AE3608" s="111"/>
      <c r="AF3608" s="28"/>
      <c r="AG3608" s="96">
        <f ca="1">1-AG3607/(3*F_GAMMA*AG$29)</f>
        <v>0.34057696508838764</v>
      </c>
      <c r="AH3608" s="111"/>
      <c r="AI3608" s="28"/>
      <c r="AJ3608" s="96">
        <f ca="1">1-AJ3607/(3*F_GAMMA*AJ$29)</f>
        <v>0.33052160483758986</v>
      </c>
      <c r="AK3608" s="111"/>
      <c r="AL3608" s="28"/>
      <c r="AM3608" s="96">
        <f ca="1">1-AM3607/(3*F_GAMMA*AM$29)</f>
        <v>0.26819327599282183</v>
      </c>
      <c r="AN3608" s="111"/>
      <c r="AO3608" s="28"/>
      <c r="AP3608" s="96">
        <f ca="1">1-AP3607/(3*F_GAMMA*AP$29)</f>
        <v>0.41731394812538114</v>
      </c>
      <c r="AQ3608" s="111"/>
      <c r="AR3608" s="28"/>
      <c r="AS3608" s="96">
        <f ca="1">1-AS3607/(3*F_GAMMA*AS$29)</f>
        <v>9.4581910033755157E-2</v>
      </c>
      <c r="AT3608" s="111"/>
      <c r="AU3608" s="28"/>
    </row>
    <row r="3609" spans="15:47" x14ac:dyDescent="0.25">
      <c r="O3609" s="2" t="s">
        <v>57</v>
      </c>
      <c r="P3609" s="143">
        <v>7</v>
      </c>
      <c r="Q3609" s="2"/>
      <c r="R3609" s="96">
        <f ca="1">(R3602/(N_9*R$27*R3604*R3608))*SQRT(M*'Valve Sizing'!$W$6*'Valve Sizing'!$G$8/R3607)</f>
        <v>20.229036294290889</v>
      </c>
      <c r="S3609" s="107"/>
      <c r="T3609" s="22"/>
      <c r="U3609" s="96">
        <f ca="1">(U3602/(N_9*U$27*U3604*U3608))*SQRT(M*'Valve Sizing'!$W$6*'Valve Sizing'!$G$8/U3607)</f>
        <v>64.454322381529977</v>
      </c>
      <c r="V3609" s="111"/>
      <c r="W3609" s="28"/>
      <c r="X3609" s="96">
        <f ca="1">(X3602/(N_9*X$27*X3604*X3608))*SQRT(M*'Valve Sizing'!$W$6*'Valve Sizing'!$G$8/X3607)</f>
        <v>327.76878567009237</v>
      </c>
      <c r="Y3609" s="111"/>
      <c r="Z3609" s="28"/>
      <c r="AA3609" s="96">
        <f ca="1">(AA3602/(N_9*AA$27*AA3604*AA3608))*SQRT(M*'Valve Sizing'!$W$6*'Valve Sizing'!$G$8/AA3607)</f>
        <v>42.358415866955944</v>
      </c>
      <c r="AB3609" s="111"/>
      <c r="AC3609" s="28"/>
      <c r="AD3609" s="96">
        <f ca="1">(AD3602/(N_9*AD$27*AD3604*AD3608))*SQRT(M*'Valve Sizing'!$W$6*'Valve Sizing'!$G$8/AD3607)</f>
        <v>-433.23947813705695</v>
      </c>
      <c r="AE3609" s="111"/>
      <c r="AF3609" s="28"/>
      <c r="AG3609" s="96">
        <f ca="1">(AG3602/(N_9*AG$27*AG3604*AG3608))*SQRT(M*'Valve Sizing'!$W$6*'Valve Sizing'!$G$8/AG3607)</f>
        <v>-190.65558333584693</v>
      </c>
      <c r="AH3609" s="111"/>
      <c r="AI3609" s="28"/>
      <c r="AJ3609" s="96">
        <f ca="1">(AJ3602/(N_9*AJ$27*AJ3604*AJ3608))*SQRT(M*'Valve Sizing'!$W$6*'Valve Sizing'!$G$8/AJ3607)</f>
        <v>-144.46119576012646</v>
      </c>
      <c r="AK3609" s="111"/>
      <c r="AL3609" s="28"/>
      <c r="AM3609" s="96">
        <f ca="1">(AM3602/(N_9*AM$27*AM3604*AM3608))*SQRT(M*'Valve Sizing'!$W$6*'Valve Sizing'!$G$8/AM3607)</f>
        <v>-151.47261578067003</v>
      </c>
      <c r="AN3609" s="111"/>
      <c r="AO3609" s="28"/>
      <c r="AP3609" s="96">
        <f ca="1">(AP3602/(N_9*AP$27*AP3604*AP3608))*SQRT(M*'Valve Sizing'!$W$6*'Valve Sizing'!$G$8/AP3607)</f>
        <v>-94.367849754775222</v>
      </c>
      <c r="AQ3609" s="111"/>
      <c r="AR3609" s="28"/>
      <c r="AS3609" s="96">
        <f ca="1">(AS3602/(N_9*AS$27*AS3604*AS3608))*SQRT(M*'Valve Sizing'!$W$6*'Valve Sizing'!$G$8/AS3607)</f>
        <v>-471.47391516587123</v>
      </c>
      <c r="AT3609" s="111"/>
      <c r="AU3609" s="28"/>
    </row>
    <row r="3610" spans="15:47" x14ac:dyDescent="0.25">
      <c r="O3610" s="2" t="s">
        <v>59</v>
      </c>
      <c r="P3610" s="143">
        <v>7</v>
      </c>
      <c r="Q3610" s="2"/>
      <c r="R3610" s="96">
        <f ca="1">(R3602/(N_9*R$27*R3604*0.667))*SQRT(M*'Valve Sizing'!$W$6*'Valve Sizing'!$G$8/R3611)</f>
        <v>18.056320252216402</v>
      </c>
      <c r="S3610" s="107"/>
      <c r="T3610" s="22"/>
      <c r="U3610" s="96">
        <f ca="1">(U3602/(N_9*U$27*U3604*0.667))*SQRT(M*'Valve Sizing'!$W$6*'Valve Sizing'!$G$8/U3611)</f>
        <v>56.041654950530813</v>
      </c>
      <c r="V3610" s="111"/>
      <c r="W3610" s="28"/>
      <c r="X3610" s="96">
        <f ca="1">(X3602/(N_9*X$27*X3604*0.667))*SQRT(M*'Valve Sizing'!$W$6*'Valve Sizing'!$G$8/X3611)</f>
        <v>179.85301620038581</v>
      </c>
      <c r="Y3610" s="111"/>
      <c r="Z3610" s="28"/>
      <c r="AA3610" s="96">
        <f ca="1">(AA3602/(N_9*AA$27*AA3604*0.667))*SQRT(M*'Valve Sizing'!$W$6*'Valve Sizing'!$G$8/AA3611)</f>
        <v>-33088.213800168975</v>
      </c>
      <c r="AB3610" s="111"/>
      <c r="AC3610" s="28"/>
      <c r="AD3610" s="96">
        <f ca="1">(AD3602/(N_9*AD$27*AD3604*0.667))*SQRT(M*'Valve Sizing'!$W$6*'Valve Sizing'!$G$8/AD3611)</f>
        <v>-244.66807824601781</v>
      </c>
      <c r="AE3610" s="111"/>
      <c r="AF3610" s="28"/>
      <c r="AG3610" s="96">
        <f ca="1">(AG3602/(N_9*AG$27*AG3604*0.667))*SQRT(M*'Valve Sizing'!$W$6*'Valve Sizing'!$G$8/AG3611)</f>
        <v>-136.92465317688536</v>
      </c>
      <c r="AH3610" s="111"/>
      <c r="AI3610" s="28"/>
      <c r="AJ3610" s="96">
        <f ca="1">(AJ3602/(N_9*AJ$27*AJ3604*0.667))*SQRT(M*'Valve Sizing'!$W$6*'Valve Sizing'!$G$8/AJ3611)</f>
        <v>-101.45048668291886</v>
      </c>
      <c r="AK3610" s="111"/>
      <c r="AL3610" s="28"/>
      <c r="AM3610" s="96">
        <f ca="1">(AM3602/(N_9*AM$27*AM3604*0.667))*SQRT(M*'Valve Sizing'!$W$6*'Valve Sizing'!$G$8/AM3611)</f>
        <v>-90.24330699182066</v>
      </c>
      <c r="AN3610" s="111"/>
      <c r="AO3610" s="28"/>
      <c r="AP3610" s="96">
        <f ca="1">(AP3602/(N_9*AP$27*AP3604*0.667))*SQRT(M*'Valve Sizing'!$W$6*'Valve Sizing'!$G$8/AP3611)</f>
        <v>-78.061890466008933</v>
      </c>
      <c r="AQ3610" s="111"/>
      <c r="AR3610" s="28"/>
      <c r="AS3610" s="96">
        <f ca="1">(AS3602/(N_9*AS$27*AS3604*0.667))*SQRT(M*'Valve Sizing'!$W$6*'Valve Sizing'!$G$8/AS3611)</f>
        <v>-110.18567261976017</v>
      </c>
      <c r="AT3610" s="111"/>
      <c r="AU3610" s="28"/>
    </row>
    <row r="3611" spans="15:47" ht="15.6" x14ac:dyDescent="0.35">
      <c r="O3611" s="2" t="s">
        <v>68</v>
      </c>
      <c r="P3611" s="143">
        <v>10</v>
      </c>
      <c r="Q3611" s="2"/>
      <c r="R3611" s="96">
        <f ca="1">F_GAMMA*R$29</f>
        <v>0.64002969751372984</v>
      </c>
      <c r="S3611" s="107"/>
      <c r="T3611" s="1"/>
      <c r="U3611" s="96">
        <f ca="1">F_GAMMA*U$29</f>
        <v>0.64017842058782071</v>
      </c>
      <c r="V3611" s="111"/>
      <c r="W3611" s="28"/>
      <c r="X3611" s="96">
        <f ca="1">F_GAMMA*X$29</f>
        <v>0.63413873724904268</v>
      </c>
      <c r="Y3611" s="111"/>
      <c r="Z3611" s="28"/>
      <c r="AA3611" s="96">
        <f ca="1">F_GAMMA*AA$29</f>
        <v>0.62532411750377137</v>
      </c>
      <c r="AB3611" s="111"/>
      <c r="AC3611" s="28"/>
      <c r="AD3611" s="96">
        <f ca="1">F_GAMMA*AD$29</f>
        <v>0.60651359509139569</v>
      </c>
      <c r="AE3611" s="111"/>
      <c r="AF3611" s="28"/>
      <c r="AG3611" s="96">
        <f ca="1">F_GAMMA*AG$29</f>
        <v>0.57217930198481592</v>
      </c>
      <c r="AH3611" s="111"/>
      <c r="AI3611" s="28"/>
      <c r="AJ3611" s="96">
        <f ca="1">F_GAMMA*AJ$29</f>
        <v>0.53183282018848232</v>
      </c>
      <c r="AK3611" s="111"/>
      <c r="AL3611" s="28"/>
      <c r="AM3611" s="96">
        <f ca="1">F_GAMMA*AM$29</f>
        <v>0.47566512503094399</v>
      </c>
      <c r="AN3611" s="111"/>
      <c r="AO3611" s="28"/>
      <c r="AP3611" s="96">
        <f ca="1">F_GAMMA*AP$29</f>
        <v>0.59054158265645496</v>
      </c>
      <c r="AQ3611" s="111"/>
      <c r="AR3611" s="28"/>
      <c r="AS3611" s="96">
        <f ca="1">F_GAMMA*AS$29</f>
        <v>0.3766899554102966</v>
      </c>
      <c r="AT3611" s="111"/>
      <c r="AU3611" s="28"/>
    </row>
    <row r="3612" spans="15:47" x14ac:dyDescent="0.25">
      <c r="O3612" s="2" t="s">
        <v>145</v>
      </c>
      <c r="P3612" s="12"/>
      <c r="Q3612" s="2"/>
      <c r="R3612" s="96">
        <f ca="1">IF(R3607&lt;R3611,R3609,R3610)</f>
        <v>20.229036294290889</v>
      </c>
      <c r="S3612" s="116"/>
      <c r="T3612" s="1"/>
      <c r="U3612" s="96">
        <f ca="1">IF(U3607&lt;U3611,U3609,U3610)</f>
        <v>64.454322381529977</v>
      </c>
      <c r="V3612" s="111"/>
      <c r="W3612" s="28"/>
      <c r="X3612" s="96">
        <f ca="1">IF(X3607&lt;X3611,X3609,X3610)</f>
        <v>327.76878567009237</v>
      </c>
      <c r="Y3612" s="111"/>
      <c r="Z3612" s="28"/>
      <c r="AA3612" s="96">
        <f ca="1">IF(AA3607&lt;AA3611,AA3609,AA3610)</f>
        <v>-33088.213800168975</v>
      </c>
      <c r="AB3612" s="111"/>
      <c r="AC3612" s="28"/>
      <c r="AD3612" s="96">
        <f ca="1">IF(AD3607&lt;AD3611,AD3609,AD3610)</f>
        <v>-244.66807824601781</v>
      </c>
      <c r="AE3612" s="111"/>
      <c r="AF3612" s="28"/>
      <c r="AG3612" s="96">
        <f ca="1">IF(AG3607&lt;AG3611,AG3609,AG3610)</f>
        <v>-136.92465317688536</v>
      </c>
      <c r="AH3612" s="111"/>
      <c r="AI3612" s="28"/>
      <c r="AJ3612" s="96">
        <f ca="1">IF(AJ3607&lt;AJ3611,AJ3609,AJ3610)</f>
        <v>-101.45048668291886</v>
      </c>
      <c r="AK3612" s="111"/>
      <c r="AL3612" s="28"/>
      <c r="AM3612" s="96">
        <f ca="1">IF(AM3607&lt;AM3611,AM3609,AM3610)</f>
        <v>-90.24330699182066</v>
      </c>
      <c r="AN3612" s="111"/>
      <c r="AO3612" s="28"/>
      <c r="AP3612" s="96">
        <f ca="1">IF(AP3607&lt;AP3611,AP3609,AP3610)</f>
        <v>-78.061890466008933</v>
      </c>
      <c r="AQ3612" s="111"/>
      <c r="AR3612" s="28"/>
      <c r="AS3612" s="96">
        <f ca="1">IF(AS3607&lt;AS3611,AS3609,AS3610)</f>
        <v>-110.18567261976017</v>
      </c>
      <c r="AT3612" s="111"/>
      <c r="AU3612" s="28"/>
    </row>
    <row r="3613" spans="15:47" x14ac:dyDescent="0.25">
      <c r="O3613" s="13" t="s">
        <v>143</v>
      </c>
      <c r="P3613" s="1"/>
      <c r="Q3613" s="1"/>
      <c r="R3613" s="113"/>
      <c r="S3613" s="106">
        <f ca="1">IF(R3606&lt;=0,Q_max,ABS(R$23-R3612))</f>
        <v>15.499036294290889</v>
      </c>
      <c r="T3613" s="7">
        <f>R3602</f>
        <v>49697.033169656308</v>
      </c>
      <c r="U3613" s="98"/>
      <c r="V3613" s="106">
        <f ca="1">IF(U3606&lt;=0,Q_max,ABS(U$23-U3612))</f>
        <v>52.854322381529975</v>
      </c>
      <c r="W3613" s="9">
        <f ca="1">U3602</f>
        <v>148070.3963189722</v>
      </c>
      <c r="X3613" s="98"/>
      <c r="Y3613" s="106">
        <f ca="1">IF(X3606&lt;=0,Q_max,ABS(X$23-X3612))</f>
        <v>304.76878567009237</v>
      </c>
      <c r="Z3613" s="9">
        <f ca="1">X3602</f>
        <v>362570.01057478553</v>
      </c>
      <c r="AA3613" s="98"/>
      <c r="AB3613" s="106">
        <f ca="1">IF(AA3606&lt;=0,Q_max,ABS(AA$23-AA3612))</f>
        <v>236393</v>
      </c>
      <c r="AC3613" s="9">
        <f ca="1">AA3602</f>
        <v>706193.83626746631</v>
      </c>
      <c r="AD3613" s="98"/>
      <c r="AE3613" s="106">
        <f ca="1">IF(AD3606&lt;=0,Q_max,ABS(AD$23-AD3612))</f>
        <v>236393</v>
      </c>
      <c r="AF3613" s="9">
        <f ca="1">AD3602</f>
        <v>1184773.5755113447</v>
      </c>
      <c r="AG3613" s="98"/>
      <c r="AH3613" s="106">
        <f ca="1">IF(AG3606&lt;=0,Q_max,ABS(AG$23-AG3612))</f>
        <v>236393</v>
      </c>
      <c r="AI3613" s="9">
        <f ca="1">AG3602</f>
        <v>1729209.3021198777</v>
      </c>
      <c r="AJ3613" s="98"/>
      <c r="AK3613" s="106">
        <f ca="1">IF(AJ3606&lt;=0,Q_max,ABS(AJ$23-AJ3612))</f>
        <v>236393</v>
      </c>
      <c r="AL3613" s="9">
        <f ca="1">AJ3602</f>
        <v>2307636.5170750972</v>
      </c>
      <c r="AM3613" s="98"/>
      <c r="AN3613" s="106">
        <f ca="1">IF(AM3606&lt;=0,Q_max,ABS(AM$23-AM3612))</f>
        <v>236393</v>
      </c>
      <c r="AO3613" s="9">
        <f ca="1">AM3602</f>
        <v>2815755.0939552495</v>
      </c>
      <c r="AP3613" s="98"/>
      <c r="AQ3613" s="106">
        <f ca="1">IF(AP3606&lt;=0,Q_max,ABS(AP$23-AP3612))</f>
        <v>236393</v>
      </c>
      <c r="AR3613" s="9">
        <f ca="1">AP3602</f>
        <v>3269004.2500069784</v>
      </c>
      <c r="AS3613" s="98"/>
      <c r="AT3613" s="106">
        <f ca="1">IF(AS3606&lt;=0,Q_max,ABS(AS$23-AS3612))</f>
        <v>236393</v>
      </c>
      <c r="AU3613" s="9">
        <f ca="1">AS3602</f>
        <v>3833164.5737229944</v>
      </c>
    </row>
    <row r="3614" spans="15:47" x14ac:dyDescent="0.25">
      <c r="O3614" s="21"/>
      <c r="P3614" s="14"/>
      <c r="Q3614" s="21"/>
      <c r="R3614" s="97"/>
      <c r="S3614" s="106"/>
      <c r="T3614" s="28"/>
      <c r="U3614" s="97"/>
      <c r="V3614" s="111"/>
      <c r="W3614" s="28"/>
      <c r="X3614" s="97"/>
      <c r="Y3614" s="111"/>
      <c r="Z3614" s="28"/>
      <c r="AA3614" s="97"/>
      <c r="AB3614" s="111"/>
      <c r="AC3614" s="28"/>
      <c r="AD3614" s="97"/>
      <c r="AE3614" s="111"/>
      <c r="AF3614" s="28"/>
      <c r="AG3614" s="97"/>
      <c r="AH3614" s="111"/>
      <c r="AI3614" s="28"/>
      <c r="AJ3614" s="97"/>
      <c r="AK3614" s="111"/>
      <c r="AL3614" s="28"/>
      <c r="AM3614" s="97"/>
      <c r="AN3614" s="111"/>
      <c r="AO3614" s="28"/>
      <c r="AP3614" s="97"/>
      <c r="AQ3614" s="111"/>
      <c r="AR3614" s="28"/>
      <c r="AS3614" s="97"/>
      <c r="AT3614" s="111"/>
      <c r="AU3614" s="28"/>
    </row>
    <row r="3615" spans="15:47" x14ac:dyDescent="0.25">
      <c r="O3615" s="1"/>
      <c r="P3615" s="1"/>
      <c r="Q3615" s="1"/>
      <c r="R3615" s="98"/>
      <c r="S3615" s="108" t="s">
        <v>137</v>
      </c>
      <c r="T3615" s="26" t="s">
        <v>146</v>
      </c>
      <c r="U3615" s="98"/>
      <c r="V3615" s="108" t="s">
        <v>137</v>
      </c>
      <c r="W3615" s="26" t="s">
        <v>146</v>
      </c>
      <c r="X3615" s="98"/>
      <c r="Y3615" s="108" t="s">
        <v>137</v>
      </c>
      <c r="Z3615" s="26" t="s">
        <v>146</v>
      </c>
      <c r="AA3615" s="98"/>
      <c r="AB3615" s="108" t="s">
        <v>137</v>
      </c>
      <c r="AC3615" s="26" t="s">
        <v>146</v>
      </c>
      <c r="AD3615" s="98"/>
      <c r="AE3615" s="108" t="s">
        <v>137</v>
      </c>
      <c r="AF3615" s="26" t="s">
        <v>146</v>
      </c>
      <c r="AG3615" s="98"/>
      <c r="AH3615" s="108" t="s">
        <v>137</v>
      </c>
      <c r="AI3615" s="26" t="s">
        <v>146</v>
      </c>
      <c r="AJ3615" s="98"/>
      <c r="AK3615" s="108" t="s">
        <v>137</v>
      </c>
      <c r="AL3615" s="26" t="s">
        <v>146</v>
      </c>
      <c r="AM3615" s="98"/>
      <c r="AN3615" s="108" t="s">
        <v>137</v>
      </c>
      <c r="AO3615" s="26" t="s">
        <v>146</v>
      </c>
      <c r="AP3615" s="98"/>
      <c r="AQ3615" s="108" t="s">
        <v>137</v>
      </c>
      <c r="AR3615" s="26" t="s">
        <v>146</v>
      </c>
      <c r="AS3615" s="98"/>
      <c r="AT3615" s="108" t="s">
        <v>137</v>
      </c>
      <c r="AU3615" s="26" t="s">
        <v>146</v>
      </c>
    </row>
    <row r="3616" spans="15:47" ht="13.8" x14ac:dyDescent="0.25">
      <c r="O3616" s="20" t="s">
        <v>136</v>
      </c>
      <c r="P3616" s="1"/>
      <c r="Q3616" s="1"/>
      <c r="R3616" s="96">
        <f>R3602*1.02</f>
        <v>50690.973833049437</v>
      </c>
      <c r="S3616" s="109" t="s">
        <v>144</v>
      </c>
      <c r="T3616" s="23" t="s">
        <v>147</v>
      </c>
      <c r="U3616" s="96">
        <f ca="1">U3602*1.01</f>
        <v>149551.10028216193</v>
      </c>
      <c r="V3616" s="109" t="s">
        <v>144</v>
      </c>
      <c r="W3616" s="23" t="s">
        <v>147</v>
      </c>
      <c r="X3616" s="96">
        <f ca="1">X3602*1.01</f>
        <v>366195.71068053338</v>
      </c>
      <c r="Y3616" s="109" t="s">
        <v>144</v>
      </c>
      <c r="Z3616" s="23" t="s">
        <v>147</v>
      </c>
      <c r="AA3616" s="96">
        <f ca="1">AA3602*1.01</f>
        <v>713255.77463014098</v>
      </c>
      <c r="AB3616" s="109" t="s">
        <v>144</v>
      </c>
      <c r="AC3616" s="23" t="s">
        <v>147</v>
      </c>
      <c r="AD3616" s="96">
        <f ca="1">AD3602*1.01</f>
        <v>1196621.3112664581</v>
      </c>
      <c r="AE3616" s="109" t="s">
        <v>144</v>
      </c>
      <c r="AF3616" s="23" t="s">
        <v>147</v>
      </c>
      <c r="AG3616" s="96">
        <f ca="1">AG3602*1.01</f>
        <v>1746501.3951410765</v>
      </c>
      <c r="AH3616" s="109" t="s">
        <v>144</v>
      </c>
      <c r="AI3616" s="23" t="s">
        <v>147</v>
      </c>
      <c r="AJ3616" s="96">
        <f ca="1">AJ3602*1.01</f>
        <v>2330712.882245848</v>
      </c>
      <c r="AK3616" s="109" t="s">
        <v>144</v>
      </c>
      <c r="AL3616" s="23" t="s">
        <v>147</v>
      </c>
      <c r="AM3616" s="96">
        <f ca="1">AM3602*1.01</f>
        <v>2843912.644894802</v>
      </c>
      <c r="AN3616" s="109" t="s">
        <v>144</v>
      </c>
      <c r="AO3616" s="23" t="s">
        <v>147</v>
      </c>
      <c r="AP3616" s="96">
        <f ca="1">AP3602*1.01</f>
        <v>3301694.2925070482</v>
      </c>
      <c r="AQ3616" s="109" t="s">
        <v>144</v>
      </c>
      <c r="AR3616" s="23" t="s">
        <v>147</v>
      </c>
      <c r="AS3616" s="96">
        <f ca="1">AS3602*1.01</f>
        <v>3871496.2194602243</v>
      </c>
      <c r="AT3616" s="109" t="s">
        <v>144</v>
      </c>
      <c r="AU3616" s="23" t="s">
        <v>147</v>
      </c>
    </row>
    <row r="3617" spans="15:47" x14ac:dyDescent="0.25">
      <c r="O3617" s="1"/>
      <c r="P3617" s="1"/>
      <c r="Q3617" s="1"/>
      <c r="R3617" s="98"/>
      <c r="S3617" s="107"/>
      <c r="T3617" s="1"/>
      <c r="U3617" s="47"/>
      <c r="V3617" s="107"/>
      <c r="W3617" s="1"/>
      <c r="X3617" s="47"/>
      <c r="Y3617" s="107"/>
      <c r="Z3617" s="1"/>
      <c r="AA3617" s="47"/>
      <c r="AB3617" s="107"/>
      <c r="AC3617" s="1"/>
      <c r="AD3617" s="47"/>
      <c r="AE3617" s="107"/>
      <c r="AF3617" s="1"/>
      <c r="AG3617" s="47"/>
      <c r="AH3617" s="107"/>
      <c r="AI3617" s="1"/>
      <c r="AJ3617" s="47"/>
      <c r="AK3617" s="107"/>
      <c r="AL3617" s="1"/>
      <c r="AM3617" s="47"/>
      <c r="AN3617" s="107"/>
      <c r="AO3617" s="1"/>
      <c r="AP3617" s="47"/>
      <c r="AQ3617" s="107"/>
      <c r="AR3617" s="1"/>
      <c r="AS3617" s="47"/>
      <c r="AT3617" s="107"/>
      <c r="AU3617" s="1"/>
    </row>
    <row r="3618" spans="15:47" x14ac:dyDescent="0.25">
      <c r="O3618" s="8" t="s">
        <v>132</v>
      </c>
      <c r="P3618" s="8"/>
      <c r="Q3618" s="8"/>
      <c r="R3618" s="96">
        <f>P_1_minQ-(R3616^2*R_up)+dpup_minQ</f>
        <v>89.716707480678835</v>
      </c>
      <c r="S3618" s="106"/>
      <c r="T3618" s="22"/>
      <c r="U3618" s="96">
        <f ca="1">P_1_minQ-(U3616^2*R_up)+dpup_minQ</f>
        <v>86.108678362143763</v>
      </c>
      <c r="V3618" s="107"/>
      <c r="W3618" s="1"/>
      <c r="X3618" s="96">
        <f ca="1">P_1_minQ-(X3616^2*R_up)+dpup_minQ</f>
        <v>65.743980190423727</v>
      </c>
      <c r="Y3618" s="107"/>
      <c r="Z3618" s="1"/>
      <c r="AA3618" s="96">
        <f ca="1">P_1_minQ-(AA3616^2*R_up)+dpup_minQ</f>
        <v>-2.5372454244189995</v>
      </c>
      <c r="AB3618" s="107"/>
      <c r="AC3618" s="1"/>
      <c r="AD3618" s="96">
        <f ca="1">P_1_minQ-(AD3616^2*R_up)+dpup_minQ</f>
        <v>-170.79482527621497</v>
      </c>
      <c r="AE3618" s="107"/>
      <c r="AF3618" s="1"/>
      <c r="AG3618" s="96">
        <f ca="1">P_1_minQ-(AG3616^2*R_up)+dpup_minQ</f>
        <v>-465.75942475632229</v>
      </c>
      <c r="AH3618" s="107"/>
      <c r="AI3618" s="1"/>
      <c r="AJ3618" s="96">
        <f ca="1">P_1_minQ-(AJ3616^2*R_up)+dpup_minQ</f>
        <v>-899.89678936005384</v>
      </c>
      <c r="AK3618" s="107"/>
      <c r="AL3618" s="1"/>
      <c r="AM3618" s="96">
        <f ca="1">P_1_minQ-(AM3616^2*R_up)+dpup_minQ</f>
        <v>-1383.911889278088</v>
      </c>
      <c r="AN3618" s="107"/>
      <c r="AO3618" s="1"/>
      <c r="AP3618" s="96">
        <f ca="1">P_1_minQ-(AP3616^2*R_up)+dpup_minQ</f>
        <v>-1896.6749074074869</v>
      </c>
      <c r="AQ3618" s="107"/>
      <c r="AR3618" s="1"/>
      <c r="AS3618" s="96">
        <f ca="1">P_1_minQ-(AS3616^2*R_up)+dpup_minQ</f>
        <v>-2641.6295244335242</v>
      </c>
      <c r="AT3618" s="107"/>
      <c r="AU3618" s="1"/>
    </row>
    <row r="3619" spans="15:47" x14ac:dyDescent="0.25">
      <c r="O3619" s="8" t="s">
        <v>134</v>
      </c>
      <c r="P3619" s="1"/>
      <c r="Q3619" s="8"/>
      <c r="R3619" s="97">
        <f>P_2_minQ+(R3616^2*R_dn)-dpdn_minQ</f>
        <v>60</v>
      </c>
      <c r="S3619" s="106"/>
      <c r="T3619" s="22"/>
      <c r="U3619" s="97">
        <f ca="1">P_2_minQ+(U3616^2*R_dn)-dpdn_minQ</f>
        <v>60</v>
      </c>
      <c r="V3619" s="107"/>
      <c r="W3619" s="1"/>
      <c r="X3619" s="97">
        <f ca="1">P_2_minQ+(X3616^2*R_dn)-dpdn_minQ</f>
        <v>60</v>
      </c>
      <c r="Y3619" s="107"/>
      <c r="Z3619" s="1"/>
      <c r="AA3619" s="97">
        <f ca="1">P_2_minQ+(AA3616^2*R_dn)-dpdn_minQ</f>
        <v>60</v>
      </c>
      <c r="AB3619" s="107"/>
      <c r="AC3619" s="1"/>
      <c r="AD3619" s="97">
        <f ca="1">P_2_minQ+(AD3616^2*R_dn)-dpdn_minQ</f>
        <v>60</v>
      </c>
      <c r="AE3619" s="107"/>
      <c r="AF3619" s="1"/>
      <c r="AG3619" s="97">
        <f ca="1">P_2_minQ+(AG3616^2*R_dn)-dpdn_minQ</f>
        <v>60</v>
      </c>
      <c r="AH3619" s="107"/>
      <c r="AI3619" s="1"/>
      <c r="AJ3619" s="97">
        <f ca="1">P_2_minQ+(AJ3616^2*R_dn)-dpdn_minQ</f>
        <v>60</v>
      </c>
      <c r="AK3619" s="107"/>
      <c r="AL3619" s="1"/>
      <c r="AM3619" s="97">
        <f ca="1">P_2_minQ+(AM3616^2*R_dn)-dpdn_minQ</f>
        <v>60</v>
      </c>
      <c r="AN3619" s="107"/>
      <c r="AO3619" s="1"/>
      <c r="AP3619" s="97">
        <f ca="1">P_2_minQ+(AP3616^2*R_dn)-dpdn_minQ</f>
        <v>60</v>
      </c>
      <c r="AQ3619" s="107"/>
      <c r="AR3619" s="1"/>
      <c r="AS3619" s="97">
        <f ca="1">P_2_minQ+(AS3616^2*R_dn)-dpdn_minQ</f>
        <v>60</v>
      </c>
      <c r="AT3619" s="107"/>
      <c r="AU3619" s="1"/>
    </row>
    <row r="3620" spans="15:47" x14ac:dyDescent="0.25">
      <c r="O3620" s="8" t="s">
        <v>138</v>
      </c>
      <c r="P3620" s="1"/>
      <c r="Q3620" s="8"/>
      <c r="R3620" s="97">
        <f>R3618-R3619</f>
        <v>29.716707480678835</v>
      </c>
      <c r="S3620" s="106"/>
      <c r="T3620" s="22"/>
      <c r="U3620" s="97">
        <f ca="1">U3618-U3619</f>
        <v>26.108678362143763</v>
      </c>
      <c r="V3620" s="110"/>
      <c r="W3620" s="25"/>
      <c r="X3620" s="97">
        <f ca="1">X3618-X3619</f>
        <v>5.7439801904237271</v>
      </c>
      <c r="Y3620" s="110"/>
      <c r="Z3620" s="25"/>
      <c r="AA3620" s="97">
        <f ca="1">AA3618-AA3619</f>
        <v>-62.537245424418998</v>
      </c>
      <c r="AB3620" s="110"/>
      <c r="AC3620" s="25"/>
      <c r="AD3620" s="97">
        <f ca="1">AD3618-AD3619</f>
        <v>-230.79482527621497</v>
      </c>
      <c r="AE3620" s="110"/>
      <c r="AF3620" s="25"/>
      <c r="AG3620" s="97">
        <f ca="1">AG3618-AG3619</f>
        <v>-525.75942475632223</v>
      </c>
      <c r="AH3620" s="110"/>
      <c r="AI3620" s="25"/>
      <c r="AJ3620" s="97">
        <f ca="1">AJ3618-AJ3619</f>
        <v>-959.89678936005384</v>
      </c>
      <c r="AK3620" s="110"/>
      <c r="AL3620" s="25"/>
      <c r="AM3620" s="97">
        <f ca="1">AM3618-AM3619</f>
        <v>-1443.911889278088</v>
      </c>
      <c r="AN3620" s="110"/>
      <c r="AO3620" s="25"/>
      <c r="AP3620" s="97">
        <f ca="1">AP3618-AP3619</f>
        <v>-1956.6749074074869</v>
      </c>
      <c r="AQ3620" s="110"/>
      <c r="AR3620" s="25"/>
      <c r="AS3620" s="97">
        <f ca="1">AS3618-AS3619</f>
        <v>-2701.6295244335242</v>
      </c>
      <c r="AT3620" s="110"/>
      <c r="AU3620" s="25"/>
    </row>
    <row r="3621" spans="15:47" ht="14.4" x14ac:dyDescent="0.3">
      <c r="O3621" s="2" t="s">
        <v>140</v>
      </c>
      <c r="P3621" s="11"/>
      <c r="Q3621" s="2"/>
      <c r="R3621" s="96">
        <f>R3620/R3618</f>
        <v>0.33122824404895318</v>
      </c>
      <c r="S3621" s="106"/>
      <c r="T3621" s="22"/>
      <c r="U3621" s="96">
        <f ca="1">U3620/U3618</f>
        <v>0.30320612113380208</v>
      </c>
      <c r="V3621" s="111"/>
      <c r="W3621" s="28"/>
      <c r="X3621" s="96">
        <f ca="1">X3620/X3618</f>
        <v>8.7368914595474939E-2</v>
      </c>
      <c r="Y3621" s="111"/>
      <c r="Z3621" s="28"/>
      <c r="AA3621" s="96">
        <f ca="1">AA3620/AA3618</f>
        <v>24.647692660137253</v>
      </c>
      <c r="AB3621" s="111"/>
      <c r="AC3621" s="28"/>
      <c r="AD3621" s="96">
        <f ca="1">AD3620/AD3618</f>
        <v>1.351298699494941</v>
      </c>
      <c r="AE3621" s="111"/>
      <c r="AF3621" s="28"/>
      <c r="AG3621" s="96">
        <f ca="1">AG3620/AG3618</f>
        <v>1.1288218698556469</v>
      </c>
      <c r="AH3621" s="111"/>
      <c r="AI3621" s="28"/>
      <c r="AJ3621" s="96">
        <f ca="1">AJ3620/AJ3618</f>
        <v>1.0666743127760996</v>
      </c>
      <c r="AK3621" s="111"/>
      <c r="AL3621" s="28"/>
      <c r="AM3621" s="96">
        <f ca="1">AM3620/AM3618</f>
        <v>1.0433553613238331</v>
      </c>
      <c r="AN3621" s="111"/>
      <c r="AO3621" s="28"/>
      <c r="AP3621" s="96">
        <f ca="1">AP3620/AP3618</f>
        <v>1.0316343089507165</v>
      </c>
      <c r="AQ3621" s="111"/>
      <c r="AR3621" s="28"/>
      <c r="AS3621" s="96">
        <f ca="1">AS3620/AS3618</f>
        <v>1.0227132531057195</v>
      </c>
      <c r="AT3621" s="111"/>
      <c r="AU3621" s="28"/>
    </row>
    <row r="3622" spans="15:47" x14ac:dyDescent="0.25">
      <c r="O3622" s="2" t="s">
        <v>21</v>
      </c>
      <c r="P3622" s="8">
        <v>12</v>
      </c>
      <c r="Q3622" s="2"/>
      <c r="R3622" s="96">
        <f ca="1">1-R3621/(3*F_GAMMA*R$29)</f>
        <v>0.82749329427699581</v>
      </c>
      <c r="S3622" s="106"/>
      <c r="T3622" s="22"/>
      <c r="U3622" s="96">
        <f ca="1">1-U3621/(3*F_GAMMA*U$29)</f>
        <v>0.842124158212334</v>
      </c>
      <c r="V3622" s="111"/>
      <c r="W3622" s="28"/>
      <c r="X3622" s="96">
        <f ca="1">1-X3621/(3*F_GAMMA*X$29)</f>
        <v>0.95407476342138731</v>
      </c>
      <c r="Y3622" s="111"/>
      <c r="Z3622" s="28"/>
      <c r="AA3622" s="96">
        <f ca="1">1-AA3621/(3*F_GAMMA*AA$29)</f>
        <v>-12.138622553334566</v>
      </c>
      <c r="AB3622" s="111"/>
      <c r="AC3622" s="28"/>
      <c r="AD3622" s="96">
        <f ca="1">1-AD3621/(3*F_GAMMA*AD$29)</f>
        <v>0.25734080245345337</v>
      </c>
      <c r="AE3622" s="111"/>
      <c r="AF3622" s="28"/>
      <c r="AG3622" s="96">
        <f ca="1">1-AG3621/(3*F_GAMMA*AG$29)</f>
        <v>0.34238453695667892</v>
      </c>
      <c r="AH3622" s="111"/>
      <c r="AI3622" s="28"/>
      <c r="AJ3622" s="96">
        <f ca="1">1-AJ3621/(3*F_GAMMA*AJ$29)</f>
        <v>0.33144760766609038</v>
      </c>
      <c r="AK3622" s="111"/>
      <c r="AL3622" s="28"/>
      <c r="AM3622" s="96">
        <f ca="1">1-AM3621/(3*F_GAMMA*AM$29)</f>
        <v>0.26884460907523366</v>
      </c>
      <c r="AN3622" s="111"/>
      <c r="AO3622" s="28"/>
      <c r="AP3622" s="96">
        <f ca="1">1-AP3621/(3*F_GAMMA*AP$29)</f>
        <v>0.41769028112009887</v>
      </c>
      <c r="AQ3622" s="111"/>
      <c r="AR3622" s="28"/>
      <c r="AS3622" s="96">
        <f ca="1">1-AS3621/(3*F_GAMMA*AS$29)</f>
        <v>9.4999978614805247E-2</v>
      </c>
      <c r="AT3622" s="111"/>
      <c r="AU3622" s="28"/>
    </row>
    <row r="3623" spans="15:47" x14ac:dyDescent="0.25">
      <c r="O3623" s="2" t="s">
        <v>57</v>
      </c>
      <c r="P3623" s="143">
        <v>7</v>
      </c>
      <c r="Q3623" s="2"/>
      <c r="R3623" s="96">
        <f ca="1">(R3616/(N_9*R$27*R3618*R3622))*SQRT(M*'Valve Sizing'!$W$6*'Valve Sizing'!$G$8/R3621)</f>
        <v>20.640260662227377</v>
      </c>
      <c r="S3623" s="107"/>
      <c r="T3623" s="22"/>
      <c r="U3623" s="96">
        <f ca="1">(U3616/(N_9*U$27*U3618*U3622))*SQRT(M*'Valve Sizing'!$W$6*'Valve Sizing'!$G$8/U3621)</f>
        <v>65.20313519667765</v>
      </c>
      <c r="V3623" s="111"/>
      <c r="W3623" s="28"/>
      <c r="X3623" s="96">
        <f ca="1">(X3616/(N_9*X$27*X3618*X3622))*SQRT(M*'Valve Sizing'!$W$6*'Valve Sizing'!$G$8/X3621)</f>
        <v>344.6401571646843</v>
      </c>
      <c r="Y3623" s="111"/>
      <c r="Z3623" s="28"/>
      <c r="AA3623" s="96">
        <f ca="1">(AA3616/(N_9*AA$27*AA3618*AA3622))*SQRT(M*'Valve Sizing'!$W$6*'Valve Sizing'!$G$8/AA3621)</f>
        <v>81.87746598337867</v>
      </c>
      <c r="AB3623" s="111"/>
      <c r="AC3623" s="28"/>
      <c r="AD3623" s="96">
        <f ca="1">(AD3616/(N_9*AD$27*AD3618*AD3622))*SQRT(M*'Valve Sizing'!$W$6*'Valve Sizing'!$G$8/AD3621)</f>
        <v>-416.18240988954722</v>
      </c>
      <c r="AE3623" s="111"/>
      <c r="AF3623" s="28"/>
      <c r="AG3623" s="96">
        <f ca="1">(AG3616/(N_9*AG$27*AG3618*AG3622))*SQRT(M*'Valve Sizing'!$W$6*'Valve Sizing'!$G$8/AG3621)</f>
        <v>-187.29741131199697</v>
      </c>
      <c r="AH3623" s="111"/>
      <c r="AI3623" s="28"/>
      <c r="AJ3623" s="96">
        <f ca="1">(AJ3616/(N_9*AJ$27*AJ3618*AJ3622))*SQRT(M*'Valve Sizing'!$W$6*'Valve Sizing'!$G$8/AJ3621)</f>
        <v>-142.44251923061489</v>
      </c>
      <c r="AK3623" s="111"/>
      <c r="AL3623" s="28"/>
      <c r="AM3623" s="96">
        <f ca="1">(AM3616/(N_9*AM$27*AM3618*AM3622))*SQRT(M*'Valve Sizing'!$W$6*'Valve Sizing'!$G$8/AM3621)</f>
        <v>-149.48011549431433</v>
      </c>
      <c r="AN3623" s="111"/>
      <c r="AO3623" s="28"/>
      <c r="AP3623" s="96">
        <f ca="1">(AP3616/(N_9*AP$27*AP3618*AP3622))*SQRT(M*'Valve Sizing'!$W$6*'Valve Sizing'!$G$8/AP3621)</f>
        <v>-93.290246118517118</v>
      </c>
      <c r="AQ3623" s="111"/>
      <c r="AR3623" s="28"/>
      <c r="AS3623" s="96">
        <f ca="1">(AS3616/(N_9*AS$27*AS3618*AS3622))*SQRT(M*'Valve Sizing'!$W$6*'Valve Sizing'!$G$8/AS3621)</f>
        <v>-464.53991594633328</v>
      </c>
      <c r="AT3623" s="111"/>
      <c r="AU3623" s="28"/>
    </row>
    <row r="3624" spans="15:47" x14ac:dyDescent="0.25">
      <c r="O3624" s="2" t="s">
        <v>59</v>
      </c>
      <c r="P3624" s="143">
        <v>7</v>
      </c>
      <c r="Q3624" s="2"/>
      <c r="R3624" s="96">
        <f ca="1">(R3616/(N_9*R$27*R3618*0.667))*SQRT(M*'Valve Sizing'!$W$6*'Valve Sizing'!$G$8/R3625)</f>
        <v>18.421179948933943</v>
      </c>
      <c r="S3624" s="107"/>
      <c r="T3624" s="22"/>
      <c r="U3624" s="96">
        <f ca="1">(U3616/(N_9*U$27*U3618*0.667))*SQRT(M*'Valve Sizing'!$W$6*'Valve Sizing'!$G$8/U3625)</f>
        <v>56.654868770927763</v>
      </c>
      <c r="V3624" s="111"/>
      <c r="W3624" s="28"/>
      <c r="X3624" s="96">
        <f ca="1">(X3616/(N_9*X$27*X3618*0.667))*SQRT(M*'Valve Sizing'!$W$6*'Valve Sizing'!$G$8/X3625)</f>
        <v>182.98217375375299</v>
      </c>
      <c r="Y3624" s="111"/>
      <c r="Z3624" s="28"/>
      <c r="AA3624" s="96">
        <f ca="1">(AA3616/(N_9*AA$27*AA3618*0.667))*SQRT(M*'Valve Sizing'!$W$6*'Valve Sizing'!$G$8/AA3625)</f>
        <v>-9354.9939782977344</v>
      </c>
      <c r="AB3624" s="111"/>
      <c r="AC3624" s="28"/>
      <c r="AD3624" s="96">
        <f ca="1">(AD3616/(N_9*AD$27*AD3618*0.667))*SQRT(M*'Valve Sizing'!$W$6*'Valve Sizing'!$G$8/AD3625)</f>
        <v>-239.67456451727131</v>
      </c>
      <c r="AE3624" s="111"/>
      <c r="AF3624" s="28"/>
      <c r="AG3624" s="96">
        <f ca="1">(AG3616/(N_9*AG$27*AG3618*0.667))*SQRT(M*'Valve Sizing'!$W$6*'Valve Sizing'!$G$8/AG3625)</f>
        <v>-135.04133389917544</v>
      </c>
      <c r="AH3624" s="111"/>
      <c r="AI3624" s="28"/>
      <c r="AJ3624" s="96">
        <f ca="1">(AJ3616/(N_9*AJ$27*AJ3618*0.667))*SQRT(M*'Valve Sizing'!$W$6*'Valve Sizing'!$G$8/AJ3625)</f>
        <v>-100.24369160175841</v>
      </c>
      <c r="AK3624" s="111"/>
      <c r="AL3624" s="28"/>
      <c r="AM3624" s="96">
        <f ca="1">(AM3616/(N_9*AM$27*AM3618*0.667))*SQRT(M*'Valve Sizing'!$W$6*'Valve Sizing'!$G$8/AM3625)</f>
        <v>-89.232773905395931</v>
      </c>
      <c r="AN3624" s="111"/>
      <c r="AO3624" s="28"/>
      <c r="AP3624" s="96">
        <f ca="1">(AP3616/(N_9*AP$27*AP3618*0.667))*SQRT(M*'Valve Sizing'!$W$6*'Valve Sizing'!$G$8/AP3625)</f>
        <v>-77.21513262911661</v>
      </c>
      <c r="AQ3624" s="111"/>
      <c r="AR3624" s="28"/>
      <c r="AS3624" s="96">
        <f ca="1">(AS3616/(N_9*AS$27*AS3618*0.667))*SQRT(M*'Valve Sizing'!$W$6*'Valve Sizing'!$G$8/AS3625)</f>
        <v>-109.01986319713519</v>
      </c>
      <c r="AT3624" s="111"/>
      <c r="AU3624" s="28"/>
    </row>
    <row r="3625" spans="15:47" ht="15.6" x14ac:dyDescent="0.35">
      <c r="O3625" s="2" t="s">
        <v>68</v>
      </c>
      <c r="P3625" s="143">
        <v>10</v>
      </c>
      <c r="Q3625" s="2"/>
      <c r="R3625" s="96">
        <f ca="1">F_GAMMA*R$29</f>
        <v>0.64002969751372984</v>
      </c>
      <c r="S3625" s="107"/>
      <c r="T3625" s="1"/>
      <c r="U3625" s="96">
        <f ca="1">F_GAMMA*U$29</f>
        <v>0.64017842058782071</v>
      </c>
      <c r="V3625" s="111"/>
      <c r="W3625" s="28"/>
      <c r="X3625" s="96">
        <f ca="1">F_GAMMA*X$29</f>
        <v>0.63413873724904268</v>
      </c>
      <c r="Y3625" s="111"/>
      <c r="Z3625" s="28"/>
      <c r="AA3625" s="96">
        <f ca="1">F_GAMMA*AA$29</f>
        <v>0.62532411750377137</v>
      </c>
      <c r="AB3625" s="111"/>
      <c r="AC3625" s="28"/>
      <c r="AD3625" s="96">
        <f ca="1">F_GAMMA*AD$29</f>
        <v>0.60651359509139569</v>
      </c>
      <c r="AE3625" s="111"/>
      <c r="AF3625" s="28"/>
      <c r="AG3625" s="96">
        <f ca="1">F_GAMMA*AG$29</f>
        <v>0.57217930198481592</v>
      </c>
      <c r="AH3625" s="111"/>
      <c r="AI3625" s="28"/>
      <c r="AJ3625" s="96">
        <f ca="1">F_GAMMA*AJ$29</f>
        <v>0.53183282018848232</v>
      </c>
      <c r="AK3625" s="111"/>
      <c r="AL3625" s="28"/>
      <c r="AM3625" s="96">
        <f ca="1">F_GAMMA*AM$29</f>
        <v>0.47566512503094399</v>
      </c>
      <c r="AN3625" s="111"/>
      <c r="AO3625" s="28"/>
      <c r="AP3625" s="96">
        <f ca="1">F_GAMMA*AP$29</f>
        <v>0.59054158265645496</v>
      </c>
      <c r="AQ3625" s="111"/>
      <c r="AR3625" s="28"/>
      <c r="AS3625" s="96">
        <f ca="1">F_GAMMA*AS$29</f>
        <v>0.3766899554102966</v>
      </c>
      <c r="AT3625" s="111"/>
      <c r="AU3625" s="28"/>
    </row>
    <row r="3626" spans="15:47" x14ac:dyDescent="0.25">
      <c r="O3626" s="2" t="s">
        <v>145</v>
      </c>
      <c r="P3626" s="12"/>
      <c r="Q3626" s="2"/>
      <c r="R3626" s="96">
        <f ca="1">IF(R3621&lt;R3625,R3623,R3624)</f>
        <v>20.640260662227377</v>
      </c>
      <c r="S3626" s="116"/>
      <c r="T3626" s="1"/>
      <c r="U3626" s="96">
        <f ca="1">IF(U3621&lt;U3625,U3623,U3624)</f>
        <v>65.20313519667765</v>
      </c>
      <c r="V3626" s="111"/>
      <c r="W3626" s="28"/>
      <c r="X3626" s="96">
        <f ca="1">IF(X3621&lt;X3625,X3623,X3624)</f>
        <v>344.6401571646843</v>
      </c>
      <c r="Y3626" s="111"/>
      <c r="Z3626" s="28"/>
      <c r="AA3626" s="96">
        <f ca="1">IF(AA3621&lt;AA3625,AA3623,AA3624)</f>
        <v>-9354.9939782977344</v>
      </c>
      <c r="AB3626" s="111"/>
      <c r="AC3626" s="28"/>
      <c r="AD3626" s="96">
        <f ca="1">IF(AD3621&lt;AD3625,AD3623,AD3624)</f>
        <v>-239.67456451727131</v>
      </c>
      <c r="AE3626" s="111"/>
      <c r="AF3626" s="28"/>
      <c r="AG3626" s="96">
        <f ca="1">IF(AG3621&lt;AG3625,AG3623,AG3624)</f>
        <v>-135.04133389917544</v>
      </c>
      <c r="AH3626" s="111"/>
      <c r="AI3626" s="28"/>
      <c r="AJ3626" s="96">
        <f ca="1">IF(AJ3621&lt;AJ3625,AJ3623,AJ3624)</f>
        <v>-100.24369160175841</v>
      </c>
      <c r="AK3626" s="111"/>
      <c r="AL3626" s="28"/>
      <c r="AM3626" s="96">
        <f ca="1">IF(AM3621&lt;AM3625,AM3623,AM3624)</f>
        <v>-89.232773905395931</v>
      </c>
      <c r="AN3626" s="111"/>
      <c r="AO3626" s="28"/>
      <c r="AP3626" s="96">
        <f ca="1">IF(AP3621&lt;AP3625,AP3623,AP3624)</f>
        <v>-77.21513262911661</v>
      </c>
      <c r="AQ3626" s="111"/>
      <c r="AR3626" s="28"/>
      <c r="AS3626" s="96">
        <f ca="1">IF(AS3621&lt;AS3625,AS3623,AS3624)</f>
        <v>-109.01986319713519</v>
      </c>
      <c r="AT3626" s="111"/>
      <c r="AU3626" s="28"/>
    </row>
    <row r="3627" spans="15:47" x14ac:dyDescent="0.25">
      <c r="O3627" s="13" t="s">
        <v>143</v>
      </c>
      <c r="P3627" s="1"/>
      <c r="Q3627" s="1"/>
      <c r="R3627" s="113"/>
      <c r="S3627" s="106">
        <f ca="1">IF(R3620&lt;=0,Q_max,ABS(R$23-R3626))</f>
        <v>15.910260662227376</v>
      </c>
      <c r="T3627" s="7">
        <f>R3616</f>
        <v>50690.973833049437</v>
      </c>
      <c r="U3627" s="98"/>
      <c r="V3627" s="106">
        <f ca="1">IF(U3620&lt;=0,Q_max,ABS(U$23-U3626))</f>
        <v>53.603135196677648</v>
      </c>
      <c r="W3627" s="9">
        <f ca="1">U3616</f>
        <v>149551.10028216193</v>
      </c>
      <c r="X3627" s="98"/>
      <c r="Y3627" s="106">
        <f ca="1">IF(X3620&lt;=0,Q_max,ABS(X$23-X3626))</f>
        <v>321.6401571646843</v>
      </c>
      <c r="Z3627" s="9">
        <f ca="1">X3616</f>
        <v>366195.71068053338</v>
      </c>
      <c r="AA3627" s="98"/>
      <c r="AB3627" s="106">
        <f ca="1">IF(AA3620&lt;=0,Q_max,ABS(AA$23-AA3626))</f>
        <v>236393</v>
      </c>
      <c r="AC3627" s="9">
        <f ca="1">AA3616</f>
        <v>713255.77463014098</v>
      </c>
      <c r="AD3627" s="98"/>
      <c r="AE3627" s="106">
        <f ca="1">IF(AD3620&lt;=0,Q_max,ABS(AD$23-AD3626))</f>
        <v>236393</v>
      </c>
      <c r="AF3627" s="9">
        <f ca="1">AD3616</f>
        <v>1196621.3112664581</v>
      </c>
      <c r="AG3627" s="98"/>
      <c r="AH3627" s="106">
        <f ca="1">IF(AG3620&lt;=0,Q_max,ABS(AG$23-AG3626))</f>
        <v>236393</v>
      </c>
      <c r="AI3627" s="9">
        <f ca="1">AG3616</f>
        <v>1746501.3951410765</v>
      </c>
      <c r="AJ3627" s="98"/>
      <c r="AK3627" s="106">
        <f ca="1">IF(AJ3620&lt;=0,Q_max,ABS(AJ$23-AJ3626))</f>
        <v>236393</v>
      </c>
      <c r="AL3627" s="9">
        <f ca="1">AJ3616</f>
        <v>2330712.882245848</v>
      </c>
      <c r="AM3627" s="98"/>
      <c r="AN3627" s="106">
        <f ca="1">IF(AM3620&lt;=0,Q_max,ABS(AM$23-AM3626))</f>
        <v>236393</v>
      </c>
      <c r="AO3627" s="9">
        <f ca="1">AM3616</f>
        <v>2843912.644894802</v>
      </c>
      <c r="AP3627" s="98"/>
      <c r="AQ3627" s="106">
        <f ca="1">IF(AP3620&lt;=0,Q_max,ABS(AP$23-AP3626))</f>
        <v>236393</v>
      </c>
      <c r="AR3627" s="9">
        <f ca="1">AP3616</f>
        <v>3301694.2925070482</v>
      </c>
      <c r="AS3627" s="98"/>
      <c r="AT3627" s="106">
        <f ca="1">IF(AS3620&lt;=0,Q_max,ABS(AS$23-AS3626))</f>
        <v>236393</v>
      </c>
      <c r="AU3627" s="9">
        <f ca="1">AS3616</f>
        <v>3871496.2194602243</v>
      </c>
    </row>
    <row r="3628" spans="15:47" x14ac:dyDescent="0.25">
      <c r="O3628" s="21"/>
      <c r="P3628" s="14"/>
      <c r="Q3628" s="21"/>
      <c r="R3628" s="97"/>
      <c r="S3628" s="106"/>
      <c r="T3628" s="28"/>
      <c r="U3628" s="97"/>
      <c r="V3628" s="111"/>
      <c r="W3628" s="28"/>
      <c r="X3628" s="97"/>
      <c r="Y3628" s="111"/>
      <c r="Z3628" s="28"/>
      <c r="AA3628" s="97"/>
      <c r="AB3628" s="111"/>
      <c r="AC3628" s="28"/>
      <c r="AD3628" s="97"/>
      <c r="AE3628" s="111"/>
      <c r="AF3628" s="28"/>
      <c r="AG3628" s="97"/>
      <c r="AH3628" s="111"/>
      <c r="AI3628" s="28"/>
      <c r="AJ3628" s="97"/>
      <c r="AK3628" s="111"/>
      <c r="AL3628" s="28"/>
      <c r="AM3628" s="97"/>
      <c r="AN3628" s="111"/>
      <c r="AO3628" s="28"/>
      <c r="AP3628" s="97"/>
      <c r="AQ3628" s="111"/>
      <c r="AR3628" s="28"/>
      <c r="AS3628" s="97"/>
      <c r="AT3628" s="111"/>
      <c r="AU3628" s="28"/>
    </row>
    <row r="3629" spans="15:47" x14ac:dyDescent="0.25">
      <c r="O3629" s="1"/>
      <c r="P3629" s="1"/>
      <c r="Q3629" s="1"/>
      <c r="R3629" s="98"/>
      <c r="S3629" s="108" t="s">
        <v>137</v>
      </c>
      <c r="T3629" s="26" t="s">
        <v>146</v>
      </c>
      <c r="U3629" s="98"/>
      <c r="V3629" s="108" t="s">
        <v>137</v>
      </c>
      <c r="W3629" s="26" t="s">
        <v>146</v>
      </c>
      <c r="X3629" s="98"/>
      <c r="Y3629" s="108" t="s">
        <v>137</v>
      </c>
      <c r="Z3629" s="26" t="s">
        <v>146</v>
      </c>
      <c r="AA3629" s="98"/>
      <c r="AB3629" s="108" t="s">
        <v>137</v>
      </c>
      <c r="AC3629" s="26" t="s">
        <v>146</v>
      </c>
      <c r="AD3629" s="98"/>
      <c r="AE3629" s="108" t="s">
        <v>137</v>
      </c>
      <c r="AF3629" s="26" t="s">
        <v>146</v>
      </c>
      <c r="AG3629" s="98"/>
      <c r="AH3629" s="108" t="s">
        <v>137</v>
      </c>
      <c r="AI3629" s="26" t="s">
        <v>146</v>
      </c>
      <c r="AJ3629" s="98"/>
      <c r="AK3629" s="108" t="s">
        <v>137</v>
      </c>
      <c r="AL3629" s="26" t="s">
        <v>146</v>
      </c>
      <c r="AM3629" s="98"/>
      <c r="AN3629" s="108" t="s">
        <v>137</v>
      </c>
      <c r="AO3629" s="26" t="s">
        <v>146</v>
      </c>
      <c r="AP3629" s="98"/>
      <c r="AQ3629" s="108" t="s">
        <v>137</v>
      </c>
      <c r="AR3629" s="26" t="s">
        <v>146</v>
      </c>
      <c r="AS3629" s="98"/>
      <c r="AT3629" s="108" t="s">
        <v>137</v>
      </c>
      <c r="AU3629" s="26" t="s">
        <v>146</v>
      </c>
    </row>
    <row r="3630" spans="15:47" ht="13.8" x14ac:dyDescent="0.25">
      <c r="O3630" s="20" t="s">
        <v>136</v>
      </c>
      <c r="P3630" s="1"/>
      <c r="Q3630" s="1"/>
      <c r="R3630" s="96">
        <f>R3616*1.02</f>
        <v>51704.793309710425</v>
      </c>
      <c r="S3630" s="109" t="s">
        <v>144</v>
      </c>
      <c r="T3630" s="23" t="s">
        <v>147</v>
      </c>
      <c r="U3630" s="96">
        <f ca="1">U3616*1.01</f>
        <v>151046.61128498355</v>
      </c>
      <c r="V3630" s="109" t="s">
        <v>144</v>
      </c>
      <c r="W3630" s="23" t="s">
        <v>147</v>
      </c>
      <c r="X3630" s="96">
        <f ca="1">X3616*1.01</f>
        <v>369857.66778733872</v>
      </c>
      <c r="Y3630" s="109" t="s">
        <v>144</v>
      </c>
      <c r="Z3630" s="23" t="s">
        <v>147</v>
      </c>
      <c r="AA3630" s="96">
        <f ca="1">AA3616*1.01</f>
        <v>720388.33237644238</v>
      </c>
      <c r="AB3630" s="109" t="s">
        <v>144</v>
      </c>
      <c r="AC3630" s="23" t="s">
        <v>147</v>
      </c>
      <c r="AD3630" s="96">
        <f ca="1">AD3616*1.01</f>
        <v>1208587.5243791228</v>
      </c>
      <c r="AE3630" s="109" t="s">
        <v>144</v>
      </c>
      <c r="AF3630" s="23" t="s">
        <v>147</v>
      </c>
      <c r="AG3630" s="96">
        <f ca="1">AG3616*1.01</f>
        <v>1763966.4090924873</v>
      </c>
      <c r="AH3630" s="109" t="s">
        <v>144</v>
      </c>
      <c r="AI3630" s="23" t="s">
        <v>147</v>
      </c>
      <c r="AJ3630" s="96">
        <f ca="1">AJ3616*1.01</f>
        <v>2354020.0110683064</v>
      </c>
      <c r="AK3630" s="109" t="s">
        <v>144</v>
      </c>
      <c r="AL3630" s="23" t="s">
        <v>147</v>
      </c>
      <c r="AM3630" s="96">
        <f ca="1">AM3616*1.01</f>
        <v>2872351.7713437499</v>
      </c>
      <c r="AN3630" s="109" t="s">
        <v>144</v>
      </c>
      <c r="AO3630" s="23" t="s">
        <v>147</v>
      </c>
      <c r="AP3630" s="96">
        <f ca="1">AP3616*1.01</f>
        <v>3334711.2354321186</v>
      </c>
      <c r="AQ3630" s="109" t="s">
        <v>144</v>
      </c>
      <c r="AR3630" s="23" t="s">
        <v>147</v>
      </c>
      <c r="AS3630" s="96">
        <f ca="1">AS3616*1.01</f>
        <v>3910211.1816548267</v>
      </c>
      <c r="AT3630" s="109" t="s">
        <v>144</v>
      </c>
      <c r="AU3630" s="23" t="s">
        <v>147</v>
      </c>
    </row>
    <row r="3631" spans="15:47" x14ac:dyDescent="0.25">
      <c r="O3631" s="1"/>
      <c r="P3631" s="1"/>
      <c r="Q3631" s="1"/>
      <c r="R3631" s="98"/>
      <c r="S3631" s="107"/>
      <c r="T3631" s="1"/>
      <c r="U3631" s="47"/>
      <c r="V3631" s="107"/>
      <c r="W3631" s="1"/>
      <c r="X3631" s="47"/>
      <c r="Y3631" s="107"/>
      <c r="Z3631" s="1"/>
      <c r="AA3631" s="47"/>
      <c r="AB3631" s="107"/>
      <c r="AC3631" s="1"/>
      <c r="AD3631" s="47"/>
      <c r="AE3631" s="107"/>
      <c r="AF3631" s="1"/>
      <c r="AG3631" s="47"/>
      <c r="AH3631" s="107"/>
      <c r="AI3631" s="1"/>
      <c r="AJ3631" s="47"/>
      <c r="AK3631" s="107"/>
      <c r="AL3631" s="1"/>
      <c r="AM3631" s="47"/>
      <c r="AN3631" s="107"/>
      <c r="AO3631" s="1"/>
      <c r="AP3631" s="47"/>
      <c r="AQ3631" s="107"/>
      <c r="AR3631" s="1"/>
      <c r="AS3631" s="47"/>
      <c r="AT3631" s="107"/>
      <c r="AU3631" s="1"/>
    </row>
    <row r="3632" spans="15:47" x14ac:dyDescent="0.25">
      <c r="O3632" s="8" t="s">
        <v>132</v>
      </c>
      <c r="P3632" s="8"/>
      <c r="Q3632" s="8"/>
      <c r="R3632" s="96">
        <f>P_1_minQ-(R3630^2*R_up)+dpup_minQ</f>
        <v>89.697786825475944</v>
      </c>
      <c r="S3632" s="106"/>
      <c r="T3632" s="22"/>
      <c r="U3632" s="96">
        <f ca="1">P_1_minQ-(U3630^2*R_up)+dpup_minQ</f>
        <v>86.026743482564711</v>
      </c>
      <c r="V3632" s="107"/>
      <c r="W3632" s="1"/>
      <c r="X3632" s="96">
        <f ca="1">P_1_minQ-(X3630^2*R_up)+dpup_minQ</f>
        <v>65.252714877593107</v>
      </c>
      <c r="Y3632" s="107"/>
      <c r="Z3632" s="1"/>
      <c r="AA3632" s="96">
        <f ca="1">P_1_minQ-(AA3630^2*R_up)+dpup_minQ</f>
        <v>-4.4009633721079675</v>
      </c>
      <c r="AB3632" s="107"/>
      <c r="AC3632" s="1"/>
      <c r="AD3632" s="96">
        <f ca="1">P_1_minQ-(AD3630^2*R_up)+dpup_minQ</f>
        <v>-176.04052057892505</v>
      </c>
      <c r="AE3632" s="107"/>
      <c r="AF3632" s="1"/>
      <c r="AG3632" s="96">
        <f ca="1">P_1_minQ-(AG3630^2*R_up)+dpup_minQ</f>
        <v>-476.93390850858253</v>
      </c>
      <c r="AH3632" s="107"/>
      <c r="AI3632" s="1"/>
      <c r="AJ3632" s="96">
        <f ca="1">P_1_minQ-(AJ3630^2*R_up)+dpup_minQ</f>
        <v>-919.79743414084896</v>
      </c>
      <c r="AK3632" s="107"/>
      <c r="AL3632" s="1"/>
      <c r="AM3632" s="96">
        <f ca="1">P_1_minQ-(AM3630^2*R_up)+dpup_minQ</f>
        <v>-1413.5412375672356</v>
      </c>
      <c r="AN3632" s="107"/>
      <c r="AO3632" s="1"/>
      <c r="AP3632" s="96">
        <f ca="1">P_1_minQ-(AP3630^2*R_up)+dpup_minQ</f>
        <v>-1936.6107923610357</v>
      </c>
      <c r="AQ3632" s="107"/>
      <c r="AR3632" s="1"/>
      <c r="AS3632" s="96">
        <f ca="1">P_1_minQ-(AS3630^2*R_up)+dpup_minQ</f>
        <v>-2696.5389971892964</v>
      </c>
      <c r="AT3632" s="107"/>
      <c r="AU3632" s="1"/>
    </row>
    <row r="3633" spans="15:47" x14ac:dyDescent="0.25">
      <c r="O3633" s="8" t="s">
        <v>134</v>
      </c>
      <c r="P3633" s="1"/>
      <c r="Q3633" s="8"/>
      <c r="R3633" s="97">
        <f>P_2_minQ+(R3630^2*R_dn)-dpdn_minQ</f>
        <v>60</v>
      </c>
      <c r="S3633" s="106"/>
      <c r="T3633" s="22"/>
      <c r="U3633" s="97">
        <f ca="1">P_2_minQ+(U3630^2*R_dn)-dpdn_minQ</f>
        <v>60</v>
      </c>
      <c r="V3633" s="107"/>
      <c r="W3633" s="1"/>
      <c r="X3633" s="97">
        <f ca="1">P_2_minQ+(X3630^2*R_dn)-dpdn_minQ</f>
        <v>60</v>
      </c>
      <c r="Y3633" s="107"/>
      <c r="Z3633" s="1"/>
      <c r="AA3633" s="97">
        <f ca="1">P_2_minQ+(AA3630^2*R_dn)-dpdn_minQ</f>
        <v>60</v>
      </c>
      <c r="AB3633" s="107"/>
      <c r="AC3633" s="1"/>
      <c r="AD3633" s="97">
        <f ca="1">P_2_minQ+(AD3630^2*R_dn)-dpdn_minQ</f>
        <v>60</v>
      </c>
      <c r="AE3633" s="107"/>
      <c r="AF3633" s="1"/>
      <c r="AG3633" s="97">
        <f ca="1">P_2_minQ+(AG3630^2*R_dn)-dpdn_minQ</f>
        <v>60</v>
      </c>
      <c r="AH3633" s="107"/>
      <c r="AI3633" s="1"/>
      <c r="AJ3633" s="97">
        <f ca="1">P_2_minQ+(AJ3630^2*R_dn)-dpdn_minQ</f>
        <v>60</v>
      </c>
      <c r="AK3633" s="107"/>
      <c r="AL3633" s="1"/>
      <c r="AM3633" s="97">
        <f ca="1">P_2_minQ+(AM3630^2*R_dn)-dpdn_minQ</f>
        <v>60</v>
      </c>
      <c r="AN3633" s="107"/>
      <c r="AO3633" s="1"/>
      <c r="AP3633" s="97">
        <f ca="1">P_2_minQ+(AP3630^2*R_dn)-dpdn_minQ</f>
        <v>60</v>
      </c>
      <c r="AQ3633" s="107"/>
      <c r="AR3633" s="1"/>
      <c r="AS3633" s="97">
        <f ca="1">P_2_minQ+(AS3630^2*R_dn)-dpdn_minQ</f>
        <v>60</v>
      </c>
      <c r="AT3633" s="107"/>
      <c r="AU3633" s="1"/>
    </row>
    <row r="3634" spans="15:47" x14ac:dyDescent="0.25">
      <c r="O3634" s="8" t="s">
        <v>138</v>
      </c>
      <c r="P3634" s="1"/>
      <c r="Q3634" s="8"/>
      <c r="R3634" s="97">
        <f>R3632-R3633</f>
        <v>29.697786825475944</v>
      </c>
      <c r="S3634" s="106"/>
      <c r="T3634" s="22"/>
      <c r="U3634" s="97">
        <f ca="1">U3632-U3633</f>
        <v>26.026743482564711</v>
      </c>
      <c r="V3634" s="110"/>
      <c r="W3634" s="25"/>
      <c r="X3634" s="97">
        <f ca="1">X3632-X3633</f>
        <v>5.2527148775931067</v>
      </c>
      <c r="Y3634" s="110"/>
      <c r="Z3634" s="25"/>
      <c r="AA3634" s="97">
        <f ca="1">AA3632-AA3633</f>
        <v>-64.400963372107967</v>
      </c>
      <c r="AB3634" s="110"/>
      <c r="AC3634" s="25"/>
      <c r="AD3634" s="97">
        <f ca="1">AD3632-AD3633</f>
        <v>-236.04052057892505</v>
      </c>
      <c r="AE3634" s="110"/>
      <c r="AF3634" s="25"/>
      <c r="AG3634" s="97">
        <f ca="1">AG3632-AG3633</f>
        <v>-536.93390850858259</v>
      </c>
      <c r="AH3634" s="110"/>
      <c r="AI3634" s="25"/>
      <c r="AJ3634" s="97">
        <f ca="1">AJ3632-AJ3633</f>
        <v>-979.79743414084896</v>
      </c>
      <c r="AK3634" s="110"/>
      <c r="AL3634" s="25"/>
      <c r="AM3634" s="97">
        <f ca="1">AM3632-AM3633</f>
        <v>-1473.5412375672356</v>
      </c>
      <c r="AN3634" s="110"/>
      <c r="AO3634" s="25"/>
      <c r="AP3634" s="97">
        <f ca="1">AP3632-AP3633</f>
        <v>-1996.6107923610357</v>
      </c>
      <c r="AQ3634" s="110"/>
      <c r="AR3634" s="25"/>
      <c r="AS3634" s="97">
        <f ca="1">AS3632-AS3633</f>
        <v>-2756.5389971892964</v>
      </c>
      <c r="AT3634" s="110"/>
      <c r="AU3634" s="25"/>
    </row>
    <row r="3635" spans="15:47" ht="14.4" x14ac:dyDescent="0.3">
      <c r="O3635" s="2" t="s">
        <v>140</v>
      </c>
      <c r="P3635" s="11"/>
      <c r="Q3635" s="2"/>
      <c r="R3635" s="96">
        <f>R3634/R3632</f>
        <v>0.33108717479572403</v>
      </c>
      <c r="S3635" s="106"/>
      <c r="T3635" s="22"/>
      <c r="U3635" s="96">
        <f ca="1">U3634/U3632</f>
        <v>0.30254247027076675</v>
      </c>
      <c r="V3635" s="111"/>
      <c r="W3635" s="28"/>
      <c r="X3635" s="96">
        <f ca="1">X3634/X3632</f>
        <v>8.0498028127206966E-2</v>
      </c>
      <c r="Y3635" s="111"/>
      <c r="Z3635" s="28"/>
      <c r="AA3635" s="96">
        <f ca="1">AA3634/AA3632</f>
        <v>14.63337863256546</v>
      </c>
      <c r="AB3635" s="111"/>
      <c r="AC3635" s="28"/>
      <c r="AD3635" s="96">
        <f ca="1">AD3634/AD3632</f>
        <v>1.3408306212835808</v>
      </c>
      <c r="AE3635" s="111"/>
      <c r="AF3635" s="28"/>
      <c r="AG3635" s="96">
        <f ca="1">AG3634/AG3632</f>
        <v>1.1258035944385372</v>
      </c>
      <c r="AH3635" s="111"/>
      <c r="AI3635" s="28"/>
      <c r="AJ3635" s="96">
        <f ca="1">AJ3634/AJ3632</f>
        <v>1.0652317540503295</v>
      </c>
      <c r="AK3635" s="111"/>
      <c r="AL3635" s="28"/>
      <c r="AM3635" s="96">
        <f ca="1">AM3634/AM3632</f>
        <v>1.0424465862087353</v>
      </c>
      <c r="AN3635" s="111"/>
      <c r="AO3635" s="28"/>
      <c r="AP3635" s="96">
        <f ca="1">AP3634/AP3632</f>
        <v>1.0309819609787729</v>
      </c>
      <c r="AQ3635" s="111"/>
      <c r="AR3635" s="28"/>
      <c r="AS3635" s="96">
        <f ca="1">AS3634/AS3632</f>
        <v>1.0222507444033038</v>
      </c>
      <c r="AT3635" s="111"/>
      <c r="AU3635" s="28"/>
    </row>
    <row r="3636" spans="15:47" x14ac:dyDescent="0.25">
      <c r="O3636" s="2" t="s">
        <v>21</v>
      </c>
      <c r="P3636" s="8">
        <v>12</v>
      </c>
      <c r="Q3636" s="2"/>
      <c r="R3636" s="96">
        <f ca="1">1-R3635/(3*F_GAMMA*R$29)</f>
        <v>0.82756676443719679</v>
      </c>
      <c r="S3636" s="106"/>
      <c r="T3636" s="22"/>
      <c r="U3636" s="96">
        <f ca="1">1-U3635/(3*F_GAMMA*U$29)</f>
        <v>0.84246971336888232</v>
      </c>
      <c r="V3636" s="111"/>
      <c r="W3636" s="28"/>
      <c r="X3636" s="96">
        <f ca="1">1-X3635/(3*F_GAMMA*X$29)</f>
        <v>0.95768642654002634</v>
      </c>
      <c r="Y3636" s="111"/>
      <c r="Z3636" s="28"/>
      <c r="AA3636" s="96">
        <f ca="1">1-AA3635/(3*F_GAMMA*AA$29)</f>
        <v>-6.8004233980187108</v>
      </c>
      <c r="AB3636" s="111"/>
      <c r="AC3636" s="28"/>
      <c r="AD3636" s="96">
        <f ca="1">1-AD3635/(3*F_GAMMA*AD$29)</f>
        <v>0.26309394538714292</v>
      </c>
      <c r="AE3636" s="111"/>
      <c r="AF3636" s="28"/>
      <c r="AG3636" s="96">
        <f ca="1">1-AG3635/(3*F_GAMMA*AG$29)</f>
        <v>0.34414288753352296</v>
      </c>
      <c r="AH3636" s="111"/>
      <c r="AI3636" s="28"/>
      <c r="AJ3636" s="96">
        <f ca="1">1-AJ3635/(3*F_GAMMA*AJ$29)</f>
        <v>0.33235175064173372</v>
      </c>
      <c r="AK3636" s="111"/>
      <c r="AL3636" s="28"/>
      <c r="AM3636" s="96">
        <f ca="1">1-AM3635/(3*F_GAMMA*AM$29)</f>
        <v>0.26948145424723613</v>
      </c>
      <c r="AN3636" s="111"/>
      <c r="AO3636" s="28"/>
      <c r="AP3636" s="96">
        <f ca="1">1-AP3635/(3*F_GAMMA*AP$29)</f>
        <v>0.41805850129352518</v>
      </c>
      <c r="AQ3636" s="111"/>
      <c r="AR3636" s="28"/>
      <c r="AS3636" s="96">
        <f ca="1">1-AS3635/(3*F_GAMMA*AS$29)</f>
        <v>9.5409253046622733E-2</v>
      </c>
      <c r="AT3636" s="111"/>
      <c r="AU3636" s="28"/>
    </row>
    <row r="3637" spans="15:47" x14ac:dyDescent="0.25">
      <c r="O3637" s="2" t="s">
        <v>57</v>
      </c>
      <c r="P3637" s="143">
        <v>7</v>
      </c>
      <c r="Q3637" s="2"/>
      <c r="R3637" s="96">
        <f ca="1">(R3630/(N_9*R$27*R3632*R3636))*SQRT(M*'Valve Sizing'!$W$6*'Valve Sizing'!$G$8/R3635)</f>
        <v>21.060122512204721</v>
      </c>
      <c r="S3637" s="107"/>
      <c r="T3637" s="22"/>
      <c r="U3637" s="96">
        <f ca="1">(U3630/(N_9*U$27*U3632*U3636))*SQRT(M*'Valve Sizing'!$W$6*'Valve Sizing'!$G$8/U3635)</f>
        <v>65.963080634709186</v>
      </c>
      <c r="V3637" s="111"/>
      <c r="W3637" s="28"/>
      <c r="X3637" s="96">
        <f ca="1">(X3630/(N_9*X$27*X3632*X3636))*SQRT(M*'Valve Sizing'!$W$6*'Valve Sizing'!$G$8/X3635)</f>
        <v>363.99011238197528</v>
      </c>
      <c r="Y3637" s="111"/>
      <c r="Z3637" s="28"/>
      <c r="AA3637" s="96">
        <f ca="1">(AA3630/(N_9*AA$27*AA3632*AA3636))*SQRT(M*'Valve Sizing'!$W$6*'Valve Sizing'!$G$8/AA3635)</f>
        <v>110.44594498621802</v>
      </c>
      <c r="AB3637" s="111"/>
      <c r="AC3637" s="28"/>
      <c r="AD3637" s="96">
        <f ca="1">(AD3630/(N_9*AD$27*AD3632*AD3636))*SQRT(M*'Valve Sizing'!$W$6*'Valve Sizing'!$G$8/AD3635)</f>
        <v>-400.45495829781413</v>
      </c>
      <c r="AE3637" s="111"/>
      <c r="AF3637" s="28"/>
      <c r="AG3637" s="96">
        <f ca="1">(AG3630/(N_9*AG$27*AG3632*AG3636))*SQRT(M*'Valve Sizing'!$W$6*'Valve Sizing'!$G$8/AG3635)</f>
        <v>-184.04047099179655</v>
      </c>
      <c r="AH3637" s="111"/>
      <c r="AI3637" s="28"/>
      <c r="AJ3637" s="96">
        <f ca="1">(AJ3630/(N_9*AJ$27*AJ3632*AJ3636))*SQRT(M*'Valve Sizing'!$W$6*'Valve Sizing'!$G$8/AJ3635)</f>
        <v>-140.46635490859586</v>
      </c>
      <c r="AK3637" s="111"/>
      <c r="AL3637" s="28"/>
      <c r="AM3637" s="96">
        <f ca="1">(AM3630/(N_9*AM$27*AM3632*AM3636))*SQRT(M*'Valve Sizing'!$W$6*'Valve Sizing'!$G$8/AM3635)</f>
        <v>-147.52527280508599</v>
      </c>
      <c r="AN3637" s="111"/>
      <c r="AO3637" s="28"/>
      <c r="AP3637" s="96">
        <f ca="1">(AP3630/(N_9*AP$27*AP3632*AP3636))*SQRT(M*'Valve Sizing'!$W$6*'Valve Sizing'!$G$8/AP3635)</f>
        <v>-92.228008206901137</v>
      </c>
      <c r="AQ3637" s="111"/>
      <c r="AR3637" s="28"/>
      <c r="AS3637" s="96">
        <f ca="1">(AS3630/(N_9*AS$27*AS3632*AS3636))*SQRT(M*'Valve Sizing'!$W$6*'Valve Sizing'!$G$8/AS3635)</f>
        <v>-457.76317343802987</v>
      </c>
      <c r="AT3637" s="111"/>
      <c r="AU3637" s="28"/>
    </row>
    <row r="3638" spans="15:47" x14ac:dyDescent="0.25">
      <c r="O3638" s="2" t="s">
        <v>59</v>
      </c>
      <c r="P3638" s="143">
        <v>7</v>
      </c>
      <c r="Q3638" s="2"/>
      <c r="R3638" s="96">
        <f ca="1">(R3630/(N_9*R$27*R3632*0.667))*SQRT(M*'Valve Sizing'!$W$6*'Valve Sizing'!$G$8/R3639)</f>
        <v>18.79356698583803</v>
      </c>
      <c r="S3638" s="107"/>
      <c r="T3638" s="22"/>
      <c r="U3638" s="96">
        <f ca="1">(U3630/(N_9*U$27*U3632*0.667))*SQRT(M*'Valve Sizing'!$W$6*'Valve Sizing'!$G$8/U3639)</f>
        <v>57.275917138143861</v>
      </c>
      <c r="V3638" s="111"/>
      <c r="W3638" s="28"/>
      <c r="X3638" s="96">
        <f ca="1">(X3630/(N_9*X$27*X3632*0.667))*SQRT(M*'Valve Sizing'!$W$6*'Valve Sizing'!$G$8/X3639)</f>
        <v>186.20338162672098</v>
      </c>
      <c r="Y3638" s="111"/>
      <c r="Z3638" s="28"/>
      <c r="AA3638" s="96">
        <f ca="1">(AA3630/(N_9*AA$27*AA3632*0.667))*SQRT(M*'Valve Sizing'!$W$6*'Valve Sizing'!$G$8/AA3639)</f>
        <v>-5447.2788788718244</v>
      </c>
      <c r="AB3638" s="111"/>
      <c r="AC3638" s="28"/>
      <c r="AD3638" s="96">
        <f ca="1">(AD3630/(N_9*AD$27*AD3632*0.667))*SQRT(M*'Valve Sizing'!$W$6*'Valve Sizing'!$G$8/AD3639)</f>
        <v>-234.85801443675507</v>
      </c>
      <c r="AE3638" s="111"/>
      <c r="AF3638" s="28"/>
      <c r="AG3638" s="96">
        <f ca="1">(AG3630/(N_9*AG$27*AG3632*0.667))*SQRT(M*'Valve Sizing'!$W$6*'Valve Sizing'!$G$8/AG3639)</f>
        <v>-133.19611082761858</v>
      </c>
      <c r="AH3638" s="111"/>
      <c r="AI3638" s="28"/>
      <c r="AJ3638" s="96">
        <f ca="1">(AJ3630/(N_9*AJ$27*AJ3632*0.667))*SQRT(M*'Valve Sizing'!$W$6*'Valve Sizing'!$G$8/AJ3639)</f>
        <v>-99.05557746351586</v>
      </c>
      <c r="AK3638" s="111"/>
      <c r="AL3638" s="28"/>
      <c r="AM3638" s="96">
        <f ca="1">(AM3630/(N_9*AM$27*AM3632*0.667))*SQRT(M*'Valve Sizing'!$W$6*'Valve Sizing'!$G$8/AM3639)</f>
        <v>-88.235982349413234</v>
      </c>
      <c r="AN3638" s="111"/>
      <c r="AO3638" s="28"/>
      <c r="AP3638" s="96">
        <f ca="1">(AP3630/(N_9*AP$27*AP3632*0.667))*SQRT(M*'Valve Sizing'!$W$6*'Valve Sizing'!$G$8/AP3639)</f>
        <v>-76.379066541682718</v>
      </c>
      <c r="AQ3638" s="111"/>
      <c r="AR3638" s="28"/>
      <c r="AS3638" s="96">
        <f ca="1">(AS3630/(N_9*AS$27*AS3632*0.667))*SQRT(M*'Valve Sizing'!$W$6*'Valve Sizing'!$G$8/AS3639)</f>
        <v>-107.86789679962106</v>
      </c>
      <c r="AT3638" s="111"/>
      <c r="AU3638" s="28"/>
    </row>
    <row r="3639" spans="15:47" ht="15.6" x14ac:dyDescent="0.35">
      <c r="O3639" s="2" t="s">
        <v>68</v>
      </c>
      <c r="P3639" s="143">
        <v>10</v>
      </c>
      <c r="Q3639" s="2"/>
      <c r="R3639" s="96">
        <f ca="1">F_GAMMA*R$29</f>
        <v>0.64002969751372984</v>
      </c>
      <c r="S3639" s="107"/>
      <c r="T3639" s="1"/>
      <c r="U3639" s="96">
        <f ca="1">F_GAMMA*U$29</f>
        <v>0.64017842058782071</v>
      </c>
      <c r="V3639" s="111"/>
      <c r="W3639" s="28"/>
      <c r="X3639" s="96">
        <f ca="1">F_GAMMA*X$29</f>
        <v>0.63413873724904268</v>
      </c>
      <c r="Y3639" s="111"/>
      <c r="Z3639" s="28"/>
      <c r="AA3639" s="96">
        <f ca="1">F_GAMMA*AA$29</f>
        <v>0.62532411750377137</v>
      </c>
      <c r="AB3639" s="111"/>
      <c r="AC3639" s="28"/>
      <c r="AD3639" s="96">
        <f ca="1">F_GAMMA*AD$29</f>
        <v>0.60651359509139569</v>
      </c>
      <c r="AE3639" s="111"/>
      <c r="AF3639" s="28"/>
      <c r="AG3639" s="96">
        <f ca="1">F_GAMMA*AG$29</f>
        <v>0.57217930198481592</v>
      </c>
      <c r="AH3639" s="111"/>
      <c r="AI3639" s="28"/>
      <c r="AJ3639" s="96">
        <f ca="1">F_GAMMA*AJ$29</f>
        <v>0.53183282018848232</v>
      </c>
      <c r="AK3639" s="111"/>
      <c r="AL3639" s="28"/>
      <c r="AM3639" s="96">
        <f ca="1">F_GAMMA*AM$29</f>
        <v>0.47566512503094399</v>
      </c>
      <c r="AN3639" s="111"/>
      <c r="AO3639" s="28"/>
      <c r="AP3639" s="96">
        <f ca="1">F_GAMMA*AP$29</f>
        <v>0.59054158265645496</v>
      </c>
      <c r="AQ3639" s="111"/>
      <c r="AR3639" s="28"/>
      <c r="AS3639" s="96">
        <f ca="1">F_GAMMA*AS$29</f>
        <v>0.3766899554102966</v>
      </c>
      <c r="AT3639" s="111"/>
      <c r="AU3639" s="28"/>
    </row>
    <row r="3640" spans="15:47" x14ac:dyDescent="0.25">
      <c r="O3640" s="2" t="s">
        <v>145</v>
      </c>
      <c r="P3640" s="12"/>
      <c r="Q3640" s="2"/>
      <c r="R3640" s="96">
        <f ca="1">IF(R3635&lt;R3639,R3637,R3638)</f>
        <v>21.060122512204721</v>
      </c>
      <c r="S3640" s="116"/>
      <c r="T3640" s="1"/>
      <c r="U3640" s="96">
        <f ca="1">IF(U3635&lt;U3639,U3637,U3638)</f>
        <v>65.963080634709186</v>
      </c>
      <c r="V3640" s="111"/>
      <c r="W3640" s="28"/>
      <c r="X3640" s="96">
        <f ca="1">IF(X3635&lt;X3639,X3637,X3638)</f>
        <v>363.99011238197528</v>
      </c>
      <c r="Y3640" s="111"/>
      <c r="Z3640" s="28"/>
      <c r="AA3640" s="96">
        <f ca="1">IF(AA3635&lt;AA3639,AA3637,AA3638)</f>
        <v>-5447.2788788718244</v>
      </c>
      <c r="AB3640" s="111"/>
      <c r="AC3640" s="28"/>
      <c r="AD3640" s="96">
        <f ca="1">IF(AD3635&lt;AD3639,AD3637,AD3638)</f>
        <v>-234.85801443675507</v>
      </c>
      <c r="AE3640" s="111"/>
      <c r="AF3640" s="28"/>
      <c r="AG3640" s="96">
        <f ca="1">IF(AG3635&lt;AG3639,AG3637,AG3638)</f>
        <v>-133.19611082761858</v>
      </c>
      <c r="AH3640" s="111"/>
      <c r="AI3640" s="28"/>
      <c r="AJ3640" s="96">
        <f ca="1">IF(AJ3635&lt;AJ3639,AJ3637,AJ3638)</f>
        <v>-99.05557746351586</v>
      </c>
      <c r="AK3640" s="111"/>
      <c r="AL3640" s="28"/>
      <c r="AM3640" s="96">
        <f ca="1">IF(AM3635&lt;AM3639,AM3637,AM3638)</f>
        <v>-88.235982349413234</v>
      </c>
      <c r="AN3640" s="111"/>
      <c r="AO3640" s="28"/>
      <c r="AP3640" s="96">
        <f ca="1">IF(AP3635&lt;AP3639,AP3637,AP3638)</f>
        <v>-76.379066541682718</v>
      </c>
      <c r="AQ3640" s="111"/>
      <c r="AR3640" s="28"/>
      <c r="AS3640" s="96">
        <f ca="1">IF(AS3635&lt;AS3639,AS3637,AS3638)</f>
        <v>-107.86789679962106</v>
      </c>
      <c r="AT3640" s="111"/>
      <c r="AU3640" s="28"/>
    </row>
    <row r="3641" spans="15:47" x14ac:dyDescent="0.25">
      <c r="O3641" s="13" t="s">
        <v>143</v>
      </c>
      <c r="P3641" s="1"/>
      <c r="Q3641" s="1"/>
      <c r="R3641" s="113"/>
      <c r="S3641" s="106">
        <f ca="1">IF(R3634&lt;=0,Q_max,ABS(R$23-R3640))</f>
        <v>16.330122512204721</v>
      </c>
      <c r="T3641" s="7">
        <f>R3630</f>
        <v>51704.793309710425</v>
      </c>
      <c r="U3641" s="98"/>
      <c r="V3641" s="106">
        <f ca="1">IF(U3634&lt;=0,Q_max,ABS(U$23-U3640))</f>
        <v>54.363080634709185</v>
      </c>
      <c r="W3641" s="9">
        <f ca="1">U3630</f>
        <v>151046.61128498355</v>
      </c>
      <c r="X3641" s="98"/>
      <c r="Y3641" s="106">
        <f ca="1">IF(X3634&lt;=0,Q_max,ABS(X$23-X3640))</f>
        <v>340.99011238197528</v>
      </c>
      <c r="Z3641" s="9">
        <f ca="1">X3630</f>
        <v>369857.66778733872</v>
      </c>
      <c r="AA3641" s="98"/>
      <c r="AB3641" s="106">
        <f ca="1">IF(AA3634&lt;=0,Q_max,ABS(AA$23-AA3640))</f>
        <v>236393</v>
      </c>
      <c r="AC3641" s="9">
        <f ca="1">AA3630</f>
        <v>720388.33237644238</v>
      </c>
      <c r="AD3641" s="98"/>
      <c r="AE3641" s="106">
        <f ca="1">IF(AD3634&lt;=0,Q_max,ABS(AD$23-AD3640))</f>
        <v>236393</v>
      </c>
      <c r="AF3641" s="9">
        <f ca="1">AD3630</f>
        <v>1208587.5243791228</v>
      </c>
      <c r="AG3641" s="98"/>
      <c r="AH3641" s="106">
        <f ca="1">IF(AG3634&lt;=0,Q_max,ABS(AG$23-AG3640))</f>
        <v>236393</v>
      </c>
      <c r="AI3641" s="9">
        <f ca="1">AG3630</f>
        <v>1763966.4090924873</v>
      </c>
      <c r="AJ3641" s="98"/>
      <c r="AK3641" s="106">
        <f ca="1">IF(AJ3634&lt;=0,Q_max,ABS(AJ$23-AJ3640))</f>
        <v>236393</v>
      </c>
      <c r="AL3641" s="9">
        <f ca="1">AJ3630</f>
        <v>2354020.0110683064</v>
      </c>
      <c r="AM3641" s="98"/>
      <c r="AN3641" s="106">
        <f ca="1">IF(AM3634&lt;=0,Q_max,ABS(AM$23-AM3640))</f>
        <v>236393</v>
      </c>
      <c r="AO3641" s="9">
        <f ca="1">AM3630</f>
        <v>2872351.7713437499</v>
      </c>
      <c r="AP3641" s="98"/>
      <c r="AQ3641" s="106">
        <f ca="1">IF(AP3634&lt;=0,Q_max,ABS(AP$23-AP3640))</f>
        <v>236393</v>
      </c>
      <c r="AR3641" s="9">
        <f ca="1">AP3630</f>
        <v>3334711.2354321186</v>
      </c>
      <c r="AS3641" s="98"/>
      <c r="AT3641" s="106">
        <f ca="1">IF(AS3634&lt;=0,Q_max,ABS(AS$23-AS3640))</f>
        <v>236393</v>
      </c>
      <c r="AU3641" s="9">
        <f ca="1">AS3630</f>
        <v>3910211.1816548267</v>
      </c>
    </row>
    <row r="3642" spans="15:47" x14ac:dyDescent="0.25">
      <c r="O3642" s="21"/>
      <c r="P3642" s="14"/>
      <c r="Q3642" s="21"/>
      <c r="R3642" s="97"/>
      <c r="S3642" s="106"/>
      <c r="T3642" s="28"/>
      <c r="U3642" s="97"/>
      <c r="V3642" s="111"/>
      <c r="W3642" s="28"/>
      <c r="X3642" s="97"/>
      <c r="Y3642" s="111"/>
      <c r="Z3642" s="28"/>
      <c r="AA3642" s="97"/>
      <c r="AB3642" s="111"/>
      <c r="AC3642" s="28"/>
      <c r="AD3642" s="97"/>
      <c r="AE3642" s="111"/>
      <c r="AF3642" s="28"/>
      <c r="AG3642" s="97"/>
      <c r="AH3642" s="111"/>
      <c r="AI3642" s="28"/>
      <c r="AJ3642" s="97"/>
      <c r="AK3642" s="111"/>
      <c r="AL3642" s="28"/>
      <c r="AM3642" s="97"/>
      <c r="AN3642" s="111"/>
      <c r="AO3642" s="28"/>
      <c r="AP3642" s="97"/>
      <c r="AQ3642" s="111"/>
      <c r="AR3642" s="28"/>
      <c r="AS3642" s="97"/>
      <c r="AT3642" s="111"/>
      <c r="AU3642" s="28"/>
    </row>
    <row r="3643" spans="15:47" x14ac:dyDescent="0.25">
      <c r="O3643" s="1"/>
      <c r="P3643" s="1"/>
      <c r="Q3643" s="1"/>
      <c r="R3643" s="98"/>
      <c r="S3643" s="108" t="s">
        <v>137</v>
      </c>
      <c r="T3643" s="26" t="s">
        <v>146</v>
      </c>
      <c r="U3643" s="98"/>
      <c r="V3643" s="108" t="s">
        <v>137</v>
      </c>
      <c r="W3643" s="26" t="s">
        <v>146</v>
      </c>
      <c r="X3643" s="98"/>
      <c r="Y3643" s="108" t="s">
        <v>137</v>
      </c>
      <c r="Z3643" s="26" t="s">
        <v>146</v>
      </c>
      <c r="AA3643" s="98"/>
      <c r="AB3643" s="108" t="s">
        <v>137</v>
      </c>
      <c r="AC3643" s="26" t="s">
        <v>146</v>
      </c>
      <c r="AD3643" s="98"/>
      <c r="AE3643" s="108" t="s">
        <v>137</v>
      </c>
      <c r="AF3643" s="26" t="s">
        <v>146</v>
      </c>
      <c r="AG3643" s="98"/>
      <c r="AH3643" s="108" t="s">
        <v>137</v>
      </c>
      <c r="AI3643" s="26" t="s">
        <v>146</v>
      </c>
      <c r="AJ3643" s="98"/>
      <c r="AK3643" s="108" t="s">
        <v>137</v>
      </c>
      <c r="AL3643" s="26" t="s">
        <v>146</v>
      </c>
      <c r="AM3643" s="98"/>
      <c r="AN3643" s="108" t="s">
        <v>137</v>
      </c>
      <c r="AO3643" s="26" t="s">
        <v>146</v>
      </c>
      <c r="AP3643" s="98"/>
      <c r="AQ3643" s="108" t="s">
        <v>137</v>
      </c>
      <c r="AR3643" s="26" t="s">
        <v>146</v>
      </c>
      <c r="AS3643" s="98"/>
      <c r="AT3643" s="108" t="s">
        <v>137</v>
      </c>
      <c r="AU3643" s="26" t="s">
        <v>146</v>
      </c>
    </row>
    <row r="3644" spans="15:47" ht="13.8" x14ac:dyDescent="0.25">
      <c r="O3644" s="20" t="s">
        <v>136</v>
      </c>
      <c r="P3644" s="1"/>
      <c r="Q3644" s="1"/>
      <c r="R3644" s="96">
        <f>R3630*1.02</f>
        <v>52738.889175904631</v>
      </c>
      <c r="S3644" s="109" t="s">
        <v>144</v>
      </c>
      <c r="T3644" s="23" t="s">
        <v>147</v>
      </c>
      <c r="U3644" s="96">
        <f ca="1">U3630*1.01</f>
        <v>152557.07739783337</v>
      </c>
      <c r="V3644" s="109" t="s">
        <v>144</v>
      </c>
      <c r="W3644" s="23" t="s">
        <v>147</v>
      </c>
      <c r="X3644" s="96">
        <f ca="1">X3630*1.01</f>
        <v>373556.2444652121</v>
      </c>
      <c r="Y3644" s="109" t="s">
        <v>144</v>
      </c>
      <c r="Z3644" s="23" t="s">
        <v>147</v>
      </c>
      <c r="AA3644" s="96">
        <f ca="1">AA3630*1.01</f>
        <v>727592.21570020681</v>
      </c>
      <c r="AB3644" s="109" t="s">
        <v>144</v>
      </c>
      <c r="AC3644" s="23" t="s">
        <v>147</v>
      </c>
      <c r="AD3644" s="96">
        <f ca="1">AD3630*1.01</f>
        <v>1220673.3996229139</v>
      </c>
      <c r="AE3644" s="109" t="s">
        <v>144</v>
      </c>
      <c r="AF3644" s="23" t="s">
        <v>147</v>
      </c>
      <c r="AG3644" s="96">
        <f ca="1">AG3630*1.01</f>
        <v>1781606.0731834122</v>
      </c>
      <c r="AH3644" s="109" t="s">
        <v>144</v>
      </c>
      <c r="AI3644" s="23" t="s">
        <v>147</v>
      </c>
      <c r="AJ3644" s="96">
        <f ca="1">AJ3630*1.01</f>
        <v>2377560.2111789896</v>
      </c>
      <c r="AK3644" s="109" t="s">
        <v>144</v>
      </c>
      <c r="AL3644" s="23" t="s">
        <v>147</v>
      </c>
      <c r="AM3644" s="96">
        <f ca="1">AM3630*1.01</f>
        <v>2901075.2890571873</v>
      </c>
      <c r="AN3644" s="109" t="s">
        <v>144</v>
      </c>
      <c r="AO3644" s="23" t="s">
        <v>147</v>
      </c>
      <c r="AP3644" s="96">
        <f ca="1">AP3630*1.01</f>
        <v>3368058.34778644</v>
      </c>
      <c r="AQ3644" s="109" t="s">
        <v>144</v>
      </c>
      <c r="AR3644" s="23" t="s">
        <v>147</v>
      </c>
      <c r="AS3644" s="96">
        <f ca="1">AS3630*1.01</f>
        <v>3949313.293471375</v>
      </c>
      <c r="AT3644" s="109" t="s">
        <v>144</v>
      </c>
      <c r="AU3644" s="23" t="s">
        <v>147</v>
      </c>
    </row>
    <row r="3645" spans="15:47" x14ac:dyDescent="0.25">
      <c r="O3645" s="1"/>
      <c r="P3645" s="1"/>
      <c r="Q3645" s="1"/>
      <c r="R3645" s="98"/>
      <c r="S3645" s="107"/>
      <c r="T3645" s="1"/>
      <c r="U3645" s="47"/>
      <c r="V3645" s="107"/>
      <c r="W3645" s="1"/>
      <c r="X3645" s="47"/>
      <c r="Y3645" s="107"/>
      <c r="Z3645" s="1"/>
      <c r="AA3645" s="47"/>
      <c r="AB3645" s="107"/>
      <c r="AC3645" s="1"/>
      <c r="AD3645" s="47"/>
      <c r="AE3645" s="107"/>
      <c r="AF3645" s="1"/>
      <c r="AG3645" s="47"/>
      <c r="AH3645" s="107"/>
      <c r="AI3645" s="1"/>
      <c r="AJ3645" s="47"/>
      <c r="AK3645" s="107"/>
      <c r="AL3645" s="1"/>
      <c r="AM3645" s="47"/>
      <c r="AN3645" s="107"/>
      <c r="AO3645" s="1"/>
      <c r="AP3645" s="47"/>
      <c r="AQ3645" s="107"/>
      <c r="AR3645" s="1"/>
      <c r="AS3645" s="47"/>
      <c r="AT3645" s="107"/>
      <c r="AU3645" s="1"/>
    </row>
    <row r="3646" spans="15:47" x14ac:dyDescent="0.25">
      <c r="O3646" s="8" t="s">
        <v>132</v>
      </c>
      <c r="P3646" s="8"/>
      <c r="Q3646" s="8"/>
      <c r="R3646" s="96">
        <f>P_1_minQ-(R3644^2*R_up)+dpup_minQ</f>
        <v>89.678101775802844</v>
      </c>
      <c r="S3646" s="106"/>
      <c r="T3646" s="22"/>
      <c r="U3646" s="96">
        <f ca="1">P_1_minQ-(U3644^2*R_up)+dpup_minQ</f>
        <v>85.943161711906129</v>
      </c>
      <c r="V3646" s="107"/>
      <c r="W3646" s="1"/>
      <c r="X3646" s="96">
        <f ca="1">P_1_minQ-(X3644^2*R_up)+dpup_minQ</f>
        <v>64.75157513197459</v>
      </c>
      <c r="Y3646" s="107"/>
      <c r="Z3646" s="1"/>
      <c r="AA3646" s="96">
        <f ca="1">P_1_minQ-(AA3644^2*R_up)+dpup_minQ</f>
        <v>-6.3021420505454708</v>
      </c>
      <c r="AB3646" s="107"/>
      <c r="AC3646" s="1"/>
      <c r="AD3646" s="96">
        <f ca="1">P_1_minQ-(AD3644^2*R_up)+dpup_minQ</f>
        <v>-181.39165435721952</v>
      </c>
      <c r="AE3646" s="107"/>
      <c r="AF3646" s="1"/>
      <c r="AG3646" s="96">
        <f ca="1">P_1_minQ-(AG3644^2*R_up)+dpup_minQ</f>
        <v>-488.33299938426325</v>
      </c>
      <c r="AH3646" s="107"/>
      <c r="AI3646" s="1"/>
      <c r="AJ3646" s="96">
        <f ca="1">P_1_minQ-(AJ3644^2*R_up)+dpup_minQ</f>
        <v>-940.09808188173815</v>
      </c>
      <c r="AK3646" s="107"/>
      <c r="AL3646" s="1"/>
      <c r="AM3646" s="96">
        <f ca="1">P_1_minQ-(AM3644^2*R_up)+dpup_minQ</f>
        <v>-1443.766135756995</v>
      </c>
      <c r="AN3646" s="107"/>
      <c r="AO3646" s="1"/>
      <c r="AP3646" s="96">
        <f ca="1">P_1_minQ-(AP3644^2*R_up)+dpup_minQ</f>
        <v>-1977.3493886021508</v>
      </c>
      <c r="AQ3646" s="107"/>
      <c r="AR3646" s="1"/>
      <c r="AS3646" s="96">
        <f ca="1">P_1_minQ-(AS3644^2*R_up)+dpup_minQ</f>
        <v>-2752.5521503474597</v>
      </c>
      <c r="AT3646" s="107"/>
      <c r="AU3646" s="1"/>
    </row>
    <row r="3647" spans="15:47" x14ac:dyDescent="0.25">
      <c r="O3647" s="8" t="s">
        <v>134</v>
      </c>
      <c r="P3647" s="1"/>
      <c r="Q3647" s="8"/>
      <c r="R3647" s="97">
        <f>P_2_minQ+(R3644^2*R_dn)-dpdn_minQ</f>
        <v>60</v>
      </c>
      <c r="S3647" s="106"/>
      <c r="T3647" s="22"/>
      <c r="U3647" s="97">
        <f ca="1">P_2_minQ+(U3644^2*R_dn)-dpdn_minQ</f>
        <v>60</v>
      </c>
      <c r="V3647" s="107"/>
      <c r="W3647" s="1"/>
      <c r="X3647" s="97">
        <f ca="1">P_2_minQ+(X3644^2*R_dn)-dpdn_minQ</f>
        <v>60</v>
      </c>
      <c r="Y3647" s="107"/>
      <c r="Z3647" s="1"/>
      <c r="AA3647" s="97">
        <f ca="1">P_2_minQ+(AA3644^2*R_dn)-dpdn_minQ</f>
        <v>60</v>
      </c>
      <c r="AB3647" s="107"/>
      <c r="AC3647" s="1"/>
      <c r="AD3647" s="97">
        <f ca="1">P_2_minQ+(AD3644^2*R_dn)-dpdn_minQ</f>
        <v>60</v>
      </c>
      <c r="AE3647" s="107"/>
      <c r="AF3647" s="1"/>
      <c r="AG3647" s="97">
        <f ca="1">P_2_minQ+(AG3644^2*R_dn)-dpdn_minQ</f>
        <v>60</v>
      </c>
      <c r="AH3647" s="107"/>
      <c r="AI3647" s="1"/>
      <c r="AJ3647" s="97">
        <f ca="1">P_2_minQ+(AJ3644^2*R_dn)-dpdn_minQ</f>
        <v>60</v>
      </c>
      <c r="AK3647" s="107"/>
      <c r="AL3647" s="1"/>
      <c r="AM3647" s="97">
        <f ca="1">P_2_minQ+(AM3644^2*R_dn)-dpdn_minQ</f>
        <v>60</v>
      </c>
      <c r="AN3647" s="107"/>
      <c r="AO3647" s="1"/>
      <c r="AP3647" s="97">
        <f ca="1">P_2_minQ+(AP3644^2*R_dn)-dpdn_minQ</f>
        <v>60</v>
      </c>
      <c r="AQ3647" s="107"/>
      <c r="AR3647" s="1"/>
      <c r="AS3647" s="97">
        <f ca="1">P_2_minQ+(AS3644^2*R_dn)-dpdn_minQ</f>
        <v>60</v>
      </c>
      <c r="AT3647" s="107"/>
      <c r="AU3647" s="1"/>
    </row>
    <row r="3648" spans="15:47" x14ac:dyDescent="0.25">
      <c r="O3648" s="8" t="s">
        <v>138</v>
      </c>
      <c r="P3648" s="1"/>
      <c r="Q3648" s="8"/>
      <c r="R3648" s="97">
        <f>R3646-R3647</f>
        <v>29.678101775802844</v>
      </c>
      <c r="S3648" s="106"/>
      <c r="T3648" s="22"/>
      <c r="U3648" s="97">
        <f ca="1">U3646-U3647</f>
        <v>25.943161711906129</v>
      </c>
      <c r="V3648" s="110"/>
      <c r="W3648" s="25"/>
      <c r="X3648" s="97">
        <f ca="1">X3646-X3647</f>
        <v>4.7515751319745902</v>
      </c>
      <c r="Y3648" s="110"/>
      <c r="Z3648" s="25"/>
      <c r="AA3648" s="97">
        <f ca="1">AA3646-AA3647</f>
        <v>-66.30214205054547</v>
      </c>
      <c r="AB3648" s="110"/>
      <c r="AC3648" s="25"/>
      <c r="AD3648" s="97">
        <f ca="1">AD3646-AD3647</f>
        <v>-241.39165435721952</v>
      </c>
      <c r="AE3648" s="110"/>
      <c r="AF3648" s="25"/>
      <c r="AG3648" s="97">
        <f ca="1">AG3646-AG3647</f>
        <v>-548.3329993842633</v>
      </c>
      <c r="AH3648" s="110"/>
      <c r="AI3648" s="25"/>
      <c r="AJ3648" s="97">
        <f ca="1">AJ3646-AJ3647</f>
        <v>-1000.0980818817382</v>
      </c>
      <c r="AK3648" s="110"/>
      <c r="AL3648" s="25"/>
      <c r="AM3648" s="97">
        <f ca="1">AM3646-AM3647</f>
        <v>-1503.766135756995</v>
      </c>
      <c r="AN3648" s="110"/>
      <c r="AO3648" s="25"/>
      <c r="AP3648" s="97">
        <f ca="1">AP3646-AP3647</f>
        <v>-2037.3493886021508</v>
      </c>
      <c r="AQ3648" s="110"/>
      <c r="AR3648" s="25"/>
      <c r="AS3648" s="97">
        <f ca="1">AS3646-AS3647</f>
        <v>-2812.5521503474597</v>
      </c>
      <c r="AT3648" s="110"/>
      <c r="AU3648" s="25"/>
    </row>
    <row r="3649" spans="15:47" ht="14.4" x14ac:dyDescent="0.3">
      <c r="O3649" s="2" t="s">
        <v>140</v>
      </c>
      <c r="P3649" s="11"/>
      <c r="Q3649" s="2"/>
      <c r="R3649" s="96">
        <f>R3648/R3646</f>
        <v>0.33094034316202109</v>
      </c>
      <c r="S3649" s="106"/>
      <c r="T3649" s="22"/>
      <c r="U3649" s="96">
        <f ca="1">U3648/U3646</f>
        <v>0.30186417621999234</v>
      </c>
      <c r="V3649" s="111"/>
      <c r="W3649" s="28"/>
      <c r="X3649" s="96">
        <f ca="1">X3648/X3646</f>
        <v>7.3381614613854285E-2</v>
      </c>
      <c r="Y3649" s="111"/>
      <c r="Z3649" s="28"/>
      <c r="AA3649" s="96">
        <f ca="1">AA3648/AA3646</f>
        <v>10.520572452791159</v>
      </c>
      <c r="AB3649" s="111"/>
      <c r="AC3649" s="28"/>
      <c r="AD3649" s="96">
        <f ca="1">AD3648/AD3646</f>
        <v>1.3307759676850424</v>
      </c>
      <c r="AE3649" s="111"/>
      <c r="AF3649" s="28"/>
      <c r="AG3649" s="96">
        <f ca="1">AG3648/AG3646</f>
        <v>1.1228669782211191</v>
      </c>
      <c r="AH3649" s="111"/>
      <c r="AI3649" s="28"/>
      <c r="AJ3649" s="96">
        <f ca="1">AJ3648/AJ3646</f>
        <v>1.0638231277739676</v>
      </c>
      <c r="AK3649" s="111"/>
      <c r="AL3649" s="28"/>
      <c r="AM3649" s="96">
        <f ca="1">AM3648/AM3646</f>
        <v>1.0415579770947743</v>
      </c>
      <c r="AN3649" s="111"/>
      <c r="AO3649" s="28"/>
      <c r="AP3649" s="96">
        <f ca="1">AP3648/AP3646</f>
        <v>1.0303436511250124</v>
      </c>
      <c r="AQ3649" s="111"/>
      <c r="AR3649" s="28"/>
      <c r="AS3649" s="96">
        <f ca="1">AS3648/AS3646</f>
        <v>1.0217979521268747</v>
      </c>
      <c r="AT3649" s="111"/>
      <c r="AU3649" s="28"/>
    </row>
    <row r="3650" spans="15:47" x14ac:dyDescent="0.25">
      <c r="O3650" s="2" t="s">
        <v>21</v>
      </c>
      <c r="P3650" s="8">
        <v>12</v>
      </c>
      <c r="Q3650" s="2"/>
      <c r="R3650" s="96">
        <f ca="1">1-R3649/(3*F_GAMMA*R$29)</f>
        <v>0.82764323569796971</v>
      </c>
      <c r="S3650" s="106"/>
      <c r="T3650" s="22"/>
      <c r="U3650" s="96">
        <f ca="1">1-U3649/(3*F_GAMMA*U$29)</f>
        <v>0.84282289306012714</v>
      </c>
      <c r="V3650" s="111"/>
      <c r="W3650" s="28"/>
      <c r="X3650" s="96">
        <f ca="1">1-X3649/(3*F_GAMMA*X$29)</f>
        <v>0.961427150294066</v>
      </c>
      <c r="Y3650" s="111"/>
      <c r="Z3650" s="28"/>
      <c r="AA3650" s="96">
        <f ca="1">1-AA3649/(3*F_GAMMA*AA$29)</f>
        <v>-4.6080637002499261</v>
      </c>
      <c r="AB3650" s="111"/>
      <c r="AC3650" s="28"/>
      <c r="AD3650" s="96">
        <f ca="1">1-AD3649/(3*F_GAMMA*AD$29)</f>
        <v>0.26861987461055592</v>
      </c>
      <c r="AE3650" s="111"/>
      <c r="AF3650" s="28"/>
      <c r="AG3650" s="96">
        <f ca="1">1-AG3649/(3*F_GAMMA*AG$29)</f>
        <v>0.34585366607632784</v>
      </c>
      <c r="AH3650" s="111"/>
      <c r="AI3650" s="28"/>
      <c r="AJ3650" s="96">
        <f ca="1">1-AJ3649/(3*F_GAMMA*AJ$29)</f>
        <v>0.33323462600086295</v>
      </c>
      <c r="AK3650" s="111"/>
      <c r="AL3650" s="28"/>
      <c r="AM3650" s="96">
        <f ca="1">1-AM3649/(3*F_GAMMA*AM$29)</f>
        <v>0.27010416762772149</v>
      </c>
      <c r="AN3650" s="111"/>
      <c r="AO3650" s="28"/>
      <c r="AP3650" s="96">
        <f ca="1">1-AP3649/(3*F_GAMMA*AP$29)</f>
        <v>0.41841879760034306</v>
      </c>
      <c r="AQ3650" s="111"/>
      <c r="AR3650" s="28"/>
      <c r="AS3650" s="96">
        <f ca="1">1-AS3649/(3*F_GAMMA*AS$29)</f>
        <v>9.5809929402978722E-2</v>
      </c>
      <c r="AT3650" s="111"/>
      <c r="AU3650" s="28"/>
    </row>
    <row r="3651" spans="15:47" x14ac:dyDescent="0.25">
      <c r="O3651" s="2" t="s">
        <v>57</v>
      </c>
      <c r="P3651" s="143">
        <v>7</v>
      </c>
      <c r="Q3651" s="2"/>
      <c r="R3651" s="96">
        <f ca="1">(R3644/(N_9*R$27*R3646*R3650))*SQRT(M*'Valve Sizing'!$W$6*'Valve Sizing'!$G$8/R3649)</f>
        <v>21.488820544525836</v>
      </c>
      <c r="S3651" s="107"/>
      <c r="T3651" s="22"/>
      <c r="U3651" s="96">
        <f ca="1">(U3644/(N_9*U$27*U3646*U3650))*SQRT(M*'Valve Sizing'!$W$6*'Valve Sizing'!$G$8/U3649)</f>
        <v>66.734409199684322</v>
      </c>
      <c r="V3651" s="111"/>
      <c r="W3651" s="28"/>
      <c r="X3651" s="96">
        <f ca="1">(X3644/(N_9*X$27*X3646*X3650))*SQRT(M*'Valve Sizing'!$W$6*'Valve Sizing'!$G$8/X3649)</f>
        <v>386.51392726347484</v>
      </c>
      <c r="Y3651" s="111"/>
      <c r="Z3651" s="28"/>
      <c r="AA3651" s="96">
        <f ca="1">(AA3644/(N_9*AA$27*AA3646*AA3650))*SQRT(M*'Valve Sizing'!$W$6*'Valve Sizing'!$G$8/AA3649)</f>
        <v>135.58161833253067</v>
      </c>
      <c r="AB3651" s="111"/>
      <c r="AC3651" s="28"/>
      <c r="AD3651" s="96">
        <f ca="1">(AD3644/(N_9*AD$27*AD3646*AD3650))*SQRT(M*'Valve Sizing'!$W$6*'Valve Sizing'!$G$8/AD3649)</f>
        <v>-385.90249666482873</v>
      </c>
      <c r="AE3651" s="111"/>
      <c r="AF3651" s="28"/>
      <c r="AG3651" s="96">
        <f ca="1">(AG3644/(N_9*AG$27*AG3646*AG3650))*SQRT(M*'Valve Sizing'!$W$6*'Valve Sizing'!$G$8/AG3649)</f>
        <v>-180.87994301106264</v>
      </c>
      <c r="AH3651" s="111"/>
      <c r="AI3651" s="28"/>
      <c r="AJ3651" s="96">
        <f ca="1">(AJ3644/(N_9*AJ$27*AJ3646*AJ3650))*SQRT(M*'Valve Sizing'!$W$6*'Valve Sizing'!$G$8/AJ3649)</f>
        <v>-138.53129702661101</v>
      </c>
      <c r="AK3651" s="111"/>
      <c r="AL3651" s="28"/>
      <c r="AM3651" s="96">
        <f ca="1">(AM3644/(N_9*AM$27*AM3646*AM3650))*SQRT(M*'Valve Sizing'!$W$6*'Valve Sizing'!$G$8/AM3649)</f>
        <v>-145.60698525710066</v>
      </c>
      <c r="AN3651" s="111"/>
      <c r="AO3651" s="28"/>
      <c r="AP3651" s="96">
        <f ca="1">(AP3644/(N_9*AP$27*AP3646*AP3650))*SQRT(M*'Valve Sizing'!$W$6*'Valve Sizing'!$G$8/AP3649)</f>
        <v>-91.180819869209913</v>
      </c>
      <c r="AQ3651" s="111"/>
      <c r="AR3651" s="28"/>
      <c r="AS3651" s="96">
        <f ca="1">(AS3644/(N_9*AS$27*AS3646*AS3650))*SQRT(M*'Valve Sizing'!$W$6*'Valve Sizing'!$G$8/AS3649)</f>
        <v>-451.13814957128932</v>
      </c>
      <c r="AT3651" s="111"/>
      <c r="AU3651" s="28"/>
    </row>
    <row r="3652" spans="15:47" x14ac:dyDescent="0.25">
      <c r="O3652" s="2" t="s">
        <v>59</v>
      </c>
      <c r="P3652" s="143">
        <v>7</v>
      </c>
      <c r="Q3652" s="2"/>
      <c r="R3652" s="96">
        <f ca="1">(R3644/(N_9*R$27*R3646*0.667))*SQRT(M*'Valve Sizing'!$W$6*'Valve Sizing'!$G$8/R3653)</f>
        <v>19.173646168251853</v>
      </c>
      <c r="S3652" s="107"/>
      <c r="T3652" s="22"/>
      <c r="U3652" s="96">
        <f ca="1">(U3644/(N_9*U$27*U3646*0.667))*SQRT(M*'Valve Sizing'!$W$6*'Valve Sizing'!$G$8/U3653)</f>
        <v>57.904935524335357</v>
      </c>
      <c r="V3652" s="111"/>
      <c r="W3652" s="28"/>
      <c r="X3652" s="96">
        <f ca="1">(X3644/(N_9*X$27*X3646*0.667))*SQRT(M*'Valve Sizing'!$W$6*'Valve Sizing'!$G$8/X3653)</f>
        <v>189.52093300009238</v>
      </c>
      <c r="Y3652" s="111"/>
      <c r="Z3652" s="28"/>
      <c r="AA3652" s="96">
        <f ca="1">(AA3644/(N_9*AA$27*AA3646*0.667))*SQRT(M*'Valve Sizing'!$W$6*'Valve Sizing'!$G$8/AA3653)</f>
        <v>-3842.0282147896455</v>
      </c>
      <c r="AB3652" s="111"/>
      <c r="AC3652" s="28"/>
      <c r="AD3652" s="96">
        <f ca="1">(AD3644/(N_9*AD$27*AD3646*0.667))*SQRT(M*'Valve Sizing'!$W$6*'Valve Sizing'!$G$8/AD3653)</f>
        <v>-230.20889545766937</v>
      </c>
      <c r="AE3652" s="111"/>
      <c r="AF3652" s="28"/>
      <c r="AG3652" s="96">
        <f ca="1">(AG3644/(N_9*AG$27*AG3646*0.667))*SQRT(M*'Valve Sizing'!$W$6*'Valve Sizing'!$G$8/AG3653)</f>
        <v>-131.38780142527813</v>
      </c>
      <c r="AH3652" s="111"/>
      <c r="AI3652" s="28"/>
      <c r="AJ3652" s="96">
        <f ca="1">(AJ3644/(N_9*AJ$27*AJ3646*0.667))*SQRT(M*'Valve Sizing'!$W$6*'Valve Sizing'!$G$8/AJ3653)</f>
        <v>-97.885718970907334</v>
      </c>
      <c r="AK3652" s="111"/>
      <c r="AL3652" s="28"/>
      <c r="AM3652" s="96">
        <f ca="1">(AM3644/(N_9*AM$27*AM3646*0.667))*SQRT(M*'Valve Sizing'!$W$6*'Valve Sizing'!$G$8/AM3653)</f>
        <v>-87.252671028318602</v>
      </c>
      <c r="AN3652" s="111"/>
      <c r="AO3652" s="28"/>
      <c r="AP3652" s="96">
        <f ca="1">(AP3644/(N_9*AP$27*AP3646*0.667))*SQRT(M*'Valve Sizing'!$W$6*'Valve Sizing'!$G$8/AP3653)</f>
        <v>-75.553511525066241</v>
      </c>
      <c r="AQ3652" s="111"/>
      <c r="AR3652" s="28"/>
      <c r="AS3652" s="96">
        <f ca="1">(AS3644/(N_9*AS$27*AS3646*0.667))*SQRT(M*'Valve Sizing'!$W$6*'Valve Sizing'!$G$8/AS3653)</f>
        <v>-106.72956373616177</v>
      </c>
      <c r="AT3652" s="111"/>
      <c r="AU3652" s="28"/>
    </row>
    <row r="3653" spans="15:47" ht="15.6" x14ac:dyDescent="0.35">
      <c r="O3653" s="2" t="s">
        <v>68</v>
      </c>
      <c r="P3653" s="143">
        <v>10</v>
      </c>
      <c r="Q3653" s="2"/>
      <c r="R3653" s="96">
        <f ca="1">F_GAMMA*R$29</f>
        <v>0.64002969751372984</v>
      </c>
      <c r="S3653" s="107"/>
      <c r="T3653" s="1"/>
      <c r="U3653" s="96">
        <f ca="1">F_GAMMA*U$29</f>
        <v>0.64017842058782071</v>
      </c>
      <c r="V3653" s="111"/>
      <c r="W3653" s="28"/>
      <c r="X3653" s="96">
        <f ca="1">F_GAMMA*X$29</f>
        <v>0.63413873724904268</v>
      </c>
      <c r="Y3653" s="111"/>
      <c r="Z3653" s="28"/>
      <c r="AA3653" s="96">
        <f ca="1">F_GAMMA*AA$29</f>
        <v>0.62532411750377137</v>
      </c>
      <c r="AB3653" s="111"/>
      <c r="AC3653" s="28"/>
      <c r="AD3653" s="96">
        <f ca="1">F_GAMMA*AD$29</f>
        <v>0.60651359509139569</v>
      </c>
      <c r="AE3653" s="111"/>
      <c r="AF3653" s="28"/>
      <c r="AG3653" s="96">
        <f ca="1">F_GAMMA*AG$29</f>
        <v>0.57217930198481592</v>
      </c>
      <c r="AH3653" s="111"/>
      <c r="AI3653" s="28"/>
      <c r="AJ3653" s="96">
        <f ca="1">F_GAMMA*AJ$29</f>
        <v>0.53183282018848232</v>
      </c>
      <c r="AK3653" s="111"/>
      <c r="AL3653" s="28"/>
      <c r="AM3653" s="96">
        <f ca="1">F_GAMMA*AM$29</f>
        <v>0.47566512503094399</v>
      </c>
      <c r="AN3653" s="111"/>
      <c r="AO3653" s="28"/>
      <c r="AP3653" s="96">
        <f ca="1">F_GAMMA*AP$29</f>
        <v>0.59054158265645496</v>
      </c>
      <c r="AQ3653" s="111"/>
      <c r="AR3653" s="28"/>
      <c r="AS3653" s="96">
        <f ca="1">F_GAMMA*AS$29</f>
        <v>0.3766899554102966</v>
      </c>
      <c r="AT3653" s="111"/>
      <c r="AU3653" s="28"/>
    </row>
    <row r="3654" spans="15:47" x14ac:dyDescent="0.25">
      <c r="O3654" s="2" t="s">
        <v>145</v>
      </c>
      <c r="P3654" s="12"/>
      <c r="Q3654" s="2"/>
      <c r="R3654" s="96">
        <f ca="1">IF(R3649&lt;R3653,R3651,R3652)</f>
        <v>21.488820544525836</v>
      </c>
      <c r="S3654" s="116"/>
      <c r="T3654" s="1"/>
      <c r="U3654" s="96">
        <f ca="1">IF(U3649&lt;U3653,U3651,U3652)</f>
        <v>66.734409199684322</v>
      </c>
      <c r="V3654" s="111"/>
      <c r="W3654" s="28"/>
      <c r="X3654" s="96">
        <f ca="1">IF(X3649&lt;X3653,X3651,X3652)</f>
        <v>386.51392726347484</v>
      </c>
      <c r="Y3654" s="111"/>
      <c r="Z3654" s="28"/>
      <c r="AA3654" s="96">
        <f ca="1">IF(AA3649&lt;AA3653,AA3651,AA3652)</f>
        <v>-3842.0282147896455</v>
      </c>
      <c r="AB3654" s="111"/>
      <c r="AC3654" s="28"/>
      <c r="AD3654" s="96">
        <f ca="1">IF(AD3649&lt;AD3653,AD3651,AD3652)</f>
        <v>-230.20889545766937</v>
      </c>
      <c r="AE3654" s="111"/>
      <c r="AF3654" s="28"/>
      <c r="AG3654" s="96">
        <f ca="1">IF(AG3649&lt;AG3653,AG3651,AG3652)</f>
        <v>-131.38780142527813</v>
      </c>
      <c r="AH3654" s="111"/>
      <c r="AI3654" s="28"/>
      <c r="AJ3654" s="96">
        <f ca="1">IF(AJ3649&lt;AJ3653,AJ3651,AJ3652)</f>
        <v>-97.885718970907334</v>
      </c>
      <c r="AK3654" s="111"/>
      <c r="AL3654" s="28"/>
      <c r="AM3654" s="96">
        <f ca="1">IF(AM3649&lt;AM3653,AM3651,AM3652)</f>
        <v>-87.252671028318602</v>
      </c>
      <c r="AN3654" s="111"/>
      <c r="AO3654" s="28"/>
      <c r="AP3654" s="96">
        <f ca="1">IF(AP3649&lt;AP3653,AP3651,AP3652)</f>
        <v>-75.553511525066241</v>
      </c>
      <c r="AQ3654" s="111"/>
      <c r="AR3654" s="28"/>
      <c r="AS3654" s="96">
        <f ca="1">IF(AS3649&lt;AS3653,AS3651,AS3652)</f>
        <v>-106.72956373616177</v>
      </c>
      <c r="AT3654" s="111"/>
      <c r="AU3654" s="28"/>
    </row>
    <row r="3655" spans="15:47" x14ac:dyDescent="0.25">
      <c r="O3655" s="13" t="s">
        <v>143</v>
      </c>
      <c r="P3655" s="1"/>
      <c r="Q3655" s="1"/>
      <c r="R3655" s="113"/>
      <c r="S3655" s="106">
        <f ca="1">IF(R3648&lt;=0,Q_max,ABS(R$23-R3654))</f>
        <v>16.758820544525836</v>
      </c>
      <c r="T3655" s="7">
        <f>R3644</f>
        <v>52738.889175904631</v>
      </c>
      <c r="U3655" s="98"/>
      <c r="V3655" s="106">
        <f ca="1">IF(U3648&lt;=0,Q_max,ABS(U$23-U3654))</f>
        <v>55.13440919968432</v>
      </c>
      <c r="W3655" s="9">
        <f ca="1">U3644</f>
        <v>152557.07739783337</v>
      </c>
      <c r="X3655" s="98"/>
      <c r="Y3655" s="106">
        <f ca="1">IF(X3648&lt;=0,Q_max,ABS(X$23-X3654))</f>
        <v>363.51392726347484</v>
      </c>
      <c r="Z3655" s="9">
        <f ca="1">X3644</f>
        <v>373556.2444652121</v>
      </c>
      <c r="AA3655" s="98"/>
      <c r="AB3655" s="106">
        <f ca="1">IF(AA3648&lt;=0,Q_max,ABS(AA$23-AA3654))</f>
        <v>236393</v>
      </c>
      <c r="AC3655" s="9">
        <f ca="1">AA3644</f>
        <v>727592.21570020681</v>
      </c>
      <c r="AD3655" s="98"/>
      <c r="AE3655" s="106">
        <f ca="1">IF(AD3648&lt;=0,Q_max,ABS(AD$23-AD3654))</f>
        <v>236393</v>
      </c>
      <c r="AF3655" s="9">
        <f ca="1">AD3644</f>
        <v>1220673.3996229139</v>
      </c>
      <c r="AG3655" s="98"/>
      <c r="AH3655" s="106">
        <f ca="1">IF(AG3648&lt;=0,Q_max,ABS(AG$23-AG3654))</f>
        <v>236393</v>
      </c>
      <c r="AI3655" s="9">
        <f ca="1">AG3644</f>
        <v>1781606.0731834122</v>
      </c>
      <c r="AJ3655" s="98"/>
      <c r="AK3655" s="106">
        <f ca="1">IF(AJ3648&lt;=0,Q_max,ABS(AJ$23-AJ3654))</f>
        <v>236393</v>
      </c>
      <c r="AL3655" s="9">
        <f ca="1">AJ3644</f>
        <v>2377560.2111789896</v>
      </c>
      <c r="AM3655" s="98"/>
      <c r="AN3655" s="106">
        <f ca="1">IF(AM3648&lt;=0,Q_max,ABS(AM$23-AM3654))</f>
        <v>236393</v>
      </c>
      <c r="AO3655" s="9">
        <f ca="1">AM3644</f>
        <v>2901075.2890571873</v>
      </c>
      <c r="AP3655" s="98"/>
      <c r="AQ3655" s="106">
        <f ca="1">IF(AP3648&lt;=0,Q_max,ABS(AP$23-AP3654))</f>
        <v>236393</v>
      </c>
      <c r="AR3655" s="9">
        <f ca="1">AP3644</f>
        <v>3368058.34778644</v>
      </c>
      <c r="AS3655" s="98"/>
      <c r="AT3655" s="106">
        <f ca="1">IF(AS3648&lt;=0,Q_max,ABS(AS$23-AS3654))</f>
        <v>236393</v>
      </c>
      <c r="AU3655" s="9">
        <f ca="1">AS3644</f>
        <v>3949313.293471375</v>
      </c>
    </row>
    <row r="3656" spans="15:47" x14ac:dyDescent="0.25">
      <c r="O3656" s="21"/>
      <c r="P3656" s="14"/>
      <c r="Q3656" s="21"/>
      <c r="R3656" s="97"/>
      <c r="S3656" s="106"/>
      <c r="T3656" s="28"/>
      <c r="U3656" s="97"/>
      <c r="V3656" s="111"/>
      <c r="W3656" s="28"/>
      <c r="X3656" s="97"/>
      <c r="Y3656" s="111"/>
      <c r="Z3656" s="28"/>
      <c r="AA3656" s="97"/>
      <c r="AB3656" s="111"/>
      <c r="AC3656" s="28"/>
      <c r="AD3656" s="97"/>
      <c r="AE3656" s="111"/>
      <c r="AF3656" s="28"/>
      <c r="AG3656" s="97"/>
      <c r="AH3656" s="111"/>
      <c r="AI3656" s="28"/>
      <c r="AJ3656" s="97"/>
      <c r="AK3656" s="111"/>
      <c r="AL3656" s="28"/>
      <c r="AM3656" s="97"/>
      <c r="AN3656" s="111"/>
      <c r="AO3656" s="28"/>
      <c r="AP3656" s="97"/>
      <c r="AQ3656" s="111"/>
      <c r="AR3656" s="28"/>
      <c r="AS3656" s="97"/>
      <c r="AT3656" s="111"/>
      <c r="AU3656" s="28"/>
    </row>
    <row r="3657" spans="15:47" x14ac:dyDescent="0.25">
      <c r="O3657" s="1"/>
      <c r="P3657" s="1"/>
      <c r="Q3657" s="1"/>
      <c r="R3657" s="98"/>
      <c r="S3657" s="108" t="s">
        <v>137</v>
      </c>
      <c r="T3657" s="26" t="s">
        <v>146</v>
      </c>
      <c r="U3657" s="98"/>
      <c r="V3657" s="108" t="s">
        <v>137</v>
      </c>
      <c r="W3657" s="26" t="s">
        <v>146</v>
      </c>
      <c r="X3657" s="98"/>
      <c r="Y3657" s="108" t="s">
        <v>137</v>
      </c>
      <c r="Z3657" s="26" t="s">
        <v>146</v>
      </c>
      <c r="AA3657" s="98"/>
      <c r="AB3657" s="108" t="s">
        <v>137</v>
      </c>
      <c r="AC3657" s="26" t="s">
        <v>146</v>
      </c>
      <c r="AD3657" s="98"/>
      <c r="AE3657" s="108" t="s">
        <v>137</v>
      </c>
      <c r="AF3657" s="26" t="s">
        <v>146</v>
      </c>
      <c r="AG3657" s="98"/>
      <c r="AH3657" s="108" t="s">
        <v>137</v>
      </c>
      <c r="AI3657" s="26" t="s">
        <v>146</v>
      </c>
      <c r="AJ3657" s="98"/>
      <c r="AK3657" s="108" t="s">
        <v>137</v>
      </c>
      <c r="AL3657" s="26" t="s">
        <v>146</v>
      </c>
      <c r="AM3657" s="98"/>
      <c r="AN3657" s="108" t="s">
        <v>137</v>
      </c>
      <c r="AO3657" s="26" t="s">
        <v>146</v>
      </c>
      <c r="AP3657" s="98"/>
      <c r="AQ3657" s="108" t="s">
        <v>137</v>
      </c>
      <c r="AR3657" s="26" t="s">
        <v>146</v>
      </c>
      <c r="AS3657" s="98"/>
      <c r="AT3657" s="108" t="s">
        <v>137</v>
      </c>
      <c r="AU3657" s="26" t="s">
        <v>146</v>
      </c>
    </row>
    <row r="3658" spans="15:47" ht="13.8" x14ac:dyDescent="0.25">
      <c r="O3658" s="20" t="s">
        <v>136</v>
      </c>
      <c r="P3658" s="1"/>
      <c r="Q3658" s="1"/>
      <c r="R3658" s="96">
        <f>R3644*1.02</f>
        <v>53793.666959422728</v>
      </c>
      <c r="S3658" s="109" t="s">
        <v>144</v>
      </c>
      <c r="T3658" s="23" t="s">
        <v>147</v>
      </c>
      <c r="U3658" s="96">
        <f ca="1">U3644*1.01</f>
        <v>154082.64817181171</v>
      </c>
      <c r="V3658" s="109" t="s">
        <v>144</v>
      </c>
      <c r="W3658" s="23" t="s">
        <v>147</v>
      </c>
      <c r="X3658" s="96">
        <f ca="1">X3644*1.01</f>
        <v>377291.80690986424</v>
      </c>
      <c r="Y3658" s="109" t="s">
        <v>144</v>
      </c>
      <c r="Z3658" s="23" t="s">
        <v>147</v>
      </c>
      <c r="AA3658" s="96">
        <f ca="1">AA3644*1.01</f>
        <v>734868.13785720884</v>
      </c>
      <c r="AB3658" s="109" t="s">
        <v>144</v>
      </c>
      <c r="AC3658" s="23" t="s">
        <v>147</v>
      </c>
      <c r="AD3658" s="96">
        <f ca="1">AD3644*1.01</f>
        <v>1232880.1336191432</v>
      </c>
      <c r="AE3658" s="109" t="s">
        <v>144</v>
      </c>
      <c r="AF3658" s="23" t="s">
        <v>147</v>
      </c>
      <c r="AG3658" s="96">
        <f ca="1">AG3644*1.01</f>
        <v>1799422.1339152462</v>
      </c>
      <c r="AH3658" s="109" t="s">
        <v>144</v>
      </c>
      <c r="AI3658" s="23" t="s">
        <v>147</v>
      </c>
      <c r="AJ3658" s="96">
        <f ca="1">AJ3644*1.01</f>
        <v>2401335.8132907795</v>
      </c>
      <c r="AK3658" s="109" t="s">
        <v>144</v>
      </c>
      <c r="AL3658" s="23" t="s">
        <v>147</v>
      </c>
      <c r="AM3658" s="96">
        <f ca="1">AM3644*1.01</f>
        <v>2930086.0419477592</v>
      </c>
      <c r="AN3658" s="109" t="s">
        <v>144</v>
      </c>
      <c r="AO3658" s="23" t="s">
        <v>147</v>
      </c>
      <c r="AP3658" s="96">
        <f ca="1">AP3644*1.01</f>
        <v>3401738.9312643046</v>
      </c>
      <c r="AQ3658" s="109" t="s">
        <v>144</v>
      </c>
      <c r="AR3658" s="23" t="s">
        <v>147</v>
      </c>
      <c r="AS3658" s="96">
        <f ca="1">AS3644*1.01</f>
        <v>3988806.4264060888</v>
      </c>
      <c r="AT3658" s="109" t="s">
        <v>144</v>
      </c>
      <c r="AU3658" s="23" t="s">
        <v>147</v>
      </c>
    </row>
    <row r="3659" spans="15:47" x14ac:dyDescent="0.25">
      <c r="O3659" s="1"/>
      <c r="P3659" s="1"/>
      <c r="Q3659" s="1"/>
      <c r="R3659" s="98"/>
      <c r="S3659" s="107"/>
      <c r="T3659" s="1"/>
      <c r="U3659" s="47"/>
      <c r="V3659" s="107"/>
      <c r="W3659" s="1"/>
      <c r="X3659" s="47"/>
      <c r="Y3659" s="107"/>
      <c r="Z3659" s="1"/>
      <c r="AA3659" s="47"/>
      <c r="AB3659" s="107"/>
      <c r="AC3659" s="1"/>
      <c r="AD3659" s="47"/>
      <c r="AE3659" s="107"/>
      <c r="AF3659" s="1"/>
      <c r="AG3659" s="47"/>
      <c r="AH3659" s="107"/>
      <c r="AI3659" s="1"/>
      <c r="AJ3659" s="47"/>
      <c r="AK3659" s="107"/>
      <c r="AL3659" s="1"/>
      <c r="AM3659" s="47"/>
      <c r="AN3659" s="107"/>
      <c r="AO3659" s="1"/>
      <c r="AP3659" s="47"/>
      <c r="AQ3659" s="107"/>
      <c r="AR3659" s="1"/>
      <c r="AS3659" s="47"/>
      <c r="AT3659" s="107"/>
      <c r="AU3659" s="1"/>
    </row>
    <row r="3660" spans="15:47" x14ac:dyDescent="0.25">
      <c r="O3660" s="8" t="s">
        <v>132</v>
      </c>
      <c r="P3660" s="8"/>
      <c r="Q3660" s="8"/>
      <c r="R3660" s="96">
        <f>P_1_minQ-(R3658^2*R_up)+dpup_minQ</f>
        <v>89.65762145012296</v>
      </c>
      <c r="S3660" s="106"/>
      <c r="T3660" s="22"/>
      <c r="U3660" s="96">
        <f ca="1">P_1_minQ-(U3658^2*R_up)+dpup_minQ</f>
        <v>85.857899947657302</v>
      </c>
      <c r="V3660" s="107"/>
      <c r="W3660" s="1"/>
      <c r="X3660" s="96">
        <f ca="1">P_1_minQ-(X3658^2*R_up)+dpup_minQ</f>
        <v>64.240362477469148</v>
      </c>
      <c r="Y3660" s="107"/>
      <c r="Z3660" s="1"/>
      <c r="AA3660" s="96">
        <f ca="1">P_1_minQ-(AA3658^2*R_up)+dpup_minQ</f>
        <v>-8.2415344204195566</v>
      </c>
      <c r="AB3660" s="107"/>
      <c r="AC3660" s="1"/>
      <c r="AD3660" s="96">
        <f ca="1">P_1_minQ-(AD3658^2*R_up)+dpup_minQ</f>
        <v>-186.85034592445783</v>
      </c>
      <c r="AE3660" s="107"/>
      <c r="AF3660" s="1"/>
      <c r="AG3660" s="96">
        <f ca="1">P_1_minQ-(AG3658^2*R_up)+dpup_minQ</f>
        <v>-499.96121198654492</v>
      </c>
      <c r="AH3660" s="107"/>
      <c r="AI3660" s="1"/>
      <c r="AJ3660" s="96">
        <f ca="1">P_1_minQ-(AJ3658^2*R_up)+dpup_minQ</f>
        <v>-960.80677264221936</v>
      </c>
      <c r="AK3660" s="107"/>
      <c r="AL3660" s="1"/>
      <c r="AM3660" s="96">
        <f ca="1">P_1_minQ-(AM3658^2*R_up)+dpup_minQ</f>
        <v>-1474.5985544003688</v>
      </c>
      <c r="AN3660" s="107"/>
      <c r="AO3660" s="1"/>
      <c r="AP3660" s="96">
        <f ca="1">P_1_minQ-(AP3658^2*R_up)+dpup_minQ</f>
        <v>-2018.9068306277125</v>
      </c>
      <c r="AQ3660" s="107"/>
      <c r="AR3660" s="1"/>
      <c r="AS3660" s="96">
        <f ca="1">P_1_minQ-(AS3658^2*R_up)+dpup_minQ</f>
        <v>-2809.6911678841016</v>
      </c>
      <c r="AT3660" s="107"/>
      <c r="AU3660" s="1"/>
    </row>
    <row r="3661" spans="15:47" x14ac:dyDescent="0.25">
      <c r="O3661" s="8" t="s">
        <v>134</v>
      </c>
      <c r="P3661" s="1"/>
      <c r="Q3661" s="8"/>
      <c r="R3661" s="97">
        <f>P_2_minQ+(R3658^2*R_dn)-dpdn_minQ</f>
        <v>60</v>
      </c>
      <c r="S3661" s="106"/>
      <c r="T3661" s="22"/>
      <c r="U3661" s="97">
        <f ca="1">P_2_minQ+(U3658^2*R_dn)-dpdn_minQ</f>
        <v>60</v>
      </c>
      <c r="V3661" s="107"/>
      <c r="W3661" s="1"/>
      <c r="X3661" s="97">
        <f ca="1">P_2_minQ+(X3658^2*R_dn)-dpdn_minQ</f>
        <v>60</v>
      </c>
      <c r="Y3661" s="107"/>
      <c r="Z3661" s="1"/>
      <c r="AA3661" s="97">
        <f ca="1">P_2_minQ+(AA3658^2*R_dn)-dpdn_minQ</f>
        <v>60</v>
      </c>
      <c r="AB3661" s="107"/>
      <c r="AC3661" s="1"/>
      <c r="AD3661" s="97">
        <f ca="1">P_2_minQ+(AD3658^2*R_dn)-dpdn_minQ</f>
        <v>60</v>
      </c>
      <c r="AE3661" s="107"/>
      <c r="AF3661" s="1"/>
      <c r="AG3661" s="97">
        <f ca="1">P_2_minQ+(AG3658^2*R_dn)-dpdn_minQ</f>
        <v>60</v>
      </c>
      <c r="AH3661" s="107"/>
      <c r="AI3661" s="1"/>
      <c r="AJ3661" s="97">
        <f ca="1">P_2_minQ+(AJ3658^2*R_dn)-dpdn_minQ</f>
        <v>60</v>
      </c>
      <c r="AK3661" s="107"/>
      <c r="AL3661" s="1"/>
      <c r="AM3661" s="97">
        <f ca="1">P_2_minQ+(AM3658^2*R_dn)-dpdn_minQ</f>
        <v>60</v>
      </c>
      <c r="AN3661" s="107"/>
      <c r="AO3661" s="1"/>
      <c r="AP3661" s="97">
        <f ca="1">P_2_minQ+(AP3658^2*R_dn)-dpdn_minQ</f>
        <v>60</v>
      </c>
      <c r="AQ3661" s="107"/>
      <c r="AR3661" s="1"/>
      <c r="AS3661" s="97">
        <f ca="1">P_2_minQ+(AS3658^2*R_dn)-dpdn_minQ</f>
        <v>60</v>
      </c>
      <c r="AT3661" s="107"/>
      <c r="AU3661" s="1"/>
    </row>
    <row r="3662" spans="15:47" x14ac:dyDescent="0.25">
      <c r="O3662" s="8" t="s">
        <v>138</v>
      </c>
      <c r="P3662" s="1"/>
      <c r="Q3662" s="8"/>
      <c r="R3662" s="97">
        <f>R3660-R3661</f>
        <v>29.65762145012296</v>
      </c>
      <c r="S3662" s="106"/>
      <c r="T3662" s="22"/>
      <c r="U3662" s="97">
        <f ca="1">U3660-U3661</f>
        <v>25.857899947657302</v>
      </c>
      <c r="V3662" s="110"/>
      <c r="W3662" s="25"/>
      <c r="X3662" s="97">
        <f ca="1">X3660-X3661</f>
        <v>4.240362477469148</v>
      </c>
      <c r="Y3662" s="110"/>
      <c r="Z3662" s="25"/>
      <c r="AA3662" s="97">
        <f ca="1">AA3660-AA3661</f>
        <v>-68.241534420419555</v>
      </c>
      <c r="AB3662" s="110"/>
      <c r="AC3662" s="25"/>
      <c r="AD3662" s="97">
        <f ca="1">AD3660-AD3661</f>
        <v>-246.85034592445783</v>
      </c>
      <c r="AE3662" s="110"/>
      <c r="AF3662" s="25"/>
      <c r="AG3662" s="97">
        <f ca="1">AG3660-AG3661</f>
        <v>-559.96121198654487</v>
      </c>
      <c r="AH3662" s="110"/>
      <c r="AI3662" s="25"/>
      <c r="AJ3662" s="97">
        <f ca="1">AJ3660-AJ3661</f>
        <v>-1020.8067726422194</v>
      </c>
      <c r="AK3662" s="110"/>
      <c r="AL3662" s="25"/>
      <c r="AM3662" s="97">
        <f ca="1">AM3660-AM3661</f>
        <v>-1534.5985544003688</v>
      </c>
      <c r="AN3662" s="110"/>
      <c r="AO3662" s="25"/>
      <c r="AP3662" s="97">
        <f ca="1">AP3660-AP3661</f>
        <v>-2078.9068306277122</v>
      </c>
      <c r="AQ3662" s="110"/>
      <c r="AR3662" s="25"/>
      <c r="AS3662" s="97">
        <f ca="1">AS3660-AS3661</f>
        <v>-2869.6911678841016</v>
      </c>
      <c r="AT3662" s="110"/>
      <c r="AU3662" s="25"/>
    </row>
    <row r="3663" spans="15:47" ht="14.4" x14ac:dyDescent="0.3">
      <c r="O3663" s="2" t="s">
        <v>140</v>
      </c>
      <c r="P3663" s="11"/>
      <c r="Q3663" s="2"/>
      <c r="R3663" s="96">
        <f>R3662/R3660</f>
        <v>0.33078751109432075</v>
      </c>
      <c r="S3663" s="106"/>
      <c r="T3663" s="22"/>
      <c r="U3663" s="96">
        <f ca="1">U3662/U3660</f>
        <v>0.30117088775082312</v>
      </c>
      <c r="V3663" s="111"/>
      <c r="W3663" s="28"/>
      <c r="X3663" s="96">
        <f ca="1">X3662/X3660</f>
        <v>6.6007760758765313E-2</v>
      </c>
      <c r="Y3663" s="111"/>
      <c r="Z3663" s="28"/>
      <c r="AA3663" s="96">
        <f ca="1">AA3662/AA3660</f>
        <v>8.280197708249764</v>
      </c>
      <c r="AB3663" s="111"/>
      <c r="AC3663" s="28"/>
      <c r="AD3663" s="96">
        <f ca="1">AD3662/AD3660</f>
        <v>1.3211125979090108</v>
      </c>
      <c r="AE3663" s="111"/>
      <c r="AF3663" s="28"/>
      <c r="AG3663" s="96">
        <f ca="1">AG3662/AG3660</f>
        <v>1.12000930984545</v>
      </c>
      <c r="AH3663" s="111"/>
      <c r="AI3663" s="28"/>
      <c r="AJ3663" s="96">
        <f ca="1">AJ3662/AJ3660</f>
        <v>1.0624475198431418</v>
      </c>
      <c r="AK3663" s="111"/>
      <c r="AL3663" s="28"/>
      <c r="AM3663" s="96">
        <f ca="1">AM3662/AM3660</f>
        <v>1.0406890402957152</v>
      </c>
      <c r="AN3663" s="111"/>
      <c r="AO3663" s="28"/>
      <c r="AP3663" s="96">
        <f ca="1">AP3662/AP3660</f>
        <v>1.0297190534450491</v>
      </c>
      <c r="AQ3663" s="111"/>
      <c r="AR3663" s="28"/>
      <c r="AS3663" s="96">
        <f ca="1">AS3662/AS3660</f>
        <v>1.0213546601440842</v>
      </c>
      <c r="AT3663" s="111"/>
      <c r="AU3663" s="28"/>
    </row>
    <row r="3664" spans="15:47" x14ac:dyDescent="0.25">
      <c r="O3664" s="2" t="s">
        <v>21</v>
      </c>
      <c r="P3664" s="8">
        <v>12</v>
      </c>
      <c r="Q3664" s="2"/>
      <c r="R3664" s="96">
        <f ca="1">1-R3663/(3*F_GAMMA*R$29)</f>
        <v>0.82772283203977182</v>
      </c>
      <c r="S3664" s="106"/>
      <c r="T3664" s="22"/>
      <c r="U3664" s="96">
        <f ca="1">1-U3663/(3*F_GAMMA*U$29)</f>
        <v>0.8431838801677175</v>
      </c>
      <c r="V3664" s="111"/>
      <c r="W3664" s="28"/>
      <c r="X3664" s="96">
        <f ca="1">1-X3663/(3*F_GAMMA*X$29)</f>
        <v>0.96530319687606869</v>
      </c>
      <c r="Y3664" s="111"/>
      <c r="Z3664" s="28"/>
      <c r="AA3664" s="96">
        <f ca="1">1-AA3663/(3*F_GAMMA*AA$29)</f>
        <v>-3.4138164921062319</v>
      </c>
      <c r="AB3664" s="111"/>
      <c r="AC3664" s="28"/>
      <c r="AD3664" s="96">
        <f ca="1">1-AD3663/(3*F_GAMMA*AD$29)</f>
        <v>0.27393075846336024</v>
      </c>
      <c r="AE3664" s="111"/>
      <c r="AF3664" s="28"/>
      <c r="AG3664" s="96">
        <f ca="1">1-AG3663/(3*F_GAMMA*AG$29)</f>
        <v>0.34751845213538091</v>
      </c>
      <c r="AH3664" s="111"/>
      <c r="AI3664" s="28"/>
      <c r="AJ3664" s="96">
        <f ca="1">1-AJ3663/(3*F_GAMMA*AJ$29)</f>
        <v>0.33409680667030617</v>
      </c>
      <c r="AK3664" s="111"/>
      <c r="AL3664" s="28"/>
      <c r="AM3664" s="96">
        <f ca="1">1-AM3663/(3*F_GAMMA*AM$29)</f>
        <v>0.27071309517873243</v>
      </c>
      <c r="AN3664" s="111"/>
      <c r="AO3664" s="28"/>
      <c r="AP3664" s="96">
        <f ca="1">1-AP3663/(3*F_GAMMA*AP$29)</f>
        <v>0.4187713540210406</v>
      </c>
      <c r="AQ3664" s="111"/>
      <c r="AR3664" s="28"/>
      <c r="AS3664" s="96">
        <f ca="1">1-AS3663/(3*F_GAMMA*AS$29)</f>
        <v>9.6202198939612793E-2</v>
      </c>
      <c r="AT3664" s="111"/>
      <c r="AU3664" s="28"/>
    </row>
    <row r="3665" spans="15:47" x14ac:dyDescent="0.25">
      <c r="O3665" s="2" t="s">
        <v>57</v>
      </c>
      <c r="P3665" s="143">
        <v>7</v>
      </c>
      <c r="Q3665" s="2"/>
      <c r="R3665" s="96">
        <f ca="1">(R3658/(N_9*R$27*R3660*R3664))*SQRT(M*'Valve Sizing'!$W$6*'Valve Sizing'!$G$8/R3663)</f>
        <v>21.9265590935189</v>
      </c>
      <c r="S3665" s="107"/>
      <c r="T3665" s="22"/>
      <c r="U3665" s="96">
        <f ca="1">(U3658/(N_9*U$27*U3660*U3664))*SQRT(M*'Valve Sizing'!$W$6*'Valve Sizing'!$G$8/U3663)</f>
        <v>67.517379921319929</v>
      </c>
      <c r="V3665" s="111"/>
      <c r="W3665" s="28"/>
      <c r="X3665" s="96">
        <f ca="1">(X3658/(N_9*X$27*X3660*X3664))*SQRT(M*'Valve Sizing'!$W$6*'Valve Sizing'!$G$8/X3663)</f>
        <v>413.21649091513336</v>
      </c>
      <c r="Y3665" s="111"/>
      <c r="Z3665" s="28"/>
      <c r="AA3665" s="96">
        <f ca="1">(AA3658/(N_9*AA$27*AA3660*AA3664))*SQRT(M*'Valve Sizing'!$W$6*'Valve Sizing'!$G$8/AA3663)</f>
        <v>159.32353461537241</v>
      </c>
      <c r="AB3665" s="111"/>
      <c r="AC3665" s="28"/>
      <c r="AD3665" s="96">
        <f ca="1">(AD3658/(N_9*AD$27*AD3660*AD3664))*SQRT(M*'Valve Sizing'!$W$6*'Valve Sizing'!$G$8/AD3663)</f>
        <v>-372.39364191894862</v>
      </c>
      <c r="AE3665" s="111"/>
      <c r="AF3665" s="28"/>
      <c r="AG3665" s="96">
        <f ca="1">(AG3658/(N_9*AG$27*AG3660*AG3664))*SQRT(M*'Valve Sizing'!$W$6*'Valve Sizing'!$G$8/AG3663)</f>
        <v>-177.81131761618315</v>
      </c>
      <c r="AH3665" s="111"/>
      <c r="AI3665" s="28"/>
      <c r="AJ3665" s="96">
        <f ca="1">(AJ3658/(N_9*AJ$27*AJ3660*AJ3664))*SQRT(M*'Valve Sizing'!$W$6*'Valve Sizing'!$G$8/AJ3663)</f>
        <v>-136.63600416799764</v>
      </c>
      <c r="AK3665" s="111"/>
      <c r="AL3665" s="28"/>
      <c r="AM3665" s="96">
        <f ca="1">(AM3658/(N_9*AM$27*AM3660*AM3664))*SQRT(M*'Valve Sizing'!$W$6*'Valve Sizing'!$G$8/AM3663)</f>
        <v>-143.72419544457063</v>
      </c>
      <c r="AN3665" s="111"/>
      <c r="AO3665" s="28"/>
      <c r="AP3665" s="96">
        <f ca="1">(AP3658/(N_9*AP$27*AP3660*AP3664))*SQRT(M*'Valve Sizing'!$W$6*'Valve Sizing'!$G$8/AP3663)</f>
        <v>-90.148374347168186</v>
      </c>
      <c r="AQ3665" s="111"/>
      <c r="AR3665" s="28"/>
      <c r="AS3665" s="96">
        <f ca="1">(AS3658/(N_9*AS$27*AS3660*AS3664))*SQRT(M*'Valve Sizing'!$W$6*'Valve Sizing'!$G$8/AS3663)</f>
        <v>-444.65957136589611</v>
      </c>
      <c r="AT3665" s="111"/>
      <c r="AU3665" s="28"/>
    </row>
    <row r="3666" spans="15:47" x14ac:dyDescent="0.25">
      <c r="O3666" s="2" t="s">
        <v>59</v>
      </c>
      <c r="P3666" s="143">
        <v>7</v>
      </c>
      <c r="Q3666" s="2"/>
      <c r="R3666" s="96">
        <f ca="1">(R3658/(N_9*R$27*R3660*0.667))*SQRT(M*'Valve Sizing'!$W$6*'Valve Sizing'!$G$8/R3667)</f>
        <v>19.561586488385604</v>
      </c>
      <c r="S3666" s="107"/>
      <c r="T3666" s="22"/>
      <c r="U3666" s="96">
        <f ca="1">(U3658/(N_9*U$27*U3660*0.667))*SQRT(M*'Valve Sizing'!$W$6*'Valve Sizing'!$G$8/U3667)</f>
        <v>58.542062793599143</v>
      </c>
      <c r="V3666" s="111"/>
      <c r="W3666" s="28"/>
      <c r="X3666" s="96">
        <f ca="1">(X3658/(N_9*X$27*X3660*0.667))*SQRT(M*'Valve Sizing'!$W$6*'Valve Sizing'!$G$8/X3667)</f>
        <v>192.93939578729601</v>
      </c>
      <c r="Y3666" s="111"/>
      <c r="Z3666" s="28"/>
      <c r="AA3666" s="96">
        <f ca="1">(AA3658/(N_9*AA$27*AA3660*0.667))*SQRT(M*'Valve Sizing'!$W$6*'Valve Sizing'!$G$8/AA3667)</f>
        <v>-2967.3039509408609</v>
      </c>
      <c r="AB3666" s="111"/>
      <c r="AC3666" s="28"/>
      <c r="AD3666" s="96">
        <f ca="1">(AD3658/(N_9*AD$27*AD3660*0.667))*SQRT(M*'Valve Sizing'!$W$6*'Valve Sizing'!$G$8/AD3667)</f>
        <v>-225.71835181838119</v>
      </c>
      <c r="AE3666" s="111"/>
      <c r="AF3666" s="28"/>
      <c r="AG3666" s="96">
        <f ca="1">(AG3658/(N_9*AG$27*AG3660*0.667))*SQRT(M*'Valve Sizing'!$W$6*'Valve Sizing'!$G$8/AG3667)</f>
        <v>-129.61527332600178</v>
      </c>
      <c r="AH3666" s="111"/>
      <c r="AI3666" s="28"/>
      <c r="AJ3666" s="96">
        <f ca="1">(AJ3658/(N_9*AJ$27*AJ3660*0.667))*SQRT(M*'Valve Sizing'!$W$6*'Valve Sizing'!$G$8/AJ3667)</f>
        <v>-96.733704487797084</v>
      </c>
      <c r="AK3666" s="111"/>
      <c r="AL3666" s="28"/>
      <c r="AM3666" s="96">
        <f ca="1">(AM3658/(N_9*AM$27*AM3660*0.667))*SQRT(M*'Valve Sizing'!$W$6*'Valve Sizing'!$G$8/AM3667)</f>
        <v>-86.282585739832015</v>
      </c>
      <c r="AN3666" s="111"/>
      <c r="AO3666" s="28"/>
      <c r="AP3666" s="96">
        <f ca="1">(AP3658/(N_9*AP$27*AP3660*0.667))*SQRT(M*'Valve Sizing'!$W$6*'Valve Sizing'!$G$8/AP3667)</f>
        <v>-74.738291252464322</v>
      </c>
      <c r="AQ3666" s="111"/>
      <c r="AR3666" s="28"/>
      <c r="AS3666" s="96">
        <f ca="1">(AS3658/(N_9*AS$27*AS3660*0.667))*SQRT(M*'Valve Sizing'!$W$6*'Valve Sizing'!$G$8/AS3667)</f>
        <v>-105.6046587827456</v>
      </c>
      <c r="AT3666" s="111"/>
      <c r="AU3666" s="28"/>
    </row>
    <row r="3667" spans="15:47" ht="15.6" x14ac:dyDescent="0.35">
      <c r="O3667" s="2" t="s">
        <v>68</v>
      </c>
      <c r="P3667" s="143">
        <v>10</v>
      </c>
      <c r="Q3667" s="2"/>
      <c r="R3667" s="96">
        <f ca="1">F_GAMMA*R$29</f>
        <v>0.64002969751372984</v>
      </c>
      <c r="S3667" s="107"/>
      <c r="T3667" s="1"/>
      <c r="U3667" s="96">
        <f ca="1">F_GAMMA*U$29</f>
        <v>0.64017842058782071</v>
      </c>
      <c r="V3667" s="111"/>
      <c r="W3667" s="28"/>
      <c r="X3667" s="96">
        <f ca="1">F_GAMMA*X$29</f>
        <v>0.63413873724904268</v>
      </c>
      <c r="Y3667" s="111"/>
      <c r="Z3667" s="28"/>
      <c r="AA3667" s="96">
        <f ca="1">F_GAMMA*AA$29</f>
        <v>0.62532411750377137</v>
      </c>
      <c r="AB3667" s="111"/>
      <c r="AC3667" s="28"/>
      <c r="AD3667" s="96">
        <f ca="1">F_GAMMA*AD$29</f>
        <v>0.60651359509139569</v>
      </c>
      <c r="AE3667" s="111"/>
      <c r="AF3667" s="28"/>
      <c r="AG3667" s="96">
        <f ca="1">F_GAMMA*AG$29</f>
        <v>0.57217930198481592</v>
      </c>
      <c r="AH3667" s="111"/>
      <c r="AI3667" s="28"/>
      <c r="AJ3667" s="96">
        <f ca="1">F_GAMMA*AJ$29</f>
        <v>0.53183282018848232</v>
      </c>
      <c r="AK3667" s="111"/>
      <c r="AL3667" s="28"/>
      <c r="AM3667" s="96">
        <f ca="1">F_GAMMA*AM$29</f>
        <v>0.47566512503094399</v>
      </c>
      <c r="AN3667" s="111"/>
      <c r="AO3667" s="28"/>
      <c r="AP3667" s="96">
        <f ca="1">F_GAMMA*AP$29</f>
        <v>0.59054158265645496</v>
      </c>
      <c r="AQ3667" s="111"/>
      <c r="AR3667" s="28"/>
      <c r="AS3667" s="96">
        <f ca="1">F_GAMMA*AS$29</f>
        <v>0.3766899554102966</v>
      </c>
      <c r="AT3667" s="111"/>
      <c r="AU3667" s="28"/>
    </row>
    <row r="3668" spans="15:47" x14ac:dyDescent="0.25">
      <c r="O3668" s="2" t="s">
        <v>145</v>
      </c>
      <c r="P3668" s="12"/>
      <c r="Q3668" s="2"/>
      <c r="R3668" s="96">
        <f ca="1">IF(R3663&lt;R3667,R3665,R3666)</f>
        <v>21.9265590935189</v>
      </c>
      <c r="S3668" s="116"/>
      <c r="T3668" s="1"/>
      <c r="U3668" s="96">
        <f ca="1">IF(U3663&lt;U3667,U3665,U3666)</f>
        <v>67.517379921319929</v>
      </c>
      <c r="V3668" s="111"/>
      <c r="W3668" s="28"/>
      <c r="X3668" s="96">
        <f ca="1">IF(X3663&lt;X3667,X3665,X3666)</f>
        <v>413.21649091513336</v>
      </c>
      <c r="Y3668" s="111"/>
      <c r="Z3668" s="28"/>
      <c r="AA3668" s="96">
        <f ca="1">IF(AA3663&lt;AA3667,AA3665,AA3666)</f>
        <v>-2967.3039509408609</v>
      </c>
      <c r="AB3668" s="111"/>
      <c r="AC3668" s="28"/>
      <c r="AD3668" s="96">
        <f ca="1">IF(AD3663&lt;AD3667,AD3665,AD3666)</f>
        <v>-225.71835181838119</v>
      </c>
      <c r="AE3668" s="111"/>
      <c r="AF3668" s="28"/>
      <c r="AG3668" s="96">
        <f ca="1">IF(AG3663&lt;AG3667,AG3665,AG3666)</f>
        <v>-129.61527332600178</v>
      </c>
      <c r="AH3668" s="111"/>
      <c r="AI3668" s="28"/>
      <c r="AJ3668" s="96">
        <f ca="1">IF(AJ3663&lt;AJ3667,AJ3665,AJ3666)</f>
        <v>-96.733704487797084</v>
      </c>
      <c r="AK3668" s="111"/>
      <c r="AL3668" s="28"/>
      <c r="AM3668" s="96">
        <f ca="1">IF(AM3663&lt;AM3667,AM3665,AM3666)</f>
        <v>-86.282585739832015</v>
      </c>
      <c r="AN3668" s="111"/>
      <c r="AO3668" s="28"/>
      <c r="AP3668" s="96">
        <f ca="1">IF(AP3663&lt;AP3667,AP3665,AP3666)</f>
        <v>-74.738291252464322</v>
      </c>
      <c r="AQ3668" s="111"/>
      <c r="AR3668" s="28"/>
      <c r="AS3668" s="96">
        <f ca="1">IF(AS3663&lt;AS3667,AS3665,AS3666)</f>
        <v>-105.6046587827456</v>
      </c>
      <c r="AT3668" s="111"/>
      <c r="AU3668" s="28"/>
    </row>
    <row r="3669" spans="15:47" x14ac:dyDescent="0.25">
      <c r="O3669" s="13" t="s">
        <v>143</v>
      </c>
      <c r="P3669" s="1"/>
      <c r="Q3669" s="1"/>
      <c r="R3669" s="113"/>
      <c r="S3669" s="106">
        <f ca="1">IF(R3662&lt;=0,Q_max,ABS(R$23-R3668))</f>
        <v>17.1965590935189</v>
      </c>
      <c r="T3669" s="7">
        <f>R3658</f>
        <v>53793.666959422728</v>
      </c>
      <c r="U3669" s="98"/>
      <c r="V3669" s="106">
        <f ca="1">IF(U3662&lt;=0,Q_max,ABS(U$23-U3668))</f>
        <v>55.917379921319927</v>
      </c>
      <c r="W3669" s="9">
        <f ca="1">U3658</f>
        <v>154082.64817181171</v>
      </c>
      <c r="X3669" s="98"/>
      <c r="Y3669" s="106">
        <f ca="1">IF(X3662&lt;=0,Q_max,ABS(X$23-X3668))</f>
        <v>390.21649091513336</v>
      </c>
      <c r="Z3669" s="9">
        <f ca="1">X3658</f>
        <v>377291.80690986424</v>
      </c>
      <c r="AA3669" s="98"/>
      <c r="AB3669" s="106">
        <f ca="1">IF(AA3662&lt;=0,Q_max,ABS(AA$23-AA3668))</f>
        <v>236393</v>
      </c>
      <c r="AC3669" s="9">
        <f ca="1">AA3658</f>
        <v>734868.13785720884</v>
      </c>
      <c r="AD3669" s="98"/>
      <c r="AE3669" s="106">
        <f ca="1">IF(AD3662&lt;=0,Q_max,ABS(AD$23-AD3668))</f>
        <v>236393</v>
      </c>
      <c r="AF3669" s="9">
        <f ca="1">AD3658</f>
        <v>1232880.1336191432</v>
      </c>
      <c r="AG3669" s="98"/>
      <c r="AH3669" s="106">
        <f ca="1">IF(AG3662&lt;=0,Q_max,ABS(AG$23-AG3668))</f>
        <v>236393</v>
      </c>
      <c r="AI3669" s="9">
        <f ca="1">AG3658</f>
        <v>1799422.1339152462</v>
      </c>
      <c r="AJ3669" s="98"/>
      <c r="AK3669" s="106">
        <f ca="1">IF(AJ3662&lt;=0,Q_max,ABS(AJ$23-AJ3668))</f>
        <v>236393</v>
      </c>
      <c r="AL3669" s="9">
        <f ca="1">AJ3658</f>
        <v>2401335.8132907795</v>
      </c>
      <c r="AM3669" s="98"/>
      <c r="AN3669" s="106">
        <f ca="1">IF(AM3662&lt;=0,Q_max,ABS(AM$23-AM3668))</f>
        <v>236393</v>
      </c>
      <c r="AO3669" s="9">
        <f ca="1">AM3658</f>
        <v>2930086.0419477592</v>
      </c>
      <c r="AP3669" s="98"/>
      <c r="AQ3669" s="106">
        <f ca="1">IF(AP3662&lt;=0,Q_max,ABS(AP$23-AP3668))</f>
        <v>236393</v>
      </c>
      <c r="AR3669" s="9">
        <f ca="1">AP3658</f>
        <v>3401738.9312643046</v>
      </c>
      <c r="AS3669" s="98"/>
      <c r="AT3669" s="106">
        <f ca="1">IF(AS3662&lt;=0,Q_max,ABS(AS$23-AS3668))</f>
        <v>236393</v>
      </c>
      <c r="AU3669" s="9">
        <f ca="1">AS3658</f>
        <v>3988806.4264060888</v>
      </c>
    </row>
    <row r="3670" spans="15:47" x14ac:dyDescent="0.25">
      <c r="O3670" s="21"/>
      <c r="P3670" s="14"/>
      <c r="Q3670" s="21"/>
      <c r="R3670" s="97"/>
      <c r="S3670" s="106"/>
      <c r="T3670" s="28"/>
      <c r="U3670" s="99"/>
      <c r="V3670" s="110"/>
      <c r="W3670" s="25"/>
      <c r="X3670" s="99"/>
      <c r="Y3670" s="110"/>
      <c r="Z3670" s="25"/>
      <c r="AA3670" s="99"/>
      <c r="AB3670" s="110"/>
      <c r="AC3670" s="25"/>
      <c r="AD3670" s="99"/>
      <c r="AE3670" s="110"/>
      <c r="AF3670" s="25"/>
      <c r="AG3670" s="99"/>
      <c r="AH3670" s="110"/>
      <c r="AI3670" s="25"/>
      <c r="AJ3670" s="99"/>
      <c r="AK3670" s="110"/>
      <c r="AL3670" s="25"/>
      <c r="AM3670" s="99"/>
      <c r="AN3670" s="110"/>
      <c r="AO3670" s="25"/>
      <c r="AP3670" s="99"/>
      <c r="AQ3670" s="110"/>
      <c r="AR3670" s="25"/>
      <c r="AS3670" s="99"/>
      <c r="AT3670" s="110"/>
      <c r="AU3670" s="25"/>
    </row>
    <row r="3671" spans="15:47" x14ac:dyDescent="0.25">
      <c r="O3671" s="1"/>
      <c r="P3671" s="1"/>
      <c r="Q3671" s="1"/>
      <c r="R3671" s="98"/>
      <c r="S3671" s="108" t="s">
        <v>137</v>
      </c>
      <c r="T3671" s="26" t="s">
        <v>146</v>
      </c>
      <c r="U3671" s="98"/>
      <c r="V3671" s="108" t="s">
        <v>137</v>
      </c>
      <c r="W3671" s="26" t="s">
        <v>146</v>
      </c>
      <c r="X3671" s="98"/>
      <c r="Y3671" s="108" t="s">
        <v>137</v>
      </c>
      <c r="Z3671" s="26" t="s">
        <v>146</v>
      </c>
      <c r="AA3671" s="98"/>
      <c r="AB3671" s="108" t="s">
        <v>137</v>
      </c>
      <c r="AC3671" s="26" t="s">
        <v>146</v>
      </c>
      <c r="AD3671" s="98"/>
      <c r="AE3671" s="108" t="s">
        <v>137</v>
      </c>
      <c r="AF3671" s="26" t="s">
        <v>146</v>
      </c>
      <c r="AG3671" s="98"/>
      <c r="AH3671" s="108" t="s">
        <v>137</v>
      </c>
      <c r="AI3671" s="26" t="s">
        <v>146</v>
      </c>
      <c r="AJ3671" s="98"/>
      <c r="AK3671" s="108" t="s">
        <v>137</v>
      </c>
      <c r="AL3671" s="26" t="s">
        <v>146</v>
      </c>
      <c r="AM3671" s="98"/>
      <c r="AN3671" s="108" t="s">
        <v>137</v>
      </c>
      <c r="AO3671" s="26" t="s">
        <v>146</v>
      </c>
      <c r="AP3671" s="98"/>
      <c r="AQ3671" s="108" t="s">
        <v>137</v>
      </c>
      <c r="AR3671" s="26" t="s">
        <v>146</v>
      </c>
      <c r="AS3671" s="98"/>
      <c r="AT3671" s="108" t="s">
        <v>137</v>
      </c>
      <c r="AU3671" s="26" t="s">
        <v>146</v>
      </c>
    </row>
    <row r="3672" spans="15:47" ht="13.8" x14ac:dyDescent="0.25">
      <c r="O3672" s="20" t="s">
        <v>136</v>
      </c>
      <c r="P3672" s="1"/>
      <c r="Q3672" s="1"/>
      <c r="R3672" s="96">
        <f>R3658*1.02</f>
        <v>54869.54029861118</v>
      </c>
      <c r="S3672" s="109" t="s">
        <v>144</v>
      </c>
      <c r="T3672" s="23" t="s">
        <v>147</v>
      </c>
      <c r="U3672" s="96">
        <f ca="1">U3658*1.01</f>
        <v>155623.47465352982</v>
      </c>
      <c r="V3672" s="109" t="s">
        <v>144</v>
      </c>
      <c r="W3672" s="23" t="s">
        <v>147</v>
      </c>
      <c r="X3672" s="96">
        <f ca="1">X3658*1.01</f>
        <v>381064.72497896291</v>
      </c>
      <c r="Y3672" s="109" t="s">
        <v>144</v>
      </c>
      <c r="Z3672" s="23" t="s">
        <v>147</v>
      </c>
      <c r="AA3672" s="96">
        <f ca="1">AA3658*1.01</f>
        <v>742216.81923578097</v>
      </c>
      <c r="AB3672" s="109" t="s">
        <v>144</v>
      </c>
      <c r="AC3672" s="23" t="s">
        <v>147</v>
      </c>
      <c r="AD3672" s="96">
        <f ca="1">AD3658*1.01</f>
        <v>1245208.9349553345</v>
      </c>
      <c r="AE3672" s="109" t="s">
        <v>144</v>
      </c>
      <c r="AF3672" s="23" t="s">
        <v>147</v>
      </c>
      <c r="AG3672" s="96">
        <f ca="1">AG3658*1.01</f>
        <v>1817416.3552543987</v>
      </c>
      <c r="AH3672" s="109" t="s">
        <v>144</v>
      </c>
      <c r="AI3672" s="23" t="s">
        <v>147</v>
      </c>
      <c r="AJ3672" s="96">
        <f ca="1">AJ3658*1.01</f>
        <v>2425349.1714236871</v>
      </c>
      <c r="AK3672" s="109" t="s">
        <v>144</v>
      </c>
      <c r="AL3672" s="23" t="s">
        <v>147</v>
      </c>
      <c r="AM3672" s="96">
        <f ca="1">AM3658*1.01</f>
        <v>2959386.902367237</v>
      </c>
      <c r="AN3672" s="109" t="s">
        <v>144</v>
      </c>
      <c r="AO3672" s="23" t="s">
        <v>147</v>
      </c>
      <c r="AP3672" s="96">
        <f ca="1">AP3658*1.01</f>
        <v>3435756.3205769476</v>
      </c>
      <c r="AQ3672" s="109" t="s">
        <v>144</v>
      </c>
      <c r="AR3672" s="23" t="s">
        <v>147</v>
      </c>
      <c r="AS3672" s="96">
        <f ca="1">AS3658*1.01</f>
        <v>4028694.4906701497</v>
      </c>
      <c r="AT3672" s="109" t="s">
        <v>144</v>
      </c>
      <c r="AU3672" s="23" t="s">
        <v>147</v>
      </c>
    </row>
    <row r="3673" spans="15:47" x14ac:dyDescent="0.25">
      <c r="O3673" s="1"/>
      <c r="P3673" s="1"/>
      <c r="Q3673" s="1"/>
      <c r="R3673" s="98"/>
      <c r="S3673" s="107"/>
      <c r="T3673" s="1"/>
      <c r="U3673" s="47"/>
      <c r="V3673" s="107"/>
      <c r="W3673" s="1"/>
      <c r="X3673" s="47"/>
      <c r="Y3673" s="107"/>
      <c r="Z3673" s="1"/>
      <c r="AA3673" s="47"/>
      <c r="AB3673" s="107"/>
      <c r="AC3673" s="1"/>
      <c r="AD3673" s="47"/>
      <c r="AE3673" s="107"/>
      <c r="AF3673" s="1"/>
      <c r="AG3673" s="47"/>
      <c r="AH3673" s="107"/>
      <c r="AI3673" s="1"/>
      <c r="AJ3673" s="47"/>
      <c r="AK3673" s="107"/>
      <c r="AL3673" s="1"/>
      <c r="AM3673" s="47"/>
      <c r="AN3673" s="107"/>
      <c r="AO3673" s="1"/>
      <c r="AP3673" s="47"/>
      <c r="AQ3673" s="107"/>
      <c r="AR3673" s="1"/>
      <c r="AS3673" s="47"/>
      <c r="AT3673" s="107"/>
      <c r="AU3673" s="1"/>
    </row>
    <row r="3674" spans="15:47" x14ac:dyDescent="0.25">
      <c r="O3674" s="8" t="s">
        <v>132</v>
      </c>
      <c r="P3674" s="8"/>
      <c r="Q3674" s="8"/>
      <c r="R3674" s="96">
        <f>P_1_minQ-(R3672^2*R_up)+dpup_minQ</f>
        <v>89.636313719285596</v>
      </c>
      <c r="S3674" s="106"/>
      <c r="T3674" s="22"/>
      <c r="U3674" s="96">
        <f ca="1">P_1_minQ-(U3672^2*R_up)+dpup_minQ</f>
        <v>85.770924421947086</v>
      </c>
      <c r="V3674" s="107"/>
      <c r="W3674" s="1"/>
      <c r="X3674" s="96">
        <f ca="1">P_1_minQ-(X3672^2*R_up)+dpup_minQ</f>
        <v>63.71887444860814</v>
      </c>
      <c r="Y3674" s="107"/>
      <c r="Z3674" s="1"/>
      <c r="AA3674" s="96">
        <f ca="1">P_1_minQ-(AA3672^2*R_up)+dpup_minQ</f>
        <v>-10.21990857692815</v>
      </c>
      <c r="AB3674" s="107"/>
      <c r="AC3674" s="1"/>
      <c r="AD3674" s="96">
        <f ca="1">P_1_minQ-(AD3672^2*R_up)+dpup_minQ</f>
        <v>-192.41875719219757</v>
      </c>
      <c r="AE3674" s="107"/>
      <c r="AF3674" s="1"/>
      <c r="AG3674" s="96">
        <f ca="1">P_1_minQ-(AG3672^2*R_up)+dpup_minQ</f>
        <v>-511.8231516621326</v>
      </c>
      <c r="AH3674" s="107"/>
      <c r="AI3674" s="1"/>
      <c r="AJ3674" s="96">
        <f ca="1">P_1_minQ-(AJ3672^2*R_up)+dpup_minQ</f>
        <v>-981.93170808698596</v>
      </c>
      <c r="AK3674" s="107"/>
      <c r="AL3674" s="1"/>
      <c r="AM3674" s="96">
        <f ca="1">P_1_minQ-(AM3672^2*R_up)+dpup_minQ</f>
        <v>-1506.0507046584746</v>
      </c>
      <c r="AN3674" s="107"/>
      <c r="AO3674" s="1"/>
      <c r="AP3674" s="96">
        <f ca="1">P_1_minQ-(AP3672^2*R_up)+dpup_minQ</f>
        <v>-2061.2995772379873</v>
      </c>
      <c r="AQ3674" s="107"/>
      <c r="AR3674" s="1"/>
      <c r="AS3674" s="96">
        <f ca="1">P_1_minQ-(AS3672^2*R_up)+dpup_minQ</f>
        <v>-2867.9786796732305</v>
      </c>
      <c r="AT3674" s="107"/>
      <c r="AU3674" s="1"/>
    </row>
    <row r="3675" spans="15:47" x14ac:dyDescent="0.25">
      <c r="O3675" s="8" t="s">
        <v>134</v>
      </c>
      <c r="P3675" s="1"/>
      <c r="Q3675" s="8"/>
      <c r="R3675" s="97">
        <f>P_2_minQ+(R3672^2*R_dn)-dpdn_minQ</f>
        <v>60</v>
      </c>
      <c r="S3675" s="106"/>
      <c r="T3675" s="22"/>
      <c r="U3675" s="97">
        <f ca="1">P_2_minQ+(U3672^2*R_dn)-dpdn_minQ</f>
        <v>60</v>
      </c>
      <c r="V3675" s="107"/>
      <c r="W3675" s="1"/>
      <c r="X3675" s="97">
        <f ca="1">P_2_minQ+(X3672^2*R_dn)-dpdn_minQ</f>
        <v>60</v>
      </c>
      <c r="Y3675" s="107"/>
      <c r="Z3675" s="1"/>
      <c r="AA3675" s="97">
        <f ca="1">P_2_minQ+(AA3672^2*R_dn)-dpdn_minQ</f>
        <v>60</v>
      </c>
      <c r="AB3675" s="107"/>
      <c r="AC3675" s="1"/>
      <c r="AD3675" s="97">
        <f ca="1">P_2_minQ+(AD3672^2*R_dn)-dpdn_minQ</f>
        <v>60</v>
      </c>
      <c r="AE3675" s="107"/>
      <c r="AF3675" s="1"/>
      <c r="AG3675" s="97">
        <f ca="1">P_2_minQ+(AG3672^2*R_dn)-dpdn_minQ</f>
        <v>60</v>
      </c>
      <c r="AH3675" s="107"/>
      <c r="AI3675" s="1"/>
      <c r="AJ3675" s="97">
        <f ca="1">P_2_minQ+(AJ3672^2*R_dn)-dpdn_minQ</f>
        <v>60</v>
      </c>
      <c r="AK3675" s="107"/>
      <c r="AL3675" s="1"/>
      <c r="AM3675" s="97">
        <f ca="1">P_2_minQ+(AM3672^2*R_dn)-dpdn_minQ</f>
        <v>60</v>
      </c>
      <c r="AN3675" s="107"/>
      <c r="AO3675" s="1"/>
      <c r="AP3675" s="97">
        <f ca="1">P_2_minQ+(AP3672^2*R_dn)-dpdn_minQ</f>
        <v>60</v>
      </c>
      <c r="AQ3675" s="107"/>
      <c r="AR3675" s="1"/>
      <c r="AS3675" s="97">
        <f ca="1">P_2_minQ+(AS3672^2*R_dn)-dpdn_minQ</f>
        <v>60</v>
      </c>
      <c r="AT3675" s="107"/>
      <c r="AU3675" s="1"/>
    </row>
    <row r="3676" spans="15:47" x14ac:dyDescent="0.25">
      <c r="O3676" s="8" t="s">
        <v>138</v>
      </c>
      <c r="P3676" s="1"/>
      <c r="Q3676" s="8"/>
      <c r="R3676" s="97">
        <f>R3674-R3675</f>
        <v>29.636313719285596</v>
      </c>
      <c r="S3676" s="106"/>
      <c r="T3676" s="22"/>
      <c r="U3676" s="97">
        <f ca="1">U3674-U3675</f>
        <v>25.770924421947086</v>
      </c>
      <c r="V3676" s="110"/>
      <c r="W3676" s="25"/>
      <c r="X3676" s="97">
        <f ca="1">X3674-X3675</f>
        <v>3.7188744486081404</v>
      </c>
      <c r="Y3676" s="110"/>
      <c r="Z3676" s="25"/>
      <c r="AA3676" s="97">
        <f ca="1">AA3674-AA3675</f>
        <v>-70.219908576928148</v>
      </c>
      <c r="AB3676" s="110"/>
      <c r="AC3676" s="25"/>
      <c r="AD3676" s="97">
        <f ca="1">AD3674-AD3675</f>
        <v>-252.41875719219757</v>
      </c>
      <c r="AE3676" s="110"/>
      <c r="AF3676" s="25"/>
      <c r="AG3676" s="97">
        <f ca="1">AG3674-AG3675</f>
        <v>-571.82315166213266</v>
      </c>
      <c r="AH3676" s="110"/>
      <c r="AI3676" s="25"/>
      <c r="AJ3676" s="97">
        <f ca="1">AJ3674-AJ3675</f>
        <v>-1041.931708086986</v>
      </c>
      <c r="AK3676" s="110"/>
      <c r="AL3676" s="25"/>
      <c r="AM3676" s="97">
        <f ca="1">AM3674-AM3675</f>
        <v>-1566.0507046584746</v>
      </c>
      <c r="AN3676" s="110"/>
      <c r="AO3676" s="25"/>
      <c r="AP3676" s="97">
        <f ca="1">AP3674-AP3675</f>
        <v>-2121.2995772379873</v>
      </c>
      <c r="AQ3676" s="110"/>
      <c r="AR3676" s="25"/>
      <c r="AS3676" s="97">
        <f ca="1">AS3674-AS3675</f>
        <v>-2927.9786796732305</v>
      </c>
      <c r="AT3676" s="110"/>
      <c r="AU3676" s="25"/>
    </row>
    <row r="3677" spans="15:47" ht="14.4" x14ac:dyDescent="0.3">
      <c r="O3677" s="2" t="s">
        <v>140</v>
      </c>
      <c r="P3677" s="11"/>
      <c r="Q3677" s="2"/>
      <c r="R3677" s="96">
        <f>R3676/R3674</f>
        <v>0.33062843048295981</v>
      </c>
      <c r="S3677" s="106"/>
      <c r="T3677" s="22"/>
      <c r="U3677" s="96">
        <f ca="1">U3676/U3674</f>
        <v>0.30046224400203403</v>
      </c>
      <c r="V3677" s="111"/>
      <c r="W3677" s="28"/>
      <c r="X3677" s="96">
        <f ca="1">X3676/X3674</f>
        <v>5.8363781231063075E-2</v>
      </c>
      <c r="Y3677" s="111"/>
      <c r="Z3677" s="28"/>
      <c r="AA3677" s="96">
        <f ca="1">AA3676/AA3674</f>
        <v>6.8708940053976981</v>
      </c>
      <c r="AB3677" s="111"/>
      <c r="AC3677" s="28"/>
      <c r="AD3677" s="96">
        <f ca="1">AD3676/AD3674</f>
        <v>1.3118199123387382</v>
      </c>
      <c r="AE3677" s="111"/>
      <c r="AF3677" s="28"/>
      <c r="AG3677" s="96">
        <f ca="1">AG3676/AG3674</f>
        <v>1.1172279913582486</v>
      </c>
      <c r="AH3677" s="111"/>
      <c r="AI3677" s="28"/>
      <c r="AJ3677" s="96">
        <f ca="1">AJ3676/AJ3674</f>
        <v>1.0611040457354135</v>
      </c>
      <c r="AK3677" s="111"/>
      <c r="AL3677" s="28"/>
      <c r="AM3677" s="96">
        <f ca="1">AM3676/AM3674</f>
        <v>1.0398392961235698</v>
      </c>
      <c r="AN3677" s="111"/>
      <c r="AO3677" s="28"/>
      <c r="AP3677" s="96">
        <f ca="1">AP3676/AP3674</f>
        <v>1.0291078505339804</v>
      </c>
      <c r="AQ3677" s="111"/>
      <c r="AR3677" s="28"/>
      <c r="AS3677" s="96">
        <f ca="1">AS3676/AS3674</f>
        <v>1.0209206576134089</v>
      </c>
      <c r="AT3677" s="111"/>
      <c r="AU3677" s="28"/>
    </row>
    <row r="3678" spans="15:47" x14ac:dyDescent="0.25">
      <c r="O3678" s="2" t="s">
        <v>21</v>
      </c>
      <c r="P3678" s="8">
        <v>12</v>
      </c>
      <c r="Q3678" s="2"/>
      <c r="R3678" s="96">
        <f ca="1">1-R3677/(3*F_GAMMA*R$29)</f>
        <v>0.8278056826803899</v>
      </c>
      <c r="S3678" s="106"/>
      <c r="T3678" s="22"/>
      <c r="U3678" s="96">
        <f ca="1">1-U3677/(3*F_GAMMA*U$29)</f>
        <v>0.84355286258782591</v>
      </c>
      <c r="V3678" s="111"/>
      <c r="W3678" s="28"/>
      <c r="X3678" s="96">
        <f ca="1">1-X3677/(3*F_GAMMA*X$29)</f>
        <v>0.969321234296325</v>
      </c>
      <c r="Y3678" s="111"/>
      <c r="Z3678" s="28"/>
      <c r="AA3678" s="96">
        <f ca="1">1-AA3677/(3*F_GAMMA*AA$29)</f>
        <v>-2.6625774341502506</v>
      </c>
      <c r="AB3678" s="111"/>
      <c r="AC3678" s="28"/>
      <c r="AD3678" s="96">
        <f ca="1">1-AD3677/(3*F_GAMMA*AD$29)</f>
        <v>0.27903791827284607</v>
      </c>
      <c r="AE3678" s="111"/>
      <c r="AF3678" s="28"/>
      <c r="AG3678" s="96">
        <f ca="1">1-AG3677/(3*F_GAMMA*AG$29)</f>
        <v>0.34913875919504644</v>
      </c>
      <c r="AH3678" s="111"/>
      <c r="AI3678" s="28"/>
      <c r="AJ3678" s="96">
        <f ca="1">1-AJ3677/(3*F_GAMMA*AJ$29)</f>
        <v>0.33493884703633203</v>
      </c>
      <c r="AK3678" s="111"/>
      <c r="AL3678" s="28"/>
      <c r="AM3678" s="96">
        <f ca="1">1-AM3677/(3*F_GAMMA*AM$29)</f>
        <v>0.27130857305271638</v>
      </c>
      <c r="AN3678" s="111"/>
      <c r="AO3678" s="28"/>
      <c r="AP3678" s="96">
        <f ca="1">1-AP3677/(3*F_GAMMA*AP$29)</f>
        <v>0.41911634971596379</v>
      </c>
      <c r="AQ3678" s="111"/>
      <c r="AR3678" s="28"/>
      <c r="AS3678" s="96">
        <f ca="1">1-AS3677/(3*F_GAMMA*AS$29)</f>
        <v>9.6586248230408289E-2</v>
      </c>
      <c r="AT3678" s="111"/>
      <c r="AU3678" s="28"/>
    </row>
    <row r="3679" spans="15:47" x14ac:dyDescent="0.25">
      <c r="O3679" s="2" t="s">
        <v>57</v>
      </c>
      <c r="P3679" s="143">
        <v>7</v>
      </c>
      <c r="Q3679" s="2"/>
      <c r="R3679" s="96">
        <f ca="1">(R3672/(N_9*R$27*R3674*R3678))*SQRT(M*'Valve Sizing'!$W$6*'Valve Sizing'!$G$8/R3677)</f>
        <v>22.373548349535383</v>
      </c>
      <c r="S3679" s="107"/>
      <c r="T3679" s="22"/>
      <c r="U3679" s="96">
        <f ca="1">(U3672/(N_9*U$27*U3674*U3678))*SQRT(M*'Valve Sizing'!$W$6*'Valve Sizing'!$G$8/U3677)</f>
        <v>68.312260744262446</v>
      </c>
      <c r="V3679" s="111"/>
      <c r="W3679" s="28"/>
      <c r="X3679" s="96">
        <f ca="1">(X3672/(N_9*X$27*X3674*X3678))*SQRT(M*'Valve Sizing'!$W$6*'Valve Sizing'!$G$8/X3677)</f>
        <v>445.61593603718262</v>
      </c>
      <c r="Y3679" s="111"/>
      <c r="Z3679" s="28"/>
      <c r="AA3679" s="96">
        <f ca="1">(AA3672/(N_9*AA$27*AA3674*AA3678))*SQRT(M*'Valve Sizing'!$W$6*'Valve Sizing'!$G$8/AA3677)</f>
        <v>182.64762381340546</v>
      </c>
      <c r="AB3679" s="111"/>
      <c r="AC3679" s="28"/>
      <c r="AD3679" s="96">
        <f ca="1">(AD3672/(N_9*AD$27*AD3674*AD3678))*SQRT(M*'Valve Sizing'!$W$6*'Valve Sizing'!$G$8/AD3677)</f>
        <v>-359.81603739148977</v>
      </c>
      <c r="AE3679" s="111"/>
      <c r="AF3679" s="28"/>
      <c r="AG3679" s="96">
        <f ca="1">(AG3672/(N_9*AG$27*AG3674*AG3678))*SQRT(M*'Valve Sizing'!$W$6*'Valve Sizing'!$G$8/AG3677)</f>
        <v>-174.83037002607773</v>
      </c>
      <c r="AH3679" s="111"/>
      <c r="AI3679" s="28"/>
      <c r="AJ3679" s="96">
        <f ca="1">(AJ3672/(N_9*AJ$27*AJ3674*AJ3678))*SQRT(M*'Valve Sizing'!$W$6*'Valve Sizing'!$G$8/AJ3677)</f>
        <v>-134.77919558736198</v>
      </c>
      <c r="AK3679" s="111"/>
      <c r="AL3679" s="28"/>
      <c r="AM3679" s="96">
        <f ca="1">(AM3672/(N_9*AM$27*AM3674*AM3678))*SQRT(M*'Valve Sizing'!$W$6*'Valve Sizing'!$G$8/AM3677)</f>
        <v>-141.87588870605373</v>
      </c>
      <c r="AN3679" s="111"/>
      <c r="AO3679" s="28"/>
      <c r="AP3679" s="96">
        <f ca="1">(AP3672/(N_9*AP$27*AP3674*AP3678))*SQRT(M*'Valve Sizing'!$W$6*'Valve Sizing'!$G$8/AP3677)</f>
        <v>-89.130373914191765</v>
      </c>
      <c r="AQ3679" s="111"/>
      <c r="AR3679" s="28"/>
      <c r="AS3679" s="96">
        <f ca="1">(AS3672/(N_9*AS$27*AS3674*AS3678))*SQRT(M*'Valve Sizing'!$W$6*'Valve Sizing'!$G$8/AS3677)</f>
        <v>-438.32241521867206</v>
      </c>
      <c r="AT3679" s="111"/>
      <c r="AU3679" s="28"/>
    </row>
    <row r="3680" spans="15:47" x14ac:dyDescent="0.25">
      <c r="O3680" s="2" t="s">
        <v>59</v>
      </c>
      <c r="P3680" s="143">
        <v>7</v>
      </c>
      <c r="Q3680" s="2"/>
      <c r="R3680" s="96">
        <f ca="1">(R3672/(N_9*R$27*R3674*0.667))*SQRT(M*'Valve Sizing'!$W$6*'Valve Sizing'!$G$8/R3681)</f>
        <v>19.957561265500964</v>
      </c>
      <c r="S3680" s="107"/>
      <c r="T3680" s="22"/>
      <c r="U3680" s="96">
        <f ca="1">(U3672/(N_9*U$27*U3674*0.667))*SQRT(M*'Valve Sizing'!$W$6*'Valve Sizing'!$G$8/U3681)</f>
        <v>59.187441315065698</v>
      </c>
      <c r="V3680" s="111"/>
      <c r="W3680" s="28"/>
      <c r="X3680" s="96">
        <f ca="1">(X3672/(N_9*X$27*X3674*0.667))*SQRT(M*'Valve Sizing'!$W$6*'Valve Sizing'!$G$8/X3681)</f>
        <v>196.46363494496455</v>
      </c>
      <c r="Y3680" s="111"/>
      <c r="Z3680" s="28"/>
      <c r="AA3680" s="96">
        <f ca="1">(AA3672/(N_9*AA$27*AA3674*0.667))*SQRT(M*'Valve Sizing'!$W$6*'Valve Sizing'!$G$8/AA3681)</f>
        <v>-2416.8209371032776</v>
      </c>
      <c r="AB3680" s="111"/>
      <c r="AC3680" s="28"/>
      <c r="AD3680" s="96">
        <f ca="1">(AD3672/(N_9*AD$27*AD3674*0.667))*SQRT(M*'Valve Sizing'!$W$6*'Valve Sizing'!$G$8/AD3681)</f>
        <v>-221.37814556926116</v>
      </c>
      <c r="AE3680" s="111"/>
      <c r="AF3680" s="28"/>
      <c r="AG3680" s="96">
        <f ca="1">(AG3672/(N_9*AG$27*AG3674*0.667))*SQRT(M*'Valve Sizing'!$W$6*'Valve Sizing'!$G$8/AG3681)</f>
        <v>-127.87744169626997</v>
      </c>
      <c r="AH3680" s="111"/>
      <c r="AI3680" s="28"/>
      <c r="AJ3680" s="96">
        <f ca="1">(AJ3672/(N_9*AJ$27*AJ3674*0.667))*SQRT(M*'Valve Sizing'!$W$6*'Valve Sizing'!$G$8/AJ3681)</f>
        <v>-95.599135485374461</v>
      </c>
      <c r="AK3680" s="111"/>
      <c r="AL3680" s="28"/>
      <c r="AM3680" s="96">
        <f ca="1">(AM3672/(N_9*AM$27*AM3674*0.667))*SQRT(M*'Valve Sizing'!$W$6*'Valve Sizing'!$G$8/AM3681)</f>
        <v>-85.325479126575502</v>
      </c>
      <c r="AN3680" s="111"/>
      <c r="AO3680" s="28"/>
      <c r="AP3680" s="96">
        <f ca="1">(AP3672/(N_9*AP$27*AP3674*0.667))*SQRT(M*'Valve Sizing'!$W$6*'Valve Sizing'!$G$8/AP3681)</f>
        <v>-73.933233611020597</v>
      </c>
      <c r="AQ3680" s="111"/>
      <c r="AR3680" s="28"/>
      <c r="AS3680" s="96">
        <f ca="1">(AS3672/(N_9*AS$27*AS3674*0.667))*SQRT(M*'Valve Sizing'!$W$6*'Valve Sizing'!$G$8/AS3681)</f>
        <v>-104.49298105456369</v>
      </c>
      <c r="AT3680" s="111"/>
      <c r="AU3680" s="28"/>
    </row>
    <row r="3681" spans="15:47" ht="15.6" x14ac:dyDescent="0.35">
      <c r="O3681" s="2" t="s">
        <v>68</v>
      </c>
      <c r="P3681" s="143">
        <v>10</v>
      </c>
      <c r="Q3681" s="2"/>
      <c r="R3681" s="96">
        <f ca="1">F_GAMMA*R$29</f>
        <v>0.64002969751372984</v>
      </c>
      <c r="S3681" s="107"/>
      <c r="T3681" s="1"/>
      <c r="U3681" s="96">
        <f ca="1">F_GAMMA*U$29</f>
        <v>0.64017842058782071</v>
      </c>
      <c r="V3681" s="111"/>
      <c r="W3681" s="28"/>
      <c r="X3681" s="96">
        <f ca="1">F_GAMMA*X$29</f>
        <v>0.63413873724904268</v>
      </c>
      <c r="Y3681" s="111"/>
      <c r="Z3681" s="28"/>
      <c r="AA3681" s="96">
        <f ca="1">F_GAMMA*AA$29</f>
        <v>0.62532411750377137</v>
      </c>
      <c r="AB3681" s="111"/>
      <c r="AC3681" s="28"/>
      <c r="AD3681" s="96">
        <f ca="1">F_GAMMA*AD$29</f>
        <v>0.60651359509139569</v>
      </c>
      <c r="AE3681" s="111"/>
      <c r="AF3681" s="28"/>
      <c r="AG3681" s="96">
        <f ca="1">F_GAMMA*AG$29</f>
        <v>0.57217930198481592</v>
      </c>
      <c r="AH3681" s="111"/>
      <c r="AI3681" s="28"/>
      <c r="AJ3681" s="96">
        <f ca="1">F_GAMMA*AJ$29</f>
        <v>0.53183282018848232</v>
      </c>
      <c r="AK3681" s="111"/>
      <c r="AL3681" s="28"/>
      <c r="AM3681" s="96">
        <f ca="1">F_GAMMA*AM$29</f>
        <v>0.47566512503094399</v>
      </c>
      <c r="AN3681" s="111"/>
      <c r="AO3681" s="28"/>
      <c r="AP3681" s="96">
        <f ca="1">F_GAMMA*AP$29</f>
        <v>0.59054158265645496</v>
      </c>
      <c r="AQ3681" s="111"/>
      <c r="AR3681" s="28"/>
      <c r="AS3681" s="96">
        <f ca="1">F_GAMMA*AS$29</f>
        <v>0.3766899554102966</v>
      </c>
      <c r="AT3681" s="111"/>
      <c r="AU3681" s="28"/>
    </row>
    <row r="3682" spans="15:47" x14ac:dyDescent="0.25">
      <c r="O3682" s="2" t="s">
        <v>145</v>
      </c>
      <c r="P3682" s="12"/>
      <c r="Q3682" s="2"/>
      <c r="R3682" s="96">
        <f ca="1">IF(R3677&lt;R3681,R3679,R3680)</f>
        <v>22.373548349535383</v>
      </c>
      <c r="S3682" s="116"/>
      <c r="T3682" s="1"/>
      <c r="U3682" s="96">
        <f ca="1">IF(U3677&lt;U3681,U3679,U3680)</f>
        <v>68.312260744262446</v>
      </c>
      <c r="V3682" s="111"/>
      <c r="W3682" s="28"/>
      <c r="X3682" s="96">
        <f ca="1">IF(X3677&lt;X3681,X3679,X3680)</f>
        <v>445.61593603718262</v>
      </c>
      <c r="Y3682" s="111"/>
      <c r="Z3682" s="28"/>
      <c r="AA3682" s="96">
        <f ca="1">IF(AA3677&lt;AA3681,AA3679,AA3680)</f>
        <v>-2416.8209371032776</v>
      </c>
      <c r="AB3682" s="111"/>
      <c r="AC3682" s="28"/>
      <c r="AD3682" s="96">
        <f ca="1">IF(AD3677&lt;AD3681,AD3679,AD3680)</f>
        <v>-221.37814556926116</v>
      </c>
      <c r="AE3682" s="111"/>
      <c r="AF3682" s="28"/>
      <c r="AG3682" s="96">
        <f ca="1">IF(AG3677&lt;AG3681,AG3679,AG3680)</f>
        <v>-127.87744169626997</v>
      </c>
      <c r="AH3682" s="111"/>
      <c r="AI3682" s="28"/>
      <c r="AJ3682" s="96">
        <f ca="1">IF(AJ3677&lt;AJ3681,AJ3679,AJ3680)</f>
        <v>-95.599135485374461</v>
      </c>
      <c r="AK3682" s="111"/>
      <c r="AL3682" s="28"/>
      <c r="AM3682" s="96">
        <f ca="1">IF(AM3677&lt;AM3681,AM3679,AM3680)</f>
        <v>-85.325479126575502</v>
      </c>
      <c r="AN3682" s="111"/>
      <c r="AO3682" s="28"/>
      <c r="AP3682" s="96">
        <f ca="1">IF(AP3677&lt;AP3681,AP3679,AP3680)</f>
        <v>-73.933233611020597</v>
      </c>
      <c r="AQ3682" s="111"/>
      <c r="AR3682" s="28"/>
      <c r="AS3682" s="96">
        <f ca="1">IF(AS3677&lt;AS3681,AS3679,AS3680)</f>
        <v>-104.49298105456369</v>
      </c>
      <c r="AT3682" s="111"/>
      <c r="AU3682" s="28"/>
    </row>
    <row r="3683" spans="15:47" x14ac:dyDescent="0.25">
      <c r="O3683" s="13" t="s">
        <v>143</v>
      </c>
      <c r="P3683" s="1"/>
      <c r="Q3683" s="1"/>
      <c r="R3683" s="113"/>
      <c r="S3683" s="106">
        <f ca="1">IF(R3676&lt;=0,Q_max,ABS(R$23-R3682))</f>
        <v>17.643548349535383</v>
      </c>
      <c r="T3683" s="7">
        <f>R3672</f>
        <v>54869.54029861118</v>
      </c>
      <c r="U3683" s="98"/>
      <c r="V3683" s="106">
        <f ca="1">IF(U3676&lt;=0,Q_max,ABS(U$23-U3682))</f>
        <v>56.712260744262444</v>
      </c>
      <c r="W3683" s="9">
        <f ca="1">U3672</f>
        <v>155623.47465352982</v>
      </c>
      <c r="X3683" s="98"/>
      <c r="Y3683" s="106">
        <f ca="1">IF(X3676&lt;=0,Q_max,ABS(X$23-X3682))</f>
        <v>422.61593603718262</v>
      </c>
      <c r="Z3683" s="9">
        <f ca="1">X3672</f>
        <v>381064.72497896291</v>
      </c>
      <c r="AA3683" s="98"/>
      <c r="AB3683" s="106">
        <f ca="1">IF(AA3676&lt;=0,Q_max,ABS(AA$23-AA3682))</f>
        <v>236393</v>
      </c>
      <c r="AC3683" s="9">
        <f ca="1">AA3672</f>
        <v>742216.81923578097</v>
      </c>
      <c r="AD3683" s="98"/>
      <c r="AE3683" s="106">
        <f ca="1">IF(AD3676&lt;=0,Q_max,ABS(AD$23-AD3682))</f>
        <v>236393</v>
      </c>
      <c r="AF3683" s="9">
        <f ca="1">AD3672</f>
        <v>1245208.9349553345</v>
      </c>
      <c r="AG3683" s="98"/>
      <c r="AH3683" s="106">
        <f ca="1">IF(AG3676&lt;=0,Q_max,ABS(AG$23-AG3682))</f>
        <v>236393</v>
      </c>
      <c r="AI3683" s="9">
        <f ca="1">AG3672</f>
        <v>1817416.3552543987</v>
      </c>
      <c r="AJ3683" s="98"/>
      <c r="AK3683" s="106">
        <f ca="1">IF(AJ3676&lt;=0,Q_max,ABS(AJ$23-AJ3682))</f>
        <v>236393</v>
      </c>
      <c r="AL3683" s="9">
        <f ca="1">AJ3672</f>
        <v>2425349.1714236871</v>
      </c>
      <c r="AM3683" s="98"/>
      <c r="AN3683" s="106">
        <f ca="1">IF(AM3676&lt;=0,Q_max,ABS(AM$23-AM3682))</f>
        <v>236393</v>
      </c>
      <c r="AO3683" s="9">
        <f ca="1">AM3672</f>
        <v>2959386.902367237</v>
      </c>
      <c r="AP3683" s="98"/>
      <c r="AQ3683" s="106">
        <f ca="1">IF(AP3676&lt;=0,Q_max,ABS(AP$23-AP3682))</f>
        <v>236393</v>
      </c>
      <c r="AR3683" s="9">
        <f ca="1">AP3672</f>
        <v>3435756.3205769476</v>
      </c>
      <c r="AS3683" s="98"/>
      <c r="AT3683" s="106">
        <f ca="1">IF(AS3676&lt;=0,Q_max,ABS(AS$23-AS3682))</f>
        <v>236393</v>
      </c>
      <c r="AU3683" s="9">
        <f ca="1">AS3672</f>
        <v>4028694.4906701497</v>
      </c>
    </row>
    <row r="3684" spans="15:47" x14ac:dyDescent="0.25">
      <c r="O3684" s="21"/>
      <c r="P3684" s="14"/>
      <c r="Q3684" s="21"/>
      <c r="R3684" s="97"/>
      <c r="S3684" s="106"/>
      <c r="T3684" s="28"/>
      <c r="U3684" s="97"/>
      <c r="V3684" s="111"/>
      <c r="W3684" s="28"/>
      <c r="X3684" s="97"/>
      <c r="Y3684" s="111"/>
      <c r="Z3684" s="28"/>
      <c r="AA3684" s="97"/>
      <c r="AB3684" s="111"/>
      <c r="AC3684" s="28"/>
      <c r="AD3684" s="97"/>
      <c r="AE3684" s="111"/>
      <c r="AF3684" s="28"/>
      <c r="AG3684" s="97"/>
      <c r="AH3684" s="111"/>
      <c r="AI3684" s="28"/>
      <c r="AJ3684" s="97"/>
      <c r="AK3684" s="111"/>
      <c r="AL3684" s="28"/>
      <c r="AM3684" s="97"/>
      <c r="AN3684" s="111"/>
      <c r="AO3684" s="28"/>
      <c r="AP3684" s="97"/>
      <c r="AQ3684" s="111"/>
      <c r="AR3684" s="28"/>
      <c r="AS3684" s="97"/>
      <c r="AT3684" s="111"/>
      <c r="AU3684" s="28"/>
    </row>
    <row r="3685" spans="15:47" x14ac:dyDescent="0.25">
      <c r="O3685" s="1"/>
      <c r="P3685" s="1"/>
      <c r="Q3685" s="1"/>
      <c r="R3685" s="98"/>
      <c r="S3685" s="108" t="s">
        <v>137</v>
      </c>
      <c r="T3685" s="26" t="s">
        <v>146</v>
      </c>
      <c r="U3685" s="98"/>
      <c r="V3685" s="108" t="s">
        <v>137</v>
      </c>
      <c r="W3685" s="26" t="s">
        <v>146</v>
      </c>
      <c r="X3685" s="98"/>
      <c r="Y3685" s="108" t="s">
        <v>137</v>
      </c>
      <c r="Z3685" s="26" t="s">
        <v>146</v>
      </c>
      <c r="AA3685" s="98"/>
      <c r="AB3685" s="108" t="s">
        <v>137</v>
      </c>
      <c r="AC3685" s="26" t="s">
        <v>146</v>
      </c>
      <c r="AD3685" s="98"/>
      <c r="AE3685" s="108" t="s">
        <v>137</v>
      </c>
      <c r="AF3685" s="26" t="s">
        <v>146</v>
      </c>
      <c r="AG3685" s="98"/>
      <c r="AH3685" s="108" t="s">
        <v>137</v>
      </c>
      <c r="AI3685" s="26" t="s">
        <v>146</v>
      </c>
      <c r="AJ3685" s="98"/>
      <c r="AK3685" s="108" t="s">
        <v>137</v>
      </c>
      <c r="AL3685" s="26" t="s">
        <v>146</v>
      </c>
      <c r="AM3685" s="98"/>
      <c r="AN3685" s="108" t="s">
        <v>137</v>
      </c>
      <c r="AO3685" s="26" t="s">
        <v>146</v>
      </c>
      <c r="AP3685" s="98"/>
      <c r="AQ3685" s="108" t="s">
        <v>137</v>
      </c>
      <c r="AR3685" s="26" t="s">
        <v>146</v>
      </c>
      <c r="AS3685" s="98"/>
      <c r="AT3685" s="108" t="s">
        <v>137</v>
      </c>
      <c r="AU3685" s="26" t="s">
        <v>146</v>
      </c>
    </row>
    <row r="3686" spans="15:47" ht="13.8" x14ac:dyDescent="0.25">
      <c r="O3686" s="20" t="s">
        <v>136</v>
      </c>
      <c r="P3686" s="1"/>
      <c r="Q3686" s="1"/>
      <c r="R3686" s="96">
        <f>R3672*1.02</f>
        <v>55966.931104583404</v>
      </c>
      <c r="S3686" s="109" t="s">
        <v>144</v>
      </c>
      <c r="T3686" s="23" t="s">
        <v>147</v>
      </c>
      <c r="U3686" s="96">
        <f ca="1">U3672*1.01</f>
        <v>157179.70940006513</v>
      </c>
      <c r="V3686" s="109" t="s">
        <v>144</v>
      </c>
      <c r="W3686" s="23" t="s">
        <v>147</v>
      </c>
      <c r="X3686" s="96">
        <f ca="1">X3672*1.01</f>
        <v>384875.37222875253</v>
      </c>
      <c r="Y3686" s="109" t="s">
        <v>144</v>
      </c>
      <c r="Z3686" s="23" t="s">
        <v>147</v>
      </c>
      <c r="AA3686" s="96">
        <f ca="1">AA3672*1.01</f>
        <v>749638.98742813885</v>
      </c>
      <c r="AB3686" s="109" t="s">
        <v>144</v>
      </c>
      <c r="AC3686" s="23" t="s">
        <v>147</v>
      </c>
      <c r="AD3686" s="96">
        <f ca="1">AD3672*1.01</f>
        <v>1257661.024304888</v>
      </c>
      <c r="AE3686" s="109" t="s">
        <v>144</v>
      </c>
      <c r="AF3686" s="23" t="s">
        <v>147</v>
      </c>
      <c r="AG3686" s="96">
        <f ca="1">AG3672*1.01</f>
        <v>1835590.5188069427</v>
      </c>
      <c r="AH3686" s="109" t="s">
        <v>144</v>
      </c>
      <c r="AI3686" s="23" t="s">
        <v>147</v>
      </c>
      <c r="AJ3686" s="96">
        <f ca="1">AJ3672*1.01</f>
        <v>2449602.6631379239</v>
      </c>
      <c r="AK3686" s="109" t="s">
        <v>144</v>
      </c>
      <c r="AL3686" s="23" t="s">
        <v>147</v>
      </c>
      <c r="AM3686" s="96">
        <f ca="1">AM3672*1.01</f>
        <v>2988980.7713909093</v>
      </c>
      <c r="AN3686" s="109" t="s">
        <v>144</v>
      </c>
      <c r="AO3686" s="23" t="s">
        <v>147</v>
      </c>
      <c r="AP3686" s="96">
        <f ca="1">AP3672*1.01</f>
        <v>3470113.8837827169</v>
      </c>
      <c r="AQ3686" s="109" t="s">
        <v>144</v>
      </c>
      <c r="AR3686" s="23" t="s">
        <v>147</v>
      </c>
      <c r="AS3686" s="96">
        <f ca="1">AS3672*1.01</f>
        <v>4068981.435576851</v>
      </c>
      <c r="AT3686" s="109" t="s">
        <v>144</v>
      </c>
      <c r="AU3686" s="23" t="s">
        <v>147</v>
      </c>
    </row>
    <row r="3687" spans="15:47" x14ac:dyDescent="0.25">
      <c r="O3687" s="1"/>
      <c r="P3687" s="1"/>
      <c r="Q3687" s="1"/>
      <c r="R3687" s="98"/>
      <c r="S3687" s="107"/>
      <c r="T3687" s="1"/>
      <c r="U3687" s="47"/>
      <c r="V3687" s="107"/>
      <c r="W3687" s="1"/>
      <c r="X3687" s="47"/>
      <c r="Y3687" s="107"/>
      <c r="Z3687" s="1"/>
      <c r="AA3687" s="47"/>
      <c r="AB3687" s="107"/>
      <c r="AC3687" s="1"/>
      <c r="AD3687" s="47"/>
      <c r="AE3687" s="107"/>
      <c r="AF3687" s="1"/>
      <c r="AG3687" s="47"/>
      <c r="AH3687" s="107"/>
      <c r="AI3687" s="1"/>
      <c r="AJ3687" s="47"/>
      <c r="AK3687" s="107"/>
      <c r="AL3687" s="1"/>
      <c r="AM3687" s="47"/>
      <c r="AN3687" s="107"/>
      <c r="AO3687" s="1"/>
      <c r="AP3687" s="47"/>
      <c r="AQ3687" s="107"/>
      <c r="AR3687" s="1"/>
      <c r="AS3687" s="47"/>
      <c r="AT3687" s="107"/>
      <c r="AU3687" s="1"/>
    </row>
    <row r="3688" spans="15:47" x14ac:dyDescent="0.25">
      <c r="O3688" s="8" t="s">
        <v>132</v>
      </c>
      <c r="P3688" s="8"/>
      <c r="Q3688" s="8"/>
      <c r="R3688" s="96">
        <f>P_1_minQ-(R3686^2*R_up)+dpup_minQ</f>
        <v>89.614145156122405</v>
      </c>
      <c r="S3688" s="106"/>
      <c r="T3688" s="22"/>
      <c r="U3688" s="96">
        <f ca="1">P_1_minQ-(U3686^2*R_up)+dpup_minQ</f>
        <v>85.682200688170084</v>
      </c>
      <c r="V3688" s="107"/>
      <c r="W3688" s="1"/>
      <c r="X3688" s="96">
        <f ca="1">P_1_minQ-(X3686^2*R_up)+dpup_minQ</f>
        <v>63.186904510367029</v>
      </c>
      <c r="Y3688" s="107"/>
      <c r="Z3688" s="1"/>
      <c r="AA3688" s="96">
        <f ca="1">P_1_minQ-(AA3686^2*R_up)+dpup_minQ</f>
        <v>-12.238048053982554</v>
      </c>
      <c r="AB3688" s="107"/>
      <c r="AC3688" s="1"/>
      <c r="AD3688" s="96">
        <f ca="1">P_1_minQ-(AD3686^2*R_up)+dpup_minQ</f>
        <v>-198.09909352641893</v>
      </c>
      <c r="AE3688" s="107"/>
      <c r="AF3688" s="1"/>
      <c r="AG3688" s="96">
        <f ca="1">P_1_minQ-(AG3686^2*R_up)+dpup_minQ</f>
        <v>-523.92351632519978</v>
      </c>
      <c r="AH3688" s="107"/>
      <c r="AI3688" s="1"/>
      <c r="AJ3688" s="96">
        <f ca="1">P_1_minQ-(AJ3686^2*R_up)+dpup_minQ</f>
        <v>-1003.4812547341924</v>
      </c>
      <c r="AK3688" s="107"/>
      <c r="AL3688" s="1"/>
      <c r="AM3688" s="96">
        <f ca="1">P_1_minQ-(AM3686^2*R_up)+dpup_minQ</f>
        <v>-1538.135043136768</v>
      </c>
      <c r="AN3688" s="107"/>
      <c r="AO3688" s="1"/>
      <c r="AP3688" s="96">
        <f ca="1">P_1_minQ-(AP3686^2*R_up)+dpup_minQ</f>
        <v>-2104.544418055129</v>
      </c>
      <c r="AQ3688" s="107"/>
      <c r="AR3688" s="1"/>
      <c r="AS3688" s="96">
        <f ca="1">P_1_minQ-(AS3686^2*R_up)+dpup_minQ</f>
        <v>-2927.4377704493204</v>
      </c>
      <c r="AT3688" s="107"/>
      <c r="AU3688" s="1"/>
    </row>
    <row r="3689" spans="15:47" x14ac:dyDescent="0.25">
      <c r="O3689" s="8" t="s">
        <v>134</v>
      </c>
      <c r="P3689" s="1"/>
      <c r="Q3689" s="8"/>
      <c r="R3689" s="97">
        <f>P_2_minQ+(R3686^2*R_dn)-dpdn_minQ</f>
        <v>60</v>
      </c>
      <c r="S3689" s="106"/>
      <c r="T3689" s="22"/>
      <c r="U3689" s="97">
        <f ca="1">P_2_minQ+(U3686^2*R_dn)-dpdn_minQ</f>
        <v>60</v>
      </c>
      <c r="V3689" s="107"/>
      <c r="W3689" s="1"/>
      <c r="X3689" s="97">
        <f ca="1">P_2_minQ+(X3686^2*R_dn)-dpdn_minQ</f>
        <v>60</v>
      </c>
      <c r="Y3689" s="107"/>
      <c r="Z3689" s="1"/>
      <c r="AA3689" s="97">
        <f ca="1">P_2_minQ+(AA3686^2*R_dn)-dpdn_minQ</f>
        <v>60</v>
      </c>
      <c r="AB3689" s="107"/>
      <c r="AC3689" s="1"/>
      <c r="AD3689" s="97">
        <f ca="1">P_2_minQ+(AD3686^2*R_dn)-dpdn_minQ</f>
        <v>60</v>
      </c>
      <c r="AE3689" s="107"/>
      <c r="AF3689" s="1"/>
      <c r="AG3689" s="97">
        <f ca="1">P_2_minQ+(AG3686^2*R_dn)-dpdn_minQ</f>
        <v>60</v>
      </c>
      <c r="AH3689" s="107"/>
      <c r="AI3689" s="1"/>
      <c r="AJ3689" s="97">
        <f ca="1">P_2_minQ+(AJ3686^2*R_dn)-dpdn_minQ</f>
        <v>60</v>
      </c>
      <c r="AK3689" s="107"/>
      <c r="AL3689" s="1"/>
      <c r="AM3689" s="97">
        <f ca="1">P_2_minQ+(AM3686^2*R_dn)-dpdn_minQ</f>
        <v>60</v>
      </c>
      <c r="AN3689" s="107"/>
      <c r="AO3689" s="1"/>
      <c r="AP3689" s="97">
        <f ca="1">P_2_minQ+(AP3686^2*R_dn)-dpdn_minQ</f>
        <v>60</v>
      </c>
      <c r="AQ3689" s="107"/>
      <c r="AR3689" s="1"/>
      <c r="AS3689" s="97">
        <f ca="1">P_2_minQ+(AS3686^2*R_dn)-dpdn_minQ</f>
        <v>60</v>
      </c>
      <c r="AT3689" s="107"/>
      <c r="AU3689" s="1"/>
    </row>
    <row r="3690" spans="15:47" x14ac:dyDescent="0.25">
      <c r="O3690" s="8" t="s">
        <v>138</v>
      </c>
      <c r="P3690" s="1"/>
      <c r="Q3690" s="8"/>
      <c r="R3690" s="97">
        <f>R3688-R3689</f>
        <v>29.614145156122405</v>
      </c>
      <c r="S3690" s="106"/>
      <c r="T3690" s="22"/>
      <c r="U3690" s="97">
        <f ca="1">U3688-U3689</f>
        <v>25.682200688170084</v>
      </c>
      <c r="V3690" s="110"/>
      <c r="W3690" s="25"/>
      <c r="X3690" s="97">
        <f ca="1">X3688-X3689</f>
        <v>3.1869045103670288</v>
      </c>
      <c r="Y3690" s="110"/>
      <c r="Z3690" s="25"/>
      <c r="AA3690" s="97">
        <f ca="1">AA3688-AA3689</f>
        <v>-72.238048053982553</v>
      </c>
      <c r="AB3690" s="110"/>
      <c r="AC3690" s="25"/>
      <c r="AD3690" s="97">
        <f ca="1">AD3688-AD3689</f>
        <v>-258.09909352641893</v>
      </c>
      <c r="AE3690" s="110"/>
      <c r="AF3690" s="25"/>
      <c r="AG3690" s="97">
        <f ca="1">AG3688-AG3689</f>
        <v>-583.92351632519978</v>
      </c>
      <c r="AH3690" s="110"/>
      <c r="AI3690" s="25"/>
      <c r="AJ3690" s="97">
        <f ca="1">AJ3688-AJ3689</f>
        <v>-1063.4812547341924</v>
      </c>
      <c r="AK3690" s="110"/>
      <c r="AL3690" s="25"/>
      <c r="AM3690" s="97">
        <f ca="1">AM3688-AM3689</f>
        <v>-1598.135043136768</v>
      </c>
      <c r="AN3690" s="110"/>
      <c r="AO3690" s="25"/>
      <c r="AP3690" s="97">
        <f ca="1">AP3688-AP3689</f>
        <v>-2164.544418055129</v>
      </c>
      <c r="AQ3690" s="110"/>
      <c r="AR3690" s="25"/>
      <c r="AS3690" s="97">
        <f ca="1">AS3688-AS3689</f>
        <v>-2987.4377704493204</v>
      </c>
      <c r="AT3690" s="110"/>
      <c r="AU3690" s="25"/>
    </row>
    <row r="3691" spans="15:47" ht="14.4" x14ac:dyDescent="0.3">
      <c r="O3691" s="2" t="s">
        <v>140</v>
      </c>
      <c r="P3691" s="11"/>
      <c r="Q3691" s="2"/>
      <c r="R3691" s="96">
        <f>R3690/R3688</f>
        <v>0.33046284271896753</v>
      </c>
      <c r="S3691" s="106"/>
      <c r="T3691" s="22"/>
      <c r="U3691" s="96">
        <f ca="1">U3690/U3688</f>
        <v>0.29973787416638981</v>
      </c>
      <c r="V3691" s="111"/>
      <c r="W3691" s="28"/>
      <c r="X3691" s="96">
        <f ca="1">X3690/X3688</f>
        <v>5.0436155008102286E-2</v>
      </c>
      <c r="Y3691" s="111"/>
      <c r="Z3691" s="28"/>
      <c r="AA3691" s="96">
        <f ca="1">AA3690/AA3688</f>
        <v>5.9027426379874814</v>
      </c>
      <c r="AB3691" s="111"/>
      <c r="AC3691" s="28"/>
      <c r="AD3691" s="96">
        <f ca="1">AD3690/AD3688</f>
        <v>1.3028787206035259</v>
      </c>
      <c r="AE3691" s="111"/>
      <c r="AF3691" s="28"/>
      <c r="AG3691" s="96">
        <f ca="1">AG3690/AG3688</f>
        <v>1.1145205323495309</v>
      </c>
      <c r="AH3691" s="111"/>
      <c r="AI3691" s="28"/>
      <c r="AJ3691" s="96">
        <f ca="1">AJ3690/AJ3688</f>
        <v>1.059791849341414</v>
      </c>
      <c r="AK3691" s="111"/>
      <c r="AL3691" s="28"/>
      <c r="AM3691" s="96">
        <f ca="1">AM3690/AM3688</f>
        <v>1.0390082784133441</v>
      </c>
      <c r="AN3691" s="111"/>
      <c r="AO3691" s="28"/>
      <c r="AP3691" s="96">
        <f ca="1">AP3690/AP3688</f>
        <v>1.0285097332635287</v>
      </c>
      <c r="AQ3691" s="111"/>
      <c r="AR3691" s="28"/>
      <c r="AS3691" s="96">
        <f ca="1">AS3690/AS3688</f>
        <v>1.0204957388353948</v>
      </c>
      <c r="AT3691" s="111"/>
      <c r="AU3691" s="28"/>
    </row>
    <row r="3692" spans="15:47" x14ac:dyDescent="0.25">
      <c r="O3692" s="2" t="s">
        <v>21</v>
      </c>
      <c r="P3692" s="8">
        <v>12</v>
      </c>
      <c r="Q3692" s="2"/>
      <c r="R3692" s="96">
        <f ca="1">1-R3691/(3*F_GAMMA*R$29)</f>
        <v>0.8278919223057466</v>
      </c>
      <c r="S3692" s="106"/>
      <c r="T3692" s="22"/>
      <c r="U3692" s="96">
        <f ca="1">1-U3691/(3*F_GAMMA*U$29)</f>
        <v>0.84393003339539496</v>
      </c>
      <c r="V3692" s="111"/>
      <c r="W3692" s="28"/>
      <c r="X3692" s="96">
        <f ca="1">1-X3691/(3*F_GAMMA*X$29)</f>
        <v>0.97348836984427134</v>
      </c>
      <c r="Y3692" s="111"/>
      <c r="Z3692" s="28"/>
      <c r="AA3692" s="96">
        <f ca="1">1-AA3691/(3*F_GAMMA*AA$29)</f>
        <v>-2.1464976709734755</v>
      </c>
      <c r="AB3692" s="111"/>
      <c r="AC3692" s="28"/>
      <c r="AD3692" s="96">
        <f ca="1">1-AD3691/(3*F_GAMMA*AD$29)</f>
        <v>0.28395190085986732</v>
      </c>
      <c r="AE3692" s="111"/>
      <c r="AF3692" s="28"/>
      <c r="AG3692" s="96">
        <f ca="1">1-AG3691/(3*F_GAMMA*AG$29)</f>
        <v>0.35071603808840834</v>
      </c>
      <c r="AH3692" s="111"/>
      <c r="AI3692" s="28"/>
      <c r="AJ3692" s="96">
        <f ca="1">1-AJ3691/(3*F_GAMMA*AJ$29)</f>
        <v>0.33576128367693803</v>
      </c>
      <c r="AK3692" s="111"/>
      <c r="AL3692" s="28"/>
      <c r="AM3692" s="96">
        <f ca="1">1-AM3691/(3*F_GAMMA*AM$29)</f>
        <v>0.27189092792557068</v>
      </c>
      <c r="AN3692" s="111"/>
      <c r="AO3692" s="28"/>
      <c r="AP3692" s="96">
        <f ca="1">1-AP3691/(3*F_GAMMA*AP$29)</f>
        <v>0.41945395917368733</v>
      </c>
      <c r="AQ3692" s="111"/>
      <c r="AR3692" s="28"/>
      <c r="AS3692" s="96">
        <f ca="1">1-AS3691/(3*F_GAMMA*AS$29)</f>
        <v>9.696225929902591E-2</v>
      </c>
      <c r="AT3692" s="111"/>
      <c r="AU3692" s="28"/>
    </row>
    <row r="3693" spans="15:47" x14ac:dyDescent="0.25">
      <c r="O3693" s="2" t="s">
        <v>57</v>
      </c>
      <c r="P3693" s="143">
        <v>7</v>
      </c>
      <c r="Q3693" s="2"/>
      <c r="R3693" s="96">
        <f ca="1">(R3686/(N_9*R$27*R3688*R3692))*SQRT(M*'Valve Sizing'!$W$6*'Valve Sizing'!$G$8/R3691)</f>
        <v>22.830004592920762</v>
      </c>
      <c r="S3693" s="107"/>
      <c r="T3693" s="22"/>
      <c r="U3693" s="96">
        <f ca="1">(U3686/(N_9*U$27*U3688*U3692))*SQRT(M*'Valve Sizing'!$W$6*'Valve Sizing'!$G$8/U3691)</f>
        <v>69.119328939401015</v>
      </c>
      <c r="V3693" s="111"/>
      <c r="W3693" s="28"/>
      <c r="X3693" s="96">
        <f ca="1">(X3686/(N_9*X$27*X3688*X3692))*SQRT(M*'Valve Sizing'!$W$6*'Valve Sizing'!$G$8/X3691)</f>
        <v>486.13936266937469</v>
      </c>
      <c r="Y3693" s="111"/>
      <c r="Z3693" s="28"/>
      <c r="AA3693" s="96">
        <f ca="1">(AA3686/(N_9*AA$27*AA3688*AA3692))*SQRT(M*'Valve Sizing'!$W$6*'Valve Sizing'!$G$8/AA3691)</f>
        <v>206.16824910677133</v>
      </c>
      <c r="AB3693" s="111"/>
      <c r="AC3693" s="28"/>
      <c r="AD3693" s="96">
        <f ca="1">(AD3686/(N_9*AD$27*AD3688*AD3692))*SQRT(M*'Valve Sizing'!$W$6*'Valve Sizing'!$G$8/AD3691)</f>
        <v>-348.07302217716898</v>
      </c>
      <c r="AE3693" s="111"/>
      <c r="AF3693" s="28"/>
      <c r="AG3693" s="96">
        <f ca="1">(AG3686/(N_9*AG$27*AG3688*AG3692))*SQRT(M*'Valve Sizing'!$W$6*'Valve Sizing'!$G$8/AG3691)</f>
        <v>-171.93313811717849</v>
      </c>
      <c r="AH3693" s="111"/>
      <c r="AI3693" s="28"/>
      <c r="AJ3693" s="96">
        <f ca="1">(AJ3686/(N_9*AJ$27*AJ3688*AJ3692))*SQRT(M*'Valve Sizing'!$W$6*'Valve Sizing'!$G$8/AJ3691)</f>
        <v>-132.95964778131821</v>
      </c>
      <c r="AK3693" s="111"/>
      <c r="AL3693" s="28"/>
      <c r="AM3693" s="96">
        <f ca="1">(AM3686/(N_9*AM$27*AM3688*AM3692))*SQRT(M*'Valve Sizing'!$W$6*'Valve Sizing'!$G$8/AM3691)</f>
        <v>-140.0610909590095</v>
      </c>
      <c r="AN3693" s="111"/>
      <c r="AO3693" s="28"/>
      <c r="AP3693" s="96">
        <f ca="1">(AP3686/(N_9*AP$27*AP3688*AP3692))*SQRT(M*'Valve Sizing'!$W$6*'Valve Sizing'!$G$8/AP3691)</f>
        <v>-88.126529531211446</v>
      </c>
      <c r="AQ3693" s="111"/>
      <c r="AR3693" s="28"/>
      <c r="AS3693" s="96">
        <f ca="1">(AS3686/(N_9*AS$27*AS3688*AS3692))*SQRT(M*'Valve Sizing'!$W$6*'Valve Sizing'!$G$8/AS3691)</f>
        <v>-432.12189229451349</v>
      </c>
      <c r="AT3693" s="111"/>
      <c r="AU3693" s="28"/>
    </row>
    <row r="3694" spans="15:47" x14ac:dyDescent="0.25">
      <c r="O3694" s="2" t="s">
        <v>59</v>
      </c>
      <c r="P3694" s="143">
        <v>7</v>
      </c>
      <c r="Q3694" s="2"/>
      <c r="R3694" s="96">
        <f ca="1">(R3686/(N_9*R$27*R3688*0.667))*SQRT(M*'Valve Sizing'!$W$6*'Valve Sizing'!$G$8/R3695)</f>
        <v>20.361748292534706</v>
      </c>
      <c r="S3694" s="107"/>
      <c r="T3694" s="22"/>
      <c r="U3694" s="96">
        <f ca="1">(U3686/(N_9*U$27*U3688*0.667))*SQRT(M*'Valve Sizing'!$W$6*'Valve Sizing'!$G$8/U3695)</f>
        <v>59.841217080556092</v>
      </c>
      <c r="V3694" s="111"/>
      <c r="W3694" s="28"/>
      <c r="X3694" s="96">
        <f ca="1">(X3686/(N_9*X$27*X3688*0.667))*SQRT(M*'Valve Sizing'!$W$6*'Valve Sizing'!$G$8/X3695)</f>
        <v>200.09883699222362</v>
      </c>
      <c r="Y3694" s="111"/>
      <c r="Z3694" s="28"/>
      <c r="AA3694" s="96">
        <f ca="1">(AA3686/(N_9*AA$27*AA3688*0.667))*SQRT(M*'Valve Sizing'!$W$6*'Valve Sizing'!$G$8/AA3695)</f>
        <v>-2038.4530118038781</v>
      </c>
      <c r="AB3694" s="111"/>
      <c r="AC3694" s="28"/>
      <c r="AD3694" s="96">
        <f ca="1">(AD3686/(N_9*AD$27*AD3688*0.667))*SQRT(M*'Valve Sizing'!$W$6*'Valve Sizing'!$G$8/AD3695)</f>
        <v>-217.18060365890804</v>
      </c>
      <c r="AE3694" s="111"/>
      <c r="AF3694" s="28"/>
      <c r="AG3694" s="96">
        <f ca="1">(AG3686/(N_9*AG$27*AG3688*0.667))*SQRT(M*'Valve Sizing'!$W$6*'Valve Sizing'!$G$8/AG3695)</f>
        <v>-126.17326676132384</v>
      </c>
      <c r="AH3694" s="111"/>
      <c r="AI3694" s="28"/>
      <c r="AJ3694" s="96">
        <f ca="1">(AJ3686/(N_9*AJ$27*AJ3688*0.667))*SQRT(M*'Valve Sizing'!$W$6*'Valve Sizing'!$G$8/AJ3695)</f>
        <v>-94.481626014922227</v>
      </c>
      <c r="AK3694" s="111"/>
      <c r="AL3694" s="28"/>
      <c r="AM3694" s="96">
        <f ca="1">(AM3686/(N_9*AM$27*AM3688*0.667))*SQRT(M*'Valve Sizing'!$W$6*'Valve Sizing'!$G$8/AM3695)</f>
        <v>-84.381110438038021</v>
      </c>
      <c r="AN3694" s="111"/>
      <c r="AO3694" s="28"/>
      <c r="AP3694" s="96">
        <f ca="1">(AP3686/(N_9*AP$27*AP3688*0.667))*SQRT(M*'Valve Sizing'!$W$6*'Valve Sizing'!$G$8/AP3695)</f>
        <v>-73.13817056916325</v>
      </c>
      <c r="AQ3694" s="111"/>
      <c r="AR3694" s="28"/>
      <c r="AS3694" s="96">
        <f ca="1">(AS3686/(N_9*AS$27*AS3688*0.667))*SQRT(M*'Valve Sizing'!$W$6*'Valve Sizing'!$G$8/AS3695)</f>
        <v>-103.39433388260552</v>
      </c>
      <c r="AT3694" s="111"/>
      <c r="AU3694" s="28"/>
    </row>
    <row r="3695" spans="15:47" ht="15.6" x14ac:dyDescent="0.35">
      <c r="O3695" s="2" t="s">
        <v>68</v>
      </c>
      <c r="P3695" s="143">
        <v>10</v>
      </c>
      <c r="Q3695" s="2"/>
      <c r="R3695" s="96">
        <f ca="1">F_GAMMA*R$29</f>
        <v>0.64002969751372984</v>
      </c>
      <c r="S3695" s="107"/>
      <c r="T3695" s="1"/>
      <c r="U3695" s="96">
        <f ca="1">F_GAMMA*U$29</f>
        <v>0.64017842058782071</v>
      </c>
      <c r="V3695" s="111"/>
      <c r="W3695" s="28"/>
      <c r="X3695" s="96">
        <f ca="1">F_GAMMA*X$29</f>
        <v>0.63413873724904268</v>
      </c>
      <c r="Y3695" s="111"/>
      <c r="Z3695" s="28"/>
      <c r="AA3695" s="96">
        <f ca="1">F_GAMMA*AA$29</f>
        <v>0.62532411750377137</v>
      </c>
      <c r="AB3695" s="111"/>
      <c r="AC3695" s="28"/>
      <c r="AD3695" s="96">
        <f ca="1">F_GAMMA*AD$29</f>
        <v>0.60651359509139569</v>
      </c>
      <c r="AE3695" s="111"/>
      <c r="AF3695" s="28"/>
      <c r="AG3695" s="96">
        <f ca="1">F_GAMMA*AG$29</f>
        <v>0.57217930198481592</v>
      </c>
      <c r="AH3695" s="111"/>
      <c r="AI3695" s="28"/>
      <c r="AJ3695" s="96">
        <f ca="1">F_GAMMA*AJ$29</f>
        <v>0.53183282018848232</v>
      </c>
      <c r="AK3695" s="111"/>
      <c r="AL3695" s="28"/>
      <c r="AM3695" s="96">
        <f ca="1">F_GAMMA*AM$29</f>
        <v>0.47566512503094399</v>
      </c>
      <c r="AN3695" s="111"/>
      <c r="AO3695" s="28"/>
      <c r="AP3695" s="96">
        <f ca="1">F_GAMMA*AP$29</f>
        <v>0.59054158265645496</v>
      </c>
      <c r="AQ3695" s="111"/>
      <c r="AR3695" s="28"/>
      <c r="AS3695" s="96">
        <f ca="1">F_GAMMA*AS$29</f>
        <v>0.3766899554102966</v>
      </c>
      <c r="AT3695" s="111"/>
      <c r="AU3695" s="28"/>
    </row>
    <row r="3696" spans="15:47" x14ac:dyDescent="0.25">
      <c r="O3696" s="2" t="s">
        <v>145</v>
      </c>
      <c r="P3696" s="12"/>
      <c r="Q3696" s="2"/>
      <c r="R3696" s="96">
        <f ca="1">IF(R3691&lt;R3695,R3693,R3694)</f>
        <v>22.830004592920762</v>
      </c>
      <c r="S3696" s="116"/>
      <c r="T3696" s="1"/>
      <c r="U3696" s="96">
        <f ca="1">IF(U3691&lt;U3695,U3693,U3694)</f>
        <v>69.119328939401015</v>
      </c>
      <c r="V3696" s="111"/>
      <c r="W3696" s="28"/>
      <c r="X3696" s="96">
        <f ca="1">IF(X3691&lt;X3695,X3693,X3694)</f>
        <v>486.13936266937469</v>
      </c>
      <c r="Y3696" s="111"/>
      <c r="Z3696" s="28"/>
      <c r="AA3696" s="96">
        <f ca="1">IF(AA3691&lt;AA3695,AA3693,AA3694)</f>
        <v>-2038.4530118038781</v>
      </c>
      <c r="AB3696" s="111"/>
      <c r="AC3696" s="28"/>
      <c r="AD3696" s="96">
        <f ca="1">IF(AD3691&lt;AD3695,AD3693,AD3694)</f>
        <v>-217.18060365890804</v>
      </c>
      <c r="AE3696" s="111"/>
      <c r="AF3696" s="28"/>
      <c r="AG3696" s="96">
        <f ca="1">IF(AG3691&lt;AG3695,AG3693,AG3694)</f>
        <v>-126.17326676132384</v>
      </c>
      <c r="AH3696" s="111"/>
      <c r="AI3696" s="28"/>
      <c r="AJ3696" s="96">
        <f ca="1">IF(AJ3691&lt;AJ3695,AJ3693,AJ3694)</f>
        <v>-94.481626014922227</v>
      </c>
      <c r="AK3696" s="111"/>
      <c r="AL3696" s="28"/>
      <c r="AM3696" s="96">
        <f ca="1">IF(AM3691&lt;AM3695,AM3693,AM3694)</f>
        <v>-84.381110438038021</v>
      </c>
      <c r="AN3696" s="111"/>
      <c r="AO3696" s="28"/>
      <c r="AP3696" s="96">
        <f ca="1">IF(AP3691&lt;AP3695,AP3693,AP3694)</f>
        <v>-73.13817056916325</v>
      </c>
      <c r="AQ3696" s="111"/>
      <c r="AR3696" s="28"/>
      <c r="AS3696" s="96">
        <f ca="1">IF(AS3691&lt;AS3695,AS3693,AS3694)</f>
        <v>-103.39433388260552</v>
      </c>
      <c r="AT3696" s="111"/>
      <c r="AU3696" s="28"/>
    </row>
    <row r="3697" spans="15:47" x14ac:dyDescent="0.25">
      <c r="O3697" s="13" t="s">
        <v>143</v>
      </c>
      <c r="P3697" s="1"/>
      <c r="Q3697" s="1"/>
      <c r="R3697" s="113"/>
      <c r="S3697" s="106">
        <f ca="1">IF(R3690&lt;=0,Q_max,ABS(R$23-R3696))</f>
        <v>18.100004592920762</v>
      </c>
      <c r="T3697" s="7">
        <f>R3686</f>
        <v>55966.931104583404</v>
      </c>
      <c r="U3697" s="98"/>
      <c r="V3697" s="106">
        <f ca="1">IF(U3690&lt;=0,Q_max,ABS(U$23-U3696))</f>
        <v>57.519328939401014</v>
      </c>
      <c r="W3697" s="9">
        <f ca="1">U3686</f>
        <v>157179.70940006513</v>
      </c>
      <c r="X3697" s="98"/>
      <c r="Y3697" s="106">
        <f ca="1">IF(X3690&lt;=0,Q_max,ABS(X$23-X3696))</f>
        <v>463.13936266937469</v>
      </c>
      <c r="Z3697" s="9">
        <f ca="1">X3686</f>
        <v>384875.37222875253</v>
      </c>
      <c r="AA3697" s="98"/>
      <c r="AB3697" s="106">
        <f ca="1">IF(AA3690&lt;=0,Q_max,ABS(AA$23-AA3696))</f>
        <v>236393</v>
      </c>
      <c r="AC3697" s="9">
        <f ca="1">AA3686</f>
        <v>749638.98742813885</v>
      </c>
      <c r="AD3697" s="98"/>
      <c r="AE3697" s="106">
        <f ca="1">IF(AD3690&lt;=0,Q_max,ABS(AD$23-AD3696))</f>
        <v>236393</v>
      </c>
      <c r="AF3697" s="9">
        <f ca="1">AD3686</f>
        <v>1257661.024304888</v>
      </c>
      <c r="AG3697" s="98"/>
      <c r="AH3697" s="106">
        <f ca="1">IF(AG3690&lt;=0,Q_max,ABS(AG$23-AG3696))</f>
        <v>236393</v>
      </c>
      <c r="AI3697" s="9">
        <f ca="1">AG3686</f>
        <v>1835590.5188069427</v>
      </c>
      <c r="AJ3697" s="98"/>
      <c r="AK3697" s="106">
        <f ca="1">IF(AJ3690&lt;=0,Q_max,ABS(AJ$23-AJ3696))</f>
        <v>236393</v>
      </c>
      <c r="AL3697" s="9">
        <f ca="1">AJ3686</f>
        <v>2449602.6631379239</v>
      </c>
      <c r="AM3697" s="98"/>
      <c r="AN3697" s="106">
        <f ca="1">IF(AM3690&lt;=0,Q_max,ABS(AM$23-AM3696))</f>
        <v>236393</v>
      </c>
      <c r="AO3697" s="9">
        <f ca="1">AM3686</f>
        <v>2988980.7713909093</v>
      </c>
      <c r="AP3697" s="98"/>
      <c r="AQ3697" s="106">
        <f ca="1">IF(AP3690&lt;=0,Q_max,ABS(AP$23-AP3696))</f>
        <v>236393</v>
      </c>
      <c r="AR3697" s="9">
        <f ca="1">AP3686</f>
        <v>3470113.8837827169</v>
      </c>
      <c r="AS3697" s="98"/>
      <c r="AT3697" s="106">
        <f ca="1">IF(AS3690&lt;=0,Q_max,ABS(AS$23-AS3696))</f>
        <v>236393</v>
      </c>
      <c r="AU3697" s="9">
        <f ca="1">AS3686</f>
        <v>4068981.435576851</v>
      </c>
    </row>
    <row r="3698" spans="15:47" x14ac:dyDescent="0.25">
      <c r="O3698" s="21"/>
      <c r="P3698" s="14"/>
      <c r="Q3698" s="21"/>
      <c r="R3698" s="97"/>
      <c r="S3698" s="106"/>
      <c r="T3698" s="28"/>
      <c r="U3698" s="97"/>
      <c r="V3698" s="111"/>
      <c r="W3698" s="28"/>
      <c r="X3698" s="97"/>
      <c r="Y3698" s="111"/>
      <c r="Z3698" s="28"/>
      <c r="AA3698" s="97"/>
      <c r="AB3698" s="111"/>
      <c r="AC3698" s="28"/>
      <c r="AD3698" s="97"/>
      <c r="AE3698" s="111"/>
      <c r="AF3698" s="28"/>
      <c r="AG3698" s="97"/>
      <c r="AH3698" s="111"/>
      <c r="AI3698" s="28"/>
      <c r="AJ3698" s="97"/>
      <c r="AK3698" s="111"/>
      <c r="AL3698" s="28"/>
      <c r="AM3698" s="97"/>
      <c r="AN3698" s="111"/>
      <c r="AO3698" s="28"/>
      <c r="AP3698" s="97"/>
      <c r="AQ3698" s="111"/>
      <c r="AR3698" s="28"/>
      <c r="AS3698" s="97"/>
      <c r="AT3698" s="111"/>
      <c r="AU3698" s="28"/>
    </row>
    <row r="3699" spans="15:47" x14ac:dyDescent="0.25">
      <c r="O3699" s="1"/>
      <c r="P3699" s="1"/>
      <c r="Q3699" s="1"/>
      <c r="R3699" s="98"/>
      <c r="S3699" s="108" t="s">
        <v>137</v>
      </c>
      <c r="T3699" s="26" t="s">
        <v>146</v>
      </c>
      <c r="U3699" s="98"/>
      <c r="V3699" s="108" t="s">
        <v>137</v>
      </c>
      <c r="W3699" s="26" t="s">
        <v>146</v>
      </c>
      <c r="X3699" s="98"/>
      <c r="Y3699" s="108" t="s">
        <v>137</v>
      </c>
      <c r="Z3699" s="26" t="s">
        <v>146</v>
      </c>
      <c r="AA3699" s="98"/>
      <c r="AB3699" s="108" t="s">
        <v>137</v>
      </c>
      <c r="AC3699" s="26" t="s">
        <v>146</v>
      </c>
      <c r="AD3699" s="98"/>
      <c r="AE3699" s="108" t="s">
        <v>137</v>
      </c>
      <c r="AF3699" s="26" t="s">
        <v>146</v>
      </c>
      <c r="AG3699" s="98"/>
      <c r="AH3699" s="108" t="s">
        <v>137</v>
      </c>
      <c r="AI3699" s="26" t="s">
        <v>146</v>
      </c>
      <c r="AJ3699" s="98"/>
      <c r="AK3699" s="108" t="s">
        <v>137</v>
      </c>
      <c r="AL3699" s="26" t="s">
        <v>146</v>
      </c>
      <c r="AM3699" s="98"/>
      <c r="AN3699" s="108" t="s">
        <v>137</v>
      </c>
      <c r="AO3699" s="26" t="s">
        <v>146</v>
      </c>
      <c r="AP3699" s="98"/>
      <c r="AQ3699" s="108" t="s">
        <v>137</v>
      </c>
      <c r="AR3699" s="26" t="s">
        <v>146</v>
      </c>
      <c r="AS3699" s="98"/>
      <c r="AT3699" s="108" t="s">
        <v>137</v>
      </c>
      <c r="AU3699" s="26" t="s">
        <v>146</v>
      </c>
    </row>
    <row r="3700" spans="15:47" ht="13.8" x14ac:dyDescent="0.25">
      <c r="O3700" s="20" t="s">
        <v>136</v>
      </c>
      <c r="P3700" s="1"/>
      <c r="Q3700" s="1"/>
      <c r="R3700" s="96">
        <f>R3686*1.02</f>
        <v>57086.269726675069</v>
      </c>
      <c r="S3700" s="109" t="s">
        <v>144</v>
      </c>
      <c r="T3700" s="23" t="s">
        <v>147</v>
      </c>
      <c r="U3700" s="96">
        <f ca="1">U3686*1.01</f>
        <v>158751.50649406578</v>
      </c>
      <c r="V3700" s="109" t="s">
        <v>144</v>
      </c>
      <c r="W3700" s="23" t="s">
        <v>147</v>
      </c>
      <c r="X3700" s="96">
        <f ca="1">X3686*1.01</f>
        <v>388724.12595104007</v>
      </c>
      <c r="Y3700" s="109" t="s">
        <v>144</v>
      </c>
      <c r="Z3700" s="23" t="s">
        <v>147</v>
      </c>
      <c r="AA3700" s="96">
        <f ca="1">AA3686*1.01</f>
        <v>757135.37730242021</v>
      </c>
      <c r="AB3700" s="109" t="s">
        <v>144</v>
      </c>
      <c r="AC3700" s="23" t="s">
        <v>147</v>
      </c>
      <c r="AD3700" s="96">
        <f ca="1">AD3686*1.01</f>
        <v>1270237.634547937</v>
      </c>
      <c r="AE3700" s="109" t="s">
        <v>144</v>
      </c>
      <c r="AF3700" s="23" t="s">
        <v>147</v>
      </c>
      <c r="AG3700" s="96">
        <f ca="1">AG3686*1.01</f>
        <v>1853946.4239950122</v>
      </c>
      <c r="AH3700" s="109" t="s">
        <v>144</v>
      </c>
      <c r="AI3700" s="23" t="s">
        <v>147</v>
      </c>
      <c r="AJ3700" s="96">
        <f ca="1">AJ3686*1.01</f>
        <v>2474098.689769303</v>
      </c>
      <c r="AK3700" s="109" t="s">
        <v>144</v>
      </c>
      <c r="AL3700" s="23" t="s">
        <v>147</v>
      </c>
      <c r="AM3700" s="96">
        <f ca="1">AM3686*1.01</f>
        <v>3018870.5791048184</v>
      </c>
      <c r="AN3700" s="109" t="s">
        <v>144</v>
      </c>
      <c r="AO3700" s="23" t="s">
        <v>147</v>
      </c>
      <c r="AP3700" s="96">
        <f ca="1">AP3686*1.01</f>
        <v>3504815.0226205443</v>
      </c>
      <c r="AQ3700" s="109" t="s">
        <v>144</v>
      </c>
      <c r="AR3700" s="23" t="s">
        <v>147</v>
      </c>
      <c r="AS3700" s="96">
        <f ca="1">AS3686*1.01</f>
        <v>4109671.2499326197</v>
      </c>
      <c r="AT3700" s="109" t="s">
        <v>144</v>
      </c>
      <c r="AU3700" s="23" t="s">
        <v>147</v>
      </c>
    </row>
    <row r="3701" spans="15:47" x14ac:dyDescent="0.25">
      <c r="O3701" s="1"/>
      <c r="P3701" s="1"/>
      <c r="Q3701" s="1"/>
      <c r="R3701" s="98"/>
      <c r="S3701" s="107"/>
      <c r="T3701" s="1"/>
      <c r="U3701" s="47"/>
      <c r="V3701" s="107"/>
      <c r="W3701" s="1"/>
      <c r="X3701" s="47"/>
      <c r="Y3701" s="107"/>
      <c r="Z3701" s="1"/>
      <c r="AA3701" s="47"/>
      <c r="AB3701" s="107"/>
      <c r="AC3701" s="1"/>
      <c r="AD3701" s="47"/>
      <c r="AE3701" s="107"/>
      <c r="AF3701" s="1"/>
      <c r="AG3701" s="47"/>
      <c r="AH3701" s="107"/>
      <c r="AI3701" s="1"/>
      <c r="AJ3701" s="47"/>
      <c r="AK3701" s="107"/>
      <c r="AL3701" s="1"/>
      <c r="AM3701" s="47"/>
      <c r="AN3701" s="107"/>
      <c r="AO3701" s="1"/>
      <c r="AP3701" s="47"/>
      <c r="AQ3701" s="107"/>
      <c r="AR3701" s="1"/>
      <c r="AS3701" s="47"/>
      <c r="AT3701" s="107"/>
      <c r="AU3701" s="1"/>
    </row>
    <row r="3702" spans="15:47" x14ac:dyDescent="0.25">
      <c r="O3702" s="8" t="s">
        <v>132</v>
      </c>
      <c r="P3702" s="8"/>
      <c r="Q3702" s="8"/>
      <c r="R3702" s="96">
        <f>P_1_minQ-(R3700^2*R_up)+dpup_minQ</f>
        <v>89.59108098300743</v>
      </c>
      <c r="S3702" s="106"/>
      <c r="T3702" s="22"/>
      <c r="U3702" s="96">
        <f ca="1">P_1_minQ-(U3700^2*R_up)+dpup_minQ</f>
        <v>85.591693607344169</v>
      </c>
      <c r="V3702" s="107"/>
      <c r="W3702" s="1"/>
      <c r="X3702" s="96">
        <f ca="1">P_1_minQ-(X3700^2*R_up)+dpup_minQ</f>
        <v>62.644241976367269</v>
      </c>
      <c r="Y3702" s="107"/>
      <c r="Z3702" s="1"/>
      <c r="AA3702" s="96">
        <f ca="1">P_1_minQ-(AA3700^2*R_up)+dpup_minQ</f>
        <v>-14.296752134525734</v>
      </c>
      <c r="AB3702" s="107"/>
      <c r="AC3702" s="1"/>
      <c r="AD3702" s="96">
        <f ca="1">P_1_minQ-(AD3700^2*R_up)+dpup_minQ</f>
        <v>-203.89360462095811</v>
      </c>
      <c r="AE3702" s="107"/>
      <c r="AF3702" s="1"/>
      <c r="AG3702" s="96">
        <f ca="1">P_1_minQ-(AG3700^2*R_up)+dpup_minQ</f>
        <v>-536.2670983179944</v>
      </c>
      <c r="AH3702" s="107"/>
      <c r="AI3702" s="1"/>
      <c r="AJ3702" s="96">
        <f ca="1">P_1_minQ-(AJ3700^2*R_up)+dpup_minQ</f>
        <v>-1025.4639472690076</v>
      </c>
      <c r="AK3702" s="107"/>
      <c r="AL3702" s="1"/>
      <c r="AM3702" s="96">
        <f ca="1">P_1_minQ-(AM3700^2*R_up)+dpup_minQ</f>
        <v>-1570.8642768184752</v>
      </c>
      <c r="AN3702" s="107"/>
      <c r="AO3702" s="1"/>
      <c r="AP3702" s="96">
        <f ca="1">P_1_minQ-(AP3700^2*R_up)+dpup_minQ</f>
        <v>-2148.6584801726954</v>
      </c>
      <c r="AQ3702" s="107"/>
      <c r="AR3702" s="1"/>
      <c r="AS3702" s="96">
        <f ca="1">P_1_minQ-(AS3700^2*R_up)+dpup_minQ</f>
        <v>-2988.0919889500101</v>
      </c>
      <c r="AT3702" s="107"/>
      <c r="AU3702" s="1"/>
    </row>
    <row r="3703" spans="15:47" x14ac:dyDescent="0.25">
      <c r="O3703" s="8" t="s">
        <v>134</v>
      </c>
      <c r="P3703" s="1"/>
      <c r="Q3703" s="8"/>
      <c r="R3703" s="97">
        <f>P_2_minQ+(R3700^2*R_dn)-dpdn_minQ</f>
        <v>60</v>
      </c>
      <c r="S3703" s="106"/>
      <c r="T3703" s="22"/>
      <c r="U3703" s="97">
        <f ca="1">P_2_minQ+(U3700^2*R_dn)-dpdn_minQ</f>
        <v>60</v>
      </c>
      <c r="V3703" s="107"/>
      <c r="W3703" s="1"/>
      <c r="X3703" s="97">
        <f ca="1">P_2_minQ+(X3700^2*R_dn)-dpdn_minQ</f>
        <v>60</v>
      </c>
      <c r="Y3703" s="107"/>
      <c r="Z3703" s="1"/>
      <c r="AA3703" s="97">
        <f ca="1">P_2_minQ+(AA3700^2*R_dn)-dpdn_minQ</f>
        <v>60</v>
      </c>
      <c r="AB3703" s="107"/>
      <c r="AC3703" s="1"/>
      <c r="AD3703" s="97">
        <f ca="1">P_2_minQ+(AD3700^2*R_dn)-dpdn_minQ</f>
        <v>60</v>
      </c>
      <c r="AE3703" s="107"/>
      <c r="AF3703" s="1"/>
      <c r="AG3703" s="97">
        <f ca="1">P_2_minQ+(AG3700^2*R_dn)-dpdn_minQ</f>
        <v>60</v>
      </c>
      <c r="AH3703" s="107"/>
      <c r="AI3703" s="1"/>
      <c r="AJ3703" s="97">
        <f ca="1">P_2_minQ+(AJ3700^2*R_dn)-dpdn_minQ</f>
        <v>60</v>
      </c>
      <c r="AK3703" s="107"/>
      <c r="AL3703" s="1"/>
      <c r="AM3703" s="97">
        <f ca="1">P_2_minQ+(AM3700^2*R_dn)-dpdn_minQ</f>
        <v>60</v>
      </c>
      <c r="AN3703" s="107"/>
      <c r="AO3703" s="1"/>
      <c r="AP3703" s="97">
        <f ca="1">P_2_minQ+(AP3700^2*R_dn)-dpdn_minQ</f>
        <v>60</v>
      </c>
      <c r="AQ3703" s="107"/>
      <c r="AR3703" s="1"/>
      <c r="AS3703" s="97">
        <f ca="1">P_2_minQ+(AS3700^2*R_dn)-dpdn_minQ</f>
        <v>60</v>
      </c>
      <c r="AT3703" s="107"/>
      <c r="AU3703" s="1"/>
    </row>
    <row r="3704" spans="15:47" x14ac:dyDescent="0.25">
      <c r="O3704" s="8" t="s">
        <v>138</v>
      </c>
      <c r="P3704" s="1"/>
      <c r="Q3704" s="8"/>
      <c r="R3704" s="97">
        <f>R3702-R3703</f>
        <v>29.59108098300743</v>
      </c>
      <c r="S3704" s="106"/>
      <c r="T3704" s="22"/>
      <c r="U3704" s="97">
        <f ca="1">U3702-U3703</f>
        <v>25.591693607344169</v>
      </c>
      <c r="V3704" s="110"/>
      <c r="W3704" s="25"/>
      <c r="X3704" s="97">
        <f ca="1">X3702-X3703</f>
        <v>2.6442419763672689</v>
      </c>
      <c r="Y3704" s="110"/>
      <c r="Z3704" s="25"/>
      <c r="AA3704" s="97">
        <f ca="1">AA3702-AA3703</f>
        <v>-74.296752134525732</v>
      </c>
      <c r="AB3704" s="110"/>
      <c r="AC3704" s="25"/>
      <c r="AD3704" s="97">
        <f ca="1">AD3702-AD3703</f>
        <v>-263.89360462095811</v>
      </c>
      <c r="AE3704" s="110"/>
      <c r="AF3704" s="25"/>
      <c r="AG3704" s="97">
        <f ca="1">AG3702-AG3703</f>
        <v>-596.2670983179944</v>
      </c>
      <c r="AH3704" s="110"/>
      <c r="AI3704" s="25"/>
      <c r="AJ3704" s="97">
        <f ca="1">AJ3702-AJ3703</f>
        <v>-1085.4639472690076</v>
      </c>
      <c r="AK3704" s="110"/>
      <c r="AL3704" s="25"/>
      <c r="AM3704" s="97">
        <f ca="1">AM3702-AM3703</f>
        <v>-1630.8642768184752</v>
      </c>
      <c r="AN3704" s="110"/>
      <c r="AO3704" s="25"/>
      <c r="AP3704" s="97">
        <f ca="1">AP3702-AP3703</f>
        <v>-2208.6584801726954</v>
      </c>
      <c r="AQ3704" s="110"/>
      <c r="AR3704" s="25"/>
      <c r="AS3704" s="97">
        <f ca="1">AS3702-AS3703</f>
        <v>-3048.0919889500101</v>
      </c>
      <c r="AT3704" s="110"/>
      <c r="AU3704" s="25"/>
    </row>
    <row r="3705" spans="15:47" ht="14.4" x14ac:dyDescent="0.3">
      <c r="O3705" s="2" t="s">
        <v>140</v>
      </c>
      <c r="P3705" s="11"/>
      <c r="Q3705" s="2"/>
      <c r="R3705" s="96">
        <f>R3704/R3702</f>
        <v>0.33029047822985763</v>
      </c>
      <c r="S3705" s="106"/>
      <c r="T3705" s="22"/>
      <c r="U3705" s="96">
        <f ca="1">U3704/U3702</f>
        <v>0.29899739716271112</v>
      </c>
      <c r="V3705" s="111"/>
      <c r="W3705" s="28"/>
      <c r="X3705" s="96">
        <f ca="1">X3704/X3702</f>
        <v>4.2210455309920063E-2</v>
      </c>
      <c r="Y3705" s="111"/>
      <c r="Z3705" s="28"/>
      <c r="AA3705" s="96">
        <f ca="1">AA3704/AA3702</f>
        <v>5.19675737785954</v>
      </c>
      <c r="AB3705" s="111"/>
      <c r="AC3705" s="28"/>
      <c r="AD3705" s="96">
        <f ca="1">AD3704/AD3702</f>
        <v>1.2942711229787764</v>
      </c>
      <c r="AE3705" s="111"/>
      <c r="AF3705" s="28"/>
      <c r="AG3705" s="96">
        <f ca="1">AG3704/AG3702</f>
        <v>1.1118845444521777</v>
      </c>
      <c r="AH3705" s="111"/>
      <c r="AI3705" s="28"/>
      <c r="AJ3705" s="96">
        <f ca="1">AJ3704/AJ3702</f>
        <v>1.0585101018517429</v>
      </c>
      <c r="AK3705" s="111"/>
      <c r="AL3705" s="28"/>
      <c r="AM3705" s="96">
        <f ca="1">AM3704/AM3702</f>
        <v>1.0381955340670934</v>
      </c>
      <c r="AN3705" s="111"/>
      <c r="AO3705" s="28"/>
      <c r="AP3705" s="96">
        <f ca="1">AP3704/AP3702</f>
        <v>1.0279244005288255</v>
      </c>
      <c r="AQ3705" s="111"/>
      <c r="AR3705" s="28"/>
      <c r="AS3705" s="96">
        <f ca="1">AS3704/AS3702</f>
        <v>1.0200797031088336</v>
      </c>
      <c r="AT3705" s="111"/>
      <c r="AU3705" s="28"/>
    </row>
    <row r="3706" spans="15:47" x14ac:dyDescent="0.25">
      <c r="O3706" s="2" t="s">
        <v>21</v>
      </c>
      <c r="P3706" s="8">
        <v>12</v>
      </c>
      <c r="Q3706" s="2"/>
      <c r="R3706" s="96">
        <f ca="1">1-R3705/(3*F_GAMMA*R$29)</f>
        <v>0.82798169131166377</v>
      </c>
      <c r="S3706" s="106"/>
      <c r="T3706" s="22"/>
      <c r="U3706" s="96">
        <f ca="1">1-U3705/(3*F_GAMMA*U$29)</f>
        <v>0.8443155910148884</v>
      </c>
      <c r="V3706" s="111"/>
      <c r="W3706" s="28"/>
      <c r="X3706" s="96">
        <f ca="1">1-X3705/(3*F_GAMMA*X$29)</f>
        <v>0.97781218691825844</v>
      </c>
      <c r="Y3706" s="111"/>
      <c r="Z3706" s="28"/>
      <c r="AA3706" s="96">
        <f ca="1">1-AA3705/(3*F_GAMMA*AA$29)</f>
        <v>-1.7701673592911855</v>
      </c>
      <c r="AB3706" s="111"/>
      <c r="AC3706" s="28"/>
      <c r="AD3706" s="96">
        <f ca="1">1-AD3705/(3*F_GAMMA*AD$29)</f>
        <v>0.2886825437200945</v>
      </c>
      <c r="AE3706" s="111"/>
      <c r="AF3706" s="28"/>
      <c r="AG3706" s="96">
        <f ca="1">1-AG3705/(3*F_GAMMA*AG$29)</f>
        <v>0.35225168020164643</v>
      </c>
      <c r="AH3706" s="111"/>
      <c r="AI3706" s="28"/>
      <c r="AJ3706" s="96">
        <f ca="1">1-AJ3705/(3*F_GAMMA*AJ$29)</f>
        <v>0.33656463605950115</v>
      </c>
      <c r="AK3706" s="111"/>
      <c r="AL3706" s="28"/>
      <c r="AM3706" s="96">
        <f ca="1">1-AM3705/(3*F_GAMMA*AM$29)</f>
        <v>0.27246047731615486</v>
      </c>
      <c r="AN3706" s="111"/>
      <c r="AO3706" s="28"/>
      <c r="AP3706" s="96">
        <f ca="1">1-AP3705/(3*F_GAMMA*AP$29)</f>
        <v>0.41978435235394407</v>
      </c>
      <c r="AQ3706" s="111"/>
      <c r="AR3706" s="28"/>
      <c r="AS3706" s="96">
        <f ca="1">1-AS3705/(3*F_GAMMA*AS$29)</f>
        <v>9.7330409746173796E-2</v>
      </c>
      <c r="AT3706" s="111"/>
      <c r="AU3706" s="28"/>
    </row>
    <row r="3707" spans="15:47" x14ac:dyDescent="0.25">
      <c r="O3707" s="2" t="s">
        <v>57</v>
      </c>
      <c r="P3707" s="143">
        <v>7</v>
      </c>
      <c r="Q3707" s="2"/>
      <c r="R3707" s="96">
        <f ca="1">(R3700/(N_9*R$27*R3702*R3706))*SQRT(M*'Valve Sizing'!$W$6*'Valve Sizing'!$G$8/R3705)</f>
        <v>23.296150440752317</v>
      </c>
      <c r="S3707" s="107"/>
      <c r="T3707" s="22"/>
      <c r="U3707" s="96">
        <f ca="1">(U3700/(N_9*U$27*U3702*U3706))*SQRT(M*'Valve Sizing'!$W$6*'Valve Sizing'!$G$8/U3705)</f>
        <v>69.938871538715503</v>
      </c>
      <c r="V3707" s="111"/>
      <c r="W3707" s="28"/>
      <c r="X3707" s="96">
        <f ca="1">(X3700/(N_9*X$27*X3702*X3706))*SQRT(M*'Valve Sizing'!$W$6*'Valve Sizing'!$G$8/X3705)</f>
        <v>538.96972581173577</v>
      </c>
      <c r="Y3707" s="111"/>
      <c r="Z3707" s="28"/>
      <c r="AA3707" s="96">
        <f ca="1">(AA3700/(N_9*AA$27*AA3702*AA3706))*SQRT(M*'Valve Sizing'!$W$6*'Valve Sizing'!$G$8/AA3705)</f>
        <v>230.35344917073107</v>
      </c>
      <c r="AB3707" s="111"/>
      <c r="AC3707" s="28"/>
      <c r="AD3707" s="96">
        <f ca="1">(AD3700/(N_9*AD$27*AD3702*AD3706))*SQRT(M*'Valve Sizing'!$W$6*'Valve Sizing'!$G$8/AD3705)</f>
        <v>-337.08097694372151</v>
      </c>
      <c r="AE3707" s="111"/>
      <c r="AF3707" s="28"/>
      <c r="AG3707" s="96">
        <f ca="1">(AG3700/(N_9*AG$27*AG3702*AG3706))*SQRT(M*'Valve Sizing'!$W$6*'Valve Sizing'!$G$8/AG3705)</f>
        <v>-169.11590217940912</v>
      </c>
      <c r="AH3707" s="111"/>
      <c r="AI3707" s="28"/>
      <c r="AJ3707" s="96">
        <f ca="1">(AJ3700/(N_9*AJ$27*AJ3702*AJ3706))*SQRT(M*'Valve Sizing'!$W$6*'Valve Sizing'!$G$8/AJ3705)</f>
        <v>-131.17619128981633</v>
      </c>
      <c r="AK3707" s="111"/>
      <c r="AL3707" s="28"/>
      <c r="AM3707" s="96">
        <f ca="1">(AM3700/(N_9*AM$27*AM3702*AM3706))*SQRT(M*'Valve Sizing'!$W$6*'Valve Sizing'!$G$8/AM3705)</f>
        <v>-138.27886666479318</v>
      </c>
      <c r="AN3707" s="111"/>
      <c r="AO3707" s="28"/>
      <c r="AP3707" s="96">
        <f ca="1">(AP3700/(N_9*AP$27*AP3702*AP3706))*SQRT(M*'Valve Sizing'!$W$6*'Valve Sizing'!$G$8/AP3705)</f>
        <v>-87.136560518191573</v>
      </c>
      <c r="AQ3707" s="111"/>
      <c r="AR3707" s="28"/>
      <c r="AS3707" s="96">
        <f ca="1">(AS3700/(N_9*AS$27*AS3702*AS3706))*SQRT(M*'Valve Sizing'!$W$6*'Valve Sizing'!$G$8/AS3705)</f>
        <v>-426.05343493150832</v>
      </c>
      <c r="AT3707" s="111"/>
      <c r="AU3707" s="28"/>
    </row>
    <row r="3708" spans="15:47" x14ac:dyDescent="0.25">
      <c r="O3708" s="2" t="s">
        <v>59</v>
      </c>
      <c r="P3708" s="143">
        <v>7</v>
      </c>
      <c r="Q3708" s="2"/>
      <c r="R3708" s="96">
        <f ca="1">(R3700/(N_9*R$27*R3702*0.667))*SQRT(M*'Valve Sizing'!$W$6*'Valve Sizing'!$G$8/R3709)</f>
        <v>20.774329989555934</v>
      </c>
      <c r="S3708" s="107"/>
      <c r="T3708" s="22"/>
      <c r="U3708" s="96">
        <f ca="1">(U3700/(N_9*U$27*U3702*0.667))*SQRT(M*'Valve Sizing'!$W$6*'Valve Sizing'!$G$8/U3709)</f>
        <v>60.503539827016759</v>
      </c>
      <c r="V3708" s="111"/>
      <c r="W3708" s="28"/>
      <c r="X3708" s="96">
        <f ca="1">(X3700/(N_9*X$27*X3702*0.667))*SQRT(M*'Valve Sizing'!$W$6*'Valve Sizing'!$G$8/X3709)</f>
        <v>203.85053699807412</v>
      </c>
      <c r="Y3708" s="111"/>
      <c r="Z3708" s="28"/>
      <c r="AA3708" s="96">
        <f ca="1">(AA3700/(N_9*AA$27*AA3702*0.667))*SQRT(M*'Valve Sizing'!$W$6*'Valve Sizing'!$G$8/AA3709)</f>
        <v>-1762.3690007562391</v>
      </c>
      <c r="AB3708" s="111"/>
      <c r="AC3708" s="28"/>
      <c r="AD3708" s="96">
        <f ca="1">(AD3700/(N_9*AD$27*AD3702*0.667))*SQRT(M*'Valve Sizing'!$W$6*'Valve Sizing'!$G$8/AD3709)</f>
        <v>-213.11857036563018</v>
      </c>
      <c r="AE3708" s="111"/>
      <c r="AF3708" s="28"/>
      <c r="AG3708" s="96">
        <f ca="1">(AG3700/(N_9*AG$27*AG3702*0.667))*SQRT(M*'Valve Sizing'!$W$6*'Valve Sizing'!$G$8/AG3709)</f>
        <v>-124.50175148376843</v>
      </c>
      <c r="AH3708" s="111"/>
      <c r="AI3708" s="28"/>
      <c r="AJ3708" s="96">
        <f ca="1">(AJ3700/(N_9*AJ$27*AJ3702*0.667))*SQRT(M*'Valve Sizing'!$W$6*'Valve Sizing'!$G$8/AJ3709)</f>
        <v>-93.380802205704967</v>
      </c>
      <c r="AK3708" s="111"/>
      <c r="AL3708" s="28"/>
      <c r="AM3708" s="96">
        <f ca="1">(AM3700/(N_9*AM$27*AM3702*0.667))*SQRT(M*'Valve Sizing'!$W$6*'Valve Sizing'!$G$8/AM3709)</f>
        <v>-83.449245302383019</v>
      </c>
      <c r="AN3708" s="111"/>
      <c r="AO3708" s="28"/>
      <c r="AP3708" s="96">
        <f ca="1">(AP3700/(N_9*AP$27*AP3702*0.667))*SQRT(M*'Valve Sizing'!$W$6*'Valve Sizing'!$G$8/AP3709)</f>
        <v>-72.352938048945944</v>
      </c>
      <c r="AQ3708" s="111"/>
      <c r="AR3708" s="28"/>
      <c r="AS3708" s="96">
        <f ca="1">(AS3700/(N_9*AS$27*AS3702*0.667))*SQRT(M*'Valve Sizing'!$W$6*'Valve Sizing'!$G$8/AS3709)</f>
        <v>-102.30852469451389</v>
      </c>
      <c r="AT3708" s="111"/>
      <c r="AU3708" s="28"/>
    </row>
    <row r="3709" spans="15:47" ht="15.6" x14ac:dyDescent="0.35">
      <c r="O3709" s="2" t="s">
        <v>68</v>
      </c>
      <c r="P3709" s="143">
        <v>10</v>
      </c>
      <c r="Q3709" s="2"/>
      <c r="R3709" s="96">
        <f ca="1">F_GAMMA*R$29</f>
        <v>0.64002969751372984</v>
      </c>
      <c r="S3709" s="107"/>
      <c r="T3709" s="1"/>
      <c r="U3709" s="96">
        <f ca="1">F_GAMMA*U$29</f>
        <v>0.64017842058782071</v>
      </c>
      <c r="V3709" s="111"/>
      <c r="W3709" s="28"/>
      <c r="X3709" s="96">
        <f ca="1">F_GAMMA*X$29</f>
        <v>0.63413873724904268</v>
      </c>
      <c r="Y3709" s="111"/>
      <c r="Z3709" s="28"/>
      <c r="AA3709" s="96">
        <f ca="1">F_GAMMA*AA$29</f>
        <v>0.62532411750377137</v>
      </c>
      <c r="AB3709" s="111"/>
      <c r="AC3709" s="28"/>
      <c r="AD3709" s="96">
        <f ca="1">F_GAMMA*AD$29</f>
        <v>0.60651359509139569</v>
      </c>
      <c r="AE3709" s="111"/>
      <c r="AF3709" s="28"/>
      <c r="AG3709" s="96">
        <f ca="1">F_GAMMA*AG$29</f>
        <v>0.57217930198481592</v>
      </c>
      <c r="AH3709" s="111"/>
      <c r="AI3709" s="28"/>
      <c r="AJ3709" s="96">
        <f ca="1">F_GAMMA*AJ$29</f>
        <v>0.53183282018848232</v>
      </c>
      <c r="AK3709" s="111"/>
      <c r="AL3709" s="28"/>
      <c r="AM3709" s="96">
        <f ca="1">F_GAMMA*AM$29</f>
        <v>0.47566512503094399</v>
      </c>
      <c r="AN3709" s="111"/>
      <c r="AO3709" s="28"/>
      <c r="AP3709" s="96">
        <f ca="1">F_GAMMA*AP$29</f>
        <v>0.59054158265645496</v>
      </c>
      <c r="AQ3709" s="111"/>
      <c r="AR3709" s="28"/>
      <c r="AS3709" s="96">
        <f ca="1">F_GAMMA*AS$29</f>
        <v>0.3766899554102966</v>
      </c>
      <c r="AT3709" s="111"/>
      <c r="AU3709" s="28"/>
    </row>
    <row r="3710" spans="15:47" x14ac:dyDescent="0.25">
      <c r="O3710" s="2" t="s">
        <v>145</v>
      </c>
      <c r="P3710" s="12"/>
      <c r="Q3710" s="2"/>
      <c r="R3710" s="96">
        <f ca="1">IF(R3705&lt;R3709,R3707,R3708)</f>
        <v>23.296150440752317</v>
      </c>
      <c r="S3710" s="116"/>
      <c r="T3710" s="1"/>
      <c r="U3710" s="96">
        <f ca="1">IF(U3705&lt;U3709,U3707,U3708)</f>
        <v>69.938871538715503</v>
      </c>
      <c r="V3710" s="111"/>
      <c r="W3710" s="28"/>
      <c r="X3710" s="96">
        <f ca="1">IF(X3705&lt;X3709,X3707,X3708)</f>
        <v>538.96972581173577</v>
      </c>
      <c r="Y3710" s="111"/>
      <c r="Z3710" s="28"/>
      <c r="AA3710" s="96">
        <f ca="1">IF(AA3705&lt;AA3709,AA3707,AA3708)</f>
        <v>-1762.3690007562391</v>
      </c>
      <c r="AB3710" s="111"/>
      <c r="AC3710" s="28"/>
      <c r="AD3710" s="96">
        <f ca="1">IF(AD3705&lt;AD3709,AD3707,AD3708)</f>
        <v>-213.11857036563018</v>
      </c>
      <c r="AE3710" s="111"/>
      <c r="AF3710" s="28"/>
      <c r="AG3710" s="96">
        <f ca="1">IF(AG3705&lt;AG3709,AG3707,AG3708)</f>
        <v>-124.50175148376843</v>
      </c>
      <c r="AH3710" s="111"/>
      <c r="AI3710" s="28"/>
      <c r="AJ3710" s="96">
        <f ca="1">IF(AJ3705&lt;AJ3709,AJ3707,AJ3708)</f>
        <v>-93.380802205704967</v>
      </c>
      <c r="AK3710" s="111"/>
      <c r="AL3710" s="28"/>
      <c r="AM3710" s="96">
        <f ca="1">IF(AM3705&lt;AM3709,AM3707,AM3708)</f>
        <v>-83.449245302383019</v>
      </c>
      <c r="AN3710" s="111"/>
      <c r="AO3710" s="28"/>
      <c r="AP3710" s="96">
        <f ca="1">IF(AP3705&lt;AP3709,AP3707,AP3708)</f>
        <v>-72.352938048945944</v>
      </c>
      <c r="AQ3710" s="111"/>
      <c r="AR3710" s="28"/>
      <c r="AS3710" s="96">
        <f ca="1">IF(AS3705&lt;AS3709,AS3707,AS3708)</f>
        <v>-102.30852469451389</v>
      </c>
      <c r="AT3710" s="111"/>
      <c r="AU3710" s="28"/>
    </row>
    <row r="3711" spans="15:47" x14ac:dyDescent="0.25">
      <c r="O3711" s="13" t="s">
        <v>143</v>
      </c>
      <c r="P3711" s="1"/>
      <c r="Q3711" s="1"/>
      <c r="R3711" s="113"/>
      <c r="S3711" s="106">
        <f ca="1">IF(R3704&lt;=0,Q_max,ABS(R$23-R3710))</f>
        <v>18.566150440752317</v>
      </c>
      <c r="T3711" s="7">
        <f>R3700</f>
        <v>57086.269726675069</v>
      </c>
      <c r="U3711" s="98"/>
      <c r="V3711" s="106">
        <f ca="1">IF(U3704&lt;=0,Q_max,ABS(U$23-U3710))</f>
        <v>58.338871538715502</v>
      </c>
      <c r="W3711" s="9">
        <f ca="1">U3700</f>
        <v>158751.50649406578</v>
      </c>
      <c r="X3711" s="98"/>
      <c r="Y3711" s="106">
        <f ca="1">IF(X3704&lt;=0,Q_max,ABS(X$23-X3710))</f>
        <v>515.96972581173577</v>
      </c>
      <c r="Z3711" s="9">
        <f ca="1">X3700</f>
        <v>388724.12595104007</v>
      </c>
      <c r="AA3711" s="98"/>
      <c r="AB3711" s="106">
        <f ca="1">IF(AA3704&lt;=0,Q_max,ABS(AA$23-AA3710))</f>
        <v>236393</v>
      </c>
      <c r="AC3711" s="9">
        <f ca="1">AA3700</f>
        <v>757135.37730242021</v>
      </c>
      <c r="AD3711" s="98"/>
      <c r="AE3711" s="106">
        <f ca="1">IF(AD3704&lt;=0,Q_max,ABS(AD$23-AD3710))</f>
        <v>236393</v>
      </c>
      <c r="AF3711" s="9">
        <f ca="1">AD3700</f>
        <v>1270237.634547937</v>
      </c>
      <c r="AG3711" s="98"/>
      <c r="AH3711" s="106">
        <f ca="1">IF(AG3704&lt;=0,Q_max,ABS(AG$23-AG3710))</f>
        <v>236393</v>
      </c>
      <c r="AI3711" s="9">
        <f ca="1">AG3700</f>
        <v>1853946.4239950122</v>
      </c>
      <c r="AJ3711" s="98"/>
      <c r="AK3711" s="106">
        <f ca="1">IF(AJ3704&lt;=0,Q_max,ABS(AJ$23-AJ3710))</f>
        <v>236393</v>
      </c>
      <c r="AL3711" s="9">
        <f ca="1">AJ3700</f>
        <v>2474098.689769303</v>
      </c>
      <c r="AM3711" s="98"/>
      <c r="AN3711" s="106">
        <f ca="1">IF(AM3704&lt;=0,Q_max,ABS(AM$23-AM3710))</f>
        <v>236393</v>
      </c>
      <c r="AO3711" s="9">
        <f ca="1">AM3700</f>
        <v>3018870.5791048184</v>
      </c>
      <c r="AP3711" s="98"/>
      <c r="AQ3711" s="106">
        <f ca="1">IF(AP3704&lt;=0,Q_max,ABS(AP$23-AP3710))</f>
        <v>236393</v>
      </c>
      <c r="AR3711" s="9">
        <f ca="1">AP3700</f>
        <v>3504815.0226205443</v>
      </c>
      <c r="AS3711" s="98"/>
      <c r="AT3711" s="106">
        <f ca="1">IF(AS3704&lt;=0,Q_max,ABS(AS$23-AS3710))</f>
        <v>236393</v>
      </c>
      <c r="AU3711" s="9">
        <f ca="1">AS3700</f>
        <v>4109671.2499326197</v>
      </c>
    </row>
    <row r="3712" spans="15:47" x14ac:dyDescent="0.25">
      <c r="O3712" s="21"/>
      <c r="P3712" s="14"/>
      <c r="Q3712" s="21"/>
      <c r="R3712" s="97"/>
      <c r="S3712" s="106"/>
      <c r="T3712" s="28"/>
      <c r="U3712" s="97"/>
      <c r="V3712" s="111"/>
      <c r="W3712" s="28"/>
      <c r="X3712" s="97"/>
      <c r="Y3712" s="111"/>
      <c r="Z3712" s="28"/>
      <c r="AA3712" s="97"/>
      <c r="AB3712" s="111"/>
      <c r="AC3712" s="28"/>
      <c r="AD3712" s="97"/>
      <c r="AE3712" s="111"/>
      <c r="AF3712" s="28"/>
      <c r="AG3712" s="97"/>
      <c r="AH3712" s="111"/>
      <c r="AI3712" s="28"/>
      <c r="AJ3712" s="97"/>
      <c r="AK3712" s="111"/>
      <c r="AL3712" s="28"/>
      <c r="AM3712" s="97"/>
      <c r="AN3712" s="111"/>
      <c r="AO3712" s="28"/>
      <c r="AP3712" s="97"/>
      <c r="AQ3712" s="111"/>
      <c r="AR3712" s="28"/>
      <c r="AS3712" s="97"/>
      <c r="AT3712" s="111"/>
      <c r="AU3712" s="28"/>
    </row>
    <row r="3713" spans="15:47" x14ac:dyDescent="0.25">
      <c r="O3713" s="1"/>
      <c r="P3713" s="1"/>
      <c r="Q3713" s="1"/>
      <c r="R3713" s="98"/>
      <c r="S3713" s="108" t="s">
        <v>137</v>
      </c>
      <c r="T3713" s="26" t="s">
        <v>146</v>
      </c>
      <c r="U3713" s="98"/>
      <c r="V3713" s="108" t="s">
        <v>137</v>
      </c>
      <c r="W3713" s="26" t="s">
        <v>146</v>
      </c>
      <c r="X3713" s="98"/>
      <c r="Y3713" s="108" t="s">
        <v>137</v>
      </c>
      <c r="Z3713" s="26" t="s">
        <v>146</v>
      </c>
      <c r="AA3713" s="98"/>
      <c r="AB3713" s="108" t="s">
        <v>137</v>
      </c>
      <c r="AC3713" s="26" t="s">
        <v>146</v>
      </c>
      <c r="AD3713" s="98"/>
      <c r="AE3713" s="108" t="s">
        <v>137</v>
      </c>
      <c r="AF3713" s="26" t="s">
        <v>146</v>
      </c>
      <c r="AG3713" s="98"/>
      <c r="AH3713" s="108" t="s">
        <v>137</v>
      </c>
      <c r="AI3713" s="26" t="s">
        <v>146</v>
      </c>
      <c r="AJ3713" s="98"/>
      <c r="AK3713" s="108" t="s">
        <v>137</v>
      </c>
      <c r="AL3713" s="26" t="s">
        <v>146</v>
      </c>
      <c r="AM3713" s="98"/>
      <c r="AN3713" s="108" t="s">
        <v>137</v>
      </c>
      <c r="AO3713" s="26" t="s">
        <v>146</v>
      </c>
      <c r="AP3713" s="98"/>
      <c r="AQ3713" s="108" t="s">
        <v>137</v>
      </c>
      <c r="AR3713" s="26" t="s">
        <v>146</v>
      </c>
      <c r="AS3713" s="98"/>
      <c r="AT3713" s="108" t="s">
        <v>137</v>
      </c>
      <c r="AU3713" s="26" t="s">
        <v>146</v>
      </c>
    </row>
    <row r="3714" spans="15:47" ht="13.8" x14ac:dyDescent="0.25">
      <c r="O3714" s="20" t="s">
        <v>136</v>
      </c>
      <c r="P3714" s="1"/>
      <c r="Q3714" s="1"/>
      <c r="R3714" s="96">
        <f>R3700*1.02</f>
        <v>58227.995121208573</v>
      </c>
      <c r="S3714" s="109" t="s">
        <v>144</v>
      </c>
      <c r="T3714" s="23" t="s">
        <v>147</v>
      </c>
      <c r="U3714" s="96">
        <f ca="1">U3700*1.01</f>
        <v>160339.02155900645</v>
      </c>
      <c r="V3714" s="109" t="s">
        <v>144</v>
      </c>
      <c r="W3714" s="23" t="s">
        <v>147</v>
      </c>
      <c r="X3714" s="96">
        <f ca="1">X3700*1.01</f>
        <v>392611.36721055047</v>
      </c>
      <c r="Y3714" s="109" t="s">
        <v>144</v>
      </c>
      <c r="Z3714" s="23" t="s">
        <v>147</v>
      </c>
      <c r="AA3714" s="96">
        <f ca="1">AA3700*1.01</f>
        <v>764706.73107544438</v>
      </c>
      <c r="AB3714" s="109" t="s">
        <v>144</v>
      </c>
      <c r="AC3714" s="23" t="s">
        <v>147</v>
      </c>
      <c r="AD3714" s="96">
        <f ca="1">AD3700*1.01</f>
        <v>1282940.0108934164</v>
      </c>
      <c r="AE3714" s="109" t="s">
        <v>144</v>
      </c>
      <c r="AF3714" s="23" t="s">
        <v>147</v>
      </c>
      <c r="AG3714" s="96">
        <f ca="1">AG3700*1.01</f>
        <v>1872485.8882349622</v>
      </c>
      <c r="AH3714" s="109" t="s">
        <v>144</v>
      </c>
      <c r="AI3714" s="23" t="s">
        <v>147</v>
      </c>
      <c r="AJ3714" s="96">
        <f ca="1">AJ3700*1.01</f>
        <v>2498839.676666996</v>
      </c>
      <c r="AK3714" s="109" t="s">
        <v>144</v>
      </c>
      <c r="AL3714" s="23" t="s">
        <v>147</v>
      </c>
      <c r="AM3714" s="96">
        <f ca="1">AM3700*1.01</f>
        <v>3049059.2848958666</v>
      </c>
      <c r="AN3714" s="109" t="s">
        <v>144</v>
      </c>
      <c r="AO3714" s="23" t="s">
        <v>147</v>
      </c>
      <c r="AP3714" s="96">
        <f ca="1">AP3700*1.01</f>
        <v>3539863.1728467499</v>
      </c>
      <c r="AQ3714" s="109" t="s">
        <v>144</v>
      </c>
      <c r="AR3714" s="23" t="s">
        <v>147</v>
      </c>
      <c r="AS3714" s="96">
        <f ca="1">AS3700*1.01</f>
        <v>4150767.9624319458</v>
      </c>
      <c r="AT3714" s="109" t="s">
        <v>144</v>
      </c>
      <c r="AU3714" s="23" t="s">
        <v>147</v>
      </c>
    </row>
    <row r="3715" spans="15:47" x14ac:dyDescent="0.25">
      <c r="O3715" s="1"/>
      <c r="P3715" s="1"/>
      <c r="Q3715" s="1"/>
      <c r="R3715" s="98"/>
      <c r="S3715" s="107"/>
      <c r="T3715" s="1"/>
      <c r="U3715" s="47"/>
      <c r="V3715" s="107"/>
      <c r="W3715" s="1"/>
      <c r="X3715" s="47"/>
      <c r="Y3715" s="107"/>
      <c r="Z3715" s="1"/>
      <c r="AA3715" s="47"/>
      <c r="AB3715" s="107"/>
      <c r="AC3715" s="1"/>
      <c r="AD3715" s="47"/>
      <c r="AE3715" s="107"/>
      <c r="AF3715" s="1"/>
      <c r="AG3715" s="47"/>
      <c r="AH3715" s="107"/>
      <c r="AI3715" s="1"/>
      <c r="AJ3715" s="47"/>
      <c r="AK3715" s="107"/>
      <c r="AL3715" s="1"/>
      <c r="AM3715" s="47"/>
      <c r="AN3715" s="107"/>
      <c r="AO3715" s="1"/>
      <c r="AP3715" s="47"/>
      <c r="AQ3715" s="107"/>
      <c r="AR3715" s="1"/>
      <c r="AS3715" s="47"/>
      <c r="AT3715" s="107"/>
      <c r="AU3715" s="1"/>
    </row>
    <row r="3716" spans="15:47" x14ac:dyDescent="0.25">
      <c r="O3716" s="8" t="s">
        <v>132</v>
      </c>
      <c r="P3716" s="8"/>
      <c r="Q3716" s="8"/>
      <c r="R3716" s="96">
        <f>P_1_minQ-(R3714^2*R_up)+dpup_minQ</f>
        <v>89.567085017298609</v>
      </c>
      <c r="S3716" s="106"/>
      <c r="T3716" s="22"/>
      <c r="U3716" s="96">
        <f ca="1">P_1_minQ-(U3714^2*R_up)+dpup_minQ</f>
        <v>85.49936733419365</v>
      </c>
      <c r="V3716" s="107"/>
      <c r="W3716" s="1"/>
      <c r="X3716" s="96">
        <f ca="1">P_1_minQ-(X3714^2*R_up)+dpup_minQ</f>
        <v>62.090671925434108</v>
      </c>
      <c r="Y3716" s="107"/>
      <c r="Z3716" s="1"/>
      <c r="AA3716" s="96">
        <f ca="1">P_1_minQ-(AA3714^2*R_up)+dpup_minQ</f>
        <v>-16.396836167087827</v>
      </c>
      <c r="AB3716" s="107"/>
      <c r="AC3716" s="1"/>
      <c r="AD3716" s="96">
        <f ca="1">P_1_minQ-(AD3714^2*R_up)+dpup_minQ</f>
        <v>-209.80458538849751</v>
      </c>
      <c r="AE3716" s="107"/>
      <c r="AF3716" s="1"/>
      <c r="AG3716" s="96">
        <f ca="1">P_1_minQ-(AG3714^2*R_up)+dpup_minQ</f>
        <v>-548.85878630884417</v>
      </c>
      <c r="AH3716" s="107"/>
      <c r="AI3716" s="1"/>
      <c r="AJ3716" s="96">
        <f ca="1">P_1_minQ-(AJ3714^2*R_up)+dpup_minQ</f>
        <v>-1047.8884919237728</v>
      </c>
      <c r="AK3716" s="107"/>
      <c r="AL3716" s="1"/>
      <c r="AM3716" s="96">
        <f ca="1">P_1_minQ-(AM3714^2*R_up)+dpup_minQ</f>
        <v>-1604.2513680971847</v>
      </c>
      <c r="AN3716" s="107"/>
      <c r="AO3716" s="1"/>
      <c r="AP3716" s="96">
        <f ca="1">P_1_minQ-(AP3714^2*R_up)+dpup_minQ</f>
        <v>-2193.6592349388247</v>
      </c>
      <c r="AQ3716" s="107"/>
      <c r="AR3716" s="1"/>
      <c r="AS3716" s="96">
        <f ca="1">P_1_minQ-(AS3714^2*R_up)+dpup_minQ</f>
        <v>-3049.9653572425632</v>
      </c>
      <c r="AT3716" s="107"/>
      <c r="AU3716" s="1"/>
    </row>
    <row r="3717" spans="15:47" x14ac:dyDescent="0.25">
      <c r="O3717" s="8" t="s">
        <v>134</v>
      </c>
      <c r="P3717" s="1"/>
      <c r="Q3717" s="8"/>
      <c r="R3717" s="97">
        <f>P_2_minQ+(R3714^2*R_dn)-dpdn_minQ</f>
        <v>60</v>
      </c>
      <c r="S3717" s="106"/>
      <c r="T3717" s="22"/>
      <c r="U3717" s="97">
        <f ca="1">P_2_minQ+(U3714^2*R_dn)-dpdn_minQ</f>
        <v>60</v>
      </c>
      <c r="V3717" s="107"/>
      <c r="W3717" s="1"/>
      <c r="X3717" s="97">
        <f ca="1">P_2_minQ+(X3714^2*R_dn)-dpdn_minQ</f>
        <v>60</v>
      </c>
      <c r="Y3717" s="107"/>
      <c r="Z3717" s="1"/>
      <c r="AA3717" s="97">
        <f ca="1">P_2_minQ+(AA3714^2*R_dn)-dpdn_minQ</f>
        <v>60</v>
      </c>
      <c r="AB3717" s="107"/>
      <c r="AC3717" s="1"/>
      <c r="AD3717" s="97">
        <f ca="1">P_2_minQ+(AD3714^2*R_dn)-dpdn_minQ</f>
        <v>60</v>
      </c>
      <c r="AE3717" s="107"/>
      <c r="AF3717" s="1"/>
      <c r="AG3717" s="97">
        <f ca="1">P_2_minQ+(AG3714^2*R_dn)-dpdn_minQ</f>
        <v>60</v>
      </c>
      <c r="AH3717" s="107"/>
      <c r="AI3717" s="1"/>
      <c r="AJ3717" s="97">
        <f ca="1">P_2_minQ+(AJ3714^2*R_dn)-dpdn_minQ</f>
        <v>60</v>
      </c>
      <c r="AK3717" s="107"/>
      <c r="AL3717" s="1"/>
      <c r="AM3717" s="97">
        <f ca="1">P_2_minQ+(AM3714^2*R_dn)-dpdn_minQ</f>
        <v>60</v>
      </c>
      <c r="AN3717" s="107"/>
      <c r="AO3717" s="1"/>
      <c r="AP3717" s="97">
        <f ca="1">P_2_minQ+(AP3714^2*R_dn)-dpdn_minQ</f>
        <v>60</v>
      </c>
      <c r="AQ3717" s="107"/>
      <c r="AR3717" s="1"/>
      <c r="AS3717" s="97">
        <f ca="1">P_2_minQ+(AS3714^2*R_dn)-dpdn_minQ</f>
        <v>60</v>
      </c>
      <c r="AT3717" s="107"/>
      <c r="AU3717" s="1"/>
    </row>
    <row r="3718" spans="15:47" x14ac:dyDescent="0.25">
      <c r="O3718" s="8" t="s">
        <v>138</v>
      </c>
      <c r="P3718" s="1"/>
      <c r="Q3718" s="8"/>
      <c r="R3718" s="97">
        <f>R3716-R3717</f>
        <v>29.567085017298609</v>
      </c>
      <c r="S3718" s="106"/>
      <c r="T3718" s="22"/>
      <c r="U3718" s="97">
        <f ca="1">U3716-U3717</f>
        <v>25.49936733419365</v>
      </c>
      <c r="V3718" s="110"/>
      <c r="W3718" s="25"/>
      <c r="X3718" s="97">
        <f ca="1">X3716-X3717</f>
        <v>2.0906719254341084</v>
      </c>
      <c r="Y3718" s="110"/>
      <c r="Z3718" s="25"/>
      <c r="AA3718" s="97">
        <f ca="1">AA3716-AA3717</f>
        <v>-76.396836167087827</v>
      </c>
      <c r="AB3718" s="110"/>
      <c r="AC3718" s="25"/>
      <c r="AD3718" s="97">
        <f ca="1">AD3716-AD3717</f>
        <v>-269.80458538849751</v>
      </c>
      <c r="AE3718" s="110"/>
      <c r="AF3718" s="25"/>
      <c r="AG3718" s="97">
        <f ca="1">AG3716-AG3717</f>
        <v>-608.85878630884417</v>
      </c>
      <c r="AH3718" s="110"/>
      <c r="AI3718" s="25"/>
      <c r="AJ3718" s="97">
        <f ca="1">AJ3716-AJ3717</f>
        <v>-1107.8884919237728</v>
      </c>
      <c r="AK3718" s="110"/>
      <c r="AL3718" s="25"/>
      <c r="AM3718" s="97">
        <f ca="1">AM3716-AM3717</f>
        <v>-1664.2513680971847</v>
      </c>
      <c r="AN3718" s="110"/>
      <c r="AO3718" s="25"/>
      <c r="AP3718" s="97">
        <f ca="1">AP3716-AP3717</f>
        <v>-2253.6592349388247</v>
      </c>
      <c r="AQ3718" s="110"/>
      <c r="AR3718" s="25"/>
      <c r="AS3718" s="97">
        <f ca="1">AS3716-AS3717</f>
        <v>-3109.9653572425632</v>
      </c>
      <c r="AT3718" s="110"/>
      <c r="AU3718" s="25"/>
    </row>
    <row r="3719" spans="15:47" ht="14.4" x14ac:dyDescent="0.3">
      <c r="O3719" s="2" t="s">
        <v>140</v>
      </c>
      <c r="P3719" s="11"/>
      <c r="Q3719" s="2"/>
      <c r="R3719" s="96">
        <f>R3718/R3716</f>
        <v>0.33011105599326079</v>
      </c>
      <c r="S3719" s="106"/>
      <c r="T3719" s="22"/>
      <c r="U3719" s="96">
        <f ca="1">U3718/U3716</f>
        <v>0.29824042129485701</v>
      </c>
      <c r="V3719" s="111"/>
      <c r="W3719" s="28"/>
      <c r="X3719" s="96">
        <f ca="1">X3718/X3716</f>
        <v>3.3671272360280412E-2</v>
      </c>
      <c r="Y3719" s="111"/>
      <c r="Z3719" s="28"/>
      <c r="AA3719" s="96">
        <f ca="1">AA3718/AA3716</f>
        <v>4.6592425141402352</v>
      </c>
      <c r="AB3719" s="111"/>
      <c r="AC3719" s="28"/>
      <c r="AD3719" s="96">
        <f ca="1">AD3718/AD3716</f>
        <v>1.2859804035688607</v>
      </c>
      <c r="AE3719" s="111"/>
      <c r="AF3719" s="28"/>
      <c r="AG3719" s="96">
        <f ca="1">AG3718/AG3716</f>
        <v>1.1093177361767474</v>
      </c>
      <c r="AH3719" s="111"/>
      <c r="AI3719" s="28"/>
      <c r="AJ3719" s="96">
        <f ca="1">AJ3718/AJ3716</f>
        <v>1.0572580006960937</v>
      </c>
      <c r="AK3719" s="111"/>
      <c r="AL3719" s="28"/>
      <c r="AM3719" s="96">
        <f ca="1">AM3718/AM3716</f>
        <v>1.0374006226163712</v>
      </c>
      <c r="AN3719" s="111"/>
      <c r="AO3719" s="28"/>
      <c r="AP3719" s="96">
        <f ca="1">AP3718/AP3716</f>
        <v>1.0273515590044109</v>
      </c>
      <c r="AQ3719" s="111"/>
      <c r="AR3719" s="28"/>
      <c r="AS3719" s="96">
        <f ca="1">AS3718/AS3716</f>
        <v>1.0196723545916748</v>
      </c>
      <c r="AT3719" s="111"/>
      <c r="AU3719" s="28"/>
    </row>
    <row r="3720" spans="15:47" x14ac:dyDescent="0.25">
      <c r="O3720" s="2" t="s">
        <v>21</v>
      </c>
      <c r="P3720" s="8">
        <v>12</v>
      </c>
      <c r="Q3720" s="2"/>
      <c r="R3720" s="96">
        <f ca="1">1-R3719/(3*F_GAMMA*R$29)</f>
        <v>0.82807513605716743</v>
      </c>
      <c r="S3720" s="106"/>
      <c r="T3720" s="22"/>
      <c r="U3720" s="96">
        <f ca="1">1-U3719/(3*F_GAMMA*U$29)</f>
        <v>0.84470973939785488</v>
      </c>
      <c r="V3720" s="111"/>
      <c r="W3720" s="28"/>
      <c r="X3720" s="96">
        <f ca="1">1-X3719/(3*F_GAMMA*X$29)</f>
        <v>0.98230078562600265</v>
      </c>
      <c r="Y3720" s="111"/>
      <c r="Z3720" s="28"/>
      <c r="AA3720" s="96">
        <f ca="1">1-AA3719/(3*F_GAMMA*AA$29)</f>
        <v>-1.4836413542571836</v>
      </c>
      <c r="AB3720" s="111"/>
      <c r="AC3720" s="28"/>
      <c r="AD3720" s="96">
        <f ca="1">1-AD3719/(3*F_GAMMA*AD$29)</f>
        <v>0.2932390337295594</v>
      </c>
      <c r="AE3720" s="111"/>
      <c r="AF3720" s="28"/>
      <c r="AG3720" s="96">
        <f ca="1">1-AG3719/(3*F_GAMMA*AG$29)</f>
        <v>0.35374702048310858</v>
      </c>
      <c r="AH3720" s="111"/>
      <c r="AI3720" s="28"/>
      <c r="AJ3720" s="96">
        <f ca="1">1-AJ3719/(3*F_GAMMA*AJ$29)</f>
        <v>0.33734940720569551</v>
      </c>
      <c r="AK3720" s="111"/>
      <c r="AL3720" s="28"/>
      <c r="AM3720" s="96">
        <f ca="1">1-AM3719/(3*F_GAMMA*AM$29)</f>
        <v>0.27301752989291639</v>
      </c>
      <c r="AN3720" s="111"/>
      <c r="AO3720" s="28"/>
      <c r="AP3720" s="96">
        <f ca="1">1-AP3719/(3*F_GAMMA*AP$29)</f>
        <v>0.42010769482535137</v>
      </c>
      <c r="AQ3720" s="111"/>
      <c r="AR3720" s="28"/>
      <c r="AS3720" s="96">
        <f ca="1">1-AS3719/(3*F_GAMMA*AS$29)</f>
        <v>9.7690872872685963E-2</v>
      </c>
      <c r="AT3720" s="111"/>
      <c r="AU3720" s="28"/>
    </row>
    <row r="3721" spans="15:47" x14ac:dyDescent="0.25">
      <c r="O3721" s="2" t="s">
        <v>57</v>
      </c>
      <c r="P3721" s="143">
        <v>7</v>
      </c>
      <c r="Q3721" s="2"/>
      <c r="R3721" s="96">
        <f ca="1">(R3714/(N_9*R$27*R3716*R3720))*SQRT(M*'Valve Sizing'!$W$6*'Valve Sizing'!$G$8/R3719)</f>
        <v>23.772215107198534</v>
      </c>
      <c r="S3721" s="107"/>
      <c r="T3721" s="22"/>
      <c r="U3721" s="96">
        <f ca="1">(U3714/(N_9*U$27*U3716*U3720))*SQRT(M*'Valve Sizing'!$W$6*'Valve Sizing'!$G$8/U3719)</f>
        <v>70.771185795272388</v>
      </c>
      <c r="V3721" s="111"/>
      <c r="W3721" s="28"/>
      <c r="X3721" s="96">
        <f ca="1">(X3714/(N_9*X$27*X3716*X3720))*SQRT(M*'Valve Sizing'!$W$6*'Valve Sizing'!$G$8/X3719)</f>
        <v>612.11321102260376</v>
      </c>
      <c r="Y3721" s="111"/>
      <c r="Z3721" s="28"/>
      <c r="AA3721" s="96">
        <f ca="1">(AA3714/(N_9*AA$27*AA3716*AA3720))*SQRT(M*'Valve Sizing'!$W$6*'Valve Sizing'!$G$8/AA3719)</f>
        <v>255.61561746659302</v>
      </c>
      <c r="AB3721" s="111"/>
      <c r="AC3721" s="28"/>
      <c r="AD3721" s="96">
        <f ca="1">(AD3714/(N_9*AD$27*AD3716*AD3720))*SQRT(M*'Valve Sizing'!$W$6*'Valve Sizing'!$G$8/AD3719)</f>
        <v>-326.76719111700532</v>
      </c>
      <c r="AE3721" s="111"/>
      <c r="AF3721" s="28"/>
      <c r="AG3721" s="96">
        <f ca="1">(AG3714/(N_9*AG$27*AG3716*AG3720))*SQRT(M*'Valve Sizing'!$W$6*'Valve Sizing'!$G$8/AG3719)</f>
        <v>-166.3751665219404</v>
      </c>
      <c r="AH3721" s="111"/>
      <c r="AI3721" s="28"/>
      <c r="AJ3721" s="96">
        <f ca="1">(AJ3714/(N_9*AJ$27*AJ3716*AJ3720))*SQRT(M*'Valve Sizing'!$W$6*'Valve Sizing'!$G$8/AJ3719)</f>
        <v>-129.42770771013102</v>
      </c>
      <c r="AK3721" s="111"/>
      <c r="AL3721" s="28"/>
      <c r="AM3721" s="96">
        <f ca="1">(AM3714/(N_9*AM$27*AM3716*AM3720))*SQRT(M*'Valve Sizing'!$W$6*'Valve Sizing'!$G$8/AM3719)</f>
        <v>-136.52831691499844</v>
      </c>
      <c r="AN3721" s="111"/>
      <c r="AO3721" s="28"/>
      <c r="AP3721" s="96">
        <f ca="1">(AP3714/(N_9*AP$27*AP3716*AP3720))*SQRT(M*'Valve Sizing'!$W$6*'Valve Sizing'!$G$8/AP3719)</f>
        <v>-86.160194240513079</v>
      </c>
      <c r="AQ3721" s="111"/>
      <c r="AR3721" s="28"/>
      <c r="AS3721" s="96">
        <f ca="1">(AS3714/(N_9*AS$27*AS3716*AS3720))*SQRT(M*'Valve Sizing'!$W$6*'Valve Sizing'!$G$8/AS3719)</f>
        <v>-420.11268397894236</v>
      </c>
      <c r="AT3721" s="111"/>
      <c r="AU3721" s="28"/>
    </row>
    <row r="3722" spans="15:47" x14ac:dyDescent="0.25">
      <c r="O3722" s="2" t="s">
        <v>59</v>
      </c>
      <c r="P3722" s="143">
        <v>7</v>
      </c>
      <c r="Q3722" s="2"/>
      <c r="R3722" s="96">
        <f ca="1">(R3714/(N_9*R$27*R3716*0.667))*SQRT(M*'Valve Sizing'!$W$6*'Valve Sizing'!$G$8/R3723)</f>
        <v>21.195493564456335</v>
      </c>
      <c r="S3722" s="107"/>
      <c r="T3722" s="22"/>
      <c r="U3722" s="96">
        <f ca="1">(U3714/(N_9*U$27*U3716*0.667))*SQRT(M*'Valve Sizing'!$W$6*'Valve Sizing'!$G$8/U3723)</f>
        <v>61.174563163958304</v>
      </c>
      <c r="V3722" s="111"/>
      <c r="W3722" s="28"/>
      <c r="X3722" s="96">
        <f ca="1">(X3714/(N_9*X$27*X3716*0.667))*SQRT(M*'Valve Sizing'!$W$6*'Valve Sizing'!$G$8/X3723)</f>
        <v>207.72464833165498</v>
      </c>
      <c r="Y3722" s="111"/>
      <c r="Z3722" s="28"/>
      <c r="AA3722" s="96">
        <f ca="1">(AA3714/(N_9*AA$27*AA3716*0.667))*SQRT(M*'Valve Sizing'!$W$6*'Valve Sizing'!$G$8/AA3723)</f>
        <v>-1552.0136959224928</v>
      </c>
      <c r="AB3722" s="111"/>
      <c r="AC3722" s="28"/>
      <c r="AD3722" s="96">
        <f ca="1">(AD3714/(N_9*AD$27*AD3716*0.667))*SQRT(M*'Valve Sizing'!$W$6*'Valve Sizing'!$G$8/AD3723)</f>
        <v>-209.18536445464613</v>
      </c>
      <c r="AE3722" s="111"/>
      <c r="AF3722" s="28"/>
      <c r="AG3722" s="96">
        <f ca="1">(AG3714/(N_9*AG$27*AG3716*0.667))*SQRT(M*'Valve Sizing'!$W$6*'Valve Sizing'!$G$8/AG3723)</f>
        <v>-122.86193938380434</v>
      </c>
      <c r="AH3722" s="111"/>
      <c r="AI3722" s="28"/>
      <c r="AJ3722" s="96">
        <f ca="1">(AJ3714/(N_9*AJ$27*AJ3716*0.667))*SQRT(M*'Valve Sizing'!$W$6*'Valve Sizing'!$G$8/AJ3723)</f>
        <v>-92.296301786597198</v>
      </c>
      <c r="AK3722" s="111"/>
      <c r="AL3722" s="28"/>
      <c r="AM3722" s="96">
        <f ca="1">(AM3714/(N_9*AM$27*AM3716*0.667))*SQRT(M*'Valve Sizing'!$W$6*'Valve Sizing'!$G$8/AM3723)</f>
        <v>-82.529655507630238</v>
      </c>
      <c r="AN3722" s="111"/>
      <c r="AO3722" s="28"/>
      <c r="AP3722" s="96">
        <f ca="1">(AP3714/(N_9*AP$27*AP3716*0.667))*SQRT(M*'Valve Sizing'!$W$6*'Valve Sizing'!$G$8/AP3723)</f>
        <v>-71.577375803174334</v>
      </c>
      <c r="AQ3722" s="111"/>
      <c r="AR3722" s="28"/>
      <c r="AS3722" s="96">
        <f ca="1">(AS3714/(N_9*AS$27*AS3716*0.667))*SQRT(M*'Valve Sizing'!$W$6*'Valve Sizing'!$G$8/AS3723)</f>
        <v>-101.23536489953155</v>
      </c>
      <c r="AT3722" s="111"/>
      <c r="AU3722" s="28"/>
    </row>
    <row r="3723" spans="15:47" ht="15.6" x14ac:dyDescent="0.35">
      <c r="O3723" s="2" t="s">
        <v>68</v>
      </c>
      <c r="P3723" s="143">
        <v>10</v>
      </c>
      <c r="Q3723" s="2"/>
      <c r="R3723" s="96">
        <f ca="1">F_GAMMA*R$29</f>
        <v>0.64002969751372984</v>
      </c>
      <c r="S3723" s="107"/>
      <c r="T3723" s="1"/>
      <c r="U3723" s="96">
        <f ca="1">F_GAMMA*U$29</f>
        <v>0.64017842058782071</v>
      </c>
      <c r="V3723" s="111"/>
      <c r="W3723" s="28"/>
      <c r="X3723" s="96">
        <f ca="1">F_GAMMA*X$29</f>
        <v>0.63413873724904268</v>
      </c>
      <c r="Y3723" s="111"/>
      <c r="Z3723" s="28"/>
      <c r="AA3723" s="96">
        <f ca="1">F_GAMMA*AA$29</f>
        <v>0.62532411750377137</v>
      </c>
      <c r="AB3723" s="111"/>
      <c r="AC3723" s="28"/>
      <c r="AD3723" s="96">
        <f ca="1">F_GAMMA*AD$29</f>
        <v>0.60651359509139569</v>
      </c>
      <c r="AE3723" s="111"/>
      <c r="AF3723" s="28"/>
      <c r="AG3723" s="96">
        <f ca="1">F_GAMMA*AG$29</f>
        <v>0.57217930198481592</v>
      </c>
      <c r="AH3723" s="111"/>
      <c r="AI3723" s="28"/>
      <c r="AJ3723" s="96">
        <f ca="1">F_GAMMA*AJ$29</f>
        <v>0.53183282018848232</v>
      </c>
      <c r="AK3723" s="111"/>
      <c r="AL3723" s="28"/>
      <c r="AM3723" s="96">
        <f ca="1">F_GAMMA*AM$29</f>
        <v>0.47566512503094399</v>
      </c>
      <c r="AN3723" s="111"/>
      <c r="AO3723" s="28"/>
      <c r="AP3723" s="96">
        <f ca="1">F_GAMMA*AP$29</f>
        <v>0.59054158265645496</v>
      </c>
      <c r="AQ3723" s="111"/>
      <c r="AR3723" s="28"/>
      <c r="AS3723" s="96">
        <f ca="1">F_GAMMA*AS$29</f>
        <v>0.3766899554102966</v>
      </c>
      <c r="AT3723" s="111"/>
      <c r="AU3723" s="28"/>
    </row>
    <row r="3724" spans="15:47" x14ac:dyDescent="0.25">
      <c r="O3724" s="2" t="s">
        <v>145</v>
      </c>
      <c r="P3724" s="12"/>
      <c r="Q3724" s="2"/>
      <c r="R3724" s="96">
        <f ca="1">IF(R3719&lt;R3723,R3721,R3722)</f>
        <v>23.772215107198534</v>
      </c>
      <c r="S3724" s="116"/>
      <c r="T3724" s="1"/>
      <c r="U3724" s="96">
        <f ca="1">IF(U3719&lt;U3723,U3721,U3722)</f>
        <v>70.771185795272388</v>
      </c>
      <c r="V3724" s="111"/>
      <c r="W3724" s="28"/>
      <c r="X3724" s="96">
        <f ca="1">IF(X3719&lt;X3723,X3721,X3722)</f>
        <v>612.11321102260376</v>
      </c>
      <c r="Y3724" s="111"/>
      <c r="Z3724" s="28"/>
      <c r="AA3724" s="96">
        <f ca="1">IF(AA3719&lt;AA3723,AA3721,AA3722)</f>
        <v>-1552.0136959224928</v>
      </c>
      <c r="AB3724" s="111"/>
      <c r="AC3724" s="28"/>
      <c r="AD3724" s="96">
        <f ca="1">IF(AD3719&lt;AD3723,AD3721,AD3722)</f>
        <v>-209.18536445464613</v>
      </c>
      <c r="AE3724" s="111"/>
      <c r="AF3724" s="28"/>
      <c r="AG3724" s="96">
        <f ca="1">IF(AG3719&lt;AG3723,AG3721,AG3722)</f>
        <v>-122.86193938380434</v>
      </c>
      <c r="AH3724" s="111"/>
      <c r="AI3724" s="28"/>
      <c r="AJ3724" s="96">
        <f ca="1">IF(AJ3719&lt;AJ3723,AJ3721,AJ3722)</f>
        <v>-92.296301786597198</v>
      </c>
      <c r="AK3724" s="111"/>
      <c r="AL3724" s="28"/>
      <c r="AM3724" s="96">
        <f ca="1">IF(AM3719&lt;AM3723,AM3721,AM3722)</f>
        <v>-82.529655507630238</v>
      </c>
      <c r="AN3724" s="111"/>
      <c r="AO3724" s="28"/>
      <c r="AP3724" s="96">
        <f ca="1">IF(AP3719&lt;AP3723,AP3721,AP3722)</f>
        <v>-71.577375803174334</v>
      </c>
      <c r="AQ3724" s="111"/>
      <c r="AR3724" s="28"/>
      <c r="AS3724" s="96">
        <f ca="1">IF(AS3719&lt;AS3723,AS3721,AS3722)</f>
        <v>-101.23536489953155</v>
      </c>
      <c r="AT3724" s="111"/>
      <c r="AU3724" s="28"/>
    </row>
    <row r="3725" spans="15:47" x14ac:dyDescent="0.25">
      <c r="O3725" s="13" t="s">
        <v>143</v>
      </c>
      <c r="P3725" s="1"/>
      <c r="Q3725" s="1"/>
      <c r="R3725" s="113"/>
      <c r="S3725" s="106">
        <f ca="1">IF(R3718&lt;=0,Q_max,ABS(R$23-R3724))</f>
        <v>19.042215107198533</v>
      </c>
      <c r="T3725" s="7">
        <f>R3714</f>
        <v>58227.995121208573</v>
      </c>
      <c r="U3725" s="98"/>
      <c r="V3725" s="106">
        <f ca="1">IF(U3718&lt;=0,Q_max,ABS(U$23-U3724))</f>
        <v>59.171185795272386</v>
      </c>
      <c r="W3725" s="9">
        <f ca="1">U3714</f>
        <v>160339.02155900645</v>
      </c>
      <c r="X3725" s="98"/>
      <c r="Y3725" s="106">
        <f ca="1">IF(X3718&lt;=0,Q_max,ABS(X$23-X3724))</f>
        <v>589.11321102260376</v>
      </c>
      <c r="Z3725" s="9">
        <f ca="1">X3714</f>
        <v>392611.36721055047</v>
      </c>
      <c r="AA3725" s="98"/>
      <c r="AB3725" s="106">
        <f ca="1">IF(AA3718&lt;=0,Q_max,ABS(AA$23-AA3724))</f>
        <v>236393</v>
      </c>
      <c r="AC3725" s="9">
        <f ca="1">AA3714</f>
        <v>764706.73107544438</v>
      </c>
      <c r="AD3725" s="98"/>
      <c r="AE3725" s="106">
        <f ca="1">IF(AD3718&lt;=0,Q_max,ABS(AD$23-AD3724))</f>
        <v>236393</v>
      </c>
      <c r="AF3725" s="9">
        <f ca="1">AD3714</f>
        <v>1282940.0108934164</v>
      </c>
      <c r="AG3725" s="98"/>
      <c r="AH3725" s="106">
        <f ca="1">IF(AG3718&lt;=0,Q_max,ABS(AG$23-AG3724))</f>
        <v>236393</v>
      </c>
      <c r="AI3725" s="9">
        <f ca="1">AG3714</f>
        <v>1872485.8882349622</v>
      </c>
      <c r="AJ3725" s="98"/>
      <c r="AK3725" s="106">
        <f ca="1">IF(AJ3718&lt;=0,Q_max,ABS(AJ$23-AJ3724))</f>
        <v>236393</v>
      </c>
      <c r="AL3725" s="9">
        <f ca="1">AJ3714</f>
        <v>2498839.676666996</v>
      </c>
      <c r="AM3725" s="98"/>
      <c r="AN3725" s="106">
        <f ca="1">IF(AM3718&lt;=0,Q_max,ABS(AM$23-AM3724))</f>
        <v>236393</v>
      </c>
      <c r="AO3725" s="9">
        <f ca="1">AM3714</f>
        <v>3049059.2848958666</v>
      </c>
      <c r="AP3725" s="98"/>
      <c r="AQ3725" s="106">
        <f ca="1">IF(AP3718&lt;=0,Q_max,ABS(AP$23-AP3724))</f>
        <v>236393</v>
      </c>
      <c r="AR3725" s="9">
        <f ca="1">AP3714</f>
        <v>3539863.1728467499</v>
      </c>
      <c r="AS3725" s="98"/>
      <c r="AT3725" s="106">
        <f ca="1">IF(AS3718&lt;=0,Q_max,ABS(AS$23-AS3724))</f>
        <v>236393</v>
      </c>
      <c r="AU3725" s="9">
        <f ca="1">AS3714</f>
        <v>4150767.9624319458</v>
      </c>
    </row>
    <row r="3726" spans="15:47" x14ac:dyDescent="0.25">
      <c r="O3726" s="21"/>
      <c r="P3726" s="14"/>
      <c r="Q3726" s="21"/>
      <c r="R3726" s="97"/>
      <c r="S3726" s="106"/>
      <c r="T3726" s="28"/>
      <c r="U3726" s="97"/>
      <c r="V3726" s="111"/>
      <c r="W3726" s="28"/>
      <c r="X3726" s="97"/>
      <c r="Y3726" s="111"/>
      <c r="Z3726" s="28"/>
      <c r="AA3726" s="97"/>
      <c r="AB3726" s="111"/>
      <c r="AC3726" s="28"/>
      <c r="AD3726" s="97"/>
      <c r="AE3726" s="111"/>
      <c r="AF3726" s="28"/>
      <c r="AG3726" s="97"/>
      <c r="AH3726" s="111"/>
      <c r="AI3726" s="28"/>
      <c r="AJ3726" s="97"/>
      <c r="AK3726" s="111"/>
      <c r="AL3726" s="28"/>
      <c r="AM3726" s="97"/>
      <c r="AN3726" s="111"/>
      <c r="AO3726" s="28"/>
      <c r="AP3726" s="97"/>
      <c r="AQ3726" s="111"/>
      <c r="AR3726" s="28"/>
      <c r="AS3726" s="97"/>
      <c r="AT3726" s="111"/>
      <c r="AU3726" s="28"/>
    </row>
    <row r="3727" spans="15:47" x14ac:dyDescent="0.25">
      <c r="O3727" s="1"/>
      <c r="P3727" s="1"/>
      <c r="Q3727" s="1"/>
      <c r="R3727" s="98"/>
      <c r="S3727" s="108" t="s">
        <v>137</v>
      </c>
      <c r="T3727" s="26" t="s">
        <v>146</v>
      </c>
      <c r="U3727" s="98"/>
      <c r="V3727" s="108" t="s">
        <v>137</v>
      </c>
      <c r="W3727" s="26" t="s">
        <v>146</v>
      </c>
      <c r="X3727" s="98"/>
      <c r="Y3727" s="108" t="s">
        <v>137</v>
      </c>
      <c r="Z3727" s="26" t="s">
        <v>146</v>
      </c>
      <c r="AA3727" s="98"/>
      <c r="AB3727" s="108" t="s">
        <v>137</v>
      </c>
      <c r="AC3727" s="26" t="s">
        <v>146</v>
      </c>
      <c r="AD3727" s="98"/>
      <c r="AE3727" s="108" t="s">
        <v>137</v>
      </c>
      <c r="AF3727" s="26" t="s">
        <v>146</v>
      </c>
      <c r="AG3727" s="98"/>
      <c r="AH3727" s="108" t="s">
        <v>137</v>
      </c>
      <c r="AI3727" s="26" t="s">
        <v>146</v>
      </c>
      <c r="AJ3727" s="98"/>
      <c r="AK3727" s="108" t="s">
        <v>137</v>
      </c>
      <c r="AL3727" s="26" t="s">
        <v>146</v>
      </c>
      <c r="AM3727" s="98"/>
      <c r="AN3727" s="108" t="s">
        <v>137</v>
      </c>
      <c r="AO3727" s="26" t="s">
        <v>146</v>
      </c>
      <c r="AP3727" s="98"/>
      <c r="AQ3727" s="108" t="s">
        <v>137</v>
      </c>
      <c r="AR3727" s="26" t="s">
        <v>146</v>
      </c>
      <c r="AS3727" s="98"/>
      <c r="AT3727" s="108" t="s">
        <v>137</v>
      </c>
      <c r="AU3727" s="26" t="s">
        <v>146</v>
      </c>
    </row>
    <row r="3728" spans="15:47" ht="13.8" x14ac:dyDescent="0.25">
      <c r="O3728" s="20" t="s">
        <v>136</v>
      </c>
      <c r="P3728" s="1"/>
      <c r="Q3728" s="1"/>
      <c r="R3728" s="96">
        <f>R3714*1.02</f>
        <v>59392.555023632747</v>
      </c>
      <c r="S3728" s="109" t="s">
        <v>144</v>
      </c>
      <c r="T3728" s="23" t="s">
        <v>147</v>
      </c>
      <c r="U3728" s="96">
        <f ca="1">U3714*1.01</f>
        <v>161942.41177459652</v>
      </c>
      <c r="V3728" s="109" t="s">
        <v>144</v>
      </c>
      <c r="W3728" s="23" t="s">
        <v>147</v>
      </c>
      <c r="X3728" s="96">
        <f ca="1">X3714*1.01</f>
        <v>396537.48088265595</v>
      </c>
      <c r="Y3728" s="109" t="s">
        <v>144</v>
      </c>
      <c r="Z3728" s="23" t="s">
        <v>147</v>
      </c>
      <c r="AA3728" s="96">
        <f ca="1">AA3714*1.01</f>
        <v>772353.79838619882</v>
      </c>
      <c r="AB3728" s="109" t="s">
        <v>144</v>
      </c>
      <c r="AC3728" s="23" t="s">
        <v>147</v>
      </c>
      <c r="AD3728" s="96">
        <f ca="1">AD3714*1.01</f>
        <v>1295769.4110023505</v>
      </c>
      <c r="AE3728" s="109" t="s">
        <v>144</v>
      </c>
      <c r="AF3728" s="23" t="s">
        <v>147</v>
      </c>
      <c r="AG3728" s="96">
        <f ca="1">AG3714*1.01</f>
        <v>1891210.7471173119</v>
      </c>
      <c r="AH3728" s="109" t="s">
        <v>144</v>
      </c>
      <c r="AI3728" s="23" t="s">
        <v>147</v>
      </c>
      <c r="AJ3728" s="96">
        <f ca="1">AJ3714*1.01</f>
        <v>2523828.073433666</v>
      </c>
      <c r="AK3728" s="109" t="s">
        <v>144</v>
      </c>
      <c r="AL3728" s="23" t="s">
        <v>147</v>
      </c>
      <c r="AM3728" s="96">
        <f ca="1">AM3714*1.01</f>
        <v>3079549.8777448256</v>
      </c>
      <c r="AN3728" s="109" t="s">
        <v>144</v>
      </c>
      <c r="AO3728" s="23" t="s">
        <v>147</v>
      </c>
      <c r="AP3728" s="96">
        <f ca="1">AP3714*1.01</f>
        <v>3575261.8045752174</v>
      </c>
      <c r="AQ3728" s="109" t="s">
        <v>144</v>
      </c>
      <c r="AR3728" s="23" t="s">
        <v>147</v>
      </c>
      <c r="AS3728" s="96">
        <f ca="1">AS3714*1.01</f>
        <v>4192275.6420562654</v>
      </c>
      <c r="AT3728" s="109" t="s">
        <v>144</v>
      </c>
      <c r="AU3728" s="23" t="s">
        <v>147</v>
      </c>
    </row>
    <row r="3729" spans="15:47" x14ac:dyDescent="0.25">
      <c r="O3729" s="1"/>
      <c r="P3729" s="1"/>
      <c r="Q3729" s="1"/>
      <c r="R3729" s="98"/>
      <c r="S3729" s="107"/>
      <c r="T3729" s="1"/>
      <c r="U3729" s="47"/>
      <c r="V3729" s="107"/>
      <c r="W3729" s="1"/>
      <c r="X3729" s="47"/>
      <c r="Y3729" s="107"/>
      <c r="Z3729" s="1"/>
      <c r="AA3729" s="47"/>
      <c r="AB3729" s="107"/>
      <c r="AC3729" s="1"/>
      <c r="AD3729" s="47"/>
      <c r="AE3729" s="107"/>
      <c r="AF3729" s="1"/>
      <c r="AG3729" s="47"/>
      <c r="AH3729" s="107"/>
      <c r="AI3729" s="1"/>
      <c r="AJ3729" s="47"/>
      <c r="AK3729" s="107"/>
      <c r="AL3729" s="1"/>
      <c r="AM3729" s="47"/>
      <c r="AN3729" s="107"/>
      <c r="AO3729" s="1"/>
      <c r="AP3729" s="47"/>
      <c r="AQ3729" s="107"/>
      <c r="AR3729" s="1"/>
      <c r="AS3729" s="47"/>
      <c r="AT3729" s="107"/>
      <c r="AU3729" s="1"/>
    </row>
    <row r="3730" spans="15:47" x14ac:dyDescent="0.25">
      <c r="O3730" s="8" t="s">
        <v>132</v>
      </c>
      <c r="P3730" s="8"/>
      <c r="Q3730" s="8"/>
      <c r="R3730" s="96">
        <f>P_1_minQ-(R3728^2*R_up)+dpup_minQ</f>
        <v>89.542119614575142</v>
      </c>
      <c r="S3730" s="106"/>
      <c r="T3730" s="22"/>
      <c r="U3730" s="96">
        <f ca="1">P_1_minQ-(U3728^2*R_up)+dpup_minQ</f>
        <v>85.405185302952802</v>
      </c>
      <c r="V3730" s="107"/>
      <c r="W3730" s="1"/>
      <c r="X3730" s="96">
        <f ca="1">P_1_minQ-(X3728^2*R_up)+dpup_minQ</f>
        <v>61.525975116477206</v>
      </c>
      <c r="Y3730" s="107"/>
      <c r="Z3730" s="1"/>
      <c r="AA3730" s="96">
        <f ca="1">P_1_minQ-(AA3728^2*R_up)+dpup_minQ</f>
        <v>-18.539131888704432</v>
      </c>
      <c r="AB3730" s="107"/>
      <c r="AC3730" s="1"/>
      <c r="AD3730" s="96">
        <f ca="1">P_1_minQ-(AD3728^2*R_up)+dpup_minQ</f>
        <v>-215.83437686946445</v>
      </c>
      <c r="AE3730" s="107"/>
      <c r="AF3730" s="1"/>
      <c r="AG3730" s="96">
        <f ca="1">P_1_minQ-(AG3728^2*R_up)+dpup_minQ</f>
        <v>-561.70356722831013</v>
      </c>
      <c r="AH3730" s="107"/>
      <c r="AI3730" s="1"/>
      <c r="AJ3730" s="96">
        <f ca="1">P_1_minQ-(AJ3728^2*R_up)+dpup_minQ</f>
        <v>-1070.763769926099</v>
      </c>
      <c r="AK3730" s="107"/>
      <c r="AL3730" s="1"/>
      <c r="AM3730" s="96">
        <f ca="1">P_1_minQ-(AM3728^2*R_up)+dpup_minQ</f>
        <v>-1638.3095399105966</v>
      </c>
      <c r="AN3730" s="107"/>
      <c r="AO3730" s="1"/>
      <c r="AP3730" s="96">
        <f ca="1">P_1_minQ-(AP3728^2*R_up)+dpup_minQ</f>
        <v>-2239.5645048757533</v>
      </c>
      <c r="AQ3730" s="107"/>
      <c r="AR3730" s="1"/>
      <c r="AS3730" s="96">
        <f ca="1">P_1_minQ-(AS3728^2*R_up)+dpup_minQ</f>
        <v>-3113.0823802377968</v>
      </c>
      <c r="AT3730" s="107"/>
      <c r="AU3730" s="1"/>
    </row>
    <row r="3731" spans="15:47" x14ac:dyDescent="0.25">
      <c r="O3731" s="8" t="s">
        <v>134</v>
      </c>
      <c r="P3731" s="1"/>
      <c r="Q3731" s="8"/>
      <c r="R3731" s="97">
        <f>P_2_minQ+(R3728^2*R_dn)-dpdn_minQ</f>
        <v>60</v>
      </c>
      <c r="S3731" s="106"/>
      <c r="T3731" s="22"/>
      <c r="U3731" s="97">
        <f ca="1">P_2_minQ+(U3728^2*R_dn)-dpdn_minQ</f>
        <v>60</v>
      </c>
      <c r="V3731" s="107"/>
      <c r="W3731" s="1"/>
      <c r="X3731" s="97">
        <f ca="1">P_2_minQ+(X3728^2*R_dn)-dpdn_minQ</f>
        <v>60</v>
      </c>
      <c r="Y3731" s="107"/>
      <c r="Z3731" s="1"/>
      <c r="AA3731" s="97">
        <f ca="1">P_2_minQ+(AA3728^2*R_dn)-dpdn_minQ</f>
        <v>60</v>
      </c>
      <c r="AB3731" s="107"/>
      <c r="AC3731" s="1"/>
      <c r="AD3731" s="97">
        <f ca="1">P_2_minQ+(AD3728^2*R_dn)-dpdn_minQ</f>
        <v>60</v>
      </c>
      <c r="AE3731" s="107"/>
      <c r="AF3731" s="1"/>
      <c r="AG3731" s="97">
        <f ca="1">P_2_minQ+(AG3728^2*R_dn)-dpdn_minQ</f>
        <v>60</v>
      </c>
      <c r="AH3731" s="107"/>
      <c r="AI3731" s="1"/>
      <c r="AJ3731" s="97">
        <f ca="1">P_2_minQ+(AJ3728^2*R_dn)-dpdn_minQ</f>
        <v>60</v>
      </c>
      <c r="AK3731" s="107"/>
      <c r="AL3731" s="1"/>
      <c r="AM3731" s="97">
        <f ca="1">P_2_minQ+(AM3728^2*R_dn)-dpdn_minQ</f>
        <v>60</v>
      </c>
      <c r="AN3731" s="107"/>
      <c r="AO3731" s="1"/>
      <c r="AP3731" s="97">
        <f ca="1">P_2_minQ+(AP3728^2*R_dn)-dpdn_minQ</f>
        <v>60</v>
      </c>
      <c r="AQ3731" s="107"/>
      <c r="AR3731" s="1"/>
      <c r="AS3731" s="97">
        <f ca="1">P_2_minQ+(AS3728^2*R_dn)-dpdn_minQ</f>
        <v>60</v>
      </c>
      <c r="AT3731" s="107"/>
      <c r="AU3731" s="1"/>
    </row>
    <row r="3732" spans="15:47" x14ac:dyDescent="0.25">
      <c r="O3732" s="8" t="s">
        <v>138</v>
      </c>
      <c r="P3732" s="1"/>
      <c r="Q3732" s="8"/>
      <c r="R3732" s="97">
        <f>R3730-R3731</f>
        <v>29.542119614575142</v>
      </c>
      <c r="S3732" s="106"/>
      <c r="T3732" s="22"/>
      <c r="U3732" s="97">
        <f ca="1">U3730-U3731</f>
        <v>25.405185302952802</v>
      </c>
      <c r="V3732" s="110"/>
      <c r="W3732" s="25"/>
      <c r="X3732" s="97">
        <f ca="1">X3730-X3731</f>
        <v>1.5259751164772055</v>
      </c>
      <c r="Y3732" s="110"/>
      <c r="Z3732" s="25"/>
      <c r="AA3732" s="97">
        <f ca="1">AA3730-AA3731</f>
        <v>-78.539131888704432</v>
      </c>
      <c r="AB3732" s="110"/>
      <c r="AC3732" s="25"/>
      <c r="AD3732" s="97">
        <f ca="1">AD3730-AD3731</f>
        <v>-275.83437686946445</v>
      </c>
      <c r="AE3732" s="110"/>
      <c r="AF3732" s="25"/>
      <c r="AG3732" s="97">
        <f ca="1">AG3730-AG3731</f>
        <v>-621.70356722831013</v>
      </c>
      <c r="AH3732" s="110"/>
      <c r="AI3732" s="25"/>
      <c r="AJ3732" s="97">
        <f ca="1">AJ3730-AJ3731</f>
        <v>-1130.763769926099</v>
      </c>
      <c r="AK3732" s="110"/>
      <c r="AL3732" s="25"/>
      <c r="AM3732" s="97">
        <f ca="1">AM3730-AM3731</f>
        <v>-1698.3095399105966</v>
      </c>
      <c r="AN3732" s="110"/>
      <c r="AO3732" s="25"/>
      <c r="AP3732" s="97">
        <f ca="1">AP3730-AP3731</f>
        <v>-2299.5645048757533</v>
      </c>
      <c r="AQ3732" s="110"/>
      <c r="AR3732" s="25"/>
      <c r="AS3732" s="97">
        <f ca="1">AS3730-AS3731</f>
        <v>-3173.0823802377968</v>
      </c>
      <c r="AT3732" s="110"/>
      <c r="AU3732" s="25"/>
    </row>
    <row r="3733" spans="15:47" ht="14.4" x14ac:dyDescent="0.3">
      <c r="O3733" s="2" t="s">
        <v>140</v>
      </c>
      <c r="P3733" s="11"/>
      <c r="Q3733" s="2"/>
      <c r="R3733" s="96">
        <f>R3732/R3730</f>
        <v>0.32992428302720733</v>
      </c>
      <c r="S3733" s="106"/>
      <c r="T3733" s="22"/>
      <c r="U3733" s="96">
        <f ca="1">U3732/U3730</f>
        <v>0.29746654389700672</v>
      </c>
      <c r="V3733" s="111"/>
      <c r="W3733" s="28"/>
      <c r="X3733" s="96">
        <f ca="1">X3732/X3730</f>
        <v>2.4802128102615568E-2</v>
      </c>
      <c r="Y3733" s="111"/>
      <c r="Z3733" s="28"/>
      <c r="AA3733" s="96">
        <f ca="1">AA3732/AA3730</f>
        <v>4.2363974947800518</v>
      </c>
      <c r="AB3733" s="111"/>
      <c r="AC3733" s="28"/>
      <c r="AD3733" s="96">
        <f ca="1">AD3732/AD3730</f>
        <v>1.277990933929342</v>
      </c>
      <c r="AE3733" s="111"/>
      <c r="AF3733" s="28"/>
      <c r="AG3733" s="96">
        <f ca="1">AG3732/AG3730</f>
        <v>1.1068179080579212</v>
      </c>
      <c r="AH3733" s="111"/>
      <c r="AI3733" s="28"/>
      <c r="AJ3733" s="96">
        <f ca="1">AJ3732/AJ3730</f>
        <v>1.0560347685317566</v>
      </c>
      <c r="AK3733" s="111"/>
      <c r="AL3733" s="28"/>
      <c r="AM3733" s="96">
        <f ca="1">AM3732/AM3730</f>
        <v>1.0366231158022032</v>
      </c>
      <c r="AN3733" s="111"/>
      <c r="AO3733" s="28"/>
      <c r="AP3733" s="96">
        <f ca="1">AP3732/AP3730</f>
        <v>1.026790922909063</v>
      </c>
      <c r="AQ3733" s="111"/>
      <c r="AR3733" s="28"/>
      <c r="AS3733" s="96">
        <f ca="1">AS3732/AS3730</f>
        <v>1.019273502166498</v>
      </c>
      <c r="AT3733" s="111"/>
      <c r="AU3733" s="28"/>
    </row>
    <row r="3734" spans="15:47" x14ac:dyDescent="0.25">
      <c r="O3734" s="2" t="s">
        <v>21</v>
      </c>
      <c r="P3734" s="8">
        <v>12</v>
      </c>
      <c r="Q3734" s="2"/>
      <c r="R3734" s="96">
        <f ca="1">1-R3733/(3*F_GAMMA*R$29)</f>
        <v>0.82817240912995294</v>
      </c>
      <c r="S3734" s="106"/>
      <c r="T3734" s="22"/>
      <c r="U3734" s="96">
        <f ca="1">1-U3733/(3*F_GAMMA*U$29)</f>
        <v>0.84511268820762564</v>
      </c>
      <c r="V3734" s="111"/>
      <c r="W3734" s="28"/>
      <c r="X3734" s="96">
        <f ca="1">1-X3733/(3*F_GAMMA*X$29)</f>
        <v>0.98696282761392262</v>
      </c>
      <c r="Y3734" s="111"/>
      <c r="Z3734" s="28"/>
      <c r="AA3734" s="96">
        <f ca="1">1-AA3733/(3*F_GAMMA*AA$29)</f>
        <v>-1.2582409005702559</v>
      </c>
      <c r="AB3734" s="111"/>
      <c r="AC3734" s="28"/>
      <c r="AD3734" s="96">
        <f ca="1">1-AD3733/(3*F_GAMMA*AD$29)</f>
        <v>0.29762996011284171</v>
      </c>
      <c r="AE3734" s="111"/>
      <c r="AF3734" s="28"/>
      <c r="AG3734" s="96">
        <f ca="1">1-AG3733/(3*F_GAMMA*AG$29)</f>
        <v>0.35520334027083622</v>
      </c>
      <c r="AH3734" s="111"/>
      <c r="AI3734" s="28"/>
      <c r="AJ3734" s="96">
        <f ca="1">1-AJ3733/(3*F_GAMMA*AJ$29)</f>
        <v>0.33811608432546136</v>
      </c>
      <c r="AK3734" s="111"/>
      <c r="AL3734" s="28"/>
      <c r="AM3734" s="96">
        <f ca="1">1-AM3733/(3*F_GAMMA*AM$29)</f>
        <v>0.27356238576823233</v>
      </c>
      <c r="AN3734" s="111"/>
      <c r="AO3734" s="28"/>
      <c r="AP3734" s="96">
        <f ca="1">1-AP3733/(3*F_GAMMA*AP$29)</f>
        <v>0.42042414789815385</v>
      </c>
      <c r="AQ3734" s="111"/>
      <c r="AR3734" s="28"/>
      <c r="AS3734" s="96">
        <f ca="1">1-AS3733/(3*F_GAMMA*AS$29)</f>
        <v>9.8043817798566524E-2</v>
      </c>
      <c r="AT3734" s="111"/>
      <c r="AU3734" s="28"/>
    </row>
    <row r="3735" spans="15:47" x14ac:dyDescent="0.25">
      <c r="O3735" s="2" t="s">
        <v>57</v>
      </c>
      <c r="P3735" s="143">
        <v>7</v>
      </c>
      <c r="Q3735" s="2"/>
      <c r="R3735" s="96">
        <f ca="1">(R3728/(N_9*R$27*R3730*R3734))*SQRT(M*'Valve Sizing'!$W$6*'Valve Sizing'!$G$8/R3733)</f>
        <v>24.258434678420723</v>
      </c>
      <c r="S3735" s="107"/>
      <c r="T3735" s="22"/>
      <c r="U3735" s="96">
        <f ca="1">(U3728/(N_9*U$27*U3730*U3734))*SQRT(M*'Valve Sizing'!$W$6*'Valve Sizing'!$G$8/U3733)</f>
        <v>71.616579670109871</v>
      </c>
      <c r="V3735" s="111"/>
      <c r="W3735" s="28"/>
      <c r="X3735" s="96">
        <f ca="1">(X3728/(N_9*X$27*X3730*X3734))*SQRT(M*'Valve Sizing'!$W$6*'Valve Sizing'!$G$8/X3733)</f>
        <v>723.51904411764622</v>
      </c>
      <c r="Y3735" s="111"/>
      <c r="Z3735" s="28"/>
      <c r="AA3735" s="96">
        <f ca="1">(AA3728/(N_9*AA$27*AA3730*AA3734))*SQRT(M*'Valve Sizing'!$W$6*'Valve Sizing'!$G$8/AA3733)</f>
        <v>282.36044666769794</v>
      </c>
      <c r="AB3735" s="111"/>
      <c r="AC3735" s="28"/>
      <c r="AD3735" s="96">
        <f ca="1">(AD3728/(N_9*AD$27*AD3730*AD3734))*SQRT(M*'Valve Sizing'!$W$6*'Valve Sizing'!$G$8/AD3733)</f>
        <v>-317.068135711781</v>
      </c>
      <c r="AE3735" s="111"/>
      <c r="AF3735" s="28"/>
      <c r="AG3735" s="96">
        <f ca="1">(AG3728/(N_9*AG$27*AG3730*AG3734))*SQRT(M*'Valve Sizing'!$W$6*'Valve Sizing'!$G$8/AG3733)</f>
        <v>-163.70764273412877</v>
      </c>
      <c r="AH3735" s="111"/>
      <c r="AI3735" s="28"/>
      <c r="AJ3735" s="96">
        <f ca="1">(AJ3728/(N_9*AJ$27*AJ3730*AJ3734))*SQRT(M*'Valve Sizing'!$W$6*'Valve Sizing'!$G$8/AJ3733)</f>
        <v>-127.71312690716196</v>
      </c>
      <c r="AK3735" s="111"/>
      <c r="AL3735" s="28"/>
      <c r="AM3735" s="96">
        <f ca="1">(AM3728/(N_9*AM$27*AM3730*AM3734))*SQRT(M*'Valve Sizing'!$W$6*'Valve Sizing'!$G$8/AM3733)</f>
        <v>-134.8085776307839</v>
      </c>
      <c r="AN3735" s="111"/>
      <c r="AO3735" s="28"/>
      <c r="AP3735" s="96">
        <f ca="1">(AP3728/(N_9*AP$27*AP3730*AP3734))*SQRT(M*'Valve Sizing'!$W$6*'Valve Sizing'!$G$8/AP3733)</f>
        <v>-85.197165809443433</v>
      </c>
      <c r="AQ3735" s="111"/>
      <c r="AR3735" s="28"/>
      <c r="AS3735" s="96">
        <f ca="1">(AS3728/(N_9*AS$27*AS3730*AS3734))*SQRT(M*'Valve Sizing'!$W$6*'Valve Sizing'!$G$8/AS3733)</f>
        <v>-414.29547699436949</v>
      </c>
      <c r="AT3735" s="111"/>
      <c r="AU3735" s="28"/>
    </row>
    <row r="3736" spans="15:47" x14ac:dyDescent="0.25">
      <c r="O3736" s="2" t="s">
        <v>59</v>
      </c>
      <c r="P3736" s="143">
        <v>7</v>
      </c>
      <c r="Q3736" s="2"/>
      <c r="R3736" s="96">
        <f ca="1">(R3728/(N_9*R$27*R3730*0.667))*SQRT(M*'Valve Sizing'!$W$6*'Valve Sizing'!$G$8/R3737)</f>
        <v>21.625431181299593</v>
      </c>
      <c r="S3736" s="107"/>
      <c r="T3736" s="22"/>
      <c r="U3736" s="96">
        <f ca="1">(U3728/(N_9*U$27*U3730*0.667))*SQRT(M*'Valve Sizing'!$W$6*'Valve Sizing'!$G$8/U3737)</f>
        <v>61.854444706135418</v>
      </c>
      <c r="V3736" s="111"/>
      <c r="W3736" s="28"/>
      <c r="X3736" s="96">
        <f ca="1">(X3728/(N_9*X$27*X3730*0.667))*SQRT(M*'Valve Sizing'!$W$6*'Valve Sizing'!$G$8/X3737)</f>
        <v>211.72749551111386</v>
      </c>
      <c r="Y3736" s="111"/>
      <c r="Z3736" s="28"/>
      <c r="AA3736" s="96">
        <f ca="1">(AA3728/(N_9*AA$27*AA3730*0.667))*SQRT(M*'Valve Sizing'!$W$6*'Valve Sizing'!$G$8/AA3737)</f>
        <v>-1386.3969250787245</v>
      </c>
      <c r="AB3736" s="111"/>
      <c r="AC3736" s="28"/>
      <c r="AD3736" s="96">
        <f ca="1">(AD3728/(N_9*AD$27*AD3730*0.667))*SQRT(M*'Valve Sizing'!$W$6*'Valve Sizing'!$G$8/AD3737)</f>
        <v>-205.37474052219667</v>
      </c>
      <c r="AE3736" s="111"/>
      <c r="AF3736" s="28"/>
      <c r="AG3736" s="96">
        <f ca="1">(AG3728/(N_9*AG$27*AG3730*0.667))*SQRT(M*'Valve Sizing'!$W$6*'Valve Sizing'!$G$8/AG3737)</f>
        <v>-121.252912491118</v>
      </c>
      <c r="AH3736" s="111"/>
      <c r="AI3736" s="28"/>
      <c r="AJ3736" s="96">
        <f ca="1">(AJ3728/(N_9*AJ$27*AJ3730*0.667))*SQRT(M*'Valve Sizing'!$W$6*'Valve Sizing'!$G$8/AJ3737)</f>
        <v>-91.22777363015706</v>
      </c>
      <c r="AK3736" s="111"/>
      <c r="AL3736" s="28"/>
      <c r="AM3736" s="96">
        <f ca="1">(AM3728/(N_9*AM$27*AM3730*0.667))*SQRT(M*'Valve Sizing'!$W$6*'Valve Sizing'!$G$8/AM3737)</f>
        <v>-81.622118791769665</v>
      </c>
      <c r="AN3736" s="111"/>
      <c r="AO3736" s="28"/>
      <c r="AP3736" s="96">
        <f ca="1">(AP3728/(N_9*AP$27*AP3730*0.667))*SQRT(M*'Valve Sizing'!$W$6*'Valve Sizing'!$G$8/AP3737)</f>
        <v>-70.811327297112811</v>
      </c>
      <c r="AQ3736" s="111"/>
      <c r="AR3736" s="28"/>
      <c r="AS3736" s="96">
        <f ca="1">(AS3728/(N_9*AS$27*AS3730*0.667))*SQRT(M*'Valve Sizing'!$W$6*'Valve Sizing'!$G$8/AS3737)</f>
        <v>-100.17466977737786</v>
      </c>
      <c r="AT3736" s="111"/>
      <c r="AU3736" s="28"/>
    </row>
    <row r="3737" spans="15:47" ht="15.6" x14ac:dyDescent="0.35">
      <c r="O3737" s="2" t="s">
        <v>68</v>
      </c>
      <c r="P3737" s="143">
        <v>10</v>
      </c>
      <c r="Q3737" s="2"/>
      <c r="R3737" s="96">
        <f ca="1">F_GAMMA*R$29</f>
        <v>0.64002969751372984</v>
      </c>
      <c r="S3737" s="107"/>
      <c r="T3737" s="1"/>
      <c r="U3737" s="96">
        <f ca="1">F_GAMMA*U$29</f>
        <v>0.64017842058782071</v>
      </c>
      <c r="V3737" s="111"/>
      <c r="W3737" s="28"/>
      <c r="X3737" s="96">
        <f ca="1">F_GAMMA*X$29</f>
        <v>0.63413873724904268</v>
      </c>
      <c r="Y3737" s="111"/>
      <c r="Z3737" s="28"/>
      <c r="AA3737" s="96">
        <f ca="1">F_GAMMA*AA$29</f>
        <v>0.62532411750377137</v>
      </c>
      <c r="AB3737" s="111"/>
      <c r="AC3737" s="28"/>
      <c r="AD3737" s="96">
        <f ca="1">F_GAMMA*AD$29</f>
        <v>0.60651359509139569</v>
      </c>
      <c r="AE3737" s="111"/>
      <c r="AF3737" s="28"/>
      <c r="AG3737" s="96">
        <f ca="1">F_GAMMA*AG$29</f>
        <v>0.57217930198481592</v>
      </c>
      <c r="AH3737" s="111"/>
      <c r="AI3737" s="28"/>
      <c r="AJ3737" s="96">
        <f ca="1">F_GAMMA*AJ$29</f>
        <v>0.53183282018848232</v>
      </c>
      <c r="AK3737" s="111"/>
      <c r="AL3737" s="28"/>
      <c r="AM3737" s="96">
        <f ca="1">F_GAMMA*AM$29</f>
        <v>0.47566512503094399</v>
      </c>
      <c r="AN3737" s="111"/>
      <c r="AO3737" s="28"/>
      <c r="AP3737" s="96">
        <f ca="1">F_GAMMA*AP$29</f>
        <v>0.59054158265645496</v>
      </c>
      <c r="AQ3737" s="111"/>
      <c r="AR3737" s="28"/>
      <c r="AS3737" s="96">
        <f ca="1">F_GAMMA*AS$29</f>
        <v>0.3766899554102966</v>
      </c>
      <c r="AT3737" s="111"/>
      <c r="AU3737" s="28"/>
    </row>
    <row r="3738" spans="15:47" x14ac:dyDescent="0.25">
      <c r="O3738" s="2" t="s">
        <v>145</v>
      </c>
      <c r="P3738" s="12"/>
      <c r="Q3738" s="2"/>
      <c r="R3738" s="96">
        <f ca="1">IF(R3733&lt;R3737,R3735,R3736)</f>
        <v>24.258434678420723</v>
      </c>
      <c r="S3738" s="116"/>
      <c r="T3738" s="1"/>
      <c r="U3738" s="96">
        <f ca="1">IF(U3733&lt;U3737,U3735,U3736)</f>
        <v>71.616579670109871</v>
      </c>
      <c r="V3738" s="111"/>
      <c r="W3738" s="28"/>
      <c r="X3738" s="96">
        <f ca="1">IF(X3733&lt;X3737,X3735,X3736)</f>
        <v>723.51904411764622</v>
      </c>
      <c r="Y3738" s="111"/>
      <c r="Z3738" s="28"/>
      <c r="AA3738" s="96">
        <f ca="1">IF(AA3733&lt;AA3737,AA3735,AA3736)</f>
        <v>-1386.3969250787245</v>
      </c>
      <c r="AB3738" s="111"/>
      <c r="AC3738" s="28"/>
      <c r="AD3738" s="96">
        <f ca="1">IF(AD3733&lt;AD3737,AD3735,AD3736)</f>
        <v>-205.37474052219667</v>
      </c>
      <c r="AE3738" s="111"/>
      <c r="AF3738" s="28"/>
      <c r="AG3738" s="96">
        <f ca="1">IF(AG3733&lt;AG3737,AG3735,AG3736)</f>
        <v>-121.252912491118</v>
      </c>
      <c r="AH3738" s="111"/>
      <c r="AI3738" s="28"/>
      <c r="AJ3738" s="96">
        <f ca="1">IF(AJ3733&lt;AJ3737,AJ3735,AJ3736)</f>
        <v>-91.22777363015706</v>
      </c>
      <c r="AK3738" s="111"/>
      <c r="AL3738" s="28"/>
      <c r="AM3738" s="96">
        <f ca="1">IF(AM3733&lt;AM3737,AM3735,AM3736)</f>
        <v>-81.622118791769665</v>
      </c>
      <c r="AN3738" s="111"/>
      <c r="AO3738" s="28"/>
      <c r="AP3738" s="96">
        <f ca="1">IF(AP3733&lt;AP3737,AP3735,AP3736)</f>
        <v>-70.811327297112811</v>
      </c>
      <c r="AQ3738" s="111"/>
      <c r="AR3738" s="28"/>
      <c r="AS3738" s="96">
        <f ca="1">IF(AS3733&lt;AS3737,AS3735,AS3736)</f>
        <v>-100.17466977737786</v>
      </c>
      <c r="AT3738" s="111"/>
      <c r="AU3738" s="28"/>
    </row>
    <row r="3739" spans="15:47" x14ac:dyDescent="0.25">
      <c r="O3739" s="13" t="s">
        <v>143</v>
      </c>
      <c r="P3739" s="1"/>
      <c r="Q3739" s="1"/>
      <c r="R3739" s="113"/>
      <c r="S3739" s="106">
        <f ca="1">IF(R3732&lt;=0,Q_max,ABS(R$23-R3738))</f>
        <v>19.528434678420723</v>
      </c>
      <c r="T3739" s="7">
        <f>R3728</f>
        <v>59392.555023632747</v>
      </c>
      <c r="U3739" s="98"/>
      <c r="V3739" s="106">
        <f ca="1">IF(U3732&lt;=0,Q_max,ABS(U$23-U3738))</f>
        <v>60.01657967010987</v>
      </c>
      <c r="W3739" s="9">
        <f ca="1">U3728</f>
        <v>161942.41177459652</v>
      </c>
      <c r="X3739" s="98"/>
      <c r="Y3739" s="106">
        <f ca="1">IF(X3732&lt;=0,Q_max,ABS(X$23-X3738))</f>
        <v>700.51904411764622</v>
      </c>
      <c r="Z3739" s="9">
        <f ca="1">X3728</f>
        <v>396537.48088265595</v>
      </c>
      <c r="AA3739" s="98"/>
      <c r="AB3739" s="106">
        <f ca="1">IF(AA3732&lt;=0,Q_max,ABS(AA$23-AA3738))</f>
        <v>236393</v>
      </c>
      <c r="AC3739" s="9">
        <f ca="1">AA3728</f>
        <v>772353.79838619882</v>
      </c>
      <c r="AD3739" s="98"/>
      <c r="AE3739" s="106">
        <f ca="1">IF(AD3732&lt;=0,Q_max,ABS(AD$23-AD3738))</f>
        <v>236393</v>
      </c>
      <c r="AF3739" s="9">
        <f ca="1">AD3728</f>
        <v>1295769.4110023505</v>
      </c>
      <c r="AG3739" s="98"/>
      <c r="AH3739" s="106">
        <f ca="1">IF(AG3732&lt;=0,Q_max,ABS(AG$23-AG3738))</f>
        <v>236393</v>
      </c>
      <c r="AI3739" s="9">
        <f ca="1">AG3728</f>
        <v>1891210.7471173119</v>
      </c>
      <c r="AJ3739" s="98"/>
      <c r="AK3739" s="106">
        <f ca="1">IF(AJ3732&lt;=0,Q_max,ABS(AJ$23-AJ3738))</f>
        <v>236393</v>
      </c>
      <c r="AL3739" s="9">
        <f ca="1">AJ3728</f>
        <v>2523828.073433666</v>
      </c>
      <c r="AM3739" s="98"/>
      <c r="AN3739" s="106">
        <f ca="1">IF(AM3732&lt;=0,Q_max,ABS(AM$23-AM3738))</f>
        <v>236393</v>
      </c>
      <c r="AO3739" s="9">
        <f ca="1">AM3728</f>
        <v>3079549.8777448256</v>
      </c>
      <c r="AP3739" s="98"/>
      <c r="AQ3739" s="106">
        <f ca="1">IF(AP3732&lt;=0,Q_max,ABS(AP$23-AP3738))</f>
        <v>236393</v>
      </c>
      <c r="AR3739" s="9">
        <f ca="1">AP3728</f>
        <v>3575261.8045752174</v>
      </c>
      <c r="AS3739" s="98"/>
      <c r="AT3739" s="106">
        <f ca="1">IF(AS3732&lt;=0,Q_max,ABS(AS$23-AS3738))</f>
        <v>236393</v>
      </c>
      <c r="AU3739" s="9">
        <f ca="1">AS3728</f>
        <v>4192275.6420562654</v>
      </c>
    </row>
    <row r="3740" spans="15:47" x14ac:dyDescent="0.25">
      <c r="O3740" s="21"/>
      <c r="P3740" s="14"/>
      <c r="Q3740" s="21"/>
      <c r="R3740" s="97"/>
      <c r="S3740" s="106"/>
      <c r="T3740" s="28"/>
      <c r="U3740" s="97"/>
      <c r="V3740" s="111"/>
      <c r="W3740" s="28"/>
      <c r="X3740" s="97"/>
      <c r="Y3740" s="111"/>
      <c r="Z3740" s="28"/>
      <c r="AA3740" s="97"/>
      <c r="AB3740" s="111"/>
      <c r="AC3740" s="28"/>
      <c r="AD3740" s="97"/>
      <c r="AE3740" s="111"/>
      <c r="AF3740" s="28"/>
      <c r="AG3740" s="97"/>
      <c r="AH3740" s="111"/>
      <c r="AI3740" s="28"/>
      <c r="AJ3740" s="97"/>
      <c r="AK3740" s="111"/>
      <c r="AL3740" s="28"/>
      <c r="AM3740" s="97"/>
      <c r="AN3740" s="111"/>
      <c r="AO3740" s="28"/>
      <c r="AP3740" s="97"/>
      <c r="AQ3740" s="111"/>
      <c r="AR3740" s="28"/>
      <c r="AS3740" s="97"/>
      <c r="AT3740" s="111"/>
      <c r="AU3740" s="28"/>
    </row>
    <row r="3741" spans="15:47" x14ac:dyDescent="0.25">
      <c r="O3741" s="1"/>
      <c r="P3741" s="1"/>
      <c r="Q3741" s="1"/>
      <c r="R3741" s="98"/>
      <c r="S3741" s="108" t="s">
        <v>137</v>
      </c>
      <c r="T3741" s="26" t="s">
        <v>146</v>
      </c>
      <c r="U3741" s="98"/>
      <c r="V3741" s="108" t="s">
        <v>137</v>
      </c>
      <c r="W3741" s="26" t="s">
        <v>146</v>
      </c>
      <c r="X3741" s="98"/>
      <c r="Y3741" s="108" t="s">
        <v>137</v>
      </c>
      <c r="Z3741" s="26" t="s">
        <v>146</v>
      </c>
      <c r="AA3741" s="98"/>
      <c r="AB3741" s="108" t="s">
        <v>137</v>
      </c>
      <c r="AC3741" s="26" t="s">
        <v>146</v>
      </c>
      <c r="AD3741" s="98"/>
      <c r="AE3741" s="108" t="s">
        <v>137</v>
      </c>
      <c r="AF3741" s="26" t="s">
        <v>146</v>
      </c>
      <c r="AG3741" s="98"/>
      <c r="AH3741" s="108" t="s">
        <v>137</v>
      </c>
      <c r="AI3741" s="26" t="s">
        <v>146</v>
      </c>
      <c r="AJ3741" s="98"/>
      <c r="AK3741" s="108" t="s">
        <v>137</v>
      </c>
      <c r="AL3741" s="26" t="s">
        <v>146</v>
      </c>
      <c r="AM3741" s="98"/>
      <c r="AN3741" s="108" t="s">
        <v>137</v>
      </c>
      <c r="AO3741" s="26" t="s">
        <v>146</v>
      </c>
      <c r="AP3741" s="98"/>
      <c r="AQ3741" s="108" t="s">
        <v>137</v>
      </c>
      <c r="AR3741" s="26" t="s">
        <v>146</v>
      </c>
      <c r="AS3741" s="98"/>
      <c r="AT3741" s="108" t="s">
        <v>137</v>
      </c>
      <c r="AU3741" s="26" t="s">
        <v>146</v>
      </c>
    </row>
    <row r="3742" spans="15:47" ht="13.8" x14ac:dyDescent="0.25">
      <c r="O3742" s="20" t="s">
        <v>136</v>
      </c>
      <c r="P3742" s="1"/>
      <c r="Q3742" s="1"/>
      <c r="R3742" s="96">
        <f>R3728*1.02</f>
        <v>60580.406124105401</v>
      </c>
      <c r="S3742" s="109" t="s">
        <v>144</v>
      </c>
      <c r="T3742" s="23" t="s">
        <v>147</v>
      </c>
      <c r="U3742" s="96">
        <f ca="1">U3728*1.01</f>
        <v>163561.8358923425</v>
      </c>
      <c r="V3742" s="109" t="s">
        <v>144</v>
      </c>
      <c r="W3742" s="23" t="s">
        <v>147</v>
      </c>
      <c r="X3742" s="96">
        <f ca="1">X3728*1.01</f>
        <v>400502.85569148249</v>
      </c>
      <c r="Y3742" s="109" t="s">
        <v>144</v>
      </c>
      <c r="Z3742" s="23" t="s">
        <v>147</v>
      </c>
      <c r="AA3742" s="96">
        <f ca="1">AA3728*1.01</f>
        <v>780077.3363700608</v>
      </c>
      <c r="AB3742" s="109" t="s">
        <v>144</v>
      </c>
      <c r="AC3742" s="23" t="s">
        <v>147</v>
      </c>
      <c r="AD3742" s="96">
        <f ca="1">AD3728*1.01</f>
        <v>1308727.1051123741</v>
      </c>
      <c r="AE3742" s="109" t="s">
        <v>144</v>
      </c>
      <c r="AF3742" s="23" t="s">
        <v>147</v>
      </c>
      <c r="AG3742" s="96">
        <f ca="1">AG3728*1.01</f>
        <v>1910122.8545884851</v>
      </c>
      <c r="AH3742" s="109" t="s">
        <v>144</v>
      </c>
      <c r="AI3742" s="23" t="s">
        <v>147</v>
      </c>
      <c r="AJ3742" s="96">
        <f ca="1">AJ3728*1.01</f>
        <v>2549066.3541680025</v>
      </c>
      <c r="AK3742" s="109" t="s">
        <v>144</v>
      </c>
      <c r="AL3742" s="23" t="s">
        <v>147</v>
      </c>
      <c r="AM3742" s="96">
        <f ca="1">AM3728*1.01</f>
        <v>3110345.3765222738</v>
      </c>
      <c r="AN3742" s="109" t="s">
        <v>144</v>
      </c>
      <c r="AO3742" s="23" t="s">
        <v>147</v>
      </c>
      <c r="AP3742" s="96">
        <f ca="1">AP3728*1.01</f>
        <v>3611014.4226209698</v>
      </c>
      <c r="AQ3742" s="109" t="s">
        <v>144</v>
      </c>
      <c r="AR3742" s="23" t="s">
        <v>147</v>
      </c>
      <c r="AS3742" s="96">
        <f ca="1">AS3728*1.01</f>
        <v>4234198.3984768279</v>
      </c>
      <c r="AT3742" s="109" t="s">
        <v>144</v>
      </c>
      <c r="AU3742" s="23" t="s">
        <v>147</v>
      </c>
    </row>
    <row r="3743" spans="15:47" x14ac:dyDescent="0.25">
      <c r="O3743" s="1"/>
      <c r="P3743" s="1"/>
      <c r="Q3743" s="1"/>
      <c r="R3743" s="98"/>
      <c r="S3743" s="107"/>
      <c r="T3743" s="1"/>
      <c r="U3743" s="47"/>
      <c r="V3743" s="107"/>
      <c r="W3743" s="1"/>
      <c r="X3743" s="47"/>
      <c r="Y3743" s="107"/>
      <c r="Z3743" s="1"/>
      <c r="AA3743" s="47"/>
      <c r="AB3743" s="107"/>
      <c r="AC3743" s="1"/>
      <c r="AD3743" s="47"/>
      <c r="AE3743" s="107"/>
      <c r="AF3743" s="1"/>
      <c r="AG3743" s="47"/>
      <c r="AH3743" s="107"/>
      <c r="AI3743" s="1"/>
      <c r="AJ3743" s="47"/>
      <c r="AK3743" s="107"/>
      <c r="AL3743" s="1"/>
      <c r="AM3743" s="47"/>
      <c r="AN3743" s="107"/>
      <c r="AO3743" s="1"/>
      <c r="AP3743" s="47"/>
      <c r="AQ3743" s="107"/>
      <c r="AR3743" s="1"/>
      <c r="AS3743" s="47"/>
      <c r="AT3743" s="107"/>
      <c r="AU3743" s="1"/>
    </row>
    <row r="3744" spans="15:47" x14ac:dyDescent="0.25">
      <c r="O3744" s="8" t="s">
        <v>132</v>
      </c>
      <c r="P3744" s="8"/>
      <c r="Q3744" s="8"/>
      <c r="R3744" s="96">
        <f>P_1_minQ-(R3742^2*R_up)+dpup_minQ</f>
        <v>89.516145609581656</v>
      </c>
      <c r="S3744" s="106"/>
      <c r="T3744" s="22"/>
      <c r="U3744" s="96">
        <f ca="1">P_1_minQ-(U3742^2*R_up)+dpup_minQ</f>
        <v>85.309110212884022</v>
      </c>
      <c r="V3744" s="107"/>
      <c r="W3744" s="1"/>
      <c r="X3744" s="96">
        <f ca="1">P_1_minQ-(X3742^2*R_up)+dpup_minQ</f>
        <v>60.94992790166026</v>
      </c>
      <c r="Y3744" s="107"/>
      <c r="Z3744" s="1"/>
      <c r="AA3744" s="96">
        <f ca="1">P_1_minQ-(AA3742^2*R_up)+dpup_minQ</f>
        <v>-20.724487754325523</v>
      </c>
      <c r="AB3744" s="107"/>
      <c r="AC3744" s="1"/>
      <c r="AD3744" s="96">
        <f ca="1">P_1_minQ-(AD3742^2*R_up)+dpup_minQ</f>
        <v>-221.9853671591988</v>
      </c>
      <c r="AE3744" s="107"/>
      <c r="AF3744" s="1"/>
      <c r="AG3744" s="96">
        <f ca="1">P_1_minQ-(AG3742^2*R_up)+dpup_minQ</f>
        <v>-574.80652824425738</v>
      </c>
      <c r="AH3744" s="107"/>
      <c r="AI3744" s="1"/>
      <c r="AJ3744" s="96">
        <f ca="1">P_1_minQ-(AJ3742^2*R_up)+dpup_minQ</f>
        <v>-1094.0988410162715</v>
      </c>
      <c r="AK3744" s="107"/>
      <c r="AL3744" s="1"/>
      <c r="AM3744" s="96">
        <f ca="1">P_1_minQ-(AM3742^2*R_up)+dpup_minQ</f>
        <v>-1673.0522809774575</v>
      </c>
      <c r="AN3744" s="107"/>
      <c r="AO3744" s="1"/>
      <c r="AP3744" s="96">
        <f ca="1">P_1_minQ-(AP3742^2*R_up)+dpup_minQ</f>
        <v>-2286.3924707384144</v>
      </c>
      <c r="AQ3744" s="107"/>
      <c r="AR3744" s="1"/>
      <c r="AS3744" s="96">
        <f ca="1">P_1_minQ-(AS3742^2*R_up)+dpup_minQ</f>
        <v>-3177.4680553952348</v>
      </c>
      <c r="AT3744" s="107"/>
      <c r="AU3744" s="1"/>
    </row>
    <row r="3745" spans="15:47" x14ac:dyDescent="0.25">
      <c r="O3745" s="8" t="s">
        <v>134</v>
      </c>
      <c r="P3745" s="1"/>
      <c r="Q3745" s="8"/>
      <c r="R3745" s="97">
        <f>P_2_minQ+(R3742^2*R_dn)-dpdn_minQ</f>
        <v>60</v>
      </c>
      <c r="S3745" s="106"/>
      <c r="T3745" s="22"/>
      <c r="U3745" s="97">
        <f ca="1">P_2_minQ+(U3742^2*R_dn)-dpdn_minQ</f>
        <v>60</v>
      </c>
      <c r="V3745" s="107"/>
      <c r="W3745" s="1"/>
      <c r="X3745" s="97">
        <f ca="1">P_2_minQ+(X3742^2*R_dn)-dpdn_minQ</f>
        <v>60</v>
      </c>
      <c r="Y3745" s="107"/>
      <c r="Z3745" s="1"/>
      <c r="AA3745" s="97">
        <f ca="1">P_2_minQ+(AA3742^2*R_dn)-dpdn_minQ</f>
        <v>60</v>
      </c>
      <c r="AB3745" s="107"/>
      <c r="AC3745" s="1"/>
      <c r="AD3745" s="97">
        <f ca="1">P_2_minQ+(AD3742^2*R_dn)-dpdn_minQ</f>
        <v>60</v>
      </c>
      <c r="AE3745" s="107"/>
      <c r="AF3745" s="1"/>
      <c r="AG3745" s="97">
        <f ca="1">P_2_minQ+(AG3742^2*R_dn)-dpdn_minQ</f>
        <v>60</v>
      </c>
      <c r="AH3745" s="107"/>
      <c r="AI3745" s="1"/>
      <c r="AJ3745" s="97">
        <f ca="1">P_2_minQ+(AJ3742^2*R_dn)-dpdn_minQ</f>
        <v>60</v>
      </c>
      <c r="AK3745" s="107"/>
      <c r="AL3745" s="1"/>
      <c r="AM3745" s="97">
        <f ca="1">P_2_minQ+(AM3742^2*R_dn)-dpdn_minQ</f>
        <v>60</v>
      </c>
      <c r="AN3745" s="107"/>
      <c r="AO3745" s="1"/>
      <c r="AP3745" s="97">
        <f ca="1">P_2_minQ+(AP3742^2*R_dn)-dpdn_minQ</f>
        <v>60</v>
      </c>
      <c r="AQ3745" s="107"/>
      <c r="AR3745" s="1"/>
      <c r="AS3745" s="97">
        <f ca="1">P_2_minQ+(AS3742^2*R_dn)-dpdn_minQ</f>
        <v>60</v>
      </c>
      <c r="AT3745" s="107"/>
      <c r="AU3745" s="1"/>
    </row>
    <row r="3746" spans="15:47" x14ac:dyDescent="0.25">
      <c r="O3746" s="8" t="s">
        <v>138</v>
      </c>
      <c r="P3746" s="1"/>
      <c r="Q3746" s="8"/>
      <c r="R3746" s="97">
        <f>R3744-R3745</f>
        <v>29.516145609581656</v>
      </c>
      <c r="S3746" s="106"/>
      <c r="T3746" s="22"/>
      <c r="U3746" s="97">
        <f ca="1">U3744-U3745</f>
        <v>25.309110212884022</v>
      </c>
      <c r="V3746" s="110"/>
      <c r="W3746" s="25"/>
      <c r="X3746" s="97">
        <f ca="1">X3744-X3745</f>
        <v>0.94992790166025998</v>
      </c>
      <c r="Y3746" s="110"/>
      <c r="Z3746" s="25"/>
      <c r="AA3746" s="97">
        <f ca="1">AA3744-AA3745</f>
        <v>-80.724487754325523</v>
      </c>
      <c r="AB3746" s="110"/>
      <c r="AC3746" s="25"/>
      <c r="AD3746" s="97">
        <f ca="1">AD3744-AD3745</f>
        <v>-281.9853671591988</v>
      </c>
      <c r="AE3746" s="110"/>
      <c r="AF3746" s="25"/>
      <c r="AG3746" s="97">
        <f ca="1">AG3744-AG3745</f>
        <v>-634.80652824425738</v>
      </c>
      <c r="AH3746" s="110"/>
      <c r="AI3746" s="25"/>
      <c r="AJ3746" s="97">
        <f ca="1">AJ3744-AJ3745</f>
        <v>-1154.0988410162715</v>
      </c>
      <c r="AK3746" s="110"/>
      <c r="AL3746" s="25"/>
      <c r="AM3746" s="97">
        <f ca="1">AM3744-AM3745</f>
        <v>-1733.0522809774575</v>
      </c>
      <c r="AN3746" s="110"/>
      <c r="AO3746" s="25"/>
      <c r="AP3746" s="97">
        <f ca="1">AP3744-AP3745</f>
        <v>-2346.3924707384144</v>
      </c>
      <c r="AQ3746" s="110"/>
      <c r="AR3746" s="25"/>
      <c r="AS3746" s="97">
        <f ca="1">AS3744-AS3745</f>
        <v>-3237.4680553952348</v>
      </c>
      <c r="AT3746" s="110"/>
      <c r="AU3746" s="25"/>
    </row>
    <row r="3747" spans="15:47" ht="14.4" x14ac:dyDescent="0.3">
      <c r="O3747" s="2" t="s">
        <v>140</v>
      </c>
      <c r="P3747" s="11"/>
      <c r="Q3747" s="2"/>
      <c r="R3747" s="96">
        <f>R3746/R3744</f>
        <v>0.32972985385579756</v>
      </c>
      <c r="S3747" s="106"/>
      <c r="T3747" s="22"/>
      <c r="U3747" s="96">
        <f ca="1">U3746/U3744</f>
        <v>0.29667535096458725</v>
      </c>
      <c r="V3747" s="111"/>
      <c r="W3747" s="28"/>
      <c r="X3747" s="96">
        <f ca="1">X3746/X3744</f>
        <v>1.5585381875970753E-2</v>
      </c>
      <c r="Y3747" s="111"/>
      <c r="Z3747" s="28"/>
      <c r="AA3747" s="96">
        <f ca="1">AA3746/AA3744</f>
        <v>3.8951258391164369</v>
      </c>
      <c r="AB3747" s="111"/>
      <c r="AC3747" s="28"/>
      <c r="AD3747" s="96">
        <f ca="1">AD3746/AD3744</f>
        <v>1.2702880859573527</v>
      </c>
      <c r="AE3747" s="111"/>
      <c r="AF3747" s="28"/>
      <c r="AG3747" s="96">
        <f ca="1">AG3746/AG3744</f>
        <v>1.1043829480908465</v>
      </c>
      <c r="AH3747" s="111"/>
      <c r="AI3747" s="28"/>
      <c r="AJ3747" s="96">
        <f ca="1">AJ3746/AJ3744</f>
        <v>1.054839652278827</v>
      </c>
      <c r="AK3747" s="111"/>
      <c r="AL3747" s="28"/>
      <c r="AM3747" s="96">
        <f ca="1">AM3746/AM3744</f>
        <v>1.0358625971717668</v>
      </c>
      <c r="AN3747" s="111"/>
      <c r="AO3747" s="28"/>
      <c r="AP3747" s="96">
        <f ca="1">AP3746/AP3744</f>
        <v>1.0262422137790816</v>
      </c>
      <c r="AQ3747" s="111"/>
      <c r="AR3747" s="28"/>
      <c r="AS3747" s="96">
        <f ca="1">AS3746/AS3744</f>
        <v>1.018882959310361</v>
      </c>
      <c r="AT3747" s="111"/>
      <c r="AU3747" s="28"/>
    </row>
    <row r="3748" spans="15:47" x14ac:dyDescent="0.25">
      <c r="O3748" s="2" t="s">
        <v>21</v>
      </c>
      <c r="P3748" s="8">
        <v>12</v>
      </c>
      <c r="Q3748" s="2"/>
      <c r="R3748" s="96">
        <f ca="1">1-R3747/(3*F_GAMMA*R$29)</f>
        <v>0.82827366962466908</v>
      </c>
      <c r="S3748" s="106"/>
      <c r="T3748" s="22"/>
      <c r="U3748" s="96">
        <f ca="1">1-U3747/(3*F_GAMMA*U$29)</f>
        <v>0.84552465301148605</v>
      </c>
      <c r="V3748" s="111"/>
      <c r="W3748" s="28"/>
      <c r="X3748" s="96">
        <f ca="1">1-X3747/(3*F_GAMMA*X$29)</f>
        <v>0.99180758564832794</v>
      </c>
      <c r="Y3748" s="111"/>
      <c r="Z3748" s="28"/>
      <c r="AA3748" s="96">
        <f ca="1">1-AA3747/(3*F_GAMMA*AA$29)</f>
        <v>-1.0763236909659866</v>
      </c>
      <c r="AB3748" s="111"/>
      <c r="AC3748" s="28"/>
      <c r="AD3748" s="96">
        <f ca="1">1-AD3747/(3*F_GAMMA*AD$29)</f>
        <v>0.30186336231757915</v>
      </c>
      <c r="AE3748" s="111"/>
      <c r="AF3748" s="28"/>
      <c r="AG3748" s="96">
        <f ca="1">1-AG3747/(3*F_GAMMA*AG$29)</f>
        <v>0.35662186995120526</v>
      </c>
      <c r="AH3748" s="111"/>
      <c r="AI3748" s="28"/>
      <c r="AJ3748" s="96">
        <f ca="1">1-AJ3747/(3*F_GAMMA*AJ$29)</f>
        <v>0.33886513942170127</v>
      </c>
      <c r="AK3748" s="111"/>
      <c r="AL3748" s="28"/>
      <c r="AM3748" s="96">
        <f ca="1">1-AM3747/(3*F_GAMMA*AM$29)</f>
        <v>0.27409533678104625</v>
      </c>
      <c r="AN3748" s="111"/>
      <c r="AO3748" s="28"/>
      <c r="AP3748" s="96">
        <f ca="1">1-AP3747/(3*F_GAMMA*AP$29)</f>
        <v>0.42073386875219487</v>
      </c>
      <c r="AQ3748" s="111"/>
      <c r="AR3748" s="28"/>
      <c r="AS3748" s="96">
        <f ca="1">1-AS3747/(3*F_GAMMA*AS$29)</f>
        <v>9.8389409578161224E-2</v>
      </c>
      <c r="AT3748" s="111"/>
      <c r="AU3748" s="28"/>
    </row>
    <row r="3749" spans="15:47" x14ac:dyDescent="0.25">
      <c r="O3749" s="2" t="s">
        <v>57</v>
      </c>
      <c r="P3749" s="143">
        <v>7</v>
      </c>
      <c r="Q3749" s="2"/>
      <c r="R3749" s="96">
        <f ca="1">(R3742/(N_9*R$27*R3744*R3748))*SQRT(M*'Valve Sizing'!$W$6*'Valve Sizing'!$G$8/R3747)</f>
        <v>24.755052403008644</v>
      </c>
      <c r="S3749" s="107"/>
      <c r="T3749" s="22"/>
      <c r="U3749" s="96">
        <f ca="1">(U3742/(N_9*U$27*U3744*U3748))*SQRT(M*'Valve Sizing'!$W$6*'Valve Sizing'!$G$8/U3747)</f>
        <v>72.475372347896055</v>
      </c>
      <c r="V3749" s="111"/>
      <c r="W3749" s="28"/>
      <c r="X3749" s="96">
        <f ca="1">(X3742/(N_9*X$27*X3744*X3748))*SQRT(M*'Valve Sizing'!$W$6*'Valve Sizing'!$G$8/X3747)</f>
        <v>926.01019801208065</v>
      </c>
      <c r="Y3749" s="111"/>
      <c r="Z3749" s="28"/>
      <c r="AA3749" s="96">
        <f ca="1">(AA3742/(N_9*AA$27*AA3744*AA3748))*SQRT(M*'Valve Sizing'!$W$6*'Valve Sizing'!$G$8/AA3747)</f>
        <v>311.02072303743716</v>
      </c>
      <c r="AB3749" s="111"/>
      <c r="AC3749" s="28"/>
      <c r="AD3749" s="96">
        <f ca="1">(AD3742/(N_9*AD$27*AD3744*AD3748))*SQRT(M*'Valve Sizing'!$W$6*'Valve Sizing'!$G$8/AD3747)</f>
        <v>-307.92805453732706</v>
      </c>
      <c r="AE3749" s="111"/>
      <c r="AF3749" s="28"/>
      <c r="AG3749" s="96">
        <f ca="1">(AG3742/(N_9*AG$27*AG3744*AG3748))*SQRT(M*'Valve Sizing'!$W$6*'Valve Sizing'!$G$8/AG3747)</f>
        <v>-161.11023443011246</v>
      </c>
      <c r="AH3749" s="111"/>
      <c r="AI3749" s="28"/>
      <c r="AJ3749" s="96">
        <f ca="1">(AJ3742/(N_9*AJ$27*AJ3744*AJ3748))*SQRT(M*'Valve Sizing'!$W$6*'Valve Sizing'!$G$8/AJ3747)</f>
        <v>-126.03142440511954</v>
      </c>
      <c r="AK3749" s="111"/>
      <c r="AL3749" s="28"/>
      <c r="AM3749" s="96">
        <f ca="1">(AM3742/(N_9*AM$27*AM3744*AM3748))*SQRT(M*'Valve Sizing'!$W$6*'Valve Sizing'!$G$8/AM3747)</f>
        <v>-133.11881786746486</v>
      </c>
      <c r="AN3749" s="111"/>
      <c r="AO3749" s="28"/>
      <c r="AP3749" s="96">
        <f ca="1">(AP3742/(N_9*AP$27*AP3744*AP3748))*SQRT(M*'Valve Sizing'!$W$6*'Valve Sizing'!$G$8/AP3747)</f>
        <v>-84.24721779596004</v>
      </c>
      <c r="AQ3749" s="111"/>
      <c r="AR3749" s="28"/>
      <c r="AS3749" s="96">
        <f ca="1">(AS3742/(N_9*AS$27*AS3744*AS3748))*SQRT(M*'Valve Sizing'!$W$6*'Valve Sizing'!$G$8/AS3747)</f>
        <v>-408.59783723248506</v>
      </c>
      <c r="AT3749" s="111"/>
      <c r="AU3749" s="28"/>
    </row>
    <row r="3750" spans="15:47" x14ac:dyDescent="0.25">
      <c r="O3750" s="2" t="s">
        <v>59</v>
      </c>
      <c r="P3750" s="143">
        <v>7</v>
      </c>
      <c r="Q3750" s="2"/>
      <c r="R3750" s="96">
        <f ca="1">(R3742/(N_9*R$27*R3744*0.667))*SQRT(M*'Valve Sizing'!$W$6*'Valve Sizing'!$G$8/R3751)</f>
        <v>22.06434013678458</v>
      </c>
      <c r="S3750" s="107"/>
      <c r="T3750" s="22"/>
      <c r="U3750" s="96">
        <f ca="1">(U3742/(N_9*U$27*U3744*0.667))*SQRT(M*'Valve Sizing'!$W$6*'Valve Sizing'!$G$8/U3751)</f>
        <v>62.543346211719395</v>
      </c>
      <c r="V3750" s="111"/>
      <c r="W3750" s="28"/>
      <c r="X3750" s="96">
        <f ca="1">(X3742/(N_9*X$27*X3744*0.667))*SQRT(M*'Valve Sizing'!$W$6*'Valve Sizing'!$G$8/X3751)</f>
        <v>215.86585053426032</v>
      </c>
      <c r="Y3750" s="111"/>
      <c r="Z3750" s="28"/>
      <c r="AA3750" s="96">
        <f ca="1">(AA3742/(N_9*AA$27*AA3744*0.667))*SQRT(M*'Valve Sizing'!$W$6*'Valve Sizing'!$G$8/AA3751)</f>
        <v>-1252.6061780780019</v>
      </c>
      <c r="AB3750" s="111"/>
      <c r="AC3750" s="28"/>
      <c r="AD3750" s="96">
        <f ca="1">(AD3742/(N_9*AD$27*AD3744*0.667))*SQRT(M*'Valve Sizing'!$W$6*'Valve Sizing'!$G$8/AD3751)</f>
        <v>-201.68085405684545</v>
      </c>
      <c r="AE3750" s="111"/>
      <c r="AF3750" s="28"/>
      <c r="AG3750" s="96">
        <f ca="1">(AG3742/(N_9*AG$27*AG3744*0.667))*SQRT(M*'Valve Sizing'!$W$6*'Valve Sizing'!$G$8/AG3751)</f>
        <v>-119.67378941925087</v>
      </c>
      <c r="AH3750" s="111"/>
      <c r="AI3750" s="28"/>
      <c r="AJ3750" s="96">
        <f ca="1">(AJ3742/(N_9*AJ$27*AJ3744*0.667))*SQRT(M*'Valve Sizing'!$W$6*'Valve Sizing'!$G$8/AJ3751)</f>
        <v>-90.174877317931802</v>
      </c>
      <c r="AK3750" s="111"/>
      <c r="AL3750" s="28"/>
      <c r="AM3750" s="96">
        <f ca="1">(AM3742/(N_9*AM$27*AM3744*0.667))*SQRT(M*'Valve Sizing'!$W$6*'Valve Sizing'!$G$8/AM3751)</f>
        <v>-80.726418641387752</v>
      </c>
      <c r="AN3750" s="111"/>
      <c r="AO3750" s="28"/>
      <c r="AP3750" s="96">
        <f ca="1">(AP3742/(N_9*AP$27*AP3744*0.667))*SQRT(M*'Valve Sizing'!$W$6*'Valve Sizing'!$G$8/AP3751)</f>
        <v>-70.054639594575619</v>
      </c>
      <c r="AQ3750" s="111"/>
      <c r="AR3750" s="28"/>
      <c r="AS3750" s="96">
        <f ca="1">(AS3742/(N_9*AS$27*AS3744*0.667))*SQRT(M*'Valve Sizing'!$W$6*'Valve Sizing'!$G$8/AS3751)</f>
        <v>-99.126258370902036</v>
      </c>
      <c r="AT3750" s="111"/>
      <c r="AU3750" s="28"/>
    </row>
    <row r="3751" spans="15:47" ht="15.6" x14ac:dyDescent="0.35">
      <c r="O3751" s="2" t="s">
        <v>68</v>
      </c>
      <c r="P3751" s="143">
        <v>10</v>
      </c>
      <c r="Q3751" s="2"/>
      <c r="R3751" s="96">
        <f ca="1">F_GAMMA*R$29</f>
        <v>0.64002969751372984</v>
      </c>
      <c r="S3751" s="107"/>
      <c r="T3751" s="1"/>
      <c r="U3751" s="96">
        <f ca="1">F_GAMMA*U$29</f>
        <v>0.64017842058782071</v>
      </c>
      <c r="V3751" s="111"/>
      <c r="W3751" s="28"/>
      <c r="X3751" s="96">
        <f ca="1">F_GAMMA*X$29</f>
        <v>0.63413873724904268</v>
      </c>
      <c r="Y3751" s="111"/>
      <c r="Z3751" s="28"/>
      <c r="AA3751" s="96">
        <f ca="1">F_GAMMA*AA$29</f>
        <v>0.62532411750377137</v>
      </c>
      <c r="AB3751" s="111"/>
      <c r="AC3751" s="28"/>
      <c r="AD3751" s="96">
        <f ca="1">F_GAMMA*AD$29</f>
        <v>0.60651359509139569</v>
      </c>
      <c r="AE3751" s="111"/>
      <c r="AF3751" s="28"/>
      <c r="AG3751" s="96">
        <f ca="1">F_GAMMA*AG$29</f>
        <v>0.57217930198481592</v>
      </c>
      <c r="AH3751" s="111"/>
      <c r="AI3751" s="28"/>
      <c r="AJ3751" s="96">
        <f ca="1">F_GAMMA*AJ$29</f>
        <v>0.53183282018848232</v>
      </c>
      <c r="AK3751" s="111"/>
      <c r="AL3751" s="28"/>
      <c r="AM3751" s="96">
        <f ca="1">F_GAMMA*AM$29</f>
        <v>0.47566512503094399</v>
      </c>
      <c r="AN3751" s="111"/>
      <c r="AO3751" s="28"/>
      <c r="AP3751" s="96">
        <f ca="1">F_GAMMA*AP$29</f>
        <v>0.59054158265645496</v>
      </c>
      <c r="AQ3751" s="111"/>
      <c r="AR3751" s="28"/>
      <c r="AS3751" s="96">
        <f ca="1">F_GAMMA*AS$29</f>
        <v>0.3766899554102966</v>
      </c>
      <c r="AT3751" s="111"/>
      <c r="AU3751" s="28"/>
    </row>
    <row r="3752" spans="15:47" x14ac:dyDescent="0.25">
      <c r="O3752" s="2" t="s">
        <v>145</v>
      </c>
      <c r="P3752" s="12"/>
      <c r="Q3752" s="2"/>
      <c r="R3752" s="96">
        <f ca="1">IF(R3747&lt;R3751,R3749,R3750)</f>
        <v>24.755052403008644</v>
      </c>
      <c r="S3752" s="116"/>
      <c r="T3752" s="1"/>
      <c r="U3752" s="96">
        <f ca="1">IF(U3747&lt;U3751,U3749,U3750)</f>
        <v>72.475372347896055</v>
      </c>
      <c r="V3752" s="111"/>
      <c r="W3752" s="28"/>
      <c r="X3752" s="96">
        <f ca="1">IF(X3747&lt;X3751,X3749,X3750)</f>
        <v>926.01019801208065</v>
      </c>
      <c r="Y3752" s="111"/>
      <c r="Z3752" s="28"/>
      <c r="AA3752" s="96">
        <f ca="1">IF(AA3747&lt;AA3751,AA3749,AA3750)</f>
        <v>-1252.6061780780019</v>
      </c>
      <c r="AB3752" s="111"/>
      <c r="AC3752" s="28"/>
      <c r="AD3752" s="96">
        <f ca="1">IF(AD3747&lt;AD3751,AD3749,AD3750)</f>
        <v>-201.68085405684545</v>
      </c>
      <c r="AE3752" s="111"/>
      <c r="AF3752" s="28"/>
      <c r="AG3752" s="96">
        <f ca="1">IF(AG3747&lt;AG3751,AG3749,AG3750)</f>
        <v>-119.67378941925087</v>
      </c>
      <c r="AH3752" s="111"/>
      <c r="AI3752" s="28"/>
      <c r="AJ3752" s="96">
        <f ca="1">IF(AJ3747&lt;AJ3751,AJ3749,AJ3750)</f>
        <v>-90.174877317931802</v>
      </c>
      <c r="AK3752" s="111"/>
      <c r="AL3752" s="28"/>
      <c r="AM3752" s="96">
        <f ca="1">IF(AM3747&lt;AM3751,AM3749,AM3750)</f>
        <v>-80.726418641387752</v>
      </c>
      <c r="AN3752" s="111"/>
      <c r="AO3752" s="28"/>
      <c r="AP3752" s="96">
        <f ca="1">IF(AP3747&lt;AP3751,AP3749,AP3750)</f>
        <v>-70.054639594575619</v>
      </c>
      <c r="AQ3752" s="111"/>
      <c r="AR3752" s="28"/>
      <c r="AS3752" s="96">
        <f ca="1">IF(AS3747&lt;AS3751,AS3749,AS3750)</f>
        <v>-99.126258370902036</v>
      </c>
      <c r="AT3752" s="111"/>
      <c r="AU3752" s="28"/>
    </row>
    <row r="3753" spans="15:47" x14ac:dyDescent="0.25">
      <c r="O3753" s="13" t="s">
        <v>143</v>
      </c>
      <c r="P3753" s="1"/>
      <c r="Q3753" s="1"/>
      <c r="R3753" s="113"/>
      <c r="S3753" s="106">
        <f ca="1">IF(R3746&lt;=0,Q_max,ABS(R$23-R3752))</f>
        <v>20.025052403008644</v>
      </c>
      <c r="T3753" s="7">
        <f>R3742</f>
        <v>60580.406124105401</v>
      </c>
      <c r="U3753" s="98"/>
      <c r="V3753" s="106">
        <f ca="1">IF(U3746&lt;=0,Q_max,ABS(U$23-U3752))</f>
        <v>60.875372347896054</v>
      </c>
      <c r="W3753" s="9">
        <f ca="1">U3742</f>
        <v>163561.8358923425</v>
      </c>
      <c r="X3753" s="98"/>
      <c r="Y3753" s="106">
        <f ca="1">IF(X3746&lt;=0,Q_max,ABS(X$23-X3752))</f>
        <v>903.01019801208065</v>
      </c>
      <c r="Z3753" s="9">
        <f ca="1">X3742</f>
        <v>400502.85569148249</v>
      </c>
      <c r="AA3753" s="98"/>
      <c r="AB3753" s="106">
        <f ca="1">IF(AA3746&lt;=0,Q_max,ABS(AA$23-AA3752))</f>
        <v>236393</v>
      </c>
      <c r="AC3753" s="9">
        <f ca="1">AA3742</f>
        <v>780077.3363700608</v>
      </c>
      <c r="AD3753" s="98"/>
      <c r="AE3753" s="106">
        <f ca="1">IF(AD3746&lt;=0,Q_max,ABS(AD$23-AD3752))</f>
        <v>236393</v>
      </c>
      <c r="AF3753" s="9">
        <f ca="1">AD3742</f>
        <v>1308727.1051123741</v>
      </c>
      <c r="AG3753" s="98"/>
      <c r="AH3753" s="106">
        <f ca="1">IF(AG3746&lt;=0,Q_max,ABS(AG$23-AG3752))</f>
        <v>236393</v>
      </c>
      <c r="AI3753" s="9">
        <f ca="1">AG3742</f>
        <v>1910122.8545884851</v>
      </c>
      <c r="AJ3753" s="98"/>
      <c r="AK3753" s="106">
        <f ca="1">IF(AJ3746&lt;=0,Q_max,ABS(AJ$23-AJ3752))</f>
        <v>236393</v>
      </c>
      <c r="AL3753" s="9">
        <f ca="1">AJ3742</f>
        <v>2549066.3541680025</v>
      </c>
      <c r="AM3753" s="98"/>
      <c r="AN3753" s="106">
        <f ca="1">IF(AM3746&lt;=0,Q_max,ABS(AM$23-AM3752))</f>
        <v>236393</v>
      </c>
      <c r="AO3753" s="9">
        <f ca="1">AM3742</f>
        <v>3110345.3765222738</v>
      </c>
      <c r="AP3753" s="98"/>
      <c r="AQ3753" s="106">
        <f ca="1">IF(AP3746&lt;=0,Q_max,ABS(AP$23-AP3752))</f>
        <v>236393</v>
      </c>
      <c r="AR3753" s="9">
        <f ca="1">AP3742</f>
        <v>3611014.4226209698</v>
      </c>
      <c r="AS3753" s="98"/>
      <c r="AT3753" s="106">
        <f ca="1">IF(AS3746&lt;=0,Q_max,ABS(AS$23-AS3752))</f>
        <v>236393</v>
      </c>
      <c r="AU3753" s="9">
        <f ca="1">AS3742</f>
        <v>4234198.3984768279</v>
      </c>
    </row>
    <row r="3754" spans="15:47" x14ac:dyDescent="0.25">
      <c r="O3754" s="21"/>
      <c r="P3754" s="14"/>
      <c r="Q3754" s="21"/>
      <c r="R3754" s="97"/>
      <c r="S3754" s="106"/>
      <c r="T3754" s="28"/>
      <c r="U3754" s="97"/>
      <c r="V3754" s="111"/>
      <c r="W3754" s="28"/>
      <c r="X3754" s="97"/>
      <c r="Y3754" s="111"/>
      <c r="Z3754" s="28"/>
      <c r="AA3754" s="97"/>
      <c r="AB3754" s="111"/>
      <c r="AC3754" s="28"/>
      <c r="AD3754" s="97"/>
      <c r="AE3754" s="111"/>
      <c r="AF3754" s="28"/>
      <c r="AG3754" s="97"/>
      <c r="AH3754" s="111"/>
      <c r="AI3754" s="28"/>
      <c r="AJ3754" s="97"/>
      <c r="AK3754" s="111"/>
      <c r="AL3754" s="28"/>
      <c r="AM3754" s="97"/>
      <c r="AN3754" s="111"/>
      <c r="AO3754" s="28"/>
      <c r="AP3754" s="97"/>
      <c r="AQ3754" s="111"/>
      <c r="AR3754" s="28"/>
      <c r="AS3754" s="97"/>
      <c r="AT3754" s="111"/>
      <c r="AU3754" s="28"/>
    </row>
    <row r="3755" spans="15:47" x14ac:dyDescent="0.25">
      <c r="O3755" s="1"/>
      <c r="P3755" s="1"/>
      <c r="Q3755" s="1"/>
      <c r="R3755" s="98"/>
      <c r="S3755" s="108" t="s">
        <v>137</v>
      </c>
      <c r="T3755" s="26" t="s">
        <v>146</v>
      </c>
      <c r="U3755" s="98"/>
      <c r="V3755" s="108" t="s">
        <v>137</v>
      </c>
      <c r="W3755" s="26" t="s">
        <v>146</v>
      </c>
      <c r="X3755" s="98"/>
      <c r="Y3755" s="108" t="s">
        <v>137</v>
      </c>
      <c r="Z3755" s="26" t="s">
        <v>146</v>
      </c>
      <c r="AA3755" s="98"/>
      <c r="AB3755" s="108" t="s">
        <v>137</v>
      </c>
      <c r="AC3755" s="26" t="s">
        <v>146</v>
      </c>
      <c r="AD3755" s="98"/>
      <c r="AE3755" s="108" t="s">
        <v>137</v>
      </c>
      <c r="AF3755" s="26" t="s">
        <v>146</v>
      </c>
      <c r="AG3755" s="98"/>
      <c r="AH3755" s="108" t="s">
        <v>137</v>
      </c>
      <c r="AI3755" s="26" t="s">
        <v>146</v>
      </c>
      <c r="AJ3755" s="98"/>
      <c r="AK3755" s="108" t="s">
        <v>137</v>
      </c>
      <c r="AL3755" s="26" t="s">
        <v>146</v>
      </c>
      <c r="AM3755" s="98"/>
      <c r="AN3755" s="108" t="s">
        <v>137</v>
      </c>
      <c r="AO3755" s="26" t="s">
        <v>146</v>
      </c>
      <c r="AP3755" s="98"/>
      <c r="AQ3755" s="108" t="s">
        <v>137</v>
      </c>
      <c r="AR3755" s="26" t="s">
        <v>146</v>
      </c>
      <c r="AS3755" s="98"/>
      <c r="AT3755" s="108" t="s">
        <v>137</v>
      </c>
      <c r="AU3755" s="26" t="s">
        <v>146</v>
      </c>
    </row>
    <row r="3756" spans="15:47" ht="13.8" x14ac:dyDescent="0.25">
      <c r="O3756" s="20" t="s">
        <v>136</v>
      </c>
      <c r="P3756" s="1"/>
      <c r="Q3756" s="1"/>
      <c r="R3756" s="96">
        <f>R3742*1.02</f>
        <v>61792.014246587511</v>
      </c>
      <c r="S3756" s="109" t="s">
        <v>144</v>
      </c>
      <c r="T3756" s="23" t="s">
        <v>147</v>
      </c>
      <c r="U3756" s="96">
        <f ca="1">U3742*1.01</f>
        <v>165197.45425126591</v>
      </c>
      <c r="V3756" s="109" t="s">
        <v>144</v>
      </c>
      <c r="W3756" s="23" t="s">
        <v>147</v>
      </c>
      <c r="X3756" s="96">
        <f ca="1">X3742*1.01</f>
        <v>404507.88424839731</v>
      </c>
      <c r="Y3756" s="109" t="s">
        <v>144</v>
      </c>
      <c r="Z3756" s="23" t="s">
        <v>147</v>
      </c>
      <c r="AA3756" s="96">
        <f ca="1">AA3742*1.01</f>
        <v>787878.1097337614</v>
      </c>
      <c r="AB3756" s="109" t="s">
        <v>144</v>
      </c>
      <c r="AC3756" s="23" t="s">
        <v>147</v>
      </c>
      <c r="AD3756" s="96">
        <f ca="1">AD3742*1.01</f>
        <v>1321814.3761634978</v>
      </c>
      <c r="AE3756" s="109" t="s">
        <v>144</v>
      </c>
      <c r="AF3756" s="23" t="s">
        <v>147</v>
      </c>
      <c r="AG3756" s="96">
        <f ca="1">AG3742*1.01</f>
        <v>1929224.0831343699</v>
      </c>
      <c r="AH3756" s="109" t="s">
        <v>144</v>
      </c>
      <c r="AI3756" s="23" t="s">
        <v>147</v>
      </c>
      <c r="AJ3756" s="96">
        <f ca="1">AJ3742*1.01</f>
        <v>2574557.0177096827</v>
      </c>
      <c r="AK3756" s="109" t="s">
        <v>144</v>
      </c>
      <c r="AL3756" s="23" t="s">
        <v>147</v>
      </c>
      <c r="AM3756" s="96">
        <f ca="1">AM3742*1.01</f>
        <v>3141448.8302874966</v>
      </c>
      <c r="AN3756" s="109" t="s">
        <v>144</v>
      </c>
      <c r="AO3756" s="23" t="s">
        <v>147</v>
      </c>
      <c r="AP3756" s="96">
        <f ca="1">AP3742*1.01</f>
        <v>3647124.5668471796</v>
      </c>
      <c r="AQ3756" s="109" t="s">
        <v>144</v>
      </c>
      <c r="AR3756" s="23" t="s">
        <v>147</v>
      </c>
      <c r="AS3756" s="96">
        <f ca="1">AS3742*1.01</f>
        <v>4276540.3824615963</v>
      </c>
      <c r="AT3756" s="109" t="s">
        <v>144</v>
      </c>
      <c r="AU3756" s="23" t="s">
        <v>147</v>
      </c>
    </row>
    <row r="3757" spans="15:47" x14ac:dyDescent="0.25">
      <c r="O3757" s="1"/>
      <c r="P3757" s="1"/>
      <c r="Q3757" s="1"/>
      <c r="R3757" s="98"/>
      <c r="S3757" s="107"/>
      <c r="T3757" s="1"/>
      <c r="U3757" s="47"/>
      <c r="V3757" s="107"/>
      <c r="W3757" s="1"/>
      <c r="X3757" s="47"/>
      <c r="Y3757" s="107"/>
      <c r="Z3757" s="1"/>
      <c r="AA3757" s="47"/>
      <c r="AB3757" s="107"/>
      <c r="AC3757" s="1"/>
      <c r="AD3757" s="47"/>
      <c r="AE3757" s="107"/>
      <c r="AF3757" s="1"/>
      <c r="AG3757" s="47"/>
      <c r="AH3757" s="107"/>
      <c r="AI3757" s="1"/>
      <c r="AJ3757" s="47"/>
      <c r="AK3757" s="107"/>
      <c r="AL3757" s="1"/>
      <c r="AM3757" s="47"/>
      <c r="AN3757" s="107"/>
      <c r="AO3757" s="1"/>
      <c r="AP3757" s="47"/>
      <c r="AQ3757" s="107"/>
      <c r="AR3757" s="1"/>
      <c r="AS3757" s="47"/>
      <c r="AT3757" s="107"/>
      <c r="AU3757" s="1"/>
    </row>
    <row r="3758" spans="15:47" x14ac:dyDescent="0.25">
      <c r="O3758" s="8" t="s">
        <v>132</v>
      </c>
      <c r="P3758" s="8"/>
      <c r="Q3758" s="8"/>
      <c r="R3758" s="96">
        <f>P_1_minQ-(R3756^2*R_up)+dpup_minQ</f>
        <v>89.489122254786437</v>
      </c>
      <c r="S3758" s="106"/>
      <c r="T3758" s="22"/>
      <c r="U3758" s="96">
        <f ca="1">P_1_minQ-(U3756^2*R_up)+dpup_minQ</f>
        <v>85.211104013504851</v>
      </c>
      <c r="V3758" s="107"/>
      <c r="W3758" s="1"/>
      <c r="X3758" s="96">
        <f ca="1">P_1_minQ-(X3756^2*R_up)+dpup_minQ</f>
        <v>60.362302137825495</v>
      </c>
      <c r="Y3758" s="107"/>
      <c r="Z3758" s="1"/>
      <c r="AA3758" s="96">
        <f ca="1">P_1_minQ-(AA3756^2*R_up)+dpup_minQ</f>
        <v>-22.953769272845605</v>
      </c>
      <c r="AB3758" s="107"/>
      <c r="AC3758" s="1"/>
      <c r="AD3758" s="96">
        <f ca="1">P_1_minQ-(AD3756^2*R_up)+dpup_minQ</f>
        <v>-228.25999235375684</v>
      </c>
      <c r="AE3758" s="107"/>
      <c r="AF3758" s="1"/>
      <c r="AG3758" s="96">
        <f ca="1">P_1_minQ-(AG3756^2*R_up)+dpup_minQ</f>
        <v>-588.17285877662505</v>
      </c>
      <c r="AH3758" s="107"/>
      <c r="AI3758" s="1"/>
      <c r="AJ3758" s="96">
        <f ca="1">P_1_minQ-(AJ3756^2*R_up)+dpup_minQ</f>
        <v>-1117.9029470353569</v>
      </c>
      <c r="AK3758" s="107"/>
      <c r="AL3758" s="1"/>
      <c r="AM3758" s="96">
        <f ca="1">P_1_minQ-(AM3756^2*R_up)+dpup_minQ</f>
        <v>-1708.4933511397626</v>
      </c>
      <c r="AN3758" s="107"/>
      <c r="AO3758" s="1"/>
      <c r="AP3758" s="96">
        <f ca="1">P_1_minQ-(AP3756^2*R_up)+dpup_minQ</f>
        <v>-2334.1616787149146</v>
      </c>
      <c r="AQ3758" s="107"/>
      <c r="AR3758" s="1"/>
      <c r="AS3758" s="96">
        <f ca="1">P_1_minQ-(AS3756^2*R_up)+dpup_minQ</f>
        <v>-3243.1478826233374</v>
      </c>
      <c r="AT3758" s="107"/>
      <c r="AU3758" s="1"/>
    </row>
    <row r="3759" spans="15:47" x14ac:dyDescent="0.25">
      <c r="O3759" s="8" t="s">
        <v>134</v>
      </c>
      <c r="P3759" s="1"/>
      <c r="Q3759" s="8"/>
      <c r="R3759" s="97">
        <f>P_2_minQ+(R3756^2*R_dn)-dpdn_minQ</f>
        <v>60</v>
      </c>
      <c r="S3759" s="106"/>
      <c r="T3759" s="22"/>
      <c r="U3759" s="97">
        <f ca="1">P_2_minQ+(U3756^2*R_dn)-dpdn_minQ</f>
        <v>60</v>
      </c>
      <c r="V3759" s="107"/>
      <c r="W3759" s="1"/>
      <c r="X3759" s="97">
        <f ca="1">P_2_minQ+(X3756^2*R_dn)-dpdn_minQ</f>
        <v>60</v>
      </c>
      <c r="Y3759" s="107"/>
      <c r="Z3759" s="1"/>
      <c r="AA3759" s="97">
        <f ca="1">P_2_minQ+(AA3756^2*R_dn)-dpdn_minQ</f>
        <v>60</v>
      </c>
      <c r="AB3759" s="107"/>
      <c r="AC3759" s="1"/>
      <c r="AD3759" s="97">
        <f ca="1">P_2_minQ+(AD3756^2*R_dn)-dpdn_minQ</f>
        <v>60</v>
      </c>
      <c r="AE3759" s="107"/>
      <c r="AF3759" s="1"/>
      <c r="AG3759" s="97">
        <f ca="1">P_2_minQ+(AG3756^2*R_dn)-dpdn_minQ</f>
        <v>60</v>
      </c>
      <c r="AH3759" s="107"/>
      <c r="AI3759" s="1"/>
      <c r="AJ3759" s="97">
        <f ca="1">P_2_minQ+(AJ3756^2*R_dn)-dpdn_minQ</f>
        <v>60</v>
      </c>
      <c r="AK3759" s="107"/>
      <c r="AL3759" s="1"/>
      <c r="AM3759" s="97">
        <f ca="1">P_2_minQ+(AM3756^2*R_dn)-dpdn_minQ</f>
        <v>60</v>
      </c>
      <c r="AN3759" s="107"/>
      <c r="AO3759" s="1"/>
      <c r="AP3759" s="97">
        <f ca="1">P_2_minQ+(AP3756^2*R_dn)-dpdn_minQ</f>
        <v>60</v>
      </c>
      <c r="AQ3759" s="107"/>
      <c r="AR3759" s="1"/>
      <c r="AS3759" s="97">
        <f ca="1">P_2_minQ+(AS3756^2*R_dn)-dpdn_minQ</f>
        <v>60</v>
      </c>
      <c r="AT3759" s="107"/>
      <c r="AU3759" s="1"/>
    </row>
    <row r="3760" spans="15:47" x14ac:dyDescent="0.25">
      <c r="O3760" s="8" t="s">
        <v>138</v>
      </c>
      <c r="P3760" s="1"/>
      <c r="Q3760" s="8"/>
      <c r="R3760" s="97">
        <f>R3758-R3759</f>
        <v>29.489122254786437</v>
      </c>
      <c r="S3760" s="106"/>
      <c r="T3760" s="22"/>
      <c r="U3760" s="97">
        <f ca="1">U3758-U3759</f>
        <v>25.211104013504851</v>
      </c>
      <c r="V3760" s="110"/>
      <c r="W3760" s="25"/>
      <c r="X3760" s="97">
        <f ca="1">X3758-X3759</f>
        <v>0.3623021378254947</v>
      </c>
      <c r="Y3760" s="110"/>
      <c r="Z3760" s="25"/>
      <c r="AA3760" s="97">
        <f ca="1">AA3758-AA3759</f>
        <v>-82.953769272845605</v>
      </c>
      <c r="AB3760" s="110"/>
      <c r="AC3760" s="25"/>
      <c r="AD3760" s="97">
        <f ca="1">AD3758-AD3759</f>
        <v>-288.25999235375684</v>
      </c>
      <c r="AE3760" s="110"/>
      <c r="AF3760" s="25"/>
      <c r="AG3760" s="97">
        <f ca="1">AG3758-AG3759</f>
        <v>-648.17285877662505</v>
      </c>
      <c r="AH3760" s="110"/>
      <c r="AI3760" s="25"/>
      <c r="AJ3760" s="97">
        <f ca="1">AJ3758-AJ3759</f>
        <v>-1177.9029470353569</v>
      </c>
      <c r="AK3760" s="110"/>
      <c r="AL3760" s="25"/>
      <c r="AM3760" s="97">
        <f ca="1">AM3758-AM3759</f>
        <v>-1768.4933511397626</v>
      </c>
      <c r="AN3760" s="110"/>
      <c r="AO3760" s="25"/>
      <c r="AP3760" s="97">
        <f ca="1">AP3758-AP3759</f>
        <v>-2394.1616787149146</v>
      </c>
      <c r="AQ3760" s="110"/>
      <c r="AR3760" s="25"/>
      <c r="AS3760" s="97">
        <f ca="1">AS3758-AS3759</f>
        <v>-3303.1478826233374</v>
      </c>
      <c r="AT3760" s="110"/>
      <c r="AU3760" s="25"/>
    </row>
    <row r="3761" spans="15:47" ht="14.4" x14ac:dyDescent="0.3">
      <c r="O3761" s="2" t="s">
        <v>140</v>
      </c>
      <c r="P3761" s="11"/>
      <c r="Q3761" s="2"/>
      <c r="R3761" s="96">
        <f>R3760/R3758</f>
        <v>0.32952744994891459</v>
      </c>
      <c r="S3761" s="106"/>
      <c r="T3761" s="22"/>
      <c r="U3761" s="96">
        <f ca="1">U3760/U3758</f>
        <v>0.29586641677015729</v>
      </c>
      <c r="V3761" s="111"/>
      <c r="W3761" s="28"/>
      <c r="X3761" s="96">
        <f ca="1">X3760/X3758</f>
        <v>6.0021259129290454E-3</v>
      </c>
      <c r="Y3761" s="111"/>
      <c r="Z3761" s="28"/>
      <c r="AA3761" s="96">
        <f ca="1">AA3760/AA3758</f>
        <v>3.6139497738604622</v>
      </c>
      <c r="AB3761" s="111"/>
      <c r="AC3761" s="28"/>
      <c r="AD3761" s="96">
        <f ca="1">AD3760/AD3758</f>
        <v>1.2628581530267122</v>
      </c>
      <c r="AE3761" s="111"/>
      <c r="AF3761" s="28"/>
      <c r="AG3761" s="96">
        <f ca="1">AG3760/AG3758</f>
        <v>1.1020108274373583</v>
      </c>
      <c r="AH3761" s="111"/>
      <c r="AI3761" s="28"/>
      <c r="AJ3761" s="96">
        <f ca="1">AJ3760/AJ3758</f>
        <v>1.0536719221996131</v>
      </c>
      <c r="AK3761" s="111"/>
      <c r="AL3761" s="28"/>
      <c r="AM3761" s="96">
        <f ca="1">AM3760/AM3758</f>
        <v>1.035118661691</v>
      </c>
      <c r="AN3761" s="111"/>
      <c r="AO3761" s="28"/>
      <c r="AP3761" s="96">
        <f ca="1">AP3760/AP3758</f>
        <v>1.0257051602496676</v>
      </c>
      <c r="AQ3761" s="111"/>
      <c r="AR3761" s="28"/>
      <c r="AS3761" s="96">
        <f ca="1">AS3760/AS3758</f>
        <v>1.0185005439688637</v>
      </c>
      <c r="AT3761" s="111"/>
      <c r="AU3761" s="28"/>
    </row>
    <row r="3762" spans="15:47" x14ac:dyDescent="0.25">
      <c r="O3762" s="2" t="s">
        <v>21</v>
      </c>
      <c r="P3762" s="8">
        <v>12</v>
      </c>
      <c r="Q3762" s="2"/>
      <c r="R3762" s="96">
        <f ca="1">1-R3761/(3*F_GAMMA*R$29)</f>
        <v>0.82837908343472055</v>
      </c>
      <c r="S3762" s="106"/>
      <c r="T3762" s="22"/>
      <c r="U3762" s="96">
        <f ca="1">1-U3761/(3*F_GAMMA*U$29)</f>
        <v>0.84594585548068058</v>
      </c>
      <c r="V3762" s="111"/>
      <c r="W3762" s="28"/>
      <c r="X3762" s="96">
        <f ca="1">1-X3761/(3*F_GAMMA*X$29)</f>
        <v>0.99684499854665509</v>
      </c>
      <c r="Y3762" s="111"/>
      <c r="Z3762" s="28"/>
      <c r="AA3762" s="96">
        <f ca="1">1-AA3761/(3*F_GAMMA*AA$29)</f>
        <v>-0.92644085027296064</v>
      </c>
      <c r="AB3762" s="111"/>
      <c r="AC3762" s="28"/>
      <c r="AD3762" s="96">
        <f ca="1">1-AD3761/(3*F_GAMMA*AD$29)</f>
        <v>0.30594677335775577</v>
      </c>
      <c r="AE3762" s="111"/>
      <c r="AF3762" s="28"/>
      <c r="AG3762" s="96">
        <f ca="1">1-AG3761/(3*F_GAMMA*AG$29)</f>
        <v>0.35800379146034267</v>
      </c>
      <c r="AH3762" s="111"/>
      <c r="AI3762" s="28"/>
      <c r="AJ3762" s="96">
        <f ca="1">1-AJ3761/(3*F_GAMMA*AJ$29)</f>
        <v>0.33959702986727403</v>
      </c>
      <c r="AK3762" s="111"/>
      <c r="AL3762" s="28"/>
      <c r="AM3762" s="96">
        <f ca="1">1-AM3761/(3*F_GAMMA*AM$29)</f>
        <v>0.27461666676834096</v>
      </c>
      <c r="AN3762" s="111"/>
      <c r="AO3762" s="28"/>
      <c r="AP3762" s="96">
        <f ca="1">1-AP3761/(3*F_GAMMA*AP$29)</f>
        <v>0.42103701056031739</v>
      </c>
      <c r="AQ3762" s="111"/>
      <c r="AR3762" s="28"/>
      <c r="AS3762" s="96">
        <f ca="1">1-AS3761/(3*F_GAMMA*AS$29)</f>
        <v>9.8727809311597858E-2</v>
      </c>
      <c r="AT3762" s="111"/>
      <c r="AU3762" s="28"/>
    </row>
    <row r="3763" spans="15:47" x14ac:dyDescent="0.25">
      <c r="O3763" s="2" t="s">
        <v>57</v>
      </c>
      <c r="P3763" s="143">
        <v>7</v>
      </c>
      <c r="Q3763" s="2"/>
      <c r="R3763" s="96">
        <f ca="1">(R3756/(N_9*R$27*R3758*R3762))*SQRT(M*'Valve Sizing'!$W$6*'Valve Sizing'!$G$8/R3761)</f>
        <v>25.262318999019911</v>
      </c>
      <c r="S3763" s="107"/>
      <c r="T3763" s="22"/>
      <c r="U3763" s="96">
        <f ca="1">(U3756/(N_9*U$27*U3758*U3762))*SQRT(M*'Valve Sizing'!$W$6*'Valve Sizing'!$G$8/U3761)</f>
        <v>73.347894783397351</v>
      </c>
      <c r="V3763" s="111"/>
      <c r="W3763" s="28"/>
      <c r="X3763" s="96">
        <f ca="1">(X3756/(N_9*X$27*X3758*X3762))*SQRT(M*'Valve Sizing'!$W$6*'Valve Sizing'!$G$8/X3761)</f>
        <v>1514.085879111444</v>
      </c>
      <c r="Y3763" s="111"/>
      <c r="Z3763" s="28"/>
      <c r="AA3763" s="96">
        <f ca="1">(AA3756/(N_9*AA$27*AA3758*AA3762))*SQRT(M*'Valve Sizing'!$W$6*'Valve Sizing'!$G$8/AA3761)</f>
        <v>342.0860677055698</v>
      </c>
      <c r="AB3763" s="111"/>
      <c r="AC3763" s="28"/>
      <c r="AD3763" s="96">
        <f ca="1">(AD3756/(N_9*AD$27*AD3758*AD3762))*SQRT(M*'Valve Sizing'!$W$6*'Valve Sizing'!$G$8/AD3761)</f>
        <v>-299.29780732739954</v>
      </c>
      <c r="AE3763" s="111"/>
      <c r="AF3763" s="28"/>
      <c r="AG3763" s="96">
        <f ca="1">(AG3756/(N_9*AG$27*AG3758*AG3762))*SQRT(M*'Valve Sizing'!$W$6*'Valve Sizing'!$G$8/AG3761)</f>
        <v>-158.58002332558269</v>
      </c>
      <c r="AH3763" s="111"/>
      <c r="AI3763" s="28"/>
      <c r="AJ3763" s="96">
        <f ca="1">(AJ3756/(N_9*AJ$27*AJ3758*AJ3762))*SQRT(M*'Valve Sizing'!$W$6*'Valve Sizing'!$G$8/AJ3761)</f>
        <v>-124.38161894695423</v>
      </c>
      <c r="AK3763" s="111"/>
      <c r="AL3763" s="28"/>
      <c r="AM3763" s="96">
        <f ca="1">(AM3756/(N_9*AM$27*AM3758*AM3762))*SQRT(M*'Valve Sizing'!$W$6*'Valve Sizing'!$G$8/AM3761)</f>
        <v>-131.45823821725639</v>
      </c>
      <c r="AN3763" s="111"/>
      <c r="AO3763" s="28"/>
      <c r="AP3763" s="96">
        <f ca="1">(AP3756/(N_9*AP$27*AP3758*AP3762))*SQRT(M*'Valve Sizing'!$W$6*'Valve Sizing'!$G$8/AP3761)</f>
        <v>-83.310099957238975</v>
      </c>
      <c r="AQ3763" s="111"/>
      <c r="AR3763" s="28"/>
      <c r="AS3763" s="96">
        <f ca="1">(AS3756/(N_9*AS$27*AS3758*AS3762))*SQRT(M*'Valve Sizing'!$W$6*'Valve Sizing'!$G$8/AS3761)</f>
        <v>-403.0159633645427</v>
      </c>
      <c r="AT3763" s="111"/>
      <c r="AU3763" s="28"/>
    </row>
    <row r="3764" spans="15:47" x14ac:dyDescent="0.25">
      <c r="O3764" s="2" t="s">
        <v>59</v>
      </c>
      <c r="P3764" s="143">
        <v>7</v>
      </c>
      <c r="Q3764" s="2"/>
      <c r="R3764" s="96">
        <f ca="1">(R3756/(N_9*R$27*R3758*0.667))*SQRT(M*'Valve Sizing'!$W$6*'Valve Sizing'!$G$8/R3765)</f>
        <v>22.512423045307791</v>
      </c>
      <c r="S3764" s="107"/>
      <c r="T3764" s="22"/>
      <c r="U3764" s="96">
        <f ca="1">(U3756/(N_9*U$27*U3758*0.667))*SQRT(M*'Valve Sizing'!$W$6*'Valve Sizing'!$G$8/U3765)</f>
        <v>63.241433726227115</v>
      </c>
      <c r="V3764" s="111"/>
      <c r="W3764" s="28"/>
      <c r="X3764" s="96">
        <f ca="1">(X3756/(N_9*X$27*X3758*0.667))*SQRT(M*'Valve Sizing'!$W$6*'Valve Sizing'!$G$8/X3765)</f>
        <v>220.14697312930198</v>
      </c>
      <c r="Y3764" s="111"/>
      <c r="Z3764" s="28"/>
      <c r="AA3764" s="96">
        <f ca="1">(AA3756/(N_9*AA$27*AA3758*0.667))*SQRT(M*'Valve Sizing'!$W$6*'Valve Sizing'!$G$8/AA3765)</f>
        <v>-1142.2619658189722</v>
      </c>
      <c r="AB3764" s="111"/>
      <c r="AC3764" s="28"/>
      <c r="AD3764" s="96">
        <f ca="1">(AD3756/(N_9*AD$27*AD3758*0.667))*SQRT(M*'Valve Sizing'!$W$6*'Valve Sizing'!$G$8/AD3765)</f>
        <v>-198.09822980752108</v>
      </c>
      <c r="AE3764" s="111"/>
      <c r="AF3764" s="28"/>
      <c r="AG3764" s="96">
        <f ca="1">(AG3756/(N_9*AG$27*AG3758*0.667))*SQRT(M*'Valve Sizing'!$W$6*'Valve Sizing'!$G$8/AG3765)</f>
        <v>-118.12372355399512</v>
      </c>
      <c r="AH3764" s="111"/>
      <c r="AI3764" s="28"/>
      <c r="AJ3764" s="96">
        <f ca="1">(AJ3756/(N_9*AJ$27*AJ3758*0.667))*SQRT(M*'Valve Sizing'!$W$6*'Valve Sizing'!$G$8/AJ3765)</f>
        <v>-89.137282725854917</v>
      </c>
      <c r="AK3764" s="111"/>
      <c r="AL3764" s="28"/>
      <c r="AM3764" s="96">
        <f ca="1">(AM3756/(N_9*AM$27*AM3758*0.667))*SQRT(M*'Valve Sizing'!$W$6*'Valve Sizing'!$G$8/AM3765)</f>
        <v>-79.842344098409725</v>
      </c>
      <c r="AN3764" s="111"/>
      <c r="AO3764" s="28"/>
      <c r="AP3764" s="96">
        <f ca="1">(AP3756/(N_9*AP$27*AP3758*0.667))*SQRT(M*'Valve Sizing'!$W$6*'Valve Sizing'!$G$8/AP3765)</f>
        <v>-69.307163248215886</v>
      </c>
      <c r="AQ3764" s="111"/>
      <c r="AR3764" s="28"/>
      <c r="AS3764" s="96">
        <f ca="1">(AS3756/(N_9*AS$27*AS3758*0.667))*SQRT(M*'Valve Sizing'!$W$6*'Valve Sizing'!$G$8/AS3765)</f>
        <v>-98.089953382365223</v>
      </c>
      <c r="AT3764" s="111"/>
      <c r="AU3764" s="28"/>
    </row>
    <row r="3765" spans="15:47" ht="15.6" x14ac:dyDescent="0.35">
      <c r="O3765" s="2" t="s">
        <v>68</v>
      </c>
      <c r="P3765" s="143">
        <v>10</v>
      </c>
      <c r="Q3765" s="2"/>
      <c r="R3765" s="96">
        <f ca="1">F_GAMMA*R$29</f>
        <v>0.64002969751372984</v>
      </c>
      <c r="S3765" s="107"/>
      <c r="T3765" s="1"/>
      <c r="U3765" s="96">
        <f ca="1">F_GAMMA*U$29</f>
        <v>0.64017842058782071</v>
      </c>
      <c r="V3765" s="111"/>
      <c r="W3765" s="28"/>
      <c r="X3765" s="96">
        <f ca="1">F_GAMMA*X$29</f>
        <v>0.63413873724904268</v>
      </c>
      <c r="Y3765" s="111"/>
      <c r="Z3765" s="28"/>
      <c r="AA3765" s="96">
        <f ca="1">F_GAMMA*AA$29</f>
        <v>0.62532411750377137</v>
      </c>
      <c r="AB3765" s="111"/>
      <c r="AC3765" s="28"/>
      <c r="AD3765" s="96">
        <f ca="1">F_GAMMA*AD$29</f>
        <v>0.60651359509139569</v>
      </c>
      <c r="AE3765" s="111"/>
      <c r="AF3765" s="28"/>
      <c r="AG3765" s="96">
        <f ca="1">F_GAMMA*AG$29</f>
        <v>0.57217930198481592</v>
      </c>
      <c r="AH3765" s="111"/>
      <c r="AI3765" s="28"/>
      <c r="AJ3765" s="96">
        <f ca="1">F_GAMMA*AJ$29</f>
        <v>0.53183282018848232</v>
      </c>
      <c r="AK3765" s="111"/>
      <c r="AL3765" s="28"/>
      <c r="AM3765" s="96">
        <f ca="1">F_GAMMA*AM$29</f>
        <v>0.47566512503094399</v>
      </c>
      <c r="AN3765" s="111"/>
      <c r="AO3765" s="28"/>
      <c r="AP3765" s="96">
        <f ca="1">F_GAMMA*AP$29</f>
        <v>0.59054158265645496</v>
      </c>
      <c r="AQ3765" s="111"/>
      <c r="AR3765" s="28"/>
      <c r="AS3765" s="96">
        <f ca="1">F_GAMMA*AS$29</f>
        <v>0.3766899554102966</v>
      </c>
      <c r="AT3765" s="111"/>
      <c r="AU3765" s="28"/>
    </row>
    <row r="3766" spans="15:47" x14ac:dyDescent="0.25">
      <c r="O3766" s="2" t="s">
        <v>145</v>
      </c>
      <c r="P3766" s="12"/>
      <c r="Q3766" s="2"/>
      <c r="R3766" s="96">
        <f ca="1">IF(R3761&lt;R3765,R3763,R3764)</f>
        <v>25.262318999019911</v>
      </c>
      <c r="S3766" s="116"/>
      <c r="T3766" s="1"/>
      <c r="U3766" s="96">
        <f ca="1">IF(U3761&lt;U3765,U3763,U3764)</f>
        <v>73.347894783397351</v>
      </c>
      <c r="V3766" s="111"/>
      <c r="W3766" s="28"/>
      <c r="X3766" s="96">
        <f ca="1">IF(X3761&lt;X3765,X3763,X3764)</f>
        <v>1514.085879111444</v>
      </c>
      <c r="Y3766" s="111"/>
      <c r="Z3766" s="28"/>
      <c r="AA3766" s="96">
        <f ca="1">IF(AA3761&lt;AA3765,AA3763,AA3764)</f>
        <v>-1142.2619658189722</v>
      </c>
      <c r="AB3766" s="111"/>
      <c r="AC3766" s="28"/>
      <c r="AD3766" s="96">
        <f ca="1">IF(AD3761&lt;AD3765,AD3763,AD3764)</f>
        <v>-198.09822980752108</v>
      </c>
      <c r="AE3766" s="111"/>
      <c r="AF3766" s="28"/>
      <c r="AG3766" s="96">
        <f ca="1">IF(AG3761&lt;AG3765,AG3763,AG3764)</f>
        <v>-118.12372355399512</v>
      </c>
      <c r="AH3766" s="111"/>
      <c r="AI3766" s="28"/>
      <c r="AJ3766" s="96">
        <f ca="1">IF(AJ3761&lt;AJ3765,AJ3763,AJ3764)</f>
        <v>-89.137282725854917</v>
      </c>
      <c r="AK3766" s="111"/>
      <c r="AL3766" s="28"/>
      <c r="AM3766" s="96">
        <f ca="1">IF(AM3761&lt;AM3765,AM3763,AM3764)</f>
        <v>-79.842344098409725</v>
      </c>
      <c r="AN3766" s="111"/>
      <c r="AO3766" s="28"/>
      <c r="AP3766" s="96">
        <f ca="1">IF(AP3761&lt;AP3765,AP3763,AP3764)</f>
        <v>-69.307163248215886</v>
      </c>
      <c r="AQ3766" s="111"/>
      <c r="AR3766" s="28"/>
      <c r="AS3766" s="96">
        <f ca="1">IF(AS3761&lt;AS3765,AS3763,AS3764)</f>
        <v>-98.089953382365223</v>
      </c>
      <c r="AT3766" s="111"/>
      <c r="AU3766" s="28"/>
    </row>
    <row r="3767" spans="15:47" x14ac:dyDescent="0.25">
      <c r="O3767" s="13" t="s">
        <v>143</v>
      </c>
      <c r="P3767" s="1"/>
      <c r="Q3767" s="1"/>
      <c r="R3767" s="113"/>
      <c r="S3767" s="106">
        <f ca="1">IF(R3760&lt;=0,Q_max,ABS(R$23-R3766))</f>
        <v>20.53231899901991</v>
      </c>
      <c r="T3767" s="7">
        <f>R3756</f>
        <v>61792.014246587511</v>
      </c>
      <c r="U3767" s="98"/>
      <c r="V3767" s="106">
        <f ca="1">IF(U3760&lt;=0,Q_max,ABS(U$23-U3766))</f>
        <v>61.747894783397349</v>
      </c>
      <c r="W3767" s="9">
        <f ca="1">U3756</f>
        <v>165197.45425126591</v>
      </c>
      <c r="X3767" s="98"/>
      <c r="Y3767" s="106">
        <f ca="1">IF(X3760&lt;=0,Q_max,ABS(X$23-X3766))</f>
        <v>1491.085879111444</v>
      </c>
      <c r="Z3767" s="9">
        <f ca="1">X3756</f>
        <v>404507.88424839731</v>
      </c>
      <c r="AA3767" s="98"/>
      <c r="AB3767" s="106">
        <f ca="1">IF(AA3760&lt;=0,Q_max,ABS(AA$23-AA3766))</f>
        <v>236393</v>
      </c>
      <c r="AC3767" s="9">
        <f ca="1">AA3756</f>
        <v>787878.1097337614</v>
      </c>
      <c r="AD3767" s="98"/>
      <c r="AE3767" s="106">
        <f ca="1">IF(AD3760&lt;=0,Q_max,ABS(AD$23-AD3766))</f>
        <v>236393</v>
      </c>
      <c r="AF3767" s="9">
        <f ca="1">AD3756</f>
        <v>1321814.3761634978</v>
      </c>
      <c r="AG3767" s="98"/>
      <c r="AH3767" s="106">
        <f ca="1">IF(AG3760&lt;=0,Q_max,ABS(AG$23-AG3766))</f>
        <v>236393</v>
      </c>
      <c r="AI3767" s="9">
        <f ca="1">AG3756</f>
        <v>1929224.0831343699</v>
      </c>
      <c r="AJ3767" s="98"/>
      <c r="AK3767" s="106">
        <f ca="1">IF(AJ3760&lt;=0,Q_max,ABS(AJ$23-AJ3766))</f>
        <v>236393</v>
      </c>
      <c r="AL3767" s="9">
        <f ca="1">AJ3756</f>
        <v>2574557.0177096827</v>
      </c>
      <c r="AM3767" s="98"/>
      <c r="AN3767" s="106">
        <f ca="1">IF(AM3760&lt;=0,Q_max,ABS(AM$23-AM3766))</f>
        <v>236393</v>
      </c>
      <c r="AO3767" s="9">
        <f ca="1">AM3756</f>
        <v>3141448.8302874966</v>
      </c>
      <c r="AP3767" s="98"/>
      <c r="AQ3767" s="106">
        <f ca="1">IF(AP3760&lt;=0,Q_max,ABS(AP$23-AP3766))</f>
        <v>236393</v>
      </c>
      <c r="AR3767" s="9">
        <f ca="1">AP3756</f>
        <v>3647124.5668471796</v>
      </c>
      <c r="AS3767" s="98"/>
      <c r="AT3767" s="106">
        <f ca="1">IF(AS3760&lt;=0,Q_max,ABS(AS$23-AS3766))</f>
        <v>236393</v>
      </c>
      <c r="AU3767" s="9">
        <f ca="1">AS3756</f>
        <v>4276540.3824615963</v>
      </c>
    </row>
    <row r="3768" spans="15:47" x14ac:dyDescent="0.25">
      <c r="O3768" s="21"/>
      <c r="P3768" s="14"/>
      <c r="Q3768" s="21"/>
      <c r="R3768" s="97"/>
      <c r="S3768" s="106"/>
      <c r="T3768" s="28"/>
      <c r="U3768" s="97"/>
      <c r="V3768" s="111"/>
      <c r="W3768" s="28"/>
      <c r="X3768" s="97"/>
      <c r="Y3768" s="111"/>
      <c r="Z3768" s="28"/>
      <c r="AA3768" s="97"/>
      <c r="AB3768" s="111"/>
      <c r="AC3768" s="28"/>
      <c r="AD3768" s="97"/>
      <c r="AE3768" s="111"/>
      <c r="AF3768" s="28"/>
      <c r="AG3768" s="97"/>
      <c r="AH3768" s="111"/>
      <c r="AI3768" s="28"/>
      <c r="AJ3768" s="97"/>
      <c r="AK3768" s="111"/>
      <c r="AL3768" s="28"/>
      <c r="AM3768" s="97"/>
      <c r="AN3768" s="111"/>
      <c r="AO3768" s="28"/>
      <c r="AP3768" s="97"/>
      <c r="AQ3768" s="111"/>
      <c r="AR3768" s="28"/>
      <c r="AS3768" s="97"/>
      <c r="AT3768" s="111"/>
      <c r="AU3768" s="28"/>
    </row>
    <row r="3769" spans="15:47" x14ac:dyDescent="0.25">
      <c r="O3769" s="1"/>
      <c r="P3769" s="1"/>
      <c r="Q3769" s="1"/>
      <c r="R3769" s="98"/>
      <c r="S3769" s="108" t="s">
        <v>137</v>
      </c>
      <c r="T3769" s="26" t="s">
        <v>146</v>
      </c>
      <c r="U3769" s="98"/>
      <c r="V3769" s="108" t="s">
        <v>137</v>
      </c>
      <c r="W3769" s="26" t="s">
        <v>146</v>
      </c>
      <c r="X3769" s="98"/>
      <c r="Y3769" s="108" t="s">
        <v>137</v>
      </c>
      <c r="Z3769" s="26" t="s">
        <v>146</v>
      </c>
      <c r="AA3769" s="98"/>
      <c r="AB3769" s="108" t="s">
        <v>137</v>
      </c>
      <c r="AC3769" s="26" t="s">
        <v>146</v>
      </c>
      <c r="AD3769" s="98"/>
      <c r="AE3769" s="108" t="s">
        <v>137</v>
      </c>
      <c r="AF3769" s="26" t="s">
        <v>146</v>
      </c>
      <c r="AG3769" s="98"/>
      <c r="AH3769" s="108" t="s">
        <v>137</v>
      </c>
      <c r="AI3769" s="26" t="s">
        <v>146</v>
      </c>
      <c r="AJ3769" s="98"/>
      <c r="AK3769" s="108" t="s">
        <v>137</v>
      </c>
      <c r="AL3769" s="26" t="s">
        <v>146</v>
      </c>
      <c r="AM3769" s="98"/>
      <c r="AN3769" s="108" t="s">
        <v>137</v>
      </c>
      <c r="AO3769" s="26" t="s">
        <v>146</v>
      </c>
      <c r="AP3769" s="98"/>
      <c r="AQ3769" s="108" t="s">
        <v>137</v>
      </c>
      <c r="AR3769" s="26" t="s">
        <v>146</v>
      </c>
      <c r="AS3769" s="98"/>
      <c r="AT3769" s="108" t="s">
        <v>137</v>
      </c>
      <c r="AU3769" s="26" t="s">
        <v>146</v>
      </c>
    </row>
    <row r="3770" spans="15:47" ht="13.8" x14ac:dyDescent="0.25">
      <c r="O3770" s="20" t="s">
        <v>136</v>
      </c>
      <c r="P3770" s="1"/>
      <c r="Q3770" s="1"/>
      <c r="R3770" s="96">
        <f>R3756*1.02</f>
        <v>63027.85453151926</v>
      </c>
      <c r="S3770" s="109" t="s">
        <v>144</v>
      </c>
      <c r="T3770" s="23" t="s">
        <v>147</v>
      </c>
      <c r="U3770" s="96">
        <f ca="1">U3756*1.01</f>
        <v>166849.42879377858</v>
      </c>
      <c r="V3770" s="109" t="s">
        <v>144</v>
      </c>
      <c r="W3770" s="23" t="s">
        <v>147</v>
      </c>
      <c r="X3770" s="96">
        <f ca="1">X3756*1.01</f>
        <v>408552.9630908813</v>
      </c>
      <c r="Y3770" s="109" t="s">
        <v>144</v>
      </c>
      <c r="Z3770" s="23" t="s">
        <v>147</v>
      </c>
      <c r="AA3770" s="96">
        <f ca="1">AA3756*1.01</f>
        <v>795756.89083109901</v>
      </c>
      <c r="AB3770" s="109" t="s">
        <v>144</v>
      </c>
      <c r="AC3770" s="23" t="s">
        <v>147</v>
      </c>
      <c r="AD3770" s="96">
        <f ca="1">AD3756*1.01</f>
        <v>1335032.5199251329</v>
      </c>
      <c r="AE3770" s="109" t="s">
        <v>144</v>
      </c>
      <c r="AF3770" s="23" t="s">
        <v>147</v>
      </c>
      <c r="AG3770" s="96">
        <f ca="1">AG3756*1.01</f>
        <v>1948516.3239657136</v>
      </c>
      <c r="AH3770" s="109" t="s">
        <v>144</v>
      </c>
      <c r="AI3770" s="23" t="s">
        <v>147</v>
      </c>
      <c r="AJ3770" s="96">
        <f ca="1">AJ3756*1.01</f>
        <v>2600302.5878867796</v>
      </c>
      <c r="AK3770" s="109" t="s">
        <v>144</v>
      </c>
      <c r="AL3770" s="23" t="s">
        <v>147</v>
      </c>
      <c r="AM3770" s="96">
        <f ca="1">AM3756*1.01</f>
        <v>3172863.3185903714</v>
      </c>
      <c r="AN3770" s="109" t="s">
        <v>144</v>
      </c>
      <c r="AO3770" s="23" t="s">
        <v>147</v>
      </c>
      <c r="AP3770" s="96">
        <f ca="1">AP3756*1.01</f>
        <v>3683595.8125156513</v>
      </c>
      <c r="AQ3770" s="109" t="s">
        <v>144</v>
      </c>
      <c r="AR3770" s="23" t="s">
        <v>147</v>
      </c>
      <c r="AS3770" s="96">
        <f ca="1">AS3756*1.01</f>
        <v>4319305.7862862125</v>
      </c>
      <c r="AT3770" s="109" t="s">
        <v>144</v>
      </c>
      <c r="AU3770" s="23" t="s">
        <v>147</v>
      </c>
    </row>
    <row r="3771" spans="15:47" x14ac:dyDescent="0.25">
      <c r="O3771" s="1"/>
      <c r="P3771" s="1"/>
      <c r="Q3771" s="1"/>
      <c r="R3771" s="98"/>
      <c r="S3771" s="107"/>
      <c r="T3771" s="1"/>
      <c r="U3771" s="47"/>
      <c r="V3771" s="107"/>
      <c r="W3771" s="1"/>
      <c r="X3771" s="47"/>
      <c r="Y3771" s="107"/>
      <c r="Z3771" s="1"/>
      <c r="AA3771" s="47"/>
      <c r="AB3771" s="107"/>
      <c r="AC3771" s="1"/>
      <c r="AD3771" s="47"/>
      <c r="AE3771" s="107"/>
      <c r="AF3771" s="1"/>
      <c r="AG3771" s="47"/>
      <c r="AH3771" s="107"/>
      <c r="AI3771" s="1"/>
      <c r="AJ3771" s="47"/>
      <c r="AK3771" s="107"/>
      <c r="AL3771" s="1"/>
      <c r="AM3771" s="47"/>
      <c r="AN3771" s="107"/>
      <c r="AO3771" s="1"/>
      <c r="AP3771" s="47"/>
      <c r="AQ3771" s="107"/>
      <c r="AR3771" s="1"/>
      <c r="AS3771" s="47"/>
      <c r="AT3771" s="107"/>
      <c r="AU3771" s="1"/>
    </row>
    <row r="3772" spans="15:47" x14ac:dyDescent="0.25">
      <c r="O3772" s="8" t="s">
        <v>132</v>
      </c>
      <c r="P3772" s="8"/>
      <c r="Q3772" s="8"/>
      <c r="R3772" s="96">
        <f>P_1_minQ-(R3770^2*R_up)+dpup_minQ</f>
        <v>89.461007156457484</v>
      </c>
      <c r="S3772" s="106"/>
      <c r="T3772" s="22"/>
      <c r="U3772" s="96">
        <f ca="1">P_1_minQ-(U3770^2*R_up)+dpup_minQ</f>
        <v>85.111127889518158</v>
      </c>
      <c r="V3772" s="107"/>
      <c r="W3772" s="1"/>
      <c r="X3772" s="96">
        <f ca="1">P_1_minQ-(X3770^2*R_up)+dpup_minQ</f>
        <v>59.762865096137645</v>
      </c>
      <c r="Y3772" s="107"/>
      <c r="Z3772" s="1"/>
      <c r="AA3772" s="96">
        <f ca="1">P_1_minQ-(AA3770^2*R_up)+dpup_minQ</f>
        <v>-25.227859349887922</v>
      </c>
      <c r="AB3772" s="107"/>
      <c r="AC3772" s="1"/>
      <c r="AD3772" s="96">
        <f ca="1">P_1_minQ-(AD3770^2*R_up)+dpup_minQ</f>
        <v>-234.66073751472555</v>
      </c>
      <c r="AE3772" s="107"/>
      <c r="AF3772" s="1"/>
      <c r="AG3772" s="96">
        <f ca="1">P_1_minQ-(AG3770^2*R_up)+dpup_minQ</f>
        <v>-601.80785255269336</v>
      </c>
      <c r="AH3772" s="107"/>
      <c r="AI3772" s="1"/>
      <c r="AJ3772" s="96">
        <f ca="1">P_1_minQ-(AJ3770^2*R_up)+dpup_minQ</f>
        <v>-1142.1855155854255</v>
      </c>
      <c r="AK3772" s="107"/>
      <c r="AL3772" s="1"/>
      <c r="AM3772" s="96">
        <f ca="1">P_1_minQ-(AM3770^2*R_up)+dpup_minQ</f>
        <v>-1744.64678681233</v>
      </c>
      <c r="AN3772" s="107"/>
      <c r="AO3772" s="1"/>
      <c r="AP3772" s="96">
        <f ca="1">P_1_minQ-(AP3770^2*R_up)+dpup_minQ</f>
        <v>-2382.8910477717427</v>
      </c>
      <c r="AQ3772" s="107"/>
      <c r="AR3772" s="1"/>
      <c r="AS3772" s="96">
        <f ca="1">P_1_minQ-(AS3770^2*R_up)+dpup_minQ</f>
        <v>-3310.1478743787247</v>
      </c>
      <c r="AT3772" s="107"/>
      <c r="AU3772" s="1"/>
    </row>
    <row r="3773" spans="15:47" x14ac:dyDescent="0.25">
      <c r="O3773" s="8" t="s">
        <v>134</v>
      </c>
      <c r="P3773" s="1"/>
      <c r="Q3773" s="8"/>
      <c r="R3773" s="97">
        <f>P_2_minQ+(R3770^2*R_dn)-dpdn_minQ</f>
        <v>60</v>
      </c>
      <c r="S3773" s="106"/>
      <c r="T3773" s="22"/>
      <c r="U3773" s="97">
        <f ca="1">P_2_minQ+(U3770^2*R_dn)-dpdn_minQ</f>
        <v>60</v>
      </c>
      <c r="V3773" s="107"/>
      <c r="W3773" s="1"/>
      <c r="X3773" s="97">
        <f ca="1">P_2_minQ+(X3770^2*R_dn)-dpdn_minQ</f>
        <v>60</v>
      </c>
      <c r="Y3773" s="107"/>
      <c r="Z3773" s="1"/>
      <c r="AA3773" s="97">
        <f ca="1">P_2_minQ+(AA3770^2*R_dn)-dpdn_minQ</f>
        <v>60</v>
      </c>
      <c r="AB3773" s="107"/>
      <c r="AC3773" s="1"/>
      <c r="AD3773" s="97">
        <f ca="1">P_2_minQ+(AD3770^2*R_dn)-dpdn_minQ</f>
        <v>60</v>
      </c>
      <c r="AE3773" s="107"/>
      <c r="AF3773" s="1"/>
      <c r="AG3773" s="97">
        <f ca="1">P_2_minQ+(AG3770^2*R_dn)-dpdn_minQ</f>
        <v>60</v>
      </c>
      <c r="AH3773" s="107"/>
      <c r="AI3773" s="1"/>
      <c r="AJ3773" s="97">
        <f ca="1">P_2_minQ+(AJ3770^2*R_dn)-dpdn_minQ</f>
        <v>60</v>
      </c>
      <c r="AK3773" s="107"/>
      <c r="AL3773" s="1"/>
      <c r="AM3773" s="97">
        <f ca="1">P_2_minQ+(AM3770^2*R_dn)-dpdn_minQ</f>
        <v>60</v>
      </c>
      <c r="AN3773" s="107"/>
      <c r="AO3773" s="1"/>
      <c r="AP3773" s="97">
        <f ca="1">P_2_minQ+(AP3770^2*R_dn)-dpdn_minQ</f>
        <v>60</v>
      </c>
      <c r="AQ3773" s="107"/>
      <c r="AR3773" s="1"/>
      <c r="AS3773" s="97">
        <f ca="1">P_2_minQ+(AS3770^2*R_dn)-dpdn_minQ</f>
        <v>60</v>
      </c>
      <c r="AT3773" s="107"/>
      <c r="AU3773" s="1"/>
    </row>
    <row r="3774" spans="15:47" x14ac:dyDescent="0.25">
      <c r="O3774" s="8" t="s">
        <v>138</v>
      </c>
      <c r="P3774" s="1"/>
      <c r="Q3774" s="8"/>
      <c r="R3774" s="97">
        <f>R3772-R3773</f>
        <v>29.461007156457484</v>
      </c>
      <c r="S3774" s="106"/>
      <c r="T3774" s="22"/>
      <c r="U3774" s="97">
        <f ca="1">U3772-U3773</f>
        <v>25.111127889518158</v>
      </c>
      <c r="V3774" s="110"/>
      <c r="W3774" s="25"/>
      <c r="X3774" s="97">
        <f ca="1">X3772-X3773</f>
        <v>-0.23713490386235492</v>
      </c>
      <c r="Y3774" s="110"/>
      <c r="Z3774" s="25"/>
      <c r="AA3774" s="97">
        <f ca="1">AA3772-AA3773</f>
        <v>-85.227859349887922</v>
      </c>
      <c r="AB3774" s="110"/>
      <c r="AC3774" s="25"/>
      <c r="AD3774" s="97">
        <f ca="1">AD3772-AD3773</f>
        <v>-294.66073751472555</v>
      </c>
      <c r="AE3774" s="110"/>
      <c r="AF3774" s="25"/>
      <c r="AG3774" s="97">
        <f ca="1">AG3772-AG3773</f>
        <v>-661.80785255269336</v>
      </c>
      <c r="AH3774" s="110"/>
      <c r="AI3774" s="25"/>
      <c r="AJ3774" s="97">
        <f ca="1">AJ3772-AJ3773</f>
        <v>-1202.1855155854255</v>
      </c>
      <c r="AK3774" s="110"/>
      <c r="AL3774" s="25"/>
      <c r="AM3774" s="97">
        <f ca="1">AM3772-AM3773</f>
        <v>-1804.64678681233</v>
      </c>
      <c r="AN3774" s="110"/>
      <c r="AO3774" s="25"/>
      <c r="AP3774" s="97">
        <f ca="1">AP3772-AP3773</f>
        <v>-2442.8910477717427</v>
      </c>
      <c r="AQ3774" s="110"/>
      <c r="AR3774" s="25"/>
      <c r="AS3774" s="97">
        <f ca="1">AS3772-AS3773</f>
        <v>-3370.1478743787247</v>
      </c>
      <c r="AT3774" s="110"/>
      <c r="AU3774" s="25"/>
    </row>
    <row r="3775" spans="15:47" ht="14.4" x14ac:dyDescent="0.3">
      <c r="O3775" s="2" t="s">
        <v>140</v>
      </c>
      <c r="P3775" s="11"/>
      <c r="Q3775" s="2"/>
      <c r="R3775" s="96">
        <f>R3774/R3772</f>
        <v>0.32931673913455295</v>
      </c>
      <c r="S3775" s="106"/>
      <c r="T3775" s="22"/>
      <c r="U3775" s="96">
        <f ca="1">U3774/U3772</f>
        <v>0.29503930346352175</v>
      </c>
      <c r="V3775" s="111"/>
      <c r="W3775" s="28"/>
      <c r="X3775" s="96">
        <f ca="1">X3774/X3772</f>
        <v>-3.9679306452407763E-3</v>
      </c>
      <c r="Y3775" s="111"/>
      <c r="Z3775" s="28"/>
      <c r="AA3775" s="96">
        <f ca="1">AA3774/AA3772</f>
        <v>3.3783230740212034</v>
      </c>
      <c r="AB3775" s="111"/>
      <c r="AC3775" s="28"/>
      <c r="AD3775" s="96">
        <f ca="1">AD3774/AD3772</f>
        <v>1.2556882784715311</v>
      </c>
      <c r="AE3775" s="111"/>
      <c r="AF3775" s="28"/>
      <c r="AG3775" s="96">
        <f ca="1">AG3774/AG3772</f>
        <v>1.0996995963836256</v>
      </c>
      <c r="AH3775" s="111"/>
      <c r="AI3775" s="28"/>
      <c r="AJ3775" s="96">
        <f ca="1">AJ3774/AJ3772</f>
        <v>1.052530871019886</v>
      </c>
      <c r="AK3775" s="111"/>
      <c r="AL3775" s="28"/>
      <c r="AM3775" s="96">
        <f ca="1">AM3774/AM3772</f>
        <v>1.0343909153724042</v>
      </c>
      <c r="AN3775" s="111"/>
      <c r="AO3775" s="28"/>
      <c r="AP3775" s="96">
        <f ca="1">AP3774/AP3772</f>
        <v>1.0251794978440607</v>
      </c>
      <c r="AQ3775" s="111"/>
      <c r="AR3775" s="28"/>
      <c r="AS3775" s="96">
        <f ca="1">AS3774/AS3772</f>
        <v>1.0181260784342636</v>
      </c>
      <c r="AT3775" s="111"/>
      <c r="AU3775" s="28"/>
    </row>
    <row r="3776" spans="15:47" x14ac:dyDescent="0.25">
      <c r="O3776" s="2" t="s">
        <v>21</v>
      </c>
      <c r="P3776" s="8">
        <v>12</v>
      </c>
      <c r="Q3776" s="2"/>
      <c r="R3776" s="96">
        <f ca="1">1-R3775/(3*F_GAMMA*R$29)</f>
        <v>0.82848882355833264</v>
      </c>
      <c r="S3776" s="106"/>
      <c r="T3776" s="22"/>
      <c r="U3776" s="96">
        <f ca="1">1-U3775/(3*F_GAMMA*U$29)</f>
        <v>0.84637652359862814</v>
      </c>
      <c r="V3776" s="111"/>
      <c r="W3776" s="28"/>
      <c r="X3776" s="96">
        <f ca="1">1-X3775/(3*F_GAMMA*X$29)</f>
        <v>1.0020857321445955</v>
      </c>
      <c r="Y3776" s="111"/>
      <c r="Z3776" s="28"/>
      <c r="AA3776" s="96">
        <f ca="1">1-AA3775/(3*F_GAMMA*AA$29)</f>
        <v>-0.80083841294288405</v>
      </c>
      <c r="AB3776" s="111"/>
      <c r="AC3776" s="28"/>
      <c r="AD3776" s="96">
        <f ca="1">1-AD3775/(3*F_GAMMA*AD$29)</f>
        <v>0.30988725911834336</v>
      </c>
      <c r="AE3776" s="111"/>
      <c r="AF3776" s="28"/>
      <c r="AG3776" s="96">
        <f ca="1">1-AG3775/(3*F_GAMMA*AG$29)</f>
        <v>0.3593502406390735</v>
      </c>
      <c r="AH3776" s="111"/>
      <c r="AI3776" s="28"/>
      <c r="AJ3776" s="96">
        <f ca="1">1-AJ3775/(3*F_GAMMA*AJ$29)</f>
        <v>0.34031219895576237</v>
      </c>
      <c r="AK3776" s="111"/>
      <c r="AL3776" s="28"/>
      <c r="AM3776" s="96">
        <f ca="1">1-AM3775/(3*F_GAMMA*AM$29)</f>
        <v>0.27512665182596485</v>
      </c>
      <c r="AN3776" s="111"/>
      <c r="AO3776" s="28"/>
      <c r="AP3776" s="96">
        <f ca="1">1-AP3775/(3*F_GAMMA*AP$29)</f>
        <v>0.42133372260738577</v>
      </c>
      <c r="AQ3776" s="111"/>
      <c r="AR3776" s="28"/>
      <c r="AS3776" s="96">
        <f ca="1">1-AS3775/(3*F_GAMMA*AS$29)</f>
        <v>9.9059174252642657E-2</v>
      </c>
      <c r="AT3776" s="111"/>
      <c r="AU3776" s="28"/>
    </row>
    <row r="3777" spans="15:47" x14ac:dyDescent="0.25">
      <c r="O3777" s="2" t="s">
        <v>57</v>
      </c>
      <c r="P3777" s="143">
        <v>7</v>
      </c>
      <c r="Q3777" s="2"/>
      <c r="R3777" s="96">
        <f ca="1">(R3770/(N_9*R$27*R3772*R3776))*SQRT(M*'Valve Sizing'!$W$6*'Valve Sizing'!$G$8/R3775)</f>
        <v>25.780492978777275</v>
      </c>
      <c r="S3777" s="107"/>
      <c r="T3777" s="22"/>
      <c r="U3777" s="96">
        <f ca="1">(U3770/(N_9*U$27*U3772*U3776))*SQRT(M*'Valve Sizing'!$W$6*'Valve Sizing'!$G$8/U3775)</f>
        <v>74.234490280964224</v>
      </c>
      <c r="V3777" s="111"/>
      <c r="W3777" s="28"/>
      <c r="X3777" s="96" t="e">
        <f ca="1">(X3770/(N_9*X$27*X3772*X3776))*SQRT(M*'Valve Sizing'!$W$6*'Valve Sizing'!$G$8/X3775)</f>
        <v>#NUM!</v>
      </c>
      <c r="Y3777" s="111"/>
      <c r="Z3777" s="28"/>
      <c r="AA3777" s="96">
        <f ca="1">(AA3770/(N_9*AA$27*AA3772*AA3776))*SQRT(M*'Valve Sizing'!$W$6*'Valve Sizing'!$G$8/AA3775)</f>
        <v>376.13490561476408</v>
      </c>
      <c r="AB3777" s="111"/>
      <c r="AC3777" s="28"/>
      <c r="AD3777" s="96">
        <f ca="1">(AD3770/(N_9*AD$27*AD3772*AD3776))*SQRT(M*'Valve Sizing'!$W$6*'Valve Sizing'!$G$8/AD3775)</f>
        <v>-291.13391373792138</v>
      </c>
      <c r="AE3777" s="111"/>
      <c r="AF3777" s="28"/>
      <c r="AG3777" s="96">
        <f ca="1">(AG3770/(N_9*AG$27*AG3772*AG3776))*SQRT(M*'Valve Sizing'!$W$6*'Valve Sizing'!$G$8/AG3775)</f>
        <v>-156.11425651268348</v>
      </c>
      <c r="AH3777" s="111"/>
      <c r="AI3777" s="28"/>
      <c r="AJ3777" s="96">
        <f ca="1">(AJ3770/(N_9*AJ$27*AJ3772*AJ3776))*SQRT(M*'Valve Sizing'!$W$6*'Valve Sizing'!$G$8/AJ3775)</f>
        <v>-122.76277020905195</v>
      </c>
      <c r="AK3777" s="111"/>
      <c r="AL3777" s="28"/>
      <c r="AM3777" s="96">
        <f ca="1">(AM3770/(N_9*AM$27*AM3772*AM3776))*SQRT(M*'Valve Sizing'!$W$6*'Valve Sizing'!$G$8/AM3775)</f>
        <v>-129.82606930359267</v>
      </c>
      <c r="AN3777" s="111"/>
      <c r="AO3777" s="28"/>
      <c r="AP3777" s="96">
        <f ca="1">(AP3770/(N_9*AP$27*AP3772*AP3776))*SQRT(M*'Valve Sizing'!$W$6*'Valve Sizing'!$G$8/AP3775)</f>
        <v>-82.3855689751596</v>
      </c>
      <c r="AQ3777" s="111"/>
      <c r="AR3777" s="28"/>
      <c r="AS3777" s="96">
        <f ca="1">(AS3770/(N_9*AS$27*AS3772*AS3776))*SQRT(M*'Valve Sizing'!$W$6*'Valve Sizing'!$G$8/AS3775)</f>
        <v>-397.54621987236817</v>
      </c>
      <c r="AT3777" s="111"/>
      <c r="AU3777" s="28"/>
    </row>
    <row r="3778" spans="15:47" x14ac:dyDescent="0.25">
      <c r="O3778" s="2" t="s">
        <v>59</v>
      </c>
      <c r="P3778" s="143">
        <v>7</v>
      </c>
      <c r="Q3778" s="2"/>
      <c r="R3778" s="96">
        <f ca="1">(R3770/(N_9*R$27*R3772*0.667))*SQRT(M*'Valve Sizing'!$W$6*'Valve Sizing'!$G$8/R3779)</f>
        <v>22.96988803314353</v>
      </c>
      <c r="S3778" s="107"/>
      <c r="T3778" s="22"/>
      <c r="U3778" s="96">
        <f ca="1">(U3770/(N_9*U$27*U3772*0.667))*SQRT(M*'Valve Sizing'!$W$6*'Valve Sizing'!$G$8/U3779)</f>
        <v>63.948877732486281</v>
      </c>
      <c r="V3778" s="111"/>
      <c r="W3778" s="28"/>
      <c r="X3778" s="96">
        <f ca="1">(X3770/(N_9*X$27*X3772*0.667))*SQRT(M*'Valve Sizing'!$W$6*'Valve Sizing'!$G$8/X3779)</f>
        <v>224.57865542817933</v>
      </c>
      <c r="Y3778" s="111"/>
      <c r="Z3778" s="28"/>
      <c r="AA3778" s="96">
        <f ca="1">(AA3770/(N_9*AA$27*AA3772*0.667))*SQRT(M*'Valve Sizing'!$W$6*'Valve Sizing'!$G$8/AA3779)</f>
        <v>-1049.6891322171948</v>
      </c>
      <c r="AB3778" s="111"/>
      <c r="AC3778" s="28"/>
      <c r="AD3778" s="96">
        <f ca="1">(AD3770/(N_9*AD$27*AD3772*0.667))*SQRT(M*'Valve Sizing'!$W$6*'Valve Sizing'!$G$8/AD3779)</f>
        <v>-194.62173309884531</v>
      </c>
      <c r="AE3778" s="111"/>
      <c r="AF3778" s="28"/>
      <c r="AG3778" s="96">
        <f ca="1">(AG3770/(N_9*AG$27*AG3772*0.667))*SQRT(M*'Valve Sizing'!$W$6*'Valve Sizing'!$G$8/AG3779)</f>
        <v>-116.60190134802178</v>
      </c>
      <c r="AH3778" s="111"/>
      <c r="AI3778" s="28"/>
      <c r="AJ3778" s="96">
        <f ca="1">(AJ3770/(N_9*AJ$27*AJ3772*0.667))*SQRT(M*'Valve Sizing'!$W$6*'Valve Sizing'!$G$8/AJ3779)</f>
        <v>-88.114669628665354</v>
      </c>
      <c r="AK3778" s="111"/>
      <c r="AL3778" s="28"/>
      <c r="AM3778" s="96">
        <f ca="1">(AM3770/(N_9*AM$27*AM3772*0.667))*SQRT(M*'Valve Sizing'!$W$6*'Valve Sizing'!$G$8/AM3779)</f>
        <v>-78.969689574581949</v>
      </c>
      <c r="AN3778" s="111"/>
      <c r="AO3778" s="28"/>
      <c r="AP3778" s="96">
        <f ca="1">(AP3770/(N_9*AP$27*AP3772*0.667))*SQRT(M*'Valve Sizing'!$W$6*'Valve Sizing'!$G$8/AP3779)</f>
        <v>-68.568752193834996</v>
      </c>
      <c r="AQ3778" s="111"/>
      <c r="AR3778" s="28"/>
      <c r="AS3778" s="96">
        <f ca="1">(AS3770/(N_9*AS$27*AS3772*0.667))*SQRT(M*'Valve Sizing'!$W$6*'Valve Sizing'!$G$8/AS3779)</f>
        <v>-97.065581073211277</v>
      </c>
      <c r="AT3778" s="111"/>
      <c r="AU3778" s="28"/>
    </row>
    <row r="3779" spans="15:47" ht="15.6" x14ac:dyDescent="0.35">
      <c r="O3779" s="2" t="s">
        <v>68</v>
      </c>
      <c r="P3779" s="143">
        <v>10</v>
      </c>
      <c r="Q3779" s="2"/>
      <c r="R3779" s="96">
        <f ca="1">F_GAMMA*R$29</f>
        <v>0.64002969751372984</v>
      </c>
      <c r="S3779" s="107"/>
      <c r="T3779" s="1"/>
      <c r="U3779" s="96">
        <f ca="1">F_GAMMA*U$29</f>
        <v>0.64017842058782071</v>
      </c>
      <c r="V3779" s="111"/>
      <c r="W3779" s="28"/>
      <c r="X3779" s="96">
        <f ca="1">F_GAMMA*X$29</f>
        <v>0.63413873724904268</v>
      </c>
      <c r="Y3779" s="111"/>
      <c r="Z3779" s="28"/>
      <c r="AA3779" s="96">
        <f ca="1">F_GAMMA*AA$29</f>
        <v>0.62532411750377137</v>
      </c>
      <c r="AB3779" s="111"/>
      <c r="AC3779" s="28"/>
      <c r="AD3779" s="96">
        <f ca="1">F_GAMMA*AD$29</f>
        <v>0.60651359509139569</v>
      </c>
      <c r="AE3779" s="111"/>
      <c r="AF3779" s="28"/>
      <c r="AG3779" s="96">
        <f ca="1">F_GAMMA*AG$29</f>
        <v>0.57217930198481592</v>
      </c>
      <c r="AH3779" s="111"/>
      <c r="AI3779" s="28"/>
      <c r="AJ3779" s="96">
        <f ca="1">F_GAMMA*AJ$29</f>
        <v>0.53183282018848232</v>
      </c>
      <c r="AK3779" s="111"/>
      <c r="AL3779" s="28"/>
      <c r="AM3779" s="96">
        <f ca="1">F_GAMMA*AM$29</f>
        <v>0.47566512503094399</v>
      </c>
      <c r="AN3779" s="111"/>
      <c r="AO3779" s="28"/>
      <c r="AP3779" s="96">
        <f ca="1">F_GAMMA*AP$29</f>
        <v>0.59054158265645496</v>
      </c>
      <c r="AQ3779" s="111"/>
      <c r="AR3779" s="28"/>
      <c r="AS3779" s="96">
        <f ca="1">F_GAMMA*AS$29</f>
        <v>0.3766899554102966</v>
      </c>
      <c r="AT3779" s="111"/>
      <c r="AU3779" s="28"/>
    </row>
    <row r="3780" spans="15:47" x14ac:dyDescent="0.25">
      <c r="O3780" s="2" t="s">
        <v>145</v>
      </c>
      <c r="P3780" s="12"/>
      <c r="Q3780" s="2"/>
      <c r="R3780" s="96">
        <f ca="1">IF(R3775&lt;R3779,R3777,R3778)</f>
        <v>25.780492978777275</v>
      </c>
      <c r="S3780" s="116"/>
      <c r="T3780" s="1"/>
      <c r="U3780" s="96">
        <f ca="1">IF(U3775&lt;U3779,U3777,U3778)</f>
        <v>74.234490280964224</v>
      </c>
      <c r="V3780" s="111"/>
      <c r="W3780" s="28"/>
      <c r="X3780" s="96" t="e">
        <f ca="1">IF(X3775&lt;X3779,X3777,X3778)</f>
        <v>#NUM!</v>
      </c>
      <c r="Y3780" s="111"/>
      <c r="Z3780" s="28"/>
      <c r="AA3780" s="96">
        <f ca="1">IF(AA3775&lt;AA3779,AA3777,AA3778)</f>
        <v>-1049.6891322171948</v>
      </c>
      <c r="AB3780" s="111"/>
      <c r="AC3780" s="28"/>
      <c r="AD3780" s="96">
        <f ca="1">IF(AD3775&lt;AD3779,AD3777,AD3778)</f>
        <v>-194.62173309884531</v>
      </c>
      <c r="AE3780" s="111"/>
      <c r="AF3780" s="28"/>
      <c r="AG3780" s="96">
        <f ca="1">IF(AG3775&lt;AG3779,AG3777,AG3778)</f>
        <v>-116.60190134802178</v>
      </c>
      <c r="AH3780" s="111"/>
      <c r="AI3780" s="28"/>
      <c r="AJ3780" s="96">
        <f ca="1">IF(AJ3775&lt;AJ3779,AJ3777,AJ3778)</f>
        <v>-88.114669628665354</v>
      </c>
      <c r="AK3780" s="111"/>
      <c r="AL3780" s="28"/>
      <c r="AM3780" s="96">
        <f ca="1">IF(AM3775&lt;AM3779,AM3777,AM3778)</f>
        <v>-78.969689574581949</v>
      </c>
      <c r="AN3780" s="111"/>
      <c r="AO3780" s="28"/>
      <c r="AP3780" s="96">
        <f ca="1">IF(AP3775&lt;AP3779,AP3777,AP3778)</f>
        <v>-68.568752193834996</v>
      </c>
      <c r="AQ3780" s="111"/>
      <c r="AR3780" s="28"/>
      <c r="AS3780" s="96">
        <f ca="1">IF(AS3775&lt;AS3779,AS3777,AS3778)</f>
        <v>-97.065581073211277</v>
      </c>
      <c r="AT3780" s="111"/>
      <c r="AU3780" s="28"/>
    </row>
    <row r="3781" spans="15:47" x14ac:dyDescent="0.25">
      <c r="O3781" s="13" t="s">
        <v>143</v>
      </c>
      <c r="P3781" s="1"/>
      <c r="Q3781" s="1"/>
      <c r="R3781" s="113"/>
      <c r="S3781" s="106">
        <f ca="1">IF(R3774&lt;=0,Q_max,ABS(R$23-R3780))</f>
        <v>21.050492978777275</v>
      </c>
      <c r="T3781" s="7">
        <f>R3770</f>
        <v>63027.85453151926</v>
      </c>
      <c r="U3781" s="98"/>
      <c r="V3781" s="106">
        <f ca="1">IF(U3774&lt;=0,Q_max,ABS(U$23-U3780))</f>
        <v>62.634490280964222</v>
      </c>
      <c r="W3781" s="9">
        <f ca="1">U3770</f>
        <v>166849.42879377858</v>
      </c>
      <c r="X3781" s="98"/>
      <c r="Y3781" s="106">
        <f ca="1">IF(X3774&lt;=0,Q_max,ABS(X$23-X3780))</f>
        <v>236393</v>
      </c>
      <c r="Z3781" s="9">
        <f ca="1">X3770</f>
        <v>408552.9630908813</v>
      </c>
      <c r="AA3781" s="98"/>
      <c r="AB3781" s="106">
        <f ca="1">IF(AA3774&lt;=0,Q_max,ABS(AA$23-AA3780))</f>
        <v>236393</v>
      </c>
      <c r="AC3781" s="9">
        <f ca="1">AA3770</f>
        <v>795756.89083109901</v>
      </c>
      <c r="AD3781" s="98"/>
      <c r="AE3781" s="106">
        <f ca="1">IF(AD3774&lt;=0,Q_max,ABS(AD$23-AD3780))</f>
        <v>236393</v>
      </c>
      <c r="AF3781" s="9">
        <f ca="1">AD3770</f>
        <v>1335032.5199251329</v>
      </c>
      <c r="AG3781" s="98"/>
      <c r="AH3781" s="106">
        <f ca="1">IF(AG3774&lt;=0,Q_max,ABS(AG$23-AG3780))</f>
        <v>236393</v>
      </c>
      <c r="AI3781" s="9">
        <f ca="1">AG3770</f>
        <v>1948516.3239657136</v>
      </c>
      <c r="AJ3781" s="98"/>
      <c r="AK3781" s="106">
        <f ca="1">IF(AJ3774&lt;=0,Q_max,ABS(AJ$23-AJ3780))</f>
        <v>236393</v>
      </c>
      <c r="AL3781" s="9">
        <f ca="1">AJ3770</f>
        <v>2600302.5878867796</v>
      </c>
      <c r="AM3781" s="98"/>
      <c r="AN3781" s="106">
        <f ca="1">IF(AM3774&lt;=0,Q_max,ABS(AM$23-AM3780))</f>
        <v>236393</v>
      </c>
      <c r="AO3781" s="9">
        <f ca="1">AM3770</f>
        <v>3172863.3185903714</v>
      </c>
      <c r="AP3781" s="98"/>
      <c r="AQ3781" s="106">
        <f ca="1">IF(AP3774&lt;=0,Q_max,ABS(AP$23-AP3780))</f>
        <v>236393</v>
      </c>
      <c r="AR3781" s="9">
        <f ca="1">AP3770</f>
        <v>3683595.8125156513</v>
      </c>
      <c r="AS3781" s="98"/>
      <c r="AT3781" s="106">
        <f ca="1">IF(AS3774&lt;=0,Q_max,ABS(AS$23-AS3780))</f>
        <v>236393</v>
      </c>
      <c r="AU3781" s="9">
        <f ca="1">AS3770</f>
        <v>4319305.7862862125</v>
      </c>
    </row>
    <row r="3782" spans="15:47" x14ac:dyDescent="0.25">
      <c r="O3782" s="21"/>
      <c r="P3782" s="14"/>
      <c r="Q3782" s="21"/>
      <c r="R3782" s="97"/>
      <c r="S3782" s="106"/>
      <c r="T3782" s="28"/>
      <c r="U3782" s="97"/>
      <c r="V3782" s="111"/>
      <c r="W3782" s="28"/>
      <c r="X3782" s="97"/>
      <c r="Y3782" s="111"/>
      <c r="Z3782" s="28"/>
      <c r="AA3782" s="97"/>
      <c r="AB3782" s="111"/>
      <c r="AC3782" s="28"/>
      <c r="AD3782" s="97"/>
      <c r="AE3782" s="111"/>
      <c r="AF3782" s="28"/>
      <c r="AG3782" s="97"/>
      <c r="AH3782" s="111"/>
      <c r="AI3782" s="28"/>
      <c r="AJ3782" s="97"/>
      <c r="AK3782" s="111"/>
      <c r="AL3782" s="28"/>
      <c r="AM3782" s="97"/>
      <c r="AN3782" s="111"/>
      <c r="AO3782" s="28"/>
      <c r="AP3782" s="97"/>
      <c r="AQ3782" s="111"/>
      <c r="AR3782" s="28"/>
      <c r="AS3782" s="97"/>
      <c r="AT3782" s="111"/>
      <c r="AU3782" s="28"/>
    </row>
    <row r="3783" spans="15:47" x14ac:dyDescent="0.25">
      <c r="O3783" s="1"/>
      <c r="P3783" s="1"/>
      <c r="Q3783" s="1"/>
      <c r="R3783" s="98"/>
      <c r="S3783" s="108" t="s">
        <v>137</v>
      </c>
      <c r="T3783" s="26" t="s">
        <v>146</v>
      </c>
      <c r="U3783" s="98"/>
      <c r="V3783" s="108" t="s">
        <v>137</v>
      </c>
      <c r="W3783" s="26" t="s">
        <v>146</v>
      </c>
      <c r="X3783" s="98"/>
      <c r="Y3783" s="108" t="s">
        <v>137</v>
      </c>
      <c r="Z3783" s="26" t="s">
        <v>146</v>
      </c>
      <c r="AA3783" s="98"/>
      <c r="AB3783" s="108" t="s">
        <v>137</v>
      </c>
      <c r="AC3783" s="26" t="s">
        <v>146</v>
      </c>
      <c r="AD3783" s="98"/>
      <c r="AE3783" s="108" t="s">
        <v>137</v>
      </c>
      <c r="AF3783" s="26" t="s">
        <v>146</v>
      </c>
      <c r="AG3783" s="98"/>
      <c r="AH3783" s="108" t="s">
        <v>137</v>
      </c>
      <c r="AI3783" s="26" t="s">
        <v>146</v>
      </c>
      <c r="AJ3783" s="98"/>
      <c r="AK3783" s="108" t="s">
        <v>137</v>
      </c>
      <c r="AL3783" s="26" t="s">
        <v>146</v>
      </c>
      <c r="AM3783" s="98"/>
      <c r="AN3783" s="108" t="s">
        <v>137</v>
      </c>
      <c r="AO3783" s="26" t="s">
        <v>146</v>
      </c>
      <c r="AP3783" s="98"/>
      <c r="AQ3783" s="108" t="s">
        <v>137</v>
      </c>
      <c r="AR3783" s="26" t="s">
        <v>146</v>
      </c>
      <c r="AS3783" s="98"/>
      <c r="AT3783" s="108" t="s">
        <v>137</v>
      </c>
      <c r="AU3783" s="26" t="s">
        <v>146</v>
      </c>
    </row>
    <row r="3784" spans="15:47" ht="13.8" x14ac:dyDescent="0.25">
      <c r="O3784" s="20" t="s">
        <v>136</v>
      </c>
      <c r="P3784" s="1"/>
      <c r="Q3784" s="1"/>
      <c r="R3784" s="96">
        <f>R3770*1.02</f>
        <v>64288.411622149644</v>
      </c>
      <c r="S3784" s="109" t="s">
        <v>144</v>
      </c>
      <c r="T3784" s="23" t="s">
        <v>147</v>
      </c>
      <c r="U3784" s="96">
        <f ca="1">U3770*1.01</f>
        <v>168517.92308171638</v>
      </c>
      <c r="V3784" s="109" t="s">
        <v>144</v>
      </c>
      <c r="W3784" s="23" t="s">
        <v>147</v>
      </c>
      <c r="X3784" s="96">
        <f ca="1">X3770*1.01</f>
        <v>412638.4927217901</v>
      </c>
      <c r="Y3784" s="109" t="s">
        <v>144</v>
      </c>
      <c r="Z3784" s="23" t="s">
        <v>147</v>
      </c>
      <c r="AA3784" s="96">
        <f ca="1">AA3770*1.01</f>
        <v>803714.45973940997</v>
      </c>
      <c r="AB3784" s="109" t="s">
        <v>144</v>
      </c>
      <c r="AC3784" s="23" t="s">
        <v>147</v>
      </c>
      <c r="AD3784" s="96">
        <f ca="1">AD3770*1.01</f>
        <v>1348382.8451243842</v>
      </c>
      <c r="AE3784" s="109" t="s">
        <v>144</v>
      </c>
      <c r="AF3784" s="23" t="s">
        <v>147</v>
      </c>
      <c r="AG3784" s="96">
        <f ca="1">AG3770*1.01</f>
        <v>1968001.4872053708</v>
      </c>
      <c r="AH3784" s="109" t="s">
        <v>144</v>
      </c>
      <c r="AI3784" s="23" t="s">
        <v>147</v>
      </c>
      <c r="AJ3784" s="96">
        <f ca="1">AJ3770*1.01</f>
        <v>2626305.6137656472</v>
      </c>
      <c r="AK3784" s="109" t="s">
        <v>144</v>
      </c>
      <c r="AL3784" s="23" t="s">
        <v>147</v>
      </c>
      <c r="AM3784" s="96">
        <f ca="1">AM3770*1.01</f>
        <v>3204591.9517762749</v>
      </c>
      <c r="AN3784" s="109" t="s">
        <v>144</v>
      </c>
      <c r="AO3784" s="23" t="s">
        <v>147</v>
      </c>
      <c r="AP3784" s="96">
        <f ca="1">AP3770*1.01</f>
        <v>3720431.7706408077</v>
      </c>
      <c r="AQ3784" s="109" t="s">
        <v>144</v>
      </c>
      <c r="AR3784" s="23" t="s">
        <v>147</v>
      </c>
      <c r="AS3784" s="96">
        <f ca="1">AS3770*1.01</f>
        <v>4362498.8441490745</v>
      </c>
      <c r="AT3784" s="109" t="s">
        <v>144</v>
      </c>
      <c r="AU3784" s="23" t="s">
        <v>147</v>
      </c>
    </row>
    <row r="3785" spans="15:47" x14ac:dyDescent="0.25">
      <c r="O3785" s="1"/>
      <c r="P3785" s="1"/>
      <c r="Q3785" s="1"/>
      <c r="R3785" s="98"/>
      <c r="S3785" s="107"/>
      <c r="T3785" s="1"/>
      <c r="U3785" s="47"/>
      <c r="V3785" s="107"/>
      <c r="W3785" s="1"/>
      <c r="X3785" s="47"/>
      <c r="Y3785" s="107"/>
      <c r="Z3785" s="1"/>
      <c r="AA3785" s="47"/>
      <c r="AB3785" s="107"/>
      <c r="AC3785" s="1"/>
      <c r="AD3785" s="47"/>
      <c r="AE3785" s="107"/>
      <c r="AF3785" s="1"/>
      <c r="AG3785" s="47"/>
      <c r="AH3785" s="107"/>
      <c r="AI3785" s="1"/>
      <c r="AJ3785" s="47"/>
      <c r="AK3785" s="107"/>
      <c r="AL3785" s="1"/>
      <c r="AM3785" s="47"/>
      <c r="AN3785" s="107"/>
      <c r="AO3785" s="1"/>
      <c r="AP3785" s="47"/>
      <c r="AQ3785" s="107"/>
      <c r="AR3785" s="1"/>
      <c r="AS3785" s="47"/>
      <c r="AT3785" s="107"/>
      <c r="AU3785" s="1"/>
    </row>
    <row r="3786" spans="15:47" x14ac:dyDescent="0.25">
      <c r="O3786" s="8" t="s">
        <v>132</v>
      </c>
      <c r="P3786" s="8"/>
      <c r="Q3786" s="8"/>
      <c r="R3786" s="96">
        <f>P_1_minQ-(R3784^2*R_up)+dpup_minQ</f>
        <v>89.431756208156045</v>
      </c>
      <c r="S3786" s="106"/>
      <c r="T3786" s="22"/>
      <c r="U3786" s="96">
        <f ca="1">P_1_minQ-(U3784^2*R_up)+dpup_minQ</f>
        <v>85.009142245439335</v>
      </c>
      <c r="V3786" s="107"/>
      <c r="W3786" s="1"/>
      <c r="X3786" s="96">
        <f ca="1">P_1_minQ-(X3784^2*R_up)+dpup_minQ</f>
        <v>59.151379369911879</v>
      </c>
      <c r="Y3786" s="107"/>
      <c r="Z3786" s="1"/>
      <c r="AA3786" s="96">
        <f ca="1">P_1_minQ-(AA3784^2*R_up)+dpup_minQ</f>
        <v>-27.547658637478804</v>
      </c>
      <c r="AB3786" s="107"/>
      <c r="AC3786" s="1"/>
      <c r="AD3786" s="96">
        <f ca="1">P_1_minQ-(AD3784^2*R_up)+dpup_minQ</f>
        <v>-241.19013765342964</v>
      </c>
      <c r="AE3786" s="107"/>
      <c r="AF3786" s="1"/>
      <c r="AG3786" s="96">
        <f ca="1">P_1_minQ-(AG3784^2*R_up)+dpup_minQ</f>
        <v>-615.71690970366069</v>
      </c>
      <c r="AH3786" s="107"/>
      <c r="AI3786" s="1"/>
      <c r="AJ3786" s="96">
        <f ca="1">P_1_minQ-(AJ3784^2*R_up)+dpup_minQ</f>
        <v>-1166.9561637633508</v>
      </c>
      <c r="AK3786" s="107"/>
      <c r="AL3786" s="1"/>
      <c r="AM3786" s="96">
        <f ca="1">P_1_minQ-(AM3784^2*R_up)+dpup_minQ</f>
        <v>-1781.5269065419157</v>
      </c>
      <c r="AN3786" s="107"/>
      <c r="AO3786" s="1"/>
      <c r="AP3786" s="96">
        <f ca="1">P_1_minQ-(AP3784^2*R_up)+dpup_minQ</f>
        <v>-2432.5998771466125</v>
      </c>
      <c r="AQ3786" s="107"/>
      <c r="AR3786" s="1"/>
      <c r="AS3786" s="96">
        <f ca="1">P_1_minQ-(AS3784^2*R_up)+dpup_minQ</f>
        <v>-3378.4945659683954</v>
      </c>
      <c r="AT3786" s="107"/>
      <c r="AU3786" s="1"/>
    </row>
    <row r="3787" spans="15:47" x14ac:dyDescent="0.25">
      <c r="O3787" s="8" t="s">
        <v>134</v>
      </c>
      <c r="P3787" s="1"/>
      <c r="Q3787" s="8"/>
      <c r="R3787" s="97">
        <f>P_2_minQ+(R3784^2*R_dn)-dpdn_minQ</f>
        <v>60</v>
      </c>
      <c r="S3787" s="106"/>
      <c r="T3787" s="22"/>
      <c r="U3787" s="97">
        <f ca="1">P_2_minQ+(U3784^2*R_dn)-dpdn_minQ</f>
        <v>60</v>
      </c>
      <c r="V3787" s="107"/>
      <c r="W3787" s="1"/>
      <c r="X3787" s="97">
        <f ca="1">P_2_minQ+(X3784^2*R_dn)-dpdn_minQ</f>
        <v>60</v>
      </c>
      <c r="Y3787" s="107"/>
      <c r="Z3787" s="1"/>
      <c r="AA3787" s="97">
        <f ca="1">P_2_minQ+(AA3784^2*R_dn)-dpdn_minQ</f>
        <v>60</v>
      </c>
      <c r="AB3787" s="107"/>
      <c r="AC3787" s="1"/>
      <c r="AD3787" s="97">
        <f ca="1">P_2_minQ+(AD3784^2*R_dn)-dpdn_minQ</f>
        <v>60</v>
      </c>
      <c r="AE3787" s="107"/>
      <c r="AF3787" s="1"/>
      <c r="AG3787" s="97">
        <f ca="1">P_2_minQ+(AG3784^2*R_dn)-dpdn_minQ</f>
        <v>60</v>
      </c>
      <c r="AH3787" s="107"/>
      <c r="AI3787" s="1"/>
      <c r="AJ3787" s="97">
        <f ca="1">P_2_minQ+(AJ3784^2*R_dn)-dpdn_minQ</f>
        <v>60</v>
      </c>
      <c r="AK3787" s="107"/>
      <c r="AL3787" s="1"/>
      <c r="AM3787" s="97">
        <f ca="1">P_2_minQ+(AM3784^2*R_dn)-dpdn_minQ</f>
        <v>60</v>
      </c>
      <c r="AN3787" s="107"/>
      <c r="AO3787" s="1"/>
      <c r="AP3787" s="97">
        <f ca="1">P_2_minQ+(AP3784^2*R_dn)-dpdn_minQ</f>
        <v>60</v>
      </c>
      <c r="AQ3787" s="107"/>
      <c r="AR3787" s="1"/>
      <c r="AS3787" s="97">
        <f ca="1">P_2_minQ+(AS3784^2*R_dn)-dpdn_minQ</f>
        <v>60</v>
      </c>
      <c r="AT3787" s="107"/>
      <c r="AU3787" s="1"/>
    </row>
    <row r="3788" spans="15:47" x14ac:dyDescent="0.25">
      <c r="O3788" s="8" t="s">
        <v>138</v>
      </c>
      <c r="P3788" s="1"/>
      <c r="Q3788" s="8"/>
      <c r="R3788" s="97">
        <f>R3786-R3787</f>
        <v>29.431756208156045</v>
      </c>
      <c r="S3788" s="106"/>
      <c r="T3788" s="22"/>
      <c r="U3788" s="97">
        <f ca="1">U3786-U3787</f>
        <v>25.009142245439335</v>
      </c>
      <c r="V3788" s="110"/>
      <c r="W3788" s="25"/>
      <c r="X3788" s="97">
        <f ca="1">X3786-X3787</f>
        <v>-0.84862063008812072</v>
      </c>
      <c r="Y3788" s="110"/>
      <c r="Z3788" s="25"/>
      <c r="AA3788" s="97">
        <f ca="1">AA3786-AA3787</f>
        <v>-87.547658637478804</v>
      </c>
      <c r="AB3788" s="110"/>
      <c r="AC3788" s="25"/>
      <c r="AD3788" s="97">
        <f ca="1">AD3786-AD3787</f>
        <v>-301.19013765342964</v>
      </c>
      <c r="AE3788" s="110"/>
      <c r="AF3788" s="25"/>
      <c r="AG3788" s="97">
        <f ca="1">AG3786-AG3787</f>
        <v>-675.71690970366069</v>
      </c>
      <c r="AH3788" s="110"/>
      <c r="AI3788" s="25"/>
      <c r="AJ3788" s="97">
        <f ca="1">AJ3786-AJ3787</f>
        <v>-1226.9561637633508</v>
      </c>
      <c r="AK3788" s="110"/>
      <c r="AL3788" s="25"/>
      <c r="AM3788" s="97">
        <f ca="1">AM3786-AM3787</f>
        <v>-1841.5269065419157</v>
      </c>
      <c r="AN3788" s="110"/>
      <c r="AO3788" s="25"/>
      <c r="AP3788" s="97">
        <f ca="1">AP3786-AP3787</f>
        <v>-2492.5998771466125</v>
      </c>
      <c r="AQ3788" s="110"/>
      <c r="AR3788" s="25"/>
      <c r="AS3788" s="97">
        <f ca="1">AS3786-AS3787</f>
        <v>-3438.4945659683954</v>
      </c>
      <c r="AT3788" s="110"/>
      <c r="AU3788" s="25"/>
    </row>
    <row r="3789" spans="15:47" ht="14.4" x14ac:dyDescent="0.3">
      <c r="O3789" s="2" t="s">
        <v>140</v>
      </c>
      <c r="P3789" s="11"/>
      <c r="Q3789" s="2"/>
      <c r="R3789" s="96">
        <f>R3788/R3786</f>
        <v>0.32909737498224273</v>
      </c>
      <c r="S3789" s="106"/>
      <c r="T3789" s="22"/>
      <c r="U3789" s="96">
        <f ca="1">U3788/U3786</f>
        <v>0.29419356065530766</v>
      </c>
      <c r="V3789" s="111"/>
      <c r="W3789" s="28"/>
      <c r="X3789" s="96">
        <f ca="1">X3788/X3786</f>
        <v>-1.434659071568131E-2</v>
      </c>
      <c r="Y3789" s="111"/>
      <c r="Z3789" s="28"/>
      <c r="AA3789" s="96">
        <f ca="1">AA3788/AA3786</f>
        <v>3.178043542269307</v>
      </c>
      <c r="AB3789" s="111"/>
      <c r="AC3789" s="28"/>
      <c r="AD3789" s="96">
        <f ca="1">AD3788/AD3786</f>
        <v>1.2487663906316728</v>
      </c>
      <c r="AE3789" s="111"/>
      <c r="AF3789" s="28"/>
      <c r="AG3789" s="96">
        <f ca="1">AG3788/AG3786</f>
        <v>1.0974473805321954</v>
      </c>
      <c r="AH3789" s="111"/>
      <c r="AI3789" s="28"/>
      <c r="AJ3789" s="96">
        <f ca="1">AJ3788/AJ3786</f>
        <v>1.0514158130897602</v>
      </c>
      <c r="AK3789" s="111"/>
      <c r="AL3789" s="28"/>
      <c r="AM3789" s="96">
        <f ca="1">AM3788/AM3786</f>
        <v>1.0336789749173447</v>
      </c>
      <c r="AN3789" s="111"/>
      <c r="AO3789" s="28"/>
      <c r="AP3789" s="96">
        <f ca="1">AP3788/AP3786</f>
        <v>1.0246649687701122</v>
      </c>
      <c r="AQ3789" s="111"/>
      <c r="AR3789" s="28"/>
      <c r="AS3789" s="96">
        <f ca="1">AS3788/AS3786</f>
        <v>1.0177593892274921</v>
      </c>
      <c r="AT3789" s="111"/>
      <c r="AU3789" s="28"/>
    </row>
    <row r="3790" spans="15:47" x14ac:dyDescent="0.25">
      <c r="O3790" s="2" t="s">
        <v>21</v>
      </c>
      <c r="P3790" s="8">
        <v>12</v>
      </c>
      <c r="Q3790" s="2"/>
      <c r="R3790" s="96">
        <f ca="1">1-R3789/(3*F_GAMMA*R$29)</f>
        <v>0.82860307041966963</v>
      </c>
      <c r="S3790" s="106"/>
      <c r="T3790" s="22"/>
      <c r="U3790" s="96">
        <f ca="1">1-U3789/(3*F_GAMMA*U$29)</f>
        <v>0.84681689187774922</v>
      </c>
      <c r="V3790" s="111"/>
      <c r="W3790" s="28"/>
      <c r="X3790" s="96">
        <f ca="1">1-X3789/(3*F_GAMMA*X$29)</f>
        <v>1.0075412470873057</v>
      </c>
      <c r="Y3790" s="111"/>
      <c r="Z3790" s="28"/>
      <c r="AA3790" s="96">
        <f ca="1">1-AA3789/(3*F_GAMMA*AA$29)</f>
        <v>-0.6940780273307039</v>
      </c>
      <c r="AB3790" s="111"/>
      <c r="AC3790" s="28"/>
      <c r="AD3790" s="96">
        <f ca="1">1-AD3789/(3*F_GAMMA*AD$29)</f>
        <v>0.31369145405361387</v>
      </c>
      <c r="AE3790" s="111"/>
      <c r="AF3790" s="28"/>
      <c r="AG3790" s="96">
        <f ca="1">1-AG3789/(3*F_GAMMA*AG$29)</f>
        <v>0.36066230945131328</v>
      </c>
      <c r="AH3790" s="111"/>
      <c r="AI3790" s="28"/>
      <c r="AJ3790" s="96">
        <f ca="1">1-AJ3789/(3*F_GAMMA*AJ$29)</f>
        <v>0.34101107642740258</v>
      </c>
      <c r="AK3790" s="111"/>
      <c r="AL3790" s="28"/>
      <c r="AM3790" s="96">
        <f ca="1">1-AM3789/(3*F_GAMMA*AM$29)</f>
        <v>0.27562556055929777</v>
      </c>
      <c r="AN3790" s="111"/>
      <c r="AO3790" s="28"/>
      <c r="AP3790" s="96">
        <f ca="1">1-AP3789/(3*F_GAMMA*AP$29)</f>
        <v>0.42162415040511114</v>
      </c>
      <c r="AQ3790" s="111"/>
      <c r="AR3790" s="28"/>
      <c r="AS3790" s="96">
        <f ca="1">1-AS3789/(3*F_GAMMA*AS$29)</f>
        <v>9.9383657913103884E-2</v>
      </c>
      <c r="AT3790" s="111"/>
      <c r="AU3790" s="28"/>
    </row>
    <row r="3791" spans="15:47" x14ac:dyDescent="0.25">
      <c r="O3791" s="2" t="s">
        <v>57</v>
      </c>
      <c r="P3791" s="143">
        <v>7</v>
      </c>
      <c r="Q3791" s="2"/>
      <c r="R3791" s="96">
        <f ca="1">(R3784/(N_9*R$27*R3786*R3790))*SQRT(M*'Valve Sizing'!$W$6*'Valve Sizing'!$G$8/R3789)</f>
        <v>26.309840992670317</v>
      </c>
      <c r="S3791" s="107"/>
      <c r="T3791" s="22"/>
      <c r="U3791" s="96">
        <f ca="1">(U3784/(N_9*U$27*U3786*U3790))*SQRT(M*'Valve Sizing'!$W$6*'Valve Sizing'!$G$8/U3789)</f>
        <v>75.135515109425057</v>
      </c>
      <c r="V3791" s="111"/>
      <c r="W3791" s="28"/>
      <c r="X3791" s="96" t="e">
        <f ca="1">(X3784/(N_9*X$27*X3786*X3790))*SQRT(M*'Valve Sizing'!$W$6*'Valve Sizing'!$G$8/X3789)</f>
        <v>#NUM!</v>
      </c>
      <c r="Y3791" s="111"/>
      <c r="Z3791" s="28"/>
      <c r="AA3791" s="96">
        <f ca="1">(AA3784/(N_9*AA$27*AA3786*AA3790))*SQRT(M*'Valve Sizing'!$W$6*'Valve Sizing'!$G$8/AA3789)</f>
        <v>413.87385163100254</v>
      </c>
      <c r="AB3791" s="111"/>
      <c r="AC3791" s="28"/>
      <c r="AD3791" s="96">
        <f ca="1">(AD3784/(N_9*AD$27*AD3786*AD3790))*SQRT(M*'Valve Sizing'!$W$6*'Valve Sizing'!$G$8/AD3789)</f>
        <v>-283.39775865044851</v>
      </c>
      <c r="AE3791" s="111"/>
      <c r="AF3791" s="28"/>
      <c r="AG3791" s="96">
        <f ca="1">(AG3784/(N_9*AG$27*AG3786*AG3790))*SQRT(M*'Valve Sizing'!$W$6*'Valve Sizing'!$G$8/AG3789)</f>
        <v>-153.71033481421131</v>
      </c>
      <c r="AH3791" s="111"/>
      <c r="AI3791" s="28"/>
      <c r="AJ3791" s="96">
        <f ca="1">(AJ3784/(N_9*AJ$27*AJ3786*AJ3790))*SQRT(M*'Valve Sizing'!$W$6*'Valve Sizing'!$G$8/AJ3789)</f>
        <v>-121.17397665976588</v>
      </c>
      <c r="AK3791" s="111"/>
      <c r="AL3791" s="28"/>
      <c r="AM3791" s="96">
        <f ca="1">(AM3784/(N_9*AM$27*AM3786*AM3790))*SQRT(M*'Valve Sizing'!$W$6*'Valve Sizing'!$G$8/AM3789)</f>
        <v>-128.22157036095155</v>
      </c>
      <c r="AN3791" s="111"/>
      <c r="AO3791" s="28"/>
      <c r="AP3791" s="96">
        <f ca="1">(AP3784/(N_9*AP$27*AP3786*AP3790))*SQRT(M*'Valve Sizing'!$W$6*'Valve Sizing'!$G$8/AP3789)</f>
        <v>-81.473388206214651</v>
      </c>
      <c r="AQ3791" s="111"/>
      <c r="AR3791" s="28"/>
      <c r="AS3791" s="96">
        <f ca="1">(AS3784/(N_9*AS$27*AS3786*AS3790))*SQRT(M*'Valve Sizing'!$W$6*'Valve Sizing'!$G$8/AS3789)</f>
        <v>-392.18512806590604</v>
      </c>
      <c r="AT3791" s="111"/>
      <c r="AU3791" s="28"/>
    </row>
    <row r="3792" spans="15:47" x14ac:dyDescent="0.25">
      <c r="O3792" s="2" t="s">
        <v>59</v>
      </c>
      <c r="P3792" s="143">
        <v>7</v>
      </c>
      <c r="Q3792" s="2"/>
      <c r="R3792" s="96">
        <f ca="1">(R3784/(N_9*R$27*R3786*0.667))*SQRT(M*'Valve Sizing'!$W$6*'Valve Sizing'!$G$8/R3793)</f>
        <v>23.436948942295842</v>
      </c>
      <c r="S3792" s="107"/>
      <c r="T3792" s="22"/>
      <c r="U3792" s="96">
        <f ca="1">(U3784/(N_9*U$27*U3786*0.667))*SQRT(M*'Valve Sizing'!$W$6*'Valve Sizing'!$G$8/U3793)</f>
        <v>64.66585330693097</v>
      </c>
      <c r="V3792" s="111"/>
      <c r="W3792" s="28"/>
      <c r="X3792" s="96">
        <f ca="1">(X3784/(N_9*X$27*X3786*0.667))*SQRT(M*'Valve Sizing'!$W$6*'Valve Sizing'!$G$8/X3793)</f>
        <v>229.16927164000839</v>
      </c>
      <c r="Y3792" s="111"/>
      <c r="Z3792" s="28"/>
      <c r="AA3792" s="96">
        <f ca="1">(AA3784/(N_9*AA$27*AA3786*0.667))*SQRT(M*'Valve Sizing'!$W$6*'Valve Sizing'!$G$8/AA3793)</f>
        <v>-970.90733693714594</v>
      </c>
      <c r="AB3792" s="111"/>
      <c r="AC3792" s="28"/>
      <c r="AD3792" s="96">
        <f ca="1">(AD3784/(N_9*AD$27*AD3786*0.667))*SQRT(M*'Valve Sizing'!$W$6*'Valve Sizing'!$G$8/AD3793)</f>
        <v>-191.24654377826667</v>
      </c>
      <c r="AE3792" s="111"/>
      <c r="AF3792" s="28"/>
      <c r="AG3792" s="96">
        <f ca="1">(AG3784/(N_9*AG$27*AG3786*0.667))*SQRT(M*'Valve Sizing'!$W$6*'Valve Sizing'!$G$8/AG3793)</f>
        <v>-115.1075407145518</v>
      </c>
      <c r="AH3792" s="111"/>
      <c r="AI3792" s="28"/>
      <c r="AJ3792" s="96">
        <f ca="1">(AJ3784/(N_9*AJ$27*AJ3786*0.667))*SQRT(M*'Valve Sizing'!$W$6*'Valve Sizing'!$G$8/AJ3793)</f>
        <v>-87.106727322342564</v>
      </c>
      <c r="AK3792" s="111"/>
      <c r="AL3792" s="28"/>
      <c r="AM3792" s="96">
        <f ca="1">(AM3784/(N_9*AM$27*AM3786*0.667))*SQRT(M*'Valve Sizing'!$W$6*'Valve Sizing'!$G$8/AM3793)</f>
        <v>-78.108254673338095</v>
      </c>
      <c r="AN3792" s="111"/>
      <c r="AO3792" s="28"/>
      <c r="AP3792" s="96">
        <f ca="1">(AP3784/(N_9*AP$27*AP3786*0.667))*SQRT(M*'Valve Sizing'!$W$6*'Valve Sizing'!$G$8/AP3793)</f>
        <v>-67.839263648543735</v>
      </c>
      <c r="AQ3792" s="111"/>
      <c r="AR3792" s="28"/>
      <c r="AS3792" s="96">
        <f ca="1">(AS3784/(N_9*AS$27*AS3786*0.667))*SQRT(M*'Valve Sizing'!$W$6*'Valve Sizing'!$G$8/AS3793)</f>
        <v>-96.05297116719116</v>
      </c>
      <c r="AT3792" s="111"/>
      <c r="AU3792" s="28"/>
    </row>
    <row r="3793" spans="15:47" ht="15.6" x14ac:dyDescent="0.35">
      <c r="O3793" s="2" t="s">
        <v>68</v>
      </c>
      <c r="P3793" s="143">
        <v>10</v>
      </c>
      <c r="Q3793" s="2"/>
      <c r="R3793" s="96">
        <f ca="1">F_GAMMA*R$29</f>
        <v>0.64002969751372984</v>
      </c>
      <c r="S3793" s="107"/>
      <c r="T3793" s="1"/>
      <c r="U3793" s="96">
        <f ca="1">F_GAMMA*U$29</f>
        <v>0.64017842058782071</v>
      </c>
      <c r="V3793" s="111"/>
      <c r="W3793" s="28"/>
      <c r="X3793" s="96">
        <f ca="1">F_GAMMA*X$29</f>
        <v>0.63413873724904268</v>
      </c>
      <c r="Y3793" s="111"/>
      <c r="Z3793" s="28"/>
      <c r="AA3793" s="96">
        <f ca="1">F_GAMMA*AA$29</f>
        <v>0.62532411750377137</v>
      </c>
      <c r="AB3793" s="111"/>
      <c r="AC3793" s="28"/>
      <c r="AD3793" s="96">
        <f ca="1">F_GAMMA*AD$29</f>
        <v>0.60651359509139569</v>
      </c>
      <c r="AE3793" s="111"/>
      <c r="AF3793" s="28"/>
      <c r="AG3793" s="96">
        <f ca="1">F_GAMMA*AG$29</f>
        <v>0.57217930198481592</v>
      </c>
      <c r="AH3793" s="111"/>
      <c r="AI3793" s="28"/>
      <c r="AJ3793" s="96">
        <f ca="1">F_GAMMA*AJ$29</f>
        <v>0.53183282018848232</v>
      </c>
      <c r="AK3793" s="111"/>
      <c r="AL3793" s="28"/>
      <c r="AM3793" s="96">
        <f ca="1">F_GAMMA*AM$29</f>
        <v>0.47566512503094399</v>
      </c>
      <c r="AN3793" s="111"/>
      <c r="AO3793" s="28"/>
      <c r="AP3793" s="96">
        <f ca="1">F_GAMMA*AP$29</f>
        <v>0.59054158265645496</v>
      </c>
      <c r="AQ3793" s="111"/>
      <c r="AR3793" s="28"/>
      <c r="AS3793" s="96">
        <f ca="1">F_GAMMA*AS$29</f>
        <v>0.3766899554102966</v>
      </c>
      <c r="AT3793" s="111"/>
      <c r="AU3793" s="28"/>
    </row>
    <row r="3794" spans="15:47" x14ac:dyDescent="0.25">
      <c r="O3794" s="2" t="s">
        <v>145</v>
      </c>
      <c r="P3794" s="12"/>
      <c r="Q3794" s="2"/>
      <c r="R3794" s="96">
        <f ca="1">IF(R3789&lt;R3793,R3791,R3792)</f>
        <v>26.309840992670317</v>
      </c>
      <c r="S3794" s="116"/>
      <c r="T3794" s="1"/>
      <c r="U3794" s="96">
        <f ca="1">IF(U3789&lt;U3793,U3791,U3792)</f>
        <v>75.135515109425057</v>
      </c>
      <c r="V3794" s="111"/>
      <c r="W3794" s="28"/>
      <c r="X3794" s="96" t="e">
        <f ca="1">IF(X3789&lt;X3793,X3791,X3792)</f>
        <v>#NUM!</v>
      </c>
      <c r="Y3794" s="111"/>
      <c r="Z3794" s="28"/>
      <c r="AA3794" s="96">
        <f ca="1">IF(AA3789&lt;AA3793,AA3791,AA3792)</f>
        <v>-970.90733693714594</v>
      </c>
      <c r="AB3794" s="111"/>
      <c r="AC3794" s="28"/>
      <c r="AD3794" s="96">
        <f ca="1">IF(AD3789&lt;AD3793,AD3791,AD3792)</f>
        <v>-191.24654377826667</v>
      </c>
      <c r="AE3794" s="111"/>
      <c r="AF3794" s="28"/>
      <c r="AG3794" s="96">
        <f ca="1">IF(AG3789&lt;AG3793,AG3791,AG3792)</f>
        <v>-115.1075407145518</v>
      </c>
      <c r="AH3794" s="111"/>
      <c r="AI3794" s="28"/>
      <c r="AJ3794" s="96">
        <f ca="1">IF(AJ3789&lt;AJ3793,AJ3791,AJ3792)</f>
        <v>-87.106727322342564</v>
      </c>
      <c r="AK3794" s="111"/>
      <c r="AL3794" s="28"/>
      <c r="AM3794" s="96">
        <f ca="1">IF(AM3789&lt;AM3793,AM3791,AM3792)</f>
        <v>-78.108254673338095</v>
      </c>
      <c r="AN3794" s="111"/>
      <c r="AO3794" s="28"/>
      <c r="AP3794" s="96">
        <f ca="1">IF(AP3789&lt;AP3793,AP3791,AP3792)</f>
        <v>-67.839263648543735</v>
      </c>
      <c r="AQ3794" s="111"/>
      <c r="AR3794" s="28"/>
      <c r="AS3794" s="96">
        <f ca="1">IF(AS3789&lt;AS3793,AS3791,AS3792)</f>
        <v>-96.05297116719116</v>
      </c>
      <c r="AT3794" s="111"/>
      <c r="AU3794" s="28"/>
    </row>
    <row r="3795" spans="15:47" x14ac:dyDescent="0.25">
      <c r="O3795" s="13" t="s">
        <v>143</v>
      </c>
      <c r="P3795" s="1"/>
      <c r="Q3795" s="1"/>
      <c r="R3795" s="113"/>
      <c r="S3795" s="106">
        <f ca="1">IF(R3788&lt;=0,Q_max,ABS(R$23-R3794))</f>
        <v>21.579840992670317</v>
      </c>
      <c r="T3795" s="7">
        <f>R3784</f>
        <v>64288.411622149644</v>
      </c>
      <c r="U3795" s="98"/>
      <c r="V3795" s="106">
        <f ca="1">IF(U3788&lt;=0,Q_max,ABS(U$23-U3794))</f>
        <v>63.535515109425056</v>
      </c>
      <c r="W3795" s="9">
        <f ca="1">U3784</f>
        <v>168517.92308171638</v>
      </c>
      <c r="X3795" s="98"/>
      <c r="Y3795" s="106">
        <f ca="1">IF(X3788&lt;=0,Q_max,ABS(X$23-X3794))</f>
        <v>236393</v>
      </c>
      <c r="Z3795" s="9">
        <f ca="1">X3784</f>
        <v>412638.4927217901</v>
      </c>
      <c r="AA3795" s="98"/>
      <c r="AB3795" s="106">
        <f ca="1">IF(AA3788&lt;=0,Q_max,ABS(AA$23-AA3794))</f>
        <v>236393</v>
      </c>
      <c r="AC3795" s="9">
        <f ca="1">AA3784</f>
        <v>803714.45973940997</v>
      </c>
      <c r="AD3795" s="98"/>
      <c r="AE3795" s="106">
        <f ca="1">IF(AD3788&lt;=0,Q_max,ABS(AD$23-AD3794))</f>
        <v>236393</v>
      </c>
      <c r="AF3795" s="9">
        <f ca="1">AD3784</f>
        <v>1348382.8451243842</v>
      </c>
      <c r="AG3795" s="98"/>
      <c r="AH3795" s="106">
        <f ca="1">IF(AG3788&lt;=0,Q_max,ABS(AG$23-AG3794))</f>
        <v>236393</v>
      </c>
      <c r="AI3795" s="9">
        <f ca="1">AG3784</f>
        <v>1968001.4872053708</v>
      </c>
      <c r="AJ3795" s="98"/>
      <c r="AK3795" s="106">
        <f ca="1">IF(AJ3788&lt;=0,Q_max,ABS(AJ$23-AJ3794))</f>
        <v>236393</v>
      </c>
      <c r="AL3795" s="9">
        <f ca="1">AJ3784</f>
        <v>2626305.6137656472</v>
      </c>
      <c r="AM3795" s="98"/>
      <c r="AN3795" s="106">
        <f ca="1">IF(AM3788&lt;=0,Q_max,ABS(AM$23-AM3794))</f>
        <v>236393</v>
      </c>
      <c r="AO3795" s="9">
        <f ca="1">AM3784</f>
        <v>3204591.9517762749</v>
      </c>
      <c r="AP3795" s="98"/>
      <c r="AQ3795" s="106">
        <f ca="1">IF(AP3788&lt;=0,Q_max,ABS(AP$23-AP3794))</f>
        <v>236393</v>
      </c>
      <c r="AR3795" s="9">
        <f ca="1">AP3784</f>
        <v>3720431.7706408077</v>
      </c>
      <c r="AS3795" s="98"/>
      <c r="AT3795" s="106">
        <f ca="1">IF(AS3788&lt;=0,Q_max,ABS(AS$23-AS3794))</f>
        <v>236393</v>
      </c>
      <c r="AU3795" s="9">
        <f ca="1">AS3784</f>
        <v>4362498.8441490745</v>
      </c>
    </row>
    <row r="3796" spans="15:47" x14ac:dyDescent="0.25">
      <c r="O3796" s="21"/>
      <c r="P3796" s="14"/>
      <c r="Q3796" s="21"/>
      <c r="R3796" s="97"/>
      <c r="S3796" s="106"/>
      <c r="T3796" s="28"/>
      <c r="U3796" s="99"/>
      <c r="V3796" s="110"/>
      <c r="W3796" s="25"/>
      <c r="X3796" s="99"/>
      <c r="Y3796" s="110"/>
      <c r="Z3796" s="25"/>
      <c r="AA3796" s="99"/>
      <c r="AB3796" s="110"/>
      <c r="AC3796" s="25"/>
      <c r="AD3796" s="99"/>
      <c r="AE3796" s="110"/>
      <c r="AF3796" s="25"/>
      <c r="AG3796" s="99"/>
      <c r="AH3796" s="110"/>
      <c r="AI3796" s="25"/>
      <c r="AJ3796" s="99"/>
      <c r="AK3796" s="110"/>
      <c r="AL3796" s="25"/>
      <c r="AM3796" s="99"/>
      <c r="AN3796" s="110"/>
      <c r="AO3796" s="25"/>
      <c r="AP3796" s="99"/>
      <c r="AQ3796" s="110"/>
      <c r="AR3796" s="25"/>
      <c r="AS3796" s="99"/>
      <c r="AT3796" s="110"/>
      <c r="AU3796" s="25"/>
    </row>
    <row r="3797" spans="15:47" x14ac:dyDescent="0.25">
      <c r="O3797" s="1"/>
      <c r="P3797" s="1"/>
      <c r="Q3797" s="1"/>
      <c r="R3797" s="98"/>
      <c r="S3797" s="108" t="s">
        <v>137</v>
      </c>
      <c r="T3797" s="26" t="s">
        <v>146</v>
      </c>
      <c r="U3797" s="98"/>
      <c r="V3797" s="108" t="s">
        <v>137</v>
      </c>
      <c r="W3797" s="26" t="s">
        <v>146</v>
      </c>
      <c r="X3797" s="98"/>
      <c r="Y3797" s="108" t="s">
        <v>137</v>
      </c>
      <c r="Z3797" s="26" t="s">
        <v>146</v>
      </c>
      <c r="AA3797" s="98"/>
      <c r="AB3797" s="108" t="s">
        <v>137</v>
      </c>
      <c r="AC3797" s="26" t="s">
        <v>146</v>
      </c>
      <c r="AD3797" s="98"/>
      <c r="AE3797" s="108" t="s">
        <v>137</v>
      </c>
      <c r="AF3797" s="26" t="s">
        <v>146</v>
      </c>
      <c r="AG3797" s="98"/>
      <c r="AH3797" s="108" t="s">
        <v>137</v>
      </c>
      <c r="AI3797" s="26" t="s">
        <v>146</v>
      </c>
      <c r="AJ3797" s="98"/>
      <c r="AK3797" s="108" t="s">
        <v>137</v>
      </c>
      <c r="AL3797" s="26" t="s">
        <v>146</v>
      </c>
      <c r="AM3797" s="98"/>
      <c r="AN3797" s="108" t="s">
        <v>137</v>
      </c>
      <c r="AO3797" s="26" t="s">
        <v>146</v>
      </c>
      <c r="AP3797" s="98"/>
      <c r="AQ3797" s="108" t="s">
        <v>137</v>
      </c>
      <c r="AR3797" s="26" t="s">
        <v>146</v>
      </c>
      <c r="AS3797" s="98"/>
      <c r="AT3797" s="108" t="s">
        <v>137</v>
      </c>
      <c r="AU3797" s="26" t="s">
        <v>146</v>
      </c>
    </row>
    <row r="3798" spans="15:47" ht="13.8" x14ac:dyDescent="0.25">
      <c r="O3798" s="20" t="s">
        <v>136</v>
      </c>
      <c r="P3798" s="1"/>
      <c r="Q3798" s="1"/>
      <c r="R3798" s="96">
        <f>R3784*1.02</f>
        <v>65574.179854592643</v>
      </c>
      <c r="S3798" s="109" t="s">
        <v>144</v>
      </c>
      <c r="T3798" s="23" t="s">
        <v>147</v>
      </c>
      <c r="U3798" s="96">
        <f ca="1">U3784*1.01</f>
        <v>170203.10231253353</v>
      </c>
      <c r="V3798" s="109" t="s">
        <v>144</v>
      </c>
      <c r="W3798" s="23" t="s">
        <v>147</v>
      </c>
      <c r="X3798" s="96">
        <f ca="1">X3784*1.01</f>
        <v>416764.87764900801</v>
      </c>
      <c r="Y3798" s="109" t="s">
        <v>144</v>
      </c>
      <c r="Z3798" s="23" t="s">
        <v>147</v>
      </c>
      <c r="AA3798" s="96">
        <f ca="1">AA3784*1.01</f>
        <v>811751.60433680413</v>
      </c>
      <c r="AB3798" s="109" t="s">
        <v>144</v>
      </c>
      <c r="AC3798" s="23" t="s">
        <v>147</v>
      </c>
      <c r="AD3798" s="96">
        <f ca="1">AD3784*1.01</f>
        <v>1361866.6735756281</v>
      </c>
      <c r="AE3798" s="109" t="s">
        <v>144</v>
      </c>
      <c r="AF3798" s="23" t="s">
        <v>147</v>
      </c>
      <c r="AG3798" s="96">
        <f ca="1">AG3784*1.01</f>
        <v>1987681.5020774244</v>
      </c>
      <c r="AH3798" s="109" t="s">
        <v>144</v>
      </c>
      <c r="AI3798" s="23" t="s">
        <v>147</v>
      </c>
      <c r="AJ3798" s="96">
        <f ca="1">AJ3784*1.01</f>
        <v>2652568.6699033035</v>
      </c>
      <c r="AK3798" s="109" t="s">
        <v>144</v>
      </c>
      <c r="AL3798" s="23" t="s">
        <v>147</v>
      </c>
      <c r="AM3798" s="96">
        <f ca="1">AM3784*1.01</f>
        <v>3236637.8712940379</v>
      </c>
      <c r="AN3798" s="109" t="s">
        <v>144</v>
      </c>
      <c r="AO3798" s="23" t="s">
        <v>147</v>
      </c>
      <c r="AP3798" s="96">
        <f ca="1">AP3784*1.01</f>
        <v>3757636.0883472157</v>
      </c>
      <c r="AQ3798" s="109" t="s">
        <v>144</v>
      </c>
      <c r="AR3798" s="23" t="s">
        <v>147</v>
      </c>
      <c r="AS3798" s="96">
        <f ca="1">AS3784*1.01</f>
        <v>4406123.8325905651</v>
      </c>
      <c r="AT3798" s="109" t="s">
        <v>144</v>
      </c>
      <c r="AU3798" s="23" t="s">
        <v>147</v>
      </c>
    </row>
    <row r="3799" spans="15:47" x14ac:dyDescent="0.25">
      <c r="O3799" s="1"/>
      <c r="P3799" s="1"/>
      <c r="Q3799" s="1"/>
      <c r="R3799" s="98"/>
      <c r="S3799" s="107"/>
      <c r="T3799" s="1"/>
      <c r="U3799" s="47"/>
      <c r="V3799" s="107"/>
      <c r="W3799" s="1"/>
      <c r="X3799" s="47"/>
      <c r="Y3799" s="107"/>
      <c r="Z3799" s="1"/>
      <c r="AA3799" s="47"/>
      <c r="AB3799" s="107"/>
      <c r="AC3799" s="1"/>
      <c r="AD3799" s="47"/>
      <c r="AE3799" s="107"/>
      <c r="AF3799" s="1"/>
      <c r="AG3799" s="47"/>
      <c r="AH3799" s="107"/>
      <c r="AI3799" s="1"/>
      <c r="AJ3799" s="47"/>
      <c r="AK3799" s="107"/>
      <c r="AL3799" s="1"/>
      <c r="AM3799" s="47"/>
      <c r="AN3799" s="107"/>
      <c r="AO3799" s="1"/>
      <c r="AP3799" s="47"/>
      <c r="AQ3799" s="107"/>
      <c r="AR3799" s="1"/>
      <c r="AS3799" s="47"/>
      <c r="AT3799" s="107"/>
      <c r="AU3799" s="1"/>
    </row>
    <row r="3800" spans="15:47" x14ac:dyDescent="0.25">
      <c r="O3800" s="8" t="s">
        <v>132</v>
      </c>
      <c r="P3800" s="8"/>
      <c r="Q3800" s="8"/>
      <c r="R3800" s="96">
        <f>P_1_minQ-(R3798^2*R_up)+dpup_minQ</f>
        <v>89.401323521543219</v>
      </c>
      <c r="S3800" s="106"/>
      <c r="T3800" s="22"/>
      <c r="U3800" s="96">
        <f ca="1">P_1_minQ-(U3798^2*R_up)+dpup_minQ</f>
        <v>84.905106689914533</v>
      </c>
      <c r="V3800" s="107"/>
      <c r="W3800" s="1"/>
      <c r="X3800" s="96">
        <f ca="1">P_1_minQ-(X3798^2*R_up)+dpup_minQ</f>
        <v>58.527602780588978</v>
      </c>
      <c r="Y3800" s="107"/>
      <c r="Z3800" s="1"/>
      <c r="AA3800" s="96">
        <f ca="1">P_1_minQ-(AA3798^2*R_up)+dpup_minQ</f>
        <v>-29.914085890750272</v>
      </c>
      <c r="AB3800" s="107"/>
      <c r="AC3800" s="1"/>
      <c r="AD3800" s="96">
        <f ca="1">P_1_minQ-(AD3798^2*R_up)+dpup_minQ</f>
        <v>-247.85077873492179</v>
      </c>
      <c r="AE3800" s="107"/>
      <c r="AF3800" s="1"/>
      <c r="AG3800" s="96">
        <f ca="1">P_1_minQ-(AG3798^2*R_up)+dpup_minQ</f>
        <v>-629.9055389033623</v>
      </c>
      <c r="AH3800" s="107"/>
      <c r="AI3800" s="1"/>
      <c r="AJ3800" s="96">
        <f ca="1">P_1_minQ-(AJ3798^2*R_up)+dpup_minQ</f>
        <v>-1192.224701969652</v>
      </c>
      <c r="AK3800" s="107"/>
      <c r="AL3800" s="1"/>
      <c r="AM3800" s="96">
        <f ca="1">P_1_minQ-(AM3798^2*R_up)+dpup_minQ</f>
        <v>-1819.1483166780665</v>
      </c>
      <c r="AN3800" s="107"/>
      <c r="AO3800" s="1"/>
      <c r="AP3800" s="96">
        <f ca="1">P_1_minQ-(AP3798^2*R_up)+dpup_minQ</f>
        <v>-2483.3078539919175</v>
      </c>
      <c r="AQ3800" s="107"/>
      <c r="AR3800" s="1"/>
      <c r="AS3800" s="96">
        <f ca="1">P_1_minQ-(AS3798^2*R_up)+dpup_minQ</f>
        <v>-3448.2150260590179</v>
      </c>
      <c r="AT3800" s="107"/>
      <c r="AU3800" s="1"/>
    </row>
    <row r="3801" spans="15:47" x14ac:dyDescent="0.25">
      <c r="O3801" s="8" t="s">
        <v>134</v>
      </c>
      <c r="P3801" s="1"/>
      <c r="Q3801" s="8"/>
      <c r="R3801" s="97">
        <f>P_2_minQ+(R3798^2*R_dn)-dpdn_minQ</f>
        <v>60</v>
      </c>
      <c r="S3801" s="106"/>
      <c r="T3801" s="22"/>
      <c r="U3801" s="97">
        <f ca="1">P_2_minQ+(U3798^2*R_dn)-dpdn_minQ</f>
        <v>60</v>
      </c>
      <c r="V3801" s="107"/>
      <c r="W3801" s="1"/>
      <c r="X3801" s="97">
        <f ca="1">P_2_minQ+(X3798^2*R_dn)-dpdn_minQ</f>
        <v>60</v>
      </c>
      <c r="Y3801" s="107"/>
      <c r="Z3801" s="1"/>
      <c r="AA3801" s="97">
        <f ca="1">P_2_minQ+(AA3798^2*R_dn)-dpdn_minQ</f>
        <v>60</v>
      </c>
      <c r="AB3801" s="107"/>
      <c r="AC3801" s="1"/>
      <c r="AD3801" s="97">
        <f ca="1">P_2_minQ+(AD3798^2*R_dn)-dpdn_minQ</f>
        <v>60</v>
      </c>
      <c r="AE3801" s="107"/>
      <c r="AF3801" s="1"/>
      <c r="AG3801" s="97">
        <f ca="1">P_2_minQ+(AG3798^2*R_dn)-dpdn_minQ</f>
        <v>60</v>
      </c>
      <c r="AH3801" s="107"/>
      <c r="AI3801" s="1"/>
      <c r="AJ3801" s="97">
        <f ca="1">P_2_minQ+(AJ3798^2*R_dn)-dpdn_minQ</f>
        <v>60</v>
      </c>
      <c r="AK3801" s="107"/>
      <c r="AL3801" s="1"/>
      <c r="AM3801" s="97">
        <f ca="1">P_2_minQ+(AM3798^2*R_dn)-dpdn_minQ</f>
        <v>60</v>
      </c>
      <c r="AN3801" s="107"/>
      <c r="AO3801" s="1"/>
      <c r="AP3801" s="97">
        <f ca="1">P_2_minQ+(AP3798^2*R_dn)-dpdn_minQ</f>
        <v>60</v>
      </c>
      <c r="AQ3801" s="107"/>
      <c r="AR3801" s="1"/>
      <c r="AS3801" s="97">
        <f ca="1">P_2_minQ+(AS3798^2*R_dn)-dpdn_minQ</f>
        <v>60</v>
      </c>
      <c r="AT3801" s="107"/>
      <c r="AU3801" s="1"/>
    </row>
    <row r="3802" spans="15:47" x14ac:dyDescent="0.25">
      <c r="O3802" s="8" t="s">
        <v>138</v>
      </c>
      <c r="P3802" s="1"/>
      <c r="Q3802" s="8"/>
      <c r="R3802" s="97">
        <f>R3800-R3801</f>
        <v>29.401323521543219</v>
      </c>
      <c r="S3802" s="106"/>
      <c r="T3802" s="22"/>
      <c r="U3802" s="97">
        <f ca="1">U3800-U3801</f>
        <v>24.905106689914533</v>
      </c>
      <c r="V3802" s="110"/>
      <c r="W3802" s="25"/>
      <c r="X3802" s="97">
        <f ca="1">X3800-X3801</f>
        <v>-1.4723972194110218</v>
      </c>
      <c r="Y3802" s="110"/>
      <c r="Z3802" s="25"/>
      <c r="AA3802" s="97">
        <f ca="1">AA3800-AA3801</f>
        <v>-89.914085890750272</v>
      </c>
      <c r="AB3802" s="110"/>
      <c r="AC3802" s="25"/>
      <c r="AD3802" s="97">
        <f ca="1">AD3800-AD3801</f>
        <v>-307.85077873492179</v>
      </c>
      <c r="AE3802" s="110"/>
      <c r="AF3802" s="25"/>
      <c r="AG3802" s="97">
        <f ca="1">AG3800-AG3801</f>
        <v>-689.9055389033623</v>
      </c>
      <c r="AH3802" s="110"/>
      <c r="AI3802" s="25"/>
      <c r="AJ3802" s="97">
        <f ca="1">AJ3800-AJ3801</f>
        <v>-1252.224701969652</v>
      </c>
      <c r="AK3802" s="110"/>
      <c r="AL3802" s="25"/>
      <c r="AM3802" s="97">
        <f ca="1">AM3800-AM3801</f>
        <v>-1879.1483166780665</v>
      </c>
      <c r="AN3802" s="110"/>
      <c r="AO3802" s="25"/>
      <c r="AP3802" s="97">
        <f ca="1">AP3800-AP3801</f>
        <v>-2543.3078539919175</v>
      </c>
      <c r="AQ3802" s="110"/>
      <c r="AR3802" s="25"/>
      <c r="AS3802" s="97">
        <f ca="1">AS3800-AS3801</f>
        <v>-3508.2150260590179</v>
      </c>
      <c r="AT3802" s="110"/>
      <c r="AU3802" s="25"/>
    </row>
    <row r="3803" spans="15:47" ht="14.4" x14ac:dyDescent="0.3">
      <c r="O3803" s="2" t="s">
        <v>140</v>
      </c>
      <c r="P3803" s="11"/>
      <c r="Q3803" s="2"/>
      <c r="R3803" s="96">
        <f>R3802/R3800</f>
        <v>0.32886899615594978</v>
      </c>
      <c r="S3803" s="106"/>
      <c r="T3803" s="22"/>
      <c r="U3803" s="96">
        <f ca="1">U3802/U3800</f>
        <v>0.29332872498319218</v>
      </c>
      <c r="V3803" s="111"/>
      <c r="W3803" s="28"/>
      <c r="X3803" s="96">
        <f ca="1">X3802/X3800</f>
        <v>-2.5157312950793723E-2</v>
      </c>
      <c r="Y3803" s="111"/>
      <c r="Z3803" s="28"/>
      <c r="AA3803" s="96">
        <f ca="1">AA3802/AA3800</f>
        <v>3.0057440571350567</v>
      </c>
      <c r="AB3803" s="111"/>
      <c r="AC3803" s="28"/>
      <c r="AD3803" s="96">
        <f ca="1">AD3802/AD3800</f>
        <v>1.2420811437682446</v>
      </c>
      <c r="AE3803" s="111"/>
      <c r="AF3803" s="28"/>
      <c r="AG3803" s="96">
        <f ca="1">AG3802/AG3800</f>
        <v>1.0952523772127125</v>
      </c>
      <c r="AH3803" s="111"/>
      <c r="AI3803" s="28"/>
      <c r="AJ3803" s="96">
        <f ca="1">AJ3802/AJ3800</f>
        <v>1.050326083582126</v>
      </c>
      <c r="AK3803" s="111"/>
      <c r="AL3803" s="28"/>
      <c r="AM3803" s="96">
        <f ca="1">AM3802/AM3800</f>
        <v>1.0329824673721852</v>
      </c>
      <c r="AN3803" s="111"/>
      <c r="AO3803" s="28"/>
      <c r="AP3803" s="96">
        <f ca="1">AP3802/AP3800</f>
        <v>1.024161321723986</v>
      </c>
      <c r="AQ3803" s="111"/>
      <c r="AR3803" s="28"/>
      <c r="AS3803" s="96">
        <f ca="1">AS3802/AS3800</f>
        <v>1.0174003069839221</v>
      </c>
      <c r="AT3803" s="111"/>
      <c r="AU3803" s="28"/>
    </row>
    <row r="3804" spans="15:47" x14ac:dyDescent="0.25">
      <c r="O3804" s="2" t="s">
        <v>21</v>
      </c>
      <c r="P3804" s="8">
        <v>12</v>
      </c>
      <c r="Q3804" s="2"/>
      <c r="R3804" s="96">
        <f ca="1">1-R3803/(3*F_GAMMA*R$29)</f>
        <v>0.82872201220585029</v>
      </c>
      <c r="S3804" s="106"/>
      <c r="T3804" s="22"/>
      <c r="U3804" s="96">
        <f ca="1">1-U3803/(3*F_GAMMA*U$29)</f>
        <v>0.84726720158532598</v>
      </c>
      <c r="V3804" s="111"/>
      <c r="W3804" s="28"/>
      <c r="X3804" s="96">
        <f ca="1">1-X3803/(3*F_GAMMA*X$29)</f>
        <v>1.013223874352758</v>
      </c>
      <c r="Y3804" s="111"/>
      <c r="Z3804" s="28"/>
      <c r="AA3804" s="96">
        <f ca="1">1-AA3803/(3*F_GAMMA*AA$29)</f>
        <v>-0.60223259853022215</v>
      </c>
      <c r="AB3804" s="111"/>
      <c r="AC3804" s="28"/>
      <c r="AD3804" s="96">
        <f ca="1">1-AD3803/(3*F_GAMMA*AD$29)</f>
        <v>0.31736559365935002</v>
      </c>
      <c r="AE3804" s="111"/>
      <c r="AF3804" s="28"/>
      <c r="AG3804" s="96">
        <f ca="1">1-AG3803/(3*F_GAMMA*AG$29)</f>
        <v>0.36194104807506788</v>
      </c>
      <c r="AH3804" s="111"/>
      <c r="AI3804" s="28"/>
      <c r="AJ3804" s="96">
        <f ca="1">1-AJ3803/(3*F_GAMMA*AJ$29)</f>
        <v>0.34169407897147774</v>
      </c>
      <c r="AK3804" s="111"/>
      <c r="AL3804" s="28"/>
      <c r="AM3804" s="96">
        <f ca="1">1-AM3803/(3*F_GAMMA*AM$29)</f>
        <v>0.27611365432422263</v>
      </c>
      <c r="AN3804" s="111"/>
      <c r="AO3804" s="28"/>
      <c r="AP3804" s="96">
        <f ca="1">1-AP3803/(3*F_GAMMA*AP$29)</f>
        <v>0.4219084358028532</v>
      </c>
      <c r="AQ3804" s="111"/>
      <c r="AR3804" s="28"/>
      <c r="AS3804" s="96">
        <f ca="1">1-AS3803/(3*F_GAMMA*AS$29)</f>
        <v>9.9701410163916093E-2</v>
      </c>
      <c r="AT3804" s="111"/>
      <c r="AU3804" s="28"/>
    </row>
    <row r="3805" spans="15:47" x14ac:dyDescent="0.25">
      <c r="O3805" s="2" t="s">
        <v>57</v>
      </c>
      <c r="P3805" s="143">
        <v>7</v>
      </c>
      <c r="Q3805" s="2"/>
      <c r="R3805" s="96">
        <f ca="1">(R3798/(N_9*R$27*R3800*R3804))*SQRT(M*'Valve Sizing'!$W$6*'Valve Sizing'!$G$8/R3803)</f>
        <v>26.850638193308548</v>
      </c>
      <c r="S3805" s="107"/>
      <c r="T3805" s="22"/>
      <c r="U3805" s="96">
        <f ca="1">(U3798/(N_9*U$27*U3800*U3804))*SQRT(M*'Valve Sizing'!$W$6*'Valve Sizing'!$G$8/U3803)</f>
        <v>76.051339154983694</v>
      </c>
      <c r="V3805" s="111"/>
      <c r="W3805" s="28"/>
      <c r="X3805" s="96" t="e">
        <f ca="1">(X3798/(N_9*X$27*X3800*X3804))*SQRT(M*'Valve Sizing'!$W$6*'Valve Sizing'!$G$8/X3803)</f>
        <v>#NUM!</v>
      </c>
      <c r="Y3805" s="111"/>
      <c r="Z3805" s="28"/>
      <c r="AA3805" s="96">
        <f ca="1">(AA3798/(N_9*AA$27*AA3800*AA3804))*SQRT(M*'Valve Sizing'!$W$6*'Valve Sizing'!$G$8/AA3803)</f>
        <v>456.19054307511345</v>
      </c>
      <c r="AB3805" s="111"/>
      <c r="AC3805" s="28"/>
      <c r="AD3805" s="96">
        <f ca="1">(AD3798/(N_9*AD$27*AD3800*AD3804))*SQRT(M*'Valve Sizing'!$W$6*'Valve Sizing'!$G$8/AD3803)</f>
        <v>-276.05492788229776</v>
      </c>
      <c r="AE3805" s="111"/>
      <c r="AF3805" s="28"/>
      <c r="AG3805" s="96">
        <f ca="1">(AG3798/(N_9*AG$27*AG3800*AG3804))*SQRT(M*'Valve Sizing'!$W$6*'Valve Sizing'!$G$8/AG3803)</f>
        <v>-151.36580211157872</v>
      </c>
      <c r="AH3805" s="111"/>
      <c r="AI3805" s="28"/>
      <c r="AJ3805" s="96">
        <f ca="1">(AJ3798/(N_9*AJ$27*AJ3800*AJ3804))*SQRT(M*'Valve Sizing'!$W$6*'Valve Sizing'!$G$8/AJ3803)</f>
        <v>-119.61437355131186</v>
      </c>
      <c r="AK3805" s="111"/>
      <c r="AL3805" s="28"/>
      <c r="AM3805" s="96">
        <f ca="1">(AM3798/(N_9*AM$27*AM3800*AM3804))*SQRT(M*'Valve Sizing'!$W$6*'Valve Sizing'!$G$8/AM3803)</f>
        <v>-126.64402789456528</v>
      </c>
      <c r="AN3805" s="111"/>
      <c r="AO3805" s="28"/>
      <c r="AP3805" s="96">
        <f ca="1">(AP3798/(N_9*AP$27*AP3800*AP3804))*SQRT(M*'Valve Sizing'!$W$6*'Valve Sizing'!$G$8/AP3803)</f>
        <v>-80.573327442249692</v>
      </c>
      <c r="AQ3805" s="111"/>
      <c r="AR3805" s="28"/>
      <c r="AS3805" s="96">
        <f ca="1">(AS3798/(N_9*AS$27*AS3800*AS3804))*SQRT(M*'Valve Sizing'!$W$6*'Valve Sizing'!$G$8/AS3803)</f>
        <v>-386.92935767757609</v>
      </c>
      <c r="AT3805" s="111"/>
      <c r="AU3805" s="28"/>
    </row>
    <row r="3806" spans="15:47" x14ac:dyDescent="0.25">
      <c r="O3806" s="2" t="s">
        <v>59</v>
      </c>
      <c r="P3806" s="143">
        <v>7</v>
      </c>
      <c r="Q3806" s="2"/>
      <c r="R3806" s="96">
        <f ca="1">(R3798/(N_9*R$27*R3800*0.667))*SQRT(M*'Valve Sizing'!$W$6*'Valve Sizing'!$G$8/R3807)</f>
        <v>23.913825544614333</v>
      </c>
      <c r="S3806" s="107"/>
      <c r="T3806" s="22"/>
      <c r="U3806" s="96">
        <f ca="1">(U3798/(N_9*U$27*U3800*0.667))*SQRT(M*'Valve Sizing'!$W$6*'Valve Sizing'!$G$8/U3807)</f>
        <v>65.392540282539201</v>
      </c>
      <c r="V3806" s="111"/>
      <c r="W3806" s="28"/>
      <c r="X3806" s="96">
        <f ca="1">(X3798/(N_9*X$27*X3800*0.667))*SQRT(M*'Valve Sizing'!$W$6*'Valve Sizing'!$G$8/X3807)</f>
        <v>233.9278333899633</v>
      </c>
      <c r="Y3806" s="111"/>
      <c r="Z3806" s="28"/>
      <c r="AA3806" s="96">
        <f ca="1">(AA3798/(N_9*AA$27*AA3800*0.667))*SQRT(M*'Valve Sizing'!$W$6*'Valve Sizing'!$G$8/AA3807)</f>
        <v>-903.04234012334268</v>
      </c>
      <c r="AB3806" s="111"/>
      <c r="AC3806" s="28"/>
      <c r="AD3806" s="96">
        <f ca="1">(AD3798/(N_9*AD$27*AD3800*0.667))*SQRT(M*'Valve Sizing'!$W$6*'Valve Sizing'!$G$8/AD3807)</f>
        <v>-187.96813251753099</v>
      </c>
      <c r="AE3806" s="111"/>
      <c r="AF3806" s="28"/>
      <c r="AG3806" s="96">
        <f ca="1">(AG3798/(N_9*AG$27*AG3800*0.667))*SQRT(M*'Valve Sizing'!$W$6*'Valve Sizing'!$G$8/AG3807)</f>
        <v>-113.63988951342996</v>
      </c>
      <c r="AH3806" s="111"/>
      <c r="AI3806" s="28"/>
      <c r="AJ3806" s="96">
        <f ca="1">(AJ3798/(N_9*AJ$27*AJ3800*0.667))*SQRT(M*'Valve Sizing'!$W$6*'Valve Sizing'!$G$8/AJ3807)</f>
        <v>-86.113154263612216</v>
      </c>
      <c r="AK3806" s="111"/>
      <c r="AL3806" s="28"/>
      <c r="AM3806" s="96">
        <f ca="1">(AM3798/(N_9*AM$27*AM3800*0.667))*SQRT(M*'Valve Sizing'!$W$6*'Valve Sizing'!$G$8/AM3807)</f>
        <v>-77.257844018711666</v>
      </c>
      <c r="AN3806" s="111"/>
      <c r="AO3806" s="28"/>
      <c r="AP3806" s="96">
        <f ca="1">(AP3798/(N_9*AP$27*AP3800*0.667))*SQRT(M*'Valve Sizing'!$W$6*'Valve Sizing'!$G$8/AP3807)</f>
        <v>-67.118558012613704</v>
      </c>
      <c r="AQ3806" s="111"/>
      <c r="AR3806" s="28"/>
      <c r="AS3806" s="96">
        <f ca="1">(AS3798/(N_9*AS$27*AS3800*0.667))*SQRT(M*'Valve Sizing'!$W$6*'Valve Sizing'!$G$8/AS3807)</f>
        <v>-95.051956756712784</v>
      </c>
      <c r="AT3806" s="111"/>
      <c r="AU3806" s="28"/>
    </row>
    <row r="3807" spans="15:47" ht="15.6" x14ac:dyDescent="0.35">
      <c r="O3807" s="2" t="s">
        <v>68</v>
      </c>
      <c r="P3807" s="143">
        <v>10</v>
      </c>
      <c r="Q3807" s="2"/>
      <c r="R3807" s="96">
        <f ca="1">F_GAMMA*R$29</f>
        <v>0.64002969751372984</v>
      </c>
      <c r="S3807" s="107"/>
      <c r="T3807" s="1"/>
      <c r="U3807" s="96">
        <f ca="1">F_GAMMA*U$29</f>
        <v>0.64017842058782071</v>
      </c>
      <c r="V3807" s="111"/>
      <c r="W3807" s="28"/>
      <c r="X3807" s="96">
        <f ca="1">F_GAMMA*X$29</f>
        <v>0.63413873724904268</v>
      </c>
      <c r="Y3807" s="111"/>
      <c r="Z3807" s="28"/>
      <c r="AA3807" s="96">
        <f ca="1">F_GAMMA*AA$29</f>
        <v>0.62532411750377137</v>
      </c>
      <c r="AB3807" s="111"/>
      <c r="AC3807" s="28"/>
      <c r="AD3807" s="96">
        <f ca="1">F_GAMMA*AD$29</f>
        <v>0.60651359509139569</v>
      </c>
      <c r="AE3807" s="111"/>
      <c r="AF3807" s="28"/>
      <c r="AG3807" s="96">
        <f ca="1">F_GAMMA*AG$29</f>
        <v>0.57217930198481592</v>
      </c>
      <c r="AH3807" s="111"/>
      <c r="AI3807" s="28"/>
      <c r="AJ3807" s="96">
        <f ca="1">F_GAMMA*AJ$29</f>
        <v>0.53183282018848232</v>
      </c>
      <c r="AK3807" s="111"/>
      <c r="AL3807" s="28"/>
      <c r="AM3807" s="96">
        <f ca="1">F_GAMMA*AM$29</f>
        <v>0.47566512503094399</v>
      </c>
      <c r="AN3807" s="111"/>
      <c r="AO3807" s="28"/>
      <c r="AP3807" s="96">
        <f ca="1">F_GAMMA*AP$29</f>
        <v>0.59054158265645496</v>
      </c>
      <c r="AQ3807" s="111"/>
      <c r="AR3807" s="28"/>
      <c r="AS3807" s="96">
        <f ca="1">F_GAMMA*AS$29</f>
        <v>0.3766899554102966</v>
      </c>
      <c r="AT3807" s="111"/>
      <c r="AU3807" s="28"/>
    </row>
    <row r="3808" spans="15:47" x14ac:dyDescent="0.25">
      <c r="O3808" s="2" t="s">
        <v>145</v>
      </c>
      <c r="P3808" s="12"/>
      <c r="Q3808" s="2"/>
      <c r="R3808" s="96">
        <f ca="1">IF(R3803&lt;R3807,R3805,R3806)</f>
        <v>26.850638193308548</v>
      </c>
      <c r="S3808" s="116"/>
      <c r="T3808" s="1"/>
      <c r="U3808" s="96">
        <f ca="1">IF(U3803&lt;U3807,U3805,U3806)</f>
        <v>76.051339154983694</v>
      </c>
      <c r="V3808" s="111"/>
      <c r="W3808" s="28"/>
      <c r="X3808" s="96" t="e">
        <f ca="1">IF(X3803&lt;X3807,X3805,X3806)</f>
        <v>#NUM!</v>
      </c>
      <c r="Y3808" s="111"/>
      <c r="Z3808" s="28"/>
      <c r="AA3808" s="96">
        <f ca="1">IF(AA3803&lt;AA3807,AA3805,AA3806)</f>
        <v>-903.04234012334268</v>
      </c>
      <c r="AB3808" s="111"/>
      <c r="AC3808" s="28"/>
      <c r="AD3808" s="96">
        <f ca="1">IF(AD3803&lt;AD3807,AD3805,AD3806)</f>
        <v>-187.96813251753099</v>
      </c>
      <c r="AE3808" s="111"/>
      <c r="AF3808" s="28"/>
      <c r="AG3808" s="96">
        <f ca="1">IF(AG3803&lt;AG3807,AG3805,AG3806)</f>
        <v>-113.63988951342996</v>
      </c>
      <c r="AH3808" s="111"/>
      <c r="AI3808" s="28"/>
      <c r="AJ3808" s="96">
        <f ca="1">IF(AJ3803&lt;AJ3807,AJ3805,AJ3806)</f>
        <v>-86.113154263612216</v>
      </c>
      <c r="AK3808" s="111"/>
      <c r="AL3808" s="28"/>
      <c r="AM3808" s="96">
        <f ca="1">IF(AM3803&lt;AM3807,AM3805,AM3806)</f>
        <v>-77.257844018711666</v>
      </c>
      <c r="AN3808" s="111"/>
      <c r="AO3808" s="28"/>
      <c r="AP3808" s="96">
        <f ca="1">IF(AP3803&lt;AP3807,AP3805,AP3806)</f>
        <v>-67.118558012613704</v>
      </c>
      <c r="AQ3808" s="111"/>
      <c r="AR3808" s="28"/>
      <c r="AS3808" s="96">
        <f ca="1">IF(AS3803&lt;AS3807,AS3805,AS3806)</f>
        <v>-95.051956756712784</v>
      </c>
      <c r="AT3808" s="111"/>
      <c r="AU3808" s="28"/>
    </row>
    <row r="3809" spans="15:47" x14ac:dyDescent="0.25">
      <c r="O3809" s="13" t="s">
        <v>143</v>
      </c>
      <c r="P3809" s="1"/>
      <c r="Q3809" s="1"/>
      <c r="R3809" s="113"/>
      <c r="S3809" s="106">
        <f ca="1">IF(R3802&lt;=0,Q_max,ABS(R$23-R3808))</f>
        <v>22.120638193308547</v>
      </c>
      <c r="T3809" s="7">
        <f>R3798</f>
        <v>65574.179854592643</v>
      </c>
      <c r="U3809" s="98"/>
      <c r="V3809" s="106">
        <f ca="1">IF(U3802&lt;=0,Q_max,ABS(U$23-U3808))</f>
        <v>64.4513391549837</v>
      </c>
      <c r="W3809" s="9">
        <f ca="1">U3798</f>
        <v>170203.10231253353</v>
      </c>
      <c r="X3809" s="98"/>
      <c r="Y3809" s="106">
        <f ca="1">IF(X3802&lt;=0,Q_max,ABS(X$23-X3808))</f>
        <v>236393</v>
      </c>
      <c r="Z3809" s="9">
        <f ca="1">X3798</f>
        <v>416764.87764900801</v>
      </c>
      <c r="AA3809" s="98"/>
      <c r="AB3809" s="106">
        <f ca="1">IF(AA3802&lt;=0,Q_max,ABS(AA$23-AA3808))</f>
        <v>236393</v>
      </c>
      <c r="AC3809" s="9">
        <f ca="1">AA3798</f>
        <v>811751.60433680413</v>
      </c>
      <c r="AD3809" s="98"/>
      <c r="AE3809" s="106">
        <f ca="1">IF(AD3802&lt;=0,Q_max,ABS(AD$23-AD3808))</f>
        <v>236393</v>
      </c>
      <c r="AF3809" s="9">
        <f ca="1">AD3798</f>
        <v>1361866.6735756281</v>
      </c>
      <c r="AG3809" s="98"/>
      <c r="AH3809" s="106">
        <f ca="1">IF(AG3802&lt;=0,Q_max,ABS(AG$23-AG3808))</f>
        <v>236393</v>
      </c>
      <c r="AI3809" s="9">
        <f ca="1">AG3798</f>
        <v>1987681.5020774244</v>
      </c>
      <c r="AJ3809" s="98"/>
      <c r="AK3809" s="106">
        <f ca="1">IF(AJ3802&lt;=0,Q_max,ABS(AJ$23-AJ3808))</f>
        <v>236393</v>
      </c>
      <c r="AL3809" s="9">
        <f ca="1">AJ3798</f>
        <v>2652568.6699033035</v>
      </c>
      <c r="AM3809" s="98"/>
      <c r="AN3809" s="106">
        <f ca="1">IF(AM3802&lt;=0,Q_max,ABS(AM$23-AM3808))</f>
        <v>236393</v>
      </c>
      <c r="AO3809" s="9">
        <f ca="1">AM3798</f>
        <v>3236637.8712940379</v>
      </c>
      <c r="AP3809" s="98"/>
      <c r="AQ3809" s="106">
        <f ca="1">IF(AP3802&lt;=0,Q_max,ABS(AP$23-AP3808))</f>
        <v>236393</v>
      </c>
      <c r="AR3809" s="9">
        <f ca="1">AP3798</f>
        <v>3757636.0883472157</v>
      </c>
      <c r="AS3809" s="98"/>
      <c r="AT3809" s="106">
        <f ca="1">IF(AS3802&lt;=0,Q_max,ABS(AS$23-AS3808))</f>
        <v>236393</v>
      </c>
      <c r="AU3809" s="9">
        <f ca="1">AS3798</f>
        <v>4406123.8325905651</v>
      </c>
    </row>
    <row r="3810" spans="15:47" x14ac:dyDescent="0.25">
      <c r="O3810" s="21"/>
      <c r="P3810" s="14"/>
      <c r="Q3810" s="21"/>
      <c r="R3810" s="97"/>
      <c r="S3810" s="106"/>
      <c r="T3810" s="28"/>
      <c r="U3810" s="97"/>
      <c r="V3810" s="111"/>
      <c r="W3810" s="28"/>
      <c r="X3810" s="97"/>
      <c r="Y3810" s="111"/>
      <c r="Z3810" s="28"/>
      <c r="AA3810" s="97"/>
      <c r="AB3810" s="111"/>
      <c r="AC3810" s="28"/>
      <c r="AD3810" s="97"/>
      <c r="AE3810" s="111"/>
      <c r="AF3810" s="28"/>
      <c r="AG3810" s="97"/>
      <c r="AH3810" s="111"/>
      <c r="AI3810" s="28"/>
      <c r="AJ3810" s="97"/>
      <c r="AK3810" s="111"/>
      <c r="AL3810" s="28"/>
      <c r="AM3810" s="97"/>
      <c r="AN3810" s="111"/>
      <c r="AO3810" s="28"/>
      <c r="AP3810" s="97"/>
      <c r="AQ3810" s="111"/>
      <c r="AR3810" s="28"/>
      <c r="AS3810" s="97"/>
      <c r="AT3810" s="111"/>
      <c r="AU3810" s="28"/>
    </row>
    <row r="3811" spans="15:47" x14ac:dyDescent="0.25">
      <c r="O3811" s="1"/>
      <c r="P3811" s="1"/>
      <c r="Q3811" s="1"/>
      <c r="R3811" s="98"/>
      <c r="S3811" s="108" t="s">
        <v>137</v>
      </c>
      <c r="T3811" s="26" t="s">
        <v>146</v>
      </c>
      <c r="U3811" s="98"/>
      <c r="V3811" s="108" t="s">
        <v>137</v>
      </c>
      <c r="W3811" s="26" t="s">
        <v>146</v>
      </c>
      <c r="X3811" s="98"/>
      <c r="Y3811" s="108" t="s">
        <v>137</v>
      </c>
      <c r="Z3811" s="26" t="s">
        <v>146</v>
      </c>
      <c r="AA3811" s="98"/>
      <c r="AB3811" s="108" t="s">
        <v>137</v>
      </c>
      <c r="AC3811" s="26" t="s">
        <v>146</v>
      </c>
      <c r="AD3811" s="98"/>
      <c r="AE3811" s="108" t="s">
        <v>137</v>
      </c>
      <c r="AF3811" s="26" t="s">
        <v>146</v>
      </c>
      <c r="AG3811" s="98"/>
      <c r="AH3811" s="108" t="s">
        <v>137</v>
      </c>
      <c r="AI3811" s="26" t="s">
        <v>146</v>
      </c>
      <c r="AJ3811" s="98"/>
      <c r="AK3811" s="108" t="s">
        <v>137</v>
      </c>
      <c r="AL3811" s="26" t="s">
        <v>146</v>
      </c>
      <c r="AM3811" s="98"/>
      <c r="AN3811" s="108" t="s">
        <v>137</v>
      </c>
      <c r="AO3811" s="26" t="s">
        <v>146</v>
      </c>
      <c r="AP3811" s="98"/>
      <c r="AQ3811" s="108" t="s">
        <v>137</v>
      </c>
      <c r="AR3811" s="26" t="s">
        <v>146</v>
      </c>
      <c r="AS3811" s="98"/>
      <c r="AT3811" s="108" t="s">
        <v>137</v>
      </c>
      <c r="AU3811" s="26" t="s">
        <v>146</v>
      </c>
    </row>
    <row r="3812" spans="15:47" ht="13.8" x14ac:dyDescent="0.25">
      <c r="O3812" s="20" t="s">
        <v>136</v>
      </c>
      <c r="P3812" s="1"/>
      <c r="Q3812" s="1"/>
      <c r="R3812" s="96">
        <f>R3798*1.02</f>
        <v>66885.663451684493</v>
      </c>
      <c r="S3812" s="109" t="s">
        <v>144</v>
      </c>
      <c r="T3812" s="23" t="s">
        <v>147</v>
      </c>
      <c r="U3812" s="96">
        <f ca="1">U3798*1.01</f>
        <v>171905.13333565887</v>
      </c>
      <c r="V3812" s="109" t="s">
        <v>144</v>
      </c>
      <c r="W3812" s="23" t="s">
        <v>147</v>
      </c>
      <c r="X3812" s="96">
        <f ca="1">X3798*1.01</f>
        <v>420932.52642549807</v>
      </c>
      <c r="Y3812" s="109" t="s">
        <v>144</v>
      </c>
      <c r="Z3812" s="23" t="s">
        <v>147</v>
      </c>
      <c r="AA3812" s="96">
        <f ca="1">AA3798*1.01</f>
        <v>819869.12038017216</v>
      </c>
      <c r="AB3812" s="109" t="s">
        <v>144</v>
      </c>
      <c r="AC3812" s="23" t="s">
        <v>147</v>
      </c>
      <c r="AD3812" s="96">
        <f ca="1">AD3798*1.01</f>
        <v>1375485.3403113843</v>
      </c>
      <c r="AE3812" s="109" t="s">
        <v>144</v>
      </c>
      <c r="AF3812" s="23" t="s">
        <v>147</v>
      </c>
      <c r="AG3812" s="96">
        <f ca="1">AG3798*1.01</f>
        <v>2007558.3170981987</v>
      </c>
      <c r="AH3812" s="109" t="s">
        <v>144</v>
      </c>
      <c r="AI3812" s="23" t="s">
        <v>147</v>
      </c>
      <c r="AJ3812" s="96">
        <f ca="1">AJ3798*1.01</f>
        <v>2679094.3566023367</v>
      </c>
      <c r="AK3812" s="109" t="s">
        <v>144</v>
      </c>
      <c r="AL3812" s="23" t="s">
        <v>147</v>
      </c>
      <c r="AM3812" s="96">
        <f ca="1">AM3798*1.01</f>
        <v>3269004.2500069784</v>
      </c>
      <c r="AN3812" s="109" t="s">
        <v>144</v>
      </c>
      <c r="AO3812" s="23" t="s">
        <v>147</v>
      </c>
      <c r="AP3812" s="96">
        <f ca="1">AP3798*1.01</f>
        <v>3795212.4492306877</v>
      </c>
      <c r="AQ3812" s="109" t="s">
        <v>144</v>
      </c>
      <c r="AR3812" s="23" t="s">
        <v>147</v>
      </c>
      <c r="AS3812" s="96">
        <f ca="1">AS3798*1.01</f>
        <v>4450185.0709164711</v>
      </c>
      <c r="AT3812" s="109" t="s">
        <v>144</v>
      </c>
      <c r="AU3812" s="23" t="s">
        <v>147</v>
      </c>
    </row>
    <row r="3813" spans="15:47" x14ac:dyDescent="0.25">
      <c r="O3813" s="1"/>
      <c r="P3813" s="1"/>
      <c r="Q3813" s="1"/>
      <c r="R3813" s="98"/>
      <c r="S3813" s="107"/>
      <c r="T3813" s="1"/>
      <c r="U3813" s="47"/>
      <c r="V3813" s="107"/>
      <c r="W3813" s="1"/>
      <c r="X3813" s="47"/>
      <c r="Y3813" s="107"/>
      <c r="Z3813" s="1"/>
      <c r="AA3813" s="47"/>
      <c r="AB3813" s="107"/>
      <c r="AC3813" s="1"/>
      <c r="AD3813" s="47"/>
      <c r="AE3813" s="107"/>
      <c r="AF3813" s="1"/>
      <c r="AG3813" s="47"/>
      <c r="AH3813" s="107"/>
      <c r="AI3813" s="1"/>
      <c r="AJ3813" s="47"/>
      <c r="AK3813" s="107"/>
      <c r="AL3813" s="1"/>
      <c r="AM3813" s="47"/>
      <c r="AN3813" s="107"/>
      <c r="AO3813" s="1"/>
      <c r="AP3813" s="47"/>
      <c r="AQ3813" s="107"/>
      <c r="AR3813" s="1"/>
      <c r="AS3813" s="47"/>
      <c r="AT3813" s="107"/>
      <c r="AU3813" s="1"/>
    </row>
    <row r="3814" spans="15:47" x14ac:dyDescent="0.25">
      <c r="O3814" s="8" t="s">
        <v>132</v>
      </c>
      <c r="P3814" s="8"/>
      <c r="Q3814" s="8"/>
      <c r="R3814" s="96">
        <f>P_1_minQ-(R3812^2*R_up)+dpup_minQ</f>
        <v>89.369661354391241</v>
      </c>
      <c r="S3814" s="106"/>
      <c r="T3814" s="22"/>
      <c r="U3814" s="96">
        <f ca="1">P_1_minQ-(U3812^2*R_up)+dpup_minQ</f>
        <v>84.798980019723672</v>
      </c>
      <c r="V3814" s="107"/>
      <c r="W3814" s="1"/>
      <c r="X3814" s="96">
        <f ca="1">P_1_minQ-(X3812^2*R_up)+dpup_minQ</f>
        <v>57.891288281820678</v>
      </c>
      <c r="Y3814" s="107"/>
      <c r="Z3814" s="1"/>
      <c r="AA3814" s="96">
        <f ca="1">P_1_minQ-(AA3812^2*R_up)+dpup_minQ</f>
        <v>-32.328078331812506</v>
      </c>
      <c r="AB3814" s="107"/>
      <c r="AC3814" s="1"/>
      <c r="AD3814" s="96">
        <f ca="1">P_1_minQ-(AD3812^2*R_up)+dpup_minQ</f>
        <v>-254.64529870215182</v>
      </c>
      <c r="AE3814" s="107"/>
      <c r="AF3814" s="1"/>
      <c r="AG3814" s="96">
        <f ca="1">P_1_minQ-(AG3812^2*R_up)+dpup_minQ</f>
        <v>-644.37935954997806</v>
      </c>
      <c r="AH3814" s="107"/>
      <c r="AI3814" s="1"/>
      <c r="AJ3814" s="96">
        <f ca="1">P_1_minQ-(AJ3812^2*R_up)+dpup_minQ</f>
        <v>-1218.0011377939002</v>
      </c>
      <c r="AK3814" s="107"/>
      <c r="AL3814" s="1"/>
      <c r="AM3814" s="96">
        <f ca="1">P_1_minQ-(AM3812^2*R_up)+dpup_minQ</f>
        <v>-1857.5259171579542</v>
      </c>
      <c r="AN3814" s="107"/>
      <c r="AO3814" s="1"/>
      <c r="AP3814" s="96">
        <f ca="1">P_1_minQ-(AP3812^2*R_up)+dpup_minQ</f>
        <v>-2535.0350611718131</v>
      </c>
      <c r="AQ3814" s="107"/>
      <c r="AR3814" s="1"/>
      <c r="AS3814" s="96">
        <f ca="1">P_1_minQ-(AS3812^2*R_up)+dpup_minQ</f>
        <v>-3519.3368673974628</v>
      </c>
      <c r="AT3814" s="107"/>
      <c r="AU3814" s="1"/>
    </row>
    <row r="3815" spans="15:47" x14ac:dyDescent="0.25">
      <c r="O3815" s="8" t="s">
        <v>134</v>
      </c>
      <c r="P3815" s="1"/>
      <c r="Q3815" s="8"/>
      <c r="R3815" s="97">
        <f>P_2_minQ+(R3812^2*R_dn)-dpdn_minQ</f>
        <v>60</v>
      </c>
      <c r="S3815" s="106"/>
      <c r="T3815" s="22"/>
      <c r="U3815" s="97">
        <f ca="1">P_2_minQ+(U3812^2*R_dn)-dpdn_minQ</f>
        <v>60</v>
      </c>
      <c r="V3815" s="107"/>
      <c r="W3815" s="1"/>
      <c r="X3815" s="97">
        <f ca="1">P_2_minQ+(X3812^2*R_dn)-dpdn_minQ</f>
        <v>60</v>
      </c>
      <c r="Y3815" s="107"/>
      <c r="Z3815" s="1"/>
      <c r="AA3815" s="97">
        <f ca="1">P_2_minQ+(AA3812^2*R_dn)-dpdn_minQ</f>
        <v>60</v>
      </c>
      <c r="AB3815" s="107"/>
      <c r="AC3815" s="1"/>
      <c r="AD3815" s="97">
        <f ca="1">P_2_minQ+(AD3812^2*R_dn)-dpdn_minQ</f>
        <v>60</v>
      </c>
      <c r="AE3815" s="107"/>
      <c r="AF3815" s="1"/>
      <c r="AG3815" s="97">
        <f ca="1">P_2_minQ+(AG3812^2*R_dn)-dpdn_minQ</f>
        <v>60</v>
      </c>
      <c r="AH3815" s="107"/>
      <c r="AI3815" s="1"/>
      <c r="AJ3815" s="97">
        <f ca="1">P_2_minQ+(AJ3812^2*R_dn)-dpdn_minQ</f>
        <v>60</v>
      </c>
      <c r="AK3815" s="107"/>
      <c r="AL3815" s="1"/>
      <c r="AM3815" s="97">
        <f ca="1">P_2_minQ+(AM3812^2*R_dn)-dpdn_minQ</f>
        <v>60</v>
      </c>
      <c r="AN3815" s="107"/>
      <c r="AO3815" s="1"/>
      <c r="AP3815" s="97">
        <f ca="1">P_2_minQ+(AP3812^2*R_dn)-dpdn_minQ</f>
        <v>60</v>
      </c>
      <c r="AQ3815" s="107"/>
      <c r="AR3815" s="1"/>
      <c r="AS3815" s="97">
        <f ca="1">P_2_minQ+(AS3812^2*R_dn)-dpdn_minQ</f>
        <v>60</v>
      </c>
      <c r="AT3815" s="107"/>
      <c r="AU3815" s="1"/>
    </row>
    <row r="3816" spans="15:47" x14ac:dyDescent="0.25">
      <c r="O3816" s="8" t="s">
        <v>138</v>
      </c>
      <c r="P3816" s="1"/>
      <c r="Q3816" s="8"/>
      <c r="R3816" s="97">
        <f>R3814-R3815</f>
        <v>29.369661354391241</v>
      </c>
      <c r="S3816" s="106"/>
      <c r="T3816" s="22"/>
      <c r="U3816" s="97">
        <f ca="1">U3814-U3815</f>
        <v>24.798980019723672</v>
      </c>
      <c r="V3816" s="110"/>
      <c r="W3816" s="25"/>
      <c r="X3816" s="97">
        <f ca="1">X3814-X3815</f>
        <v>-2.1087117181793218</v>
      </c>
      <c r="Y3816" s="110"/>
      <c r="Z3816" s="25"/>
      <c r="AA3816" s="97">
        <f ca="1">AA3814-AA3815</f>
        <v>-92.328078331812506</v>
      </c>
      <c r="AB3816" s="110"/>
      <c r="AC3816" s="25"/>
      <c r="AD3816" s="97">
        <f ca="1">AD3814-AD3815</f>
        <v>-314.64529870215182</v>
      </c>
      <c r="AE3816" s="110"/>
      <c r="AF3816" s="25"/>
      <c r="AG3816" s="97">
        <f ca="1">AG3814-AG3815</f>
        <v>-704.37935954997806</v>
      </c>
      <c r="AH3816" s="110"/>
      <c r="AI3816" s="25"/>
      <c r="AJ3816" s="97">
        <f ca="1">AJ3814-AJ3815</f>
        <v>-1278.0011377939002</v>
      </c>
      <c r="AK3816" s="110"/>
      <c r="AL3816" s="25"/>
      <c r="AM3816" s="97">
        <f ca="1">AM3814-AM3815</f>
        <v>-1917.5259171579542</v>
      </c>
      <c r="AN3816" s="110"/>
      <c r="AO3816" s="25"/>
      <c r="AP3816" s="97">
        <f ca="1">AP3814-AP3815</f>
        <v>-2595.0350611718131</v>
      </c>
      <c r="AQ3816" s="110"/>
      <c r="AR3816" s="25"/>
      <c r="AS3816" s="97">
        <f ca="1">AS3814-AS3815</f>
        <v>-3579.3368673974628</v>
      </c>
      <c r="AT3816" s="110"/>
      <c r="AU3816" s="25"/>
    </row>
    <row r="3817" spans="15:47" ht="14.4" x14ac:dyDescent="0.3">
      <c r="O3817" s="2" t="s">
        <v>140</v>
      </c>
      <c r="P3817" s="11"/>
      <c r="Q3817" s="2"/>
      <c r="R3817" s="96">
        <f>R3816/R3814</f>
        <v>0.32863122573472908</v>
      </c>
      <c r="S3817" s="106"/>
      <c r="T3817" s="22"/>
      <c r="U3817" s="96">
        <f ca="1">U3816/U3814</f>
        <v>0.29244431965992512</v>
      </c>
      <c r="V3817" s="111"/>
      <c r="W3817" s="28"/>
      <c r="X3817" s="96">
        <f ca="1">X3816/X3814</f>
        <v>-3.6425372120134879E-2</v>
      </c>
      <c r="Y3817" s="111"/>
      <c r="Z3817" s="28"/>
      <c r="AA3817" s="96">
        <f ca="1">AA3816/AA3814</f>
        <v>2.8559717464231977</v>
      </c>
      <c r="AB3817" s="111"/>
      <c r="AC3817" s="28"/>
      <c r="AD3817" s="96">
        <f ca="1">AD3816/AD3814</f>
        <v>1.2356218642394006</v>
      </c>
      <c r="AE3817" s="111"/>
      <c r="AF3817" s="28"/>
      <c r="AG3817" s="96">
        <f ca="1">AG3816/AG3814</f>
        <v>1.0931128520967879</v>
      </c>
      <c r="AH3817" s="111"/>
      <c r="AI3817" s="28"/>
      <c r="AJ3817" s="96">
        <f ca="1">AJ3816/AJ3814</f>
        <v>1.0492610377266762</v>
      </c>
      <c r="AK3817" s="111"/>
      <c r="AL3817" s="28"/>
      <c r="AM3817" s="96">
        <f ca="1">AM3816/AM3814</f>
        <v>1.0323010297976358</v>
      </c>
      <c r="AN3817" s="111"/>
      <c r="AO3817" s="28"/>
      <c r="AP3817" s="96">
        <f ca="1">AP3816/AP3814</f>
        <v>1.0236683117006931</v>
      </c>
      <c r="AQ3817" s="111"/>
      <c r="AR3817" s="28"/>
      <c r="AS3817" s="96">
        <f ca="1">AS3816/AS3814</f>
        <v>1.0170486663427505</v>
      </c>
      <c r="AT3817" s="111"/>
      <c r="AU3817" s="28"/>
    </row>
    <row r="3818" spans="15:47" x14ac:dyDescent="0.25">
      <c r="O3818" s="2" t="s">
        <v>21</v>
      </c>
      <c r="P3818" s="8">
        <v>12</v>
      </c>
      <c r="Q3818" s="2"/>
      <c r="R3818" s="96">
        <f ca="1">1-R3817/(3*F_GAMMA*R$29)</f>
        <v>0.82884584522075799</v>
      </c>
      <c r="S3818" s="106"/>
      <c r="T3818" s="22"/>
      <c r="U3818" s="96">
        <f ca="1">1-U3817/(3*F_GAMMA*U$29)</f>
        <v>0.84772770097884131</v>
      </c>
      <c r="V3818" s="111"/>
      <c r="W3818" s="28"/>
      <c r="X3818" s="96">
        <f ca="1">1-X3817/(3*F_GAMMA*X$29)</f>
        <v>1.019146899556056</v>
      </c>
      <c r="Y3818" s="111"/>
      <c r="Z3818" s="28"/>
      <c r="AA3818" s="96">
        <f ca="1">1-AA3817/(3*F_GAMMA*AA$29)</f>
        <v>-0.52239543541245936</v>
      </c>
      <c r="AB3818" s="111"/>
      <c r="AC3818" s="28"/>
      <c r="AD3818" s="96">
        <f ca="1">1-AD3817/(3*F_GAMMA*AD$29)</f>
        <v>0.32091554405404299</v>
      </c>
      <c r="AE3818" s="111"/>
      <c r="AF3818" s="28"/>
      <c r="AG3818" s="96">
        <f ca="1">1-AG3817/(3*F_GAMMA*AG$29)</f>
        <v>0.3631874668745031</v>
      </c>
      <c r="AH3818" s="111"/>
      <c r="AI3818" s="28"/>
      <c r="AJ3818" s="96">
        <f ca="1">1-AJ3817/(3*F_GAMMA*AJ$29)</f>
        <v>0.3423616107064017</v>
      </c>
      <c r="AK3818" s="111"/>
      <c r="AL3818" s="28"/>
      <c r="AM3818" s="96">
        <f ca="1">1-AM3817/(3*F_GAMMA*AM$29)</f>
        <v>0.27659118745883782</v>
      </c>
      <c r="AN3818" s="111"/>
      <c r="AO3818" s="28"/>
      <c r="AP3818" s="96">
        <f ca="1">1-AP3817/(3*F_GAMMA*AP$29)</f>
        <v>0.42218671709456468</v>
      </c>
      <c r="AQ3818" s="111"/>
      <c r="AR3818" s="28"/>
      <c r="AS3818" s="96">
        <f ca="1">1-AS3817/(3*F_GAMMA*AS$29)</f>
        <v>0.10001257733302615</v>
      </c>
      <c r="AT3818" s="111"/>
      <c r="AU3818" s="28"/>
    </row>
    <row r="3819" spans="15:47" x14ac:dyDescent="0.25">
      <c r="O3819" s="2" t="s">
        <v>57</v>
      </c>
      <c r="P3819" s="143">
        <v>7</v>
      </c>
      <c r="Q3819" s="2"/>
      <c r="R3819" s="96">
        <f ca="1">(R3812/(N_9*R$27*R3814*R3818))*SQRT(M*'Valve Sizing'!$W$6*'Valve Sizing'!$G$8/R3817)</f>
        <v>27.403168621482589</v>
      </c>
      <c r="S3819" s="107"/>
      <c r="T3819" s="22"/>
      <c r="U3819" s="96">
        <f ca="1">(U3812/(N_9*U$27*U3814*U3818))*SQRT(M*'Valve Sizing'!$W$6*'Valve Sizing'!$G$8/U3817)</f>
        <v>76.982346614936915</v>
      </c>
      <c r="V3819" s="111"/>
      <c r="W3819" s="28"/>
      <c r="X3819" s="96" t="e">
        <f ca="1">(X3812/(N_9*X$27*X3814*X3818))*SQRT(M*'Valve Sizing'!$W$6*'Valve Sizing'!$G$8/X3817)</f>
        <v>#NUM!</v>
      </c>
      <c r="Y3819" s="111"/>
      <c r="Z3819" s="28"/>
      <c r="AA3819" s="96">
        <f ca="1">(AA3812/(N_9*AA$27*AA3814*AA3818))*SQRT(M*'Valve Sizing'!$W$6*'Valve Sizing'!$G$8/AA3817)</f>
        <v>504.22854730818915</v>
      </c>
      <c r="AB3819" s="111"/>
      <c r="AC3819" s="28"/>
      <c r="AD3819" s="96">
        <f ca="1">(AD3812/(N_9*AD$27*AD3814*AD3818))*SQRT(M*'Valve Sizing'!$W$6*'Valve Sizing'!$G$8/AD3817)</f>
        <v>-269.07464998976076</v>
      </c>
      <c r="AE3819" s="111"/>
      <c r="AF3819" s="28"/>
      <c r="AG3819" s="96">
        <f ca="1">(AG3812/(N_9*AG$27*AG3814*AG3818))*SQRT(M*'Valve Sizing'!$W$6*'Valve Sizing'!$G$8/AG3817)</f>
        <v>-149.07833555265245</v>
      </c>
      <c r="AH3819" s="111"/>
      <c r="AI3819" s="28"/>
      <c r="AJ3819" s="96">
        <f ca="1">(AJ3812/(N_9*AJ$27*AJ3814*AJ3818))*SQRT(M*'Valve Sizing'!$W$6*'Valve Sizing'!$G$8/AJ3817)</f>
        <v>-118.08313103541528</v>
      </c>
      <c r="AK3819" s="111"/>
      <c r="AL3819" s="28"/>
      <c r="AM3819" s="96">
        <f ca="1">(AM3812/(N_9*AM$27*AM3814*AM3818))*SQRT(M*'Valve Sizing'!$W$6*'Valve Sizing'!$G$8/AM3817)</f>
        <v>-125.09275441482153</v>
      </c>
      <c r="AN3819" s="111"/>
      <c r="AO3819" s="28"/>
      <c r="AP3819" s="96">
        <f ca="1">(AP3812/(N_9*AP$27*AP3814*AP3818))*SQRT(M*'Valve Sizing'!$W$6*'Valve Sizing'!$G$8/AP3817)</f>
        <v>-79.685162681489984</v>
      </c>
      <c r="AQ3819" s="111"/>
      <c r="AR3819" s="28"/>
      <c r="AS3819" s="96">
        <f ca="1">(AS3812/(N_9*AS$27*AS3814*AS3818))*SQRT(M*'Valve Sizing'!$W$6*'Valve Sizing'!$G$8/AS3817)</f>
        <v>-381.77571899069841</v>
      </c>
      <c r="AT3819" s="111"/>
      <c r="AU3819" s="28"/>
    </row>
    <row r="3820" spans="15:47" x14ac:dyDescent="0.25">
      <c r="O3820" s="2" t="s">
        <v>59</v>
      </c>
      <c r="P3820" s="143">
        <v>7</v>
      </c>
      <c r="Q3820" s="2"/>
      <c r="R3820" s="96">
        <f ca="1">(R3812/(N_9*R$27*R3814*0.667))*SQRT(M*'Valve Sizing'!$W$6*'Valve Sizing'!$G$8/R3821)</f>
        <v>24.400743766807359</v>
      </c>
      <c r="S3820" s="107"/>
      <c r="T3820" s="22"/>
      <c r="U3820" s="96">
        <f ca="1">(U3812/(N_9*U$27*U3814*0.667))*SQRT(M*'Valve Sizing'!$W$6*'Valve Sizing'!$G$8/U3821)</f>
        <v>66.129123418741003</v>
      </c>
      <c r="V3820" s="111"/>
      <c r="W3820" s="28"/>
      <c r="X3820" s="96">
        <f ca="1">(X3812/(N_9*X$27*X3814*0.667))*SQRT(M*'Valve Sizing'!$W$6*'Valve Sizing'!$G$8/X3821)</f>
        <v>238.86405149207349</v>
      </c>
      <c r="Y3820" s="111"/>
      <c r="Z3820" s="28"/>
      <c r="AA3820" s="96">
        <f ca="1">(AA3812/(N_9*AA$27*AA3814*0.667))*SQRT(M*'Valve Sizing'!$W$6*'Valve Sizing'!$G$8/AA3821)</f>
        <v>-843.96674329508267</v>
      </c>
      <c r="AB3820" s="111"/>
      <c r="AC3820" s="28"/>
      <c r="AD3820" s="96">
        <f ca="1">(AD3812/(N_9*AD$27*AD3814*0.667))*SQRT(M*'Valve Sizing'!$W$6*'Valve Sizing'!$G$8/AD3821)</f>
        <v>-184.78223922395782</v>
      </c>
      <c r="AE3820" s="111"/>
      <c r="AF3820" s="28"/>
      <c r="AG3820" s="96">
        <f ca="1">(AG3812/(N_9*AG$27*AG3814*0.667))*SQRT(M*'Valve Sizing'!$W$6*'Valve Sizing'!$G$8/AG3821)</f>
        <v>-112.19822412346677</v>
      </c>
      <c r="AH3820" s="111"/>
      <c r="AI3820" s="28"/>
      <c r="AJ3820" s="96">
        <f ca="1">(AJ3812/(N_9*AJ$27*AJ3814*0.667))*SQRT(M*'Valve Sizing'!$W$6*'Valve Sizing'!$G$8/AJ3821)</f>
        <v>-85.133657725633256</v>
      </c>
      <c r="AK3820" s="111"/>
      <c r="AL3820" s="28"/>
      <c r="AM3820" s="96">
        <f ca="1">(AM3812/(N_9*AM$27*AM3814*0.667))*SQRT(M*'Valve Sizing'!$W$6*'Valve Sizing'!$G$8/AM3821)</f>
        <v>-76.418267090974624</v>
      </c>
      <c r="AN3820" s="111"/>
      <c r="AO3820" s="28"/>
      <c r="AP3820" s="96">
        <f ca="1">(AP3812/(N_9*AP$27*AP3814*0.667))*SQRT(M*'Valve Sizing'!$W$6*'Valve Sizing'!$G$8/AP3821)</f>
        <v>-66.406498774866293</v>
      </c>
      <c r="AQ3820" s="111"/>
      <c r="AR3820" s="28"/>
      <c r="AS3820" s="96">
        <f ca="1">(AS3812/(N_9*AS$27*AS3814*0.667))*SQRT(M*'Valve Sizing'!$W$6*'Valve Sizing'!$G$8/AS3821)</f>
        <v>-94.062374212292454</v>
      </c>
      <c r="AT3820" s="111"/>
      <c r="AU3820" s="28"/>
    </row>
    <row r="3821" spans="15:47" ht="15.6" x14ac:dyDescent="0.35">
      <c r="O3821" s="2" t="s">
        <v>68</v>
      </c>
      <c r="P3821" s="143">
        <v>10</v>
      </c>
      <c r="Q3821" s="2"/>
      <c r="R3821" s="96">
        <f ca="1">F_GAMMA*R$29</f>
        <v>0.64002969751372984</v>
      </c>
      <c r="S3821" s="107"/>
      <c r="T3821" s="1"/>
      <c r="U3821" s="96">
        <f ca="1">F_GAMMA*U$29</f>
        <v>0.64017842058782071</v>
      </c>
      <c r="V3821" s="111"/>
      <c r="W3821" s="28"/>
      <c r="X3821" s="96">
        <f ca="1">F_GAMMA*X$29</f>
        <v>0.63413873724904268</v>
      </c>
      <c r="Y3821" s="111"/>
      <c r="Z3821" s="28"/>
      <c r="AA3821" s="96">
        <f ca="1">F_GAMMA*AA$29</f>
        <v>0.62532411750377137</v>
      </c>
      <c r="AB3821" s="111"/>
      <c r="AC3821" s="28"/>
      <c r="AD3821" s="96">
        <f ca="1">F_GAMMA*AD$29</f>
        <v>0.60651359509139569</v>
      </c>
      <c r="AE3821" s="111"/>
      <c r="AF3821" s="28"/>
      <c r="AG3821" s="96">
        <f ca="1">F_GAMMA*AG$29</f>
        <v>0.57217930198481592</v>
      </c>
      <c r="AH3821" s="111"/>
      <c r="AI3821" s="28"/>
      <c r="AJ3821" s="96">
        <f ca="1">F_GAMMA*AJ$29</f>
        <v>0.53183282018848232</v>
      </c>
      <c r="AK3821" s="111"/>
      <c r="AL3821" s="28"/>
      <c r="AM3821" s="96">
        <f ca="1">F_GAMMA*AM$29</f>
        <v>0.47566512503094399</v>
      </c>
      <c r="AN3821" s="111"/>
      <c r="AO3821" s="28"/>
      <c r="AP3821" s="96">
        <f ca="1">F_GAMMA*AP$29</f>
        <v>0.59054158265645496</v>
      </c>
      <c r="AQ3821" s="111"/>
      <c r="AR3821" s="28"/>
      <c r="AS3821" s="96">
        <f ca="1">F_GAMMA*AS$29</f>
        <v>0.3766899554102966</v>
      </c>
      <c r="AT3821" s="111"/>
      <c r="AU3821" s="28"/>
    </row>
    <row r="3822" spans="15:47" x14ac:dyDescent="0.25">
      <c r="O3822" s="2" t="s">
        <v>145</v>
      </c>
      <c r="P3822" s="12"/>
      <c r="Q3822" s="2"/>
      <c r="R3822" s="96">
        <f ca="1">IF(R3817&lt;R3821,R3819,R3820)</f>
        <v>27.403168621482589</v>
      </c>
      <c r="S3822" s="116"/>
      <c r="T3822" s="1"/>
      <c r="U3822" s="96">
        <f ca="1">IF(U3817&lt;U3821,U3819,U3820)</f>
        <v>76.982346614936915</v>
      </c>
      <c r="V3822" s="111"/>
      <c r="W3822" s="28"/>
      <c r="X3822" s="96" t="e">
        <f ca="1">IF(X3817&lt;X3821,X3819,X3820)</f>
        <v>#NUM!</v>
      </c>
      <c r="Y3822" s="111"/>
      <c r="Z3822" s="28"/>
      <c r="AA3822" s="96">
        <f ca="1">IF(AA3817&lt;AA3821,AA3819,AA3820)</f>
        <v>-843.96674329508267</v>
      </c>
      <c r="AB3822" s="111"/>
      <c r="AC3822" s="28"/>
      <c r="AD3822" s="96">
        <f ca="1">IF(AD3817&lt;AD3821,AD3819,AD3820)</f>
        <v>-184.78223922395782</v>
      </c>
      <c r="AE3822" s="111"/>
      <c r="AF3822" s="28"/>
      <c r="AG3822" s="96">
        <f ca="1">IF(AG3817&lt;AG3821,AG3819,AG3820)</f>
        <v>-112.19822412346677</v>
      </c>
      <c r="AH3822" s="111"/>
      <c r="AI3822" s="28"/>
      <c r="AJ3822" s="96">
        <f ca="1">IF(AJ3817&lt;AJ3821,AJ3819,AJ3820)</f>
        <v>-85.133657725633256</v>
      </c>
      <c r="AK3822" s="111"/>
      <c r="AL3822" s="28"/>
      <c r="AM3822" s="96">
        <f ca="1">IF(AM3817&lt;AM3821,AM3819,AM3820)</f>
        <v>-76.418267090974624</v>
      </c>
      <c r="AN3822" s="111"/>
      <c r="AO3822" s="28"/>
      <c r="AP3822" s="96">
        <f ca="1">IF(AP3817&lt;AP3821,AP3819,AP3820)</f>
        <v>-66.406498774866293</v>
      </c>
      <c r="AQ3822" s="111"/>
      <c r="AR3822" s="28"/>
      <c r="AS3822" s="96">
        <f ca="1">IF(AS3817&lt;AS3821,AS3819,AS3820)</f>
        <v>-94.062374212292454</v>
      </c>
      <c r="AT3822" s="111"/>
      <c r="AU3822" s="28"/>
    </row>
    <row r="3823" spans="15:47" x14ac:dyDescent="0.25">
      <c r="O3823" s="13" t="s">
        <v>143</v>
      </c>
      <c r="P3823" s="1"/>
      <c r="Q3823" s="1"/>
      <c r="R3823" s="113"/>
      <c r="S3823" s="106">
        <f ca="1">IF(R3816&lt;=0,Q_max,ABS(R$23-R3822))</f>
        <v>22.673168621482588</v>
      </c>
      <c r="T3823" s="7">
        <f>R3812</f>
        <v>66885.663451684493</v>
      </c>
      <c r="U3823" s="98"/>
      <c r="V3823" s="106">
        <f ca="1">IF(U3816&lt;=0,Q_max,ABS(U$23-U3822))</f>
        <v>65.382346614936921</v>
      </c>
      <c r="W3823" s="9">
        <f ca="1">U3812</f>
        <v>171905.13333565887</v>
      </c>
      <c r="X3823" s="98"/>
      <c r="Y3823" s="106">
        <f ca="1">IF(X3816&lt;=0,Q_max,ABS(X$23-X3822))</f>
        <v>236393</v>
      </c>
      <c r="Z3823" s="9">
        <f ca="1">X3812</f>
        <v>420932.52642549807</v>
      </c>
      <c r="AA3823" s="98"/>
      <c r="AB3823" s="106">
        <f ca="1">IF(AA3816&lt;=0,Q_max,ABS(AA$23-AA3822))</f>
        <v>236393</v>
      </c>
      <c r="AC3823" s="9">
        <f ca="1">AA3812</f>
        <v>819869.12038017216</v>
      </c>
      <c r="AD3823" s="98"/>
      <c r="AE3823" s="106">
        <f ca="1">IF(AD3816&lt;=0,Q_max,ABS(AD$23-AD3822))</f>
        <v>236393</v>
      </c>
      <c r="AF3823" s="9">
        <f ca="1">AD3812</f>
        <v>1375485.3403113843</v>
      </c>
      <c r="AG3823" s="98"/>
      <c r="AH3823" s="106">
        <f ca="1">IF(AG3816&lt;=0,Q_max,ABS(AG$23-AG3822))</f>
        <v>236393</v>
      </c>
      <c r="AI3823" s="9">
        <f ca="1">AG3812</f>
        <v>2007558.3170981987</v>
      </c>
      <c r="AJ3823" s="98"/>
      <c r="AK3823" s="106">
        <f ca="1">IF(AJ3816&lt;=0,Q_max,ABS(AJ$23-AJ3822))</f>
        <v>236393</v>
      </c>
      <c r="AL3823" s="9">
        <f ca="1">AJ3812</f>
        <v>2679094.3566023367</v>
      </c>
      <c r="AM3823" s="98"/>
      <c r="AN3823" s="106">
        <f ca="1">IF(AM3816&lt;=0,Q_max,ABS(AM$23-AM3822))</f>
        <v>236393</v>
      </c>
      <c r="AO3823" s="9">
        <f ca="1">AM3812</f>
        <v>3269004.2500069784</v>
      </c>
      <c r="AP3823" s="98"/>
      <c r="AQ3823" s="106">
        <f ca="1">IF(AP3816&lt;=0,Q_max,ABS(AP$23-AP3822))</f>
        <v>236393</v>
      </c>
      <c r="AR3823" s="9">
        <f ca="1">AP3812</f>
        <v>3795212.4492306877</v>
      </c>
      <c r="AS3823" s="98"/>
      <c r="AT3823" s="106">
        <f ca="1">IF(AS3816&lt;=0,Q_max,ABS(AS$23-AS3822))</f>
        <v>236393</v>
      </c>
      <c r="AU3823" s="9">
        <f ca="1">AS3812</f>
        <v>4450185.0709164711</v>
      </c>
    </row>
    <row r="3824" spans="15:47" x14ac:dyDescent="0.25">
      <c r="O3824" s="21"/>
      <c r="P3824" s="14"/>
      <c r="Q3824" s="21"/>
      <c r="R3824" s="97"/>
      <c r="S3824" s="106"/>
      <c r="T3824" s="28"/>
      <c r="U3824" s="97"/>
      <c r="V3824" s="111"/>
      <c r="W3824" s="28"/>
      <c r="X3824" s="97"/>
      <c r="Y3824" s="111"/>
      <c r="Z3824" s="28"/>
      <c r="AA3824" s="97"/>
      <c r="AB3824" s="111"/>
      <c r="AC3824" s="28"/>
      <c r="AD3824" s="97"/>
      <c r="AE3824" s="111"/>
      <c r="AF3824" s="28"/>
      <c r="AG3824" s="97"/>
      <c r="AH3824" s="111"/>
      <c r="AI3824" s="28"/>
      <c r="AJ3824" s="97"/>
      <c r="AK3824" s="111"/>
      <c r="AL3824" s="28"/>
      <c r="AM3824" s="97"/>
      <c r="AN3824" s="111"/>
      <c r="AO3824" s="28"/>
      <c r="AP3824" s="97"/>
      <c r="AQ3824" s="111"/>
      <c r="AR3824" s="28"/>
      <c r="AS3824" s="97"/>
      <c r="AT3824" s="111"/>
      <c r="AU3824" s="28"/>
    </row>
    <row r="3825" spans="15:47" x14ac:dyDescent="0.25">
      <c r="O3825" s="1"/>
      <c r="P3825" s="1"/>
      <c r="Q3825" s="1"/>
      <c r="R3825" s="98"/>
      <c r="S3825" s="108" t="s">
        <v>137</v>
      </c>
      <c r="T3825" s="26" t="s">
        <v>146</v>
      </c>
      <c r="U3825" s="98"/>
      <c r="V3825" s="108" t="s">
        <v>137</v>
      </c>
      <c r="W3825" s="26" t="s">
        <v>146</v>
      </c>
      <c r="X3825" s="98"/>
      <c r="Y3825" s="108" t="s">
        <v>137</v>
      </c>
      <c r="Z3825" s="26" t="s">
        <v>146</v>
      </c>
      <c r="AA3825" s="98"/>
      <c r="AB3825" s="108" t="s">
        <v>137</v>
      </c>
      <c r="AC3825" s="26" t="s">
        <v>146</v>
      </c>
      <c r="AD3825" s="98"/>
      <c r="AE3825" s="108" t="s">
        <v>137</v>
      </c>
      <c r="AF3825" s="26" t="s">
        <v>146</v>
      </c>
      <c r="AG3825" s="98"/>
      <c r="AH3825" s="108" t="s">
        <v>137</v>
      </c>
      <c r="AI3825" s="26" t="s">
        <v>146</v>
      </c>
      <c r="AJ3825" s="98"/>
      <c r="AK3825" s="108" t="s">
        <v>137</v>
      </c>
      <c r="AL3825" s="26" t="s">
        <v>146</v>
      </c>
      <c r="AM3825" s="98"/>
      <c r="AN3825" s="108" t="s">
        <v>137</v>
      </c>
      <c r="AO3825" s="26" t="s">
        <v>146</v>
      </c>
      <c r="AP3825" s="98"/>
      <c r="AQ3825" s="108" t="s">
        <v>137</v>
      </c>
      <c r="AR3825" s="26" t="s">
        <v>146</v>
      </c>
      <c r="AS3825" s="98"/>
      <c r="AT3825" s="108" t="s">
        <v>137</v>
      </c>
      <c r="AU3825" s="26" t="s">
        <v>146</v>
      </c>
    </row>
    <row r="3826" spans="15:47" ht="13.8" x14ac:dyDescent="0.25">
      <c r="O3826" s="20" t="s">
        <v>136</v>
      </c>
      <c r="P3826" s="1"/>
      <c r="Q3826" s="1"/>
      <c r="R3826" s="96">
        <f>R3812*1.02</f>
        <v>68223.376720718181</v>
      </c>
      <c r="S3826" s="109" t="s">
        <v>144</v>
      </c>
      <c r="T3826" s="23" t="s">
        <v>147</v>
      </c>
      <c r="U3826" s="96">
        <f ca="1">U3812*1.01</f>
        <v>173624.18466901546</v>
      </c>
      <c r="V3826" s="109" t="s">
        <v>144</v>
      </c>
      <c r="W3826" s="23" t="s">
        <v>147</v>
      </c>
      <c r="X3826" s="96">
        <f ca="1">X3812*1.01</f>
        <v>425141.85168975306</v>
      </c>
      <c r="Y3826" s="109" t="s">
        <v>144</v>
      </c>
      <c r="Z3826" s="23" t="s">
        <v>147</v>
      </c>
      <c r="AA3826" s="96">
        <f ca="1">AA3812*1.01</f>
        <v>828067.81158397393</v>
      </c>
      <c r="AB3826" s="109" t="s">
        <v>144</v>
      </c>
      <c r="AC3826" s="23" t="s">
        <v>147</v>
      </c>
      <c r="AD3826" s="96">
        <f ca="1">AD3812*1.01</f>
        <v>1389240.1937144981</v>
      </c>
      <c r="AE3826" s="109" t="s">
        <v>144</v>
      </c>
      <c r="AF3826" s="23" t="s">
        <v>147</v>
      </c>
      <c r="AG3826" s="96">
        <f ca="1">AG3812*1.01</f>
        <v>2027633.9002691808</v>
      </c>
      <c r="AH3826" s="109" t="s">
        <v>144</v>
      </c>
      <c r="AI3826" s="23" t="s">
        <v>147</v>
      </c>
      <c r="AJ3826" s="96">
        <f ca="1">AJ3812*1.01</f>
        <v>2705885.3001683601</v>
      </c>
      <c r="AK3826" s="109" t="s">
        <v>144</v>
      </c>
      <c r="AL3826" s="23" t="s">
        <v>147</v>
      </c>
      <c r="AM3826" s="96">
        <f ca="1">AM3812*1.01</f>
        <v>3301694.2925070482</v>
      </c>
      <c r="AN3826" s="109" t="s">
        <v>144</v>
      </c>
      <c r="AO3826" s="23" t="s">
        <v>147</v>
      </c>
      <c r="AP3826" s="96">
        <f ca="1">AP3812*1.01</f>
        <v>3833164.5737229944</v>
      </c>
      <c r="AQ3826" s="109" t="s">
        <v>144</v>
      </c>
      <c r="AR3826" s="23" t="s">
        <v>147</v>
      </c>
      <c r="AS3826" s="96">
        <f ca="1">AS3812*1.01</f>
        <v>4494686.9216256356</v>
      </c>
      <c r="AT3826" s="109" t="s">
        <v>144</v>
      </c>
      <c r="AU3826" s="23" t="s">
        <v>147</v>
      </c>
    </row>
    <row r="3827" spans="15:47" x14ac:dyDescent="0.25">
      <c r="O3827" s="1"/>
      <c r="P3827" s="1"/>
      <c r="Q3827" s="1"/>
      <c r="R3827" s="98"/>
      <c r="S3827" s="107"/>
      <c r="T3827" s="1"/>
      <c r="U3827" s="47"/>
      <c r="V3827" s="107"/>
      <c r="W3827" s="1"/>
      <c r="X3827" s="47"/>
      <c r="Y3827" s="107"/>
      <c r="Z3827" s="1"/>
      <c r="AA3827" s="47"/>
      <c r="AB3827" s="107"/>
      <c r="AC3827" s="1"/>
      <c r="AD3827" s="47"/>
      <c r="AE3827" s="107"/>
      <c r="AF3827" s="1"/>
      <c r="AG3827" s="47"/>
      <c r="AH3827" s="107"/>
      <c r="AI3827" s="1"/>
      <c r="AJ3827" s="47"/>
      <c r="AK3827" s="107"/>
      <c r="AL3827" s="1"/>
      <c r="AM3827" s="47"/>
      <c r="AN3827" s="107"/>
      <c r="AO3827" s="1"/>
      <c r="AP3827" s="47"/>
      <c r="AQ3827" s="107"/>
      <c r="AR3827" s="1"/>
      <c r="AS3827" s="47"/>
      <c r="AT3827" s="107"/>
      <c r="AU3827" s="1"/>
    </row>
    <row r="3828" spans="15:47" x14ac:dyDescent="0.25">
      <c r="O3828" s="8" t="s">
        <v>132</v>
      </c>
      <c r="P3828" s="8"/>
      <c r="Q3828" s="8"/>
      <c r="R3828" s="96">
        <f>P_1_minQ-(R3826^2*R_up)+dpup_minQ</f>
        <v>89.336720035686326</v>
      </c>
      <c r="S3828" s="106"/>
      <c r="T3828" s="22"/>
      <c r="U3828" s="96">
        <f ca="1">P_1_minQ-(U3826^2*R_up)+dpup_minQ</f>
        <v>84.690720203461979</v>
      </c>
      <c r="V3828" s="107"/>
      <c r="W3828" s="1"/>
      <c r="X3828" s="96">
        <f ca="1">P_1_minQ-(X3826^2*R_up)+dpup_minQ</f>
        <v>57.242183861627133</v>
      </c>
      <c r="Y3828" s="107"/>
      <c r="Z3828" s="1"/>
      <c r="AA3828" s="96">
        <f ca="1">P_1_minQ-(AA3826^2*R_up)+dpup_minQ</f>
        <v>-34.790592020940096</v>
      </c>
      <c r="AB3828" s="107"/>
      <c r="AC3828" s="1"/>
      <c r="AD3828" s="96">
        <f ca="1">P_1_minQ-(AD3826^2*R_up)+dpup_minQ</f>
        <v>-261.57638852072319</v>
      </c>
      <c r="AE3828" s="107"/>
      <c r="AF3828" s="1"/>
      <c r="AG3828" s="96">
        <f ca="1">P_1_minQ-(AG3826^2*R_up)+dpup_minQ</f>
        <v>-659.14410399159078</v>
      </c>
      <c r="AH3828" s="107"/>
      <c r="AI3828" s="1"/>
      <c r="AJ3828" s="96">
        <f ca="1">P_1_minQ-(AJ3826^2*R_up)+dpup_minQ</f>
        <v>-1244.295679978216</v>
      </c>
      <c r="AK3828" s="107"/>
      <c r="AL3828" s="1"/>
      <c r="AM3828" s="96">
        <f ca="1">P_1_minQ-(AM3826^2*R_up)+dpup_minQ</f>
        <v>-1896.6749074074869</v>
      </c>
      <c r="AN3828" s="107"/>
      <c r="AO3828" s="1"/>
      <c r="AP3828" s="96">
        <f ca="1">P_1_minQ-(AP3826^2*R_up)+dpup_minQ</f>
        <v>-2587.8019852160246</v>
      </c>
      <c r="AQ3828" s="107"/>
      <c r="AR3828" s="1"/>
      <c r="AS3828" s="96">
        <f ca="1">P_1_minQ-(AS3826^2*R_up)+dpup_minQ</f>
        <v>-3591.8882577468094</v>
      </c>
      <c r="AT3828" s="107"/>
      <c r="AU3828" s="1"/>
    </row>
    <row r="3829" spans="15:47" x14ac:dyDescent="0.25">
      <c r="O3829" s="8" t="s">
        <v>134</v>
      </c>
      <c r="P3829" s="1"/>
      <c r="Q3829" s="8"/>
      <c r="R3829" s="97">
        <f>P_2_minQ+(R3826^2*R_dn)-dpdn_minQ</f>
        <v>60</v>
      </c>
      <c r="S3829" s="106"/>
      <c r="T3829" s="22"/>
      <c r="U3829" s="97">
        <f ca="1">P_2_minQ+(U3826^2*R_dn)-dpdn_minQ</f>
        <v>60</v>
      </c>
      <c r="V3829" s="107"/>
      <c r="W3829" s="1"/>
      <c r="X3829" s="97">
        <f ca="1">P_2_minQ+(X3826^2*R_dn)-dpdn_minQ</f>
        <v>60</v>
      </c>
      <c r="Y3829" s="107"/>
      <c r="Z3829" s="1"/>
      <c r="AA3829" s="97">
        <f ca="1">P_2_minQ+(AA3826^2*R_dn)-dpdn_minQ</f>
        <v>60</v>
      </c>
      <c r="AB3829" s="107"/>
      <c r="AC3829" s="1"/>
      <c r="AD3829" s="97">
        <f ca="1">P_2_minQ+(AD3826^2*R_dn)-dpdn_minQ</f>
        <v>60</v>
      </c>
      <c r="AE3829" s="107"/>
      <c r="AF3829" s="1"/>
      <c r="AG3829" s="97">
        <f ca="1">P_2_minQ+(AG3826^2*R_dn)-dpdn_minQ</f>
        <v>60</v>
      </c>
      <c r="AH3829" s="107"/>
      <c r="AI3829" s="1"/>
      <c r="AJ3829" s="97">
        <f ca="1">P_2_minQ+(AJ3826^2*R_dn)-dpdn_minQ</f>
        <v>60</v>
      </c>
      <c r="AK3829" s="107"/>
      <c r="AL3829" s="1"/>
      <c r="AM3829" s="97">
        <f ca="1">P_2_minQ+(AM3826^2*R_dn)-dpdn_minQ</f>
        <v>60</v>
      </c>
      <c r="AN3829" s="107"/>
      <c r="AO3829" s="1"/>
      <c r="AP3829" s="97">
        <f ca="1">P_2_minQ+(AP3826^2*R_dn)-dpdn_minQ</f>
        <v>60</v>
      </c>
      <c r="AQ3829" s="107"/>
      <c r="AR3829" s="1"/>
      <c r="AS3829" s="97">
        <f ca="1">P_2_minQ+(AS3826^2*R_dn)-dpdn_minQ</f>
        <v>60</v>
      </c>
      <c r="AT3829" s="107"/>
      <c r="AU3829" s="1"/>
    </row>
    <row r="3830" spans="15:47" x14ac:dyDescent="0.25">
      <c r="O3830" s="8" t="s">
        <v>138</v>
      </c>
      <c r="P3830" s="1"/>
      <c r="Q3830" s="8"/>
      <c r="R3830" s="97">
        <f>R3828-R3829</f>
        <v>29.336720035686326</v>
      </c>
      <c r="S3830" s="106"/>
      <c r="T3830" s="22"/>
      <c r="U3830" s="97">
        <f ca="1">U3828-U3829</f>
        <v>24.690720203461979</v>
      </c>
      <c r="V3830" s="110"/>
      <c r="W3830" s="25"/>
      <c r="X3830" s="97">
        <f ca="1">X3828-X3829</f>
        <v>-2.757816138372867</v>
      </c>
      <c r="Y3830" s="110"/>
      <c r="Z3830" s="25"/>
      <c r="AA3830" s="97">
        <f ca="1">AA3828-AA3829</f>
        <v>-94.790592020940096</v>
      </c>
      <c r="AB3830" s="110"/>
      <c r="AC3830" s="25"/>
      <c r="AD3830" s="97">
        <f ca="1">AD3828-AD3829</f>
        <v>-321.57638852072319</v>
      </c>
      <c r="AE3830" s="110"/>
      <c r="AF3830" s="25"/>
      <c r="AG3830" s="97">
        <f ca="1">AG3828-AG3829</f>
        <v>-719.14410399159078</v>
      </c>
      <c r="AH3830" s="110"/>
      <c r="AI3830" s="25"/>
      <c r="AJ3830" s="97">
        <f ca="1">AJ3828-AJ3829</f>
        <v>-1304.295679978216</v>
      </c>
      <c r="AK3830" s="110"/>
      <c r="AL3830" s="25"/>
      <c r="AM3830" s="97">
        <f ca="1">AM3828-AM3829</f>
        <v>-1956.6749074074869</v>
      </c>
      <c r="AN3830" s="110"/>
      <c r="AO3830" s="25"/>
      <c r="AP3830" s="97">
        <f ca="1">AP3828-AP3829</f>
        <v>-2647.8019852160246</v>
      </c>
      <c r="AQ3830" s="110"/>
      <c r="AR3830" s="25"/>
      <c r="AS3830" s="97">
        <f ca="1">AS3828-AS3829</f>
        <v>-3651.8882577468094</v>
      </c>
      <c r="AT3830" s="110"/>
      <c r="AU3830" s="25"/>
    </row>
    <row r="3831" spans="15:47" ht="14.4" x14ac:dyDescent="0.3">
      <c r="O3831" s="2" t="s">
        <v>140</v>
      </c>
      <c r="P3831" s="11"/>
      <c r="Q3831" s="2"/>
      <c r="R3831" s="96">
        <f>R3830/R3828</f>
        <v>0.32838367049929212</v>
      </c>
      <c r="S3831" s="106"/>
      <c r="T3831" s="22"/>
      <c r="U3831" s="96">
        <f ca="1">U3830/U3828</f>
        <v>0.29153985400224136</v>
      </c>
      <c r="V3831" s="111"/>
      <c r="W3831" s="28"/>
      <c r="X3831" s="96">
        <f ca="1">X3830/X3828</f>
        <v>-4.8178038508093969E-2</v>
      </c>
      <c r="Y3831" s="111"/>
      <c r="Z3831" s="28"/>
      <c r="AA3831" s="96">
        <f ca="1">AA3830/AA3828</f>
        <v>2.7246041678131441</v>
      </c>
      <c r="AB3831" s="111"/>
      <c r="AC3831" s="28"/>
      <c r="AD3831" s="96">
        <f ca="1">AD3830/AD3828</f>
        <v>1.2293785013980594</v>
      </c>
      <c r="AE3831" s="111"/>
      <c r="AF3831" s="28"/>
      <c r="AG3831" s="96">
        <f ca="1">AG3830/AG3828</f>
        <v>1.0910271360035795</v>
      </c>
      <c r="AH3831" s="111"/>
      <c r="AI3831" s="28"/>
      <c r="AJ3831" s="96">
        <f ca="1">AJ3830/AJ3828</f>
        <v>1.0482200500776877</v>
      </c>
      <c r="AK3831" s="111"/>
      <c r="AL3831" s="28"/>
      <c r="AM3831" s="96">
        <f ca="1">AM3830/AM3828</f>
        <v>1.0316343089507165</v>
      </c>
      <c r="AN3831" s="111"/>
      <c r="AO3831" s="28"/>
      <c r="AP3831" s="96">
        <f ca="1">AP3830/AP3828</f>
        <v>1.0231856998111821</v>
      </c>
      <c r="AQ3831" s="111"/>
      <c r="AR3831" s="28"/>
      <c r="AS3831" s="96">
        <f ca="1">AS3830/AS3828</f>
        <v>1.0167043058398588</v>
      </c>
      <c r="AT3831" s="111"/>
      <c r="AU3831" s="28"/>
    </row>
    <row r="3832" spans="15:47" x14ac:dyDescent="0.25">
      <c r="O3832" s="2" t="s">
        <v>21</v>
      </c>
      <c r="P3832" s="8">
        <v>12</v>
      </c>
      <c r="Q3832" s="2"/>
      <c r="R3832" s="96">
        <f ca="1">1-R3831/(3*F_GAMMA*R$29)</f>
        <v>0.82897477425660249</v>
      </c>
      <c r="S3832" s="106"/>
      <c r="T3832" s="22"/>
      <c r="U3832" s="96">
        <f ca="1">1-U3831/(3*F_GAMMA*U$29)</f>
        <v>0.84819864555126911</v>
      </c>
      <c r="V3832" s="111"/>
      <c r="W3832" s="28"/>
      <c r="X3832" s="96">
        <f ca="1">1-X3831/(3*F_GAMMA*X$29)</f>
        <v>1.0253246572493453</v>
      </c>
      <c r="Y3832" s="111"/>
      <c r="Z3832" s="28"/>
      <c r="AA3832" s="96">
        <f ca="1">1-AA3831/(3*F_GAMMA*AA$29)</f>
        <v>-0.45236904166833236</v>
      </c>
      <c r="AB3832" s="111"/>
      <c r="AC3832" s="28"/>
      <c r="AD3832" s="96">
        <f ca="1">1-AD3831/(3*F_GAMMA*AD$29)</f>
        <v>0.32434682896497746</v>
      </c>
      <c r="AE3832" s="111"/>
      <c r="AF3832" s="28"/>
      <c r="AG3832" s="96">
        <f ca="1">1-AG3831/(3*F_GAMMA*AG$29)</f>
        <v>0.36440253826091018</v>
      </c>
      <c r="AH3832" s="111"/>
      <c r="AI3832" s="28"/>
      <c r="AJ3832" s="96">
        <f ca="1">1-AJ3831/(3*F_GAMMA*AJ$29)</f>
        <v>0.34301406363864684</v>
      </c>
      <c r="AK3832" s="111"/>
      <c r="AL3832" s="28"/>
      <c r="AM3832" s="96">
        <f ca="1">1-AM3831/(3*F_GAMMA*AM$29)</f>
        <v>0.27705840750632815</v>
      </c>
      <c r="AN3832" s="111"/>
      <c r="AO3832" s="28"/>
      <c r="AP3832" s="96">
        <f ca="1">1-AP3831/(3*F_GAMMA*AP$29)</f>
        <v>0.42245912912203498</v>
      </c>
      <c r="AQ3832" s="111"/>
      <c r="AR3832" s="28"/>
      <c r="AS3832" s="96">
        <f ca="1">1-AS3831/(3*F_GAMMA*AS$29)</f>
        <v>0.10031730230020031</v>
      </c>
      <c r="AT3832" s="111"/>
      <c r="AU3832" s="28"/>
    </row>
    <row r="3833" spans="15:47" x14ac:dyDescent="0.25">
      <c r="O3833" s="2" t="s">
        <v>57</v>
      </c>
      <c r="P3833" s="143">
        <v>7</v>
      </c>
      <c r="Q3833" s="2"/>
      <c r="R3833" s="96">
        <f ca="1">(R3826/(N_9*R$27*R3828*R3832))*SQRT(M*'Valve Sizing'!$W$6*'Valve Sizing'!$G$8/R3831)</f>
        <v>27.96772561551019</v>
      </c>
      <c r="S3833" s="107"/>
      <c r="T3833" s="22"/>
      <c r="U3833" s="96">
        <f ca="1">(U3826/(N_9*U$27*U3828*U3832))*SQRT(M*'Valve Sizing'!$W$6*'Valve Sizing'!$G$8/U3831)</f>
        <v>77.928936735273894</v>
      </c>
      <c r="V3833" s="111"/>
      <c r="W3833" s="28"/>
      <c r="X3833" s="96" t="e">
        <f ca="1">(X3826/(N_9*X$27*X3828*X3832))*SQRT(M*'Valve Sizing'!$W$6*'Valve Sizing'!$G$8/X3831)</f>
        <v>#NUM!</v>
      </c>
      <c r="Y3833" s="111"/>
      <c r="Z3833" s="28"/>
      <c r="AA3833" s="96">
        <f ca="1">(AA3826/(N_9*AA$27*AA3828*AA3832))*SQRT(M*'Valve Sizing'!$W$6*'Valve Sizing'!$G$8/AA3831)</f>
        <v>559.4981013573489</v>
      </c>
      <c r="AB3833" s="111"/>
      <c r="AC3833" s="28"/>
      <c r="AD3833" s="96">
        <f ca="1">(AD3826/(N_9*AD$27*AD3828*AD3832))*SQRT(M*'Valve Sizing'!$W$6*'Valve Sizing'!$G$8/AD3831)</f>
        <v>-262.42932489819327</v>
      </c>
      <c r="AE3833" s="111"/>
      <c r="AF3833" s="28"/>
      <c r="AG3833" s="96">
        <f ca="1">(AG3826/(N_9*AG$27*AG3828*AG3832))*SQRT(M*'Valve Sizing'!$W$6*'Valve Sizing'!$G$8/AG3831)</f>
        <v>-146.8457365557951</v>
      </c>
      <c r="AH3833" s="111"/>
      <c r="AI3833" s="28"/>
      <c r="AJ3833" s="96">
        <f ca="1">(AJ3826/(N_9*AJ$27*AJ3828*AJ3832))*SQRT(M*'Valve Sizing'!$W$6*'Valve Sizing'!$G$8/AJ3831)</f>
        <v>-116.57945239388535</v>
      </c>
      <c r="AK3833" s="111"/>
      <c r="AL3833" s="28"/>
      <c r="AM3833" s="96">
        <f ca="1">(AM3826/(N_9*AM$27*AM3828*AM3832))*SQRT(M*'Valve Sizing'!$W$6*'Valve Sizing'!$G$8/AM3831)</f>
        <v>-123.56708724153791</v>
      </c>
      <c r="AN3833" s="111"/>
      <c r="AO3833" s="28"/>
      <c r="AP3833" s="96">
        <f ca="1">(AP3826/(N_9*AP$27*AP3828*AP3832))*SQRT(M*'Valve Sizing'!$W$6*'Valve Sizing'!$G$8/AP3831)</f>
        <v>-78.808675909342625</v>
      </c>
      <c r="AQ3833" s="111"/>
      <c r="AR3833" s="28"/>
      <c r="AS3833" s="96">
        <f ca="1">(AS3826/(N_9*AS$27*AS3828*AS3832))*SQRT(M*'Valve Sizing'!$W$6*'Valve Sizing'!$G$8/AS3831)</f>
        <v>-376.72115546282083</v>
      </c>
      <c r="AT3833" s="111"/>
      <c r="AU3833" s="28"/>
    </row>
    <row r="3834" spans="15:47" x14ac:dyDescent="0.25">
      <c r="O3834" s="2" t="s">
        <v>59</v>
      </c>
      <c r="P3834" s="143">
        <v>7</v>
      </c>
      <c r="Q3834" s="2"/>
      <c r="R3834" s="96">
        <f ca="1">(R3826/(N_9*R$27*R3828*0.667))*SQRT(M*'Valve Sizing'!$W$6*'Valve Sizing'!$G$8/R3835)</f>
        <v>24.897935927030087</v>
      </c>
      <c r="S3834" s="107"/>
      <c r="T3834" s="22"/>
      <c r="U3834" s="96">
        <f ca="1">(U3826/(N_9*U$27*U3828*0.667))*SQRT(M*'Valve Sizing'!$W$6*'Valve Sizing'!$G$8/U3835)</f>
        <v>66.875792578644436</v>
      </c>
      <c r="V3834" s="111"/>
      <c r="W3834" s="28"/>
      <c r="X3834" s="96">
        <f ca="1">(X3826/(N_9*X$27*X3828*0.667))*SQRT(M*'Valve Sizing'!$W$6*'Valve Sizing'!$G$8/X3835)</f>
        <v>243.98840504589367</v>
      </c>
      <c r="Y3834" s="111"/>
      <c r="Z3834" s="28"/>
      <c r="AA3834" s="96">
        <f ca="1">(AA3826/(N_9*AA$27*AA3828*0.667))*SQRT(M*'Valve Sizing'!$W$6*'Valve Sizing'!$G$8/AA3835)</f>
        <v>-792.07221308475982</v>
      </c>
      <c r="AB3834" s="111"/>
      <c r="AC3834" s="28"/>
      <c r="AD3834" s="96">
        <f ca="1">(AD3826/(N_9*AD$27*AD3828*0.667))*SQRT(M*'Valve Sizing'!$W$6*'Valve Sizing'!$G$8/AD3835)</f>
        <v>-181.68485334559352</v>
      </c>
      <c r="AE3834" s="111"/>
      <c r="AF3834" s="28"/>
      <c r="AG3834" s="96">
        <f ca="1">(AG3826/(N_9*AG$27*AG3828*0.667))*SQRT(M*'Valve Sizing'!$W$6*'Valve Sizing'!$G$8/AG3835)</f>
        <v>-110.78184809537377</v>
      </c>
      <c r="AH3834" s="111"/>
      <c r="AI3834" s="28"/>
      <c r="AJ3834" s="96">
        <f ca="1">(AJ3826/(N_9*AJ$27*AJ3828*0.667))*SQRT(M*'Valve Sizing'!$W$6*'Valve Sizing'!$G$8/AJ3835)</f>
        <v>-84.167953469030024</v>
      </c>
      <c r="AK3834" s="111"/>
      <c r="AL3834" s="28"/>
      <c r="AM3834" s="96">
        <f ca="1">(AM3826/(N_9*AM$27*AM3828*0.667))*SQRT(M*'Valve Sizing'!$W$6*'Valve Sizing'!$G$8/AM3835)</f>
        <v>-75.58933806869851</v>
      </c>
      <c r="AN3834" s="111"/>
      <c r="AO3834" s="28"/>
      <c r="AP3834" s="96">
        <f ca="1">(AP3826/(N_9*AP$27*AP3828*0.667))*SQRT(M*'Valve Sizing'!$W$6*'Valve Sizing'!$G$8/AP3835)</f>
        <v>-65.702952421452437</v>
      </c>
      <c r="AQ3834" s="111"/>
      <c r="AR3834" s="28"/>
      <c r="AS3834" s="96">
        <f ca="1">(AS3826/(N_9*AS$27*AS3828*0.667))*SQRT(M*'Valve Sizing'!$W$6*'Valve Sizing'!$G$8/AS3835)</f>
        <v>-93.084063094990569</v>
      </c>
      <c r="AT3834" s="111"/>
      <c r="AU3834" s="28"/>
    </row>
    <row r="3835" spans="15:47" ht="15.6" x14ac:dyDescent="0.35">
      <c r="O3835" s="2" t="s">
        <v>68</v>
      </c>
      <c r="P3835" s="143">
        <v>10</v>
      </c>
      <c r="Q3835" s="2"/>
      <c r="R3835" s="96">
        <f ca="1">F_GAMMA*R$29</f>
        <v>0.64002969751372984</v>
      </c>
      <c r="S3835" s="107"/>
      <c r="T3835" s="1"/>
      <c r="U3835" s="96">
        <f ca="1">F_GAMMA*U$29</f>
        <v>0.64017842058782071</v>
      </c>
      <c r="V3835" s="111"/>
      <c r="W3835" s="28"/>
      <c r="X3835" s="96">
        <f ca="1">F_GAMMA*X$29</f>
        <v>0.63413873724904268</v>
      </c>
      <c r="Y3835" s="111"/>
      <c r="Z3835" s="28"/>
      <c r="AA3835" s="96">
        <f ca="1">F_GAMMA*AA$29</f>
        <v>0.62532411750377137</v>
      </c>
      <c r="AB3835" s="111"/>
      <c r="AC3835" s="28"/>
      <c r="AD3835" s="96">
        <f ca="1">F_GAMMA*AD$29</f>
        <v>0.60651359509139569</v>
      </c>
      <c r="AE3835" s="111"/>
      <c r="AF3835" s="28"/>
      <c r="AG3835" s="96">
        <f ca="1">F_GAMMA*AG$29</f>
        <v>0.57217930198481592</v>
      </c>
      <c r="AH3835" s="111"/>
      <c r="AI3835" s="28"/>
      <c r="AJ3835" s="96">
        <f ca="1">F_GAMMA*AJ$29</f>
        <v>0.53183282018848232</v>
      </c>
      <c r="AK3835" s="111"/>
      <c r="AL3835" s="28"/>
      <c r="AM3835" s="96">
        <f ca="1">F_GAMMA*AM$29</f>
        <v>0.47566512503094399</v>
      </c>
      <c r="AN3835" s="111"/>
      <c r="AO3835" s="28"/>
      <c r="AP3835" s="96">
        <f ca="1">F_GAMMA*AP$29</f>
        <v>0.59054158265645496</v>
      </c>
      <c r="AQ3835" s="111"/>
      <c r="AR3835" s="28"/>
      <c r="AS3835" s="96">
        <f ca="1">F_GAMMA*AS$29</f>
        <v>0.3766899554102966</v>
      </c>
      <c r="AT3835" s="111"/>
      <c r="AU3835" s="28"/>
    </row>
    <row r="3836" spans="15:47" x14ac:dyDescent="0.25">
      <c r="O3836" s="2" t="s">
        <v>145</v>
      </c>
      <c r="P3836" s="12"/>
      <c r="Q3836" s="2"/>
      <c r="R3836" s="96">
        <f ca="1">IF(R3831&lt;R3835,R3833,R3834)</f>
        <v>27.96772561551019</v>
      </c>
      <c r="S3836" s="116"/>
      <c r="T3836" s="1"/>
      <c r="U3836" s="96">
        <f ca="1">IF(U3831&lt;U3835,U3833,U3834)</f>
        <v>77.928936735273894</v>
      </c>
      <c r="V3836" s="111"/>
      <c r="W3836" s="28"/>
      <c r="X3836" s="96" t="e">
        <f ca="1">IF(X3831&lt;X3835,X3833,X3834)</f>
        <v>#NUM!</v>
      </c>
      <c r="Y3836" s="111"/>
      <c r="Z3836" s="28"/>
      <c r="AA3836" s="96">
        <f ca="1">IF(AA3831&lt;AA3835,AA3833,AA3834)</f>
        <v>-792.07221308475982</v>
      </c>
      <c r="AB3836" s="111"/>
      <c r="AC3836" s="28"/>
      <c r="AD3836" s="96">
        <f ca="1">IF(AD3831&lt;AD3835,AD3833,AD3834)</f>
        <v>-181.68485334559352</v>
      </c>
      <c r="AE3836" s="111"/>
      <c r="AF3836" s="28"/>
      <c r="AG3836" s="96">
        <f ca="1">IF(AG3831&lt;AG3835,AG3833,AG3834)</f>
        <v>-110.78184809537377</v>
      </c>
      <c r="AH3836" s="111"/>
      <c r="AI3836" s="28"/>
      <c r="AJ3836" s="96">
        <f ca="1">IF(AJ3831&lt;AJ3835,AJ3833,AJ3834)</f>
        <v>-84.167953469030024</v>
      </c>
      <c r="AK3836" s="111"/>
      <c r="AL3836" s="28"/>
      <c r="AM3836" s="96">
        <f ca="1">IF(AM3831&lt;AM3835,AM3833,AM3834)</f>
        <v>-75.58933806869851</v>
      </c>
      <c r="AN3836" s="111"/>
      <c r="AO3836" s="28"/>
      <c r="AP3836" s="96">
        <f ca="1">IF(AP3831&lt;AP3835,AP3833,AP3834)</f>
        <v>-65.702952421452437</v>
      </c>
      <c r="AQ3836" s="111"/>
      <c r="AR3836" s="28"/>
      <c r="AS3836" s="96">
        <f ca="1">IF(AS3831&lt;AS3835,AS3833,AS3834)</f>
        <v>-93.084063094990569</v>
      </c>
      <c r="AT3836" s="111"/>
      <c r="AU3836" s="28"/>
    </row>
    <row r="3837" spans="15:47" x14ac:dyDescent="0.25">
      <c r="O3837" s="13" t="s">
        <v>143</v>
      </c>
      <c r="P3837" s="1"/>
      <c r="Q3837" s="1"/>
      <c r="R3837" s="113"/>
      <c r="S3837" s="106">
        <f ca="1">IF(R3830&lt;=0,Q_max,ABS(R$23-R3836))</f>
        <v>23.23772561551019</v>
      </c>
      <c r="T3837" s="7">
        <f>R3826</f>
        <v>68223.376720718181</v>
      </c>
      <c r="U3837" s="98"/>
      <c r="V3837" s="106">
        <f ca="1">IF(U3830&lt;=0,Q_max,ABS(U$23-U3836))</f>
        <v>66.328936735273899</v>
      </c>
      <c r="W3837" s="9">
        <f ca="1">U3826</f>
        <v>173624.18466901546</v>
      </c>
      <c r="X3837" s="98"/>
      <c r="Y3837" s="106">
        <f ca="1">IF(X3830&lt;=0,Q_max,ABS(X$23-X3836))</f>
        <v>236393</v>
      </c>
      <c r="Z3837" s="9">
        <f ca="1">X3826</f>
        <v>425141.85168975306</v>
      </c>
      <c r="AA3837" s="98"/>
      <c r="AB3837" s="106">
        <f ca="1">IF(AA3830&lt;=0,Q_max,ABS(AA$23-AA3836))</f>
        <v>236393</v>
      </c>
      <c r="AC3837" s="9">
        <f ca="1">AA3826</f>
        <v>828067.81158397393</v>
      </c>
      <c r="AD3837" s="98"/>
      <c r="AE3837" s="106">
        <f ca="1">IF(AD3830&lt;=0,Q_max,ABS(AD$23-AD3836))</f>
        <v>236393</v>
      </c>
      <c r="AF3837" s="9">
        <f ca="1">AD3826</f>
        <v>1389240.1937144981</v>
      </c>
      <c r="AG3837" s="98"/>
      <c r="AH3837" s="106">
        <f ca="1">IF(AG3830&lt;=0,Q_max,ABS(AG$23-AG3836))</f>
        <v>236393</v>
      </c>
      <c r="AI3837" s="9">
        <f ca="1">AG3826</f>
        <v>2027633.9002691808</v>
      </c>
      <c r="AJ3837" s="98"/>
      <c r="AK3837" s="106">
        <f ca="1">IF(AJ3830&lt;=0,Q_max,ABS(AJ$23-AJ3836))</f>
        <v>236393</v>
      </c>
      <c r="AL3837" s="9">
        <f ca="1">AJ3826</f>
        <v>2705885.3001683601</v>
      </c>
      <c r="AM3837" s="98"/>
      <c r="AN3837" s="106">
        <f ca="1">IF(AM3830&lt;=0,Q_max,ABS(AM$23-AM3836))</f>
        <v>236393</v>
      </c>
      <c r="AO3837" s="9">
        <f ca="1">AM3826</f>
        <v>3301694.2925070482</v>
      </c>
      <c r="AP3837" s="98"/>
      <c r="AQ3837" s="106">
        <f ca="1">IF(AP3830&lt;=0,Q_max,ABS(AP$23-AP3836))</f>
        <v>236393</v>
      </c>
      <c r="AR3837" s="9">
        <f ca="1">AP3826</f>
        <v>3833164.5737229944</v>
      </c>
      <c r="AS3837" s="98"/>
      <c r="AT3837" s="106">
        <f ca="1">IF(AS3830&lt;=0,Q_max,ABS(AS$23-AS3836))</f>
        <v>236393</v>
      </c>
      <c r="AU3837" s="9">
        <f ca="1">AS3826</f>
        <v>4494686.9216256356</v>
      </c>
    </row>
    <row r="3838" spans="15:47" x14ac:dyDescent="0.25">
      <c r="O3838" s="1"/>
      <c r="P3838" s="1"/>
      <c r="Q3838" s="1"/>
      <c r="R3838" s="98"/>
      <c r="S3838" s="108"/>
      <c r="T3838" s="26"/>
      <c r="U3838" s="97"/>
      <c r="V3838" s="111"/>
      <c r="W3838" s="28"/>
      <c r="X3838" s="97"/>
      <c r="Y3838" s="111"/>
      <c r="Z3838" s="28"/>
      <c r="AA3838" s="97"/>
      <c r="AB3838" s="111"/>
      <c r="AC3838" s="28"/>
      <c r="AD3838" s="97"/>
      <c r="AE3838" s="111"/>
      <c r="AF3838" s="28"/>
      <c r="AG3838" s="97"/>
      <c r="AH3838" s="111"/>
      <c r="AI3838" s="28"/>
      <c r="AJ3838" s="97"/>
      <c r="AK3838" s="111"/>
      <c r="AL3838" s="28"/>
      <c r="AM3838" s="97"/>
      <c r="AN3838" s="111"/>
      <c r="AO3838" s="28"/>
      <c r="AP3838" s="97"/>
      <c r="AQ3838" s="111"/>
      <c r="AR3838" s="28"/>
      <c r="AS3838" s="97"/>
      <c r="AT3838" s="111"/>
      <c r="AU3838" s="28"/>
    </row>
    <row r="3839" spans="15:47" x14ac:dyDescent="0.25">
      <c r="O3839" s="1"/>
      <c r="P3839" s="1"/>
      <c r="Q3839" s="1"/>
      <c r="R3839" s="98"/>
      <c r="S3839" s="108" t="s">
        <v>137</v>
      </c>
      <c r="T3839" s="26" t="s">
        <v>146</v>
      </c>
      <c r="U3839" s="98"/>
      <c r="V3839" s="108" t="s">
        <v>137</v>
      </c>
      <c r="W3839" s="26" t="s">
        <v>146</v>
      </c>
      <c r="X3839" s="98"/>
      <c r="Y3839" s="108" t="s">
        <v>137</v>
      </c>
      <c r="Z3839" s="26" t="s">
        <v>146</v>
      </c>
      <c r="AA3839" s="98"/>
      <c r="AB3839" s="108" t="s">
        <v>137</v>
      </c>
      <c r="AC3839" s="26" t="s">
        <v>146</v>
      </c>
      <c r="AD3839" s="98"/>
      <c r="AE3839" s="108" t="s">
        <v>137</v>
      </c>
      <c r="AF3839" s="26" t="s">
        <v>146</v>
      </c>
      <c r="AG3839" s="98"/>
      <c r="AH3839" s="108" t="s">
        <v>137</v>
      </c>
      <c r="AI3839" s="26" t="s">
        <v>146</v>
      </c>
      <c r="AJ3839" s="98"/>
      <c r="AK3839" s="108" t="s">
        <v>137</v>
      </c>
      <c r="AL3839" s="26" t="s">
        <v>146</v>
      </c>
      <c r="AM3839" s="98"/>
      <c r="AN3839" s="108" t="s">
        <v>137</v>
      </c>
      <c r="AO3839" s="26" t="s">
        <v>146</v>
      </c>
      <c r="AP3839" s="98"/>
      <c r="AQ3839" s="108" t="s">
        <v>137</v>
      </c>
      <c r="AR3839" s="26" t="s">
        <v>146</v>
      </c>
      <c r="AS3839" s="98"/>
      <c r="AT3839" s="108" t="s">
        <v>137</v>
      </c>
      <c r="AU3839" s="26" t="s">
        <v>146</v>
      </c>
    </row>
    <row r="3840" spans="15:47" ht="13.8" x14ac:dyDescent="0.25">
      <c r="O3840" s="20" t="s">
        <v>136</v>
      </c>
      <c r="P3840" s="1"/>
      <c r="Q3840" s="1"/>
      <c r="R3840" s="96">
        <f>R3826*1.02</f>
        <v>69587.844255132542</v>
      </c>
      <c r="S3840" s="109" t="s">
        <v>144</v>
      </c>
      <c r="T3840" s="23" t="s">
        <v>147</v>
      </c>
      <c r="U3840" s="96">
        <f ca="1">U3826*1.01</f>
        <v>175360.42651570562</v>
      </c>
      <c r="V3840" s="109" t="s">
        <v>144</v>
      </c>
      <c r="W3840" s="23" t="s">
        <v>147</v>
      </c>
      <c r="X3840" s="96">
        <f ca="1">X3826*1.01</f>
        <v>429393.2702066506</v>
      </c>
      <c r="Y3840" s="109" t="s">
        <v>144</v>
      </c>
      <c r="Z3840" s="23" t="s">
        <v>147</v>
      </c>
      <c r="AA3840" s="96">
        <f ca="1">AA3826*1.01</f>
        <v>836348.48969981365</v>
      </c>
      <c r="AB3840" s="109" t="s">
        <v>144</v>
      </c>
      <c r="AC3840" s="23" t="s">
        <v>147</v>
      </c>
      <c r="AD3840" s="96">
        <f ca="1">AD3826*1.01</f>
        <v>1403132.5956516431</v>
      </c>
      <c r="AE3840" s="109" t="s">
        <v>144</v>
      </c>
      <c r="AF3840" s="23" t="s">
        <v>147</v>
      </c>
      <c r="AG3840" s="96">
        <f ca="1">AG3826*1.01</f>
        <v>2047910.2392718727</v>
      </c>
      <c r="AH3840" s="109" t="s">
        <v>144</v>
      </c>
      <c r="AI3840" s="23" t="s">
        <v>147</v>
      </c>
      <c r="AJ3840" s="96">
        <f ca="1">AJ3826*1.01</f>
        <v>2732944.1531700436</v>
      </c>
      <c r="AK3840" s="109" t="s">
        <v>144</v>
      </c>
      <c r="AL3840" s="23" t="s">
        <v>147</v>
      </c>
      <c r="AM3840" s="96">
        <f ca="1">AM3826*1.01</f>
        <v>3334711.2354321186</v>
      </c>
      <c r="AN3840" s="109" t="s">
        <v>144</v>
      </c>
      <c r="AO3840" s="23" t="s">
        <v>147</v>
      </c>
      <c r="AP3840" s="96">
        <f ca="1">AP3826*1.01</f>
        <v>3871496.2194602243</v>
      </c>
      <c r="AQ3840" s="109" t="s">
        <v>144</v>
      </c>
      <c r="AR3840" s="23" t="s">
        <v>147</v>
      </c>
      <c r="AS3840" s="96">
        <f ca="1">AS3826*1.01</f>
        <v>4539633.7908418924</v>
      </c>
      <c r="AT3840" s="109" t="s">
        <v>144</v>
      </c>
      <c r="AU3840" s="23" t="s">
        <v>147</v>
      </c>
    </row>
    <row r="3841" spans="15:47" x14ac:dyDescent="0.25">
      <c r="O3841" s="1"/>
      <c r="P3841" s="1"/>
      <c r="Q3841" s="1"/>
      <c r="R3841" s="98"/>
      <c r="S3841" s="107"/>
      <c r="T3841" s="1"/>
      <c r="U3841" s="47"/>
      <c r="V3841" s="107"/>
      <c r="W3841" s="1"/>
      <c r="X3841" s="47"/>
      <c r="Y3841" s="107"/>
      <c r="Z3841" s="1"/>
      <c r="AA3841" s="47"/>
      <c r="AB3841" s="107"/>
      <c r="AC3841" s="1"/>
      <c r="AD3841" s="47"/>
      <c r="AE3841" s="107"/>
      <c r="AF3841" s="1"/>
      <c r="AG3841" s="47"/>
      <c r="AH3841" s="107"/>
      <c r="AI3841" s="1"/>
      <c r="AJ3841" s="47"/>
      <c r="AK3841" s="107"/>
      <c r="AL3841" s="1"/>
      <c r="AM3841" s="47"/>
      <c r="AN3841" s="107"/>
      <c r="AO3841" s="1"/>
      <c r="AP3841" s="47"/>
      <c r="AQ3841" s="107"/>
      <c r="AR3841" s="1"/>
      <c r="AS3841" s="47"/>
      <c r="AT3841" s="107"/>
      <c r="AU3841" s="1"/>
    </row>
    <row r="3842" spans="15:47" x14ac:dyDescent="0.25">
      <c r="O3842" s="8" t="s">
        <v>132</v>
      </c>
      <c r="P3842" s="8"/>
      <c r="Q3842" s="8"/>
      <c r="R3842" s="96">
        <f>P_1_minQ-(R3840^2*R_up)+dpup_minQ</f>
        <v>89.302447887705725</v>
      </c>
      <c r="S3842" s="106"/>
      <c r="T3842" s="22"/>
      <c r="U3842" s="96">
        <f ca="1">P_1_minQ-(U3840^2*R_up)+dpup_minQ</f>
        <v>84.58028436489343</v>
      </c>
      <c r="V3842" s="107"/>
      <c r="W3842" s="1"/>
      <c r="X3842" s="96">
        <f ca="1">P_1_minQ-(X3840^2*R_up)+dpup_minQ</f>
        <v>56.580032442587701</v>
      </c>
      <c r="Y3842" s="107"/>
      <c r="Z3842" s="1"/>
      <c r="AA3842" s="96">
        <f ca="1">P_1_minQ-(AA3840^2*R_up)+dpup_minQ</f>
        <v>-37.302602235219112</v>
      </c>
      <c r="AB3842" s="107"/>
      <c r="AC3842" s="1"/>
      <c r="AD3842" s="96">
        <f ca="1">P_1_minQ-(AD3840^2*R_up)+dpup_minQ</f>
        <v>-268.64679324464788</v>
      </c>
      <c r="AE3842" s="107"/>
      <c r="AF3842" s="1"/>
      <c r="AG3842" s="96">
        <f ca="1">P_1_minQ-(AG3840^2*R_up)+dpup_minQ</f>
        <v>-674.20561979647994</v>
      </c>
      <c r="AH3842" s="107"/>
      <c r="AI3842" s="1"/>
      <c r="AJ3842" s="96">
        <f ca="1">P_1_minQ-(AJ3840^2*R_up)+dpup_minQ</f>
        <v>-1271.1187424604361</v>
      </c>
      <c r="AK3842" s="107"/>
      <c r="AL3842" s="1"/>
      <c r="AM3842" s="96">
        <f ca="1">P_1_minQ-(AM3840^2*R_up)+dpup_minQ</f>
        <v>-1936.6107923610357</v>
      </c>
      <c r="AN3842" s="107"/>
      <c r="AO3842" s="1"/>
      <c r="AP3842" s="96">
        <f ca="1">P_1_minQ-(AP3840^2*R_up)+dpup_minQ</f>
        <v>-2641.6295244335242</v>
      </c>
      <c r="AQ3842" s="107"/>
      <c r="AR3842" s="1"/>
      <c r="AS3842" s="96">
        <f ca="1">P_1_minQ-(AS3840^2*R_up)+dpup_minQ</f>
        <v>-3665.8979310421796</v>
      </c>
      <c r="AT3842" s="107"/>
      <c r="AU3842" s="1"/>
    </row>
    <row r="3843" spans="15:47" x14ac:dyDescent="0.25">
      <c r="O3843" s="8" t="s">
        <v>134</v>
      </c>
      <c r="P3843" s="1"/>
      <c r="Q3843" s="8"/>
      <c r="R3843" s="97">
        <f>P_2_minQ+(R3840^2*R_dn)-dpdn_minQ</f>
        <v>60</v>
      </c>
      <c r="S3843" s="106"/>
      <c r="T3843" s="22"/>
      <c r="U3843" s="97">
        <f ca="1">P_2_minQ+(U3840^2*R_dn)-dpdn_minQ</f>
        <v>60</v>
      </c>
      <c r="V3843" s="107"/>
      <c r="W3843" s="1"/>
      <c r="X3843" s="97">
        <f ca="1">P_2_minQ+(X3840^2*R_dn)-dpdn_minQ</f>
        <v>60</v>
      </c>
      <c r="Y3843" s="107"/>
      <c r="Z3843" s="1"/>
      <c r="AA3843" s="97">
        <f ca="1">P_2_minQ+(AA3840^2*R_dn)-dpdn_minQ</f>
        <v>60</v>
      </c>
      <c r="AB3843" s="107"/>
      <c r="AC3843" s="1"/>
      <c r="AD3843" s="97">
        <f ca="1">P_2_minQ+(AD3840^2*R_dn)-dpdn_minQ</f>
        <v>60</v>
      </c>
      <c r="AE3843" s="107"/>
      <c r="AF3843" s="1"/>
      <c r="AG3843" s="97">
        <f ca="1">P_2_minQ+(AG3840^2*R_dn)-dpdn_minQ</f>
        <v>60</v>
      </c>
      <c r="AH3843" s="107"/>
      <c r="AI3843" s="1"/>
      <c r="AJ3843" s="97">
        <f ca="1">P_2_minQ+(AJ3840^2*R_dn)-dpdn_minQ</f>
        <v>60</v>
      </c>
      <c r="AK3843" s="107"/>
      <c r="AL3843" s="1"/>
      <c r="AM3843" s="97">
        <f ca="1">P_2_minQ+(AM3840^2*R_dn)-dpdn_minQ</f>
        <v>60</v>
      </c>
      <c r="AN3843" s="107"/>
      <c r="AO3843" s="1"/>
      <c r="AP3843" s="97">
        <f ca="1">P_2_minQ+(AP3840^2*R_dn)-dpdn_minQ</f>
        <v>60</v>
      </c>
      <c r="AQ3843" s="107"/>
      <c r="AR3843" s="1"/>
      <c r="AS3843" s="97">
        <f ca="1">P_2_minQ+(AS3840^2*R_dn)-dpdn_minQ</f>
        <v>60</v>
      </c>
      <c r="AT3843" s="107"/>
      <c r="AU3843" s="1"/>
    </row>
    <row r="3844" spans="15:47" x14ac:dyDescent="0.25">
      <c r="O3844" s="8" t="s">
        <v>138</v>
      </c>
      <c r="P3844" s="1"/>
      <c r="Q3844" s="8"/>
      <c r="R3844" s="97">
        <f>R3842-R3843</f>
        <v>29.302447887705725</v>
      </c>
      <c r="S3844" s="106"/>
      <c r="T3844" s="22"/>
      <c r="U3844" s="97">
        <f ca="1">U3842-U3843</f>
        <v>24.58028436489343</v>
      </c>
      <c r="V3844" s="110"/>
      <c r="W3844" s="25"/>
      <c r="X3844" s="97">
        <f ca="1">X3842-X3843</f>
        <v>-3.4199675574122992</v>
      </c>
      <c r="Y3844" s="110"/>
      <c r="Z3844" s="25"/>
      <c r="AA3844" s="97">
        <f ca="1">AA3842-AA3843</f>
        <v>-97.302602235219112</v>
      </c>
      <c r="AB3844" s="110"/>
      <c r="AC3844" s="25"/>
      <c r="AD3844" s="97">
        <f ca="1">AD3842-AD3843</f>
        <v>-328.64679324464788</v>
      </c>
      <c r="AE3844" s="110"/>
      <c r="AF3844" s="25"/>
      <c r="AG3844" s="97">
        <f ca="1">AG3842-AG3843</f>
        <v>-734.20561979647994</v>
      </c>
      <c r="AH3844" s="110"/>
      <c r="AI3844" s="25"/>
      <c r="AJ3844" s="97">
        <f ca="1">AJ3842-AJ3843</f>
        <v>-1331.1187424604361</v>
      </c>
      <c r="AK3844" s="110"/>
      <c r="AL3844" s="25"/>
      <c r="AM3844" s="97">
        <f ca="1">AM3842-AM3843</f>
        <v>-1996.6107923610357</v>
      </c>
      <c r="AN3844" s="110"/>
      <c r="AO3844" s="25"/>
      <c r="AP3844" s="97">
        <f ca="1">AP3842-AP3843</f>
        <v>-2701.6295244335242</v>
      </c>
      <c r="AQ3844" s="110"/>
      <c r="AR3844" s="25"/>
      <c r="AS3844" s="97">
        <f ca="1">AS3842-AS3843</f>
        <v>-3725.8979310421796</v>
      </c>
      <c r="AT3844" s="110"/>
      <c r="AU3844" s="25"/>
    </row>
    <row r="3845" spans="15:47" ht="14.4" x14ac:dyDescent="0.3">
      <c r="O3845" s="2" t="s">
        <v>140</v>
      </c>
      <c r="P3845" s="11"/>
      <c r="Q3845" s="2"/>
      <c r="R3845" s="96">
        <f>R3844/R3842</f>
        <v>0.32812592018252834</v>
      </c>
      <c r="S3845" s="106"/>
      <c r="T3845" s="22"/>
      <c r="U3845" s="96">
        <f ca="1">U3844/U3842</f>
        <v>0.29061482293970531</v>
      </c>
      <c r="V3845" s="111"/>
      <c r="W3845" s="28"/>
      <c r="X3845" s="96">
        <f ca="1">X3844/X3842</f>
        <v>-6.0444779010732683E-2</v>
      </c>
      <c r="Y3845" s="111"/>
      <c r="Z3845" s="28"/>
      <c r="AA3845" s="96">
        <f ca="1">AA3844/AA3842</f>
        <v>2.6084668737493928</v>
      </c>
      <c r="AB3845" s="111"/>
      <c r="AC3845" s="28"/>
      <c r="AD3845" s="96">
        <f ca="1">AD3844/AD3842</f>
        <v>1.2233415827352161</v>
      </c>
      <c r="AE3845" s="111"/>
      <c r="AF3845" s="28"/>
      <c r="AG3845" s="96">
        <f ca="1">AG3844/AG3842</f>
        <v>1.0889936218836502</v>
      </c>
      <c r="AH3845" s="111"/>
      <c r="AI3845" s="28"/>
      <c r="AJ3845" s="96">
        <f ca="1">AJ3844/AJ3842</f>
        <v>1.0472025138138246</v>
      </c>
      <c r="AK3845" s="111"/>
      <c r="AL3845" s="28"/>
      <c r="AM3845" s="96">
        <f ca="1">AM3844/AM3842</f>
        <v>1.0309819609787729</v>
      </c>
      <c r="AN3845" s="111"/>
      <c r="AO3845" s="28"/>
      <c r="AP3845" s="96">
        <f ca="1">AP3844/AP3842</f>
        <v>1.0227132531057195</v>
      </c>
      <c r="AQ3845" s="111"/>
      <c r="AR3845" s="28"/>
      <c r="AS3845" s="96">
        <f ca="1">AS3844/AS3842</f>
        <v>1.0163670678040244</v>
      </c>
      <c r="AT3845" s="111"/>
      <c r="AU3845" s="28"/>
    </row>
    <row r="3846" spans="15:47" x14ac:dyDescent="0.25">
      <c r="O3846" s="2" t="s">
        <v>21</v>
      </c>
      <c r="P3846" s="8">
        <v>12</v>
      </c>
      <c r="Q3846" s="2"/>
      <c r="R3846" s="96">
        <f ca="1">1-R3845/(3*F_GAMMA*R$29)</f>
        <v>0.82910901298425588</v>
      </c>
      <c r="S3846" s="106"/>
      <c r="T3846" s="22"/>
      <c r="U3846" s="96">
        <f ca="1">1-U3845/(3*F_GAMMA*U$29)</f>
        <v>0.84868029828681268</v>
      </c>
      <c r="V3846" s="111"/>
      <c r="W3846" s="28"/>
      <c r="X3846" s="96">
        <f ca="1">1-X3845/(3*F_GAMMA*X$29)</f>
        <v>1.031772636627829</v>
      </c>
      <c r="Y3846" s="111"/>
      <c r="Z3846" s="28"/>
      <c r="AA3846" s="96">
        <f ca="1">1-AA3845/(3*F_GAMMA*AA$29)</f>
        <v>-0.39046125613605542</v>
      </c>
      <c r="AB3846" s="111"/>
      <c r="AC3846" s="28"/>
      <c r="AD3846" s="96">
        <f ca="1">1-AD3845/(3*F_GAMMA*AD$29)</f>
        <v>0.32766465438098413</v>
      </c>
      <c r="AE3846" s="111"/>
      <c r="AF3846" s="28"/>
      <c r="AG3846" s="96">
        <f ca="1">1-AG3845/(3*F_GAMMA*AG$29)</f>
        <v>0.36558719844981435</v>
      </c>
      <c r="AH3846" s="111"/>
      <c r="AI3846" s="28"/>
      <c r="AJ3846" s="96">
        <f ca="1">1-AJ3845/(3*F_GAMMA*AJ$29)</f>
        <v>0.34365181810160161</v>
      </c>
      <c r="AK3846" s="111"/>
      <c r="AL3846" s="28"/>
      <c r="AM3846" s="96">
        <f ca="1">1-AM3845/(3*F_GAMMA*AM$29)</f>
        <v>0.27751555542939077</v>
      </c>
      <c r="AN3846" s="111"/>
      <c r="AO3846" s="28"/>
      <c r="AP3846" s="96">
        <f ca="1">1-AP3845/(3*F_GAMMA*AP$29)</f>
        <v>0.42272580337458432</v>
      </c>
      <c r="AQ3846" s="111"/>
      <c r="AR3846" s="28"/>
      <c r="AS3846" s="96">
        <f ca="1">1-AS3845/(3*F_GAMMA*AS$29)</f>
        <v>0.10061572458886747</v>
      </c>
      <c r="AT3846" s="111"/>
      <c r="AU3846" s="28"/>
    </row>
    <row r="3847" spans="15:47" x14ac:dyDescent="0.25">
      <c r="O3847" s="2" t="s">
        <v>57</v>
      </c>
      <c r="P3847" s="143">
        <v>7</v>
      </c>
      <c r="Q3847" s="2"/>
      <c r="R3847" s="96">
        <f ca="1">(R3840/(N_9*R$27*R3842*R3846))*SQRT(M*'Valve Sizing'!$W$6*'Valve Sizing'!$G$8/R3845)</f>
        <v>28.544612245674717</v>
      </c>
      <c r="S3847" s="107"/>
      <c r="T3847" s="22"/>
      <c r="U3847" s="96">
        <f ca="1">(U3840/(N_9*U$27*U3842*U3846))*SQRT(M*'Valve Sizing'!$W$6*'Valve Sizing'!$G$8/U3845)</f>
        <v>78.891524595488391</v>
      </c>
      <c r="V3847" s="111"/>
      <c r="W3847" s="28"/>
      <c r="X3847" s="96" t="e">
        <f ca="1">(X3840/(N_9*X$27*X3842*X3846))*SQRT(M*'Valve Sizing'!$W$6*'Valve Sizing'!$G$8/X3845)</f>
        <v>#NUM!</v>
      </c>
      <c r="Y3847" s="111"/>
      <c r="Z3847" s="28"/>
      <c r="AA3847" s="96">
        <f ca="1">(AA3840/(N_9*AA$27*AA3842*AA3846))*SQRT(M*'Valve Sizing'!$W$6*'Valve Sizing'!$G$8/AA3845)</f>
        <v>624.04607336291986</v>
      </c>
      <c r="AB3847" s="111"/>
      <c r="AC3847" s="28"/>
      <c r="AD3847" s="96">
        <f ca="1">(AD3840/(N_9*AD$27*AD3842*AD3846))*SQRT(M*'Valve Sizing'!$W$6*'Valve Sizing'!$G$8/AD3845)</f>
        <v>-256.09412399107015</v>
      </c>
      <c r="AE3847" s="111"/>
      <c r="AF3847" s="28"/>
      <c r="AG3847" s="96">
        <f ca="1">(AG3840/(N_9*AG$27*AG3842*AG3846))*SQRT(M*'Valve Sizing'!$W$6*'Valve Sizing'!$G$8/AG3845)</f>
        <v>-144.66592253542038</v>
      </c>
      <c r="AH3847" s="111"/>
      <c r="AI3847" s="28"/>
      <c r="AJ3847" s="96">
        <f ca="1">(AJ3840/(N_9*AJ$27*AJ3842*AJ3846))*SQRT(M*'Valve Sizing'!$W$6*'Valve Sizing'!$G$8/AJ3845)</f>
        <v>-115.10257237600348</v>
      </c>
      <c r="AK3847" s="111"/>
      <c r="AL3847" s="28"/>
      <c r="AM3847" s="96">
        <f ca="1">(AM3840/(N_9*AM$27*AM3842*AM3846))*SQRT(M*'Valve Sizing'!$W$6*'Valve Sizing'!$G$8/AM3845)</f>
        <v>-122.06638737364774</v>
      </c>
      <c r="AN3847" s="111"/>
      <c r="AO3847" s="28"/>
      <c r="AP3847" s="96">
        <f ca="1">(AP3840/(N_9*AP$27*AP3842*AP3846))*SQRT(M*'Valve Sizing'!$W$6*'Valve Sizing'!$G$8/AP3845)</f>
        <v>-77.943654888491395</v>
      </c>
      <c r="AQ3847" s="111"/>
      <c r="AR3847" s="28"/>
      <c r="AS3847" s="96">
        <f ca="1">(AS3840/(N_9*AS$27*AS3842*AS3846))*SQRT(M*'Valve Sizing'!$W$6*'Valve Sizing'!$G$8/AS3845)</f>
        <v>-371.76273680802353</v>
      </c>
      <c r="AT3847" s="111"/>
      <c r="AU3847" s="28"/>
    </row>
    <row r="3848" spans="15:47" x14ac:dyDescent="0.25">
      <c r="O3848" s="2" t="s">
        <v>59</v>
      </c>
      <c r="P3848" s="143">
        <v>7</v>
      </c>
      <c r="Q3848" s="2"/>
      <c r="R3848" s="96">
        <f ca="1">(R3840/(N_9*R$27*R3842*0.667))*SQRT(M*'Valve Sizing'!$W$6*'Valve Sizing'!$G$8/R3849)</f>
        <v>25.40564098377283</v>
      </c>
      <c r="S3848" s="107"/>
      <c r="T3848" s="22"/>
      <c r="U3848" s="96">
        <f ca="1">(U3840/(N_9*U$27*U3842*0.667))*SQRT(M*'Valve Sizing'!$W$6*'Valve Sizing'!$G$8/U3849)</f>
        <v>67.632742913946942</v>
      </c>
      <c r="V3848" s="111"/>
      <c r="W3848" s="28"/>
      <c r="X3848" s="96">
        <f ca="1">(X3840/(N_9*X$27*X3842*0.667))*SQRT(M*'Valve Sizing'!$W$6*'Valve Sizing'!$G$8/X3849)</f>
        <v>249.31221889052838</v>
      </c>
      <c r="Y3848" s="111"/>
      <c r="Z3848" s="28"/>
      <c r="AA3848" s="96">
        <f ca="1">(AA3840/(N_9*AA$27*AA3842*0.667))*SQRT(M*'Valve Sizing'!$W$6*'Valve Sizing'!$G$8/AA3849)</f>
        <v>-746.12027475238358</v>
      </c>
      <c r="AB3848" s="111"/>
      <c r="AC3848" s="28"/>
      <c r="AD3848" s="96">
        <f ca="1">(AD3840/(N_9*AD$27*AD3842*0.667))*SQRT(M*'Valve Sizing'!$W$6*'Valve Sizing'!$G$8/AD3849)</f>
        <v>-178.67219587920553</v>
      </c>
      <c r="AE3848" s="111"/>
      <c r="AF3848" s="28"/>
      <c r="AG3848" s="96">
        <f ca="1">(AG3840/(N_9*AG$27*AG3842*0.667))*SQRT(M*'Valve Sizing'!$W$6*'Valve Sizing'!$G$8/AG3849)</f>
        <v>-109.3900908800409</v>
      </c>
      <c r="AH3848" s="111"/>
      <c r="AI3848" s="28"/>
      <c r="AJ3848" s="96">
        <f ca="1">(AJ3840/(N_9*AJ$27*AJ3842*0.667))*SQRT(M*'Valve Sizing'!$W$6*'Valve Sizing'!$G$8/AJ3849)</f>
        <v>-83.215765427481372</v>
      </c>
      <c r="AK3848" s="111"/>
      <c r="AL3848" s="28"/>
      <c r="AM3848" s="96">
        <f ca="1">(AM3840/(N_9*AM$27*AM3842*0.667))*SQRT(M*'Valve Sizing'!$W$6*'Valve Sizing'!$G$8/AM3849)</f>
        <v>-74.770875676949885</v>
      </c>
      <c r="AN3848" s="111"/>
      <c r="AO3848" s="28"/>
      <c r="AP3848" s="96">
        <f ca="1">(AP3840/(N_9*AP$27*AP3842*0.667))*SQRT(M*'Valve Sizing'!$W$6*'Valve Sizing'!$G$8/AP3849)</f>
        <v>-65.007788347884201</v>
      </c>
      <c r="AQ3848" s="111"/>
      <c r="AR3848" s="28"/>
      <c r="AS3848" s="96">
        <f ca="1">(AS3840/(N_9*AS$27*AS3842*0.667))*SQRT(M*'Valve Sizing'!$W$6*'Valve Sizing'!$G$8/AS3849)</f>
        <v>-92.116866071718476</v>
      </c>
      <c r="AT3848" s="111"/>
      <c r="AU3848" s="28"/>
    </row>
    <row r="3849" spans="15:47" ht="15.6" x14ac:dyDescent="0.35">
      <c r="O3849" s="2" t="s">
        <v>68</v>
      </c>
      <c r="P3849" s="143">
        <v>10</v>
      </c>
      <c r="Q3849" s="2"/>
      <c r="R3849" s="96">
        <f ca="1">F_GAMMA*R$29</f>
        <v>0.64002969751372984</v>
      </c>
      <c r="S3849" s="107"/>
      <c r="T3849" s="1"/>
      <c r="U3849" s="96">
        <f ca="1">F_GAMMA*U$29</f>
        <v>0.64017842058782071</v>
      </c>
      <c r="V3849" s="111"/>
      <c r="W3849" s="28"/>
      <c r="X3849" s="96">
        <f ca="1">F_GAMMA*X$29</f>
        <v>0.63413873724904268</v>
      </c>
      <c r="Y3849" s="111"/>
      <c r="Z3849" s="28"/>
      <c r="AA3849" s="96">
        <f ca="1">F_GAMMA*AA$29</f>
        <v>0.62532411750377137</v>
      </c>
      <c r="AB3849" s="111"/>
      <c r="AC3849" s="28"/>
      <c r="AD3849" s="96">
        <f ca="1">F_GAMMA*AD$29</f>
        <v>0.60651359509139569</v>
      </c>
      <c r="AE3849" s="111"/>
      <c r="AF3849" s="28"/>
      <c r="AG3849" s="96">
        <f ca="1">F_GAMMA*AG$29</f>
        <v>0.57217930198481592</v>
      </c>
      <c r="AH3849" s="111"/>
      <c r="AI3849" s="28"/>
      <c r="AJ3849" s="96">
        <f ca="1">F_GAMMA*AJ$29</f>
        <v>0.53183282018848232</v>
      </c>
      <c r="AK3849" s="111"/>
      <c r="AL3849" s="28"/>
      <c r="AM3849" s="96">
        <f ca="1">F_GAMMA*AM$29</f>
        <v>0.47566512503094399</v>
      </c>
      <c r="AN3849" s="111"/>
      <c r="AO3849" s="28"/>
      <c r="AP3849" s="96">
        <f ca="1">F_GAMMA*AP$29</f>
        <v>0.59054158265645496</v>
      </c>
      <c r="AQ3849" s="111"/>
      <c r="AR3849" s="28"/>
      <c r="AS3849" s="96">
        <f ca="1">F_GAMMA*AS$29</f>
        <v>0.3766899554102966</v>
      </c>
      <c r="AT3849" s="111"/>
      <c r="AU3849" s="28"/>
    </row>
    <row r="3850" spans="15:47" x14ac:dyDescent="0.25">
      <c r="O3850" s="2" t="s">
        <v>145</v>
      </c>
      <c r="P3850" s="12"/>
      <c r="Q3850" s="2"/>
      <c r="R3850" s="96">
        <f ca="1">IF(R3845&lt;R3849,R3847,R3848)</f>
        <v>28.544612245674717</v>
      </c>
      <c r="S3850" s="116"/>
      <c r="T3850" s="1"/>
      <c r="U3850" s="96">
        <f ca="1">IF(U3845&lt;U3849,U3847,U3848)</f>
        <v>78.891524595488391</v>
      </c>
      <c r="V3850" s="111"/>
      <c r="W3850" s="28"/>
      <c r="X3850" s="96" t="e">
        <f ca="1">IF(X3845&lt;X3849,X3847,X3848)</f>
        <v>#NUM!</v>
      </c>
      <c r="Y3850" s="111"/>
      <c r="Z3850" s="28"/>
      <c r="AA3850" s="96">
        <f ca="1">IF(AA3845&lt;AA3849,AA3847,AA3848)</f>
        <v>-746.12027475238358</v>
      </c>
      <c r="AB3850" s="111"/>
      <c r="AC3850" s="28"/>
      <c r="AD3850" s="96">
        <f ca="1">IF(AD3845&lt;AD3849,AD3847,AD3848)</f>
        <v>-178.67219587920553</v>
      </c>
      <c r="AE3850" s="111"/>
      <c r="AF3850" s="28"/>
      <c r="AG3850" s="96">
        <f ca="1">IF(AG3845&lt;AG3849,AG3847,AG3848)</f>
        <v>-109.3900908800409</v>
      </c>
      <c r="AH3850" s="111"/>
      <c r="AI3850" s="28"/>
      <c r="AJ3850" s="96">
        <f ca="1">IF(AJ3845&lt;AJ3849,AJ3847,AJ3848)</f>
        <v>-83.215765427481372</v>
      </c>
      <c r="AK3850" s="111"/>
      <c r="AL3850" s="28"/>
      <c r="AM3850" s="96">
        <f ca="1">IF(AM3845&lt;AM3849,AM3847,AM3848)</f>
        <v>-74.770875676949885</v>
      </c>
      <c r="AN3850" s="111"/>
      <c r="AO3850" s="28"/>
      <c r="AP3850" s="96">
        <f ca="1">IF(AP3845&lt;AP3849,AP3847,AP3848)</f>
        <v>-65.007788347884201</v>
      </c>
      <c r="AQ3850" s="111"/>
      <c r="AR3850" s="28"/>
      <c r="AS3850" s="96">
        <f ca="1">IF(AS3845&lt;AS3849,AS3847,AS3848)</f>
        <v>-92.116866071718476</v>
      </c>
      <c r="AT3850" s="111"/>
      <c r="AU3850" s="28"/>
    </row>
    <row r="3851" spans="15:47" x14ac:dyDescent="0.25">
      <c r="O3851" s="13" t="s">
        <v>143</v>
      </c>
      <c r="P3851" s="1"/>
      <c r="Q3851" s="1"/>
      <c r="R3851" s="113"/>
      <c r="S3851" s="106">
        <f ca="1">IF(R3844&lt;=0,Q_max,ABS(R$23-R3850))</f>
        <v>23.814612245674716</v>
      </c>
      <c r="T3851" s="7">
        <f>R3840</f>
        <v>69587.844255132542</v>
      </c>
      <c r="U3851" s="98"/>
      <c r="V3851" s="106">
        <f ca="1">IF(U3844&lt;=0,Q_max,ABS(U$23-U3850))</f>
        <v>67.291524595488397</v>
      </c>
      <c r="W3851" s="9">
        <f ca="1">U3840</f>
        <v>175360.42651570562</v>
      </c>
      <c r="X3851" s="98"/>
      <c r="Y3851" s="106">
        <f ca="1">IF(X3844&lt;=0,Q_max,ABS(X$23-X3850))</f>
        <v>236393</v>
      </c>
      <c r="Z3851" s="9">
        <f ca="1">X3840</f>
        <v>429393.2702066506</v>
      </c>
      <c r="AA3851" s="98"/>
      <c r="AB3851" s="106">
        <f ca="1">IF(AA3844&lt;=0,Q_max,ABS(AA$23-AA3850))</f>
        <v>236393</v>
      </c>
      <c r="AC3851" s="9">
        <f ca="1">AA3840</f>
        <v>836348.48969981365</v>
      </c>
      <c r="AD3851" s="98"/>
      <c r="AE3851" s="106">
        <f ca="1">IF(AD3844&lt;=0,Q_max,ABS(AD$23-AD3850))</f>
        <v>236393</v>
      </c>
      <c r="AF3851" s="9">
        <f ca="1">AD3840</f>
        <v>1403132.5956516431</v>
      </c>
      <c r="AG3851" s="98"/>
      <c r="AH3851" s="106">
        <f ca="1">IF(AG3844&lt;=0,Q_max,ABS(AG$23-AG3850))</f>
        <v>236393</v>
      </c>
      <c r="AI3851" s="9">
        <f ca="1">AG3840</f>
        <v>2047910.2392718727</v>
      </c>
      <c r="AJ3851" s="98"/>
      <c r="AK3851" s="106">
        <f ca="1">IF(AJ3844&lt;=0,Q_max,ABS(AJ$23-AJ3850))</f>
        <v>236393</v>
      </c>
      <c r="AL3851" s="9">
        <f ca="1">AJ3840</f>
        <v>2732944.1531700436</v>
      </c>
      <c r="AM3851" s="98"/>
      <c r="AN3851" s="106">
        <f ca="1">IF(AM3844&lt;=0,Q_max,ABS(AM$23-AM3850))</f>
        <v>236393</v>
      </c>
      <c r="AO3851" s="9">
        <f ca="1">AM3840</f>
        <v>3334711.2354321186</v>
      </c>
      <c r="AP3851" s="98"/>
      <c r="AQ3851" s="106">
        <f ca="1">IF(AP3844&lt;=0,Q_max,ABS(AP$23-AP3850))</f>
        <v>236393</v>
      </c>
      <c r="AR3851" s="9">
        <f ca="1">AP3840</f>
        <v>3871496.2194602243</v>
      </c>
      <c r="AS3851" s="98"/>
      <c r="AT3851" s="106">
        <f ca="1">IF(AS3844&lt;=0,Q_max,ABS(AS$23-AS3850))</f>
        <v>236393</v>
      </c>
      <c r="AU3851" s="9">
        <f ca="1">AS3840</f>
        <v>4539633.7908418924</v>
      </c>
    </row>
    <row r="3852" spans="15:47" x14ac:dyDescent="0.25">
      <c r="O3852" s="21"/>
      <c r="P3852" s="14"/>
      <c r="Q3852" s="21"/>
      <c r="R3852" s="97"/>
      <c r="S3852" s="106"/>
      <c r="T3852" s="28"/>
      <c r="U3852" s="98"/>
      <c r="V3852" s="108"/>
      <c r="W3852" s="26"/>
      <c r="X3852" s="98"/>
      <c r="Y3852" s="108"/>
      <c r="Z3852" s="26"/>
      <c r="AA3852" s="98"/>
      <c r="AB3852" s="108"/>
      <c r="AC3852" s="26"/>
      <c r="AD3852" s="98"/>
      <c r="AE3852" s="108"/>
      <c r="AF3852" s="26"/>
      <c r="AG3852" s="98"/>
      <c r="AH3852" s="108"/>
      <c r="AI3852" s="26"/>
      <c r="AJ3852" s="98"/>
      <c r="AK3852" s="108"/>
      <c r="AL3852" s="26"/>
      <c r="AM3852" s="98"/>
      <c r="AN3852" s="108"/>
      <c r="AO3852" s="26"/>
      <c r="AP3852" s="98"/>
      <c r="AQ3852" s="108"/>
      <c r="AR3852" s="26"/>
      <c r="AS3852" s="98"/>
      <c r="AT3852" s="108"/>
      <c r="AU3852" s="26"/>
    </row>
    <row r="3853" spans="15:47" x14ac:dyDescent="0.25">
      <c r="O3853" s="1"/>
      <c r="P3853" s="1"/>
      <c r="Q3853" s="1"/>
      <c r="R3853" s="98"/>
      <c r="S3853" s="108" t="s">
        <v>137</v>
      </c>
      <c r="T3853" s="26" t="s">
        <v>146</v>
      </c>
      <c r="U3853" s="98"/>
      <c r="V3853" s="108" t="s">
        <v>137</v>
      </c>
      <c r="W3853" s="26" t="s">
        <v>146</v>
      </c>
      <c r="X3853" s="98"/>
      <c r="Y3853" s="108" t="s">
        <v>137</v>
      </c>
      <c r="Z3853" s="26" t="s">
        <v>146</v>
      </c>
      <c r="AA3853" s="98"/>
      <c r="AB3853" s="108" t="s">
        <v>137</v>
      </c>
      <c r="AC3853" s="26" t="s">
        <v>146</v>
      </c>
      <c r="AD3853" s="98"/>
      <c r="AE3853" s="108" t="s">
        <v>137</v>
      </c>
      <c r="AF3853" s="26" t="s">
        <v>146</v>
      </c>
      <c r="AG3853" s="98"/>
      <c r="AH3853" s="108" t="s">
        <v>137</v>
      </c>
      <c r="AI3853" s="26" t="s">
        <v>146</v>
      </c>
      <c r="AJ3853" s="98"/>
      <c r="AK3853" s="108" t="s">
        <v>137</v>
      </c>
      <c r="AL3853" s="26" t="s">
        <v>146</v>
      </c>
      <c r="AM3853" s="98"/>
      <c r="AN3853" s="108" t="s">
        <v>137</v>
      </c>
      <c r="AO3853" s="26" t="s">
        <v>146</v>
      </c>
      <c r="AP3853" s="98"/>
      <c r="AQ3853" s="108" t="s">
        <v>137</v>
      </c>
      <c r="AR3853" s="26" t="s">
        <v>146</v>
      </c>
      <c r="AS3853" s="98"/>
      <c r="AT3853" s="108" t="s">
        <v>137</v>
      </c>
      <c r="AU3853" s="26" t="s">
        <v>146</v>
      </c>
    </row>
    <row r="3854" spans="15:47" ht="13.8" x14ac:dyDescent="0.25">
      <c r="O3854" s="20" t="s">
        <v>136</v>
      </c>
      <c r="P3854" s="1"/>
      <c r="Q3854" s="1"/>
      <c r="R3854" s="96">
        <f>R3840*1.02</f>
        <v>70979.601140235201</v>
      </c>
      <c r="S3854" s="109" t="s">
        <v>144</v>
      </c>
      <c r="T3854" s="23" t="s">
        <v>147</v>
      </c>
      <c r="U3854" s="96">
        <f ca="1">U3840*1.01</f>
        <v>177114.03078086267</v>
      </c>
      <c r="V3854" s="109" t="s">
        <v>144</v>
      </c>
      <c r="W3854" s="23" t="s">
        <v>147</v>
      </c>
      <c r="X3854" s="96">
        <f ca="1">X3840*1.01</f>
        <v>433687.2029087171</v>
      </c>
      <c r="Y3854" s="109" t="s">
        <v>144</v>
      </c>
      <c r="Z3854" s="23" t="s">
        <v>147</v>
      </c>
      <c r="AA3854" s="96">
        <f ca="1">AA3840*1.01</f>
        <v>844711.97459681181</v>
      </c>
      <c r="AB3854" s="109" t="s">
        <v>144</v>
      </c>
      <c r="AC3854" s="23" t="s">
        <v>147</v>
      </c>
      <c r="AD3854" s="96">
        <f ca="1">AD3840*1.01</f>
        <v>1417163.9216081596</v>
      </c>
      <c r="AE3854" s="109" t="s">
        <v>144</v>
      </c>
      <c r="AF3854" s="23" t="s">
        <v>147</v>
      </c>
      <c r="AG3854" s="96">
        <f ca="1">AG3840*1.01</f>
        <v>2068389.3416645913</v>
      </c>
      <c r="AH3854" s="109" t="s">
        <v>144</v>
      </c>
      <c r="AI3854" s="23" t="s">
        <v>147</v>
      </c>
      <c r="AJ3854" s="96">
        <f ca="1">AJ3840*1.01</f>
        <v>2760273.5947017442</v>
      </c>
      <c r="AK3854" s="109" t="s">
        <v>144</v>
      </c>
      <c r="AL3854" s="23" t="s">
        <v>147</v>
      </c>
      <c r="AM3854" s="96">
        <f ca="1">AM3840*1.01</f>
        <v>3368058.34778644</v>
      </c>
      <c r="AN3854" s="109" t="s">
        <v>144</v>
      </c>
      <c r="AO3854" s="23" t="s">
        <v>147</v>
      </c>
      <c r="AP3854" s="96">
        <f ca="1">AP3840*1.01</f>
        <v>3910211.1816548267</v>
      </c>
      <c r="AQ3854" s="109" t="s">
        <v>144</v>
      </c>
      <c r="AR3854" s="23" t="s">
        <v>147</v>
      </c>
      <c r="AS3854" s="96">
        <f ca="1">AS3840*1.01</f>
        <v>4585030.1287503112</v>
      </c>
      <c r="AT3854" s="109" t="s">
        <v>144</v>
      </c>
      <c r="AU3854" s="23" t="s">
        <v>147</v>
      </c>
    </row>
    <row r="3855" spans="15:47" x14ac:dyDescent="0.25">
      <c r="O3855" s="1"/>
      <c r="P3855" s="1"/>
      <c r="Q3855" s="1"/>
      <c r="R3855" s="98"/>
      <c r="S3855" s="107"/>
      <c r="T3855" s="1"/>
      <c r="U3855" s="47"/>
      <c r="V3855" s="107"/>
      <c r="W3855" s="1"/>
      <c r="X3855" s="47"/>
      <c r="Y3855" s="107"/>
      <c r="Z3855" s="1"/>
      <c r="AA3855" s="47"/>
      <c r="AB3855" s="107"/>
      <c r="AC3855" s="1"/>
      <c r="AD3855" s="47"/>
      <c r="AE3855" s="107"/>
      <c r="AF3855" s="1"/>
      <c r="AG3855" s="47"/>
      <c r="AH3855" s="107"/>
      <c r="AI3855" s="1"/>
      <c r="AJ3855" s="47"/>
      <c r="AK3855" s="107"/>
      <c r="AL3855" s="1"/>
      <c r="AM3855" s="47"/>
      <c r="AN3855" s="107"/>
      <c r="AO3855" s="1"/>
      <c r="AP3855" s="47"/>
      <c r="AQ3855" s="107"/>
      <c r="AR3855" s="1"/>
      <c r="AS3855" s="47"/>
      <c r="AT3855" s="107"/>
      <c r="AU3855" s="1"/>
    </row>
    <row r="3856" spans="15:47" x14ac:dyDescent="0.25">
      <c r="O3856" s="8" t="s">
        <v>132</v>
      </c>
      <c r="P3856" s="8"/>
      <c r="Q3856" s="8"/>
      <c r="R3856" s="96">
        <f>P_1_minQ-(R3854^2*R_up)+dpup_minQ</f>
        <v>89.266791144946708</v>
      </c>
      <c r="S3856" s="106"/>
      <c r="T3856" s="22"/>
      <c r="U3856" s="96">
        <f ca="1">P_1_minQ-(U3854^2*R_up)+dpup_minQ</f>
        <v>84.467628765969664</v>
      </c>
      <c r="V3856" s="107"/>
      <c r="W3856" s="1"/>
      <c r="X3856" s="96">
        <f ca="1">P_1_minQ-(X3854^2*R_up)+dpup_minQ</f>
        <v>55.904571780025584</v>
      </c>
      <c r="Y3856" s="107"/>
      <c r="Z3856" s="1"/>
      <c r="AA3856" s="96">
        <f ca="1">P_1_minQ-(AA3854^2*R_up)+dpup_minQ</f>
        <v>-39.86510385480517</v>
      </c>
      <c r="AB3856" s="107"/>
      <c r="AC3856" s="1"/>
      <c r="AD3856" s="96">
        <f ca="1">P_1_minQ-(AD3854^2*R_up)+dpup_minQ</f>
        <v>-275.85931310352345</v>
      </c>
      <c r="AE3856" s="107"/>
      <c r="AF3856" s="1"/>
      <c r="AG3856" s="96">
        <f ca="1">P_1_minQ-(AG3854^2*R_up)+dpup_minQ</f>
        <v>-689.56987206904728</v>
      </c>
      <c r="AH3856" s="107"/>
      <c r="AI3856" s="1"/>
      <c r="AJ3856" s="96">
        <f ca="1">P_1_minQ-(AJ3854^2*R_up)+dpup_minQ</f>
        <v>-1298.480948498549</v>
      </c>
      <c r="AK3856" s="107"/>
      <c r="AL3856" s="1"/>
      <c r="AM3856" s="96">
        <f ca="1">P_1_minQ-(AM3854^2*R_up)+dpup_minQ</f>
        <v>-1977.3493886021508</v>
      </c>
      <c r="AN3856" s="107"/>
      <c r="AO3856" s="1"/>
      <c r="AP3856" s="96">
        <f ca="1">P_1_minQ-(AP3854^2*R_up)+dpup_minQ</f>
        <v>-2696.5389971892964</v>
      </c>
      <c r="AQ3856" s="107"/>
      <c r="AR3856" s="1"/>
      <c r="AS3856" s="96">
        <f ca="1">P_1_minQ-(AS3854^2*R_up)+dpup_minQ</f>
        <v>-3741.3951987707846</v>
      </c>
      <c r="AT3856" s="107"/>
      <c r="AU3856" s="1"/>
    </row>
    <row r="3857" spans="15:47" x14ac:dyDescent="0.25">
      <c r="O3857" s="8" t="s">
        <v>134</v>
      </c>
      <c r="P3857" s="1"/>
      <c r="Q3857" s="8"/>
      <c r="R3857" s="97">
        <f>P_2_minQ+(R3854^2*R_dn)-dpdn_minQ</f>
        <v>60</v>
      </c>
      <c r="S3857" s="106"/>
      <c r="T3857" s="22"/>
      <c r="U3857" s="97">
        <f ca="1">P_2_minQ+(U3854^2*R_dn)-dpdn_minQ</f>
        <v>60</v>
      </c>
      <c r="V3857" s="107"/>
      <c r="W3857" s="1"/>
      <c r="X3857" s="97">
        <f ca="1">P_2_minQ+(X3854^2*R_dn)-dpdn_minQ</f>
        <v>60</v>
      </c>
      <c r="Y3857" s="107"/>
      <c r="Z3857" s="1"/>
      <c r="AA3857" s="97">
        <f ca="1">P_2_minQ+(AA3854^2*R_dn)-dpdn_minQ</f>
        <v>60</v>
      </c>
      <c r="AB3857" s="107"/>
      <c r="AC3857" s="1"/>
      <c r="AD3857" s="97">
        <f ca="1">P_2_minQ+(AD3854^2*R_dn)-dpdn_minQ</f>
        <v>60</v>
      </c>
      <c r="AE3857" s="107"/>
      <c r="AF3857" s="1"/>
      <c r="AG3857" s="97">
        <f ca="1">P_2_minQ+(AG3854^2*R_dn)-dpdn_minQ</f>
        <v>60</v>
      </c>
      <c r="AH3857" s="107"/>
      <c r="AI3857" s="1"/>
      <c r="AJ3857" s="97">
        <f ca="1">P_2_minQ+(AJ3854^2*R_dn)-dpdn_minQ</f>
        <v>60</v>
      </c>
      <c r="AK3857" s="107"/>
      <c r="AL3857" s="1"/>
      <c r="AM3857" s="97">
        <f ca="1">P_2_minQ+(AM3854^2*R_dn)-dpdn_minQ</f>
        <v>60</v>
      </c>
      <c r="AN3857" s="107"/>
      <c r="AO3857" s="1"/>
      <c r="AP3857" s="97">
        <f ca="1">P_2_minQ+(AP3854^2*R_dn)-dpdn_minQ</f>
        <v>60</v>
      </c>
      <c r="AQ3857" s="107"/>
      <c r="AR3857" s="1"/>
      <c r="AS3857" s="97">
        <f ca="1">P_2_minQ+(AS3854^2*R_dn)-dpdn_minQ</f>
        <v>60</v>
      </c>
      <c r="AT3857" s="107"/>
      <c r="AU3857" s="1"/>
    </row>
    <row r="3858" spans="15:47" x14ac:dyDescent="0.25">
      <c r="O3858" s="8" t="s">
        <v>138</v>
      </c>
      <c r="P3858" s="1"/>
      <c r="Q3858" s="8"/>
      <c r="R3858" s="97">
        <f>R3856-R3857</f>
        <v>29.266791144946708</v>
      </c>
      <c r="S3858" s="106"/>
      <c r="T3858" s="22"/>
      <c r="U3858" s="97">
        <f ca="1">U3856-U3857</f>
        <v>24.467628765969664</v>
      </c>
      <c r="V3858" s="110"/>
      <c r="W3858" s="25"/>
      <c r="X3858" s="97">
        <f ca="1">X3856-X3857</f>
        <v>-4.0954282199744156</v>
      </c>
      <c r="Y3858" s="110"/>
      <c r="Z3858" s="25"/>
      <c r="AA3858" s="97">
        <f ca="1">AA3856-AA3857</f>
        <v>-99.86510385480517</v>
      </c>
      <c r="AB3858" s="110"/>
      <c r="AC3858" s="25"/>
      <c r="AD3858" s="97">
        <f ca="1">AD3856-AD3857</f>
        <v>-335.85931310352345</v>
      </c>
      <c r="AE3858" s="110"/>
      <c r="AF3858" s="25"/>
      <c r="AG3858" s="97">
        <f ca="1">AG3856-AG3857</f>
        <v>-749.56987206904728</v>
      </c>
      <c r="AH3858" s="110"/>
      <c r="AI3858" s="25"/>
      <c r="AJ3858" s="97">
        <f ca="1">AJ3856-AJ3857</f>
        <v>-1358.480948498549</v>
      </c>
      <c r="AK3858" s="110"/>
      <c r="AL3858" s="25"/>
      <c r="AM3858" s="97">
        <f ca="1">AM3856-AM3857</f>
        <v>-2037.3493886021508</v>
      </c>
      <c r="AN3858" s="110"/>
      <c r="AO3858" s="25"/>
      <c r="AP3858" s="97">
        <f ca="1">AP3856-AP3857</f>
        <v>-2756.5389971892964</v>
      </c>
      <c r="AQ3858" s="110"/>
      <c r="AR3858" s="25"/>
      <c r="AS3858" s="97">
        <f ca="1">AS3856-AS3857</f>
        <v>-3801.3951987707846</v>
      </c>
      <c r="AT3858" s="110"/>
      <c r="AU3858" s="25"/>
    </row>
    <row r="3859" spans="15:47" ht="14.4" x14ac:dyDescent="0.3">
      <c r="O3859" s="2" t="s">
        <v>140</v>
      </c>
      <c r="P3859" s="11"/>
      <c r="Q3859" s="2"/>
      <c r="R3859" s="96">
        <f>R3858/R3856</f>
        <v>0.32785754668188793</v>
      </c>
      <c r="S3859" s="106"/>
      <c r="T3859" s="22"/>
      <c r="U3859" s="96">
        <f ca="1">U3858/U3856</f>
        <v>0.28966870650247478</v>
      </c>
      <c r="V3859" s="111"/>
      <c r="W3859" s="28"/>
      <c r="X3859" s="96">
        <f ca="1">X3858/X3856</f>
        <v>-7.3257483056827402E-2</v>
      </c>
      <c r="Y3859" s="111"/>
      <c r="Z3859" s="28"/>
      <c r="AA3859" s="96">
        <f ca="1">AA3858/AA3856</f>
        <v>2.5050757228309051</v>
      </c>
      <c r="AB3859" s="111"/>
      <c r="AC3859" s="28"/>
      <c r="AD3859" s="96">
        <f ca="1">AD3858/AD3856</f>
        <v>1.2175021728466475</v>
      </c>
      <c r="AE3859" s="111"/>
      <c r="AF3859" s="28"/>
      <c r="AG3859" s="96">
        <f ca="1">AG3858/AG3856</f>
        <v>1.0870107619695892</v>
      </c>
      <c r="AH3859" s="111"/>
      <c r="AI3859" s="28"/>
      <c r="AJ3859" s="96">
        <f ca="1">AJ3858/AJ3856</f>
        <v>1.0462078400683343</v>
      </c>
      <c r="AK3859" s="111"/>
      <c r="AL3859" s="28"/>
      <c r="AM3859" s="96">
        <f ca="1">AM3858/AM3856</f>
        <v>1.0303436511250124</v>
      </c>
      <c r="AN3859" s="111"/>
      <c r="AO3859" s="28"/>
      <c r="AP3859" s="96">
        <f ca="1">AP3858/AP3856</f>
        <v>1.0222507444033038</v>
      </c>
      <c r="AQ3859" s="111"/>
      <c r="AR3859" s="28"/>
      <c r="AS3859" s="96">
        <f ca="1">AS3858/AS3856</f>
        <v>1.0160367982563598</v>
      </c>
      <c r="AT3859" s="111"/>
      <c r="AU3859" s="28"/>
    </row>
    <row r="3860" spans="15:47" x14ac:dyDescent="0.25">
      <c r="O3860" s="2" t="s">
        <v>21</v>
      </c>
      <c r="P3860" s="8">
        <v>12</v>
      </c>
      <c r="Q3860" s="2"/>
      <c r="R3860" s="96">
        <f ca="1">1-R3859/(3*F_GAMMA*R$29)</f>
        <v>0.82924878436345018</v>
      </c>
      <c r="S3860" s="106"/>
      <c r="T3860" s="22"/>
      <c r="U3860" s="96">
        <f ca="1">1-U3859/(3*F_GAMMA*U$29)</f>
        <v>0.84917292992761984</v>
      </c>
      <c r="V3860" s="111"/>
      <c r="W3860" s="28"/>
      <c r="X3860" s="96">
        <f ca="1">1-X3859/(3*F_GAMMA*X$29)</f>
        <v>1.0385076002845612</v>
      </c>
      <c r="Y3860" s="111"/>
      <c r="Z3860" s="28"/>
      <c r="AA3860" s="96">
        <f ca="1">1-AA3859/(3*F_GAMMA*AA$29)</f>
        <v>-0.33534789011012189</v>
      </c>
      <c r="AB3860" s="111"/>
      <c r="AC3860" s="28"/>
      <c r="AD3860" s="96">
        <f ca="1">1-AD3859/(3*F_GAMMA*AD$29)</f>
        <v>0.33087393110389562</v>
      </c>
      <c r="AE3860" s="111"/>
      <c r="AF3860" s="28"/>
      <c r="AG3860" s="96">
        <f ca="1">1-AG3859/(3*F_GAMMA*AG$29)</f>
        <v>0.36674234912093129</v>
      </c>
      <c r="AH3860" s="111"/>
      <c r="AI3860" s="28"/>
      <c r="AJ3860" s="96">
        <f ca="1">1-AJ3859/(3*F_GAMMA*AJ$29)</f>
        <v>0.34427524317537939</v>
      </c>
      <c r="AK3860" s="111"/>
      <c r="AL3860" s="28"/>
      <c r="AM3860" s="96">
        <f ca="1">1-AM3859/(3*F_GAMMA*AM$29)</f>
        <v>0.27796286581658736</v>
      </c>
      <c r="AN3860" s="111"/>
      <c r="AO3860" s="28"/>
      <c r="AP3860" s="96">
        <f ca="1">1-AP3859/(3*F_GAMMA*AP$29)</f>
        <v>0.42298686808535102</v>
      </c>
      <c r="AQ3860" s="111"/>
      <c r="AR3860" s="28"/>
      <c r="AS3860" s="96">
        <f ca="1">1-AS3859/(3*F_GAMMA*AS$29)</f>
        <v>0.1009079804551053</v>
      </c>
      <c r="AT3860" s="111"/>
      <c r="AU3860" s="28"/>
    </row>
    <row r="3861" spans="15:47" x14ac:dyDescent="0.25">
      <c r="O3861" s="2" t="s">
        <v>57</v>
      </c>
      <c r="P3861" s="143">
        <v>7</v>
      </c>
      <c r="Q3861" s="2"/>
      <c r="R3861" s="96">
        <f ca="1">(R3854/(N_9*R$27*R3856*R3860))*SQRT(M*'Valve Sizing'!$W$6*'Valve Sizing'!$G$8/R3859)</f>
        <v>29.134141775607478</v>
      </c>
      <c r="S3861" s="107"/>
      <c r="T3861" s="22"/>
      <c r="U3861" s="96">
        <f ca="1">(U3854/(N_9*U$27*U3856*U3860))*SQRT(M*'Valve Sizing'!$W$6*'Valve Sizing'!$G$8/U3859)</f>
        <v>79.870541944230695</v>
      </c>
      <c r="V3861" s="111"/>
      <c r="W3861" s="28"/>
      <c r="X3861" s="96" t="e">
        <f ca="1">(X3854/(N_9*X$27*X3856*X3860))*SQRT(M*'Valve Sizing'!$W$6*'Valve Sizing'!$G$8/X3859)</f>
        <v>#NUM!</v>
      </c>
      <c r="Y3861" s="111"/>
      <c r="Z3861" s="28"/>
      <c r="AA3861" s="96">
        <f ca="1">(AA3854/(N_9*AA$27*AA3856*AA3860))*SQRT(M*'Valve Sizing'!$W$6*'Valve Sizing'!$G$8/AA3859)</f>
        <v>700.72701447057227</v>
      </c>
      <c r="AB3861" s="111"/>
      <c r="AC3861" s="28"/>
      <c r="AD3861" s="96">
        <f ca="1">(AD3854/(N_9*AD$27*AD3856*AD3860))*SQRT(M*'Valve Sizing'!$W$6*'Valve Sizing'!$G$8/AD3859)</f>
        <v>-250.04664932282012</v>
      </c>
      <c r="AE3861" s="111"/>
      <c r="AF3861" s="28"/>
      <c r="AG3861" s="96">
        <f ca="1">(AG3854/(N_9*AG$27*AG3856*AG3860))*SQRT(M*'Valve Sizing'!$W$6*'Valve Sizing'!$G$8/AG3859)</f>
        <v>-142.5369192822865</v>
      </c>
      <c r="AH3861" s="111"/>
      <c r="AI3861" s="28"/>
      <c r="AJ3861" s="96">
        <f ca="1">(AJ3854/(N_9*AJ$27*AJ3856*AJ3860))*SQRT(M*'Valve Sizing'!$W$6*'Valve Sizing'!$G$8/AJ3859)</f>
        <v>-113.65175563526321</v>
      </c>
      <c r="AK3861" s="111"/>
      <c r="AL3861" s="28"/>
      <c r="AM3861" s="96">
        <f ca="1">(AM3854/(N_9*AM$27*AM3856*AM3860))*SQRT(M*'Valve Sizing'!$W$6*'Valve Sizing'!$G$8/AM3859)</f>
        <v>-120.59003842015841</v>
      </c>
      <c r="AN3861" s="111"/>
      <c r="AO3861" s="28"/>
      <c r="AP3861" s="96">
        <f ca="1">(AP3854/(N_9*AP$27*AP3856*AP3860))*SQRT(M*'Valve Sizing'!$W$6*'Valve Sizing'!$G$8/AP3859)</f>
        <v>-77.089892957828567</v>
      </c>
      <c r="AQ3861" s="111"/>
      <c r="AR3861" s="28"/>
      <c r="AS3861" s="96">
        <f ca="1">(AS3854/(N_9*AS$27*AS3856*AS3860))*SQRT(M*'Valve Sizing'!$W$6*'Valve Sizing'!$G$8/AS3859)</f>
        <v>-366.89765250524368</v>
      </c>
      <c r="AT3861" s="111"/>
      <c r="AU3861" s="28"/>
    </row>
    <row r="3862" spans="15:47" x14ac:dyDescent="0.25">
      <c r="O3862" s="2" t="s">
        <v>59</v>
      </c>
      <c r="P3862" s="143">
        <v>7</v>
      </c>
      <c r="Q3862" s="2"/>
      <c r="R3862" s="96">
        <f ca="1">(R3854/(N_9*R$27*R3856*0.667))*SQRT(M*'Valve Sizing'!$W$6*'Valve Sizing'!$G$8/R3863)</f>
        <v>25.924104797826367</v>
      </c>
      <c r="S3862" s="107"/>
      <c r="T3862" s="22"/>
      <c r="U3862" s="96">
        <f ca="1">(U3854/(N_9*U$27*U3856*0.667))*SQRT(M*'Valve Sizing'!$W$6*'Valve Sizing'!$G$8/U3863)</f>
        <v>68.400175057920393</v>
      </c>
      <c r="V3862" s="111"/>
      <c r="W3862" s="28"/>
      <c r="X3862" s="96">
        <f ca="1">(X3854/(N_9*X$27*X3856*0.667))*SQRT(M*'Valve Sizing'!$W$6*'Valve Sizing'!$G$8/X3863)</f>
        <v>254.84775061959516</v>
      </c>
      <c r="Y3862" s="111"/>
      <c r="Z3862" s="28"/>
      <c r="AA3862" s="96">
        <f ca="1">(AA3854/(N_9*AA$27*AA3856*0.667))*SQRT(M*'Valve Sizing'!$W$6*'Valve Sizing'!$G$8/AA3863)</f>
        <v>-705.14177535798513</v>
      </c>
      <c r="AB3862" s="111"/>
      <c r="AC3862" s="28"/>
      <c r="AD3862" s="96">
        <f ca="1">(AD3854/(N_9*AD$27*AD3856*0.667))*SQRT(M*'Valve Sizing'!$W$6*'Valve Sizing'!$G$8/AD3863)</f>
        <v>-175.74070291179243</v>
      </c>
      <c r="AE3862" s="111"/>
      <c r="AF3862" s="28"/>
      <c r="AG3862" s="96">
        <f ca="1">(AG3854/(N_9*AG$27*AG3856*0.667))*SQRT(M*'Valve Sizing'!$W$6*'Valve Sizing'!$G$8/AG3863)</f>
        <v>-108.02230662729173</v>
      </c>
      <c r="AH3862" s="111"/>
      <c r="AI3862" s="28"/>
      <c r="AJ3862" s="96">
        <f ca="1">(AJ3854/(N_9*AJ$27*AJ3856*0.667))*SQRT(M*'Valve Sizing'!$W$6*'Valve Sizing'!$G$8/AJ3863)</f>
        <v>-82.276825407125173</v>
      </c>
      <c r="AK3862" s="111"/>
      <c r="AL3862" s="28"/>
      <c r="AM3862" s="96">
        <f ca="1">(AM3854/(N_9*AM$27*AM3856*0.667))*SQRT(M*'Valve Sizing'!$W$6*'Valve Sizing'!$G$8/AM3863)</f>
        <v>-73.962703041346572</v>
      </c>
      <c r="AN3862" s="111"/>
      <c r="AO3862" s="28"/>
      <c r="AP3862" s="96">
        <f ca="1">(AP3854/(N_9*AP$27*AP3856*0.667))*SQRT(M*'Valve Sizing'!$W$6*'Valve Sizing'!$G$8/AP3863)</f>
        <v>-64.320878774185132</v>
      </c>
      <c r="AQ3862" s="111"/>
      <c r="AR3862" s="28"/>
      <c r="AS3862" s="96">
        <f ca="1">(AS3854/(N_9*AS$27*AS3856*0.667))*SQRT(M*'Valve Sizing'!$W$6*'Valve Sizing'!$G$8/AS3863)</f>
        <v>-91.160628833308593</v>
      </c>
      <c r="AT3862" s="111"/>
      <c r="AU3862" s="28"/>
    </row>
    <row r="3863" spans="15:47" ht="15.6" x14ac:dyDescent="0.35">
      <c r="O3863" s="2" t="s">
        <v>68</v>
      </c>
      <c r="P3863" s="143">
        <v>10</v>
      </c>
      <c r="Q3863" s="2"/>
      <c r="R3863" s="96">
        <f ca="1">F_GAMMA*R$29</f>
        <v>0.64002969751372984</v>
      </c>
      <c r="S3863" s="107"/>
      <c r="T3863" s="1"/>
      <c r="U3863" s="96">
        <f ca="1">F_GAMMA*U$29</f>
        <v>0.64017842058782071</v>
      </c>
      <c r="V3863" s="111"/>
      <c r="W3863" s="28"/>
      <c r="X3863" s="96">
        <f ca="1">F_GAMMA*X$29</f>
        <v>0.63413873724904268</v>
      </c>
      <c r="Y3863" s="111"/>
      <c r="Z3863" s="28"/>
      <c r="AA3863" s="96">
        <f ca="1">F_GAMMA*AA$29</f>
        <v>0.62532411750377137</v>
      </c>
      <c r="AB3863" s="111"/>
      <c r="AC3863" s="28"/>
      <c r="AD3863" s="96">
        <f ca="1">F_GAMMA*AD$29</f>
        <v>0.60651359509139569</v>
      </c>
      <c r="AE3863" s="111"/>
      <c r="AF3863" s="28"/>
      <c r="AG3863" s="96">
        <f ca="1">F_GAMMA*AG$29</f>
        <v>0.57217930198481592</v>
      </c>
      <c r="AH3863" s="111"/>
      <c r="AI3863" s="28"/>
      <c r="AJ3863" s="96">
        <f ca="1">F_GAMMA*AJ$29</f>
        <v>0.53183282018848232</v>
      </c>
      <c r="AK3863" s="111"/>
      <c r="AL3863" s="28"/>
      <c r="AM3863" s="96">
        <f ca="1">F_GAMMA*AM$29</f>
        <v>0.47566512503094399</v>
      </c>
      <c r="AN3863" s="111"/>
      <c r="AO3863" s="28"/>
      <c r="AP3863" s="96">
        <f ca="1">F_GAMMA*AP$29</f>
        <v>0.59054158265645496</v>
      </c>
      <c r="AQ3863" s="111"/>
      <c r="AR3863" s="28"/>
      <c r="AS3863" s="96">
        <f ca="1">F_GAMMA*AS$29</f>
        <v>0.3766899554102966</v>
      </c>
      <c r="AT3863" s="111"/>
      <c r="AU3863" s="28"/>
    </row>
    <row r="3864" spans="15:47" x14ac:dyDescent="0.25">
      <c r="O3864" s="2" t="s">
        <v>145</v>
      </c>
      <c r="P3864" s="12"/>
      <c r="Q3864" s="2"/>
      <c r="R3864" s="96">
        <f ca="1">IF(R3859&lt;R3863,R3861,R3862)</f>
        <v>29.134141775607478</v>
      </c>
      <c r="S3864" s="116"/>
      <c r="T3864" s="1"/>
      <c r="U3864" s="96">
        <f ca="1">IF(U3859&lt;U3863,U3861,U3862)</f>
        <v>79.870541944230695</v>
      </c>
      <c r="V3864" s="111"/>
      <c r="W3864" s="28"/>
      <c r="X3864" s="96" t="e">
        <f ca="1">IF(X3859&lt;X3863,X3861,X3862)</f>
        <v>#NUM!</v>
      </c>
      <c r="Y3864" s="111"/>
      <c r="Z3864" s="28"/>
      <c r="AA3864" s="96">
        <f ca="1">IF(AA3859&lt;AA3863,AA3861,AA3862)</f>
        <v>-705.14177535798513</v>
      </c>
      <c r="AB3864" s="111"/>
      <c r="AC3864" s="28"/>
      <c r="AD3864" s="96">
        <f ca="1">IF(AD3859&lt;AD3863,AD3861,AD3862)</f>
        <v>-175.74070291179243</v>
      </c>
      <c r="AE3864" s="111"/>
      <c r="AF3864" s="28"/>
      <c r="AG3864" s="96">
        <f ca="1">IF(AG3859&lt;AG3863,AG3861,AG3862)</f>
        <v>-108.02230662729173</v>
      </c>
      <c r="AH3864" s="111"/>
      <c r="AI3864" s="28"/>
      <c r="AJ3864" s="96">
        <f ca="1">IF(AJ3859&lt;AJ3863,AJ3861,AJ3862)</f>
        <v>-82.276825407125173</v>
      </c>
      <c r="AK3864" s="111"/>
      <c r="AL3864" s="28"/>
      <c r="AM3864" s="96">
        <f ca="1">IF(AM3859&lt;AM3863,AM3861,AM3862)</f>
        <v>-73.962703041346572</v>
      </c>
      <c r="AN3864" s="111"/>
      <c r="AO3864" s="28"/>
      <c r="AP3864" s="96">
        <f ca="1">IF(AP3859&lt;AP3863,AP3861,AP3862)</f>
        <v>-64.320878774185132</v>
      </c>
      <c r="AQ3864" s="111"/>
      <c r="AR3864" s="28"/>
      <c r="AS3864" s="96">
        <f ca="1">IF(AS3859&lt;AS3863,AS3861,AS3862)</f>
        <v>-91.160628833308593</v>
      </c>
      <c r="AT3864" s="111"/>
      <c r="AU3864" s="28"/>
    </row>
    <row r="3865" spans="15:47" x14ac:dyDescent="0.25">
      <c r="O3865" s="13" t="s">
        <v>143</v>
      </c>
      <c r="P3865" s="1"/>
      <c r="Q3865" s="1"/>
      <c r="R3865" s="113"/>
      <c r="S3865" s="106">
        <f ca="1">IF(R3858&lt;=0,Q_max,ABS(R$23-R3864))</f>
        <v>24.404141775607478</v>
      </c>
      <c r="T3865" s="7">
        <f>R3854</f>
        <v>70979.601140235201</v>
      </c>
      <c r="U3865" s="98"/>
      <c r="V3865" s="106">
        <f ca="1">IF(U3858&lt;=0,Q_max,ABS(U$23-U3864))</f>
        <v>68.2705419442307</v>
      </c>
      <c r="W3865" s="9">
        <f ca="1">U3854</f>
        <v>177114.03078086267</v>
      </c>
      <c r="X3865" s="98"/>
      <c r="Y3865" s="106">
        <f ca="1">IF(X3858&lt;=0,Q_max,ABS(X$23-X3864))</f>
        <v>236393</v>
      </c>
      <c r="Z3865" s="9">
        <f ca="1">X3854</f>
        <v>433687.2029087171</v>
      </c>
      <c r="AA3865" s="98"/>
      <c r="AB3865" s="106">
        <f ca="1">IF(AA3858&lt;=0,Q_max,ABS(AA$23-AA3864))</f>
        <v>236393</v>
      </c>
      <c r="AC3865" s="9">
        <f ca="1">AA3854</f>
        <v>844711.97459681181</v>
      </c>
      <c r="AD3865" s="98"/>
      <c r="AE3865" s="106">
        <f ca="1">IF(AD3858&lt;=0,Q_max,ABS(AD$23-AD3864))</f>
        <v>236393</v>
      </c>
      <c r="AF3865" s="9">
        <f ca="1">AD3854</f>
        <v>1417163.9216081596</v>
      </c>
      <c r="AG3865" s="98"/>
      <c r="AH3865" s="106">
        <f ca="1">IF(AG3858&lt;=0,Q_max,ABS(AG$23-AG3864))</f>
        <v>236393</v>
      </c>
      <c r="AI3865" s="9">
        <f ca="1">AG3854</f>
        <v>2068389.3416645913</v>
      </c>
      <c r="AJ3865" s="98"/>
      <c r="AK3865" s="106">
        <f ca="1">IF(AJ3858&lt;=0,Q_max,ABS(AJ$23-AJ3864))</f>
        <v>236393</v>
      </c>
      <c r="AL3865" s="9">
        <f ca="1">AJ3854</f>
        <v>2760273.5947017442</v>
      </c>
      <c r="AM3865" s="98"/>
      <c r="AN3865" s="106">
        <f ca="1">IF(AM3858&lt;=0,Q_max,ABS(AM$23-AM3864))</f>
        <v>236393</v>
      </c>
      <c r="AO3865" s="9">
        <f ca="1">AM3854</f>
        <v>3368058.34778644</v>
      </c>
      <c r="AP3865" s="98"/>
      <c r="AQ3865" s="106">
        <f ca="1">IF(AP3858&lt;=0,Q_max,ABS(AP$23-AP3864))</f>
        <v>236393</v>
      </c>
      <c r="AR3865" s="9">
        <f ca="1">AP3854</f>
        <v>3910211.1816548267</v>
      </c>
      <c r="AS3865" s="98"/>
      <c r="AT3865" s="106">
        <f ca="1">IF(AS3858&lt;=0,Q_max,ABS(AS$23-AS3864))</f>
        <v>236393</v>
      </c>
      <c r="AU3865" s="9">
        <f ca="1">AS3854</f>
        <v>4585030.1287503112</v>
      </c>
    </row>
    <row r="3866" spans="15:47" x14ac:dyDescent="0.25">
      <c r="O3866" s="21"/>
      <c r="P3866" s="14"/>
      <c r="Q3866" s="21"/>
      <c r="R3866" s="97"/>
      <c r="S3866" s="106"/>
      <c r="T3866" s="28"/>
      <c r="U3866" s="97"/>
      <c r="V3866" s="111"/>
      <c r="W3866" s="28"/>
      <c r="X3866" s="97"/>
      <c r="Y3866" s="111"/>
      <c r="Z3866" s="28"/>
      <c r="AA3866" s="97"/>
      <c r="AB3866" s="111"/>
      <c r="AC3866" s="28"/>
      <c r="AD3866" s="97"/>
      <c r="AE3866" s="111"/>
      <c r="AF3866" s="28"/>
      <c r="AG3866" s="97"/>
      <c r="AH3866" s="111"/>
      <c r="AI3866" s="28"/>
      <c r="AJ3866" s="97"/>
      <c r="AK3866" s="111"/>
      <c r="AL3866" s="28"/>
      <c r="AM3866" s="97"/>
      <c r="AN3866" s="111"/>
      <c r="AO3866" s="28"/>
      <c r="AP3866" s="97"/>
      <c r="AQ3866" s="111"/>
      <c r="AR3866" s="28"/>
      <c r="AS3866" s="97"/>
      <c r="AT3866" s="111"/>
      <c r="AU3866" s="28"/>
    </row>
    <row r="3867" spans="15:47" x14ac:dyDescent="0.25">
      <c r="O3867" s="1"/>
      <c r="P3867" s="1"/>
      <c r="Q3867" s="1"/>
      <c r="R3867" s="98"/>
      <c r="S3867" s="108" t="s">
        <v>137</v>
      </c>
      <c r="T3867" s="26" t="s">
        <v>146</v>
      </c>
      <c r="U3867" s="98"/>
      <c r="V3867" s="108" t="s">
        <v>137</v>
      </c>
      <c r="W3867" s="26" t="s">
        <v>146</v>
      </c>
      <c r="X3867" s="98"/>
      <c r="Y3867" s="108" t="s">
        <v>137</v>
      </c>
      <c r="Z3867" s="26" t="s">
        <v>146</v>
      </c>
      <c r="AA3867" s="98"/>
      <c r="AB3867" s="108" t="s">
        <v>137</v>
      </c>
      <c r="AC3867" s="26" t="s">
        <v>146</v>
      </c>
      <c r="AD3867" s="98"/>
      <c r="AE3867" s="108" t="s">
        <v>137</v>
      </c>
      <c r="AF3867" s="26" t="s">
        <v>146</v>
      </c>
      <c r="AG3867" s="98"/>
      <c r="AH3867" s="108" t="s">
        <v>137</v>
      </c>
      <c r="AI3867" s="26" t="s">
        <v>146</v>
      </c>
      <c r="AJ3867" s="98"/>
      <c r="AK3867" s="108" t="s">
        <v>137</v>
      </c>
      <c r="AL3867" s="26" t="s">
        <v>146</v>
      </c>
      <c r="AM3867" s="98"/>
      <c r="AN3867" s="108" t="s">
        <v>137</v>
      </c>
      <c r="AO3867" s="26" t="s">
        <v>146</v>
      </c>
      <c r="AP3867" s="98"/>
      <c r="AQ3867" s="108" t="s">
        <v>137</v>
      </c>
      <c r="AR3867" s="26" t="s">
        <v>146</v>
      </c>
      <c r="AS3867" s="98"/>
      <c r="AT3867" s="108" t="s">
        <v>137</v>
      </c>
      <c r="AU3867" s="26" t="s">
        <v>146</v>
      </c>
    </row>
    <row r="3868" spans="15:47" ht="13.8" x14ac:dyDescent="0.25">
      <c r="O3868" s="20" t="s">
        <v>136</v>
      </c>
      <c r="P3868" s="1"/>
      <c r="Q3868" s="1"/>
      <c r="R3868" s="96">
        <f>R3854*1.02</f>
        <v>72399.193163039905</v>
      </c>
      <c r="S3868" s="109" t="s">
        <v>144</v>
      </c>
      <c r="T3868" s="23" t="s">
        <v>147</v>
      </c>
      <c r="U3868" s="96">
        <f ca="1">U3854*1.01</f>
        <v>178885.17108867128</v>
      </c>
      <c r="V3868" s="109" t="s">
        <v>144</v>
      </c>
      <c r="W3868" s="23" t="s">
        <v>147</v>
      </c>
      <c r="X3868" s="96">
        <f ca="1">X3854*1.01</f>
        <v>438024.07493780425</v>
      </c>
      <c r="Y3868" s="109" t="s">
        <v>144</v>
      </c>
      <c r="Z3868" s="23" t="s">
        <v>147</v>
      </c>
      <c r="AA3868" s="96">
        <f ca="1">AA3854*1.01</f>
        <v>853159.09434277995</v>
      </c>
      <c r="AB3868" s="109" t="s">
        <v>144</v>
      </c>
      <c r="AC3868" s="23" t="s">
        <v>147</v>
      </c>
      <c r="AD3868" s="96">
        <f ca="1">AD3854*1.01</f>
        <v>1431335.5608242413</v>
      </c>
      <c r="AE3868" s="109" t="s">
        <v>144</v>
      </c>
      <c r="AF3868" s="23" t="s">
        <v>147</v>
      </c>
      <c r="AG3868" s="96">
        <f ca="1">AG3854*1.01</f>
        <v>2089073.2350812373</v>
      </c>
      <c r="AH3868" s="109" t="s">
        <v>144</v>
      </c>
      <c r="AI3868" s="23" t="s">
        <v>147</v>
      </c>
      <c r="AJ3868" s="96">
        <f ca="1">AJ3854*1.01</f>
        <v>2787876.3306487617</v>
      </c>
      <c r="AK3868" s="109" t="s">
        <v>144</v>
      </c>
      <c r="AL3868" s="23" t="s">
        <v>147</v>
      </c>
      <c r="AM3868" s="96">
        <f ca="1">AM3854*1.01</f>
        <v>3401738.9312643046</v>
      </c>
      <c r="AN3868" s="109" t="s">
        <v>144</v>
      </c>
      <c r="AO3868" s="23" t="s">
        <v>147</v>
      </c>
      <c r="AP3868" s="96">
        <f ca="1">AP3854*1.01</f>
        <v>3949313.293471375</v>
      </c>
      <c r="AQ3868" s="109" t="s">
        <v>144</v>
      </c>
      <c r="AR3868" s="23" t="s">
        <v>147</v>
      </c>
      <c r="AS3868" s="96">
        <f ca="1">AS3854*1.01</f>
        <v>4630880.4300378142</v>
      </c>
      <c r="AT3868" s="109" t="s">
        <v>144</v>
      </c>
      <c r="AU3868" s="23" t="s">
        <v>147</v>
      </c>
    </row>
    <row r="3869" spans="15:47" x14ac:dyDescent="0.25">
      <c r="O3869" s="1"/>
      <c r="P3869" s="1"/>
      <c r="Q3869" s="1"/>
      <c r="R3869" s="98"/>
      <c r="S3869" s="107"/>
      <c r="T3869" s="1"/>
      <c r="U3869" s="47"/>
      <c r="V3869" s="107"/>
      <c r="W3869" s="1"/>
      <c r="X3869" s="47"/>
      <c r="Y3869" s="107"/>
      <c r="Z3869" s="1"/>
      <c r="AA3869" s="47"/>
      <c r="AB3869" s="107"/>
      <c r="AC3869" s="1"/>
      <c r="AD3869" s="47"/>
      <c r="AE3869" s="107"/>
      <c r="AF3869" s="1"/>
      <c r="AG3869" s="47"/>
      <c r="AH3869" s="107"/>
      <c r="AI3869" s="1"/>
      <c r="AJ3869" s="47"/>
      <c r="AK3869" s="107"/>
      <c r="AL3869" s="1"/>
      <c r="AM3869" s="47"/>
      <c r="AN3869" s="107"/>
      <c r="AO3869" s="1"/>
      <c r="AP3869" s="47"/>
      <c r="AQ3869" s="107"/>
      <c r="AR3869" s="1"/>
      <c r="AS3869" s="47"/>
      <c r="AT3869" s="107"/>
      <c r="AU3869" s="1"/>
    </row>
    <row r="3870" spans="15:47" x14ac:dyDescent="0.25">
      <c r="O3870" s="8" t="s">
        <v>132</v>
      </c>
      <c r="P3870" s="8"/>
      <c r="Q3870" s="8"/>
      <c r="R3870" s="96">
        <f>P_1_minQ-(R3868^2*R_up)+dpup_minQ</f>
        <v>89.229693869780235</v>
      </c>
      <c r="S3870" s="106"/>
      <c r="T3870" s="22"/>
      <c r="U3870" s="96">
        <f ca="1">P_1_minQ-(U3868^2*R_up)+dpup_minQ</f>
        <v>84.352708789507517</v>
      </c>
      <c r="V3870" s="107"/>
      <c r="W3870" s="1"/>
      <c r="X3870" s="96">
        <f ca="1">P_1_minQ-(X3868^2*R_up)+dpup_minQ</f>
        <v>55.215534358145966</v>
      </c>
      <c r="Y3870" s="107"/>
      <c r="Z3870" s="1"/>
      <c r="AA3870" s="96">
        <f ca="1">P_1_minQ-(AA3868^2*R_up)+dpup_minQ</f>
        <v>-42.479111756944889</v>
      </c>
      <c r="AB3870" s="107"/>
      <c r="AC3870" s="1"/>
      <c r="AD3870" s="96">
        <f ca="1">P_1_minQ-(AD3868^2*R_up)+dpup_minQ</f>
        <v>-283.21680461156245</v>
      </c>
      <c r="AE3870" s="107"/>
      <c r="AF3870" s="1"/>
      <c r="AG3870" s="96">
        <f ca="1">P_1_minQ-(AG3868^2*R_up)+dpup_minQ</f>
        <v>-705.24294581229333</v>
      </c>
      <c r="AH3870" s="107"/>
      <c r="AI3870" s="1"/>
      <c r="AJ3870" s="96">
        <f ca="1">P_1_minQ-(AJ3868^2*R_up)+dpup_minQ</f>
        <v>-1326.3931348780281</v>
      </c>
      <c r="AK3870" s="107"/>
      <c r="AL3870" s="1"/>
      <c r="AM3870" s="96">
        <f ca="1">P_1_minQ-(AM3868^2*R_up)+dpup_minQ</f>
        <v>-2018.9068306277125</v>
      </c>
      <c r="AN3870" s="107"/>
      <c r="AO3870" s="1"/>
      <c r="AP3870" s="96">
        <f ca="1">P_1_minQ-(AP3868^2*R_up)+dpup_minQ</f>
        <v>-2752.5521503474597</v>
      </c>
      <c r="AQ3870" s="107"/>
      <c r="AR3870" s="1"/>
      <c r="AS3870" s="96">
        <f ca="1">P_1_minQ-(AS3868^2*R_up)+dpup_minQ</f>
        <v>-3818.4099615807359</v>
      </c>
      <c r="AT3870" s="107"/>
      <c r="AU3870" s="1"/>
    </row>
    <row r="3871" spans="15:47" x14ac:dyDescent="0.25">
      <c r="O3871" s="8" t="s">
        <v>134</v>
      </c>
      <c r="P3871" s="1"/>
      <c r="Q3871" s="8"/>
      <c r="R3871" s="97">
        <f>P_2_minQ+(R3868^2*R_dn)-dpdn_minQ</f>
        <v>60</v>
      </c>
      <c r="S3871" s="106"/>
      <c r="T3871" s="22"/>
      <c r="U3871" s="97">
        <f ca="1">P_2_minQ+(U3868^2*R_dn)-dpdn_minQ</f>
        <v>60</v>
      </c>
      <c r="V3871" s="107"/>
      <c r="W3871" s="1"/>
      <c r="X3871" s="97">
        <f ca="1">P_2_minQ+(X3868^2*R_dn)-dpdn_minQ</f>
        <v>60</v>
      </c>
      <c r="Y3871" s="107"/>
      <c r="Z3871" s="1"/>
      <c r="AA3871" s="97">
        <f ca="1">P_2_minQ+(AA3868^2*R_dn)-dpdn_minQ</f>
        <v>60</v>
      </c>
      <c r="AB3871" s="107"/>
      <c r="AC3871" s="1"/>
      <c r="AD3871" s="97">
        <f ca="1">P_2_minQ+(AD3868^2*R_dn)-dpdn_minQ</f>
        <v>60</v>
      </c>
      <c r="AE3871" s="107"/>
      <c r="AF3871" s="1"/>
      <c r="AG3871" s="97">
        <f ca="1">P_2_minQ+(AG3868^2*R_dn)-dpdn_minQ</f>
        <v>60</v>
      </c>
      <c r="AH3871" s="107"/>
      <c r="AI3871" s="1"/>
      <c r="AJ3871" s="97">
        <f ca="1">P_2_minQ+(AJ3868^2*R_dn)-dpdn_minQ</f>
        <v>60</v>
      </c>
      <c r="AK3871" s="107"/>
      <c r="AL3871" s="1"/>
      <c r="AM3871" s="97">
        <f ca="1">P_2_minQ+(AM3868^2*R_dn)-dpdn_minQ</f>
        <v>60</v>
      </c>
      <c r="AN3871" s="107"/>
      <c r="AO3871" s="1"/>
      <c r="AP3871" s="97">
        <f ca="1">P_2_minQ+(AP3868^2*R_dn)-dpdn_minQ</f>
        <v>60</v>
      </c>
      <c r="AQ3871" s="107"/>
      <c r="AR3871" s="1"/>
      <c r="AS3871" s="97">
        <f ca="1">P_2_minQ+(AS3868^2*R_dn)-dpdn_minQ</f>
        <v>60</v>
      </c>
      <c r="AT3871" s="107"/>
      <c r="AU3871" s="1"/>
    </row>
    <row r="3872" spans="15:47" x14ac:dyDescent="0.25">
      <c r="O3872" s="8" t="s">
        <v>138</v>
      </c>
      <c r="P3872" s="1"/>
      <c r="Q3872" s="8"/>
      <c r="R3872" s="97">
        <f>R3870-R3871</f>
        <v>29.229693869780235</v>
      </c>
      <c r="S3872" s="106"/>
      <c r="T3872" s="22"/>
      <c r="U3872" s="97">
        <f ca="1">U3870-U3871</f>
        <v>24.352708789507517</v>
      </c>
      <c r="V3872" s="110"/>
      <c r="W3872" s="25"/>
      <c r="X3872" s="97">
        <f ca="1">X3870-X3871</f>
        <v>-4.7844656418540339</v>
      </c>
      <c r="Y3872" s="110"/>
      <c r="Z3872" s="25"/>
      <c r="AA3872" s="97">
        <f ca="1">AA3870-AA3871</f>
        <v>-102.47911175694489</v>
      </c>
      <c r="AB3872" s="110"/>
      <c r="AC3872" s="25"/>
      <c r="AD3872" s="97">
        <f ca="1">AD3870-AD3871</f>
        <v>-343.21680461156245</v>
      </c>
      <c r="AE3872" s="110"/>
      <c r="AF3872" s="25"/>
      <c r="AG3872" s="97">
        <f ca="1">AG3870-AG3871</f>
        <v>-765.24294581229333</v>
      </c>
      <c r="AH3872" s="110"/>
      <c r="AI3872" s="25"/>
      <c r="AJ3872" s="97">
        <f ca="1">AJ3870-AJ3871</f>
        <v>-1386.3931348780281</v>
      </c>
      <c r="AK3872" s="110"/>
      <c r="AL3872" s="25"/>
      <c r="AM3872" s="97">
        <f ca="1">AM3870-AM3871</f>
        <v>-2078.9068306277122</v>
      </c>
      <c r="AN3872" s="110"/>
      <c r="AO3872" s="25"/>
      <c r="AP3872" s="97">
        <f ca="1">AP3870-AP3871</f>
        <v>-2812.5521503474597</v>
      </c>
      <c r="AQ3872" s="110"/>
      <c r="AR3872" s="25"/>
      <c r="AS3872" s="97">
        <f ca="1">AS3870-AS3871</f>
        <v>-3878.4099615807359</v>
      </c>
      <c r="AT3872" s="110"/>
      <c r="AU3872" s="25"/>
    </row>
    <row r="3873" spans="15:47" ht="14.4" x14ac:dyDescent="0.3">
      <c r="O3873" s="2" t="s">
        <v>140</v>
      </c>
      <c r="P3873" s="11"/>
      <c r="Q3873" s="2"/>
      <c r="R3873" s="96">
        <f>R3872/R3870</f>
        <v>0.32757810323139042</v>
      </c>
      <c r="S3873" s="106"/>
      <c r="T3873" s="22"/>
      <c r="U3873" s="96">
        <f ca="1">U3872/U3870</f>
        <v>0.28870096928691291</v>
      </c>
      <c r="V3873" s="111"/>
      <c r="W3873" s="28"/>
      <c r="X3873" s="96">
        <f ca="1">X3872/X3870</f>
        <v>-8.6650717003306149E-2</v>
      </c>
      <c r="Y3873" s="111"/>
      <c r="Z3873" s="28"/>
      <c r="AA3873" s="96">
        <f ca="1">AA3872/AA3870</f>
        <v>2.4124589125899183</v>
      </c>
      <c r="AB3873" s="111"/>
      <c r="AC3873" s="28"/>
      <c r="AD3873" s="96">
        <f ca="1">AD3872/AD3870</f>
        <v>1.2118518358481278</v>
      </c>
      <c r="AE3873" s="111"/>
      <c r="AF3873" s="28"/>
      <c r="AG3873" s="96">
        <f ca="1">AG3872/AG3870</f>
        <v>1.0850770650827177</v>
      </c>
      <c r="AH3873" s="111"/>
      <c r="AI3873" s="28"/>
      <c r="AJ3873" s="96">
        <f ca="1">AJ3872/AJ3870</f>
        <v>1.0452354572880969</v>
      </c>
      <c r="AK3873" s="111"/>
      <c r="AL3873" s="28"/>
      <c r="AM3873" s="96">
        <f ca="1">AM3872/AM3870</f>
        <v>1.0297190534450491</v>
      </c>
      <c r="AN3873" s="111"/>
      <c r="AO3873" s="28"/>
      <c r="AP3873" s="96">
        <f ca="1">AP3872/AP3870</f>
        <v>1.0217979521268747</v>
      </c>
      <c r="AQ3873" s="111"/>
      <c r="AR3873" s="28"/>
      <c r="AS3873" s="96">
        <f ca="1">AS3872/AS3870</f>
        <v>1.0157133468128607</v>
      </c>
      <c r="AT3873" s="111"/>
      <c r="AU3873" s="28"/>
    </row>
    <row r="3874" spans="15:47" x14ac:dyDescent="0.25">
      <c r="O3874" s="2" t="s">
        <v>21</v>
      </c>
      <c r="P3874" s="8">
        <v>12</v>
      </c>
      <c r="Q3874" s="2"/>
      <c r="R3874" s="96">
        <f ca="1">1-R3873/(3*F_GAMMA*R$29)</f>
        <v>0.82939432107400335</v>
      </c>
      <c r="S3874" s="106"/>
      <c r="T3874" s="22"/>
      <c r="U3874" s="96">
        <f ca="1">1-U3873/(3*F_GAMMA*U$29)</f>
        <v>0.84967681925203309</v>
      </c>
      <c r="V3874" s="111"/>
      <c r="W3874" s="28"/>
      <c r="X3874" s="96">
        <f ca="1">1-X3873/(3*F_GAMMA*X$29)</f>
        <v>1.0455477179327275</v>
      </c>
      <c r="Y3874" s="111"/>
      <c r="Z3874" s="28"/>
      <c r="AA3874" s="96">
        <f ca="1">1-AA3873/(3*F_GAMMA*AA$29)</f>
        <v>-0.28597786068671205</v>
      </c>
      <c r="AB3874" s="111"/>
      <c r="AC3874" s="28"/>
      <c r="AD3874" s="96">
        <f ca="1">1-AD3873/(3*F_GAMMA*AD$29)</f>
        <v>0.33397929540473936</v>
      </c>
      <c r="AE3874" s="111"/>
      <c r="AF3874" s="28"/>
      <c r="AG3874" s="96">
        <f ca="1">1-AG3873/(3*F_GAMMA*AG$29)</f>
        <v>0.36786885898719401</v>
      </c>
      <c r="AH3874" s="111"/>
      <c r="AI3874" s="28"/>
      <c r="AJ3874" s="96">
        <f ca="1">1-AJ3873/(3*F_GAMMA*AJ$29)</f>
        <v>0.34488469708854252</v>
      </c>
      <c r="AK3874" s="111"/>
      <c r="AL3874" s="28"/>
      <c r="AM3874" s="96">
        <f ca="1">1-AM3873/(3*F_GAMMA*AM$29)</f>
        <v>0.27840056708098182</v>
      </c>
      <c r="AN3874" s="111"/>
      <c r="AO3874" s="28"/>
      <c r="AP3874" s="96">
        <f ca="1">1-AP3873/(3*F_GAMMA*AP$29)</f>
        <v>0.42324244832430857</v>
      </c>
      <c r="AQ3874" s="111"/>
      <c r="AR3874" s="28"/>
      <c r="AS3874" s="96">
        <f ca="1">1-AS3873/(3*F_GAMMA*AS$29)</f>
        <v>0.1011942029738756</v>
      </c>
      <c r="AT3874" s="111"/>
      <c r="AU3874" s="28"/>
    </row>
    <row r="3875" spans="15:47" x14ac:dyDescent="0.25">
      <c r="O3875" s="2" t="s">
        <v>57</v>
      </c>
      <c r="P3875" s="143">
        <v>7</v>
      </c>
      <c r="Q3875" s="2"/>
      <c r="R3875" s="96">
        <f ca="1">(R3868/(N_9*R$27*R3870*R3874))*SQRT(M*'Valve Sizing'!$W$6*'Valve Sizing'!$G$8/R3873)</f>
        <v>29.73663815262254</v>
      </c>
      <c r="S3875" s="107"/>
      <c r="T3875" s="22"/>
      <c r="U3875" s="96">
        <f ca="1">(U3868/(N_9*U$27*U3870*U3874))*SQRT(M*'Valve Sizing'!$W$6*'Valve Sizing'!$G$8/U3873)</f>
        <v>80.866438089752322</v>
      </c>
      <c r="V3875" s="111"/>
      <c r="W3875" s="28"/>
      <c r="X3875" s="96" t="e">
        <f ca="1">(X3868/(N_9*X$27*X3870*X3874))*SQRT(M*'Valve Sizing'!$W$6*'Valve Sizing'!$G$8/X3873)</f>
        <v>#NUM!</v>
      </c>
      <c r="Y3875" s="111"/>
      <c r="Z3875" s="28"/>
      <c r="AA3875" s="96">
        <f ca="1">(AA3868/(N_9*AA$27*AA3870*AA3874))*SQRT(M*'Valve Sizing'!$W$6*'Valve Sizing'!$G$8/AA3873)</f>
        <v>793.65423670049631</v>
      </c>
      <c r="AB3875" s="111"/>
      <c r="AC3875" s="28"/>
      <c r="AD3875" s="96">
        <f ca="1">(AD3868/(N_9*AD$27*AD3870*AD3874))*SQRT(M*'Valve Sizing'!$W$6*'Valve Sizing'!$G$8/AD3873)</f>
        <v>-244.26664199582467</v>
      </c>
      <c r="AE3875" s="111"/>
      <c r="AF3875" s="28"/>
      <c r="AG3875" s="96">
        <f ca="1">(AG3868/(N_9*AG$27*AG3870*AG3874))*SQRT(M*'Valve Sizing'!$W$6*'Valve Sizing'!$G$8/AG3873)</f>
        <v>-140.45685393872969</v>
      </c>
      <c r="AH3875" s="111"/>
      <c r="AI3875" s="28"/>
      <c r="AJ3875" s="96">
        <f ca="1">(AJ3868/(N_9*AJ$27*AJ3870*AJ3874))*SQRT(M*'Valve Sizing'!$W$6*'Valve Sizing'!$G$8/AJ3873)</f>
        <v>-112.22629525858947</v>
      </c>
      <c r="AK3875" s="111"/>
      <c r="AL3875" s="28"/>
      <c r="AM3875" s="96">
        <f ca="1">(AM3868/(N_9*AM$27*AM3870*AM3874))*SQRT(M*'Valve Sizing'!$W$6*'Valve Sizing'!$G$8/AM3873)</f>
        <v>-119.13744558853786</v>
      </c>
      <c r="AN3875" s="111"/>
      <c r="AO3875" s="28"/>
      <c r="AP3875" s="96">
        <f ca="1">(AP3868/(N_9*AP$27*AP3870*AP3874))*SQRT(M*'Valve Sizing'!$W$6*'Valve Sizing'!$G$8/AP3873)</f>
        <v>-76.247188839793751</v>
      </c>
      <c r="AQ3875" s="111"/>
      <c r="AR3875" s="28"/>
      <c r="AS3875" s="96">
        <f ca="1">(AS3868/(N_9*AS$27*AS3870*AS3874))*SQRT(M*'Valve Sizing'!$W$6*'Valve Sizing'!$G$8/AS3873)</f>
        <v>-362.12320570231992</v>
      </c>
      <c r="AT3875" s="111"/>
      <c r="AU3875" s="28"/>
    </row>
    <row r="3876" spans="15:47" x14ac:dyDescent="0.25">
      <c r="O3876" s="2" t="s">
        <v>59</v>
      </c>
      <c r="P3876" s="143">
        <v>7</v>
      </c>
      <c r="Q3876" s="2"/>
      <c r="R3876" s="96">
        <f ca="1">(R3868/(N_9*R$27*R3870*0.667))*SQRT(M*'Valve Sizing'!$W$6*'Valve Sizing'!$G$8/R3877)</f>
        <v>26.453580408156522</v>
      </c>
      <c r="S3876" s="107"/>
      <c r="T3876" s="22"/>
      <c r="U3876" s="96">
        <f ca="1">(U3868/(N_9*U$27*U3870*0.667))*SQRT(M*'Valve Sizing'!$W$6*'Valve Sizing'!$G$8/U3877)</f>
        <v>69.178295326881141</v>
      </c>
      <c r="V3876" s="111"/>
      <c r="W3876" s="28"/>
      <c r="X3876" s="96">
        <f ca="1">(X3868/(N_9*X$27*X3870*0.667))*SQRT(M*'Valve Sizing'!$W$6*'Valve Sizing'!$G$8/X3877)</f>
        <v>260.60828856296712</v>
      </c>
      <c r="Y3876" s="111"/>
      <c r="Z3876" s="28"/>
      <c r="AA3876" s="96">
        <f ca="1">(AA3868/(N_9*AA$27*AA3870*0.667))*SQRT(M*'Valve Sizing'!$W$6*'Valve Sizing'!$G$8/AA3877)</f>
        <v>-668.36745011355163</v>
      </c>
      <c r="AB3876" s="111"/>
      <c r="AC3876" s="28"/>
      <c r="AD3876" s="96">
        <f ca="1">(AD3868/(N_9*AD$27*AD3870*0.667))*SQRT(M*'Valve Sizing'!$W$6*'Valve Sizing'!$G$8/AD3877)</f>
        <v>-172.88701054525714</v>
      </c>
      <c r="AE3876" s="111"/>
      <c r="AF3876" s="28"/>
      <c r="AG3876" s="96">
        <f ca="1">(AG3868/(N_9*AG$27*AG3870*0.667))*SQRT(M*'Valve Sizing'!$W$6*'Valve Sizing'!$G$8/AG3877)</f>
        <v>-106.67787305060823</v>
      </c>
      <c r="AH3876" s="111"/>
      <c r="AI3876" s="28"/>
      <c r="AJ3876" s="96">
        <f ca="1">(AJ3868/(N_9*AJ$27*AJ3870*0.667))*SQRT(M*'Valve Sizing'!$W$6*'Valve Sizing'!$G$8/AJ3877)</f>
        <v>-81.350872799079156</v>
      </c>
      <c r="AK3876" s="111"/>
      <c r="AL3876" s="28"/>
      <c r="AM3876" s="96">
        <f ca="1">(AM3868/(N_9*AM$27*AM3870*0.667))*SQRT(M*'Valve Sizing'!$W$6*'Valve Sizing'!$G$8/AM3877)</f>
        <v>-73.164647547714921</v>
      </c>
      <c r="AN3876" s="111"/>
      <c r="AO3876" s="28"/>
      <c r="AP3876" s="96">
        <f ca="1">(AP3868/(N_9*AP$27*AP3870*0.667))*SQRT(M*'Valve Sizing'!$W$6*'Valve Sizing'!$G$8/AP3877)</f>
        <v>-63.642098663032833</v>
      </c>
      <c r="AQ3876" s="111"/>
      <c r="AR3876" s="28"/>
      <c r="AS3876" s="96">
        <f ca="1">(AS3868/(N_9*AS$27*AS3870*0.667))*SQRT(M*'Valve Sizing'!$W$6*'Valve Sizing'!$G$8/AS3877)</f>
        <v>-90.215200015243681</v>
      </c>
      <c r="AT3876" s="111"/>
      <c r="AU3876" s="28"/>
    </row>
    <row r="3877" spans="15:47" ht="15.6" x14ac:dyDescent="0.35">
      <c r="O3877" s="2" t="s">
        <v>68</v>
      </c>
      <c r="P3877" s="143">
        <v>10</v>
      </c>
      <c r="Q3877" s="2"/>
      <c r="R3877" s="96">
        <f ca="1">F_GAMMA*R$29</f>
        <v>0.64002969751372984</v>
      </c>
      <c r="S3877" s="107"/>
      <c r="T3877" s="1"/>
      <c r="U3877" s="96">
        <f ca="1">F_GAMMA*U$29</f>
        <v>0.64017842058782071</v>
      </c>
      <c r="V3877" s="111"/>
      <c r="W3877" s="28"/>
      <c r="X3877" s="96">
        <f ca="1">F_GAMMA*X$29</f>
        <v>0.63413873724904268</v>
      </c>
      <c r="Y3877" s="111"/>
      <c r="Z3877" s="28"/>
      <c r="AA3877" s="96">
        <f ca="1">F_GAMMA*AA$29</f>
        <v>0.62532411750377137</v>
      </c>
      <c r="AB3877" s="111"/>
      <c r="AC3877" s="28"/>
      <c r="AD3877" s="96">
        <f ca="1">F_GAMMA*AD$29</f>
        <v>0.60651359509139569</v>
      </c>
      <c r="AE3877" s="111"/>
      <c r="AF3877" s="28"/>
      <c r="AG3877" s="96">
        <f ca="1">F_GAMMA*AG$29</f>
        <v>0.57217930198481592</v>
      </c>
      <c r="AH3877" s="111"/>
      <c r="AI3877" s="28"/>
      <c r="AJ3877" s="96">
        <f ca="1">F_GAMMA*AJ$29</f>
        <v>0.53183282018848232</v>
      </c>
      <c r="AK3877" s="111"/>
      <c r="AL3877" s="28"/>
      <c r="AM3877" s="96">
        <f ca="1">F_GAMMA*AM$29</f>
        <v>0.47566512503094399</v>
      </c>
      <c r="AN3877" s="111"/>
      <c r="AO3877" s="28"/>
      <c r="AP3877" s="96">
        <f ca="1">F_GAMMA*AP$29</f>
        <v>0.59054158265645496</v>
      </c>
      <c r="AQ3877" s="111"/>
      <c r="AR3877" s="28"/>
      <c r="AS3877" s="96">
        <f ca="1">F_GAMMA*AS$29</f>
        <v>0.3766899554102966</v>
      </c>
      <c r="AT3877" s="111"/>
      <c r="AU3877" s="28"/>
    </row>
    <row r="3878" spans="15:47" x14ac:dyDescent="0.25">
      <c r="O3878" s="2" t="s">
        <v>145</v>
      </c>
      <c r="P3878" s="12"/>
      <c r="Q3878" s="2"/>
      <c r="R3878" s="96">
        <f ca="1">IF(R3873&lt;R3877,R3875,R3876)</f>
        <v>29.73663815262254</v>
      </c>
      <c r="S3878" s="116"/>
      <c r="T3878" s="1"/>
      <c r="U3878" s="96">
        <f ca="1">IF(U3873&lt;U3877,U3875,U3876)</f>
        <v>80.866438089752322</v>
      </c>
      <c r="V3878" s="111"/>
      <c r="W3878" s="28"/>
      <c r="X3878" s="96" t="e">
        <f ca="1">IF(X3873&lt;X3877,X3875,X3876)</f>
        <v>#NUM!</v>
      </c>
      <c r="Y3878" s="111"/>
      <c r="Z3878" s="28"/>
      <c r="AA3878" s="96">
        <f ca="1">IF(AA3873&lt;AA3877,AA3875,AA3876)</f>
        <v>-668.36745011355163</v>
      </c>
      <c r="AB3878" s="111"/>
      <c r="AC3878" s="28"/>
      <c r="AD3878" s="96">
        <f ca="1">IF(AD3873&lt;AD3877,AD3875,AD3876)</f>
        <v>-172.88701054525714</v>
      </c>
      <c r="AE3878" s="111"/>
      <c r="AF3878" s="28"/>
      <c r="AG3878" s="96">
        <f ca="1">IF(AG3873&lt;AG3877,AG3875,AG3876)</f>
        <v>-106.67787305060823</v>
      </c>
      <c r="AH3878" s="111"/>
      <c r="AI3878" s="28"/>
      <c r="AJ3878" s="96">
        <f ca="1">IF(AJ3873&lt;AJ3877,AJ3875,AJ3876)</f>
        <v>-81.350872799079156</v>
      </c>
      <c r="AK3878" s="111"/>
      <c r="AL3878" s="28"/>
      <c r="AM3878" s="96">
        <f ca="1">IF(AM3873&lt;AM3877,AM3875,AM3876)</f>
        <v>-73.164647547714921</v>
      </c>
      <c r="AN3878" s="111"/>
      <c r="AO3878" s="28"/>
      <c r="AP3878" s="96">
        <f ca="1">IF(AP3873&lt;AP3877,AP3875,AP3876)</f>
        <v>-63.642098663032833</v>
      </c>
      <c r="AQ3878" s="111"/>
      <c r="AR3878" s="28"/>
      <c r="AS3878" s="96">
        <f ca="1">IF(AS3873&lt;AS3877,AS3875,AS3876)</f>
        <v>-90.215200015243681</v>
      </c>
      <c r="AT3878" s="111"/>
      <c r="AU3878" s="28"/>
    </row>
    <row r="3879" spans="15:47" x14ac:dyDescent="0.25">
      <c r="O3879" s="13" t="s">
        <v>143</v>
      </c>
      <c r="P3879" s="1"/>
      <c r="Q3879" s="1"/>
      <c r="R3879" s="113"/>
      <c r="S3879" s="106">
        <f ca="1">IF(R3872&lt;=0,Q_max,ABS(R$23-R3878))</f>
        <v>25.006638152622539</v>
      </c>
      <c r="T3879" s="7">
        <f>R3868</f>
        <v>72399.193163039905</v>
      </c>
      <c r="U3879" s="98"/>
      <c r="V3879" s="106">
        <f ca="1">IF(U3872&lt;=0,Q_max,ABS(U$23-U3878))</f>
        <v>69.266438089752327</v>
      </c>
      <c r="W3879" s="9">
        <f ca="1">U3868</f>
        <v>178885.17108867128</v>
      </c>
      <c r="X3879" s="98"/>
      <c r="Y3879" s="106">
        <f ca="1">IF(X3872&lt;=0,Q_max,ABS(X$23-X3878))</f>
        <v>236393</v>
      </c>
      <c r="Z3879" s="9">
        <f ca="1">X3868</f>
        <v>438024.07493780425</v>
      </c>
      <c r="AA3879" s="98"/>
      <c r="AB3879" s="106">
        <f ca="1">IF(AA3872&lt;=0,Q_max,ABS(AA$23-AA3878))</f>
        <v>236393</v>
      </c>
      <c r="AC3879" s="9">
        <f ca="1">AA3868</f>
        <v>853159.09434277995</v>
      </c>
      <c r="AD3879" s="98"/>
      <c r="AE3879" s="106">
        <f ca="1">IF(AD3872&lt;=0,Q_max,ABS(AD$23-AD3878))</f>
        <v>236393</v>
      </c>
      <c r="AF3879" s="9">
        <f ca="1">AD3868</f>
        <v>1431335.5608242413</v>
      </c>
      <c r="AG3879" s="98"/>
      <c r="AH3879" s="106">
        <f ca="1">IF(AG3872&lt;=0,Q_max,ABS(AG$23-AG3878))</f>
        <v>236393</v>
      </c>
      <c r="AI3879" s="9">
        <f ca="1">AG3868</f>
        <v>2089073.2350812373</v>
      </c>
      <c r="AJ3879" s="98"/>
      <c r="AK3879" s="106">
        <f ca="1">IF(AJ3872&lt;=0,Q_max,ABS(AJ$23-AJ3878))</f>
        <v>236393</v>
      </c>
      <c r="AL3879" s="9">
        <f ca="1">AJ3868</f>
        <v>2787876.3306487617</v>
      </c>
      <c r="AM3879" s="98"/>
      <c r="AN3879" s="106">
        <f ca="1">IF(AM3872&lt;=0,Q_max,ABS(AM$23-AM3878))</f>
        <v>236393</v>
      </c>
      <c r="AO3879" s="9">
        <f ca="1">AM3868</f>
        <v>3401738.9312643046</v>
      </c>
      <c r="AP3879" s="98"/>
      <c r="AQ3879" s="106">
        <f ca="1">IF(AP3872&lt;=0,Q_max,ABS(AP$23-AP3878))</f>
        <v>236393</v>
      </c>
      <c r="AR3879" s="9">
        <f ca="1">AP3868</f>
        <v>3949313.293471375</v>
      </c>
      <c r="AS3879" s="98"/>
      <c r="AT3879" s="106">
        <f ca="1">IF(AS3872&lt;=0,Q_max,ABS(AS$23-AS3878))</f>
        <v>236393</v>
      </c>
      <c r="AU3879" s="9">
        <f ca="1">AS3868</f>
        <v>4630880.4300378142</v>
      </c>
    </row>
    <row r="3880" spans="15:47" x14ac:dyDescent="0.25">
      <c r="O3880" s="21"/>
      <c r="P3880" s="14"/>
      <c r="Q3880" s="21"/>
      <c r="R3880" s="97"/>
      <c r="S3880" s="106"/>
      <c r="T3880" s="28"/>
      <c r="U3880" s="97"/>
      <c r="V3880" s="111"/>
      <c r="W3880" s="28"/>
      <c r="X3880" s="97"/>
      <c r="Y3880" s="111"/>
      <c r="Z3880" s="28"/>
      <c r="AA3880" s="97"/>
      <c r="AB3880" s="111"/>
      <c r="AC3880" s="28"/>
      <c r="AD3880" s="97"/>
      <c r="AE3880" s="111"/>
      <c r="AF3880" s="28"/>
      <c r="AG3880" s="97"/>
      <c r="AH3880" s="111"/>
      <c r="AI3880" s="28"/>
      <c r="AJ3880" s="97"/>
      <c r="AK3880" s="111"/>
      <c r="AL3880" s="28"/>
      <c r="AM3880" s="97"/>
      <c r="AN3880" s="111"/>
      <c r="AO3880" s="28"/>
      <c r="AP3880" s="97"/>
      <c r="AQ3880" s="111"/>
      <c r="AR3880" s="28"/>
      <c r="AS3880" s="97"/>
      <c r="AT3880" s="111"/>
      <c r="AU3880" s="28"/>
    </row>
    <row r="3881" spans="15:47" x14ac:dyDescent="0.25">
      <c r="O3881" s="1"/>
      <c r="P3881" s="1"/>
      <c r="Q3881" s="1"/>
      <c r="R3881" s="98"/>
      <c r="S3881" s="108" t="s">
        <v>137</v>
      </c>
      <c r="T3881" s="26" t="s">
        <v>146</v>
      </c>
      <c r="U3881" s="98"/>
      <c r="V3881" s="108" t="s">
        <v>137</v>
      </c>
      <c r="W3881" s="26" t="s">
        <v>146</v>
      </c>
      <c r="X3881" s="98"/>
      <c r="Y3881" s="108" t="s">
        <v>137</v>
      </c>
      <c r="Z3881" s="26" t="s">
        <v>146</v>
      </c>
      <c r="AA3881" s="98"/>
      <c r="AB3881" s="108" t="s">
        <v>137</v>
      </c>
      <c r="AC3881" s="26" t="s">
        <v>146</v>
      </c>
      <c r="AD3881" s="98"/>
      <c r="AE3881" s="108" t="s">
        <v>137</v>
      </c>
      <c r="AF3881" s="26" t="s">
        <v>146</v>
      </c>
      <c r="AG3881" s="98"/>
      <c r="AH3881" s="108" t="s">
        <v>137</v>
      </c>
      <c r="AI3881" s="26" t="s">
        <v>146</v>
      </c>
      <c r="AJ3881" s="98"/>
      <c r="AK3881" s="108" t="s">
        <v>137</v>
      </c>
      <c r="AL3881" s="26" t="s">
        <v>146</v>
      </c>
      <c r="AM3881" s="98"/>
      <c r="AN3881" s="108" t="s">
        <v>137</v>
      </c>
      <c r="AO3881" s="26" t="s">
        <v>146</v>
      </c>
      <c r="AP3881" s="98"/>
      <c r="AQ3881" s="108" t="s">
        <v>137</v>
      </c>
      <c r="AR3881" s="26" t="s">
        <v>146</v>
      </c>
      <c r="AS3881" s="98"/>
      <c r="AT3881" s="108" t="s">
        <v>137</v>
      </c>
      <c r="AU3881" s="26" t="s">
        <v>146</v>
      </c>
    </row>
    <row r="3882" spans="15:47" ht="13.8" x14ac:dyDescent="0.25">
      <c r="O3882" s="20" t="s">
        <v>136</v>
      </c>
      <c r="P3882" s="1"/>
      <c r="Q3882" s="1"/>
      <c r="R3882" s="96">
        <f>R3868*1.02</f>
        <v>73847.177026300706</v>
      </c>
      <c r="S3882" s="109" t="s">
        <v>144</v>
      </c>
      <c r="T3882" s="23" t="s">
        <v>147</v>
      </c>
      <c r="U3882" s="96">
        <f ca="1">U3868*1.01</f>
        <v>180674.02279955801</v>
      </c>
      <c r="V3882" s="109" t="s">
        <v>144</v>
      </c>
      <c r="W3882" s="23" t="s">
        <v>147</v>
      </c>
      <c r="X3882" s="96">
        <f ca="1">X3868*1.01</f>
        <v>442404.3156871823</v>
      </c>
      <c r="Y3882" s="109" t="s">
        <v>144</v>
      </c>
      <c r="Z3882" s="23" t="s">
        <v>147</v>
      </c>
      <c r="AA3882" s="96">
        <f ca="1">AA3868*1.01</f>
        <v>861690.68528620771</v>
      </c>
      <c r="AB3882" s="109" t="s">
        <v>144</v>
      </c>
      <c r="AC3882" s="23" t="s">
        <v>147</v>
      </c>
      <c r="AD3882" s="96">
        <f ca="1">AD3868*1.01</f>
        <v>1445648.9164324836</v>
      </c>
      <c r="AE3882" s="109" t="s">
        <v>144</v>
      </c>
      <c r="AF3882" s="23" t="s">
        <v>147</v>
      </c>
      <c r="AG3882" s="96">
        <f ca="1">AG3868*1.01</f>
        <v>2109963.9674320496</v>
      </c>
      <c r="AH3882" s="109" t="s">
        <v>144</v>
      </c>
      <c r="AI3882" s="23" t="s">
        <v>147</v>
      </c>
      <c r="AJ3882" s="96">
        <f ca="1">AJ3868*1.01</f>
        <v>2815755.0939552495</v>
      </c>
      <c r="AK3882" s="109" t="s">
        <v>144</v>
      </c>
      <c r="AL3882" s="23" t="s">
        <v>147</v>
      </c>
      <c r="AM3882" s="96">
        <f ca="1">AM3868*1.01</f>
        <v>3435756.3205769476</v>
      </c>
      <c r="AN3882" s="109" t="s">
        <v>144</v>
      </c>
      <c r="AO3882" s="23" t="s">
        <v>147</v>
      </c>
      <c r="AP3882" s="96">
        <f ca="1">AP3868*1.01</f>
        <v>3988806.4264060888</v>
      </c>
      <c r="AQ3882" s="109" t="s">
        <v>144</v>
      </c>
      <c r="AR3882" s="23" t="s">
        <v>147</v>
      </c>
      <c r="AS3882" s="96">
        <f ca="1">AS3868*1.01</f>
        <v>4677189.2343381923</v>
      </c>
      <c r="AT3882" s="109" t="s">
        <v>144</v>
      </c>
      <c r="AU3882" s="23" t="s">
        <v>147</v>
      </c>
    </row>
    <row r="3883" spans="15:47" x14ac:dyDescent="0.25">
      <c r="O3883" s="1"/>
      <c r="P3883" s="1"/>
      <c r="Q3883" s="1"/>
      <c r="R3883" s="98"/>
      <c r="S3883" s="107"/>
      <c r="T3883" s="1"/>
      <c r="U3883" s="47"/>
      <c r="V3883" s="107"/>
      <c r="W3883" s="1"/>
      <c r="X3883" s="47"/>
      <c r="Y3883" s="107"/>
      <c r="Z3883" s="1"/>
      <c r="AA3883" s="47"/>
      <c r="AB3883" s="107"/>
      <c r="AC3883" s="1"/>
      <c r="AD3883" s="47"/>
      <c r="AE3883" s="107"/>
      <c r="AF3883" s="1"/>
      <c r="AG3883" s="47"/>
      <c r="AH3883" s="107"/>
      <c r="AI3883" s="1"/>
      <c r="AJ3883" s="47"/>
      <c r="AK3883" s="107"/>
      <c r="AL3883" s="1"/>
      <c r="AM3883" s="47"/>
      <c r="AN3883" s="107"/>
      <c r="AO3883" s="1"/>
      <c r="AP3883" s="47"/>
      <c r="AQ3883" s="107"/>
      <c r="AR3883" s="1"/>
      <c r="AS3883" s="47"/>
      <c r="AT3883" s="107"/>
      <c r="AU3883" s="1"/>
    </row>
    <row r="3884" spans="15:47" x14ac:dyDescent="0.25">
      <c r="O3884" s="8" t="s">
        <v>132</v>
      </c>
      <c r="P3884" s="8"/>
      <c r="Q3884" s="8"/>
      <c r="R3884" s="96">
        <f>P_1_minQ-(R3882^2*R_up)+dpup_minQ</f>
        <v>89.191097864697042</v>
      </c>
      <c r="S3884" s="106"/>
      <c r="T3884" s="22"/>
      <c r="U3884" s="96">
        <f ca="1">P_1_minQ-(U3882^2*R_up)+dpup_minQ</f>
        <v>84.235478921518478</v>
      </c>
      <c r="V3884" s="107"/>
      <c r="W3884" s="1"/>
      <c r="X3884" s="96">
        <f ca="1">P_1_minQ-(X3882^2*R_up)+dpup_minQ</f>
        <v>54.512647284086562</v>
      </c>
      <c r="Y3884" s="107"/>
      <c r="Z3884" s="1"/>
      <c r="AA3884" s="96">
        <f ca="1">P_1_minQ-(AA3882^2*R_up)+dpup_minQ</f>
        <v>-45.145661217917592</v>
      </c>
      <c r="AB3884" s="107"/>
      <c r="AC3884" s="1"/>
      <c r="AD3884" s="96">
        <f ca="1">P_1_minQ-(AD3882^2*R_up)+dpup_minQ</f>
        <v>-290.72218169891295</v>
      </c>
      <c r="AE3884" s="107"/>
      <c r="AF3884" s="1"/>
      <c r="AG3884" s="96">
        <f ca="1">P_1_minQ-(AG3882^2*R_up)+dpup_minQ</f>
        <v>-721.23104833777836</v>
      </c>
      <c r="AH3884" s="107"/>
      <c r="AI3884" s="1"/>
      <c r="AJ3884" s="96">
        <f ca="1">P_1_minQ-(AJ3882^2*R_up)+dpup_minQ</f>
        <v>-1354.866356203735</v>
      </c>
      <c r="AK3884" s="107"/>
      <c r="AL3884" s="1"/>
      <c r="AM3884" s="96">
        <f ca="1">P_1_minQ-(AM3882^2*R_up)+dpup_minQ</f>
        <v>-2061.2995772379873</v>
      </c>
      <c r="AN3884" s="107"/>
      <c r="AO3884" s="1"/>
      <c r="AP3884" s="96">
        <f ca="1">P_1_minQ-(AP3882^2*R_up)+dpup_minQ</f>
        <v>-2809.6911678841016</v>
      </c>
      <c r="AQ3884" s="107"/>
      <c r="AR3884" s="1"/>
      <c r="AS3884" s="96">
        <f ca="1">P_1_minQ-(AS3882^2*R_up)+dpup_minQ</f>
        <v>-3896.9727211231666</v>
      </c>
      <c r="AT3884" s="107"/>
      <c r="AU3884" s="1"/>
    </row>
    <row r="3885" spans="15:47" x14ac:dyDescent="0.25">
      <c r="O3885" s="8" t="s">
        <v>134</v>
      </c>
      <c r="P3885" s="1"/>
      <c r="Q3885" s="8"/>
      <c r="R3885" s="97">
        <f>P_2_minQ+(R3882^2*R_dn)-dpdn_minQ</f>
        <v>60</v>
      </c>
      <c r="S3885" s="106"/>
      <c r="T3885" s="22"/>
      <c r="U3885" s="97">
        <f ca="1">P_2_minQ+(U3882^2*R_dn)-dpdn_minQ</f>
        <v>60</v>
      </c>
      <c r="V3885" s="107"/>
      <c r="W3885" s="1"/>
      <c r="X3885" s="97">
        <f ca="1">P_2_minQ+(X3882^2*R_dn)-dpdn_minQ</f>
        <v>60</v>
      </c>
      <c r="Y3885" s="107"/>
      <c r="Z3885" s="1"/>
      <c r="AA3885" s="97">
        <f ca="1">P_2_minQ+(AA3882^2*R_dn)-dpdn_minQ</f>
        <v>60</v>
      </c>
      <c r="AB3885" s="107"/>
      <c r="AC3885" s="1"/>
      <c r="AD3885" s="97">
        <f ca="1">P_2_minQ+(AD3882^2*R_dn)-dpdn_minQ</f>
        <v>60</v>
      </c>
      <c r="AE3885" s="107"/>
      <c r="AF3885" s="1"/>
      <c r="AG3885" s="97">
        <f ca="1">P_2_minQ+(AG3882^2*R_dn)-dpdn_minQ</f>
        <v>60</v>
      </c>
      <c r="AH3885" s="107"/>
      <c r="AI3885" s="1"/>
      <c r="AJ3885" s="97">
        <f ca="1">P_2_minQ+(AJ3882^2*R_dn)-dpdn_minQ</f>
        <v>60</v>
      </c>
      <c r="AK3885" s="107"/>
      <c r="AL3885" s="1"/>
      <c r="AM3885" s="97">
        <f ca="1">P_2_minQ+(AM3882^2*R_dn)-dpdn_minQ</f>
        <v>60</v>
      </c>
      <c r="AN3885" s="107"/>
      <c r="AO3885" s="1"/>
      <c r="AP3885" s="97">
        <f ca="1">P_2_minQ+(AP3882^2*R_dn)-dpdn_minQ</f>
        <v>60</v>
      </c>
      <c r="AQ3885" s="107"/>
      <c r="AR3885" s="1"/>
      <c r="AS3885" s="97">
        <f ca="1">P_2_minQ+(AS3882^2*R_dn)-dpdn_minQ</f>
        <v>60</v>
      </c>
      <c r="AT3885" s="107"/>
      <c r="AU3885" s="1"/>
    </row>
    <row r="3886" spans="15:47" x14ac:dyDescent="0.25">
      <c r="O3886" s="8" t="s">
        <v>138</v>
      </c>
      <c r="P3886" s="1"/>
      <c r="Q3886" s="8"/>
      <c r="R3886" s="97">
        <f>R3884-R3885</f>
        <v>29.191097864697042</v>
      </c>
      <c r="S3886" s="106"/>
      <c r="T3886" s="22"/>
      <c r="U3886" s="97">
        <f ca="1">U3884-U3885</f>
        <v>24.235478921518478</v>
      </c>
      <c r="V3886" s="110"/>
      <c r="W3886" s="25"/>
      <c r="X3886" s="97">
        <f ca="1">X3884-X3885</f>
        <v>-5.4873527159134383</v>
      </c>
      <c r="Y3886" s="110"/>
      <c r="Z3886" s="25"/>
      <c r="AA3886" s="97">
        <f ca="1">AA3884-AA3885</f>
        <v>-105.14566121791759</v>
      </c>
      <c r="AB3886" s="110"/>
      <c r="AC3886" s="25"/>
      <c r="AD3886" s="97">
        <f ca="1">AD3884-AD3885</f>
        <v>-350.72218169891295</v>
      </c>
      <c r="AE3886" s="110"/>
      <c r="AF3886" s="25"/>
      <c r="AG3886" s="97">
        <f ca="1">AG3884-AG3885</f>
        <v>-781.23104833777836</v>
      </c>
      <c r="AH3886" s="110"/>
      <c r="AI3886" s="25"/>
      <c r="AJ3886" s="97">
        <f ca="1">AJ3884-AJ3885</f>
        <v>-1414.866356203735</v>
      </c>
      <c r="AK3886" s="110"/>
      <c r="AL3886" s="25"/>
      <c r="AM3886" s="97">
        <f ca="1">AM3884-AM3885</f>
        <v>-2121.2995772379873</v>
      </c>
      <c r="AN3886" s="110"/>
      <c r="AO3886" s="25"/>
      <c r="AP3886" s="97">
        <f ca="1">AP3884-AP3885</f>
        <v>-2869.6911678841016</v>
      </c>
      <c r="AQ3886" s="110"/>
      <c r="AR3886" s="25"/>
      <c r="AS3886" s="97">
        <f ca="1">AS3884-AS3885</f>
        <v>-3956.9727211231666</v>
      </c>
      <c r="AT3886" s="110"/>
      <c r="AU3886" s="25"/>
    </row>
    <row r="3887" spans="15:47" ht="14.4" x14ac:dyDescent="0.3">
      <c r="O3887" s="2" t="s">
        <v>140</v>
      </c>
      <c r="P3887" s="11"/>
      <c r="Q3887" s="2"/>
      <c r="R3887" s="96">
        <f>R3886/R3884</f>
        <v>0.32728712353087031</v>
      </c>
      <c r="S3887" s="106"/>
      <c r="T3887" s="22"/>
      <c r="U3887" s="96">
        <f ca="1">U3886/U3884</f>
        <v>0.28771105989791401</v>
      </c>
      <c r="V3887" s="111"/>
      <c r="W3887" s="28"/>
      <c r="X3887" s="96">
        <f ca="1">X3886/X3884</f>
        <v>-0.10066201128183545</v>
      </c>
      <c r="Y3887" s="111"/>
      <c r="Z3887" s="28"/>
      <c r="AA3887" s="96">
        <f ca="1">AA3886/AA3884</f>
        <v>2.3290313704872032</v>
      </c>
      <c r="AB3887" s="111"/>
      <c r="AC3887" s="28"/>
      <c r="AD3887" s="96">
        <f ca="1">AD3886/AD3884</f>
        <v>1.2063826009056959</v>
      </c>
      <c r="AE3887" s="111"/>
      <c r="AF3887" s="28"/>
      <c r="AG3887" s="96">
        <f ca="1">AG3886/AG3884</f>
        <v>1.0831910940859826</v>
      </c>
      <c r="AH3887" s="111"/>
      <c r="AI3887" s="28"/>
      <c r="AJ3887" s="96">
        <f ca="1">AJ3886/AJ3884</f>
        <v>1.0442848106200797</v>
      </c>
      <c r="AK3887" s="111"/>
      <c r="AL3887" s="28"/>
      <c r="AM3887" s="96">
        <f ca="1">AM3886/AM3884</f>
        <v>1.0291078505339804</v>
      </c>
      <c r="AN3887" s="111"/>
      <c r="AO3887" s="28"/>
      <c r="AP3887" s="96">
        <f ca="1">AP3886/AP3884</f>
        <v>1.0213546601440842</v>
      </c>
      <c r="AQ3887" s="111"/>
      <c r="AR3887" s="28"/>
      <c r="AS3887" s="96">
        <f ca="1">AS3886/AS3884</f>
        <v>1.0153965665899523</v>
      </c>
      <c r="AT3887" s="111"/>
      <c r="AU3887" s="28"/>
    </row>
    <row r="3888" spans="15:47" x14ac:dyDescent="0.25">
      <c r="O3888" s="2" t="s">
        <v>21</v>
      </c>
      <c r="P3888" s="8">
        <v>12</v>
      </c>
      <c r="Q3888" s="2"/>
      <c r="R3888" s="96">
        <f ca="1">1-R3887/(3*F_GAMMA*R$29)</f>
        <v>0.82954586596931601</v>
      </c>
      <c r="S3888" s="106"/>
      <c r="T3888" s="22"/>
      <c r="U3888" s="96">
        <f ca="1">1-U3887/(3*F_GAMMA*U$29)</f>
        <v>0.85019225336496362</v>
      </c>
      <c r="V3888" s="111"/>
      <c r="W3888" s="28"/>
      <c r="X3888" s="96">
        <f ca="1">1-X3887/(3*F_GAMMA*X$29)</f>
        <v>1.0529127173434829</v>
      </c>
      <c r="Y3888" s="111"/>
      <c r="Z3888" s="28"/>
      <c r="AA3888" s="96">
        <f ca="1">1-AA3887/(3*F_GAMMA*AA$29)</f>
        <v>-0.24150623401746363</v>
      </c>
      <c r="AB3888" s="111"/>
      <c r="AC3888" s="28"/>
      <c r="AD3888" s="96">
        <f ca="1">1-AD3887/(3*F_GAMMA*AD$29)</f>
        <v>0.33698512796793068</v>
      </c>
      <c r="AE3888" s="111"/>
      <c r="AF3888" s="28"/>
      <c r="AG3888" s="96">
        <f ca="1">1-AG3887/(3*F_GAMMA*AG$29)</f>
        <v>0.36896756527861518</v>
      </c>
      <c r="AH3888" s="111"/>
      <c r="AI3888" s="28"/>
      <c r="AJ3888" s="96">
        <f ca="1">1-AJ3887/(3*F_GAMMA*AJ$29)</f>
        <v>0.34548052760265047</v>
      </c>
      <c r="AK3888" s="111"/>
      <c r="AL3888" s="28"/>
      <c r="AM3888" s="96">
        <f ca="1">1-AM3887/(3*F_GAMMA*AM$29)</f>
        <v>0.27882888165139808</v>
      </c>
      <c r="AN3888" s="111"/>
      <c r="AO3888" s="28"/>
      <c r="AP3888" s="96">
        <f ca="1">1-AP3887/(3*F_GAMMA*AP$29)</f>
        <v>0.42349266608814295</v>
      </c>
      <c r="AQ3888" s="111"/>
      <c r="AR3888" s="28"/>
      <c r="AS3888" s="96">
        <f ca="1">1-AS3887/(3*F_GAMMA*AS$29)</f>
        <v>0.10147452212260666</v>
      </c>
      <c r="AT3888" s="111"/>
      <c r="AU3888" s="28"/>
    </row>
    <row r="3889" spans="15:47" x14ac:dyDescent="0.25">
      <c r="O3889" s="2" t="s">
        <v>57</v>
      </c>
      <c r="P3889" s="143">
        <v>7</v>
      </c>
      <c r="Q3889" s="2"/>
      <c r="R3889" s="96">
        <f ca="1">(R3882/(N_9*R$27*R3884*R3888))*SQRT(M*'Valve Sizing'!$W$6*'Valve Sizing'!$G$8/R3887)</f>
        <v>30.352436529185006</v>
      </c>
      <c r="S3889" s="107"/>
      <c r="T3889" s="22"/>
      <c r="U3889" s="96">
        <f ca="1">(U3882/(N_9*U$27*U3884*U3888))*SQRT(M*'Valve Sizing'!$W$6*'Valve Sizing'!$G$8/U3887)</f>
        <v>81.879680849457159</v>
      </c>
      <c r="V3889" s="111"/>
      <c r="W3889" s="28"/>
      <c r="X3889" s="96" t="e">
        <f ca="1">(X3882/(N_9*X$27*X3884*X3888))*SQRT(M*'Valve Sizing'!$W$6*'Valve Sizing'!$G$8/X3887)</f>
        <v>#NUM!</v>
      </c>
      <c r="Y3889" s="111"/>
      <c r="Z3889" s="28"/>
      <c r="AA3889" s="96">
        <f ca="1">(AA3882/(N_9*AA$27*AA3884*AA3888))*SQRT(M*'Valve Sizing'!$W$6*'Valve Sizing'!$G$8/AA3887)</f>
        <v>908.98869599627858</v>
      </c>
      <c r="AB3889" s="111"/>
      <c r="AC3889" s="28"/>
      <c r="AD3889" s="96">
        <f ca="1">(AD3882/(N_9*AD$27*AD3884*AD3888))*SQRT(M*'Valve Sizing'!$W$6*'Valve Sizing'!$G$8/AD3887)</f>
        <v>-238.73573161488932</v>
      </c>
      <c r="AE3889" s="111"/>
      <c r="AF3889" s="28"/>
      <c r="AG3889" s="96">
        <f ca="1">(AG3882/(N_9*AG$27*AG3884*AG3888))*SQRT(M*'Valve Sizing'!$W$6*'Valve Sizing'!$G$8/AG3887)</f>
        <v>-138.42394851521254</v>
      </c>
      <c r="AH3889" s="111"/>
      <c r="AI3889" s="28"/>
      <c r="AJ3889" s="96">
        <f ca="1">(AJ3882/(N_9*AJ$27*AJ3884*AJ3888))*SQRT(M*'Valve Sizing'!$W$6*'Valve Sizing'!$G$8/AJ3887)</f>
        <v>-110.8255113817042</v>
      </c>
      <c r="AK3889" s="111"/>
      <c r="AL3889" s="28"/>
      <c r="AM3889" s="96">
        <f ca="1">(AM3882/(N_9*AM$27*AM3884*AM3888))*SQRT(M*'Valve Sizing'!$W$6*'Valve Sizing'!$G$8/AM3887)</f>
        <v>-117.70803472696295</v>
      </c>
      <c r="AN3889" s="111"/>
      <c r="AO3889" s="28"/>
      <c r="AP3889" s="96">
        <f ca="1">(AP3882/(N_9*AP$27*AP3884*AP3888))*SQRT(M*'Valve Sizing'!$W$6*'Valve Sizing'!$G$8/AP3887)</f>
        <v>-75.415346455712893</v>
      </c>
      <c r="AQ3889" s="111"/>
      <c r="AR3889" s="28"/>
      <c r="AS3889" s="96">
        <f ca="1">(AS3882/(N_9*AS$27*AS3884*AS3888))*SQRT(M*'Valve Sizing'!$W$6*'Valve Sizing'!$G$8/AS3887)</f>
        <v>-357.43680748791888</v>
      </c>
      <c r="AT3889" s="111"/>
      <c r="AU3889" s="28"/>
    </row>
    <row r="3890" spans="15:47" x14ac:dyDescent="0.25">
      <c r="O3890" s="2" t="s">
        <v>59</v>
      </c>
      <c r="P3890" s="143">
        <v>7</v>
      </c>
      <c r="Q3890" s="2"/>
      <c r="R3890" s="96">
        <f ca="1">(R3882/(N_9*R$27*R3884*0.667))*SQRT(M*'Valve Sizing'!$W$6*'Valve Sizing'!$G$8/R3891)</f>
        <v>26.99432832258017</v>
      </c>
      <c r="S3890" s="107"/>
      <c r="T3890" s="22"/>
      <c r="U3890" s="96">
        <f ca="1">(U3882/(N_9*U$27*U3884*0.667))*SQRT(M*'Valve Sizing'!$W$6*'Valve Sizing'!$G$8/U3891)</f>
        <v>69.967315930579858</v>
      </c>
      <c r="V3890" s="111"/>
      <c r="W3890" s="28"/>
      <c r="X3890" s="96">
        <f ca="1">(X3882/(N_9*X$27*X3884*0.667))*SQRT(M*'Valve Sizing'!$W$6*'Valve Sizing'!$G$8/X3891)</f>
        <v>266.60826238245158</v>
      </c>
      <c r="Y3890" s="111"/>
      <c r="Z3890" s="28"/>
      <c r="AA3890" s="96">
        <f ca="1">(AA3882/(N_9*AA$27*AA3884*0.667))*SQRT(M*'Valve Sizing'!$W$6*'Valve Sizing'!$G$8/AA3891)</f>
        <v>-635.17891621394062</v>
      </c>
      <c r="AB3890" s="111"/>
      <c r="AC3890" s="28"/>
      <c r="AD3890" s="96">
        <f ca="1">(AD3882/(N_9*AD$27*AD3884*0.667))*SQRT(M*'Valve Sizing'!$W$6*'Valve Sizing'!$G$8/AD3891)</f>
        <v>-170.10794107050714</v>
      </c>
      <c r="AE3890" s="111"/>
      <c r="AF3890" s="28"/>
      <c r="AG3890" s="96">
        <f ca="1">(AG3882/(N_9*AG$27*AG3884*0.667))*SQRT(M*'Valve Sizing'!$W$6*'Valve Sizing'!$G$8/AG3891)</f>
        <v>-105.35619035364347</v>
      </c>
      <c r="AH3890" s="111"/>
      <c r="AI3890" s="28"/>
      <c r="AJ3890" s="96">
        <f ca="1">(AJ3882/(N_9*AJ$27*AJ3884*0.667))*SQRT(M*'Valve Sizing'!$W$6*'Valve Sizing'!$G$8/AJ3891)</f>
        <v>-80.43765430441961</v>
      </c>
      <c r="AK3890" s="111"/>
      <c r="AL3890" s="28"/>
      <c r="AM3890" s="96">
        <f ca="1">(AM3882/(N_9*AM$27*AM3884*0.667))*SQRT(M*'Valve Sizing'!$W$6*'Valve Sizing'!$G$8/AM3891)</f>
        <v>-72.376540707101498</v>
      </c>
      <c r="AN3890" s="111"/>
      <c r="AO3890" s="28"/>
      <c r="AP3890" s="96">
        <f ca="1">(AP3882/(N_9*AP$27*AP3884*0.667))*SQRT(M*'Valve Sizing'!$W$6*'Valve Sizing'!$G$8/AP3891)</f>
        <v>-62.97132564077237</v>
      </c>
      <c r="AQ3890" s="111"/>
      <c r="AR3890" s="28"/>
      <c r="AS3890" s="96">
        <f ca="1">(AS3882/(N_9*AS$27*AS3884*0.667))*SQRT(M*'Valve Sizing'!$W$6*'Valve Sizing'!$G$8/AS3891)</f>
        <v>-89.280431120947199</v>
      </c>
      <c r="AT3890" s="111"/>
      <c r="AU3890" s="28"/>
    </row>
    <row r="3891" spans="15:47" ht="15.6" x14ac:dyDescent="0.35">
      <c r="O3891" s="2" t="s">
        <v>68</v>
      </c>
      <c r="P3891" s="143">
        <v>10</v>
      </c>
      <c r="Q3891" s="2"/>
      <c r="R3891" s="96">
        <f ca="1">F_GAMMA*R$29</f>
        <v>0.64002969751372984</v>
      </c>
      <c r="S3891" s="107"/>
      <c r="T3891" s="1"/>
      <c r="U3891" s="96">
        <f ca="1">F_GAMMA*U$29</f>
        <v>0.64017842058782071</v>
      </c>
      <c r="V3891" s="111"/>
      <c r="W3891" s="28"/>
      <c r="X3891" s="96">
        <f ca="1">F_GAMMA*X$29</f>
        <v>0.63413873724904268</v>
      </c>
      <c r="Y3891" s="111"/>
      <c r="Z3891" s="28"/>
      <c r="AA3891" s="96">
        <f ca="1">F_GAMMA*AA$29</f>
        <v>0.62532411750377137</v>
      </c>
      <c r="AB3891" s="111"/>
      <c r="AC3891" s="28"/>
      <c r="AD3891" s="96">
        <f ca="1">F_GAMMA*AD$29</f>
        <v>0.60651359509139569</v>
      </c>
      <c r="AE3891" s="111"/>
      <c r="AF3891" s="28"/>
      <c r="AG3891" s="96">
        <f ca="1">F_GAMMA*AG$29</f>
        <v>0.57217930198481592</v>
      </c>
      <c r="AH3891" s="111"/>
      <c r="AI3891" s="28"/>
      <c r="AJ3891" s="96">
        <f ca="1">F_GAMMA*AJ$29</f>
        <v>0.53183282018848232</v>
      </c>
      <c r="AK3891" s="111"/>
      <c r="AL3891" s="28"/>
      <c r="AM3891" s="96">
        <f ca="1">F_GAMMA*AM$29</f>
        <v>0.47566512503094399</v>
      </c>
      <c r="AN3891" s="111"/>
      <c r="AO3891" s="28"/>
      <c r="AP3891" s="96">
        <f ca="1">F_GAMMA*AP$29</f>
        <v>0.59054158265645496</v>
      </c>
      <c r="AQ3891" s="111"/>
      <c r="AR3891" s="28"/>
      <c r="AS3891" s="96">
        <f ca="1">F_GAMMA*AS$29</f>
        <v>0.3766899554102966</v>
      </c>
      <c r="AT3891" s="111"/>
      <c r="AU3891" s="28"/>
    </row>
    <row r="3892" spans="15:47" x14ac:dyDescent="0.25">
      <c r="O3892" s="2" t="s">
        <v>145</v>
      </c>
      <c r="P3892" s="12"/>
      <c r="Q3892" s="2"/>
      <c r="R3892" s="96">
        <f ca="1">IF(R3887&lt;R3891,R3889,R3890)</f>
        <v>30.352436529185006</v>
      </c>
      <c r="S3892" s="116"/>
      <c r="T3892" s="1"/>
      <c r="U3892" s="96">
        <f ca="1">IF(U3887&lt;U3891,U3889,U3890)</f>
        <v>81.879680849457159</v>
      </c>
      <c r="V3892" s="111"/>
      <c r="W3892" s="28"/>
      <c r="X3892" s="96" t="e">
        <f ca="1">IF(X3887&lt;X3891,X3889,X3890)</f>
        <v>#NUM!</v>
      </c>
      <c r="Y3892" s="111"/>
      <c r="Z3892" s="28"/>
      <c r="AA3892" s="96">
        <f ca="1">IF(AA3887&lt;AA3891,AA3889,AA3890)</f>
        <v>-635.17891621394062</v>
      </c>
      <c r="AB3892" s="111"/>
      <c r="AC3892" s="28"/>
      <c r="AD3892" s="96">
        <f ca="1">IF(AD3887&lt;AD3891,AD3889,AD3890)</f>
        <v>-170.10794107050714</v>
      </c>
      <c r="AE3892" s="111"/>
      <c r="AF3892" s="28"/>
      <c r="AG3892" s="96">
        <f ca="1">IF(AG3887&lt;AG3891,AG3889,AG3890)</f>
        <v>-105.35619035364347</v>
      </c>
      <c r="AH3892" s="111"/>
      <c r="AI3892" s="28"/>
      <c r="AJ3892" s="96">
        <f ca="1">IF(AJ3887&lt;AJ3891,AJ3889,AJ3890)</f>
        <v>-80.43765430441961</v>
      </c>
      <c r="AK3892" s="111"/>
      <c r="AL3892" s="28"/>
      <c r="AM3892" s="96">
        <f ca="1">IF(AM3887&lt;AM3891,AM3889,AM3890)</f>
        <v>-72.376540707101498</v>
      </c>
      <c r="AN3892" s="111"/>
      <c r="AO3892" s="28"/>
      <c r="AP3892" s="96">
        <f ca="1">IF(AP3887&lt;AP3891,AP3889,AP3890)</f>
        <v>-62.97132564077237</v>
      </c>
      <c r="AQ3892" s="111"/>
      <c r="AR3892" s="28"/>
      <c r="AS3892" s="96">
        <f ca="1">IF(AS3887&lt;AS3891,AS3889,AS3890)</f>
        <v>-89.280431120947199</v>
      </c>
      <c r="AT3892" s="111"/>
      <c r="AU3892" s="28"/>
    </row>
    <row r="3893" spans="15:47" x14ac:dyDescent="0.25">
      <c r="O3893" s="13" t="s">
        <v>143</v>
      </c>
      <c r="P3893" s="1"/>
      <c r="Q3893" s="1"/>
      <c r="R3893" s="113"/>
      <c r="S3893" s="106">
        <f ca="1">IF(R3886&lt;=0,Q_max,ABS(R$23-R3892))</f>
        <v>25.622436529185006</v>
      </c>
      <c r="T3893" s="7">
        <f>R3882</f>
        <v>73847.177026300706</v>
      </c>
      <c r="U3893" s="98"/>
      <c r="V3893" s="106">
        <f ca="1">IF(U3886&lt;=0,Q_max,ABS(U$23-U3892))</f>
        <v>70.279680849457165</v>
      </c>
      <c r="W3893" s="9">
        <f ca="1">U3882</f>
        <v>180674.02279955801</v>
      </c>
      <c r="X3893" s="98"/>
      <c r="Y3893" s="106">
        <f ca="1">IF(X3886&lt;=0,Q_max,ABS(X$23-X3892))</f>
        <v>236393</v>
      </c>
      <c r="Z3893" s="9">
        <f ca="1">X3882</f>
        <v>442404.3156871823</v>
      </c>
      <c r="AA3893" s="98"/>
      <c r="AB3893" s="106">
        <f ca="1">IF(AA3886&lt;=0,Q_max,ABS(AA$23-AA3892))</f>
        <v>236393</v>
      </c>
      <c r="AC3893" s="9">
        <f ca="1">AA3882</f>
        <v>861690.68528620771</v>
      </c>
      <c r="AD3893" s="98"/>
      <c r="AE3893" s="106">
        <f ca="1">IF(AD3886&lt;=0,Q_max,ABS(AD$23-AD3892))</f>
        <v>236393</v>
      </c>
      <c r="AF3893" s="9">
        <f ca="1">AD3882</f>
        <v>1445648.9164324836</v>
      </c>
      <c r="AG3893" s="98"/>
      <c r="AH3893" s="106">
        <f ca="1">IF(AG3886&lt;=0,Q_max,ABS(AG$23-AG3892))</f>
        <v>236393</v>
      </c>
      <c r="AI3893" s="9">
        <f ca="1">AG3882</f>
        <v>2109963.9674320496</v>
      </c>
      <c r="AJ3893" s="98"/>
      <c r="AK3893" s="106">
        <f ca="1">IF(AJ3886&lt;=0,Q_max,ABS(AJ$23-AJ3892))</f>
        <v>236393</v>
      </c>
      <c r="AL3893" s="9">
        <f ca="1">AJ3882</f>
        <v>2815755.0939552495</v>
      </c>
      <c r="AM3893" s="98"/>
      <c r="AN3893" s="106">
        <f ca="1">IF(AM3886&lt;=0,Q_max,ABS(AM$23-AM3892))</f>
        <v>236393</v>
      </c>
      <c r="AO3893" s="9">
        <f ca="1">AM3882</f>
        <v>3435756.3205769476</v>
      </c>
      <c r="AP3893" s="98"/>
      <c r="AQ3893" s="106">
        <f ca="1">IF(AP3886&lt;=0,Q_max,ABS(AP$23-AP3892))</f>
        <v>236393</v>
      </c>
      <c r="AR3893" s="9">
        <f ca="1">AP3882</f>
        <v>3988806.4264060888</v>
      </c>
      <c r="AS3893" s="98"/>
      <c r="AT3893" s="106">
        <f ca="1">IF(AS3886&lt;=0,Q_max,ABS(AS$23-AS3892))</f>
        <v>236393</v>
      </c>
      <c r="AU3893" s="9">
        <f ca="1">AS3882</f>
        <v>4677189.2343381923</v>
      </c>
    </row>
    <row r="3894" spans="15:47" x14ac:dyDescent="0.25">
      <c r="O3894" s="21"/>
      <c r="P3894" s="14"/>
      <c r="Q3894" s="21"/>
      <c r="R3894" s="97"/>
      <c r="S3894" s="106"/>
      <c r="T3894" s="28"/>
      <c r="U3894" s="97"/>
      <c r="V3894" s="111"/>
      <c r="W3894" s="28"/>
      <c r="X3894" s="97"/>
      <c r="Y3894" s="111"/>
      <c r="Z3894" s="28"/>
      <c r="AA3894" s="97"/>
      <c r="AB3894" s="111"/>
      <c r="AC3894" s="28"/>
      <c r="AD3894" s="97"/>
      <c r="AE3894" s="111"/>
      <c r="AF3894" s="28"/>
      <c r="AG3894" s="97"/>
      <c r="AH3894" s="111"/>
      <c r="AI3894" s="28"/>
      <c r="AJ3894" s="97"/>
      <c r="AK3894" s="111"/>
      <c r="AL3894" s="28"/>
      <c r="AM3894" s="97"/>
      <c r="AN3894" s="111"/>
      <c r="AO3894" s="28"/>
      <c r="AP3894" s="97"/>
      <c r="AQ3894" s="111"/>
      <c r="AR3894" s="28"/>
      <c r="AS3894" s="97"/>
      <c r="AT3894" s="111"/>
      <c r="AU3894" s="28"/>
    </row>
    <row r="3895" spans="15:47" x14ac:dyDescent="0.25">
      <c r="O3895" s="1"/>
      <c r="P3895" s="1"/>
      <c r="Q3895" s="1"/>
      <c r="R3895" s="98"/>
      <c r="S3895" s="108" t="s">
        <v>137</v>
      </c>
      <c r="T3895" s="26" t="s">
        <v>146</v>
      </c>
      <c r="U3895" s="98"/>
      <c r="V3895" s="108" t="s">
        <v>137</v>
      </c>
      <c r="W3895" s="26" t="s">
        <v>146</v>
      </c>
      <c r="X3895" s="98"/>
      <c r="Y3895" s="108" t="s">
        <v>137</v>
      </c>
      <c r="Z3895" s="26" t="s">
        <v>146</v>
      </c>
      <c r="AA3895" s="98"/>
      <c r="AB3895" s="108" t="s">
        <v>137</v>
      </c>
      <c r="AC3895" s="26" t="s">
        <v>146</v>
      </c>
      <c r="AD3895" s="98"/>
      <c r="AE3895" s="108" t="s">
        <v>137</v>
      </c>
      <c r="AF3895" s="26" t="s">
        <v>146</v>
      </c>
      <c r="AG3895" s="98"/>
      <c r="AH3895" s="108" t="s">
        <v>137</v>
      </c>
      <c r="AI3895" s="26" t="s">
        <v>146</v>
      </c>
      <c r="AJ3895" s="98"/>
      <c r="AK3895" s="108" t="s">
        <v>137</v>
      </c>
      <c r="AL3895" s="26" t="s">
        <v>146</v>
      </c>
      <c r="AM3895" s="98"/>
      <c r="AN3895" s="108" t="s">
        <v>137</v>
      </c>
      <c r="AO3895" s="26" t="s">
        <v>146</v>
      </c>
      <c r="AP3895" s="98"/>
      <c r="AQ3895" s="108" t="s">
        <v>137</v>
      </c>
      <c r="AR3895" s="26" t="s">
        <v>146</v>
      </c>
      <c r="AS3895" s="98"/>
      <c r="AT3895" s="108" t="s">
        <v>137</v>
      </c>
      <c r="AU3895" s="26" t="s">
        <v>146</v>
      </c>
    </row>
    <row r="3896" spans="15:47" ht="13.8" x14ac:dyDescent="0.25">
      <c r="O3896" s="20" t="s">
        <v>136</v>
      </c>
      <c r="P3896" s="1"/>
      <c r="Q3896" s="1"/>
      <c r="R3896" s="96">
        <f>R3882*1.02</f>
        <v>75324.120566826721</v>
      </c>
      <c r="S3896" s="109" t="s">
        <v>144</v>
      </c>
      <c r="T3896" s="23" t="s">
        <v>147</v>
      </c>
      <c r="U3896" s="96">
        <f ca="1">U3882*1.01</f>
        <v>182480.76302755359</v>
      </c>
      <c r="V3896" s="109" t="s">
        <v>144</v>
      </c>
      <c r="W3896" s="23" t="s">
        <v>147</v>
      </c>
      <c r="X3896" s="96">
        <f ca="1">X3882*1.01</f>
        <v>446828.35884405411</v>
      </c>
      <c r="Y3896" s="109" t="s">
        <v>144</v>
      </c>
      <c r="Z3896" s="23" t="s">
        <v>147</v>
      </c>
      <c r="AA3896" s="96">
        <f ca="1">AA3882*1.01</f>
        <v>870307.59213906981</v>
      </c>
      <c r="AB3896" s="109" t="s">
        <v>144</v>
      </c>
      <c r="AC3896" s="23" t="s">
        <v>147</v>
      </c>
      <c r="AD3896" s="96">
        <f ca="1">AD3882*1.01</f>
        <v>1460105.4055968085</v>
      </c>
      <c r="AE3896" s="109" t="s">
        <v>144</v>
      </c>
      <c r="AF3896" s="23" t="s">
        <v>147</v>
      </c>
      <c r="AG3896" s="96">
        <f ca="1">AG3882*1.01</f>
        <v>2131063.6071063699</v>
      </c>
      <c r="AH3896" s="109" t="s">
        <v>144</v>
      </c>
      <c r="AI3896" s="23" t="s">
        <v>147</v>
      </c>
      <c r="AJ3896" s="96">
        <f ca="1">AJ3882*1.01</f>
        <v>2843912.644894802</v>
      </c>
      <c r="AK3896" s="109" t="s">
        <v>144</v>
      </c>
      <c r="AL3896" s="23" t="s">
        <v>147</v>
      </c>
      <c r="AM3896" s="96">
        <f ca="1">AM3882*1.01</f>
        <v>3470113.8837827169</v>
      </c>
      <c r="AN3896" s="109" t="s">
        <v>144</v>
      </c>
      <c r="AO3896" s="23" t="s">
        <v>147</v>
      </c>
      <c r="AP3896" s="96">
        <f ca="1">AP3882*1.01</f>
        <v>4028694.4906701497</v>
      </c>
      <c r="AQ3896" s="109" t="s">
        <v>144</v>
      </c>
      <c r="AR3896" s="23" t="s">
        <v>147</v>
      </c>
      <c r="AS3896" s="96">
        <f ca="1">AS3882*1.01</f>
        <v>4723961.1266815746</v>
      </c>
      <c r="AT3896" s="109" t="s">
        <v>144</v>
      </c>
      <c r="AU3896" s="23" t="s">
        <v>147</v>
      </c>
    </row>
    <row r="3897" spans="15:47" x14ac:dyDescent="0.25">
      <c r="O3897" s="1"/>
      <c r="P3897" s="1"/>
      <c r="Q3897" s="1"/>
      <c r="R3897" s="98"/>
      <c r="S3897" s="107"/>
      <c r="T3897" s="1"/>
      <c r="U3897" s="47"/>
      <c r="V3897" s="107"/>
      <c r="W3897" s="1"/>
      <c r="X3897" s="47"/>
      <c r="Y3897" s="107"/>
      <c r="Z3897" s="1"/>
      <c r="AA3897" s="47"/>
      <c r="AB3897" s="107"/>
      <c r="AC3897" s="1"/>
      <c r="AD3897" s="47"/>
      <c r="AE3897" s="107"/>
      <c r="AF3897" s="1"/>
      <c r="AG3897" s="47"/>
      <c r="AH3897" s="107"/>
      <c r="AI3897" s="1"/>
      <c r="AJ3897" s="47"/>
      <c r="AK3897" s="107"/>
      <c r="AL3897" s="1"/>
      <c r="AM3897" s="47"/>
      <c r="AN3897" s="107"/>
      <c r="AO3897" s="1"/>
      <c r="AP3897" s="47"/>
      <c r="AQ3897" s="107"/>
      <c r="AR3897" s="1"/>
      <c r="AS3897" s="47"/>
      <c r="AT3897" s="107"/>
      <c r="AU3897" s="1"/>
    </row>
    <row r="3898" spans="15:47" x14ac:dyDescent="0.25">
      <c r="O3898" s="8" t="s">
        <v>132</v>
      </c>
      <c r="P3898" s="8"/>
      <c r="Q3898" s="8"/>
      <c r="R3898" s="96">
        <f>P_1_minQ-(R3896^2*R_up)+dpup_minQ</f>
        <v>89.150942581008465</v>
      </c>
      <c r="S3898" s="106"/>
      <c r="T3898" s="22"/>
      <c r="U3898" s="96">
        <f ca="1">P_1_minQ-(U3896^2*R_up)+dpup_minQ</f>
        <v>84.115892733182861</v>
      </c>
      <c r="V3898" s="107"/>
      <c r="W3898" s="1"/>
      <c r="X3898" s="96">
        <f ca="1">P_1_minQ-(X3896^2*R_up)+dpup_minQ</f>
        <v>53.795632179838563</v>
      </c>
      <c r="Y3898" s="107"/>
      <c r="Z3898" s="1"/>
      <c r="AA3898" s="96">
        <f ca="1">P_1_minQ-(AA3896^2*R_up)+dpup_minQ</f>
        <v>-47.865808323055887</v>
      </c>
      <c r="AB3898" s="107"/>
      <c r="AC3898" s="1"/>
      <c r="AD3898" s="96">
        <f ca="1">P_1_minQ-(AD3896^2*R_up)+dpup_minQ</f>
        <v>-298.37841686571926</v>
      </c>
      <c r="AE3898" s="107"/>
      <c r="AF3898" s="1"/>
      <c r="AG3898" s="96">
        <f ca="1">P_1_minQ-(AG3896^2*R_up)+dpup_minQ</f>
        <v>-737.54051172402592</v>
      </c>
      <c r="AH3898" s="107"/>
      <c r="AI3898" s="1"/>
      <c r="AJ3898" s="96">
        <f ca="1">P_1_minQ-(AJ3896^2*R_up)+dpup_minQ</f>
        <v>-1383.911889278088</v>
      </c>
      <c r="AK3898" s="107"/>
      <c r="AL3898" s="1"/>
      <c r="AM3898" s="96">
        <f ca="1">P_1_minQ-(AM3896^2*R_up)+dpup_minQ</f>
        <v>-2104.544418055129</v>
      </c>
      <c r="AN3898" s="107"/>
      <c r="AO3898" s="1"/>
      <c r="AP3898" s="96">
        <f ca="1">P_1_minQ-(AP3896^2*R_up)+dpup_minQ</f>
        <v>-2867.9786796732305</v>
      </c>
      <c r="AQ3898" s="107"/>
      <c r="AR3898" s="1"/>
      <c r="AS3898" s="96">
        <f ca="1">P_1_minQ-(AS3896^2*R_up)+dpup_minQ</f>
        <v>-3977.1145921324014</v>
      </c>
      <c r="AT3898" s="107"/>
      <c r="AU3898" s="1"/>
    </row>
    <row r="3899" spans="15:47" x14ac:dyDescent="0.25">
      <c r="O3899" s="8" t="s">
        <v>134</v>
      </c>
      <c r="P3899" s="1"/>
      <c r="Q3899" s="8"/>
      <c r="R3899" s="97">
        <f>P_2_minQ+(R3896^2*R_dn)-dpdn_minQ</f>
        <v>60</v>
      </c>
      <c r="S3899" s="106"/>
      <c r="T3899" s="22"/>
      <c r="U3899" s="97">
        <f ca="1">P_2_minQ+(U3896^2*R_dn)-dpdn_minQ</f>
        <v>60</v>
      </c>
      <c r="V3899" s="107"/>
      <c r="W3899" s="1"/>
      <c r="X3899" s="97">
        <f ca="1">P_2_minQ+(X3896^2*R_dn)-dpdn_minQ</f>
        <v>60</v>
      </c>
      <c r="Y3899" s="107"/>
      <c r="Z3899" s="1"/>
      <c r="AA3899" s="97">
        <f ca="1">P_2_minQ+(AA3896^2*R_dn)-dpdn_minQ</f>
        <v>60</v>
      </c>
      <c r="AB3899" s="107"/>
      <c r="AC3899" s="1"/>
      <c r="AD3899" s="97">
        <f ca="1">P_2_minQ+(AD3896^2*R_dn)-dpdn_minQ</f>
        <v>60</v>
      </c>
      <c r="AE3899" s="107"/>
      <c r="AF3899" s="1"/>
      <c r="AG3899" s="97">
        <f ca="1">P_2_minQ+(AG3896^2*R_dn)-dpdn_minQ</f>
        <v>60</v>
      </c>
      <c r="AH3899" s="107"/>
      <c r="AI3899" s="1"/>
      <c r="AJ3899" s="97">
        <f ca="1">P_2_minQ+(AJ3896^2*R_dn)-dpdn_minQ</f>
        <v>60</v>
      </c>
      <c r="AK3899" s="107"/>
      <c r="AL3899" s="1"/>
      <c r="AM3899" s="97">
        <f ca="1">P_2_minQ+(AM3896^2*R_dn)-dpdn_minQ</f>
        <v>60</v>
      </c>
      <c r="AN3899" s="107"/>
      <c r="AO3899" s="1"/>
      <c r="AP3899" s="97">
        <f ca="1">P_2_minQ+(AP3896^2*R_dn)-dpdn_minQ</f>
        <v>60</v>
      </c>
      <c r="AQ3899" s="107"/>
      <c r="AR3899" s="1"/>
      <c r="AS3899" s="97">
        <f ca="1">P_2_minQ+(AS3896^2*R_dn)-dpdn_minQ</f>
        <v>60</v>
      </c>
      <c r="AT3899" s="107"/>
      <c r="AU3899" s="1"/>
    </row>
    <row r="3900" spans="15:47" x14ac:dyDescent="0.25">
      <c r="O3900" s="8" t="s">
        <v>138</v>
      </c>
      <c r="P3900" s="1"/>
      <c r="Q3900" s="8"/>
      <c r="R3900" s="97">
        <f>R3898-R3899</f>
        <v>29.150942581008465</v>
      </c>
      <c r="S3900" s="106"/>
      <c r="T3900" s="22"/>
      <c r="U3900" s="97">
        <f ca="1">U3898-U3899</f>
        <v>24.115892733182861</v>
      </c>
      <c r="V3900" s="110"/>
      <c r="W3900" s="25"/>
      <c r="X3900" s="97">
        <f ca="1">X3898-X3899</f>
        <v>-6.204367820161437</v>
      </c>
      <c r="Y3900" s="110"/>
      <c r="Z3900" s="25"/>
      <c r="AA3900" s="97">
        <f ca="1">AA3898-AA3899</f>
        <v>-107.86580832305589</v>
      </c>
      <c r="AB3900" s="110"/>
      <c r="AC3900" s="25"/>
      <c r="AD3900" s="97">
        <f ca="1">AD3898-AD3899</f>
        <v>-358.37841686571926</v>
      </c>
      <c r="AE3900" s="110"/>
      <c r="AF3900" s="25"/>
      <c r="AG3900" s="97">
        <f ca="1">AG3898-AG3899</f>
        <v>-797.54051172402592</v>
      </c>
      <c r="AH3900" s="110"/>
      <c r="AI3900" s="25"/>
      <c r="AJ3900" s="97">
        <f ca="1">AJ3898-AJ3899</f>
        <v>-1443.911889278088</v>
      </c>
      <c r="AK3900" s="110"/>
      <c r="AL3900" s="25"/>
      <c r="AM3900" s="97">
        <f ca="1">AM3898-AM3899</f>
        <v>-2164.544418055129</v>
      </c>
      <c r="AN3900" s="110"/>
      <c r="AO3900" s="25"/>
      <c r="AP3900" s="97">
        <f ca="1">AP3898-AP3899</f>
        <v>-2927.9786796732305</v>
      </c>
      <c r="AQ3900" s="110"/>
      <c r="AR3900" s="25"/>
      <c r="AS3900" s="97">
        <f ca="1">AS3898-AS3899</f>
        <v>-4037.1145921324014</v>
      </c>
      <c r="AT3900" s="110"/>
      <c r="AU3900" s="25"/>
    </row>
    <row r="3901" spans="15:47" ht="14.4" x14ac:dyDescent="0.3">
      <c r="O3901" s="2" t="s">
        <v>140</v>
      </c>
      <c r="P3901" s="11"/>
      <c r="Q3901" s="2"/>
      <c r="R3901" s="96">
        <f>R3900/R3898</f>
        <v>0.3269841208299058</v>
      </c>
      <c r="S3901" s="106"/>
      <c r="T3901" s="22"/>
      <c r="U3901" s="96">
        <f ca="1">U3900/U3898</f>
        <v>0.28669841036674137</v>
      </c>
      <c r="V3901" s="111"/>
      <c r="W3901" s="28"/>
      <c r="X3901" s="96">
        <f ca="1">X3900/X3898</f>
        <v>-0.11533218532352706</v>
      </c>
      <c r="Y3901" s="111"/>
      <c r="Z3901" s="28"/>
      <c r="AA3901" s="96">
        <f ca="1">AA3900/AA3898</f>
        <v>2.2535043719526899</v>
      </c>
      <c r="AB3901" s="111"/>
      <c r="AC3901" s="28"/>
      <c r="AD3901" s="96">
        <f ca="1">AD3900/AD3898</f>
        <v>1.2010869305838636</v>
      </c>
      <c r="AE3901" s="111"/>
      <c r="AF3901" s="28"/>
      <c r="AG3901" s="96">
        <f ca="1">AG3900/AG3898</f>
        <v>1.0813514634738477</v>
      </c>
      <c r="AH3901" s="111"/>
      <c r="AI3901" s="28"/>
      <c r="AJ3901" s="96">
        <f ca="1">AJ3900/AJ3898</f>
        <v>1.0433553613238331</v>
      </c>
      <c r="AK3901" s="111"/>
      <c r="AL3901" s="28"/>
      <c r="AM3901" s="96">
        <f ca="1">AM3900/AM3898</f>
        <v>1.0285097332635287</v>
      </c>
      <c r="AN3901" s="111"/>
      <c r="AO3901" s="28"/>
      <c r="AP3901" s="96">
        <f ca="1">AP3900/AP3898</f>
        <v>1.0209206576134089</v>
      </c>
      <c r="AQ3901" s="111"/>
      <c r="AR3901" s="28"/>
      <c r="AS3901" s="96">
        <f ca="1">AS3900/AS3898</f>
        <v>1.0150863141129232</v>
      </c>
      <c r="AT3901" s="111"/>
      <c r="AU3901" s="28"/>
    </row>
    <row r="3902" spans="15:47" x14ac:dyDescent="0.25">
      <c r="O3902" s="2" t="s">
        <v>21</v>
      </c>
      <c r="P3902" s="8">
        <v>12</v>
      </c>
      <c r="Q3902" s="2"/>
      <c r="R3902" s="96">
        <f ca="1">1-R3901/(3*F_GAMMA*R$29)</f>
        <v>0.82970367255346966</v>
      </c>
      <c r="S3902" s="106"/>
      <c r="T3902" s="22"/>
      <c r="U3902" s="96">
        <f ca="1">1-U3901/(3*F_GAMMA*U$29)</f>
        <v>0.85071952800101625</v>
      </c>
      <c r="V3902" s="111"/>
      <c r="W3902" s="28"/>
      <c r="X3902" s="96">
        <f ca="1">1-X3901/(3*F_GAMMA*X$29)</f>
        <v>1.0606240551417552</v>
      </c>
      <c r="Y3902" s="111"/>
      <c r="Z3902" s="28"/>
      <c r="AA3902" s="96">
        <f ca="1">1-AA3901/(3*F_GAMMA*AA$29)</f>
        <v>-0.20124604658271417</v>
      </c>
      <c r="AB3902" s="111"/>
      <c r="AC3902" s="28"/>
      <c r="AD3902" s="96">
        <f ca="1">1-AD3901/(3*F_GAMMA*AD$29)</f>
        <v>0.33989557128675651</v>
      </c>
      <c r="AE3902" s="111"/>
      <c r="AF3902" s="28"/>
      <c r="AG3902" s="96">
        <f ca="1">1-AG3901/(3*F_GAMMA*AG$29)</f>
        <v>0.37003927514633994</v>
      </c>
      <c r="AH3902" s="111"/>
      <c r="AI3902" s="28"/>
      <c r="AJ3902" s="96">
        <f ca="1">1-AJ3901/(3*F_GAMMA*AJ$29)</f>
        <v>0.34606307238048573</v>
      </c>
      <c r="AK3902" s="111"/>
      <c r="AL3902" s="28"/>
      <c r="AM3902" s="96">
        <f ca="1">1-AM3901/(3*F_GAMMA*AM$29)</f>
        <v>0.27924802615662303</v>
      </c>
      <c r="AN3902" s="111"/>
      <c r="AO3902" s="28"/>
      <c r="AP3902" s="96">
        <f ca="1">1-AP3901/(3*F_GAMMA*AP$29)</f>
        <v>0.42373764038711492</v>
      </c>
      <c r="AQ3902" s="111"/>
      <c r="AR3902" s="28"/>
      <c r="AS3902" s="96">
        <f ca="1">1-AS3901/(3*F_GAMMA*AS$29)</f>
        <v>0.10174906486221968</v>
      </c>
      <c r="AT3902" s="111"/>
      <c r="AU3902" s="28"/>
    </row>
    <row r="3903" spans="15:47" x14ac:dyDescent="0.25">
      <c r="O3903" s="2" t="s">
        <v>57</v>
      </c>
      <c r="P3903" s="143">
        <v>7</v>
      </c>
      <c r="Q3903" s="2"/>
      <c r="R3903" s="96">
        <f ca="1">(R3896/(N_9*R$27*R3898*R3902))*SQRT(M*'Valve Sizing'!$W$6*'Valve Sizing'!$G$8/R3901)</f>
        <v>30.9818838178833</v>
      </c>
      <c r="S3903" s="107"/>
      <c r="T3903" s="22"/>
      <c r="U3903" s="96">
        <f ca="1">(U3896/(N_9*U$27*U3898*U3902))*SQRT(M*'Valve Sizing'!$W$6*'Valve Sizing'!$G$8/U3901)</f>
        <v>82.910757563270764</v>
      </c>
      <c r="V3903" s="111"/>
      <c r="W3903" s="28"/>
      <c r="X3903" s="96" t="e">
        <f ca="1">(X3896/(N_9*X$27*X3898*X3902))*SQRT(M*'Valve Sizing'!$W$6*'Valve Sizing'!$G$8/X3901)</f>
        <v>#NUM!</v>
      </c>
      <c r="Y3903" s="111"/>
      <c r="Z3903" s="28"/>
      <c r="AA3903" s="96">
        <f ca="1">(AA3896/(N_9*AA$27*AA3898*AA3902))*SQRT(M*'Valve Sizing'!$W$6*'Valve Sizing'!$G$8/AA3901)</f>
        <v>1056.403744424289</v>
      </c>
      <c r="AB3903" s="111"/>
      <c r="AC3903" s="28"/>
      <c r="AD3903" s="96">
        <f ca="1">(AD3896/(N_9*AD$27*AD3898*AD3902))*SQRT(M*'Valve Sizing'!$W$6*'Valve Sizing'!$G$8/AD3901)</f>
        <v>-233.43722021822805</v>
      </c>
      <c r="AE3903" s="111"/>
      <c r="AF3903" s="28"/>
      <c r="AG3903" s="96">
        <f ca="1">(AG3896/(N_9*AG$27*AG3898*AG3902))*SQRT(M*'Valve Sizing'!$W$6*'Valve Sizing'!$G$8/AG3901)</f>
        <v>-136.43651390002046</v>
      </c>
      <c r="AH3903" s="111"/>
      <c r="AI3903" s="28"/>
      <c r="AJ3903" s="96">
        <f ca="1">(AJ3896/(N_9*AJ$27*AJ3898*AJ3902))*SQRT(M*'Valve Sizing'!$W$6*'Valve Sizing'!$G$8/AJ3901)</f>
        <v>-109.4487498847969</v>
      </c>
      <c r="AK3903" s="111"/>
      <c r="AL3903" s="28"/>
      <c r="AM3903" s="96">
        <f ca="1">(AM3896/(N_9*AM$27*AM3898*AM3902))*SQRT(M*'Valve Sizing'!$W$6*'Valve Sizing'!$G$8/AM3901)</f>
        <v>-116.30125141710856</v>
      </c>
      <c r="AN3903" s="111"/>
      <c r="AO3903" s="28"/>
      <c r="AP3903" s="96">
        <f ca="1">(AP3896/(N_9*AP$27*AP3898*AP3902))*SQRT(M*'Valve Sizing'!$W$6*'Valve Sizing'!$G$8/AP3901)</f>
        <v>-74.594174748753517</v>
      </c>
      <c r="AQ3903" s="111"/>
      <c r="AR3903" s="28"/>
      <c r="AS3903" s="96">
        <f ca="1">(AS3896/(N_9*AS$27*AS3898*AS3902))*SQRT(M*'Valve Sizing'!$W$6*'Valve Sizing'!$G$8/AS3901)</f>
        <v>-352.83597150570051</v>
      </c>
      <c r="AT3903" s="111"/>
      <c r="AU3903" s="28"/>
    </row>
    <row r="3904" spans="15:47" x14ac:dyDescent="0.25">
      <c r="O3904" s="2" t="s">
        <v>59</v>
      </c>
      <c r="P3904" s="143">
        <v>7</v>
      </c>
      <c r="Q3904" s="2"/>
      <c r="R3904" s="96">
        <f ca="1">(R3896/(N_9*R$27*R3898*0.667))*SQRT(M*'Valve Sizing'!$W$6*'Valve Sizing'!$G$8/R3905)</f>
        <v>27.546616824199276</v>
      </c>
      <c r="S3904" s="107"/>
      <c r="T3904" s="22"/>
      <c r="U3904" s="96">
        <f ca="1">(U3896/(N_9*U$27*U3898*0.667))*SQRT(M*'Valve Sizing'!$W$6*'Valve Sizing'!$G$8/U3905)</f>
        <v>70.767455191971976</v>
      </c>
      <c r="V3904" s="111"/>
      <c r="W3904" s="28"/>
      <c r="X3904" s="96">
        <f ca="1">(X3896/(N_9*X$27*X3898*0.667))*SQRT(M*'Valve Sizing'!$W$6*'Valve Sizing'!$G$8/X3905)</f>
        <v>272.86336821750155</v>
      </c>
      <c r="Y3904" s="111"/>
      <c r="Z3904" s="28"/>
      <c r="AA3904" s="96">
        <f ca="1">(AA3896/(N_9*AA$27*AA3898*0.667))*SQRT(M*'Valve Sizing'!$W$6*'Valve Sizing'!$G$8/AA3905)</f>
        <v>-605.07341044629788</v>
      </c>
      <c r="AB3904" s="111"/>
      <c r="AC3904" s="28"/>
      <c r="AD3904" s="96">
        <f ca="1">(AD3896/(N_9*AD$27*AD3898*0.667))*SQRT(M*'Valve Sizing'!$W$6*'Valve Sizing'!$G$8/AD3905)</f>
        <v>-167.40049027182118</v>
      </c>
      <c r="AE3904" s="111"/>
      <c r="AF3904" s="28"/>
      <c r="AG3904" s="96">
        <f ca="1">(AG3896/(N_9*AG$27*AG3898*0.667))*SQRT(M*'Valve Sizing'!$W$6*'Valve Sizing'!$G$8/AG3905)</f>
        <v>-104.05668021464029</v>
      </c>
      <c r="AH3904" s="111"/>
      <c r="AI3904" s="28"/>
      <c r="AJ3904" s="96">
        <f ca="1">(AJ3896/(N_9*AJ$27*AJ3898*0.667))*SQRT(M*'Valve Sizing'!$W$6*'Valve Sizing'!$G$8/AJ3905)</f>
        <v>-79.536923670995677</v>
      </c>
      <c r="AK3904" s="111"/>
      <c r="AL3904" s="28"/>
      <c r="AM3904" s="96">
        <f ca="1">(AM3896/(N_9*AM$27*AM3898*0.667))*SQRT(M*'Valve Sizing'!$W$6*'Valve Sizing'!$G$8/AM3905)</f>
        <v>-71.598218025904401</v>
      </c>
      <c r="AN3904" s="111"/>
      <c r="AO3904" s="28"/>
      <c r="AP3904" s="96">
        <f ca="1">(AP3896/(N_9*AP$27*AP3898*0.667))*SQRT(M*'Valve Sizing'!$W$6*'Valve Sizing'!$G$8/AP3905)</f>
        <v>-62.308439921185389</v>
      </c>
      <c r="AQ3904" s="111"/>
      <c r="AR3904" s="28"/>
      <c r="AS3904" s="96">
        <f ca="1">(AS3896/(N_9*AS$27*AS3898*0.667))*SQRT(M*'Valve Sizing'!$W$6*'Valve Sizing'!$G$8/AS3905)</f>
        <v>-88.356176447538758</v>
      </c>
      <c r="AT3904" s="111"/>
      <c r="AU3904" s="28"/>
    </row>
    <row r="3905" spans="15:47" ht="15.6" x14ac:dyDescent="0.35">
      <c r="O3905" s="2" t="s">
        <v>68</v>
      </c>
      <c r="P3905" s="143">
        <v>10</v>
      </c>
      <c r="Q3905" s="2"/>
      <c r="R3905" s="96">
        <f ca="1">F_GAMMA*R$29</f>
        <v>0.64002969751372984</v>
      </c>
      <c r="S3905" s="107"/>
      <c r="T3905" s="1"/>
      <c r="U3905" s="96">
        <f ca="1">F_GAMMA*U$29</f>
        <v>0.64017842058782071</v>
      </c>
      <c r="V3905" s="111"/>
      <c r="W3905" s="28"/>
      <c r="X3905" s="96">
        <f ca="1">F_GAMMA*X$29</f>
        <v>0.63413873724904268</v>
      </c>
      <c r="Y3905" s="111"/>
      <c r="Z3905" s="28"/>
      <c r="AA3905" s="96">
        <f ca="1">F_GAMMA*AA$29</f>
        <v>0.62532411750377137</v>
      </c>
      <c r="AB3905" s="111"/>
      <c r="AC3905" s="28"/>
      <c r="AD3905" s="96">
        <f ca="1">F_GAMMA*AD$29</f>
        <v>0.60651359509139569</v>
      </c>
      <c r="AE3905" s="111"/>
      <c r="AF3905" s="28"/>
      <c r="AG3905" s="96">
        <f ca="1">F_GAMMA*AG$29</f>
        <v>0.57217930198481592</v>
      </c>
      <c r="AH3905" s="111"/>
      <c r="AI3905" s="28"/>
      <c r="AJ3905" s="96">
        <f ca="1">F_GAMMA*AJ$29</f>
        <v>0.53183282018848232</v>
      </c>
      <c r="AK3905" s="111"/>
      <c r="AL3905" s="28"/>
      <c r="AM3905" s="96">
        <f ca="1">F_GAMMA*AM$29</f>
        <v>0.47566512503094399</v>
      </c>
      <c r="AN3905" s="111"/>
      <c r="AO3905" s="28"/>
      <c r="AP3905" s="96">
        <f ca="1">F_GAMMA*AP$29</f>
        <v>0.59054158265645496</v>
      </c>
      <c r="AQ3905" s="111"/>
      <c r="AR3905" s="28"/>
      <c r="AS3905" s="96">
        <f ca="1">F_GAMMA*AS$29</f>
        <v>0.3766899554102966</v>
      </c>
      <c r="AT3905" s="111"/>
      <c r="AU3905" s="28"/>
    </row>
    <row r="3906" spans="15:47" x14ac:dyDescent="0.25">
      <c r="O3906" s="2" t="s">
        <v>145</v>
      </c>
      <c r="P3906" s="12"/>
      <c r="Q3906" s="2"/>
      <c r="R3906" s="96">
        <f ca="1">IF(R3901&lt;R3905,R3903,R3904)</f>
        <v>30.9818838178833</v>
      </c>
      <c r="S3906" s="116"/>
      <c r="T3906" s="1"/>
      <c r="U3906" s="96">
        <f ca="1">IF(U3901&lt;U3905,U3903,U3904)</f>
        <v>82.910757563270764</v>
      </c>
      <c r="V3906" s="111"/>
      <c r="W3906" s="28"/>
      <c r="X3906" s="96" t="e">
        <f ca="1">IF(X3901&lt;X3905,X3903,X3904)</f>
        <v>#NUM!</v>
      </c>
      <c r="Y3906" s="111"/>
      <c r="Z3906" s="28"/>
      <c r="AA3906" s="96">
        <f ca="1">IF(AA3901&lt;AA3905,AA3903,AA3904)</f>
        <v>-605.07341044629788</v>
      </c>
      <c r="AB3906" s="111"/>
      <c r="AC3906" s="28"/>
      <c r="AD3906" s="96">
        <f ca="1">IF(AD3901&lt;AD3905,AD3903,AD3904)</f>
        <v>-167.40049027182118</v>
      </c>
      <c r="AE3906" s="111"/>
      <c r="AF3906" s="28"/>
      <c r="AG3906" s="96">
        <f ca="1">IF(AG3901&lt;AG3905,AG3903,AG3904)</f>
        <v>-104.05668021464029</v>
      </c>
      <c r="AH3906" s="111"/>
      <c r="AI3906" s="28"/>
      <c r="AJ3906" s="96">
        <f ca="1">IF(AJ3901&lt;AJ3905,AJ3903,AJ3904)</f>
        <v>-79.536923670995677</v>
      </c>
      <c r="AK3906" s="111"/>
      <c r="AL3906" s="28"/>
      <c r="AM3906" s="96">
        <f ca="1">IF(AM3901&lt;AM3905,AM3903,AM3904)</f>
        <v>-71.598218025904401</v>
      </c>
      <c r="AN3906" s="111"/>
      <c r="AO3906" s="28"/>
      <c r="AP3906" s="96">
        <f ca="1">IF(AP3901&lt;AP3905,AP3903,AP3904)</f>
        <v>-62.308439921185389</v>
      </c>
      <c r="AQ3906" s="111"/>
      <c r="AR3906" s="28"/>
      <c r="AS3906" s="96">
        <f ca="1">IF(AS3901&lt;AS3905,AS3903,AS3904)</f>
        <v>-88.356176447538758</v>
      </c>
      <c r="AT3906" s="111"/>
      <c r="AU3906" s="28"/>
    </row>
    <row r="3907" spans="15:47" x14ac:dyDescent="0.25">
      <c r="O3907" s="13" t="s">
        <v>143</v>
      </c>
      <c r="P3907" s="1"/>
      <c r="Q3907" s="1"/>
      <c r="R3907" s="113"/>
      <c r="S3907" s="106">
        <f ca="1">IF(R3900&lt;=0,Q_max,ABS(R$23-R3906))</f>
        <v>26.2518838178833</v>
      </c>
      <c r="T3907" s="7">
        <f>R3896</f>
        <v>75324.120566826721</v>
      </c>
      <c r="U3907" s="98"/>
      <c r="V3907" s="106">
        <f ca="1">IF(U3900&lt;=0,Q_max,ABS(U$23-U3906))</f>
        <v>71.310757563270769</v>
      </c>
      <c r="W3907" s="9">
        <f ca="1">U3896</f>
        <v>182480.76302755359</v>
      </c>
      <c r="X3907" s="98"/>
      <c r="Y3907" s="106">
        <f ca="1">IF(X3900&lt;=0,Q_max,ABS(X$23-X3906))</f>
        <v>236393</v>
      </c>
      <c r="Z3907" s="9">
        <f ca="1">X3896</f>
        <v>446828.35884405411</v>
      </c>
      <c r="AA3907" s="98"/>
      <c r="AB3907" s="106">
        <f ca="1">IF(AA3900&lt;=0,Q_max,ABS(AA$23-AA3906))</f>
        <v>236393</v>
      </c>
      <c r="AC3907" s="9">
        <f ca="1">AA3896</f>
        <v>870307.59213906981</v>
      </c>
      <c r="AD3907" s="98"/>
      <c r="AE3907" s="106">
        <f ca="1">IF(AD3900&lt;=0,Q_max,ABS(AD$23-AD3906))</f>
        <v>236393</v>
      </c>
      <c r="AF3907" s="9">
        <f ca="1">AD3896</f>
        <v>1460105.4055968085</v>
      </c>
      <c r="AG3907" s="98"/>
      <c r="AH3907" s="106">
        <f ca="1">IF(AG3900&lt;=0,Q_max,ABS(AG$23-AG3906))</f>
        <v>236393</v>
      </c>
      <c r="AI3907" s="9">
        <f ca="1">AG3896</f>
        <v>2131063.6071063699</v>
      </c>
      <c r="AJ3907" s="98"/>
      <c r="AK3907" s="106">
        <f ca="1">IF(AJ3900&lt;=0,Q_max,ABS(AJ$23-AJ3906))</f>
        <v>236393</v>
      </c>
      <c r="AL3907" s="9">
        <f ca="1">AJ3896</f>
        <v>2843912.644894802</v>
      </c>
      <c r="AM3907" s="98"/>
      <c r="AN3907" s="106">
        <f ca="1">IF(AM3900&lt;=0,Q_max,ABS(AM$23-AM3906))</f>
        <v>236393</v>
      </c>
      <c r="AO3907" s="9">
        <f ca="1">AM3896</f>
        <v>3470113.8837827169</v>
      </c>
      <c r="AP3907" s="98"/>
      <c r="AQ3907" s="106">
        <f ca="1">IF(AP3900&lt;=0,Q_max,ABS(AP$23-AP3906))</f>
        <v>236393</v>
      </c>
      <c r="AR3907" s="9">
        <f ca="1">AP3896</f>
        <v>4028694.4906701497</v>
      </c>
      <c r="AS3907" s="98"/>
      <c r="AT3907" s="106">
        <f ca="1">IF(AS3900&lt;=0,Q_max,ABS(AS$23-AS3906))</f>
        <v>236393</v>
      </c>
      <c r="AU3907" s="9">
        <f ca="1">AS3896</f>
        <v>4723961.1266815746</v>
      </c>
    </row>
    <row r="3908" spans="15:47" x14ac:dyDescent="0.25">
      <c r="O3908" s="21"/>
      <c r="P3908" s="14"/>
      <c r="Q3908" s="21"/>
      <c r="R3908" s="97"/>
      <c r="S3908" s="106"/>
      <c r="T3908" s="28"/>
      <c r="U3908" s="97"/>
      <c r="V3908" s="111"/>
      <c r="W3908" s="28"/>
      <c r="X3908" s="97"/>
      <c r="Y3908" s="111"/>
      <c r="Z3908" s="28"/>
      <c r="AA3908" s="97"/>
      <c r="AB3908" s="111"/>
      <c r="AC3908" s="28"/>
      <c r="AD3908" s="97"/>
      <c r="AE3908" s="111"/>
      <c r="AF3908" s="28"/>
      <c r="AG3908" s="97"/>
      <c r="AH3908" s="111"/>
      <c r="AI3908" s="28"/>
      <c r="AJ3908" s="97"/>
      <c r="AK3908" s="111"/>
      <c r="AL3908" s="28"/>
      <c r="AM3908" s="97"/>
      <c r="AN3908" s="111"/>
      <c r="AO3908" s="28"/>
      <c r="AP3908" s="97"/>
      <c r="AQ3908" s="111"/>
      <c r="AR3908" s="28"/>
      <c r="AS3908" s="97"/>
      <c r="AT3908" s="111"/>
      <c r="AU3908" s="28"/>
    </row>
    <row r="3909" spans="15:47" x14ac:dyDescent="0.25">
      <c r="O3909" s="1"/>
      <c r="P3909" s="1"/>
      <c r="Q3909" s="1"/>
      <c r="R3909" s="98"/>
      <c r="S3909" s="108" t="s">
        <v>137</v>
      </c>
      <c r="T3909" s="26" t="s">
        <v>146</v>
      </c>
      <c r="U3909" s="98"/>
      <c r="V3909" s="108" t="s">
        <v>137</v>
      </c>
      <c r="W3909" s="26" t="s">
        <v>146</v>
      </c>
      <c r="X3909" s="98"/>
      <c r="Y3909" s="108" t="s">
        <v>137</v>
      </c>
      <c r="Z3909" s="26" t="s">
        <v>146</v>
      </c>
      <c r="AA3909" s="98"/>
      <c r="AB3909" s="108" t="s">
        <v>137</v>
      </c>
      <c r="AC3909" s="26" t="s">
        <v>146</v>
      </c>
      <c r="AD3909" s="98"/>
      <c r="AE3909" s="108" t="s">
        <v>137</v>
      </c>
      <c r="AF3909" s="26" t="s">
        <v>146</v>
      </c>
      <c r="AG3909" s="98"/>
      <c r="AH3909" s="108" t="s">
        <v>137</v>
      </c>
      <c r="AI3909" s="26" t="s">
        <v>146</v>
      </c>
      <c r="AJ3909" s="98"/>
      <c r="AK3909" s="108" t="s">
        <v>137</v>
      </c>
      <c r="AL3909" s="26" t="s">
        <v>146</v>
      </c>
      <c r="AM3909" s="98"/>
      <c r="AN3909" s="108" t="s">
        <v>137</v>
      </c>
      <c r="AO3909" s="26" t="s">
        <v>146</v>
      </c>
      <c r="AP3909" s="98"/>
      <c r="AQ3909" s="108" t="s">
        <v>137</v>
      </c>
      <c r="AR3909" s="26" t="s">
        <v>146</v>
      </c>
      <c r="AS3909" s="98"/>
      <c r="AT3909" s="108" t="s">
        <v>137</v>
      </c>
      <c r="AU3909" s="26" t="s">
        <v>146</v>
      </c>
    </row>
    <row r="3910" spans="15:47" ht="13.8" x14ac:dyDescent="0.25">
      <c r="O3910" s="20" t="s">
        <v>136</v>
      </c>
      <c r="P3910" s="1"/>
      <c r="Q3910" s="1"/>
      <c r="R3910" s="96">
        <f>R3896*1.02</f>
        <v>76830.602978163253</v>
      </c>
      <c r="S3910" s="109" t="s">
        <v>144</v>
      </c>
      <c r="T3910" s="23" t="s">
        <v>147</v>
      </c>
      <c r="U3910" s="96">
        <f ca="1">U3896*1.01</f>
        <v>184305.57065782914</v>
      </c>
      <c r="V3910" s="109" t="s">
        <v>144</v>
      </c>
      <c r="W3910" s="23" t="s">
        <v>147</v>
      </c>
      <c r="X3910" s="96">
        <f ca="1">X3896*1.01</f>
        <v>451296.64243249467</v>
      </c>
      <c r="Y3910" s="109" t="s">
        <v>144</v>
      </c>
      <c r="Z3910" s="23" t="s">
        <v>147</v>
      </c>
      <c r="AA3910" s="96">
        <f ca="1">AA3896*1.01</f>
        <v>879010.66806046048</v>
      </c>
      <c r="AB3910" s="109" t="s">
        <v>144</v>
      </c>
      <c r="AC3910" s="23" t="s">
        <v>147</v>
      </c>
      <c r="AD3910" s="96">
        <f ca="1">AD3896*1.01</f>
        <v>1474706.4596527766</v>
      </c>
      <c r="AE3910" s="109" t="s">
        <v>144</v>
      </c>
      <c r="AF3910" s="23" t="s">
        <v>147</v>
      </c>
      <c r="AG3910" s="96">
        <f ca="1">AG3896*1.01</f>
        <v>2152374.2431774335</v>
      </c>
      <c r="AH3910" s="109" t="s">
        <v>144</v>
      </c>
      <c r="AI3910" s="23" t="s">
        <v>147</v>
      </c>
      <c r="AJ3910" s="96">
        <f ca="1">AJ3896*1.01</f>
        <v>2872351.7713437499</v>
      </c>
      <c r="AK3910" s="109" t="s">
        <v>144</v>
      </c>
      <c r="AL3910" s="23" t="s">
        <v>147</v>
      </c>
      <c r="AM3910" s="96">
        <f ca="1">AM3896*1.01</f>
        <v>3504815.0226205443</v>
      </c>
      <c r="AN3910" s="109" t="s">
        <v>144</v>
      </c>
      <c r="AO3910" s="23" t="s">
        <v>147</v>
      </c>
      <c r="AP3910" s="96">
        <f ca="1">AP3896*1.01</f>
        <v>4068981.435576851</v>
      </c>
      <c r="AQ3910" s="109" t="s">
        <v>144</v>
      </c>
      <c r="AR3910" s="23" t="s">
        <v>147</v>
      </c>
      <c r="AS3910" s="96">
        <f ca="1">AS3896*1.01</f>
        <v>4771200.7379483907</v>
      </c>
      <c r="AT3910" s="109" t="s">
        <v>144</v>
      </c>
      <c r="AU3910" s="23" t="s">
        <v>147</v>
      </c>
    </row>
    <row r="3911" spans="15:47" x14ac:dyDescent="0.25">
      <c r="O3911" s="1"/>
      <c r="P3911" s="1"/>
      <c r="Q3911" s="1"/>
      <c r="R3911" s="98"/>
      <c r="S3911" s="107"/>
      <c r="T3911" s="1"/>
      <c r="U3911" s="47"/>
      <c r="V3911" s="107"/>
      <c r="W3911" s="1"/>
      <c r="X3911" s="47"/>
      <c r="Y3911" s="107"/>
      <c r="Z3911" s="1"/>
      <c r="AA3911" s="47"/>
      <c r="AB3911" s="107"/>
      <c r="AC3911" s="1"/>
      <c r="AD3911" s="47"/>
      <c r="AE3911" s="107"/>
      <c r="AF3911" s="1"/>
      <c r="AG3911" s="47"/>
      <c r="AH3911" s="107"/>
      <c r="AI3911" s="1"/>
      <c r="AJ3911" s="47"/>
      <c r="AK3911" s="107"/>
      <c r="AL3911" s="1"/>
      <c r="AM3911" s="47"/>
      <c r="AN3911" s="107"/>
      <c r="AO3911" s="1"/>
      <c r="AP3911" s="47"/>
      <c r="AQ3911" s="107"/>
      <c r="AR3911" s="1"/>
      <c r="AS3911" s="47"/>
      <c r="AT3911" s="107"/>
      <c r="AU3911" s="1"/>
    </row>
    <row r="3912" spans="15:47" x14ac:dyDescent="0.25">
      <c r="O3912" s="8" t="s">
        <v>132</v>
      </c>
      <c r="P3912" s="8"/>
      <c r="Q3912" s="8"/>
      <c r="R3912" s="96">
        <f>P_1_minQ-(R3910^2*R_up)+dpup_minQ</f>
        <v>89.109165023858893</v>
      </c>
      <c r="S3912" s="106"/>
      <c r="T3912" s="22"/>
      <c r="U3912" s="96">
        <f ca="1">P_1_minQ-(U3910^2*R_up)+dpup_minQ</f>
        <v>83.993902862461695</v>
      </c>
      <c r="V3912" s="107"/>
      <c r="W3912" s="1"/>
      <c r="X3912" s="96">
        <f ca="1">P_1_minQ-(X3910^2*R_up)+dpup_minQ</f>
        <v>53.064205071995175</v>
      </c>
      <c r="Y3912" s="107"/>
      <c r="Z3912" s="1"/>
      <c r="AA3912" s="96">
        <f ca="1">P_1_minQ-(AA3910^2*R_up)+dpup_minQ</f>
        <v>-50.640630385007427</v>
      </c>
      <c r="AB3912" s="107"/>
      <c r="AC3912" s="1"/>
      <c r="AD3912" s="96">
        <f ca="1">P_1_minQ-(AD3910^2*R_up)+dpup_minQ</f>
        <v>-306.1885423593784</v>
      </c>
      <c r="AE3912" s="107"/>
      <c r="AF3912" s="1"/>
      <c r="AG3912" s="96">
        <f ca="1">P_1_minQ-(AG3910^2*R_up)+dpup_minQ</f>
        <v>-754.1777953243369</v>
      </c>
      <c r="AH3912" s="107"/>
      <c r="AI3912" s="1"/>
      <c r="AJ3912" s="96">
        <f ca="1">P_1_minQ-(AJ3910^2*R_up)+dpup_minQ</f>
        <v>-1413.5412375672356</v>
      </c>
      <c r="AK3912" s="107"/>
      <c r="AL3912" s="1"/>
      <c r="AM3912" s="96">
        <f ca="1">P_1_minQ-(AM3910^2*R_up)+dpup_minQ</f>
        <v>-2148.6584801726954</v>
      </c>
      <c r="AN3912" s="107"/>
      <c r="AO3912" s="1"/>
      <c r="AP3912" s="96">
        <f ca="1">P_1_minQ-(AP3910^2*R_up)+dpup_minQ</f>
        <v>-2927.4377704493204</v>
      </c>
      <c r="AQ3912" s="107"/>
      <c r="AR3912" s="1"/>
      <c r="AS3912" s="96">
        <f ca="1">P_1_minQ-(AS3910^2*R_up)+dpup_minQ</f>
        <v>-4058.8673147489208</v>
      </c>
      <c r="AT3912" s="107"/>
      <c r="AU3912" s="1"/>
    </row>
    <row r="3913" spans="15:47" x14ac:dyDescent="0.25">
      <c r="O3913" s="8" t="s">
        <v>134</v>
      </c>
      <c r="P3913" s="1"/>
      <c r="Q3913" s="8"/>
      <c r="R3913" s="97">
        <f>P_2_minQ+(R3910^2*R_dn)-dpdn_minQ</f>
        <v>60</v>
      </c>
      <c r="S3913" s="106"/>
      <c r="T3913" s="22"/>
      <c r="U3913" s="97">
        <f ca="1">P_2_minQ+(U3910^2*R_dn)-dpdn_minQ</f>
        <v>60</v>
      </c>
      <c r="V3913" s="107"/>
      <c r="W3913" s="1"/>
      <c r="X3913" s="97">
        <f ca="1">P_2_minQ+(X3910^2*R_dn)-dpdn_minQ</f>
        <v>60</v>
      </c>
      <c r="Y3913" s="107"/>
      <c r="Z3913" s="1"/>
      <c r="AA3913" s="97">
        <f ca="1">P_2_minQ+(AA3910^2*R_dn)-dpdn_minQ</f>
        <v>60</v>
      </c>
      <c r="AB3913" s="107"/>
      <c r="AC3913" s="1"/>
      <c r="AD3913" s="97">
        <f ca="1">P_2_minQ+(AD3910^2*R_dn)-dpdn_minQ</f>
        <v>60</v>
      </c>
      <c r="AE3913" s="107"/>
      <c r="AF3913" s="1"/>
      <c r="AG3913" s="97">
        <f ca="1">P_2_minQ+(AG3910^2*R_dn)-dpdn_minQ</f>
        <v>60</v>
      </c>
      <c r="AH3913" s="107"/>
      <c r="AI3913" s="1"/>
      <c r="AJ3913" s="97">
        <f ca="1">P_2_minQ+(AJ3910^2*R_dn)-dpdn_minQ</f>
        <v>60</v>
      </c>
      <c r="AK3913" s="107"/>
      <c r="AL3913" s="1"/>
      <c r="AM3913" s="97">
        <f ca="1">P_2_minQ+(AM3910^2*R_dn)-dpdn_minQ</f>
        <v>60</v>
      </c>
      <c r="AN3913" s="107"/>
      <c r="AO3913" s="1"/>
      <c r="AP3913" s="97">
        <f ca="1">P_2_minQ+(AP3910^2*R_dn)-dpdn_minQ</f>
        <v>60</v>
      </c>
      <c r="AQ3913" s="107"/>
      <c r="AR3913" s="1"/>
      <c r="AS3913" s="97">
        <f ca="1">P_2_minQ+(AS3910^2*R_dn)-dpdn_minQ</f>
        <v>60</v>
      </c>
      <c r="AT3913" s="107"/>
      <c r="AU3913" s="1"/>
    </row>
    <row r="3914" spans="15:47" x14ac:dyDescent="0.25">
      <c r="O3914" s="8" t="s">
        <v>138</v>
      </c>
      <c r="P3914" s="1"/>
      <c r="Q3914" s="8"/>
      <c r="R3914" s="97">
        <f>R3912-R3913</f>
        <v>29.109165023858893</v>
      </c>
      <c r="S3914" s="106"/>
      <c r="T3914" s="22"/>
      <c r="U3914" s="97">
        <f ca="1">U3912-U3913</f>
        <v>23.993902862461695</v>
      </c>
      <c r="V3914" s="110"/>
      <c r="W3914" s="25"/>
      <c r="X3914" s="97">
        <f ca="1">X3912-X3913</f>
        <v>-6.9357949280048246</v>
      </c>
      <c r="Y3914" s="110"/>
      <c r="Z3914" s="25"/>
      <c r="AA3914" s="97">
        <f ca="1">AA3912-AA3913</f>
        <v>-110.64063038500743</v>
      </c>
      <c r="AB3914" s="110"/>
      <c r="AC3914" s="25"/>
      <c r="AD3914" s="97">
        <f ca="1">AD3912-AD3913</f>
        <v>-366.1885423593784</v>
      </c>
      <c r="AE3914" s="110"/>
      <c r="AF3914" s="25"/>
      <c r="AG3914" s="97">
        <f ca="1">AG3912-AG3913</f>
        <v>-814.1777953243369</v>
      </c>
      <c r="AH3914" s="110"/>
      <c r="AI3914" s="25"/>
      <c r="AJ3914" s="97">
        <f ca="1">AJ3912-AJ3913</f>
        <v>-1473.5412375672356</v>
      </c>
      <c r="AK3914" s="110"/>
      <c r="AL3914" s="25"/>
      <c r="AM3914" s="97">
        <f ca="1">AM3912-AM3913</f>
        <v>-2208.6584801726954</v>
      </c>
      <c r="AN3914" s="110"/>
      <c r="AO3914" s="25"/>
      <c r="AP3914" s="97">
        <f ca="1">AP3912-AP3913</f>
        <v>-2987.4377704493204</v>
      </c>
      <c r="AQ3914" s="110"/>
      <c r="AR3914" s="25"/>
      <c r="AS3914" s="97">
        <f ca="1">AS3912-AS3913</f>
        <v>-4118.8673147489208</v>
      </c>
      <c r="AT3914" s="110"/>
      <c r="AU3914" s="25"/>
    </row>
    <row r="3915" spans="15:47" ht="14.4" x14ac:dyDescent="0.3">
      <c r="O3915" s="2" t="s">
        <v>140</v>
      </c>
      <c r="P3915" s="11"/>
      <c r="Q3915" s="2"/>
      <c r="R3915" s="96">
        <f>R3914/R3912</f>
        <v>0.32666858696369722</v>
      </c>
      <c r="S3915" s="106"/>
      <c r="T3915" s="22"/>
      <c r="U3915" s="96">
        <f ca="1">U3914/U3912</f>
        <v>0.28566243554310389</v>
      </c>
      <c r="V3915" s="111"/>
      <c r="W3915" s="28"/>
      <c r="X3915" s="96">
        <f ca="1">X3914/X3912</f>
        <v>-0.13070571619031404</v>
      </c>
      <c r="Y3915" s="111"/>
      <c r="Z3915" s="28"/>
      <c r="AA3915" s="96">
        <f ca="1">AA3914/AA3912</f>
        <v>2.1848193741633102</v>
      </c>
      <c r="AB3915" s="111"/>
      <c r="AC3915" s="28"/>
      <c r="AD3915" s="96">
        <f ca="1">AD3914/AD3912</f>
        <v>1.1959576917466004</v>
      </c>
      <c r="AE3915" s="111"/>
      <c r="AF3915" s="28"/>
      <c r="AG3915" s="96">
        <f ca="1">AG3914/AG3912</f>
        <v>1.079556837090645</v>
      </c>
      <c r="AH3915" s="111"/>
      <c r="AI3915" s="28"/>
      <c r="AJ3915" s="96">
        <f ca="1">AJ3914/AJ3912</f>
        <v>1.0424465862087353</v>
      </c>
      <c r="AK3915" s="111"/>
      <c r="AL3915" s="28"/>
      <c r="AM3915" s="96">
        <f ca="1">AM3914/AM3912</f>
        <v>1.0279244005288255</v>
      </c>
      <c r="AN3915" s="111"/>
      <c r="AO3915" s="28"/>
      <c r="AP3915" s="96">
        <f ca="1">AP3914/AP3912</f>
        <v>1.0204957388353948</v>
      </c>
      <c r="AQ3915" s="111"/>
      <c r="AR3915" s="28"/>
      <c r="AS3915" s="96">
        <f ca="1">AS3914/AS3912</f>
        <v>1.0147824492271464</v>
      </c>
      <c r="AT3915" s="111"/>
      <c r="AU3915" s="28"/>
    </row>
    <row r="3916" spans="15:47" x14ac:dyDescent="0.25">
      <c r="O3916" s="2" t="s">
        <v>21</v>
      </c>
      <c r="P3916" s="8">
        <v>12</v>
      </c>
      <c r="Q3916" s="2"/>
      <c r="R3916" s="96">
        <f ca="1">1-R3915/(3*F_GAMMA*R$29)</f>
        <v>0.82986800548334994</v>
      </c>
      <c r="S3916" s="106"/>
      <c r="T3916" s="22"/>
      <c r="U3916" s="96">
        <f ca="1">1-U3915/(3*F_GAMMA*U$29)</f>
        <v>0.85125894784102807</v>
      </c>
      <c r="V3916" s="111"/>
      <c r="W3916" s="28"/>
      <c r="X3916" s="96">
        <f ca="1">1-X3915/(3*F_GAMMA*X$29)</f>
        <v>1.068705110576343</v>
      </c>
      <c r="Y3916" s="111"/>
      <c r="Z3916" s="28"/>
      <c r="AA3916" s="96">
        <f ca="1">1-AA3915/(3*F_GAMMA*AA$29)</f>
        <v>-0.1646330348304712</v>
      </c>
      <c r="AB3916" s="111"/>
      <c r="AC3916" s="28"/>
      <c r="AD3916" s="96">
        <f ca="1">1-AD3915/(3*F_GAMMA*AD$29)</f>
        <v>0.34271454565588022</v>
      </c>
      <c r="AE3916" s="111"/>
      <c r="AF3916" s="28"/>
      <c r="AG3916" s="96">
        <f ca="1">1-AG3915/(3*F_GAMMA*AG$29)</f>
        <v>0.37108476699186066</v>
      </c>
      <c r="AH3916" s="111"/>
      <c r="AI3916" s="28"/>
      <c r="AJ3916" s="96">
        <f ca="1">1-AJ3915/(3*F_GAMMA*AJ$29)</f>
        <v>0.34663265933876819</v>
      </c>
      <c r="AK3916" s="111"/>
      <c r="AL3916" s="28"/>
      <c r="AM3916" s="96">
        <f ca="1">1-AM3915/(3*F_GAMMA*AM$29)</f>
        <v>0.27965821160285487</v>
      </c>
      <c r="AN3916" s="111"/>
      <c r="AO3916" s="28"/>
      <c r="AP3916" s="96">
        <f ca="1">1-AP3915/(3*F_GAMMA*AP$29)</f>
        <v>0.42397748732902585</v>
      </c>
      <c r="AQ3916" s="111"/>
      <c r="AR3916" s="28"/>
      <c r="AS3916" s="96">
        <f ca="1">1-AS3915/(3*F_GAMMA*AS$29)</f>
        <v>0.10201795521568979</v>
      </c>
      <c r="AT3916" s="111"/>
      <c r="AU3916" s="28"/>
    </row>
    <row r="3917" spans="15:47" x14ac:dyDescent="0.25">
      <c r="O3917" s="2" t="s">
        <v>57</v>
      </c>
      <c r="P3917" s="143">
        <v>7</v>
      </c>
      <c r="Q3917" s="2"/>
      <c r="R3917" s="96">
        <f ca="1">(R3910/(N_9*R$27*R3912*R3916))*SQRT(M*'Valve Sizing'!$W$6*'Valve Sizing'!$G$8/R3915)</f>
        <v>31.625339282483942</v>
      </c>
      <c r="S3917" s="107"/>
      <c r="T3917" s="22"/>
      <c r="U3917" s="96">
        <f ca="1">(U3910/(N_9*U$27*U3912*U3916))*SQRT(M*'Valve Sizing'!$W$6*'Valve Sizing'!$G$8/U3915)</f>
        <v>83.960176175979441</v>
      </c>
      <c r="V3917" s="111"/>
      <c r="W3917" s="28"/>
      <c r="X3917" s="96" t="e">
        <f ca="1">(X3910/(N_9*X$27*X3912*X3916))*SQRT(M*'Valve Sizing'!$W$6*'Valve Sizing'!$G$8/X3915)</f>
        <v>#NUM!</v>
      </c>
      <c r="Y3917" s="111"/>
      <c r="Z3917" s="28"/>
      <c r="AA3917" s="96">
        <f ca="1">(AA3910/(N_9*AA$27*AA3912*AA3916))*SQRT(M*'Valve Sizing'!$W$6*'Valve Sizing'!$G$8/AA3915)</f>
        <v>1252.0146385497812</v>
      </c>
      <c r="AB3917" s="111"/>
      <c r="AC3917" s="28"/>
      <c r="AD3917" s="96">
        <f ca="1">(AD3910/(N_9*AD$27*AD3912*AD3916))*SQRT(M*'Valve Sizing'!$W$6*'Valve Sizing'!$G$8/AD3915)</f>
        <v>-228.35589526950025</v>
      </c>
      <c r="AE3917" s="111"/>
      <c r="AF3917" s="28"/>
      <c r="AG3917" s="96">
        <f ca="1">(AG3910/(N_9*AG$27*AG3912*AG3916))*SQRT(M*'Valve Sizing'!$W$6*'Valve Sizing'!$G$8/AG3915)</f>
        <v>-134.49294431878675</v>
      </c>
      <c r="AH3917" s="111"/>
      <c r="AI3917" s="28"/>
      <c r="AJ3917" s="96">
        <f ca="1">(AJ3910/(N_9*AJ$27*AJ3912*AJ3916))*SQRT(M*'Valve Sizing'!$W$6*'Valve Sizing'!$G$8/AJ3915)</f>
        <v>-108.0953811631084</v>
      </c>
      <c r="AK3917" s="111"/>
      <c r="AL3917" s="28"/>
      <c r="AM3917" s="96">
        <f ca="1">(AM3910/(N_9*AM$27*AM3912*AM3916))*SQRT(M*'Valve Sizing'!$W$6*'Valve Sizing'!$G$8/AM3915)</f>
        <v>-114.91656011439598</v>
      </c>
      <c r="AN3917" s="111"/>
      <c r="AO3917" s="28"/>
      <c r="AP3917" s="96">
        <f ca="1">(AP3910/(N_9*AP$27*AP3912*AP3916))*SQRT(M*'Valve Sizing'!$W$6*'Valve Sizing'!$G$8/AP3915)</f>
        <v>-73.783487514133256</v>
      </c>
      <c r="AQ3917" s="111"/>
      <c r="AR3917" s="28"/>
      <c r="AS3917" s="96">
        <f ca="1">(AS3910/(N_9*AS$27*AS3912*AS3916))*SQRT(M*'Valve Sizing'!$W$6*'Valve Sizing'!$G$8/AS3915)</f>
        <v>-348.31830888711914</v>
      </c>
      <c r="AT3917" s="111"/>
      <c r="AU3917" s="28"/>
    </row>
    <row r="3918" spans="15:47" x14ac:dyDescent="0.25">
      <c r="O3918" s="2" t="s">
        <v>59</v>
      </c>
      <c r="P3918" s="143">
        <v>7</v>
      </c>
      <c r="Q3918" s="2"/>
      <c r="R3918" s="96">
        <f ca="1">(R3910/(N_9*R$27*R3912*0.667))*SQRT(M*'Valve Sizing'!$W$6*'Valve Sizing'!$G$8/R3919)</f>
        <v>28.110722294619695</v>
      </c>
      <c r="S3918" s="107"/>
      <c r="T3918" s="22"/>
      <c r="U3918" s="96">
        <f ca="1">(U3910/(N_9*U$27*U3912*0.667))*SQRT(M*'Valve Sizing'!$W$6*'Valve Sizing'!$G$8/U3919)</f>
        <v>71.578937776857074</v>
      </c>
      <c r="V3918" s="111"/>
      <c r="W3918" s="28"/>
      <c r="X3918" s="96">
        <f ca="1">(X3910/(N_9*X$27*X3912*0.667))*SQRT(M*'Valve Sizing'!$W$6*'Valve Sizing'!$G$8/X3919)</f>
        <v>279.39071066429034</v>
      </c>
      <c r="Y3918" s="111"/>
      <c r="Z3918" s="28"/>
      <c r="AA3918" s="96">
        <f ca="1">(AA3910/(N_9*AA$27*AA3912*0.667))*SQRT(M*'Valve Sizing'!$W$6*'Valve Sizing'!$G$8/AA3919)</f>
        <v>-577.63797453276754</v>
      </c>
      <c r="AB3918" s="111"/>
      <c r="AC3918" s="28"/>
      <c r="AD3918" s="96">
        <f ca="1">(AD3910/(N_9*AD$27*AD3912*0.667))*SQRT(M*'Valve Sizing'!$W$6*'Valve Sizing'!$G$8/AD3919)</f>
        <v>-164.76181575513664</v>
      </c>
      <c r="AE3918" s="111"/>
      <c r="AF3918" s="28"/>
      <c r="AG3918" s="96">
        <f ca="1">(AG3910/(N_9*AG$27*AG3912*0.667))*SQRT(M*'Valve Sizing'!$W$6*'Valve Sizing'!$G$8/AG3919)</f>
        <v>-102.77878482515156</v>
      </c>
      <c r="AH3918" s="111"/>
      <c r="AI3918" s="28"/>
      <c r="AJ3918" s="96">
        <f ca="1">(AJ3910/(N_9*AJ$27*AJ3912*0.667))*SQRT(M*'Valve Sizing'!$W$6*'Valve Sizing'!$G$8/AJ3919)</f>
        <v>-78.648441441493986</v>
      </c>
      <c r="AK3918" s="111"/>
      <c r="AL3918" s="28"/>
      <c r="AM3918" s="96">
        <f ca="1">(AM3910/(N_9*AM$27*AM3912*0.667))*SQRT(M*'Valve Sizing'!$W$6*'Valve Sizing'!$G$8/AM3919)</f>
        <v>-70.829518880902114</v>
      </c>
      <c r="AN3918" s="111"/>
      <c r="AO3918" s="28"/>
      <c r="AP3918" s="96">
        <f ca="1">(AP3910/(N_9*AP$27*AP3912*0.667))*SQRT(M*'Valve Sizing'!$W$6*'Valve Sizing'!$G$8/AP3919)</f>
        <v>-61.65332423190489</v>
      </c>
      <c r="AQ3918" s="111"/>
      <c r="AR3918" s="28"/>
      <c r="AS3918" s="96">
        <f ca="1">(AS3910/(N_9*AS$27*AS3912*0.667))*SQRT(M*'Valve Sizing'!$W$6*'Valve Sizing'!$G$8/AS3919)</f>
        <v>-87.442293013964132</v>
      </c>
      <c r="AT3918" s="111"/>
      <c r="AU3918" s="28"/>
    </row>
    <row r="3919" spans="15:47" ht="15.6" x14ac:dyDescent="0.35">
      <c r="O3919" s="2" t="s">
        <v>68</v>
      </c>
      <c r="P3919" s="143">
        <v>10</v>
      </c>
      <c r="Q3919" s="2"/>
      <c r="R3919" s="96">
        <f ca="1">F_GAMMA*R$29</f>
        <v>0.64002969751372984</v>
      </c>
      <c r="S3919" s="107"/>
      <c r="T3919" s="1"/>
      <c r="U3919" s="96">
        <f ca="1">F_GAMMA*U$29</f>
        <v>0.64017842058782071</v>
      </c>
      <c r="V3919" s="111"/>
      <c r="W3919" s="28"/>
      <c r="X3919" s="96">
        <f ca="1">F_GAMMA*X$29</f>
        <v>0.63413873724904268</v>
      </c>
      <c r="Y3919" s="111"/>
      <c r="Z3919" s="28"/>
      <c r="AA3919" s="96">
        <f ca="1">F_GAMMA*AA$29</f>
        <v>0.62532411750377137</v>
      </c>
      <c r="AB3919" s="111"/>
      <c r="AC3919" s="28"/>
      <c r="AD3919" s="96">
        <f ca="1">F_GAMMA*AD$29</f>
        <v>0.60651359509139569</v>
      </c>
      <c r="AE3919" s="111"/>
      <c r="AF3919" s="28"/>
      <c r="AG3919" s="96">
        <f ca="1">F_GAMMA*AG$29</f>
        <v>0.57217930198481592</v>
      </c>
      <c r="AH3919" s="111"/>
      <c r="AI3919" s="28"/>
      <c r="AJ3919" s="96">
        <f ca="1">F_GAMMA*AJ$29</f>
        <v>0.53183282018848232</v>
      </c>
      <c r="AK3919" s="111"/>
      <c r="AL3919" s="28"/>
      <c r="AM3919" s="96">
        <f ca="1">F_GAMMA*AM$29</f>
        <v>0.47566512503094399</v>
      </c>
      <c r="AN3919" s="111"/>
      <c r="AO3919" s="28"/>
      <c r="AP3919" s="96">
        <f ca="1">F_GAMMA*AP$29</f>
        <v>0.59054158265645496</v>
      </c>
      <c r="AQ3919" s="111"/>
      <c r="AR3919" s="28"/>
      <c r="AS3919" s="96">
        <f ca="1">F_GAMMA*AS$29</f>
        <v>0.3766899554102966</v>
      </c>
      <c r="AT3919" s="111"/>
      <c r="AU3919" s="28"/>
    </row>
    <row r="3920" spans="15:47" x14ac:dyDescent="0.25">
      <c r="O3920" s="2" t="s">
        <v>145</v>
      </c>
      <c r="P3920" s="12"/>
      <c r="Q3920" s="2"/>
      <c r="R3920" s="96">
        <f ca="1">IF(R3915&lt;R3919,R3917,R3918)</f>
        <v>31.625339282483942</v>
      </c>
      <c r="S3920" s="116"/>
      <c r="T3920" s="1"/>
      <c r="U3920" s="96">
        <f ca="1">IF(U3915&lt;U3919,U3917,U3918)</f>
        <v>83.960176175979441</v>
      </c>
      <c r="V3920" s="111"/>
      <c r="W3920" s="28"/>
      <c r="X3920" s="96" t="e">
        <f ca="1">IF(X3915&lt;X3919,X3917,X3918)</f>
        <v>#NUM!</v>
      </c>
      <c r="Y3920" s="111"/>
      <c r="Z3920" s="28"/>
      <c r="AA3920" s="96">
        <f ca="1">IF(AA3915&lt;AA3919,AA3917,AA3918)</f>
        <v>-577.63797453276754</v>
      </c>
      <c r="AB3920" s="111"/>
      <c r="AC3920" s="28"/>
      <c r="AD3920" s="96">
        <f ca="1">IF(AD3915&lt;AD3919,AD3917,AD3918)</f>
        <v>-164.76181575513664</v>
      </c>
      <c r="AE3920" s="111"/>
      <c r="AF3920" s="28"/>
      <c r="AG3920" s="96">
        <f ca="1">IF(AG3915&lt;AG3919,AG3917,AG3918)</f>
        <v>-102.77878482515156</v>
      </c>
      <c r="AH3920" s="111"/>
      <c r="AI3920" s="28"/>
      <c r="AJ3920" s="96">
        <f ca="1">IF(AJ3915&lt;AJ3919,AJ3917,AJ3918)</f>
        <v>-78.648441441493986</v>
      </c>
      <c r="AK3920" s="111"/>
      <c r="AL3920" s="28"/>
      <c r="AM3920" s="96">
        <f ca="1">IF(AM3915&lt;AM3919,AM3917,AM3918)</f>
        <v>-70.829518880902114</v>
      </c>
      <c r="AN3920" s="111"/>
      <c r="AO3920" s="28"/>
      <c r="AP3920" s="96">
        <f ca="1">IF(AP3915&lt;AP3919,AP3917,AP3918)</f>
        <v>-61.65332423190489</v>
      </c>
      <c r="AQ3920" s="111"/>
      <c r="AR3920" s="28"/>
      <c r="AS3920" s="96">
        <f ca="1">IF(AS3915&lt;AS3919,AS3917,AS3918)</f>
        <v>-87.442293013964132</v>
      </c>
      <c r="AT3920" s="111"/>
      <c r="AU3920" s="28"/>
    </row>
    <row r="3921" spans="15:47" x14ac:dyDescent="0.25">
      <c r="O3921" s="13" t="s">
        <v>143</v>
      </c>
      <c r="P3921" s="1"/>
      <c r="Q3921" s="1"/>
      <c r="R3921" s="113"/>
      <c r="S3921" s="106">
        <f ca="1">IF(R3914&lt;=0,Q_max,ABS(R$23-R3920))</f>
        <v>26.895339282483942</v>
      </c>
      <c r="T3921" s="7">
        <f>R3910</f>
        <v>76830.602978163253</v>
      </c>
      <c r="U3921" s="98"/>
      <c r="V3921" s="106">
        <f ca="1">IF(U3914&lt;=0,Q_max,ABS(U$23-U3920))</f>
        <v>72.360176175979447</v>
      </c>
      <c r="W3921" s="9">
        <f ca="1">U3910</f>
        <v>184305.57065782914</v>
      </c>
      <c r="X3921" s="98"/>
      <c r="Y3921" s="106">
        <f ca="1">IF(X3914&lt;=0,Q_max,ABS(X$23-X3920))</f>
        <v>236393</v>
      </c>
      <c r="Z3921" s="9">
        <f ca="1">X3910</f>
        <v>451296.64243249467</v>
      </c>
      <c r="AA3921" s="98"/>
      <c r="AB3921" s="106">
        <f ca="1">IF(AA3914&lt;=0,Q_max,ABS(AA$23-AA3920))</f>
        <v>236393</v>
      </c>
      <c r="AC3921" s="9">
        <f ca="1">AA3910</f>
        <v>879010.66806046048</v>
      </c>
      <c r="AD3921" s="98"/>
      <c r="AE3921" s="106">
        <f ca="1">IF(AD3914&lt;=0,Q_max,ABS(AD$23-AD3920))</f>
        <v>236393</v>
      </c>
      <c r="AF3921" s="9">
        <f ca="1">AD3910</f>
        <v>1474706.4596527766</v>
      </c>
      <c r="AG3921" s="98"/>
      <c r="AH3921" s="106">
        <f ca="1">IF(AG3914&lt;=0,Q_max,ABS(AG$23-AG3920))</f>
        <v>236393</v>
      </c>
      <c r="AI3921" s="9">
        <f ca="1">AG3910</f>
        <v>2152374.2431774335</v>
      </c>
      <c r="AJ3921" s="98"/>
      <c r="AK3921" s="106">
        <f ca="1">IF(AJ3914&lt;=0,Q_max,ABS(AJ$23-AJ3920))</f>
        <v>236393</v>
      </c>
      <c r="AL3921" s="9">
        <f ca="1">AJ3910</f>
        <v>2872351.7713437499</v>
      </c>
      <c r="AM3921" s="98"/>
      <c r="AN3921" s="106">
        <f ca="1">IF(AM3914&lt;=0,Q_max,ABS(AM$23-AM3920))</f>
        <v>236393</v>
      </c>
      <c r="AO3921" s="9">
        <f ca="1">AM3910</f>
        <v>3504815.0226205443</v>
      </c>
      <c r="AP3921" s="98"/>
      <c r="AQ3921" s="106">
        <f ca="1">IF(AP3914&lt;=0,Q_max,ABS(AP$23-AP3920))</f>
        <v>236393</v>
      </c>
      <c r="AR3921" s="9">
        <f ca="1">AP3910</f>
        <v>4068981.435576851</v>
      </c>
      <c r="AS3921" s="98"/>
      <c r="AT3921" s="106">
        <f ca="1">IF(AS3914&lt;=0,Q_max,ABS(AS$23-AS3920))</f>
        <v>236393</v>
      </c>
      <c r="AU3921" s="9">
        <f ca="1">AS3910</f>
        <v>4771200.7379483907</v>
      </c>
    </row>
    <row r="3922" spans="15:47" x14ac:dyDescent="0.25">
      <c r="O3922" s="21"/>
      <c r="P3922" s="14"/>
      <c r="Q3922" s="21"/>
      <c r="R3922" s="97"/>
      <c r="S3922" s="106"/>
      <c r="T3922" s="28"/>
      <c r="U3922" s="99"/>
      <c r="V3922" s="110"/>
      <c r="W3922" s="25"/>
      <c r="X3922" s="99"/>
      <c r="Y3922" s="110"/>
      <c r="Z3922" s="25"/>
      <c r="AA3922" s="99"/>
      <c r="AB3922" s="110"/>
      <c r="AC3922" s="25"/>
      <c r="AD3922" s="99"/>
      <c r="AE3922" s="110"/>
      <c r="AF3922" s="25"/>
      <c r="AG3922" s="99"/>
      <c r="AH3922" s="110"/>
      <c r="AI3922" s="25"/>
      <c r="AJ3922" s="99"/>
      <c r="AK3922" s="110"/>
      <c r="AL3922" s="25"/>
      <c r="AM3922" s="99"/>
      <c r="AN3922" s="110"/>
      <c r="AO3922" s="25"/>
      <c r="AP3922" s="99"/>
      <c r="AQ3922" s="110"/>
      <c r="AR3922" s="25"/>
      <c r="AS3922" s="99"/>
      <c r="AT3922" s="110"/>
      <c r="AU3922" s="25"/>
    </row>
    <row r="3923" spans="15:47" x14ac:dyDescent="0.25">
      <c r="O3923" s="1"/>
      <c r="P3923" s="1"/>
      <c r="Q3923" s="1"/>
      <c r="R3923" s="98"/>
      <c r="S3923" s="108" t="s">
        <v>137</v>
      </c>
      <c r="T3923" s="26" t="s">
        <v>146</v>
      </c>
      <c r="U3923" s="98"/>
      <c r="V3923" s="108" t="s">
        <v>137</v>
      </c>
      <c r="W3923" s="26" t="s">
        <v>146</v>
      </c>
      <c r="X3923" s="98"/>
      <c r="Y3923" s="108" t="s">
        <v>137</v>
      </c>
      <c r="Z3923" s="26" t="s">
        <v>146</v>
      </c>
      <c r="AA3923" s="98"/>
      <c r="AB3923" s="108" t="s">
        <v>137</v>
      </c>
      <c r="AC3923" s="26" t="s">
        <v>146</v>
      </c>
      <c r="AD3923" s="98"/>
      <c r="AE3923" s="108" t="s">
        <v>137</v>
      </c>
      <c r="AF3923" s="26" t="s">
        <v>146</v>
      </c>
      <c r="AG3923" s="98"/>
      <c r="AH3923" s="108" t="s">
        <v>137</v>
      </c>
      <c r="AI3923" s="26" t="s">
        <v>146</v>
      </c>
      <c r="AJ3923" s="98"/>
      <c r="AK3923" s="108" t="s">
        <v>137</v>
      </c>
      <c r="AL3923" s="26" t="s">
        <v>146</v>
      </c>
      <c r="AM3923" s="98"/>
      <c r="AN3923" s="108" t="s">
        <v>137</v>
      </c>
      <c r="AO3923" s="26" t="s">
        <v>146</v>
      </c>
      <c r="AP3923" s="98"/>
      <c r="AQ3923" s="108" t="s">
        <v>137</v>
      </c>
      <c r="AR3923" s="26" t="s">
        <v>146</v>
      </c>
      <c r="AS3923" s="98"/>
      <c r="AT3923" s="108" t="s">
        <v>137</v>
      </c>
      <c r="AU3923" s="26" t="s">
        <v>146</v>
      </c>
    </row>
    <row r="3924" spans="15:47" ht="13.8" x14ac:dyDescent="0.25">
      <c r="O3924" s="20" t="s">
        <v>136</v>
      </c>
      <c r="P3924" s="1"/>
      <c r="Q3924" s="1"/>
      <c r="R3924" s="96">
        <f>R3910*1.02</f>
        <v>78367.215037726521</v>
      </c>
      <c r="S3924" s="109" t="s">
        <v>144</v>
      </c>
      <c r="T3924" s="23" t="s">
        <v>147</v>
      </c>
      <c r="U3924" s="96">
        <f ca="1">U3910*1.01</f>
        <v>186148.62636440745</v>
      </c>
      <c r="V3924" s="109" t="s">
        <v>144</v>
      </c>
      <c r="W3924" s="23" t="s">
        <v>147</v>
      </c>
      <c r="X3924" s="96">
        <f ca="1">X3910*1.01</f>
        <v>455809.60885681963</v>
      </c>
      <c r="Y3924" s="109" t="s">
        <v>144</v>
      </c>
      <c r="Z3924" s="23" t="s">
        <v>147</v>
      </c>
      <c r="AA3924" s="96">
        <f ca="1">AA3910*1.01</f>
        <v>887800.77474106511</v>
      </c>
      <c r="AB3924" s="109" t="s">
        <v>144</v>
      </c>
      <c r="AC3924" s="23" t="s">
        <v>147</v>
      </c>
      <c r="AD3924" s="96">
        <f ca="1">AD3910*1.01</f>
        <v>1489453.5242493043</v>
      </c>
      <c r="AE3924" s="109" t="s">
        <v>144</v>
      </c>
      <c r="AF3924" s="23" t="s">
        <v>147</v>
      </c>
      <c r="AG3924" s="96">
        <f ca="1">AG3910*1.01</f>
        <v>2173897.9856092078</v>
      </c>
      <c r="AH3924" s="109" t="s">
        <v>144</v>
      </c>
      <c r="AI3924" s="23" t="s">
        <v>147</v>
      </c>
      <c r="AJ3924" s="96">
        <f ca="1">AJ3910*1.01</f>
        <v>2901075.2890571873</v>
      </c>
      <c r="AK3924" s="109" t="s">
        <v>144</v>
      </c>
      <c r="AL3924" s="23" t="s">
        <v>147</v>
      </c>
      <c r="AM3924" s="96">
        <f ca="1">AM3910*1.01</f>
        <v>3539863.1728467499</v>
      </c>
      <c r="AN3924" s="109" t="s">
        <v>144</v>
      </c>
      <c r="AO3924" s="23" t="s">
        <v>147</v>
      </c>
      <c r="AP3924" s="96">
        <f ca="1">AP3910*1.01</f>
        <v>4109671.2499326197</v>
      </c>
      <c r="AQ3924" s="109" t="s">
        <v>144</v>
      </c>
      <c r="AR3924" s="23" t="s">
        <v>147</v>
      </c>
      <c r="AS3924" s="96">
        <f ca="1">AS3910*1.01</f>
        <v>4818912.745327875</v>
      </c>
      <c r="AT3924" s="109" t="s">
        <v>144</v>
      </c>
      <c r="AU3924" s="23" t="s">
        <v>147</v>
      </c>
    </row>
    <row r="3925" spans="15:47" x14ac:dyDescent="0.25">
      <c r="O3925" s="1"/>
      <c r="P3925" s="1"/>
      <c r="Q3925" s="1"/>
      <c r="R3925" s="98"/>
      <c r="S3925" s="107"/>
      <c r="T3925" s="1"/>
      <c r="U3925" s="47"/>
      <c r="V3925" s="107"/>
      <c r="W3925" s="1"/>
      <c r="X3925" s="47"/>
      <c r="Y3925" s="107"/>
      <c r="Z3925" s="1"/>
      <c r="AA3925" s="47"/>
      <c r="AB3925" s="107"/>
      <c r="AC3925" s="1"/>
      <c r="AD3925" s="47"/>
      <c r="AE3925" s="107"/>
      <c r="AF3925" s="1"/>
      <c r="AG3925" s="47"/>
      <c r="AH3925" s="107"/>
      <c r="AI3925" s="1"/>
      <c r="AJ3925" s="47"/>
      <c r="AK3925" s="107"/>
      <c r="AL3925" s="1"/>
      <c r="AM3925" s="47"/>
      <c r="AN3925" s="107"/>
      <c r="AO3925" s="1"/>
      <c r="AP3925" s="47"/>
      <c r="AQ3925" s="107"/>
      <c r="AR3925" s="1"/>
      <c r="AS3925" s="47"/>
      <c r="AT3925" s="107"/>
      <c r="AU3925" s="1"/>
    </row>
    <row r="3926" spans="15:47" x14ac:dyDescent="0.25">
      <c r="O3926" s="8" t="s">
        <v>132</v>
      </c>
      <c r="P3926" s="8"/>
      <c r="Q3926" s="8"/>
      <c r="R3926" s="96">
        <f>P_1_minQ-(R3924^2*R_up)+dpup_minQ</f>
        <v>89.065699653400458</v>
      </c>
      <c r="S3926" s="106"/>
      <c r="T3926" s="22"/>
      <c r="U3926" s="96">
        <f ca="1">P_1_minQ-(U3924^2*R_up)+dpup_minQ</f>
        <v>83.86946099533904</v>
      </c>
      <c r="V3926" s="107"/>
      <c r="W3926" s="1"/>
      <c r="X3926" s="96">
        <f ca="1">P_1_minQ-(X3924^2*R_up)+dpup_minQ</f>
        <v>52.318076279284142</v>
      </c>
      <c r="Y3926" s="107"/>
      <c r="Z3926" s="1"/>
      <c r="AA3926" s="96">
        <f ca="1">P_1_minQ-(AA3924^2*R_up)+dpup_minQ</f>
        <v>-53.471226370404224</v>
      </c>
      <c r="AB3926" s="107"/>
      <c r="AC3926" s="1"/>
      <c r="AD3926" s="96">
        <f ca="1">P_1_minQ-(AD3924^2*R_up)+dpup_minQ</f>
        <v>-314.15565137545997</v>
      </c>
      <c r="AE3926" s="107"/>
      <c r="AF3926" s="1"/>
      <c r="AG3926" s="96">
        <f ca="1">P_1_minQ-(AG3924^2*R_up)+dpup_minQ</f>
        <v>-771.14948832501409</v>
      </c>
      <c r="AH3926" s="107"/>
      <c r="AI3926" s="1"/>
      <c r="AJ3926" s="96">
        <f ca="1">P_1_minQ-(AJ3924^2*R_up)+dpup_minQ</f>
        <v>-1443.766135756995</v>
      </c>
      <c r="AK3926" s="107"/>
      <c r="AL3926" s="1"/>
      <c r="AM3926" s="96">
        <f ca="1">P_1_minQ-(AM3924^2*R_up)+dpup_minQ</f>
        <v>-2193.6592349388247</v>
      </c>
      <c r="AN3926" s="107"/>
      <c r="AO3926" s="1"/>
      <c r="AP3926" s="96">
        <f ca="1">P_1_minQ-(AP3924^2*R_up)+dpup_minQ</f>
        <v>-2988.0919889500101</v>
      </c>
      <c r="AQ3926" s="107"/>
      <c r="AR3926" s="1"/>
      <c r="AS3926" s="96">
        <f ca="1">P_1_minQ-(AS3924^2*R_up)+dpup_minQ</f>
        <v>-4142.263267090033</v>
      </c>
      <c r="AT3926" s="107"/>
      <c r="AU3926" s="1"/>
    </row>
    <row r="3927" spans="15:47" x14ac:dyDescent="0.25">
      <c r="O3927" s="8" t="s">
        <v>134</v>
      </c>
      <c r="P3927" s="1"/>
      <c r="Q3927" s="8"/>
      <c r="R3927" s="97">
        <f>P_2_minQ+(R3924^2*R_dn)-dpdn_minQ</f>
        <v>60</v>
      </c>
      <c r="S3927" s="106"/>
      <c r="T3927" s="22"/>
      <c r="U3927" s="97">
        <f ca="1">P_2_minQ+(U3924^2*R_dn)-dpdn_minQ</f>
        <v>60</v>
      </c>
      <c r="V3927" s="107"/>
      <c r="W3927" s="1"/>
      <c r="X3927" s="97">
        <f ca="1">P_2_minQ+(X3924^2*R_dn)-dpdn_minQ</f>
        <v>60</v>
      </c>
      <c r="Y3927" s="107"/>
      <c r="Z3927" s="1"/>
      <c r="AA3927" s="97">
        <f ca="1">P_2_minQ+(AA3924^2*R_dn)-dpdn_minQ</f>
        <v>60</v>
      </c>
      <c r="AB3927" s="107"/>
      <c r="AC3927" s="1"/>
      <c r="AD3927" s="97">
        <f ca="1">P_2_minQ+(AD3924^2*R_dn)-dpdn_minQ</f>
        <v>60</v>
      </c>
      <c r="AE3927" s="107"/>
      <c r="AF3927" s="1"/>
      <c r="AG3927" s="97">
        <f ca="1">P_2_minQ+(AG3924^2*R_dn)-dpdn_minQ</f>
        <v>60</v>
      </c>
      <c r="AH3927" s="107"/>
      <c r="AI3927" s="1"/>
      <c r="AJ3927" s="97">
        <f ca="1">P_2_minQ+(AJ3924^2*R_dn)-dpdn_minQ</f>
        <v>60</v>
      </c>
      <c r="AK3927" s="107"/>
      <c r="AL3927" s="1"/>
      <c r="AM3927" s="97">
        <f ca="1">P_2_minQ+(AM3924^2*R_dn)-dpdn_minQ</f>
        <v>60</v>
      </c>
      <c r="AN3927" s="107"/>
      <c r="AO3927" s="1"/>
      <c r="AP3927" s="97">
        <f ca="1">P_2_minQ+(AP3924^2*R_dn)-dpdn_minQ</f>
        <v>60</v>
      </c>
      <c r="AQ3927" s="107"/>
      <c r="AR3927" s="1"/>
      <c r="AS3927" s="97">
        <f ca="1">P_2_minQ+(AS3924^2*R_dn)-dpdn_minQ</f>
        <v>60</v>
      </c>
      <c r="AT3927" s="107"/>
      <c r="AU3927" s="1"/>
    </row>
    <row r="3928" spans="15:47" x14ac:dyDescent="0.25">
      <c r="O3928" s="8" t="s">
        <v>138</v>
      </c>
      <c r="P3928" s="1"/>
      <c r="Q3928" s="8"/>
      <c r="R3928" s="97">
        <f>R3926-R3927</f>
        <v>29.065699653400458</v>
      </c>
      <c r="S3928" s="106"/>
      <c r="T3928" s="22"/>
      <c r="U3928" s="97">
        <f ca="1">U3926-U3927</f>
        <v>23.86946099533904</v>
      </c>
      <c r="V3928" s="110"/>
      <c r="W3928" s="25"/>
      <c r="X3928" s="97">
        <f ca="1">X3926-X3927</f>
        <v>-7.6819237207158579</v>
      </c>
      <c r="Y3928" s="110"/>
      <c r="Z3928" s="25"/>
      <c r="AA3928" s="97">
        <f ca="1">AA3926-AA3927</f>
        <v>-113.47122637040422</v>
      </c>
      <c r="AB3928" s="110"/>
      <c r="AC3928" s="25"/>
      <c r="AD3928" s="97">
        <f ca="1">AD3926-AD3927</f>
        <v>-374.15565137545997</v>
      </c>
      <c r="AE3928" s="110"/>
      <c r="AF3928" s="25"/>
      <c r="AG3928" s="97">
        <f ca="1">AG3926-AG3927</f>
        <v>-831.14948832501409</v>
      </c>
      <c r="AH3928" s="110"/>
      <c r="AI3928" s="25"/>
      <c r="AJ3928" s="97">
        <f ca="1">AJ3926-AJ3927</f>
        <v>-1503.766135756995</v>
      </c>
      <c r="AK3928" s="110"/>
      <c r="AL3928" s="25"/>
      <c r="AM3928" s="97">
        <f ca="1">AM3926-AM3927</f>
        <v>-2253.6592349388247</v>
      </c>
      <c r="AN3928" s="110"/>
      <c r="AO3928" s="25"/>
      <c r="AP3928" s="97">
        <f ca="1">AP3926-AP3927</f>
        <v>-3048.0919889500101</v>
      </c>
      <c r="AQ3928" s="110"/>
      <c r="AR3928" s="25"/>
      <c r="AS3928" s="97">
        <f ca="1">AS3926-AS3927</f>
        <v>-4202.263267090033</v>
      </c>
      <c r="AT3928" s="110"/>
      <c r="AU3928" s="25"/>
    </row>
    <row r="3929" spans="15:47" ht="14.4" x14ac:dyDescent="0.3">
      <c r="O3929" s="2" t="s">
        <v>140</v>
      </c>
      <c r="P3929" s="11"/>
      <c r="Q3929" s="2"/>
      <c r="R3929" s="96">
        <f>R3928/R3926</f>
        <v>0.32633999133796454</v>
      </c>
      <c r="S3929" s="106"/>
      <c r="T3929" s="22"/>
      <c r="U3929" s="96">
        <f ca="1">U3928/U3926</f>
        <v>0.28460253246012351</v>
      </c>
      <c r="V3929" s="111"/>
      <c r="W3929" s="28"/>
      <c r="X3929" s="96">
        <f ca="1">X3928/X3926</f>
        <v>-0.14683115792920681</v>
      </c>
      <c r="Y3929" s="111"/>
      <c r="Z3929" s="28"/>
      <c r="AA3929" s="96">
        <f ca="1">AA3928/AA3926</f>
        <v>2.1220988197347457</v>
      </c>
      <c r="AB3929" s="111"/>
      <c r="AC3929" s="28"/>
      <c r="AD3929" s="96">
        <f ca="1">AD3928/AD3926</f>
        <v>1.1909881287740758</v>
      </c>
      <c r="AE3929" s="111"/>
      <c r="AF3929" s="28"/>
      <c r="AG3929" s="96">
        <f ca="1">AG3928/AG3926</f>
        <v>1.0778059259694561</v>
      </c>
      <c r="AH3929" s="111"/>
      <c r="AI3929" s="28"/>
      <c r="AJ3929" s="96">
        <f ca="1">AJ3928/AJ3926</f>
        <v>1.0415579770947743</v>
      </c>
      <c r="AK3929" s="111"/>
      <c r="AL3929" s="28"/>
      <c r="AM3929" s="96">
        <f ca="1">AM3928/AM3926</f>
        <v>1.0273515590044109</v>
      </c>
      <c r="AN3929" s="111"/>
      <c r="AO3929" s="28"/>
      <c r="AP3929" s="96">
        <f ca="1">AP3928/AP3926</f>
        <v>1.0200797031088336</v>
      </c>
      <c r="AQ3929" s="111"/>
      <c r="AR3929" s="28"/>
      <c r="AS3929" s="96">
        <f ca="1">AS3928/AS3926</f>
        <v>1.0144848350119837</v>
      </c>
      <c r="AT3929" s="111"/>
      <c r="AU3929" s="28"/>
    </row>
    <row r="3930" spans="15:47" x14ac:dyDescent="0.25">
      <c r="O3930" s="2" t="s">
        <v>21</v>
      </c>
      <c r="P3930" s="8">
        <v>12</v>
      </c>
      <c r="Q3930" s="2"/>
      <c r="R3930" s="96">
        <f ca="1">1-R3929/(3*F_GAMMA*R$29)</f>
        <v>0.8300391410973218</v>
      </c>
      <c r="S3930" s="106"/>
      <c r="T3930" s="22"/>
      <c r="U3930" s="96">
        <f ca="1">1-U3929/(3*F_GAMMA*U$29)</f>
        <v>0.85181082684272225</v>
      </c>
      <c r="V3930" s="111"/>
      <c r="W3930" s="28"/>
      <c r="X3930" s="96">
        <f ca="1">1-X3929/(3*F_GAMMA*X$29)</f>
        <v>1.0771814059523606</v>
      </c>
      <c r="Y3930" s="111"/>
      <c r="Z3930" s="28"/>
      <c r="AA3930" s="96">
        <f ca="1">1-AA3929/(3*F_GAMMA*AA$29)</f>
        <v>-0.13119941074501895</v>
      </c>
      <c r="AB3930" s="111"/>
      <c r="AC3930" s="28"/>
      <c r="AD3930" s="96">
        <f ca="1">1-AD3929/(3*F_GAMMA*AD$29)</f>
        <v>0.34544576389113169</v>
      </c>
      <c r="AE3930" s="111"/>
      <c r="AF3930" s="28"/>
      <c r="AG3930" s="96">
        <f ca="1">1-AG3929/(3*F_GAMMA*AG$29)</f>
        <v>0.37210479172601607</v>
      </c>
      <c r="AH3930" s="111"/>
      <c r="AI3930" s="28"/>
      <c r="AJ3930" s="96">
        <f ca="1">1-AJ3929/(3*F_GAMMA*AJ$29)</f>
        <v>0.34718960698611734</v>
      </c>
      <c r="AK3930" s="111"/>
      <c r="AL3930" s="28"/>
      <c r="AM3930" s="96">
        <f ca="1">1-AM3929/(3*F_GAMMA*AM$29)</f>
        <v>0.28005964354469093</v>
      </c>
      <c r="AN3930" s="111"/>
      <c r="AO3930" s="28"/>
      <c r="AP3930" s="96">
        <f ca="1">1-AP3929/(3*F_GAMMA*AP$29)</f>
        <v>0.4242123202003989</v>
      </c>
      <c r="AQ3930" s="111"/>
      <c r="AR3930" s="28"/>
      <c r="AS3930" s="96">
        <f ca="1">1-AS3929/(3*F_GAMMA*AS$29)</f>
        <v>0.10228131434423227</v>
      </c>
      <c r="AT3930" s="111"/>
      <c r="AU3930" s="28"/>
    </row>
    <row r="3931" spans="15:47" x14ac:dyDescent="0.25">
      <c r="O3931" s="2" t="s">
        <v>57</v>
      </c>
      <c r="P3931" s="143">
        <v>7</v>
      </c>
      <c r="Q3931" s="2"/>
      <c r="R3931" s="96">
        <f ca="1">(R3924/(N_9*R$27*R3926*R3930))*SQRT(M*'Valve Sizing'!$W$6*'Valve Sizing'!$G$8/R3929)</f>
        <v>32.28317516787699</v>
      </c>
      <c r="S3931" s="107"/>
      <c r="T3931" s="22"/>
      <c r="U3931" s="96">
        <f ca="1">(U3924/(N_9*U$27*U3926*U3930))*SQRT(M*'Valve Sizing'!$W$6*'Valve Sizing'!$G$8/U3929)</f>
        <v>85.028466394177954</v>
      </c>
      <c r="V3931" s="111"/>
      <c r="W3931" s="28"/>
      <c r="X3931" s="96" t="e">
        <f ca="1">(X3924/(N_9*X$27*X3926*X3930))*SQRT(M*'Valve Sizing'!$W$6*'Valve Sizing'!$G$8/X3929)</f>
        <v>#NUM!</v>
      </c>
      <c r="Y3931" s="111"/>
      <c r="Z3931" s="28"/>
      <c r="AA3931" s="96">
        <f ca="1">(AA3924/(N_9*AA$27*AA3926*AA3930))*SQRT(M*'Valve Sizing'!$W$6*'Valve Sizing'!$G$8/AA3929)</f>
        <v>1524.8243043354535</v>
      </c>
      <c r="AB3931" s="111"/>
      <c r="AC3931" s="28"/>
      <c r="AD3931" s="96">
        <f ca="1">(AD3924/(N_9*AD$27*AD3926*AD3930))*SQRT(M*'Valve Sizing'!$W$6*'Valve Sizing'!$G$8/AD3929)</f>
        <v>-223.47786724663572</v>
      </c>
      <c r="AE3931" s="111"/>
      <c r="AF3931" s="28"/>
      <c r="AG3931" s="96">
        <f ca="1">(AG3924/(N_9*AG$27*AG3926*AG3930))*SQRT(M*'Valve Sizing'!$W$6*'Valve Sizing'!$G$8/AG3929)</f>
        <v>-132.5917122048252</v>
      </c>
      <c r="AH3931" s="111"/>
      <c r="AI3931" s="28"/>
      <c r="AJ3931" s="96">
        <f ca="1">(AJ3924/(N_9*AJ$27*AJ3926*AJ3930))*SQRT(M*'Valve Sizing'!$W$6*'Valve Sizing'!$G$8/AJ3929)</f>
        <v>-106.76479896744615</v>
      </c>
      <c r="AK3931" s="111"/>
      <c r="AL3931" s="28"/>
      <c r="AM3931" s="96">
        <f ca="1">(AM3924/(N_9*AM$27*AM3926*AM3930))*SQRT(M*'Valve Sizing'!$W$6*'Valve Sizing'!$G$8/AM3929)</f>
        <v>-113.5534433328248</v>
      </c>
      <c r="AN3931" s="111"/>
      <c r="AO3931" s="28"/>
      <c r="AP3931" s="96">
        <f ca="1">(AP3924/(N_9*AP$27*AP3926*AP3930))*SQRT(M*'Valve Sizing'!$W$6*'Valve Sizing'!$G$8/AP3929)</f>
        <v>-72.983103236237909</v>
      </c>
      <c r="AQ3931" s="111"/>
      <c r="AR3931" s="28"/>
      <c r="AS3931" s="96">
        <f ca="1">(AS3924/(N_9*AS$27*AS3926*AS3930))*SQRT(M*'Valve Sizing'!$W$6*'Valve Sizing'!$G$8/AS3929)</f>
        <v>-343.88152348108173</v>
      </c>
      <c r="AT3931" s="111"/>
      <c r="AU3931" s="28"/>
    </row>
    <row r="3932" spans="15:47" x14ac:dyDescent="0.25">
      <c r="O3932" s="2" t="s">
        <v>59</v>
      </c>
      <c r="P3932" s="143">
        <v>7</v>
      </c>
      <c r="Q3932" s="2"/>
      <c r="R3932" s="96">
        <f ca="1">(R3924/(N_9*R$27*R3926*0.667))*SQRT(M*'Valve Sizing'!$W$6*'Valve Sizing'!$G$8/R3933)</f>
        <v>28.686929555056945</v>
      </c>
      <c r="S3932" s="107"/>
      <c r="T3932" s="22"/>
      <c r="U3932" s="96">
        <f ca="1">(U3924/(N_9*U$27*U3926*0.667))*SQRT(M*'Valve Sizing'!$W$6*'Valve Sizing'!$G$8/U3933)</f>
        <v>72.401994933904021</v>
      </c>
      <c r="V3932" s="111"/>
      <c r="W3932" s="28"/>
      <c r="X3932" s="96">
        <f ca="1">(X3924/(N_9*X$27*X3926*0.667))*SQRT(M*'Valve Sizing'!$W$6*'Valve Sizing'!$G$8/X3933)</f>
        <v>286.20896429038697</v>
      </c>
      <c r="Y3932" s="111"/>
      <c r="Z3932" s="28"/>
      <c r="AA3932" s="96">
        <f ca="1">(AA3924/(N_9*AA$27*AA3926*0.667))*SQRT(M*'Valve Sizing'!$W$6*'Valve Sizing'!$G$8/AA3933)</f>
        <v>-552.53026125949032</v>
      </c>
      <c r="AB3932" s="111"/>
      <c r="AC3932" s="28"/>
      <c r="AD3932" s="96">
        <f ca="1">(AD3924/(N_9*AD$27*AD3926*0.667))*SQRT(M*'Valve Sizing'!$W$6*'Valve Sizing'!$G$8/AD3933)</f>
        <v>-162.18922620519626</v>
      </c>
      <c r="AE3932" s="111"/>
      <c r="AF3932" s="28"/>
      <c r="AG3932" s="96">
        <f ca="1">(AG3924/(N_9*AG$27*AG3926*0.667))*SQRT(M*'Valve Sizing'!$W$6*'Valve Sizing'!$G$8/AG3933)</f>
        <v>-101.5219659797098</v>
      </c>
      <c r="AH3932" s="111"/>
      <c r="AI3932" s="28"/>
      <c r="AJ3932" s="96">
        <f ca="1">(AJ3924/(N_9*AJ$27*AJ3926*0.667))*SQRT(M*'Valve Sizing'!$W$6*'Valve Sizing'!$G$8/AJ3933)</f>
        <v>-77.771974712199551</v>
      </c>
      <c r="AK3932" s="111"/>
      <c r="AL3932" s="28"/>
      <c r="AM3932" s="96">
        <f ca="1">(AM3924/(N_9*AM$27*AM3926*0.667))*SQRT(M*'Valve Sizing'!$W$6*'Valve Sizing'!$G$8/AM3933)</f>
        <v>-70.070286398967042</v>
      </c>
      <c r="AN3932" s="111"/>
      <c r="AO3932" s="28"/>
      <c r="AP3932" s="96">
        <f ca="1">(AP3924/(N_9*AP$27*AP3926*0.667))*SQRT(M*'Valve Sizing'!$W$6*'Valve Sizing'!$G$8/AP3933)</f>
        <v>-61.005863743369765</v>
      </c>
      <c r="AQ3932" s="111"/>
      <c r="AR3932" s="28"/>
      <c r="AS3932" s="96">
        <f ca="1">(AS3924/(N_9*AS$27*AS3926*0.667))*SQRT(M*'Valve Sizing'!$W$6*'Valve Sizing'!$G$8/AS3933)</f>
        <v>-86.538640491412394</v>
      </c>
      <c r="AT3932" s="111"/>
      <c r="AU3932" s="28"/>
    </row>
    <row r="3933" spans="15:47" ht="15.6" x14ac:dyDescent="0.35">
      <c r="O3933" s="2" t="s">
        <v>68</v>
      </c>
      <c r="P3933" s="143">
        <v>10</v>
      </c>
      <c r="Q3933" s="2"/>
      <c r="R3933" s="96">
        <f ca="1">F_GAMMA*R$29</f>
        <v>0.64002969751372984</v>
      </c>
      <c r="S3933" s="107"/>
      <c r="T3933" s="1"/>
      <c r="U3933" s="96">
        <f ca="1">F_GAMMA*U$29</f>
        <v>0.64017842058782071</v>
      </c>
      <c r="V3933" s="111"/>
      <c r="W3933" s="28"/>
      <c r="X3933" s="96">
        <f ca="1">F_GAMMA*X$29</f>
        <v>0.63413873724904268</v>
      </c>
      <c r="Y3933" s="111"/>
      <c r="Z3933" s="28"/>
      <c r="AA3933" s="96">
        <f ca="1">F_GAMMA*AA$29</f>
        <v>0.62532411750377137</v>
      </c>
      <c r="AB3933" s="111"/>
      <c r="AC3933" s="28"/>
      <c r="AD3933" s="96">
        <f ca="1">F_GAMMA*AD$29</f>
        <v>0.60651359509139569</v>
      </c>
      <c r="AE3933" s="111"/>
      <c r="AF3933" s="28"/>
      <c r="AG3933" s="96">
        <f ca="1">F_GAMMA*AG$29</f>
        <v>0.57217930198481592</v>
      </c>
      <c r="AH3933" s="111"/>
      <c r="AI3933" s="28"/>
      <c r="AJ3933" s="96">
        <f ca="1">F_GAMMA*AJ$29</f>
        <v>0.53183282018848232</v>
      </c>
      <c r="AK3933" s="111"/>
      <c r="AL3933" s="28"/>
      <c r="AM3933" s="96">
        <f ca="1">F_GAMMA*AM$29</f>
        <v>0.47566512503094399</v>
      </c>
      <c r="AN3933" s="111"/>
      <c r="AO3933" s="28"/>
      <c r="AP3933" s="96">
        <f ca="1">F_GAMMA*AP$29</f>
        <v>0.59054158265645496</v>
      </c>
      <c r="AQ3933" s="111"/>
      <c r="AR3933" s="28"/>
      <c r="AS3933" s="96">
        <f ca="1">F_GAMMA*AS$29</f>
        <v>0.3766899554102966</v>
      </c>
      <c r="AT3933" s="111"/>
      <c r="AU3933" s="28"/>
    </row>
    <row r="3934" spans="15:47" x14ac:dyDescent="0.25">
      <c r="O3934" s="2" t="s">
        <v>145</v>
      </c>
      <c r="P3934" s="12"/>
      <c r="Q3934" s="2"/>
      <c r="R3934" s="96">
        <f ca="1">IF(R3929&lt;R3933,R3931,R3932)</f>
        <v>32.28317516787699</v>
      </c>
      <c r="S3934" s="116"/>
      <c r="T3934" s="1"/>
      <c r="U3934" s="96">
        <f ca="1">IF(U3929&lt;U3933,U3931,U3932)</f>
        <v>85.028466394177954</v>
      </c>
      <c r="V3934" s="111"/>
      <c r="W3934" s="28"/>
      <c r="X3934" s="96" t="e">
        <f ca="1">IF(X3929&lt;X3933,X3931,X3932)</f>
        <v>#NUM!</v>
      </c>
      <c r="Y3934" s="111"/>
      <c r="Z3934" s="28"/>
      <c r="AA3934" s="96">
        <f ca="1">IF(AA3929&lt;AA3933,AA3931,AA3932)</f>
        <v>-552.53026125949032</v>
      </c>
      <c r="AB3934" s="111"/>
      <c r="AC3934" s="28"/>
      <c r="AD3934" s="96">
        <f ca="1">IF(AD3929&lt;AD3933,AD3931,AD3932)</f>
        <v>-162.18922620519626</v>
      </c>
      <c r="AE3934" s="111"/>
      <c r="AF3934" s="28"/>
      <c r="AG3934" s="96">
        <f ca="1">IF(AG3929&lt;AG3933,AG3931,AG3932)</f>
        <v>-101.5219659797098</v>
      </c>
      <c r="AH3934" s="111"/>
      <c r="AI3934" s="28"/>
      <c r="AJ3934" s="96">
        <f ca="1">IF(AJ3929&lt;AJ3933,AJ3931,AJ3932)</f>
        <v>-77.771974712199551</v>
      </c>
      <c r="AK3934" s="111"/>
      <c r="AL3934" s="28"/>
      <c r="AM3934" s="96">
        <f ca="1">IF(AM3929&lt;AM3933,AM3931,AM3932)</f>
        <v>-70.070286398967042</v>
      </c>
      <c r="AN3934" s="111"/>
      <c r="AO3934" s="28"/>
      <c r="AP3934" s="96">
        <f ca="1">IF(AP3929&lt;AP3933,AP3931,AP3932)</f>
        <v>-61.005863743369765</v>
      </c>
      <c r="AQ3934" s="111"/>
      <c r="AR3934" s="28"/>
      <c r="AS3934" s="96">
        <f ca="1">IF(AS3929&lt;AS3933,AS3931,AS3932)</f>
        <v>-86.538640491412394</v>
      </c>
      <c r="AT3934" s="111"/>
      <c r="AU3934" s="28"/>
    </row>
    <row r="3935" spans="15:47" x14ac:dyDescent="0.25">
      <c r="O3935" s="13" t="s">
        <v>143</v>
      </c>
      <c r="P3935" s="1"/>
      <c r="Q3935" s="1"/>
      <c r="R3935" s="113"/>
      <c r="S3935" s="106">
        <f ca="1">IF(R3928&lt;=0,Q_max,ABS(R$23-R3934))</f>
        <v>27.55317516787699</v>
      </c>
      <c r="T3935" s="7">
        <f>R3924</f>
        <v>78367.215037726521</v>
      </c>
      <c r="U3935" s="98"/>
      <c r="V3935" s="106">
        <f ca="1">IF(U3928&lt;=0,Q_max,ABS(U$23-U3934))</f>
        <v>73.42846639417796</v>
      </c>
      <c r="W3935" s="9">
        <f ca="1">U3924</f>
        <v>186148.62636440745</v>
      </c>
      <c r="X3935" s="98"/>
      <c r="Y3935" s="106">
        <f ca="1">IF(X3928&lt;=0,Q_max,ABS(X$23-X3934))</f>
        <v>236393</v>
      </c>
      <c r="Z3935" s="9">
        <f ca="1">X3924</f>
        <v>455809.60885681963</v>
      </c>
      <c r="AA3935" s="98"/>
      <c r="AB3935" s="106">
        <f ca="1">IF(AA3928&lt;=0,Q_max,ABS(AA$23-AA3934))</f>
        <v>236393</v>
      </c>
      <c r="AC3935" s="9">
        <f ca="1">AA3924</f>
        <v>887800.77474106511</v>
      </c>
      <c r="AD3935" s="98"/>
      <c r="AE3935" s="106">
        <f ca="1">IF(AD3928&lt;=0,Q_max,ABS(AD$23-AD3934))</f>
        <v>236393</v>
      </c>
      <c r="AF3935" s="9">
        <f ca="1">AD3924</f>
        <v>1489453.5242493043</v>
      </c>
      <c r="AG3935" s="98"/>
      <c r="AH3935" s="106">
        <f ca="1">IF(AG3928&lt;=0,Q_max,ABS(AG$23-AG3934))</f>
        <v>236393</v>
      </c>
      <c r="AI3935" s="9">
        <f ca="1">AG3924</f>
        <v>2173897.9856092078</v>
      </c>
      <c r="AJ3935" s="98"/>
      <c r="AK3935" s="106">
        <f ca="1">IF(AJ3928&lt;=0,Q_max,ABS(AJ$23-AJ3934))</f>
        <v>236393</v>
      </c>
      <c r="AL3935" s="9">
        <f ca="1">AJ3924</f>
        <v>2901075.2890571873</v>
      </c>
      <c r="AM3935" s="98"/>
      <c r="AN3935" s="106">
        <f ca="1">IF(AM3928&lt;=0,Q_max,ABS(AM$23-AM3934))</f>
        <v>236393</v>
      </c>
      <c r="AO3935" s="9">
        <f ca="1">AM3924</f>
        <v>3539863.1728467499</v>
      </c>
      <c r="AP3935" s="98"/>
      <c r="AQ3935" s="106">
        <f ca="1">IF(AP3928&lt;=0,Q_max,ABS(AP$23-AP3934))</f>
        <v>236393</v>
      </c>
      <c r="AR3935" s="9">
        <f ca="1">AP3924</f>
        <v>4109671.2499326197</v>
      </c>
      <c r="AS3935" s="98"/>
      <c r="AT3935" s="106">
        <f ca="1">IF(AS3928&lt;=0,Q_max,ABS(AS$23-AS3934))</f>
        <v>236393</v>
      </c>
      <c r="AU3935" s="9">
        <f ca="1">AS3924</f>
        <v>4818912.745327875</v>
      </c>
    </row>
    <row r="3936" spans="15:47" x14ac:dyDescent="0.25">
      <c r="O3936" s="21"/>
      <c r="P3936" s="14"/>
      <c r="Q3936" s="21"/>
      <c r="R3936" s="97"/>
      <c r="S3936" s="106"/>
      <c r="T3936" s="28"/>
      <c r="U3936" s="97"/>
      <c r="V3936" s="111"/>
      <c r="W3936" s="28"/>
      <c r="X3936" s="97"/>
      <c r="Y3936" s="111"/>
      <c r="Z3936" s="28"/>
      <c r="AA3936" s="97"/>
      <c r="AB3936" s="111"/>
      <c r="AC3936" s="28"/>
      <c r="AD3936" s="97"/>
      <c r="AE3936" s="111"/>
      <c r="AF3936" s="28"/>
      <c r="AG3936" s="97"/>
      <c r="AH3936" s="111"/>
      <c r="AI3936" s="28"/>
      <c r="AJ3936" s="97"/>
      <c r="AK3936" s="111"/>
      <c r="AL3936" s="28"/>
      <c r="AM3936" s="97"/>
      <c r="AN3936" s="111"/>
      <c r="AO3936" s="28"/>
      <c r="AP3936" s="97"/>
      <c r="AQ3936" s="111"/>
      <c r="AR3936" s="28"/>
      <c r="AS3936" s="97"/>
      <c r="AT3936" s="111"/>
      <c r="AU3936" s="28"/>
    </row>
    <row r="3937" spans="15:47" x14ac:dyDescent="0.25">
      <c r="O3937" s="1"/>
      <c r="P3937" s="1"/>
      <c r="Q3937" s="1"/>
      <c r="R3937" s="98"/>
      <c r="S3937" s="108" t="s">
        <v>137</v>
      </c>
      <c r="T3937" s="26" t="s">
        <v>146</v>
      </c>
      <c r="U3937" s="98"/>
      <c r="V3937" s="108" t="s">
        <v>137</v>
      </c>
      <c r="W3937" s="26" t="s">
        <v>146</v>
      </c>
      <c r="X3937" s="98"/>
      <c r="Y3937" s="108" t="s">
        <v>137</v>
      </c>
      <c r="Z3937" s="26" t="s">
        <v>146</v>
      </c>
      <c r="AA3937" s="98"/>
      <c r="AB3937" s="108" t="s">
        <v>137</v>
      </c>
      <c r="AC3937" s="26" t="s">
        <v>146</v>
      </c>
      <c r="AD3937" s="98"/>
      <c r="AE3937" s="108" t="s">
        <v>137</v>
      </c>
      <c r="AF3937" s="26" t="s">
        <v>146</v>
      </c>
      <c r="AG3937" s="98"/>
      <c r="AH3937" s="108" t="s">
        <v>137</v>
      </c>
      <c r="AI3937" s="26" t="s">
        <v>146</v>
      </c>
      <c r="AJ3937" s="98"/>
      <c r="AK3937" s="108" t="s">
        <v>137</v>
      </c>
      <c r="AL3937" s="26" t="s">
        <v>146</v>
      </c>
      <c r="AM3937" s="98"/>
      <c r="AN3937" s="108" t="s">
        <v>137</v>
      </c>
      <c r="AO3937" s="26" t="s">
        <v>146</v>
      </c>
      <c r="AP3937" s="98"/>
      <c r="AQ3937" s="108" t="s">
        <v>137</v>
      </c>
      <c r="AR3937" s="26" t="s">
        <v>146</v>
      </c>
      <c r="AS3937" s="98"/>
      <c r="AT3937" s="108" t="s">
        <v>137</v>
      </c>
      <c r="AU3937" s="26" t="s">
        <v>146</v>
      </c>
    </row>
    <row r="3938" spans="15:47" ht="13.8" x14ac:dyDescent="0.25">
      <c r="O3938" s="20" t="s">
        <v>136</v>
      </c>
      <c r="P3938" s="1"/>
      <c r="Q3938" s="1"/>
      <c r="R3938" s="96">
        <f>R3924*1.02</f>
        <v>79934.559338481049</v>
      </c>
      <c r="S3938" s="109" t="s">
        <v>144</v>
      </c>
      <c r="T3938" s="23" t="s">
        <v>147</v>
      </c>
      <c r="U3938" s="96">
        <f ca="1">U3924*1.01</f>
        <v>188010.11262805152</v>
      </c>
      <c r="V3938" s="109" t="s">
        <v>144</v>
      </c>
      <c r="W3938" s="23" t="s">
        <v>147</v>
      </c>
      <c r="X3938" s="96">
        <f ca="1">X3924*1.01</f>
        <v>460367.70494538784</v>
      </c>
      <c r="Y3938" s="109" t="s">
        <v>144</v>
      </c>
      <c r="Z3938" s="23" t="s">
        <v>147</v>
      </c>
      <c r="AA3938" s="96">
        <f ca="1">AA3924*1.01</f>
        <v>896678.78248847579</v>
      </c>
      <c r="AB3938" s="109" t="s">
        <v>144</v>
      </c>
      <c r="AC3938" s="23" t="s">
        <v>147</v>
      </c>
      <c r="AD3938" s="96">
        <f ca="1">AD3924*1.01</f>
        <v>1504348.0594917974</v>
      </c>
      <c r="AE3938" s="109" t="s">
        <v>144</v>
      </c>
      <c r="AF3938" s="23" t="s">
        <v>147</v>
      </c>
      <c r="AG3938" s="96">
        <f ca="1">AG3924*1.01</f>
        <v>2195636.9654652998</v>
      </c>
      <c r="AH3938" s="109" t="s">
        <v>144</v>
      </c>
      <c r="AI3938" s="23" t="s">
        <v>147</v>
      </c>
      <c r="AJ3938" s="96">
        <f ca="1">AJ3924*1.01</f>
        <v>2930086.0419477592</v>
      </c>
      <c r="AK3938" s="109" t="s">
        <v>144</v>
      </c>
      <c r="AL3938" s="23" t="s">
        <v>147</v>
      </c>
      <c r="AM3938" s="96">
        <f ca="1">AM3924*1.01</f>
        <v>3575261.8045752174</v>
      </c>
      <c r="AN3938" s="109" t="s">
        <v>144</v>
      </c>
      <c r="AO3938" s="23" t="s">
        <v>147</v>
      </c>
      <c r="AP3938" s="96">
        <f ca="1">AP3924*1.01</f>
        <v>4150767.9624319458</v>
      </c>
      <c r="AQ3938" s="109" t="s">
        <v>144</v>
      </c>
      <c r="AR3938" s="23" t="s">
        <v>147</v>
      </c>
      <c r="AS3938" s="96">
        <f ca="1">AS3924*1.01</f>
        <v>4867101.8727811538</v>
      </c>
      <c r="AT3938" s="109" t="s">
        <v>144</v>
      </c>
      <c r="AU3938" s="23" t="s">
        <v>147</v>
      </c>
    </row>
    <row r="3939" spans="15:47" x14ac:dyDescent="0.25">
      <c r="O3939" s="1"/>
      <c r="P3939" s="1"/>
      <c r="Q3939" s="1"/>
      <c r="R3939" s="98"/>
      <c r="S3939" s="107"/>
      <c r="T3939" s="1"/>
      <c r="U3939" s="47"/>
      <c r="V3939" s="107"/>
      <c r="W3939" s="1"/>
      <c r="X3939" s="47"/>
      <c r="Y3939" s="107"/>
      <c r="Z3939" s="1"/>
      <c r="AA3939" s="47"/>
      <c r="AB3939" s="107"/>
      <c r="AC3939" s="1"/>
      <c r="AD3939" s="47"/>
      <c r="AE3939" s="107"/>
      <c r="AF3939" s="1"/>
      <c r="AG3939" s="47"/>
      <c r="AH3939" s="107"/>
      <c r="AI3939" s="1"/>
      <c r="AJ3939" s="47"/>
      <c r="AK3939" s="107"/>
      <c r="AL3939" s="1"/>
      <c r="AM3939" s="47"/>
      <c r="AN3939" s="107"/>
      <c r="AO3939" s="1"/>
      <c r="AP3939" s="47"/>
      <c r="AQ3939" s="107"/>
      <c r="AR3939" s="1"/>
      <c r="AS3939" s="47"/>
      <c r="AT3939" s="107"/>
      <c r="AU3939" s="1"/>
    </row>
    <row r="3940" spans="15:47" x14ac:dyDescent="0.25">
      <c r="O3940" s="8" t="s">
        <v>132</v>
      </c>
      <c r="P3940" s="8"/>
      <c r="Q3940" s="8"/>
      <c r="R3940" s="96">
        <f>P_1_minQ-(R3938^2*R_up)+dpup_minQ</f>
        <v>89.020478281975514</v>
      </c>
      <c r="S3940" s="106"/>
      <c r="T3940" s="22"/>
      <c r="U3940" s="96">
        <f ca="1">P_1_minQ-(U3938^2*R_up)+dpup_minQ</f>
        <v>83.742517846687221</v>
      </c>
      <c r="V3940" s="107"/>
      <c r="W3940" s="1"/>
      <c r="X3940" s="96">
        <f ca="1">P_1_minQ-(X3938^2*R_up)+dpup_minQ</f>
        <v>51.556950297839613</v>
      </c>
      <c r="Y3940" s="107"/>
      <c r="Z3940" s="1"/>
      <c r="AA3940" s="96">
        <f ca="1">P_1_minQ-(AA3938^2*R_up)+dpup_minQ</f>
        <v>-56.358717335107485</v>
      </c>
      <c r="AB3940" s="107"/>
      <c r="AC3940" s="1"/>
      <c r="AD3940" s="96">
        <f ca="1">P_1_minQ-(AD3938^2*R_up)+dpup_minQ</f>
        <v>-322.2828992827649</v>
      </c>
      <c r="AE3940" s="107"/>
      <c r="AF3940" s="1"/>
      <c r="AG3940" s="96">
        <f ca="1">P_1_minQ-(AG3938^2*R_up)+dpup_minQ</f>
        <v>-788.46231235500488</v>
      </c>
      <c r="AH3940" s="107"/>
      <c r="AI3940" s="1"/>
      <c r="AJ3940" s="96">
        <f ca="1">P_1_minQ-(AJ3938^2*R_up)+dpup_minQ</f>
        <v>-1474.5985544003688</v>
      </c>
      <c r="AK3940" s="107"/>
      <c r="AL3940" s="1"/>
      <c r="AM3940" s="96">
        <f ca="1">P_1_minQ-(AM3938^2*R_up)+dpup_minQ</f>
        <v>-2239.5645048757533</v>
      </c>
      <c r="AN3940" s="107"/>
      <c r="AO3940" s="1"/>
      <c r="AP3940" s="96">
        <f ca="1">P_1_minQ-(AP3938^2*R_up)+dpup_minQ</f>
        <v>-3049.9653572425632</v>
      </c>
      <c r="AQ3940" s="107"/>
      <c r="AR3940" s="1"/>
      <c r="AS3940" s="96">
        <f ca="1">P_1_minQ-(AS3938^2*R_up)+dpup_minQ</f>
        <v>-4227.3354780732006</v>
      </c>
      <c r="AT3940" s="107"/>
      <c r="AU3940" s="1"/>
    </row>
    <row r="3941" spans="15:47" x14ac:dyDescent="0.25">
      <c r="O3941" s="8" t="s">
        <v>134</v>
      </c>
      <c r="P3941" s="1"/>
      <c r="Q3941" s="8"/>
      <c r="R3941" s="97">
        <f>P_2_minQ+(R3938^2*R_dn)-dpdn_minQ</f>
        <v>60</v>
      </c>
      <c r="S3941" s="106"/>
      <c r="T3941" s="22"/>
      <c r="U3941" s="97">
        <f ca="1">P_2_minQ+(U3938^2*R_dn)-dpdn_minQ</f>
        <v>60</v>
      </c>
      <c r="V3941" s="107"/>
      <c r="W3941" s="1"/>
      <c r="X3941" s="97">
        <f ca="1">P_2_minQ+(X3938^2*R_dn)-dpdn_minQ</f>
        <v>60</v>
      </c>
      <c r="Y3941" s="107"/>
      <c r="Z3941" s="1"/>
      <c r="AA3941" s="97">
        <f ca="1">P_2_minQ+(AA3938^2*R_dn)-dpdn_minQ</f>
        <v>60</v>
      </c>
      <c r="AB3941" s="107"/>
      <c r="AC3941" s="1"/>
      <c r="AD3941" s="97">
        <f ca="1">P_2_minQ+(AD3938^2*R_dn)-dpdn_minQ</f>
        <v>60</v>
      </c>
      <c r="AE3941" s="107"/>
      <c r="AF3941" s="1"/>
      <c r="AG3941" s="97">
        <f ca="1">P_2_minQ+(AG3938^2*R_dn)-dpdn_minQ</f>
        <v>60</v>
      </c>
      <c r="AH3941" s="107"/>
      <c r="AI3941" s="1"/>
      <c r="AJ3941" s="97">
        <f ca="1">P_2_minQ+(AJ3938^2*R_dn)-dpdn_minQ</f>
        <v>60</v>
      </c>
      <c r="AK3941" s="107"/>
      <c r="AL3941" s="1"/>
      <c r="AM3941" s="97">
        <f ca="1">P_2_minQ+(AM3938^2*R_dn)-dpdn_minQ</f>
        <v>60</v>
      </c>
      <c r="AN3941" s="107"/>
      <c r="AO3941" s="1"/>
      <c r="AP3941" s="97">
        <f ca="1">P_2_minQ+(AP3938^2*R_dn)-dpdn_minQ</f>
        <v>60</v>
      </c>
      <c r="AQ3941" s="107"/>
      <c r="AR3941" s="1"/>
      <c r="AS3941" s="97">
        <f ca="1">P_2_minQ+(AS3938^2*R_dn)-dpdn_minQ</f>
        <v>60</v>
      </c>
      <c r="AT3941" s="107"/>
      <c r="AU3941" s="1"/>
    </row>
    <row r="3942" spans="15:47" x14ac:dyDescent="0.25">
      <c r="O3942" s="8" t="s">
        <v>138</v>
      </c>
      <c r="P3942" s="1"/>
      <c r="Q3942" s="8"/>
      <c r="R3942" s="97">
        <f>R3940-R3941</f>
        <v>29.020478281975514</v>
      </c>
      <c r="S3942" s="106"/>
      <c r="T3942" s="22"/>
      <c r="U3942" s="97">
        <f ca="1">U3940-U3941</f>
        <v>23.742517846687221</v>
      </c>
      <c r="V3942" s="110"/>
      <c r="W3942" s="25"/>
      <c r="X3942" s="97">
        <f ca="1">X3940-X3941</f>
        <v>-8.443049702160387</v>
      </c>
      <c r="Y3942" s="110"/>
      <c r="Z3942" s="25"/>
      <c r="AA3942" s="97">
        <f ca="1">AA3940-AA3941</f>
        <v>-116.35871733510749</v>
      </c>
      <c r="AB3942" s="110"/>
      <c r="AC3942" s="25"/>
      <c r="AD3942" s="97">
        <f ca="1">AD3940-AD3941</f>
        <v>-382.2828992827649</v>
      </c>
      <c r="AE3942" s="110"/>
      <c r="AF3942" s="25"/>
      <c r="AG3942" s="97">
        <f ca="1">AG3940-AG3941</f>
        <v>-848.46231235500488</v>
      </c>
      <c r="AH3942" s="110"/>
      <c r="AI3942" s="25"/>
      <c r="AJ3942" s="97">
        <f ca="1">AJ3940-AJ3941</f>
        <v>-1534.5985544003688</v>
      </c>
      <c r="AK3942" s="110"/>
      <c r="AL3942" s="25"/>
      <c r="AM3942" s="97">
        <f ca="1">AM3940-AM3941</f>
        <v>-2299.5645048757533</v>
      </c>
      <c r="AN3942" s="110"/>
      <c r="AO3942" s="25"/>
      <c r="AP3942" s="97">
        <f ca="1">AP3940-AP3941</f>
        <v>-3109.9653572425632</v>
      </c>
      <c r="AQ3942" s="110"/>
      <c r="AR3942" s="25"/>
      <c r="AS3942" s="97">
        <f ca="1">AS3940-AS3941</f>
        <v>-4287.3354780732006</v>
      </c>
      <c r="AT3942" s="110"/>
      <c r="AU3942" s="25"/>
    </row>
    <row r="3943" spans="15:47" ht="14.4" x14ac:dyDescent="0.3">
      <c r="O3943" s="2" t="s">
        <v>140</v>
      </c>
      <c r="P3943" s="11"/>
      <c r="Q3943" s="2"/>
      <c r="R3943" s="96">
        <f>R3942/R3940</f>
        <v>0.32599777985973205</v>
      </c>
      <c r="S3943" s="106"/>
      <c r="T3943" s="22"/>
      <c r="U3943" s="96">
        <f ca="1">U3942/U3940</f>
        <v>0.28351807967076137</v>
      </c>
      <c r="V3943" s="111"/>
      <c r="W3943" s="28"/>
      <c r="X3943" s="96">
        <f ca="1">X3942/X3940</f>
        <v>-0.16376161998306124</v>
      </c>
      <c r="Y3943" s="111"/>
      <c r="Z3943" s="28"/>
      <c r="AA3943" s="96">
        <f ca="1">AA3942/AA3940</f>
        <v>2.0646090407494824</v>
      </c>
      <c r="AB3943" s="111"/>
      <c r="AC3943" s="28"/>
      <c r="AD3943" s="96">
        <f ca="1">AD3942/AD3940</f>
        <v>1.1861718388829472</v>
      </c>
      <c r="AE3943" s="111"/>
      <c r="AF3943" s="28"/>
      <c r="AG3943" s="96">
        <f ca="1">AG3942/AG3940</f>
        <v>1.0760974862841448</v>
      </c>
      <c r="AH3943" s="111"/>
      <c r="AI3943" s="28"/>
      <c r="AJ3943" s="96">
        <f ca="1">AJ3942/AJ3940</f>
        <v>1.0406890402957152</v>
      </c>
      <c r="AK3943" s="111"/>
      <c r="AL3943" s="28"/>
      <c r="AM3943" s="96">
        <f ca="1">AM3942/AM3940</f>
        <v>1.026790922909063</v>
      </c>
      <c r="AN3943" s="111"/>
      <c r="AO3943" s="28"/>
      <c r="AP3943" s="96">
        <f ca="1">AP3942/AP3940</f>
        <v>1.0196723545916748</v>
      </c>
      <c r="AQ3943" s="111"/>
      <c r="AR3943" s="28"/>
      <c r="AS3943" s="96">
        <f ca="1">AS3942/AS3940</f>
        <v>1.0141933376972834</v>
      </c>
      <c r="AT3943" s="111"/>
      <c r="AU3943" s="28"/>
    </row>
    <row r="3944" spans="15:47" x14ac:dyDescent="0.25">
      <c r="O3944" s="2" t="s">
        <v>21</v>
      </c>
      <c r="P3944" s="8">
        <v>12</v>
      </c>
      <c r="Q3944" s="2"/>
      <c r="R3944" s="96">
        <f ca="1">1-R3943/(3*F_GAMMA*R$29)</f>
        <v>0.83021736797208601</v>
      </c>
      <c r="S3944" s="106"/>
      <c r="T3944" s="22"/>
      <c r="U3944" s="96">
        <f ca="1">1-U3943/(3*F_GAMMA*U$29)</f>
        <v>0.85237548858622303</v>
      </c>
      <c r="V3944" s="111"/>
      <c r="W3944" s="28"/>
      <c r="X3944" s="96">
        <f ca="1">1-X3943/(3*F_GAMMA*X$29)</f>
        <v>1.0860808581065795</v>
      </c>
      <c r="Y3944" s="111"/>
      <c r="Z3944" s="28"/>
      <c r="AA3944" s="96">
        <f ca="1">1-AA3943/(3*F_GAMMA*AA$29)</f>
        <v>-0.10055408758324469</v>
      </c>
      <c r="AB3944" s="111"/>
      <c r="AC3944" s="28"/>
      <c r="AD3944" s="96">
        <f ca="1">1-AD3943/(3*F_GAMMA*AD$29)</f>
        <v>0.34809274489321063</v>
      </c>
      <c r="AE3944" s="111"/>
      <c r="AF3944" s="28"/>
      <c r="AG3944" s="96">
        <f ca="1">1-AG3943/(3*F_GAMMA*AG$29)</f>
        <v>0.37310007396207101</v>
      </c>
      <c r="AH3944" s="111"/>
      <c r="AI3944" s="28"/>
      <c r="AJ3944" s="96">
        <f ca="1">1-AJ3943/(3*F_GAMMA*AJ$29)</f>
        <v>0.34773422474698379</v>
      </c>
      <c r="AK3944" s="111"/>
      <c r="AL3944" s="28"/>
      <c r="AM3944" s="96">
        <f ca="1">1-AM3943/(3*F_GAMMA*AM$29)</f>
        <v>0.28045252224992945</v>
      </c>
      <c r="AN3944" s="111"/>
      <c r="AO3944" s="28"/>
      <c r="AP3944" s="96">
        <f ca="1">1-AP3943/(3*F_GAMMA*AP$29)</f>
        <v>0.42444224954498821</v>
      </c>
      <c r="AQ3944" s="111"/>
      <c r="AR3944" s="28"/>
      <c r="AS3944" s="96">
        <f ca="1">1-AS3943/(3*F_GAMMA*AS$29)</f>
        <v>0.10253926062119356</v>
      </c>
      <c r="AT3944" s="111"/>
      <c r="AU3944" s="28"/>
    </row>
    <row r="3945" spans="15:47" x14ac:dyDescent="0.25">
      <c r="O3945" s="2" t="s">
        <v>57</v>
      </c>
      <c r="P3945" s="143">
        <v>7</v>
      </c>
      <c r="Q3945" s="2"/>
      <c r="R3945" s="96">
        <f ca="1">(R3938/(N_9*R$27*R3940*R3944))*SQRT(M*'Valve Sizing'!$W$6*'Valve Sizing'!$G$8/R3943)</f>
        <v>32.955777371971557</v>
      </c>
      <c r="S3945" s="107"/>
      <c r="T3945" s="22"/>
      <c r="U3945" s="96">
        <f ca="1">(U3938/(N_9*U$27*U3940*U3944))*SQRT(M*'Valve Sizing'!$W$6*'Valve Sizing'!$G$8/U3943)</f>
        <v>86.11618092400596</v>
      </c>
      <c r="V3945" s="111"/>
      <c r="W3945" s="28"/>
      <c r="X3945" s="96" t="e">
        <f ca="1">(X3938/(N_9*X$27*X3940*X3944))*SQRT(M*'Valve Sizing'!$W$6*'Valve Sizing'!$G$8/X3943)</f>
        <v>#NUM!</v>
      </c>
      <c r="Y3945" s="111"/>
      <c r="Z3945" s="28"/>
      <c r="AA3945" s="96">
        <f ca="1">(AA3938/(N_9*AA$27*AA3940*AA3944))*SQRT(M*'Valve Sizing'!$W$6*'Valve Sizing'!$G$8/AA3943)</f>
        <v>1932.8416174983429</v>
      </c>
      <c r="AB3945" s="111"/>
      <c r="AC3945" s="28"/>
      <c r="AD3945" s="96">
        <f ca="1">(AD3938/(N_9*AD$27*AD3940*AD3944))*SQRT(M*'Valve Sizing'!$W$6*'Valve Sizing'!$G$8/AD3943)</f>
        <v>-218.79042813042287</v>
      </c>
      <c r="AE3945" s="111"/>
      <c r="AF3945" s="28"/>
      <c r="AG3945" s="96">
        <f ca="1">(AG3938/(N_9*AG$27*AG3940*AG3944))*SQRT(M*'Valve Sizing'!$W$6*'Valve Sizing'!$G$8/AG3943)</f>
        <v>-130.7313634450787</v>
      </c>
      <c r="AH3945" s="111"/>
      <c r="AI3945" s="28"/>
      <c r="AJ3945" s="96">
        <f ca="1">(AJ3938/(N_9*AJ$27*AJ3940*AJ3944))*SQRT(M*'Valve Sizing'!$W$6*'Valve Sizing'!$G$8/AJ3943)</f>
        <v>-105.45641931002552</v>
      </c>
      <c r="AK3945" s="111"/>
      <c r="AL3945" s="28"/>
      <c r="AM3945" s="96">
        <f ca="1">(AM3938/(N_9*AM$27*AM3940*AM3944))*SQRT(M*'Valve Sizing'!$W$6*'Valve Sizing'!$G$8/AM3943)</f>
        <v>-112.21140087171625</v>
      </c>
      <c r="AN3945" s="111"/>
      <c r="AO3945" s="28"/>
      <c r="AP3945" s="96">
        <f ca="1">(AP3938/(N_9*AP$27*AP3940*AP3944))*SQRT(M*'Valve Sizing'!$W$6*'Valve Sizing'!$G$8/AP3943)</f>
        <v>-72.192844932324022</v>
      </c>
      <c r="AQ3945" s="111"/>
      <c r="AR3945" s="28"/>
      <c r="AS3945" s="96">
        <f ca="1">(AS3938/(N_9*AS$27*AS3940*AS3944))*SQRT(M*'Valve Sizing'!$W$6*'Valve Sizing'!$G$8/AS3943)</f>
        <v>-339.52340736039758</v>
      </c>
      <c r="AT3945" s="111"/>
      <c r="AU3945" s="28"/>
    </row>
    <row r="3946" spans="15:47" x14ac:dyDescent="0.25">
      <c r="O3946" s="2" t="s">
        <v>59</v>
      </c>
      <c r="P3946" s="143">
        <v>7</v>
      </c>
      <c r="Q3946" s="2"/>
      <c r="R3946" s="96">
        <f ca="1">(R3938/(N_9*R$27*R3940*0.667))*SQRT(M*'Valve Sizing'!$W$6*'Valve Sizing'!$G$8/R3947)</f>
        <v>29.275532226512588</v>
      </c>
      <c r="S3946" s="107"/>
      <c r="T3946" s="22"/>
      <c r="U3946" s="96">
        <f ca="1">(U3938/(N_9*U$27*U3940*0.667))*SQRT(M*'Valve Sizing'!$W$6*'Valve Sizing'!$G$8/U3947)</f>
        <v>73.236864745610859</v>
      </c>
      <c r="V3946" s="111"/>
      <c r="W3946" s="28"/>
      <c r="X3946" s="96">
        <f ca="1">(X3938/(N_9*X$27*X3940*0.667))*SQRT(M*'Valve Sizing'!$W$6*'Valve Sizing'!$G$8/X3947)</f>
        <v>293.33855789466077</v>
      </c>
      <c r="Y3946" s="111"/>
      <c r="Z3946" s="28"/>
      <c r="AA3946" s="96">
        <f ca="1">(AA3938/(N_9*AA$27*AA3940*0.667))*SQRT(M*'Valve Sizing'!$W$6*'Valve Sizing'!$G$8/AA3947)</f>
        <v>-529.46406153355963</v>
      </c>
      <c r="AB3946" s="111"/>
      <c r="AC3946" s="28"/>
      <c r="AD3946" s="96">
        <f ca="1">(AD3938/(N_9*AD$27*AD3940*0.667))*SQRT(M*'Valve Sizing'!$W$6*'Valve Sizing'!$G$8/AD3947)</f>
        <v>-159.68017148644628</v>
      </c>
      <c r="AE3946" s="111"/>
      <c r="AF3946" s="28"/>
      <c r="AG3946" s="96">
        <f ca="1">(AG3938/(N_9*AG$27*AG3940*0.667))*SQRT(M*'Valve Sizing'!$W$6*'Valve Sizing'!$G$8/AG3947)</f>
        <v>-100.28570421333063</v>
      </c>
      <c r="AH3946" s="111"/>
      <c r="AI3946" s="28"/>
      <c r="AJ3946" s="96">
        <f ca="1">(AJ3938/(N_9*AJ$27*AJ3940*0.667))*SQRT(M*'Valve Sizing'!$W$6*'Valve Sizing'!$G$8/AJ3947)</f>
        <v>-76.907296901930934</v>
      </c>
      <c r="AK3946" s="111"/>
      <c r="AL3946" s="28"/>
      <c r="AM3946" s="96">
        <f ca="1">(AM3938/(N_9*AM$27*AM3940*0.667))*SQRT(M*'Valve Sizing'!$W$6*'Valve Sizing'!$G$8/AM3947)</f>
        <v>-69.320367341263193</v>
      </c>
      <c r="AN3946" s="111"/>
      <c r="AO3946" s="28"/>
      <c r="AP3946" s="96">
        <f ca="1">(AP3938/(N_9*AP$27*AP3940*0.667))*SQRT(M*'Valve Sizing'!$W$6*'Valve Sizing'!$G$8/AP3947)</f>
        <v>-60.365946000219409</v>
      </c>
      <c r="AQ3946" s="111"/>
      <c r="AR3946" s="28"/>
      <c r="AS3946" s="96">
        <f ca="1">(AS3938/(N_9*AS$27*AS3940*0.667))*SQRT(M*'Valve Sizing'!$W$6*'Valve Sizing'!$G$8/AS3947)</f>
        <v>-85.645081135936593</v>
      </c>
      <c r="AT3946" s="111"/>
      <c r="AU3946" s="28"/>
    </row>
    <row r="3947" spans="15:47" ht="15.6" x14ac:dyDescent="0.35">
      <c r="O3947" s="2" t="s">
        <v>68</v>
      </c>
      <c r="P3947" s="143">
        <v>10</v>
      </c>
      <c r="Q3947" s="2"/>
      <c r="R3947" s="96">
        <f ca="1">F_GAMMA*R$29</f>
        <v>0.64002969751372984</v>
      </c>
      <c r="S3947" s="107"/>
      <c r="T3947" s="1"/>
      <c r="U3947" s="96">
        <f ca="1">F_GAMMA*U$29</f>
        <v>0.64017842058782071</v>
      </c>
      <c r="V3947" s="111"/>
      <c r="W3947" s="28"/>
      <c r="X3947" s="96">
        <f ca="1">F_GAMMA*X$29</f>
        <v>0.63413873724904268</v>
      </c>
      <c r="Y3947" s="111"/>
      <c r="Z3947" s="28"/>
      <c r="AA3947" s="96">
        <f ca="1">F_GAMMA*AA$29</f>
        <v>0.62532411750377137</v>
      </c>
      <c r="AB3947" s="111"/>
      <c r="AC3947" s="28"/>
      <c r="AD3947" s="96">
        <f ca="1">F_GAMMA*AD$29</f>
        <v>0.60651359509139569</v>
      </c>
      <c r="AE3947" s="111"/>
      <c r="AF3947" s="28"/>
      <c r="AG3947" s="96">
        <f ca="1">F_GAMMA*AG$29</f>
        <v>0.57217930198481592</v>
      </c>
      <c r="AH3947" s="111"/>
      <c r="AI3947" s="28"/>
      <c r="AJ3947" s="96">
        <f ca="1">F_GAMMA*AJ$29</f>
        <v>0.53183282018848232</v>
      </c>
      <c r="AK3947" s="111"/>
      <c r="AL3947" s="28"/>
      <c r="AM3947" s="96">
        <f ca="1">F_GAMMA*AM$29</f>
        <v>0.47566512503094399</v>
      </c>
      <c r="AN3947" s="111"/>
      <c r="AO3947" s="28"/>
      <c r="AP3947" s="96">
        <f ca="1">F_GAMMA*AP$29</f>
        <v>0.59054158265645496</v>
      </c>
      <c r="AQ3947" s="111"/>
      <c r="AR3947" s="28"/>
      <c r="AS3947" s="96">
        <f ca="1">F_GAMMA*AS$29</f>
        <v>0.3766899554102966</v>
      </c>
      <c r="AT3947" s="111"/>
      <c r="AU3947" s="28"/>
    </row>
    <row r="3948" spans="15:47" x14ac:dyDescent="0.25">
      <c r="O3948" s="2" t="s">
        <v>145</v>
      </c>
      <c r="P3948" s="12"/>
      <c r="Q3948" s="2"/>
      <c r="R3948" s="96">
        <f ca="1">IF(R3943&lt;R3947,R3945,R3946)</f>
        <v>32.955777371971557</v>
      </c>
      <c r="S3948" s="116"/>
      <c r="T3948" s="1"/>
      <c r="U3948" s="96">
        <f ca="1">IF(U3943&lt;U3947,U3945,U3946)</f>
        <v>86.11618092400596</v>
      </c>
      <c r="V3948" s="111"/>
      <c r="W3948" s="28"/>
      <c r="X3948" s="96" t="e">
        <f ca="1">IF(X3943&lt;X3947,X3945,X3946)</f>
        <v>#NUM!</v>
      </c>
      <c r="Y3948" s="111"/>
      <c r="Z3948" s="28"/>
      <c r="AA3948" s="96">
        <f ca="1">IF(AA3943&lt;AA3947,AA3945,AA3946)</f>
        <v>-529.46406153355963</v>
      </c>
      <c r="AB3948" s="111"/>
      <c r="AC3948" s="28"/>
      <c r="AD3948" s="96">
        <f ca="1">IF(AD3943&lt;AD3947,AD3945,AD3946)</f>
        <v>-159.68017148644628</v>
      </c>
      <c r="AE3948" s="111"/>
      <c r="AF3948" s="28"/>
      <c r="AG3948" s="96">
        <f ca="1">IF(AG3943&lt;AG3947,AG3945,AG3946)</f>
        <v>-100.28570421333063</v>
      </c>
      <c r="AH3948" s="111"/>
      <c r="AI3948" s="28"/>
      <c r="AJ3948" s="96">
        <f ca="1">IF(AJ3943&lt;AJ3947,AJ3945,AJ3946)</f>
        <v>-76.907296901930934</v>
      </c>
      <c r="AK3948" s="111"/>
      <c r="AL3948" s="28"/>
      <c r="AM3948" s="96">
        <f ca="1">IF(AM3943&lt;AM3947,AM3945,AM3946)</f>
        <v>-69.320367341263193</v>
      </c>
      <c r="AN3948" s="111"/>
      <c r="AO3948" s="28"/>
      <c r="AP3948" s="96">
        <f ca="1">IF(AP3943&lt;AP3947,AP3945,AP3946)</f>
        <v>-60.365946000219409</v>
      </c>
      <c r="AQ3948" s="111"/>
      <c r="AR3948" s="28"/>
      <c r="AS3948" s="96">
        <f ca="1">IF(AS3943&lt;AS3947,AS3945,AS3946)</f>
        <v>-85.645081135936593</v>
      </c>
      <c r="AT3948" s="111"/>
      <c r="AU3948" s="28"/>
    </row>
    <row r="3949" spans="15:47" x14ac:dyDescent="0.25">
      <c r="O3949" s="13" t="s">
        <v>143</v>
      </c>
      <c r="P3949" s="1"/>
      <c r="Q3949" s="1"/>
      <c r="R3949" s="113"/>
      <c r="S3949" s="106">
        <f ca="1">IF(R3942&lt;=0,Q_max,ABS(R$23-R3948))</f>
        <v>28.225777371971557</v>
      </c>
      <c r="T3949" s="7">
        <f>R3938</f>
        <v>79934.559338481049</v>
      </c>
      <c r="U3949" s="98"/>
      <c r="V3949" s="106">
        <f ca="1">IF(U3942&lt;=0,Q_max,ABS(U$23-U3948))</f>
        <v>74.516180924005965</v>
      </c>
      <c r="W3949" s="9">
        <f ca="1">U3938</f>
        <v>188010.11262805152</v>
      </c>
      <c r="X3949" s="98"/>
      <c r="Y3949" s="106">
        <f ca="1">IF(X3942&lt;=0,Q_max,ABS(X$23-X3948))</f>
        <v>236393</v>
      </c>
      <c r="Z3949" s="9">
        <f ca="1">X3938</f>
        <v>460367.70494538784</v>
      </c>
      <c r="AA3949" s="98"/>
      <c r="AB3949" s="106">
        <f ca="1">IF(AA3942&lt;=0,Q_max,ABS(AA$23-AA3948))</f>
        <v>236393</v>
      </c>
      <c r="AC3949" s="9">
        <f ca="1">AA3938</f>
        <v>896678.78248847579</v>
      </c>
      <c r="AD3949" s="98"/>
      <c r="AE3949" s="106">
        <f ca="1">IF(AD3942&lt;=0,Q_max,ABS(AD$23-AD3948))</f>
        <v>236393</v>
      </c>
      <c r="AF3949" s="9">
        <f ca="1">AD3938</f>
        <v>1504348.0594917974</v>
      </c>
      <c r="AG3949" s="98"/>
      <c r="AH3949" s="106">
        <f ca="1">IF(AG3942&lt;=0,Q_max,ABS(AG$23-AG3948))</f>
        <v>236393</v>
      </c>
      <c r="AI3949" s="9">
        <f ca="1">AG3938</f>
        <v>2195636.9654652998</v>
      </c>
      <c r="AJ3949" s="98"/>
      <c r="AK3949" s="106">
        <f ca="1">IF(AJ3942&lt;=0,Q_max,ABS(AJ$23-AJ3948))</f>
        <v>236393</v>
      </c>
      <c r="AL3949" s="9">
        <f ca="1">AJ3938</f>
        <v>2930086.0419477592</v>
      </c>
      <c r="AM3949" s="98"/>
      <c r="AN3949" s="106">
        <f ca="1">IF(AM3942&lt;=0,Q_max,ABS(AM$23-AM3948))</f>
        <v>236393</v>
      </c>
      <c r="AO3949" s="9">
        <f ca="1">AM3938</f>
        <v>3575261.8045752174</v>
      </c>
      <c r="AP3949" s="98"/>
      <c r="AQ3949" s="106">
        <f ca="1">IF(AP3942&lt;=0,Q_max,ABS(AP$23-AP3948))</f>
        <v>236393</v>
      </c>
      <c r="AR3949" s="9">
        <f ca="1">AP3938</f>
        <v>4150767.9624319458</v>
      </c>
      <c r="AS3949" s="98"/>
      <c r="AT3949" s="106">
        <f ca="1">IF(AS3942&lt;=0,Q_max,ABS(AS$23-AS3948))</f>
        <v>236393</v>
      </c>
      <c r="AU3949" s="9">
        <f ca="1">AS3938</f>
        <v>4867101.8727811538</v>
      </c>
    </row>
    <row r="3950" spans="15:47" x14ac:dyDescent="0.25">
      <c r="O3950" s="21"/>
      <c r="P3950" s="14"/>
      <c r="Q3950" s="21"/>
      <c r="R3950" s="97"/>
      <c r="S3950" s="106"/>
      <c r="T3950" s="28"/>
      <c r="U3950" s="97"/>
      <c r="V3950" s="111"/>
      <c r="W3950" s="28"/>
      <c r="X3950" s="97"/>
      <c r="Y3950" s="111"/>
      <c r="Z3950" s="28"/>
      <c r="AA3950" s="97"/>
      <c r="AB3950" s="111"/>
      <c r="AC3950" s="28"/>
      <c r="AD3950" s="97"/>
      <c r="AE3950" s="111"/>
      <c r="AF3950" s="28"/>
      <c r="AG3950" s="97"/>
      <c r="AH3950" s="111"/>
      <c r="AI3950" s="28"/>
      <c r="AJ3950" s="97"/>
      <c r="AK3950" s="111"/>
      <c r="AL3950" s="28"/>
      <c r="AM3950" s="97"/>
      <c r="AN3950" s="111"/>
      <c r="AO3950" s="28"/>
      <c r="AP3950" s="97"/>
      <c r="AQ3950" s="111"/>
      <c r="AR3950" s="28"/>
      <c r="AS3950" s="97"/>
      <c r="AT3950" s="111"/>
      <c r="AU3950" s="28"/>
    </row>
    <row r="3951" spans="15:47" x14ac:dyDescent="0.25">
      <c r="O3951" s="1"/>
      <c r="P3951" s="1"/>
      <c r="Q3951" s="1"/>
      <c r="R3951" s="98"/>
      <c r="S3951" s="108" t="s">
        <v>137</v>
      </c>
      <c r="T3951" s="26" t="s">
        <v>146</v>
      </c>
      <c r="U3951" s="98"/>
      <c r="V3951" s="108" t="s">
        <v>137</v>
      </c>
      <c r="W3951" s="26" t="s">
        <v>146</v>
      </c>
      <c r="X3951" s="98"/>
      <c r="Y3951" s="108" t="s">
        <v>137</v>
      </c>
      <c r="Z3951" s="26" t="s">
        <v>146</v>
      </c>
      <c r="AA3951" s="98"/>
      <c r="AB3951" s="108" t="s">
        <v>137</v>
      </c>
      <c r="AC3951" s="26" t="s">
        <v>146</v>
      </c>
      <c r="AD3951" s="98"/>
      <c r="AE3951" s="108" t="s">
        <v>137</v>
      </c>
      <c r="AF3951" s="26" t="s">
        <v>146</v>
      </c>
      <c r="AG3951" s="98"/>
      <c r="AH3951" s="108" t="s">
        <v>137</v>
      </c>
      <c r="AI3951" s="26" t="s">
        <v>146</v>
      </c>
      <c r="AJ3951" s="98"/>
      <c r="AK3951" s="108" t="s">
        <v>137</v>
      </c>
      <c r="AL3951" s="26" t="s">
        <v>146</v>
      </c>
      <c r="AM3951" s="98"/>
      <c r="AN3951" s="108" t="s">
        <v>137</v>
      </c>
      <c r="AO3951" s="26" t="s">
        <v>146</v>
      </c>
      <c r="AP3951" s="98"/>
      <c r="AQ3951" s="108" t="s">
        <v>137</v>
      </c>
      <c r="AR3951" s="26" t="s">
        <v>146</v>
      </c>
      <c r="AS3951" s="98"/>
      <c r="AT3951" s="108" t="s">
        <v>137</v>
      </c>
      <c r="AU3951" s="26" t="s">
        <v>146</v>
      </c>
    </row>
    <row r="3952" spans="15:47" ht="13.8" x14ac:dyDescent="0.25">
      <c r="O3952" s="20" t="s">
        <v>136</v>
      </c>
      <c r="P3952" s="1"/>
      <c r="Q3952" s="1"/>
      <c r="R3952" s="96">
        <f>R3938*1.02</f>
        <v>81533.250525250667</v>
      </c>
      <c r="S3952" s="109" t="s">
        <v>144</v>
      </c>
      <c r="T3952" s="23" t="s">
        <v>147</v>
      </c>
      <c r="U3952" s="96">
        <f ca="1">U3938*1.01</f>
        <v>189890.21375433204</v>
      </c>
      <c r="V3952" s="109" t="s">
        <v>144</v>
      </c>
      <c r="W3952" s="23" t="s">
        <v>147</v>
      </c>
      <c r="X3952" s="96">
        <f ca="1">X3938*1.01</f>
        <v>464971.38199484174</v>
      </c>
      <c r="Y3952" s="109" t="s">
        <v>144</v>
      </c>
      <c r="Z3952" s="23" t="s">
        <v>147</v>
      </c>
      <c r="AA3952" s="96">
        <f ca="1">AA3938*1.01</f>
        <v>905645.57031336054</v>
      </c>
      <c r="AB3952" s="109" t="s">
        <v>144</v>
      </c>
      <c r="AC3952" s="23" t="s">
        <v>147</v>
      </c>
      <c r="AD3952" s="96">
        <f ca="1">AD3938*1.01</f>
        <v>1519391.5400867152</v>
      </c>
      <c r="AE3952" s="109" t="s">
        <v>144</v>
      </c>
      <c r="AF3952" s="23" t="s">
        <v>147</v>
      </c>
      <c r="AG3952" s="96">
        <f ca="1">AG3938*1.01</f>
        <v>2217593.3351199529</v>
      </c>
      <c r="AH3952" s="109" t="s">
        <v>144</v>
      </c>
      <c r="AI3952" s="23" t="s">
        <v>147</v>
      </c>
      <c r="AJ3952" s="96">
        <f ca="1">AJ3938*1.01</f>
        <v>2959386.902367237</v>
      </c>
      <c r="AK3952" s="109" t="s">
        <v>144</v>
      </c>
      <c r="AL3952" s="23" t="s">
        <v>147</v>
      </c>
      <c r="AM3952" s="96">
        <f ca="1">AM3938*1.01</f>
        <v>3611014.4226209698</v>
      </c>
      <c r="AN3952" s="109" t="s">
        <v>144</v>
      </c>
      <c r="AO3952" s="23" t="s">
        <v>147</v>
      </c>
      <c r="AP3952" s="96">
        <f ca="1">AP3938*1.01</f>
        <v>4192275.6420562654</v>
      </c>
      <c r="AQ3952" s="109" t="s">
        <v>144</v>
      </c>
      <c r="AR3952" s="23" t="s">
        <v>147</v>
      </c>
      <c r="AS3952" s="96">
        <f ca="1">AS3938*1.01</f>
        <v>4915772.8915089658</v>
      </c>
      <c r="AT3952" s="109" t="s">
        <v>144</v>
      </c>
      <c r="AU3952" s="23" t="s">
        <v>147</v>
      </c>
    </row>
    <row r="3953" spans="15:47" x14ac:dyDescent="0.25">
      <c r="O3953" s="1"/>
      <c r="P3953" s="1"/>
      <c r="Q3953" s="1"/>
      <c r="R3953" s="98"/>
      <c r="S3953" s="107"/>
      <c r="T3953" s="1"/>
      <c r="U3953" s="47"/>
      <c r="V3953" s="107"/>
      <c r="W3953" s="1"/>
      <c r="X3953" s="47"/>
      <c r="Y3953" s="107"/>
      <c r="Z3953" s="1"/>
      <c r="AA3953" s="47"/>
      <c r="AB3953" s="107"/>
      <c r="AC3953" s="1"/>
      <c r="AD3953" s="47"/>
      <c r="AE3953" s="107"/>
      <c r="AF3953" s="1"/>
      <c r="AG3953" s="47"/>
      <c r="AH3953" s="107"/>
      <c r="AI3953" s="1"/>
      <c r="AJ3953" s="47"/>
      <c r="AK3953" s="107"/>
      <c r="AL3953" s="1"/>
      <c r="AM3953" s="47"/>
      <c r="AN3953" s="107"/>
      <c r="AO3953" s="1"/>
      <c r="AP3953" s="47"/>
      <c r="AQ3953" s="107"/>
      <c r="AR3953" s="1"/>
      <c r="AS3953" s="47"/>
      <c r="AT3953" s="107"/>
      <c r="AU3953" s="1"/>
    </row>
    <row r="3954" spans="15:47" x14ac:dyDescent="0.25">
      <c r="O3954" s="8" t="s">
        <v>132</v>
      </c>
      <c r="P3954" s="8"/>
      <c r="Q3954" s="8"/>
      <c r="R3954" s="96">
        <f>P_1_minQ-(R3952^2*R_up)+dpup_minQ</f>
        <v>88.973429967145009</v>
      </c>
      <c r="S3954" s="106"/>
      <c r="T3954" s="22"/>
      <c r="U3954" s="96">
        <f ca="1">P_1_minQ-(U3952^2*R_up)+dpup_minQ</f>
        <v>83.613023140747487</v>
      </c>
      <c r="V3954" s="107"/>
      <c r="W3954" s="1"/>
      <c r="X3954" s="96">
        <f ca="1">P_1_minQ-(X3952^2*R_up)+dpup_minQ</f>
        <v>50.780525684168055</v>
      </c>
      <c r="Y3954" s="107"/>
      <c r="Z3954" s="1"/>
      <c r="AA3954" s="96">
        <f ca="1">P_1_minQ-(AA3952^2*R_up)+dpup_minQ</f>
        <v>-59.30424686820129</v>
      </c>
      <c r="AB3954" s="107"/>
      <c r="AC3954" s="1"/>
      <c r="AD3954" s="96">
        <f ca="1">P_1_minQ-(AD3952^2*R_up)+dpup_minQ</f>
        <v>-330.57350487300653</v>
      </c>
      <c r="AE3954" s="107"/>
      <c r="AF3954" s="1"/>
      <c r="AG3954" s="96">
        <f ca="1">P_1_minQ-(AG3952^2*R_up)+dpup_minQ</f>
        <v>-806.12312414799874</v>
      </c>
      <c r="AH3954" s="107"/>
      <c r="AI3954" s="1"/>
      <c r="AJ3954" s="96">
        <f ca="1">P_1_minQ-(AJ3952^2*R_up)+dpup_minQ</f>
        <v>-1506.0507046584746</v>
      </c>
      <c r="AK3954" s="107"/>
      <c r="AL3954" s="1"/>
      <c r="AM3954" s="96">
        <f ca="1">P_1_minQ-(AM3952^2*R_up)+dpup_minQ</f>
        <v>-2286.3924707384144</v>
      </c>
      <c r="AN3954" s="107"/>
      <c r="AO3954" s="1"/>
      <c r="AP3954" s="96">
        <f ca="1">P_1_minQ-(AP3952^2*R_up)+dpup_minQ</f>
        <v>-3113.0823802377968</v>
      </c>
      <c r="AQ3954" s="107"/>
      <c r="AR3954" s="1"/>
      <c r="AS3954" s="96">
        <f ca="1">P_1_minQ-(AS3952^2*R_up)+dpup_minQ</f>
        <v>-4314.1176404971311</v>
      </c>
      <c r="AT3954" s="107"/>
      <c r="AU3954" s="1"/>
    </row>
    <row r="3955" spans="15:47" x14ac:dyDescent="0.25">
      <c r="O3955" s="8" t="s">
        <v>134</v>
      </c>
      <c r="P3955" s="1"/>
      <c r="Q3955" s="8"/>
      <c r="R3955" s="97">
        <f>P_2_minQ+(R3952^2*R_dn)-dpdn_minQ</f>
        <v>60</v>
      </c>
      <c r="S3955" s="106"/>
      <c r="T3955" s="22"/>
      <c r="U3955" s="97">
        <f ca="1">P_2_minQ+(U3952^2*R_dn)-dpdn_minQ</f>
        <v>60</v>
      </c>
      <c r="V3955" s="107"/>
      <c r="W3955" s="1"/>
      <c r="X3955" s="97">
        <f ca="1">P_2_minQ+(X3952^2*R_dn)-dpdn_minQ</f>
        <v>60</v>
      </c>
      <c r="Y3955" s="107"/>
      <c r="Z3955" s="1"/>
      <c r="AA3955" s="97">
        <f ca="1">P_2_minQ+(AA3952^2*R_dn)-dpdn_minQ</f>
        <v>60</v>
      </c>
      <c r="AB3955" s="107"/>
      <c r="AC3955" s="1"/>
      <c r="AD3955" s="97">
        <f ca="1">P_2_minQ+(AD3952^2*R_dn)-dpdn_minQ</f>
        <v>60</v>
      </c>
      <c r="AE3955" s="107"/>
      <c r="AF3955" s="1"/>
      <c r="AG3955" s="97">
        <f ca="1">P_2_minQ+(AG3952^2*R_dn)-dpdn_minQ</f>
        <v>60</v>
      </c>
      <c r="AH3955" s="107"/>
      <c r="AI3955" s="1"/>
      <c r="AJ3955" s="97">
        <f ca="1">P_2_minQ+(AJ3952^2*R_dn)-dpdn_minQ</f>
        <v>60</v>
      </c>
      <c r="AK3955" s="107"/>
      <c r="AL3955" s="1"/>
      <c r="AM3955" s="97">
        <f ca="1">P_2_minQ+(AM3952^2*R_dn)-dpdn_minQ</f>
        <v>60</v>
      </c>
      <c r="AN3955" s="107"/>
      <c r="AO3955" s="1"/>
      <c r="AP3955" s="97">
        <f ca="1">P_2_minQ+(AP3952^2*R_dn)-dpdn_minQ</f>
        <v>60</v>
      </c>
      <c r="AQ3955" s="107"/>
      <c r="AR3955" s="1"/>
      <c r="AS3955" s="97">
        <f ca="1">P_2_minQ+(AS3952^2*R_dn)-dpdn_minQ</f>
        <v>60</v>
      </c>
      <c r="AT3955" s="107"/>
      <c r="AU3955" s="1"/>
    </row>
    <row r="3956" spans="15:47" x14ac:dyDescent="0.25">
      <c r="O3956" s="8" t="s">
        <v>138</v>
      </c>
      <c r="P3956" s="1"/>
      <c r="Q3956" s="8"/>
      <c r="R3956" s="97">
        <f>R3954-R3955</f>
        <v>28.973429967145009</v>
      </c>
      <c r="S3956" s="106"/>
      <c r="T3956" s="22"/>
      <c r="U3956" s="97">
        <f ca="1">U3954-U3955</f>
        <v>23.613023140747487</v>
      </c>
      <c r="V3956" s="110"/>
      <c r="W3956" s="25"/>
      <c r="X3956" s="97">
        <f ca="1">X3954-X3955</f>
        <v>-9.2194743158319454</v>
      </c>
      <c r="Y3956" s="110"/>
      <c r="Z3956" s="25"/>
      <c r="AA3956" s="97">
        <f ca="1">AA3954-AA3955</f>
        <v>-119.30424686820129</v>
      </c>
      <c r="AB3956" s="110"/>
      <c r="AC3956" s="25"/>
      <c r="AD3956" s="97">
        <f ca="1">AD3954-AD3955</f>
        <v>-390.57350487300653</v>
      </c>
      <c r="AE3956" s="110"/>
      <c r="AF3956" s="25"/>
      <c r="AG3956" s="97">
        <f ca="1">AG3954-AG3955</f>
        <v>-866.12312414799874</v>
      </c>
      <c r="AH3956" s="110"/>
      <c r="AI3956" s="25"/>
      <c r="AJ3956" s="97">
        <f ca="1">AJ3954-AJ3955</f>
        <v>-1566.0507046584746</v>
      </c>
      <c r="AK3956" s="110"/>
      <c r="AL3956" s="25"/>
      <c r="AM3956" s="97">
        <f ca="1">AM3954-AM3955</f>
        <v>-2346.3924707384144</v>
      </c>
      <c r="AN3956" s="110"/>
      <c r="AO3956" s="25"/>
      <c r="AP3956" s="97">
        <f ca="1">AP3954-AP3955</f>
        <v>-3173.0823802377968</v>
      </c>
      <c r="AQ3956" s="110"/>
      <c r="AR3956" s="25"/>
      <c r="AS3956" s="97">
        <f ca="1">AS3954-AS3955</f>
        <v>-4374.1176404971311</v>
      </c>
      <c r="AT3956" s="110"/>
      <c r="AU3956" s="25"/>
    </row>
    <row r="3957" spans="15:47" ht="14.4" x14ac:dyDescent="0.3">
      <c r="O3957" s="2" t="s">
        <v>140</v>
      </c>
      <c r="P3957" s="11"/>
      <c r="Q3957" s="2"/>
      <c r="R3957" s="96">
        <f>R3956/R3954</f>
        <v>0.32564137381063035</v>
      </c>
      <c r="S3957" s="106"/>
      <c r="T3957" s="22"/>
      <c r="U3957" s="96">
        <f ca="1">U3956/U3954</f>
        <v>0.28240843655418618</v>
      </c>
      <c r="V3957" s="111"/>
      <c r="W3957" s="28"/>
      <c r="X3957" s="96">
        <f ca="1">X3956/X3954</f>
        <v>-0.18155531459388416</v>
      </c>
      <c r="Y3957" s="111"/>
      <c r="Z3957" s="28"/>
      <c r="AA3957" s="96">
        <f ca="1">AA3956/AA3954</f>
        <v>2.0117319276197025</v>
      </c>
      <c r="AB3957" s="111"/>
      <c r="AC3957" s="28"/>
      <c r="AD3957" s="96">
        <f ca="1">AD3956/AD3954</f>
        <v>1.1815027493599333</v>
      </c>
      <c r="AE3957" s="111"/>
      <c r="AF3957" s="28"/>
      <c r="AG3957" s="96">
        <f ca="1">AG3956/AG3954</f>
        <v>1.0744303174076724</v>
      </c>
      <c r="AH3957" s="111"/>
      <c r="AI3957" s="28"/>
      <c r="AJ3957" s="96">
        <f ca="1">AJ3956/AJ3954</f>
        <v>1.0398392961235698</v>
      </c>
      <c r="AK3957" s="111"/>
      <c r="AL3957" s="28"/>
      <c r="AM3957" s="96">
        <f ca="1">AM3956/AM3954</f>
        <v>1.0262422137790816</v>
      </c>
      <c r="AN3957" s="111"/>
      <c r="AO3957" s="28"/>
      <c r="AP3957" s="96">
        <f ca="1">AP3956/AP3954</f>
        <v>1.019273502166498</v>
      </c>
      <c r="AQ3957" s="111"/>
      <c r="AR3957" s="28"/>
      <c r="AS3957" s="96">
        <f ca="1">AS3956/AS3954</f>
        <v>1.0139078265823753</v>
      </c>
      <c r="AT3957" s="111"/>
      <c r="AU3957" s="28"/>
    </row>
    <row r="3958" spans="15:47" x14ac:dyDescent="0.25">
      <c r="O3958" s="2" t="s">
        <v>21</v>
      </c>
      <c r="P3958" s="8">
        <v>12</v>
      </c>
      <c r="Q3958" s="2"/>
      <c r="R3958" s="96">
        <f ca="1">1-R3957/(3*F_GAMMA*R$29)</f>
        <v>0.83040298750947428</v>
      </c>
      <c r="S3958" s="106"/>
      <c r="T3958" s="22"/>
      <c r="U3958" s="96">
        <f ca="1">1-U3957/(3*F_GAMMA*U$29)</f>
        <v>0.85295326663522186</v>
      </c>
      <c r="V3958" s="111"/>
      <c r="W3958" s="28"/>
      <c r="X3958" s="96">
        <f ca="1">1-X3957/(3*F_GAMMA*X$29)</f>
        <v>1.0954340661485158</v>
      </c>
      <c r="Y3958" s="111"/>
      <c r="Z3958" s="28"/>
      <c r="AA3958" s="96">
        <f ca="1">1-AA3957/(3*F_GAMMA*AA$29)</f>
        <v>-7.2367577766618396E-2</v>
      </c>
      <c r="AB3958" s="111"/>
      <c r="AC3958" s="28"/>
      <c r="AD3958" s="96">
        <f ca="1">1-AD3957/(3*F_GAMMA*AD$29)</f>
        <v>0.35065882615986954</v>
      </c>
      <c r="AE3958" s="111"/>
      <c r="AF3958" s="28"/>
      <c r="AG3958" s="96">
        <f ca="1">1-AG3957/(3*F_GAMMA*AG$29)</f>
        <v>0.37407131314687969</v>
      </c>
      <c r="AH3958" s="111"/>
      <c r="AI3958" s="28"/>
      <c r="AJ3958" s="96">
        <f ca="1">1-AJ3957/(3*F_GAMMA*AJ$29)</f>
        <v>0.34826681327223008</v>
      </c>
      <c r="AK3958" s="111"/>
      <c r="AL3958" s="28"/>
      <c r="AM3958" s="96">
        <f ca="1">1-AM3957/(3*F_GAMMA*AM$29)</f>
        <v>0.28083704285844624</v>
      </c>
      <c r="AN3958" s="111"/>
      <c r="AO3958" s="28"/>
      <c r="AP3958" s="96">
        <f ca="1">1-AP3957/(3*F_GAMMA*AP$29)</f>
        <v>0.42466738323971331</v>
      </c>
      <c r="AQ3958" s="111"/>
      <c r="AR3958" s="28"/>
      <c r="AS3958" s="96">
        <f ca="1">1-AS3957/(3*F_GAMMA*AS$29)</f>
        <v>0.10279190970373242</v>
      </c>
      <c r="AT3958" s="111"/>
      <c r="AU3958" s="28"/>
    </row>
    <row r="3959" spans="15:47" x14ac:dyDescent="0.25">
      <c r="O3959" s="2" t="s">
        <v>57</v>
      </c>
      <c r="P3959" s="143">
        <v>7</v>
      </c>
      <c r="Q3959" s="2"/>
      <c r="R3959" s="96">
        <f ca="1">(R3952/(N_9*R$27*R3954*R3958))*SQRT(M*'Valve Sizing'!$W$6*'Valve Sizing'!$G$8/R3957)</f>
        <v>33.643546162880369</v>
      </c>
      <c r="S3959" s="107"/>
      <c r="T3959" s="22"/>
      <c r="U3959" s="96">
        <f ca="1">(U3952/(N_9*U$27*U3954*U3958))*SQRT(M*'Valve Sizing'!$W$6*'Valve Sizing'!$G$8/U3957)</f>
        <v>87.223896796452564</v>
      </c>
      <c r="V3959" s="111"/>
      <c r="W3959" s="28"/>
      <c r="X3959" s="96" t="e">
        <f ca="1">(X3952/(N_9*X$27*X3954*X3958))*SQRT(M*'Valve Sizing'!$W$6*'Valve Sizing'!$G$8/X3957)</f>
        <v>#NUM!</v>
      </c>
      <c r="Y3959" s="111"/>
      <c r="Z3959" s="28"/>
      <c r="AA3959" s="96">
        <f ca="1">(AA3952/(N_9*AA$27*AA3954*AA3958))*SQRT(M*'Valve Sizing'!$W$6*'Valve Sizing'!$G$8/AA3957)</f>
        <v>2611.4547120255816</v>
      </c>
      <c r="AB3959" s="111"/>
      <c r="AC3959" s="28"/>
      <c r="AD3959" s="96">
        <f ca="1">(AD3952/(N_9*AD$27*AD3954*AD3958))*SQRT(M*'Valve Sizing'!$W$6*'Valve Sizing'!$G$8/AD3957)</f>
        <v>-214.28192771783614</v>
      </c>
      <c r="AE3959" s="111"/>
      <c r="AF3959" s="28"/>
      <c r="AG3959" s="96">
        <f ca="1">(AG3952/(N_9*AG$27*AG3954*AG3958))*SQRT(M*'Valve Sizing'!$W$6*'Valve Sizing'!$G$8/AG3957)</f>
        <v>-128.91051296990048</v>
      </c>
      <c r="AH3959" s="111"/>
      <c r="AI3959" s="28"/>
      <c r="AJ3959" s="96">
        <f ca="1">(AJ3952/(N_9*AJ$27*AJ3954*AJ3958))*SQRT(M*'Valve Sizing'!$W$6*'Valve Sizing'!$G$8/AJ3957)</f>
        <v>-104.16967943137546</v>
      </c>
      <c r="AK3959" s="111"/>
      <c r="AL3959" s="28"/>
      <c r="AM3959" s="96">
        <f ca="1">(AM3952/(N_9*AM$27*AM3954*AM3958))*SQRT(M*'Valve Sizing'!$W$6*'Valve Sizing'!$G$8/AM3957)</f>
        <v>-110.88994908187409</v>
      </c>
      <c r="AN3959" s="111"/>
      <c r="AO3959" s="28"/>
      <c r="AP3959" s="96">
        <f ca="1">(AP3952/(N_9*AP$27*AP3954*AP3958))*SQRT(M*'Valve Sizing'!$W$6*'Valve Sizing'!$G$8/AP3957)</f>
        <v>-71.41254000249873</v>
      </c>
      <c r="AQ3959" s="111"/>
      <c r="AR3959" s="28"/>
      <c r="AS3959" s="96">
        <f ca="1">(AS3952/(N_9*AS$27*AS3954*AS3958))*SQRT(M*'Valve Sizing'!$W$6*'Valve Sizing'!$G$8/AS3957)</f>
        <v>-335.24183658645859</v>
      </c>
      <c r="AT3959" s="111"/>
      <c r="AU3959" s="28"/>
    </row>
    <row r="3960" spans="15:47" x14ac:dyDescent="0.25">
      <c r="O3960" s="2" t="s">
        <v>59</v>
      </c>
      <c r="P3960" s="143">
        <v>7</v>
      </c>
      <c r="Q3960" s="2"/>
      <c r="R3960" s="96">
        <f ca="1">(R3952/(N_9*R$27*R3954*0.667))*SQRT(M*'Valve Sizing'!$W$6*'Valve Sizing'!$G$8/R3961)</f>
        <v>29.876833110293845</v>
      </c>
      <c r="S3960" s="107"/>
      <c r="T3960" s="22"/>
      <c r="U3960" s="96">
        <f ca="1">(U3952/(N_9*U$27*U3954*0.667))*SQRT(M*'Valve Sizing'!$W$6*'Valve Sizing'!$G$8/U3961)</f>
        <v>74.083792390780758</v>
      </c>
      <c r="V3960" s="111"/>
      <c r="W3960" s="28"/>
      <c r="X3960" s="96">
        <f ca="1">(X3952/(N_9*X$27*X3954*0.667))*SQRT(M*'Valve Sizing'!$W$6*'Valve Sizing'!$G$8/X3961)</f>
        <v>300.80188533919414</v>
      </c>
      <c r="Y3960" s="111"/>
      <c r="Z3960" s="28"/>
      <c r="AA3960" s="96">
        <f ca="1">(AA3952/(N_9*AA$27*AA3954*0.667))*SQRT(M*'Valve Sizing'!$W$6*'Valve Sizing'!$G$8/AA3961)</f>
        <v>-508.19825102708745</v>
      </c>
      <c r="AB3960" s="111"/>
      <c r="AC3960" s="28"/>
      <c r="AD3960" s="96">
        <f ca="1">(AD3952/(N_9*AD$27*AD3954*0.667))*SQRT(M*'Valve Sizing'!$W$6*'Valve Sizing'!$G$8/AD3961)</f>
        <v>-157.23223351137798</v>
      </c>
      <c r="AE3960" s="111"/>
      <c r="AF3960" s="28"/>
      <c r="AG3960" s="96">
        <f ca="1">(AG3952/(N_9*AG$27*AG3954*0.667))*SQRT(M*'Valve Sizing'!$W$6*'Valve Sizing'!$G$8/AG3961)</f>
        <v>-99.069497983948779</v>
      </c>
      <c r="AH3960" s="111"/>
      <c r="AI3960" s="28"/>
      <c r="AJ3960" s="96">
        <f ca="1">(AJ3952/(N_9*AJ$27*AJ3954*0.667))*SQRT(M*'Valve Sizing'!$W$6*'Valve Sizing'!$G$8/AJ3961)</f>
        <v>-76.054187530655582</v>
      </c>
      <c r="AK3960" s="111"/>
      <c r="AL3960" s="28"/>
      <c r="AM3960" s="96">
        <f ca="1">(AM3952/(N_9*AM$27*AM3954*0.667))*SQRT(M*'Valve Sizing'!$W$6*'Valve Sizing'!$G$8/AM3961)</f>
        <v>-68.579611991735462</v>
      </c>
      <c r="AN3960" s="111"/>
      <c r="AO3960" s="28"/>
      <c r="AP3960" s="96">
        <f ca="1">(AP3952/(N_9*AP$27*AP3954*0.667))*SQRT(M*'Valve Sizing'!$W$6*'Valve Sizing'!$G$8/AP3961)</f>
        <v>-59.733460855031559</v>
      </c>
      <c r="AQ3960" s="111"/>
      <c r="AR3960" s="28"/>
      <c r="AS3960" s="96">
        <f ca="1">(AS3952/(N_9*AS$27*AS3954*0.667))*SQRT(M*'Valve Sizing'!$W$6*'Valve Sizing'!$G$8/AS3961)</f>
        <v>-84.76147972319761</v>
      </c>
      <c r="AT3960" s="111"/>
      <c r="AU3960" s="28"/>
    </row>
    <row r="3961" spans="15:47" ht="15.6" x14ac:dyDescent="0.35">
      <c r="O3961" s="2" t="s">
        <v>68</v>
      </c>
      <c r="P3961" s="143">
        <v>10</v>
      </c>
      <c r="Q3961" s="2"/>
      <c r="R3961" s="96">
        <f ca="1">F_GAMMA*R$29</f>
        <v>0.64002969751372984</v>
      </c>
      <c r="S3961" s="107"/>
      <c r="T3961" s="1"/>
      <c r="U3961" s="96">
        <f ca="1">F_GAMMA*U$29</f>
        <v>0.64017842058782071</v>
      </c>
      <c r="V3961" s="111"/>
      <c r="W3961" s="28"/>
      <c r="X3961" s="96">
        <f ca="1">F_GAMMA*X$29</f>
        <v>0.63413873724904268</v>
      </c>
      <c r="Y3961" s="111"/>
      <c r="Z3961" s="28"/>
      <c r="AA3961" s="96">
        <f ca="1">F_GAMMA*AA$29</f>
        <v>0.62532411750377137</v>
      </c>
      <c r="AB3961" s="111"/>
      <c r="AC3961" s="28"/>
      <c r="AD3961" s="96">
        <f ca="1">F_GAMMA*AD$29</f>
        <v>0.60651359509139569</v>
      </c>
      <c r="AE3961" s="111"/>
      <c r="AF3961" s="28"/>
      <c r="AG3961" s="96">
        <f ca="1">F_GAMMA*AG$29</f>
        <v>0.57217930198481592</v>
      </c>
      <c r="AH3961" s="111"/>
      <c r="AI3961" s="28"/>
      <c r="AJ3961" s="96">
        <f ca="1">F_GAMMA*AJ$29</f>
        <v>0.53183282018848232</v>
      </c>
      <c r="AK3961" s="111"/>
      <c r="AL3961" s="28"/>
      <c r="AM3961" s="96">
        <f ca="1">F_GAMMA*AM$29</f>
        <v>0.47566512503094399</v>
      </c>
      <c r="AN3961" s="111"/>
      <c r="AO3961" s="28"/>
      <c r="AP3961" s="96">
        <f ca="1">F_GAMMA*AP$29</f>
        <v>0.59054158265645496</v>
      </c>
      <c r="AQ3961" s="111"/>
      <c r="AR3961" s="28"/>
      <c r="AS3961" s="96">
        <f ca="1">F_GAMMA*AS$29</f>
        <v>0.3766899554102966</v>
      </c>
      <c r="AT3961" s="111"/>
      <c r="AU3961" s="28"/>
    </row>
    <row r="3962" spans="15:47" x14ac:dyDescent="0.25">
      <c r="O3962" s="2" t="s">
        <v>145</v>
      </c>
      <c r="P3962" s="12"/>
      <c r="Q3962" s="2"/>
      <c r="R3962" s="96">
        <f ca="1">IF(R3957&lt;R3961,R3959,R3960)</f>
        <v>33.643546162880369</v>
      </c>
      <c r="S3962" s="116"/>
      <c r="T3962" s="1"/>
      <c r="U3962" s="96">
        <f ca="1">IF(U3957&lt;U3961,U3959,U3960)</f>
        <v>87.223896796452564</v>
      </c>
      <c r="V3962" s="111"/>
      <c r="W3962" s="28"/>
      <c r="X3962" s="96" t="e">
        <f ca="1">IF(X3957&lt;X3961,X3959,X3960)</f>
        <v>#NUM!</v>
      </c>
      <c r="Y3962" s="111"/>
      <c r="Z3962" s="28"/>
      <c r="AA3962" s="96">
        <f ca="1">IF(AA3957&lt;AA3961,AA3959,AA3960)</f>
        <v>-508.19825102708745</v>
      </c>
      <c r="AB3962" s="111"/>
      <c r="AC3962" s="28"/>
      <c r="AD3962" s="96">
        <f ca="1">IF(AD3957&lt;AD3961,AD3959,AD3960)</f>
        <v>-157.23223351137798</v>
      </c>
      <c r="AE3962" s="111"/>
      <c r="AF3962" s="28"/>
      <c r="AG3962" s="96">
        <f ca="1">IF(AG3957&lt;AG3961,AG3959,AG3960)</f>
        <v>-99.069497983948779</v>
      </c>
      <c r="AH3962" s="111"/>
      <c r="AI3962" s="28"/>
      <c r="AJ3962" s="96">
        <f ca="1">IF(AJ3957&lt;AJ3961,AJ3959,AJ3960)</f>
        <v>-76.054187530655582</v>
      </c>
      <c r="AK3962" s="111"/>
      <c r="AL3962" s="28"/>
      <c r="AM3962" s="96">
        <f ca="1">IF(AM3957&lt;AM3961,AM3959,AM3960)</f>
        <v>-68.579611991735462</v>
      </c>
      <c r="AN3962" s="111"/>
      <c r="AO3962" s="28"/>
      <c r="AP3962" s="96">
        <f ca="1">IF(AP3957&lt;AP3961,AP3959,AP3960)</f>
        <v>-59.733460855031559</v>
      </c>
      <c r="AQ3962" s="111"/>
      <c r="AR3962" s="28"/>
      <c r="AS3962" s="96">
        <f ca="1">IF(AS3957&lt;AS3961,AS3959,AS3960)</f>
        <v>-84.76147972319761</v>
      </c>
      <c r="AT3962" s="111"/>
      <c r="AU3962" s="28"/>
    </row>
    <row r="3963" spans="15:47" x14ac:dyDescent="0.25">
      <c r="O3963" s="13" t="s">
        <v>143</v>
      </c>
      <c r="P3963" s="1"/>
      <c r="Q3963" s="1"/>
      <c r="R3963" s="113"/>
      <c r="S3963" s="106">
        <f ca="1">IF(R3956&lt;=0,Q_max,ABS(R$23-R3962))</f>
        <v>28.913546162880369</v>
      </c>
      <c r="T3963" s="7">
        <f>R3952</f>
        <v>81533.250525250667</v>
      </c>
      <c r="U3963" s="98"/>
      <c r="V3963" s="106">
        <f ca="1">IF(U3956&lt;=0,Q_max,ABS(U$23-U3962))</f>
        <v>75.62389679645257</v>
      </c>
      <c r="W3963" s="9">
        <f ca="1">U3952</f>
        <v>189890.21375433204</v>
      </c>
      <c r="X3963" s="98"/>
      <c r="Y3963" s="106">
        <f ca="1">IF(X3956&lt;=0,Q_max,ABS(X$23-X3962))</f>
        <v>236393</v>
      </c>
      <c r="Z3963" s="9">
        <f ca="1">X3952</f>
        <v>464971.38199484174</v>
      </c>
      <c r="AA3963" s="98"/>
      <c r="AB3963" s="106">
        <f ca="1">IF(AA3956&lt;=0,Q_max,ABS(AA$23-AA3962))</f>
        <v>236393</v>
      </c>
      <c r="AC3963" s="9">
        <f ca="1">AA3952</f>
        <v>905645.57031336054</v>
      </c>
      <c r="AD3963" s="98"/>
      <c r="AE3963" s="106">
        <f ca="1">IF(AD3956&lt;=0,Q_max,ABS(AD$23-AD3962))</f>
        <v>236393</v>
      </c>
      <c r="AF3963" s="9">
        <f ca="1">AD3952</f>
        <v>1519391.5400867152</v>
      </c>
      <c r="AG3963" s="98"/>
      <c r="AH3963" s="106">
        <f ca="1">IF(AG3956&lt;=0,Q_max,ABS(AG$23-AG3962))</f>
        <v>236393</v>
      </c>
      <c r="AI3963" s="9">
        <f ca="1">AG3952</f>
        <v>2217593.3351199529</v>
      </c>
      <c r="AJ3963" s="98"/>
      <c r="AK3963" s="106">
        <f ca="1">IF(AJ3956&lt;=0,Q_max,ABS(AJ$23-AJ3962))</f>
        <v>236393</v>
      </c>
      <c r="AL3963" s="9">
        <f ca="1">AJ3952</f>
        <v>2959386.902367237</v>
      </c>
      <c r="AM3963" s="98"/>
      <c r="AN3963" s="106">
        <f ca="1">IF(AM3956&lt;=0,Q_max,ABS(AM$23-AM3962))</f>
        <v>236393</v>
      </c>
      <c r="AO3963" s="9">
        <f ca="1">AM3952</f>
        <v>3611014.4226209698</v>
      </c>
      <c r="AP3963" s="98"/>
      <c r="AQ3963" s="106">
        <f ca="1">IF(AP3956&lt;=0,Q_max,ABS(AP$23-AP3962))</f>
        <v>236393</v>
      </c>
      <c r="AR3963" s="9">
        <f ca="1">AP3952</f>
        <v>4192275.6420562654</v>
      </c>
      <c r="AS3963" s="98"/>
      <c r="AT3963" s="106">
        <f ca="1">IF(AS3956&lt;=0,Q_max,ABS(AS$23-AS3962))</f>
        <v>236393</v>
      </c>
      <c r="AU3963" s="9">
        <f ca="1">AS3952</f>
        <v>4915772.8915089658</v>
      </c>
    </row>
    <row r="3964" spans="15:47" x14ac:dyDescent="0.25">
      <c r="O3964" s="21"/>
      <c r="P3964" s="14"/>
      <c r="Q3964" s="21"/>
      <c r="R3964" s="97"/>
      <c r="S3964" s="106"/>
      <c r="T3964" s="28"/>
      <c r="U3964" s="97"/>
      <c r="V3964" s="111"/>
      <c r="W3964" s="28"/>
      <c r="X3964" s="97"/>
      <c r="Y3964" s="111"/>
      <c r="Z3964" s="28"/>
      <c r="AA3964" s="97"/>
      <c r="AB3964" s="111"/>
      <c r="AC3964" s="28"/>
      <c r="AD3964" s="97"/>
      <c r="AE3964" s="111"/>
      <c r="AF3964" s="28"/>
      <c r="AG3964" s="97"/>
      <c r="AH3964" s="111"/>
      <c r="AI3964" s="28"/>
      <c r="AJ3964" s="97"/>
      <c r="AK3964" s="111"/>
      <c r="AL3964" s="28"/>
      <c r="AM3964" s="97"/>
      <c r="AN3964" s="111"/>
      <c r="AO3964" s="28"/>
      <c r="AP3964" s="97"/>
      <c r="AQ3964" s="111"/>
      <c r="AR3964" s="28"/>
      <c r="AS3964" s="97"/>
      <c r="AT3964" s="111"/>
      <c r="AU3964" s="28"/>
    </row>
    <row r="3965" spans="15:47" x14ac:dyDescent="0.25">
      <c r="O3965" s="1"/>
      <c r="P3965" s="1"/>
      <c r="Q3965" s="1"/>
      <c r="R3965" s="98"/>
      <c r="S3965" s="108" t="s">
        <v>137</v>
      </c>
      <c r="T3965" s="26" t="s">
        <v>146</v>
      </c>
      <c r="U3965" s="98"/>
      <c r="V3965" s="108" t="s">
        <v>137</v>
      </c>
      <c r="W3965" s="26" t="s">
        <v>146</v>
      </c>
      <c r="X3965" s="98"/>
      <c r="Y3965" s="108" t="s">
        <v>137</v>
      </c>
      <c r="Z3965" s="26" t="s">
        <v>146</v>
      </c>
      <c r="AA3965" s="98"/>
      <c r="AB3965" s="108" t="s">
        <v>137</v>
      </c>
      <c r="AC3965" s="26" t="s">
        <v>146</v>
      </c>
      <c r="AD3965" s="98"/>
      <c r="AE3965" s="108" t="s">
        <v>137</v>
      </c>
      <c r="AF3965" s="26" t="s">
        <v>146</v>
      </c>
      <c r="AG3965" s="98"/>
      <c r="AH3965" s="108" t="s">
        <v>137</v>
      </c>
      <c r="AI3965" s="26" t="s">
        <v>146</v>
      </c>
      <c r="AJ3965" s="98"/>
      <c r="AK3965" s="108" t="s">
        <v>137</v>
      </c>
      <c r="AL3965" s="26" t="s">
        <v>146</v>
      </c>
      <c r="AM3965" s="98"/>
      <c r="AN3965" s="108" t="s">
        <v>137</v>
      </c>
      <c r="AO3965" s="26" t="s">
        <v>146</v>
      </c>
      <c r="AP3965" s="98"/>
      <c r="AQ3965" s="108" t="s">
        <v>137</v>
      </c>
      <c r="AR3965" s="26" t="s">
        <v>146</v>
      </c>
      <c r="AS3965" s="98"/>
      <c r="AT3965" s="108" t="s">
        <v>137</v>
      </c>
      <c r="AU3965" s="26" t="s">
        <v>146</v>
      </c>
    </row>
    <row r="3966" spans="15:47" ht="13.8" x14ac:dyDescent="0.25">
      <c r="O3966" s="20" t="s">
        <v>136</v>
      </c>
      <c r="P3966" s="1"/>
      <c r="Q3966" s="1"/>
      <c r="R3966" s="96">
        <f>R3952*1.02</f>
        <v>83163.915535755688</v>
      </c>
      <c r="S3966" s="109" t="s">
        <v>144</v>
      </c>
      <c r="T3966" s="23" t="s">
        <v>147</v>
      </c>
      <c r="U3966" s="96">
        <f ca="1">U3952*1.01</f>
        <v>191789.11589187535</v>
      </c>
      <c r="V3966" s="109" t="s">
        <v>144</v>
      </c>
      <c r="W3966" s="23" t="s">
        <v>147</v>
      </c>
      <c r="X3966" s="96">
        <f ca="1">X3952*1.01</f>
        <v>469621.09581479017</v>
      </c>
      <c r="Y3966" s="109" t="s">
        <v>144</v>
      </c>
      <c r="Z3966" s="23" t="s">
        <v>147</v>
      </c>
      <c r="AA3966" s="96">
        <f ca="1">AA3952*1.01</f>
        <v>914702.02601649414</v>
      </c>
      <c r="AB3966" s="109" t="s">
        <v>144</v>
      </c>
      <c r="AC3966" s="23" t="s">
        <v>147</v>
      </c>
      <c r="AD3966" s="96">
        <f ca="1">AD3952*1.01</f>
        <v>1534585.4554875824</v>
      </c>
      <c r="AE3966" s="109" t="s">
        <v>144</v>
      </c>
      <c r="AF3966" s="23" t="s">
        <v>147</v>
      </c>
      <c r="AG3966" s="96">
        <f ca="1">AG3952*1.01</f>
        <v>2239769.2684711525</v>
      </c>
      <c r="AH3966" s="109" t="s">
        <v>144</v>
      </c>
      <c r="AI3966" s="23" t="s">
        <v>147</v>
      </c>
      <c r="AJ3966" s="96">
        <f ca="1">AJ3952*1.01</f>
        <v>2988980.7713909093</v>
      </c>
      <c r="AK3966" s="109" t="s">
        <v>144</v>
      </c>
      <c r="AL3966" s="23" t="s">
        <v>147</v>
      </c>
      <c r="AM3966" s="96">
        <f ca="1">AM3952*1.01</f>
        <v>3647124.5668471796</v>
      </c>
      <c r="AN3966" s="109" t="s">
        <v>144</v>
      </c>
      <c r="AO3966" s="23" t="s">
        <v>147</v>
      </c>
      <c r="AP3966" s="96">
        <f ca="1">AP3952*1.01</f>
        <v>4234198.3984768279</v>
      </c>
      <c r="AQ3966" s="109" t="s">
        <v>144</v>
      </c>
      <c r="AR3966" s="23" t="s">
        <v>147</v>
      </c>
      <c r="AS3966" s="96">
        <f ca="1">AS3952*1.01</f>
        <v>4964930.6204240555</v>
      </c>
      <c r="AT3966" s="109" t="s">
        <v>144</v>
      </c>
      <c r="AU3966" s="23" t="s">
        <v>147</v>
      </c>
    </row>
    <row r="3967" spans="15:47" x14ac:dyDescent="0.25">
      <c r="O3967" s="1"/>
      <c r="P3967" s="1"/>
      <c r="Q3967" s="1"/>
      <c r="R3967" s="98"/>
      <c r="S3967" s="107"/>
      <c r="T3967" s="1"/>
      <c r="U3967" s="47"/>
      <c r="V3967" s="107"/>
      <c r="W3967" s="1"/>
      <c r="X3967" s="47"/>
      <c r="Y3967" s="107"/>
      <c r="Z3967" s="1"/>
      <c r="AA3967" s="47"/>
      <c r="AB3967" s="107"/>
      <c r="AC3967" s="1"/>
      <c r="AD3967" s="47"/>
      <c r="AE3967" s="107"/>
      <c r="AF3967" s="1"/>
      <c r="AG3967" s="47"/>
      <c r="AH3967" s="107"/>
      <c r="AI3967" s="1"/>
      <c r="AJ3967" s="47"/>
      <c r="AK3967" s="107"/>
      <c r="AL3967" s="1"/>
      <c r="AM3967" s="47"/>
      <c r="AN3967" s="107"/>
      <c r="AO3967" s="1"/>
      <c r="AP3967" s="47"/>
      <c r="AQ3967" s="107"/>
      <c r="AR3967" s="1"/>
      <c r="AS3967" s="47"/>
      <c r="AT3967" s="107"/>
      <c r="AU3967" s="1"/>
    </row>
    <row r="3968" spans="15:47" x14ac:dyDescent="0.25">
      <c r="O3968" s="8" t="s">
        <v>132</v>
      </c>
      <c r="P3968" s="8"/>
      <c r="Q3968" s="8"/>
      <c r="R3968" s="96">
        <f>P_1_minQ-(R3966^2*R_up)+dpup_minQ</f>
        <v>88.924480900395338</v>
      </c>
      <c r="S3968" s="106"/>
      <c r="T3968" s="22"/>
      <c r="U3968" s="96">
        <f ca="1">P_1_minQ-(U3966^2*R_up)+dpup_minQ</f>
        <v>83.48092559121838</v>
      </c>
      <c r="V3968" s="107"/>
      <c r="W3968" s="1"/>
      <c r="X3968" s="96">
        <f ca="1">P_1_minQ-(X3966^2*R_up)+dpup_minQ</f>
        <v>49.988494935761686</v>
      </c>
      <c r="Y3968" s="107"/>
      <c r="Z3968" s="1"/>
      <c r="AA3968" s="96">
        <f ca="1">P_1_minQ-(AA3966^2*R_up)+dpup_minQ</f>
        <v>-62.308981544910267</v>
      </c>
      <c r="AB3968" s="107"/>
      <c r="AC3968" s="1"/>
      <c r="AD3968" s="96">
        <f ca="1">P_1_minQ-(AD3966^2*R_up)+dpup_minQ</f>
        <v>-339.03075163561209</v>
      </c>
      <c r="AE3968" s="107"/>
      <c r="AF3968" s="1"/>
      <c r="AG3968" s="96">
        <f ca="1">P_1_minQ-(AG3966^2*R_up)+dpup_minQ</f>
        <v>-824.13891825803171</v>
      </c>
      <c r="AH3968" s="107"/>
      <c r="AI3968" s="1"/>
      <c r="AJ3968" s="96">
        <f ca="1">P_1_minQ-(AJ3966^2*R_up)+dpup_minQ</f>
        <v>-1538.135043136768</v>
      </c>
      <c r="AK3968" s="107"/>
      <c r="AL3968" s="1"/>
      <c r="AM3968" s="96">
        <f ca="1">P_1_minQ-(AM3966^2*R_up)+dpup_minQ</f>
        <v>-2334.1616787149146</v>
      </c>
      <c r="AN3968" s="107"/>
      <c r="AO3968" s="1"/>
      <c r="AP3968" s="96">
        <f ca="1">P_1_minQ-(AP3966^2*R_up)+dpup_minQ</f>
        <v>-3177.4680553952348</v>
      </c>
      <c r="AQ3968" s="107"/>
      <c r="AR3968" s="1"/>
      <c r="AS3968" s="96">
        <f ca="1">P_1_minQ-(AS3966^2*R_up)+dpup_minQ</f>
        <v>-4402.6441243857826</v>
      </c>
      <c r="AT3968" s="107"/>
      <c r="AU3968" s="1"/>
    </row>
    <row r="3969" spans="15:47" x14ac:dyDescent="0.25">
      <c r="O3969" s="8" t="s">
        <v>134</v>
      </c>
      <c r="P3969" s="1"/>
      <c r="Q3969" s="8"/>
      <c r="R3969" s="97">
        <f>P_2_minQ+(R3966^2*R_dn)-dpdn_minQ</f>
        <v>60</v>
      </c>
      <c r="S3969" s="106"/>
      <c r="T3969" s="22"/>
      <c r="U3969" s="97">
        <f ca="1">P_2_minQ+(U3966^2*R_dn)-dpdn_minQ</f>
        <v>60</v>
      </c>
      <c r="V3969" s="107"/>
      <c r="W3969" s="1"/>
      <c r="X3969" s="97">
        <f ca="1">P_2_minQ+(X3966^2*R_dn)-dpdn_minQ</f>
        <v>60</v>
      </c>
      <c r="Y3969" s="107"/>
      <c r="Z3969" s="1"/>
      <c r="AA3969" s="97">
        <f ca="1">P_2_minQ+(AA3966^2*R_dn)-dpdn_minQ</f>
        <v>60</v>
      </c>
      <c r="AB3969" s="107"/>
      <c r="AC3969" s="1"/>
      <c r="AD3969" s="97">
        <f ca="1">P_2_minQ+(AD3966^2*R_dn)-dpdn_minQ</f>
        <v>60</v>
      </c>
      <c r="AE3969" s="107"/>
      <c r="AF3969" s="1"/>
      <c r="AG3969" s="97">
        <f ca="1">P_2_minQ+(AG3966^2*R_dn)-dpdn_minQ</f>
        <v>60</v>
      </c>
      <c r="AH3969" s="107"/>
      <c r="AI3969" s="1"/>
      <c r="AJ3969" s="97">
        <f ca="1">P_2_minQ+(AJ3966^2*R_dn)-dpdn_minQ</f>
        <v>60</v>
      </c>
      <c r="AK3969" s="107"/>
      <c r="AL3969" s="1"/>
      <c r="AM3969" s="97">
        <f ca="1">P_2_minQ+(AM3966^2*R_dn)-dpdn_minQ</f>
        <v>60</v>
      </c>
      <c r="AN3969" s="107"/>
      <c r="AO3969" s="1"/>
      <c r="AP3969" s="97">
        <f ca="1">P_2_minQ+(AP3966^2*R_dn)-dpdn_minQ</f>
        <v>60</v>
      </c>
      <c r="AQ3969" s="107"/>
      <c r="AR3969" s="1"/>
      <c r="AS3969" s="97">
        <f ca="1">P_2_minQ+(AS3966^2*R_dn)-dpdn_minQ</f>
        <v>60</v>
      </c>
      <c r="AT3969" s="107"/>
      <c r="AU3969" s="1"/>
    </row>
    <row r="3970" spans="15:47" x14ac:dyDescent="0.25">
      <c r="O3970" s="8" t="s">
        <v>138</v>
      </c>
      <c r="P3970" s="1"/>
      <c r="Q3970" s="8"/>
      <c r="R3970" s="97">
        <f>R3968-R3969</f>
        <v>28.924480900395338</v>
      </c>
      <c r="S3970" s="106"/>
      <c r="T3970" s="22"/>
      <c r="U3970" s="97">
        <f ca="1">U3968-U3969</f>
        <v>23.48092559121838</v>
      </c>
      <c r="V3970" s="110"/>
      <c r="W3970" s="25"/>
      <c r="X3970" s="97">
        <f ca="1">X3968-X3969</f>
        <v>-10.011505064238314</v>
      </c>
      <c r="Y3970" s="110"/>
      <c r="Z3970" s="25"/>
      <c r="AA3970" s="97">
        <f ca="1">AA3968-AA3969</f>
        <v>-122.30898154491027</v>
      </c>
      <c r="AB3970" s="110"/>
      <c r="AC3970" s="25"/>
      <c r="AD3970" s="97">
        <f ca="1">AD3968-AD3969</f>
        <v>-399.03075163561209</v>
      </c>
      <c r="AE3970" s="110"/>
      <c r="AF3970" s="25"/>
      <c r="AG3970" s="97">
        <f ca="1">AG3968-AG3969</f>
        <v>-884.13891825803171</v>
      </c>
      <c r="AH3970" s="110"/>
      <c r="AI3970" s="25"/>
      <c r="AJ3970" s="97">
        <f ca="1">AJ3968-AJ3969</f>
        <v>-1598.135043136768</v>
      </c>
      <c r="AK3970" s="110"/>
      <c r="AL3970" s="25"/>
      <c r="AM3970" s="97">
        <f ca="1">AM3968-AM3969</f>
        <v>-2394.1616787149146</v>
      </c>
      <c r="AN3970" s="110"/>
      <c r="AO3970" s="25"/>
      <c r="AP3970" s="97">
        <f ca="1">AP3968-AP3969</f>
        <v>-3237.4680553952348</v>
      </c>
      <c r="AQ3970" s="110"/>
      <c r="AR3970" s="25"/>
      <c r="AS3970" s="97">
        <f ca="1">AS3968-AS3969</f>
        <v>-4462.6441243857826</v>
      </c>
      <c r="AT3970" s="110"/>
      <c r="AU3970" s="25"/>
    </row>
    <row r="3971" spans="15:47" ht="14.4" x14ac:dyDescent="0.3">
      <c r="O3971" s="2" t="s">
        <v>140</v>
      </c>
      <c r="P3971" s="11"/>
      <c r="Q3971" s="2"/>
      <c r="R3971" s="96">
        <f>R3970/R3968</f>
        <v>0.32527016865910935</v>
      </c>
      <c r="S3971" s="106"/>
      <c r="T3971" s="22"/>
      <c r="U3971" s="96">
        <f ca="1">U3970/U3968</f>
        <v>0.28127294259047375</v>
      </c>
      <c r="V3971" s="111"/>
      <c r="W3971" s="28"/>
      <c r="X3971" s="96">
        <f ca="1">X3970/X3968</f>
        <v>-0.20027618509226411</v>
      </c>
      <c r="Y3971" s="111"/>
      <c r="Z3971" s="28"/>
      <c r="AA3971" s="96">
        <f ca="1">AA3970/AA3968</f>
        <v>1.962943038264138</v>
      </c>
      <c r="AB3971" s="111"/>
      <c r="AC3971" s="28"/>
      <c r="AD3971" s="96">
        <f ca="1">AD3970/AD3968</f>
        <v>1.1769750965378136</v>
      </c>
      <c r="AE3971" s="111"/>
      <c r="AF3971" s="28"/>
      <c r="AG3971" s="96">
        <f ca="1">AG3970/AG3968</f>
        <v>1.0728032600703059</v>
      </c>
      <c r="AH3971" s="111"/>
      <c r="AI3971" s="28"/>
      <c r="AJ3971" s="96">
        <f ca="1">AJ3970/AJ3968</f>
        <v>1.0390082784133441</v>
      </c>
      <c r="AK3971" s="111"/>
      <c r="AL3971" s="28"/>
      <c r="AM3971" s="96">
        <f ca="1">AM3970/AM3968</f>
        <v>1.0257051602496676</v>
      </c>
      <c r="AN3971" s="111"/>
      <c r="AO3971" s="28"/>
      <c r="AP3971" s="96">
        <f ca="1">AP3970/AP3968</f>
        <v>1.018882959310361</v>
      </c>
      <c r="AQ3971" s="111"/>
      <c r="AR3971" s="28"/>
      <c r="AS3971" s="96">
        <f ca="1">AS3970/AS3968</f>
        <v>1.0136281739574784</v>
      </c>
      <c r="AT3971" s="111"/>
      <c r="AU3971" s="28"/>
    </row>
    <row r="3972" spans="15:47" x14ac:dyDescent="0.25">
      <c r="O3972" s="2" t="s">
        <v>21</v>
      </c>
      <c r="P3972" s="8">
        <v>12</v>
      </c>
      <c r="Q3972" s="2"/>
      <c r="R3972" s="96">
        <f ca="1">1-R3971/(3*F_GAMMA*R$29)</f>
        <v>0.83059631455505922</v>
      </c>
      <c r="S3972" s="106"/>
      <c r="T3972" s="22"/>
      <c r="U3972" s="96">
        <f ca="1">1-U3971/(3*F_GAMMA*U$29)</f>
        <v>0.85354450491463252</v>
      </c>
      <c r="V3972" s="111"/>
      <c r="W3972" s="28"/>
      <c r="X3972" s="96">
        <f ca="1">1-X3971/(3*F_GAMMA*X$29)</f>
        <v>1.1052746417190882</v>
      </c>
      <c r="Y3972" s="111"/>
      <c r="Z3972" s="28"/>
      <c r="AA3972" s="96">
        <f ca="1">1-AA3971/(3*F_GAMMA*AA$29)</f>
        <v>-4.636032382694677E-2</v>
      </c>
      <c r="AB3972" s="111"/>
      <c r="AC3972" s="28"/>
      <c r="AD3972" s="96">
        <f ca="1">1-AD3971/(3*F_GAMMA*AD$29)</f>
        <v>0.35314717534047746</v>
      </c>
      <c r="AE3972" s="111"/>
      <c r="AF3972" s="28"/>
      <c r="AG3972" s="96">
        <f ca="1">1-AG3971/(3*F_GAMMA*AG$29)</f>
        <v>0.37501918463385497</v>
      </c>
      <c r="AH3972" s="111"/>
      <c r="AI3972" s="28"/>
      <c r="AJ3972" s="96">
        <f ca="1">1-AJ3971/(3*F_GAMMA*AJ$29)</f>
        <v>0.3487876647370014</v>
      </c>
      <c r="AK3972" s="111"/>
      <c r="AL3972" s="28"/>
      <c r="AM3972" s="96">
        <f ca="1">1-AM3971/(3*F_GAMMA*AM$29)</f>
        <v>0.28121339553539804</v>
      </c>
      <c r="AN3972" s="111"/>
      <c r="AO3972" s="28"/>
      <c r="AP3972" s="96">
        <f ca="1">1-AP3971/(3*F_GAMMA*AP$29)</f>
        <v>0.42488782656812396</v>
      </c>
      <c r="AQ3972" s="111"/>
      <c r="AR3972" s="28"/>
      <c r="AS3972" s="96">
        <f ca="1">1-AS3971/(3*F_GAMMA*AS$29)</f>
        <v>0.10303937460236712</v>
      </c>
      <c r="AT3972" s="111"/>
      <c r="AU3972" s="28"/>
    </row>
    <row r="3973" spans="15:47" x14ac:dyDescent="0.25">
      <c r="O3973" s="2" t="s">
        <v>57</v>
      </c>
      <c r="P3973" s="143">
        <v>7</v>
      </c>
      <c r="Q3973" s="2"/>
      <c r="R3973" s="96">
        <f ca="1">(R3966/(N_9*R$27*R3968*R3972))*SQRT(M*'Valve Sizing'!$W$6*'Valve Sizing'!$G$8/R3971)</f>
        <v>34.346896945038601</v>
      </c>
      <c r="S3973" s="107"/>
      <c r="T3973" s="22"/>
      <c r="U3973" s="96">
        <f ca="1">(U3966/(N_9*U$27*U3968*U3972))*SQRT(M*'Valve Sizing'!$W$6*'Valve Sizing'!$G$8/U3971)</f>
        <v>88.352216787675857</v>
      </c>
      <c r="V3973" s="111"/>
      <c r="W3973" s="28"/>
      <c r="X3973" s="96" t="e">
        <f ca="1">(X3966/(N_9*X$27*X3968*X3972))*SQRT(M*'Valve Sizing'!$W$6*'Valve Sizing'!$G$8/X3971)</f>
        <v>#NUM!</v>
      </c>
      <c r="Y3973" s="111"/>
      <c r="Z3973" s="28"/>
      <c r="AA3973" s="96">
        <f ca="1">(AA3966/(N_9*AA$27*AA3968*AA3972))*SQRT(M*'Valve Sizing'!$W$6*'Valve Sizing'!$G$8/AA3971)</f>
        <v>3967.0511126014644</v>
      </c>
      <c r="AB3973" s="111"/>
      <c r="AC3973" s="28"/>
      <c r="AD3973" s="96">
        <f ca="1">(AD3966/(N_9*AD$27*AD3968*AD3972))*SQRT(M*'Valve Sizing'!$W$6*'Valve Sizing'!$G$8/AD3971)</f>
        <v>-209.94166519173447</v>
      </c>
      <c r="AE3973" s="111"/>
      <c r="AF3973" s="28"/>
      <c r="AG3973" s="96">
        <f ca="1">(AG3966/(N_9*AG$27*AG3968*AG3972))*SQRT(M*'Valve Sizing'!$W$6*'Valve Sizing'!$G$8/AG3971)</f>
        <v>-127.12784065792603</v>
      </c>
      <c r="AH3973" s="111"/>
      <c r="AI3973" s="28"/>
      <c r="AJ3973" s="96">
        <f ca="1">(AJ3966/(N_9*AJ$27*AJ3968*AJ3972))*SQRT(M*'Valve Sizing'!$W$6*'Valve Sizing'!$G$8/AJ3971)</f>
        <v>-102.90403682436246</v>
      </c>
      <c r="AK3973" s="111"/>
      <c r="AL3973" s="28"/>
      <c r="AM3973" s="96">
        <f ca="1">(AM3966/(N_9*AM$27*AM3968*AM3972))*SQRT(M*'Valve Sizing'!$W$6*'Valve Sizing'!$G$8/AM3971)</f>
        <v>-109.58862016883918</v>
      </c>
      <c r="AN3973" s="111"/>
      <c r="AO3973" s="28"/>
      <c r="AP3973" s="96">
        <f ca="1">(AP3966/(N_9*AP$27*AP3968*AP3972))*SQRT(M*'Valve Sizing'!$W$6*'Valve Sizing'!$G$8/AP3971)</f>
        <v>-70.64202008568509</v>
      </c>
      <c r="AQ3973" s="111"/>
      <c r="AR3973" s="28"/>
      <c r="AS3973" s="96">
        <f ca="1">(AS3966/(N_9*AS$27*AS3968*AS3972))*SQRT(M*'Valve Sizing'!$W$6*'Valve Sizing'!$G$8/AS3971)</f>
        <v>-331.03476721501733</v>
      </c>
      <c r="AT3973" s="111"/>
      <c r="AU3973" s="28"/>
    </row>
    <row r="3974" spans="15:47" x14ac:dyDescent="0.25">
      <c r="O3974" s="2" t="s">
        <v>59</v>
      </c>
      <c r="P3974" s="143">
        <v>7</v>
      </c>
      <c r="Q3974" s="2"/>
      <c r="R3974" s="96">
        <f ca="1">(R3966/(N_9*R$27*R3968*0.667))*SQRT(M*'Valve Sizing'!$W$6*'Valve Sizing'!$G$8/R3975)</f>
        <v>30.491144590244449</v>
      </c>
      <c r="S3974" s="107"/>
      <c r="T3974" s="22"/>
      <c r="U3974" s="96">
        <f ca="1">(U3966/(N_9*U$27*U3968*0.667))*SQRT(M*'Valve Sizing'!$W$6*'Valve Sizing'!$G$8/U3975)</f>
        <v>74.94303041913146</v>
      </c>
      <c r="V3974" s="111"/>
      <c r="W3974" s="28"/>
      <c r="X3974" s="96">
        <f ca="1">(X3966/(N_9*X$27*X3968*0.667))*SQRT(M*'Valve Sizing'!$W$6*'Valve Sizing'!$G$8/X3975)</f>
        <v>308.62354753392174</v>
      </c>
      <c r="Y3974" s="111"/>
      <c r="Z3974" s="28"/>
      <c r="AA3974" s="96">
        <f ca="1">(AA3966/(N_9*AA$27*AA3968*0.667))*SQRT(M*'Valve Sizing'!$W$6*'Valve Sizing'!$G$8/AA3975)</f>
        <v>-488.52824950007528</v>
      </c>
      <c r="AB3974" s="111"/>
      <c r="AC3974" s="28"/>
      <c r="AD3974" s="96">
        <f ca="1">(AD3966/(N_9*AD$27*AD3968*0.667))*SQRT(M*'Valve Sizing'!$W$6*'Valve Sizing'!$G$8/AD3975)</f>
        <v>-154.84311780778762</v>
      </c>
      <c r="AE3974" s="111"/>
      <c r="AF3974" s="28"/>
      <c r="AG3974" s="96">
        <f ca="1">(AG3966/(N_9*AG$27*AG3968*0.667))*SQRT(M*'Valve Sizing'!$W$6*'Valve Sizing'!$G$8/AG3975)</f>
        <v>-97.872862897085369</v>
      </c>
      <c r="AH3974" s="111"/>
      <c r="AI3974" s="28"/>
      <c r="AJ3974" s="96">
        <f ca="1">(AJ3966/(N_9*AJ$27*AJ3968*0.667))*SQRT(M*'Valve Sizing'!$W$6*'Valve Sizing'!$G$8/AJ3975)</f>
        <v>-75.212432007319308</v>
      </c>
      <c r="AK3974" s="111"/>
      <c r="AL3974" s="28"/>
      <c r="AM3974" s="96">
        <f ca="1">(AM3966/(N_9*AM$27*AM3968*0.667))*SQRT(M*'Valve Sizing'!$W$6*'Valve Sizing'!$G$8/AM3975)</f>
        <v>-67.847874049708835</v>
      </c>
      <c r="AN3974" s="111"/>
      <c r="AO3974" s="28"/>
      <c r="AP3974" s="96">
        <f ca="1">(AP3966/(N_9*AP$27*AP3968*0.667))*SQRT(M*'Valve Sizing'!$W$6*'Valve Sizing'!$G$8/AP3975)</f>
        <v>-59.10830040431216</v>
      </c>
      <c r="AQ3974" s="111"/>
      <c r="AR3974" s="28"/>
      <c r="AS3974" s="96">
        <f ca="1">(AS3966/(N_9*AS$27*AS3968*0.667))*SQRT(M*'Valve Sizing'!$W$6*'Valve Sizing'!$G$8/AS3975)</f>
        <v>-83.887703485254278</v>
      </c>
      <c r="AT3974" s="111"/>
      <c r="AU3974" s="28"/>
    </row>
    <row r="3975" spans="15:47" ht="15.6" x14ac:dyDescent="0.35">
      <c r="O3975" s="2" t="s">
        <v>68</v>
      </c>
      <c r="P3975" s="143">
        <v>10</v>
      </c>
      <c r="Q3975" s="2"/>
      <c r="R3975" s="96">
        <f ca="1">F_GAMMA*R$29</f>
        <v>0.64002969751372984</v>
      </c>
      <c r="S3975" s="107"/>
      <c r="T3975" s="1"/>
      <c r="U3975" s="96">
        <f ca="1">F_GAMMA*U$29</f>
        <v>0.64017842058782071</v>
      </c>
      <c r="V3975" s="111"/>
      <c r="W3975" s="28"/>
      <c r="X3975" s="96">
        <f ca="1">F_GAMMA*X$29</f>
        <v>0.63413873724904268</v>
      </c>
      <c r="Y3975" s="111"/>
      <c r="Z3975" s="28"/>
      <c r="AA3975" s="96">
        <f ca="1">F_GAMMA*AA$29</f>
        <v>0.62532411750377137</v>
      </c>
      <c r="AB3975" s="111"/>
      <c r="AC3975" s="28"/>
      <c r="AD3975" s="96">
        <f ca="1">F_GAMMA*AD$29</f>
        <v>0.60651359509139569</v>
      </c>
      <c r="AE3975" s="111"/>
      <c r="AF3975" s="28"/>
      <c r="AG3975" s="96">
        <f ca="1">F_GAMMA*AG$29</f>
        <v>0.57217930198481592</v>
      </c>
      <c r="AH3975" s="111"/>
      <c r="AI3975" s="28"/>
      <c r="AJ3975" s="96">
        <f ca="1">F_GAMMA*AJ$29</f>
        <v>0.53183282018848232</v>
      </c>
      <c r="AK3975" s="111"/>
      <c r="AL3975" s="28"/>
      <c r="AM3975" s="96">
        <f ca="1">F_GAMMA*AM$29</f>
        <v>0.47566512503094399</v>
      </c>
      <c r="AN3975" s="111"/>
      <c r="AO3975" s="28"/>
      <c r="AP3975" s="96">
        <f ca="1">F_GAMMA*AP$29</f>
        <v>0.59054158265645496</v>
      </c>
      <c r="AQ3975" s="111"/>
      <c r="AR3975" s="28"/>
      <c r="AS3975" s="96">
        <f ca="1">F_GAMMA*AS$29</f>
        <v>0.3766899554102966</v>
      </c>
      <c r="AT3975" s="111"/>
      <c r="AU3975" s="28"/>
    </row>
    <row r="3976" spans="15:47" x14ac:dyDescent="0.25">
      <c r="O3976" s="2" t="s">
        <v>145</v>
      </c>
      <c r="P3976" s="12"/>
      <c r="Q3976" s="2"/>
      <c r="R3976" s="96">
        <f ca="1">IF(R3971&lt;R3975,R3973,R3974)</f>
        <v>34.346896945038601</v>
      </c>
      <c r="S3976" s="116"/>
      <c r="T3976" s="1"/>
      <c r="U3976" s="96">
        <f ca="1">IF(U3971&lt;U3975,U3973,U3974)</f>
        <v>88.352216787675857</v>
      </c>
      <c r="V3976" s="111"/>
      <c r="W3976" s="28"/>
      <c r="X3976" s="96" t="e">
        <f ca="1">IF(X3971&lt;X3975,X3973,X3974)</f>
        <v>#NUM!</v>
      </c>
      <c r="Y3976" s="111"/>
      <c r="Z3976" s="28"/>
      <c r="AA3976" s="96">
        <f ca="1">IF(AA3971&lt;AA3975,AA3973,AA3974)</f>
        <v>-488.52824950007528</v>
      </c>
      <c r="AB3976" s="111"/>
      <c r="AC3976" s="28"/>
      <c r="AD3976" s="96">
        <f ca="1">IF(AD3971&lt;AD3975,AD3973,AD3974)</f>
        <v>-154.84311780778762</v>
      </c>
      <c r="AE3976" s="111"/>
      <c r="AF3976" s="28"/>
      <c r="AG3976" s="96">
        <f ca="1">IF(AG3971&lt;AG3975,AG3973,AG3974)</f>
        <v>-97.872862897085369</v>
      </c>
      <c r="AH3976" s="111"/>
      <c r="AI3976" s="28"/>
      <c r="AJ3976" s="96">
        <f ca="1">IF(AJ3971&lt;AJ3975,AJ3973,AJ3974)</f>
        <v>-75.212432007319308</v>
      </c>
      <c r="AK3976" s="111"/>
      <c r="AL3976" s="28"/>
      <c r="AM3976" s="96">
        <f ca="1">IF(AM3971&lt;AM3975,AM3973,AM3974)</f>
        <v>-67.847874049708835</v>
      </c>
      <c r="AN3976" s="111"/>
      <c r="AO3976" s="28"/>
      <c r="AP3976" s="96">
        <f ca="1">IF(AP3971&lt;AP3975,AP3973,AP3974)</f>
        <v>-59.10830040431216</v>
      </c>
      <c r="AQ3976" s="111"/>
      <c r="AR3976" s="28"/>
      <c r="AS3976" s="96">
        <f ca="1">IF(AS3971&lt;AS3975,AS3973,AS3974)</f>
        <v>-83.887703485254278</v>
      </c>
      <c r="AT3976" s="111"/>
      <c r="AU3976" s="28"/>
    </row>
    <row r="3977" spans="15:47" x14ac:dyDescent="0.25">
      <c r="O3977" s="13" t="s">
        <v>143</v>
      </c>
      <c r="P3977" s="1"/>
      <c r="Q3977" s="1"/>
      <c r="R3977" s="113"/>
      <c r="S3977" s="106">
        <f ca="1">IF(R3970&lt;=0,Q_max,ABS(R$23-R3976))</f>
        <v>29.616896945038601</v>
      </c>
      <c r="T3977" s="7">
        <f>R3966</f>
        <v>83163.915535755688</v>
      </c>
      <c r="U3977" s="98"/>
      <c r="V3977" s="106">
        <f ca="1">IF(U3970&lt;=0,Q_max,ABS(U$23-U3976))</f>
        <v>76.752216787675863</v>
      </c>
      <c r="W3977" s="9">
        <f ca="1">U3966</f>
        <v>191789.11589187535</v>
      </c>
      <c r="X3977" s="98"/>
      <c r="Y3977" s="106">
        <f ca="1">IF(X3970&lt;=0,Q_max,ABS(X$23-X3976))</f>
        <v>236393</v>
      </c>
      <c r="Z3977" s="9">
        <f ca="1">X3966</f>
        <v>469621.09581479017</v>
      </c>
      <c r="AA3977" s="98"/>
      <c r="AB3977" s="106">
        <f ca="1">IF(AA3970&lt;=0,Q_max,ABS(AA$23-AA3976))</f>
        <v>236393</v>
      </c>
      <c r="AC3977" s="9">
        <f ca="1">AA3966</f>
        <v>914702.02601649414</v>
      </c>
      <c r="AD3977" s="98"/>
      <c r="AE3977" s="106">
        <f ca="1">IF(AD3970&lt;=0,Q_max,ABS(AD$23-AD3976))</f>
        <v>236393</v>
      </c>
      <c r="AF3977" s="9">
        <f ca="1">AD3966</f>
        <v>1534585.4554875824</v>
      </c>
      <c r="AG3977" s="98"/>
      <c r="AH3977" s="106">
        <f ca="1">IF(AG3970&lt;=0,Q_max,ABS(AG$23-AG3976))</f>
        <v>236393</v>
      </c>
      <c r="AI3977" s="9">
        <f ca="1">AG3966</f>
        <v>2239769.2684711525</v>
      </c>
      <c r="AJ3977" s="98"/>
      <c r="AK3977" s="106">
        <f ca="1">IF(AJ3970&lt;=0,Q_max,ABS(AJ$23-AJ3976))</f>
        <v>236393</v>
      </c>
      <c r="AL3977" s="9">
        <f ca="1">AJ3966</f>
        <v>2988980.7713909093</v>
      </c>
      <c r="AM3977" s="98"/>
      <c r="AN3977" s="106">
        <f ca="1">IF(AM3970&lt;=0,Q_max,ABS(AM$23-AM3976))</f>
        <v>236393</v>
      </c>
      <c r="AO3977" s="9">
        <f ca="1">AM3966</f>
        <v>3647124.5668471796</v>
      </c>
      <c r="AP3977" s="98"/>
      <c r="AQ3977" s="106">
        <f ca="1">IF(AP3970&lt;=0,Q_max,ABS(AP$23-AP3976))</f>
        <v>236393</v>
      </c>
      <c r="AR3977" s="9">
        <f ca="1">AP3966</f>
        <v>4234198.3984768279</v>
      </c>
      <c r="AS3977" s="98"/>
      <c r="AT3977" s="106">
        <f ca="1">IF(AS3970&lt;=0,Q_max,ABS(AS$23-AS3976))</f>
        <v>236393</v>
      </c>
      <c r="AU3977" s="9">
        <f ca="1">AS3966</f>
        <v>4964930.6204240555</v>
      </c>
    </row>
    <row r="3978" spans="15:47" ht="13.8" x14ac:dyDescent="0.25">
      <c r="O3978" s="21"/>
      <c r="P3978" s="21"/>
      <c r="Q3978" s="21"/>
      <c r="R3978" s="114"/>
      <c r="S3978" s="117"/>
      <c r="T3978" s="25"/>
      <c r="U3978" s="97"/>
      <c r="V3978" s="111"/>
      <c r="W3978" s="28"/>
      <c r="X3978" s="97"/>
      <c r="Y3978" s="111"/>
      <c r="Z3978" s="28"/>
      <c r="AA3978" s="97"/>
      <c r="AB3978" s="111"/>
      <c r="AC3978" s="28"/>
      <c r="AD3978" s="97"/>
      <c r="AE3978" s="111"/>
      <c r="AF3978" s="28"/>
      <c r="AG3978" s="97"/>
      <c r="AH3978" s="111"/>
      <c r="AI3978" s="28"/>
      <c r="AJ3978" s="97"/>
      <c r="AK3978" s="111"/>
      <c r="AL3978" s="28"/>
      <c r="AM3978" s="97"/>
      <c r="AN3978" s="111"/>
      <c r="AO3978" s="28"/>
      <c r="AP3978" s="97"/>
      <c r="AQ3978" s="111"/>
      <c r="AR3978" s="28"/>
      <c r="AS3978" s="97"/>
      <c r="AT3978" s="111"/>
      <c r="AU3978" s="28"/>
    </row>
    <row r="3979" spans="15:47" x14ac:dyDescent="0.25">
      <c r="O3979" s="1"/>
      <c r="P3979" s="1"/>
      <c r="Q3979" s="1"/>
      <c r="R3979" s="98"/>
      <c r="S3979" s="108" t="s">
        <v>137</v>
      </c>
      <c r="T3979" s="26" t="s">
        <v>146</v>
      </c>
      <c r="U3979" s="98"/>
      <c r="V3979" s="108" t="s">
        <v>137</v>
      </c>
      <c r="W3979" s="26" t="s">
        <v>146</v>
      </c>
      <c r="X3979" s="98"/>
      <c r="Y3979" s="108" t="s">
        <v>137</v>
      </c>
      <c r="Z3979" s="26" t="s">
        <v>146</v>
      </c>
      <c r="AA3979" s="98"/>
      <c r="AB3979" s="108" t="s">
        <v>137</v>
      </c>
      <c r="AC3979" s="26" t="s">
        <v>146</v>
      </c>
      <c r="AD3979" s="98"/>
      <c r="AE3979" s="108" t="s">
        <v>137</v>
      </c>
      <c r="AF3979" s="26" t="s">
        <v>146</v>
      </c>
      <c r="AG3979" s="98"/>
      <c r="AH3979" s="108" t="s">
        <v>137</v>
      </c>
      <c r="AI3979" s="26" t="s">
        <v>146</v>
      </c>
      <c r="AJ3979" s="98"/>
      <c r="AK3979" s="108" t="s">
        <v>137</v>
      </c>
      <c r="AL3979" s="26" t="s">
        <v>146</v>
      </c>
      <c r="AM3979" s="98"/>
      <c r="AN3979" s="108" t="s">
        <v>137</v>
      </c>
      <c r="AO3979" s="26" t="s">
        <v>146</v>
      </c>
      <c r="AP3979" s="98"/>
      <c r="AQ3979" s="108" t="s">
        <v>137</v>
      </c>
      <c r="AR3979" s="26" t="s">
        <v>146</v>
      </c>
      <c r="AS3979" s="98"/>
      <c r="AT3979" s="108" t="s">
        <v>137</v>
      </c>
      <c r="AU3979" s="26" t="s">
        <v>146</v>
      </c>
    </row>
    <row r="3980" spans="15:47" ht="13.8" x14ac:dyDescent="0.25">
      <c r="O3980" s="20" t="s">
        <v>136</v>
      </c>
      <c r="P3980" s="1"/>
      <c r="Q3980" s="1"/>
      <c r="R3980" s="96">
        <f>R3966*1.02</f>
        <v>84827.193846470807</v>
      </c>
      <c r="S3980" s="109" t="s">
        <v>144</v>
      </c>
      <c r="T3980" s="23" t="s">
        <v>147</v>
      </c>
      <c r="U3980" s="96">
        <f ca="1">U3966*1.01</f>
        <v>193707.00705079411</v>
      </c>
      <c r="V3980" s="109" t="s">
        <v>144</v>
      </c>
      <c r="W3980" s="23" t="s">
        <v>147</v>
      </c>
      <c r="X3980" s="96">
        <f ca="1">X3966*1.01</f>
        <v>474317.30677293806</v>
      </c>
      <c r="Y3980" s="109" t="s">
        <v>144</v>
      </c>
      <c r="Z3980" s="23" t="s">
        <v>147</v>
      </c>
      <c r="AA3980" s="96">
        <f ca="1">AA3966*1.01</f>
        <v>923849.04627665912</v>
      </c>
      <c r="AB3980" s="109" t="s">
        <v>144</v>
      </c>
      <c r="AC3980" s="23" t="s">
        <v>147</v>
      </c>
      <c r="AD3980" s="96">
        <f ca="1">AD3966*1.01</f>
        <v>1549931.3100424581</v>
      </c>
      <c r="AE3980" s="109" t="s">
        <v>144</v>
      </c>
      <c r="AF3980" s="23" t="s">
        <v>147</v>
      </c>
      <c r="AG3980" s="96">
        <f ca="1">AG3966*1.01</f>
        <v>2262166.9611558639</v>
      </c>
      <c r="AH3980" s="109" t="s">
        <v>144</v>
      </c>
      <c r="AI3980" s="23" t="s">
        <v>147</v>
      </c>
      <c r="AJ3980" s="96">
        <f ca="1">AJ3966*1.01</f>
        <v>3018870.5791048184</v>
      </c>
      <c r="AK3980" s="109" t="s">
        <v>144</v>
      </c>
      <c r="AL3980" s="23" t="s">
        <v>147</v>
      </c>
      <c r="AM3980" s="96">
        <f ca="1">AM3966*1.01</f>
        <v>3683595.8125156513</v>
      </c>
      <c r="AN3980" s="109" t="s">
        <v>144</v>
      </c>
      <c r="AO3980" s="23" t="s">
        <v>147</v>
      </c>
      <c r="AP3980" s="96">
        <f ca="1">AP3966*1.01</f>
        <v>4276540.3824615963</v>
      </c>
      <c r="AQ3980" s="109" t="s">
        <v>144</v>
      </c>
      <c r="AR3980" s="23" t="s">
        <v>147</v>
      </c>
      <c r="AS3980" s="96">
        <f ca="1">AS3966*1.01</f>
        <v>5014579.9266282963</v>
      </c>
      <c r="AT3980" s="109" t="s">
        <v>144</v>
      </c>
      <c r="AU3980" s="23" t="s">
        <v>147</v>
      </c>
    </row>
    <row r="3981" spans="15:47" x14ac:dyDescent="0.25">
      <c r="O3981" s="1"/>
      <c r="P3981" s="1"/>
      <c r="Q3981" s="1"/>
      <c r="R3981" s="98"/>
      <c r="S3981" s="107"/>
      <c r="T3981" s="1"/>
      <c r="U3981" s="47"/>
      <c r="V3981" s="107"/>
      <c r="W3981" s="1"/>
      <c r="X3981" s="47"/>
      <c r="Y3981" s="107"/>
      <c r="Z3981" s="1"/>
      <c r="AA3981" s="47"/>
      <c r="AB3981" s="107"/>
      <c r="AC3981" s="1"/>
      <c r="AD3981" s="47"/>
      <c r="AE3981" s="107"/>
      <c r="AF3981" s="1"/>
      <c r="AG3981" s="47"/>
      <c r="AH3981" s="107"/>
      <c r="AI3981" s="1"/>
      <c r="AJ3981" s="47"/>
      <c r="AK3981" s="107"/>
      <c r="AL3981" s="1"/>
      <c r="AM3981" s="47"/>
      <c r="AN3981" s="107"/>
      <c r="AO3981" s="1"/>
      <c r="AP3981" s="47"/>
      <c r="AQ3981" s="107"/>
      <c r="AR3981" s="1"/>
      <c r="AS3981" s="47"/>
      <c r="AT3981" s="107"/>
      <c r="AU3981" s="1"/>
    </row>
    <row r="3982" spans="15:47" x14ac:dyDescent="0.25">
      <c r="O3982" s="8" t="s">
        <v>132</v>
      </c>
      <c r="P3982" s="8"/>
      <c r="Q3982" s="8"/>
      <c r="R3982" s="96">
        <f>P_1_minQ-(R3980^2*R_up)+dpup_minQ</f>
        <v>88.873554291348981</v>
      </c>
      <c r="S3982" s="106"/>
      <c r="T3982" s="22"/>
      <c r="U3982" s="96">
        <f ca="1">P_1_minQ-(U3980^2*R_up)+dpup_minQ</f>
        <v>83.34617288094374</v>
      </c>
      <c r="V3982" s="107"/>
      <c r="W3982" s="1"/>
      <c r="X3982" s="96">
        <f ca="1">P_1_minQ-(X3980^2*R_up)+dpup_minQ</f>
        <v>49.180544369312365</v>
      </c>
      <c r="Y3982" s="107"/>
      <c r="Z3982" s="1"/>
      <c r="AA3982" s="96">
        <f ca="1">P_1_minQ-(AA3980^2*R_up)+dpup_minQ</f>
        <v>-65.374111388621117</v>
      </c>
      <c r="AB3982" s="107"/>
      <c r="AC3982" s="1"/>
      <c r="AD3982" s="96">
        <f ca="1">P_1_minQ-(AD3980^2*R_up)+dpup_minQ</f>
        <v>-347.65798905814603</v>
      </c>
      <c r="AE3982" s="107"/>
      <c r="AF3982" s="1"/>
      <c r="AG3982" s="96">
        <f ca="1">P_1_minQ-(AG3980^2*R_up)+dpup_minQ</f>
        <v>-842.51682982967623</v>
      </c>
      <c r="AH3982" s="107"/>
      <c r="AI3982" s="1"/>
      <c r="AJ3982" s="96">
        <f ca="1">P_1_minQ-(AJ3980^2*R_up)+dpup_minQ</f>
        <v>-1570.8642768184752</v>
      </c>
      <c r="AK3982" s="107"/>
      <c r="AL3982" s="1"/>
      <c r="AM3982" s="96">
        <f ca="1">P_1_minQ-(AM3980^2*R_up)+dpup_minQ</f>
        <v>-2382.8910477717427</v>
      </c>
      <c r="AN3982" s="107"/>
      <c r="AO3982" s="1"/>
      <c r="AP3982" s="96">
        <f ca="1">P_1_minQ-(AP3980^2*R_up)+dpup_minQ</f>
        <v>-3243.1478826233374</v>
      </c>
      <c r="AQ3982" s="107"/>
      <c r="AR3982" s="1"/>
      <c r="AS3982" s="96">
        <f ca="1">P_1_minQ-(AS3980^2*R_up)+dpup_minQ</f>
        <v>-4492.9499906005949</v>
      </c>
      <c r="AT3982" s="107"/>
      <c r="AU3982" s="1"/>
    </row>
    <row r="3983" spans="15:47" x14ac:dyDescent="0.25">
      <c r="O3983" s="8" t="s">
        <v>134</v>
      </c>
      <c r="P3983" s="1"/>
      <c r="Q3983" s="8"/>
      <c r="R3983" s="97">
        <f>P_2_minQ+(R3980^2*R_dn)-dpdn_minQ</f>
        <v>60</v>
      </c>
      <c r="S3983" s="106"/>
      <c r="T3983" s="22"/>
      <c r="U3983" s="97">
        <f ca="1">P_2_minQ+(U3980^2*R_dn)-dpdn_minQ</f>
        <v>60</v>
      </c>
      <c r="V3983" s="107"/>
      <c r="W3983" s="1"/>
      <c r="X3983" s="97">
        <f ca="1">P_2_minQ+(X3980^2*R_dn)-dpdn_minQ</f>
        <v>60</v>
      </c>
      <c r="Y3983" s="107"/>
      <c r="Z3983" s="1"/>
      <c r="AA3983" s="97">
        <f ca="1">P_2_minQ+(AA3980^2*R_dn)-dpdn_minQ</f>
        <v>60</v>
      </c>
      <c r="AB3983" s="107"/>
      <c r="AC3983" s="1"/>
      <c r="AD3983" s="97">
        <f ca="1">P_2_minQ+(AD3980^2*R_dn)-dpdn_minQ</f>
        <v>60</v>
      </c>
      <c r="AE3983" s="107"/>
      <c r="AF3983" s="1"/>
      <c r="AG3983" s="97">
        <f ca="1">P_2_minQ+(AG3980^2*R_dn)-dpdn_minQ</f>
        <v>60</v>
      </c>
      <c r="AH3983" s="107"/>
      <c r="AI3983" s="1"/>
      <c r="AJ3983" s="97">
        <f ca="1">P_2_minQ+(AJ3980^2*R_dn)-dpdn_minQ</f>
        <v>60</v>
      </c>
      <c r="AK3983" s="107"/>
      <c r="AL3983" s="1"/>
      <c r="AM3983" s="97">
        <f ca="1">P_2_minQ+(AM3980^2*R_dn)-dpdn_minQ</f>
        <v>60</v>
      </c>
      <c r="AN3983" s="107"/>
      <c r="AO3983" s="1"/>
      <c r="AP3983" s="97">
        <f ca="1">P_2_minQ+(AP3980^2*R_dn)-dpdn_minQ</f>
        <v>60</v>
      </c>
      <c r="AQ3983" s="107"/>
      <c r="AR3983" s="1"/>
      <c r="AS3983" s="97">
        <f ca="1">P_2_minQ+(AS3980^2*R_dn)-dpdn_minQ</f>
        <v>60</v>
      </c>
      <c r="AT3983" s="107"/>
      <c r="AU3983" s="1"/>
    </row>
    <row r="3984" spans="15:47" x14ac:dyDescent="0.25">
      <c r="O3984" s="8" t="s">
        <v>138</v>
      </c>
      <c r="P3984" s="1"/>
      <c r="Q3984" s="8"/>
      <c r="R3984" s="97">
        <f>R3982-R3983</f>
        <v>28.873554291348981</v>
      </c>
      <c r="S3984" s="106"/>
      <c r="T3984" s="22"/>
      <c r="U3984" s="97">
        <f ca="1">U3982-U3983</f>
        <v>23.34617288094374</v>
      </c>
      <c r="V3984" s="110"/>
      <c r="W3984" s="25"/>
      <c r="X3984" s="97">
        <f ca="1">X3982-X3983</f>
        <v>-10.819455630687635</v>
      </c>
      <c r="Y3984" s="110"/>
      <c r="Z3984" s="25"/>
      <c r="AA3984" s="97">
        <f ca="1">AA3982-AA3983</f>
        <v>-125.37411138862112</v>
      </c>
      <c r="AB3984" s="110"/>
      <c r="AC3984" s="25"/>
      <c r="AD3984" s="97">
        <f ca="1">AD3982-AD3983</f>
        <v>-407.65798905814603</v>
      </c>
      <c r="AE3984" s="110"/>
      <c r="AF3984" s="25"/>
      <c r="AG3984" s="97">
        <f ca="1">AG3982-AG3983</f>
        <v>-902.51682982967623</v>
      </c>
      <c r="AH3984" s="110"/>
      <c r="AI3984" s="25"/>
      <c r="AJ3984" s="97">
        <f ca="1">AJ3982-AJ3983</f>
        <v>-1630.8642768184752</v>
      </c>
      <c r="AK3984" s="110"/>
      <c r="AL3984" s="25"/>
      <c r="AM3984" s="97">
        <f ca="1">AM3982-AM3983</f>
        <v>-2442.8910477717427</v>
      </c>
      <c r="AN3984" s="110"/>
      <c r="AO3984" s="25"/>
      <c r="AP3984" s="97">
        <f ca="1">AP3982-AP3983</f>
        <v>-3303.1478826233374</v>
      </c>
      <c r="AQ3984" s="110"/>
      <c r="AR3984" s="25"/>
      <c r="AS3984" s="97">
        <f ca="1">AS3982-AS3983</f>
        <v>-4552.9499906005949</v>
      </c>
      <c r="AT3984" s="110"/>
      <c r="AU3984" s="25"/>
    </row>
    <row r="3985" spans="15:47" ht="14.4" x14ac:dyDescent="0.3">
      <c r="O3985" s="2" t="s">
        <v>140</v>
      </c>
      <c r="P3985" s="11"/>
      <c r="Q3985" s="2"/>
      <c r="R3985" s="96">
        <f>R3984/R3982</f>
        <v>0.32488353280768423</v>
      </c>
      <c r="S3985" s="106"/>
      <c r="T3985" s="22"/>
      <c r="U3985" s="96">
        <f ca="1">U3984/U3982</f>
        <v>0.280110916601926</v>
      </c>
      <c r="V3985" s="111"/>
      <c r="W3985" s="28"/>
      <c r="X3985" s="96">
        <f ca="1">X3984/X3982</f>
        <v>-0.21999462936890041</v>
      </c>
      <c r="Y3985" s="111"/>
      <c r="Z3985" s="28"/>
      <c r="AA3985" s="96">
        <f ca="1">AA3984/AA3982</f>
        <v>1.9177945019141549</v>
      </c>
      <c r="AB3985" s="111"/>
      <c r="AC3985" s="28"/>
      <c r="AD3985" s="96">
        <f ca="1">AD3984/AD3982</f>
        <v>1.172583406360223</v>
      </c>
      <c r="AE3985" s="111"/>
      <c r="AF3985" s="28"/>
      <c r="AG3985" s="96">
        <f ca="1">AG3984/AG3982</f>
        <v>1.0712151946117558</v>
      </c>
      <c r="AH3985" s="111"/>
      <c r="AI3985" s="28"/>
      <c r="AJ3985" s="96">
        <f ca="1">AJ3984/AJ3982</f>
        <v>1.0381955340670934</v>
      </c>
      <c r="AK3985" s="111"/>
      <c r="AL3985" s="28"/>
      <c r="AM3985" s="96">
        <f ca="1">AM3984/AM3982</f>
        <v>1.0251794978440607</v>
      </c>
      <c r="AN3985" s="111"/>
      <c r="AO3985" s="28"/>
      <c r="AP3985" s="96">
        <f ca="1">AP3984/AP3982</f>
        <v>1.0185005439688637</v>
      </c>
      <c r="AQ3985" s="111"/>
      <c r="AR3985" s="28"/>
      <c r="AS3985" s="96">
        <f ca="1">AS3984/AS3982</f>
        <v>1.0133542550274368</v>
      </c>
      <c r="AT3985" s="111"/>
      <c r="AU3985" s="28"/>
    </row>
    <row r="3986" spans="15:47" x14ac:dyDescent="0.25">
      <c r="O3986" s="2" t="s">
        <v>21</v>
      </c>
      <c r="P3986" s="8">
        <v>12</v>
      </c>
      <c r="Q3986" s="2"/>
      <c r="R3986" s="96">
        <f ca="1">1-R3985/(3*F_GAMMA*R$29)</f>
        <v>0.83079767805060079</v>
      </c>
      <c r="S3986" s="106"/>
      <c r="T3986" s="22"/>
      <c r="U3986" s="96">
        <f ca="1">1-U3985/(3*F_GAMMA*U$29)</f>
        <v>0.85414955810562709</v>
      </c>
      <c r="V3986" s="111"/>
      <c r="W3986" s="28"/>
      <c r="X3986" s="96">
        <f ca="1">1-X3985/(3*F_GAMMA*X$29)</f>
        <v>1.1156395892814976</v>
      </c>
      <c r="Y3986" s="111"/>
      <c r="Z3986" s="28"/>
      <c r="AA3986" s="96">
        <f ca="1">1-AA3985/(3*F_GAMMA*AA$29)</f>
        <v>-2.2293585162305174E-2</v>
      </c>
      <c r="AB3986" s="111"/>
      <c r="AC3986" s="28"/>
      <c r="AD3986" s="96">
        <f ca="1">1-AD3985/(3*F_GAMMA*AD$29)</f>
        <v>0.3555608009173995</v>
      </c>
      <c r="AE3986" s="111"/>
      <c r="AF3986" s="28"/>
      <c r="AG3986" s="96">
        <f ca="1">1-AG3985/(3*F_GAMMA*AG$29)</f>
        <v>0.37594434070121663</v>
      </c>
      <c r="AH3986" s="111"/>
      <c r="AI3986" s="28"/>
      <c r="AJ3986" s="96">
        <f ca="1">1-AJ3985/(3*F_GAMMA*AJ$29)</f>
        <v>0.34929706312649444</v>
      </c>
      <c r="AK3986" s="111"/>
      <c r="AL3986" s="28"/>
      <c r="AM3986" s="96">
        <f ca="1">1-AM3985/(3*F_GAMMA*AM$29)</f>
        <v>0.28158176561898907</v>
      </c>
      <c r="AN3986" s="111"/>
      <c r="AO3986" s="28"/>
      <c r="AP3986" s="96">
        <f ca="1">1-AP3985/(3*F_GAMMA*AP$29)</f>
        <v>0.42510368229148499</v>
      </c>
      <c r="AQ3986" s="111"/>
      <c r="AR3986" s="28"/>
      <c r="AS3986" s="96">
        <f ca="1">1-AS3985/(3*F_GAMMA*AS$29)</f>
        <v>0.10328176574846071</v>
      </c>
      <c r="AT3986" s="111"/>
      <c r="AU3986" s="28"/>
    </row>
    <row r="3987" spans="15:47" x14ac:dyDescent="0.25">
      <c r="O3987" s="2" t="s">
        <v>57</v>
      </c>
      <c r="P3987" s="143">
        <v>7</v>
      </c>
      <c r="Q3987" s="2"/>
      <c r="R3987" s="96">
        <f ca="1">(R3980/(N_9*R$27*R3982*R3986))*SQRT(M*'Valve Sizing'!$W$6*'Valve Sizing'!$G$8/R3985)</f>
        <v>35.066261078242377</v>
      </c>
      <c r="S3987" s="107"/>
      <c r="T3987" s="22"/>
      <c r="U3987" s="96">
        <f ca="1">(U3980/(N_9*U$27*U3982*U3986))*SQRT(M*'Valve Sizing'!$W$6*'Valve Sizing'!$G$8/U3985)</f>
        <v>89.501770942527898</v>
      </c>
      <c r="V3987" s="111"/>
      <c r="W3987" s="28"/>
      <c r="X3987" s="96" t="e">
        <f ca="1">(X3980/(N_9*X$27*X3982*X3986))*SQRT(M*'Valve Sizing'!$W$6*'Valve Sizing'!$G$8/X3985)</f>
        <v>#NUM!</v>
      </c>
      <c r="Y3987" s="111"/>
      <c r="Z3987" s="28"/>
      <c r="AA3987" s="96">
        <f ca="1">(AA3980/(N_9*AA$27*AA3982*AA3986))*SQRT(M*'Valve Sizing'!$W$6*'Valve Sizing'!$G$8/AA3985)</f>
        <v>8034.3987690753856</v>
      </c>
      <c r="AB3987" s="111"/>
      <c r="AC3987" s="28"/>
      <c r="AD3987" s="96">
        <f ca="1">(AD3980/(N_9*AD$27*AD3982*AD3986))*SQRT(M*'Valve Sizing'!$W$6*'Valve Sizing'!$G$8/AD3985)</f>
        <v>-205.75979379319784</v>
      </c>
      <c r="AE3987" s="111"/>
      <c r="AF3987" s="28"/>
      <c r="AG3987" s="96">
        <f ca="1">(AG3980/(N_9*AG$27*AG3982*AG3986))*SQRT(M*'Valve Sizing'!$W$6*'Valve Sizing'!$G$8/AG3985)</f>
        <v>-125.38208753001335</v>
      </c>
      <c r="AH3987" s="111"/>
      <c r="AI3987" s="28"/>
      <c r="AJ3987" s="96">
        <f ca="1">(AJ3980/(N_9*AJ$27*AJ3982*AJ3986))*SQRT(M*'Valve Sizing'!$W$6*'Valve Sizing'!$G$8/AJ3985)</f>
        <v>-101.65896831167636</v>
      </c>
      <c r="AK3987" s="111"/>
      <c r="AL3987" s="28"/>
      <c r="AM3987" s="96">
        <f ca="1">(AM3980/(N_9*AM$27*AM3982*AM3986))*SQRT(M*'Valve Sizing'!$W$6*'Valve Sizing'!$G$8/AM3985)</f>
        <v>-108.30696153106861</v>
      </c>
      <c r="AN3987" s="111"/>
      <c r="AO3987" s="28"/>
      <c r="AP3987" s="96">
        <f ca="1">(AP3980/(N_9*AP$27*AP3982*AP3986))*SQRT(M*'Valve Sizing'!$W$6*'Valve Sizing'!$G$8/AP3985)</f>
        <v>-69.881120921297253</v>
      </c>
      <c r="AQ3987" s="111"/>
      <c r="AR3987" s="28"/>
      <c r="AS3987" s="96">
        <f ca="1">(AS3980/(N_9*AS$27*AS3982*AS3986))*SQRT(M*'Valve Sizing'!$W$6*'Valve Sizing'!$G$8/AS3985)</f>
        <v>-326.90023152722188</v>
      </c>
      <c r="AT3987" s="111"/>
      <c r="AU3987" s="28"/>
    </row>
    <row r="3988" spans="15:47" x14ac:dyDescent="0.25">
      <c r="O3988" s="2" t="s">
        <v>59</v>
      </c>
      <c r="P3988" s="143">
        <v>7</v>
      </c>
      <c r="Q3988" s="2"/>
      <c r="R3988" s="96">
        <f ca="1">(R3980/(N_9*R$27*R3982*0.667))*SQRT(M*'Valve Sizing'!$W$6*'Valve Sizing'!$G$8/R3989)</f>
        <v>31.118789058158804</v>
      </c>
      <c r="S3988" s="107"/>
      <c r="T3988" s="22"/>
      <c r="U3988" s="96">
        <f ca="1">(U3980/(N_9*U$27*U3982*0.667))*SQRT(M*'Valve Sizing'!$W$6*'Valve Sizing'!$G$8/U3989)</f>
        <v>75.814839038694203</v>
      </c>
      <c r="V3988" s="111"/>
      <c r="W3988" s="28"/>
      <c r="X3988" s="96">
        <f ca="1">(X3980/(N_9*X$27*X3982*0.667))*SQRT(M*'Valve Sizing'!$W$6*'Valve Sizing'!$G$8/X3989)</f>
        <v>316.83063107997225</v>
      </c>
      <c r="Y3988" s="111"/>
      <c r="Z3988" s="28"/>
      <c r="AA3988" s="96">
        <f ca="1">(AA3980/(N_9*AA$27*AA3982*0.667))*SQRT(M*'Valve Sizing'!$W$6*'Valve Sizing'!$G$8/AA3989)</f>
        <v>-470.27935074068841</v>
      </c>
      <c r="AB3988" s="111"/>
      <c r="AC3988" s="28"/>
      <c r="AD3988" s="96">
        <f ca="1">(AD3980/(N_9*AD$27*AD3982*0.667))*SQRT(M*'Valve Sizing'!$W$6*'Valve Sizing'!$G$8/AD3989)</f>
        <v>-152.51064572333974</v>
      </c>
      <c r="AE3988" s="111"/>
      <c r="AF3988" s="28"/>
      <c r="AG3988" s="96">
        <f ca="1">(AG3980/(N_9*AG$27*AG3982*0.667))*SQRT(M*'Valve Sizing'!$W$6*'Valve Sizing'!$G$8/AG3989)</f>
        <v>-96.695330970229165</v>
      </c>
      <c r="AH3988" s="111"/>
      <c r="AI3988" s="28"/>
      <c r="AJ3988" s="96">
        <f ca="1">(AJ3980/(N_9*AJ$27*AJ3982*0.667))*SQRT(M*'Valve Sizing'!$W$6*'Valve Sizing'!$G$8/AJ3989)</f>
        <v>-74.38182142644871</v>
      </c>
      <c r="AK3988" s="111"/>
      <c r="AL3988" s="28"/>
      <c r="AM3988" s="96">
        <f ca="1">(AM3980/(N_9*AM$27*AM3982*0.667))*SQRT(M*'Valve Sizing'!$W$6*'Valve Sizing'!$G$8/AM3989)</f>
        <v>-67.125010526423068</v>
      </c>
      <c r="AN3988" s="111"/>
      <c r="AO3988" s="28"/>
      <c r="AP3988" s="96">
        <f ca="1">(AP3980/(N_9*AP$27*AP3982*0.667))*SQRT(M*'Valve Sizing'!$W$6*'Valve Sizing'!$G$8/AP3989)</f>
        <v>-58.490358926649151</v>
      </c>
      <c r="AQ3988" s="111"/>
      <c r="AR3988" s="28"/>
      <c r="AS3988" s="96">
        <f ca="1">(AS3980/(N_9*AS$27*AS3982*0.667))*SQRT(M*'Valve Sizing'!$W$6*'Valve Sizing'!$G$8/AS3989)</f>
        <v>-83.023622049326136</v>
      </c>
      <c r="AT3988" s="111"/>
      <c r="AU3988" s="28"/>
    </row>
    <row r="3989" spans="15:47" ht="15.6" x14ac:dyDescent="0.35">
      <c r="O3989" s="2" t="s">
        <v>68</v>
      </c>
      <c r="P3989" s="143">
        <v>10</v>
      </c>
      <c r="Q3989" s="2"/>
      <c r="R3989" s="96">
        <f ca="1">F_GAMMA*R$29</f>
        <v>0.64002969751372984</v>
      </c>
      <c r="S3989" s="107"/>
      <c r="T3989" s="1"/>
      <c r="U3989" s="96">
        <f ca="1">F_GAMMA*U$29</f>
        <v>0.64017842058782071</v>
      </c>
      <c r="V3989" s="111"/>
      <c r="W3989" s="28"/>
      <c r="X3989" s="96">
        <f ca="1">F_GAMMA*X$29</f>
        <v>0.63413873724904268</v>
      </c>
      <c r="Y3989" s="111"/>
      <c r="Z3989" s="28"/>
      <c r="AA3989" s="96">
        <f ca="1">F_GAMMA*AA$29</f>
        <v>0.62532411750377137</v>
      </c>
      <c r="AB3989" s="111"/>
      <c r="AC3989" s="28"/>
      <c r="AD3989" s="96">
        <f ca="1">F_GAMMA*AD$29</f>
        <v>0.60651359509139569</v>
      </c>
      <c r="AE3989" s="111"/>
      <c r="AF3989" s="28"/>
      <c r="AG3989" s="96">
        <f ca="1">F_GAMMA*AG$29</f>
        <v>0.57217930198481592</v>
      </c>
      <c r="AH3989" s="111"/>
      <c r="AI3989" s="28"/>
      <c r="AJ3989" s="96">
        <f ca="1">F_GAMMA*AJ$29</f>
        <v>0.53183282018848232</v>
      </c>
      <c r="AK3989" s="111"/>
      <c r="AL3989" s="28"/>
      <c r="AM3989" s="96">
        <f ca="1">F_GAMMA*AM$29</f>
        <v>0.47566512503094399</v>
      </c>
      <c r="AN3989" s="111"/>
      <c r="AO3989" s="28"/>
      <c r="AP3989" s="96">
        <f ca="1">F_GAMMA*AP$29</f>
        <v>0.59054158265645496</v>
      </c>
      <c r="AQ3989" s="111"/>
      <c r="AR3989" s="28"/>
      <c r="AS3989" s="96">
        <f ca="1">F_GAMMA*AS$29</f>
        <v>0.3766899554102966</v>
      </c>
      <c r="AT3989" s="111"/>
      <c r="AU3989" s="28"/>
    </row>
    <row r="3990" spans="15:47" x14ac:dyDescent="0.25">
      <c r="O3990" s="2" t="s">
        <v>145</v>
      </c>
      <c r="P3990" s="12"/>
      <c r="Q3990" s="2"/>
      <c r="R3990" s="96">
        <f ca="1">IF(R3985&lt;R3989,R3987,R3988)</f>
        <v>35.066261078242377</v>
      </c>
      <c r="S3990" s="116"/>
      <c r="T3990" s="1"/>
      <c r="U3990" s="96">
        <f ca="1">IF(U3985&lt;U3989,U3987,U3988)</f>
        <v>89.501770942527898</v>
      </c>
      <c r="V3990" s="111"/>
      <c r="W3990" s="28"/>
      <c r="X3990" s="96" t="e">
        <f ca="1">IF(X3985&lt;X3989,X3987,X3988)</f>
        <v>#NUM!</v>
      </c>
      <c r="Y3990" s="111"/>
      <c r="Z3990" s="28"/>
      <c r="AA3990" s="96">
        <f ca="1">IF(AA3985&lt;AA3989,AA3987,AA3988)</f>
        <v>-470.27935074068841</v>
      </c>
      <c r="AB3990" s="111"/>
      <c r="AC3990" s="28"/>
      <c r="AD3990" s="96">
        <f ca="1">IF(AD3985&lt;AD3989,AD3987,AD3988)</f>
        <v>-152.51064572333974</v>
      </c>
      <c r="AE3990" s="111"/>
      <c r="AF3990" s="28"/>
      <c r="AG3990" s="96">
        <f ca="1">IF(AG3985&lt;AG3989,AG3987,AG3988)</f>
        <v>-96.695330970229165</v>
      </c>
      <c r="AH3990" s="111"/>
      <c r="AI3990" s="28"/>
      <c r="AJ3990" s="96">
        <f ca="1">IF(AJ3985&lt;AJ3989,AJ3987,AJ3988)</f>
        <v>-74.38182142644871</v>
      </c>
      <c r="AK3990" s="111"/>
      <c r="AL3990" s="28"/>
      <c r="AM3990" s="96">
        <f ca="1">IF(AM3985&lt;AM3989,AM3987,AM3988)</f>
        <v>-67.125010526423068</v>
      </c>
      <c r="AN3990" s="111"/>
      <c r="AO3990" s="28"/>
      <c r="AP3990" s="96">
        <f ca="1">IF(AP3985&lt;AP3989,AP3987,AP3988)</f>
        <v>-58.490358926649151</v>
      </c>
      <c r="AQ3990" s="111"/>
      <c r="AR3990" s="28"/>
      <c r="AS3990" s="96">
        <f ca="1">IF(AS3985&lt;AS3989,AS3987,AS3988)</f>
        <v>-83.023622049326136</v>
      </c>
      <c r="AT3990" s="111"/>
      <c r="AU3990" s="28"/>
    </row>
    <row r="3991" spans="15:47" x14ac:dyDescent="0.25">
      <c r="O3991" s="13" t="s">
        <v>143</v>
      </c>
      <c r="P3991" s="1"/>
      <c r="Q3991" s="1"/>
      <c r="R3991" s="113"/>
      <c r="S3991" s="106">
        <f ca="1">IF(R3984&lt;=0,Q_max,ABS(R$23-R3990))</f>
        <v>30.336261078242376</v>
      </c>
      <c r="T3991" s="7">
        <f>R3980</f>
        <v>84827.193846470807</v>
      </c>
      <c r="U3991" s="98"/>
      <c r="V3991" s="106">
        <f ca="1">IF(U3984&lt;=0,Q_max,ABS(U$23-U3990))</f>
        <v>77.901770942527904</v>
      </c>
      <c r="W3991" s="9">
        <f ca="1">U3980</f>
        <v>193707.00705079411</v>
      </c>
      <c r="X3991" s="98"/>
      <c r="Y3991" s="106">
        <f ca="1">IF(X3984&lt;=0,Q_max,ABS(X$23-X3990))</f>
        <v>236393</v>
      </c>
      <c r="Z3991" s="9">
        <f ca="1">X3980</f>
        <v>474317.30677293806</v>
      </c>
      <c r="AA3991" s="98"/>
      <c r="AB3991" s="106">
        <f ca="1">IF(AA3984&lt;=0,Q_max,ABS(AA$23-AA3990))</f>
        <v>236393</v>
      </c>
      <c r="AC3991" s="9">
        <f ca="1">AA3980</f>
        <v>923849.04627665912</v>
      </c>
      <c r="AD3991" s="98"/>
      <c r="AE3991" s="106">
        <f ca="1">IF(AD3984&lt;=0,Q_max,ABS(AD$23-AD3990))</f>
        <v>236393</v>
      </c>
      <c r="AF3991" s="9">
        <f ca="1">AD3980</f>
        <v>1549931.3100424581</v>
      </c>
      <c r="AG3991" s="98"/>
      <c r="AH3991" s="106">
        <f ca="1">IF(AG3984&lt;=0,Q_max,ABS(AG$23-AG3990))</f>
        <v>236393</v>
      </c>
      <c r="AI3991" s="9">
        <f ca="1">AG3980</f>
        <v>2262166.9611558639</v>
      </c>
      <c r="AJ3991" s="98"/>
      <c r="AK3991" s="106">
        <f ca="1">IF(AJ3984&lt;=0,Q_max,ABS(AJ$23-AJ3990))</f>
        <v>236393</v>
      </c>
      <c r="AL3991" s="9">
        <f ca="1">AJ3980</f>
        <v>3018870.5791048184</v>
      </c>
      <c r="AM3991" s="98"/>
      <c r="AN3991" s="106">
        <f ca="1">IF(AM3984&lt;=0,Q_max,ABS(AM$23-AM3990))</f>
        <v>236393</v>
      </c>
      <c r="AO3991" s="9">
        <f ca="1">AM3980</f>
        <v>3683595.8125156513</v>
      </c>
      <c r="AP3991" s="98"/>
      <c r="AQ3991" s="106">
        <f ca="1">IF(AP3984&lt;=0,Q_max,ABS(AP$23-AP3990))</f>
        <v>236393</v>
      </c>
      <c r="AR3991" s="9">
        <f ca="1">AP3980</f>
        <v>4276540.3824615963</v>
      </c>
      <c r="AS3991" s="98"/>
      <c r="AT3991" s="106">
        <f ca="1">IF(AS3984&lt;=0,Q_max,ABS(AS$23-AS3990))</f>
        <v>236393</v>
      </c>
      <c r="AU3991" s="9">
        <f ca="1">AS3980</f>
        <v>5014579.9266282963</v>
      </c>
    </row>
    <row r="3992" spans="15:47" x14ac:dyDescent="0.25">
      <c r="O3992" s="21"/>
      <c r="P3992" s="14"/>
      <c r="Q3992" s="21"/>
      <c r="R3992" s="97"/>
      <c r="S3992" s="106"/>
      <c r="T3992" s="28"/>
      <c r="U3992" s="97"/>
      <c r="V3992" s="111"/>
      <c r="W3992" s="28"/>
      <c r="X3992" s="97"/>
      <c r="Y3992" s="111"/>
      <c r="Z3992" s="28"/>
      <c r="AA3992" s="97"/>
      <c r="AB3992" s="111"/>
      <c r="AC3992" s="28"/>
      <c r="AD3992" s="97"/>
      <c r="AE3992" s="111"/>
      <c r="AF3992" s="28"/>
      <c r="AG3992" s="97"/>
      <c r="AH3992" s="111"/>
      <c r="AI3992" s="28"/>
      <c r="AJ3992" s="97"/>
      <c r="AK3992" s="111"/>
      <c r="AL3992" s="28"/>
      <c r="AM3992" s="97"/>
      <c r="AN3992" s="111"/>
      <c r="AO3992" s="28"/>
      <c r="AP3992" s="97"/>
      <c r="AQ3992" s="111"/>
      <c r="AR3992" s="28"/>
      <c r="AS3992" s="97"/>
      <c r="AT3992" s="111"/>
      <c r="AU3992" s="28"/>
    </row>
    <row r="3993" spans="15:47" x14ac:dyDescent="0.25">
      <c r="O3993" s="1"/>
      <c r="P3993" s="1"/>
      <c r="Q3993" s="1"/>
      <c r="R3993" s="98"/>
      <c r="S3993" s="108" t="s">
        <v>137</v>
      </c>
      <c r="T3993" s="26" t="s">
        <v>146</v>
      </c>
      <c r="U3993" s="98"/>
      <c r="V3993" s="108" t="s">
        <v>137</v>
      </c>
      <c r="W3993" s="26" t="s">
        <v>146</v>
      </c>
      <c r="X3993" s="98"/>
      <c r="Y3993" s="108" t="s">
        <v>137</v>
      </c>
      <c r="Z3993" s="26" t="s">
        <v>146</v>
      </c>
      <c r="AA3993" s="98"/>
      <c r="AB3993" s="108" t="s">
        <v>137</v>
      </c>
      <c r="AC3993" s="26" t="s">
        <v>146</v>
      </c>
      <c r="AD3993" s="98"/>
      <c r="AE3993" s="108" t="s">
        <v>137</v>
      </c>
      <c r="AF3993" s="26" t="s">
        <v>146</v>
      </c>
      <c r="AG3993" s="98"/>
      <c r="AH3993" s="108" t="s">
        <v>137</v>
      </c>
      <c r="AI3993" s="26" t="s">
        <v>146</v>
      </c>
      <c r="AJ3993" s="98"/>
      <c r="AK3993" s="108" t="s">
        <v>137</v>
      </c>
      <c r="AL3993" s="26" t="s">
        <v>146</v>
      </c>
      <c r="AM3993" s="98"/>
      <c r="AN3993" s="108" t="s">
        <v>137</v>
      </c>
      <c r="AO3993" s="26" t="s">
        <v>146</v>
      </c>
      <c r="AP3993" s="98"/>
      <c r="AQ3993" s="108" t="s">
        <v>137</v>
      </c>
      <c r="AR3993" s="26" t="s">
        <v>146</v>
      </c>
      <c r="AS3993" s="98"/>
      <c r="AT3993" s="108" t="s">
        <v>137</v>
      </c>
      <c r="AU3993" s="26" t="s">
        <v>146</v>
      </c>
    </row>
    <row r="3994" spans="15:47" ht="13.8" x14ac:dyDescent="0.25">
      <c r="O3994" s="20" t="s">
        <v>136</v>
      </c>
      <c r="P3994" s="1"/>
      <c r="Q3994" s="1"/>
      <c r="R3994" s="96">
        <f>R3980*1.02</f>
        <v>86523.73772340022</v>
      </c>
      <c r="S3994" s="109" t="s">
        <v>144</v>
      </c>
      <c r="T3994" s="23" t="s">
        <v>147</v>
      </c>
      <c r="U3994" s="96">
        <f ca="1">U3980*1.01</f>
        <v>195644.07712130205</v>
      </c>
      <c r="V3994" s="109" t="s">
        <v>144</v>
      </c>
      <c r="W3994" s="23" t="s">
        <v>147</v>
      </c>
      <c r="X3994" s="96">
        <f ca="1">X3980*1.01</f>
        <v>479060.47984066745</v>
      </c>
      <c r="Y3994" s="109" t="s">
        <v>144</v>
      </c>
      <c r="Z3994" s="23" t="s">
        <v>147</v>
      </c>
      <c r="AA3994" s="96">
        <f ca="1">AA3980*1.01</f>
        <v>933087.53673942573</v>
      </c>
      <c r="AB3994" s="109" t="s">
        <v>144</v>
      </c>
      <c r="AC3994" s="23" t="s">
        <v>147</v>
      </c>
      <c r="AD3994" s="96">
        <f ca="1">AD3980*1.01</f>
        <v>1565430.6231428827</v>
      </c>
      <c r="AE3994" s="109" t="s">
        <v>144</v>
      </c>
      <c r="AF3994" s="23" t="s">
        <v>147</v>
      </c>
      <c r="AG3994" s="96">
        <f ca="1">AG3980*1.01</f>
        <v>2284788.6307674227</v>
      </c>
      <c r="AH3994" s="109" t="s">
        <v>144</v>
      </c>
      <c r="AI3994" s="23" t="s">
        <v>147</v>
      </c>
      <c r="AJ3994" s="96">
        <f ca="1">AJ3980*1.01</f>
        <v>3049059.2848958666</v>
      </c>
      <c r="AK3994" s="109" t="s">
        <v>144</v>
      </c>
      <c r="AL3994" s="23" t="s">
        <v>147</v>
      </c>
      <c r="AM3994" s="96">
        <f ca="1">AM3980*1.01</f>
        <v>3720431.7706408077</v>
      </c>
      <c r="AN3994" s="109" t="s">
        <v>144</v>
      </c>
      <c r="AO3994" s="23" t="s">
        <v>147</v>
      </c>
      <c r="AP3994" s="96">
        <f ca="1">AP3980*1.01</f>
        <v>4319305.7862862125</v>
      </c>
      <c r="AQ3994" s="109" t="s">
        <v>144</v>
      </c>
      <c r="AR3994" s="23" t="s">
        <v>147</v>
      </c>
      <c r="AS3994" s="96">
        <f ca="1">AS3980*1.01</f>
        <v>5064725.7258945797</v>
      </c>
      <c r="AT3994" s="109" t="s">
        <v>144</v>
      </c>
      <c r="AU3994" s="23" t="s">
        <v>147</v>
      </c>
    </row>
    <row r="3995" spans="15:47" x14ac:dyDescent="0.25">
      <c r="O3995" s="1"/>
      <c r="P3995" s="1"/>
      <c r="Q3995" s="1"/>
      <c r="R3995" s="98"/>
      <c r="S3995" s="107"/>
      <c r="T3995" s="1"/>
      <c r="U3995" s="47"/>
      <c r="V3995" s="107"/>
      <c r="W3995" s="1"/>
      <c r="X3995" s="47"/>
      <c r="Y3995" s="107"/>
      <c r="Z3995" s="1"/>
      <c r="AA3995" s="47"/>
      <c r="AB3995" s="107"/>
      <c r="AC3995" s="1"/>
      <c r="AD3995" s="47"/>
      <c r="AE3995" s="107"/>
      <c r="AF3995" s="1"/>
      <c r="AG3995" s="47"/>
      <c r="AH3995" s="107"/>
      <c r="AI3995" s="1"/>
      <c r="AJ3995" s="47"/>
      <c r="AK3995" s="107"/>
      <c r="AL3995" s="1"/>
      <c r="AM3995" s="47"/>
      <c r="AN3995" s="107"/>
      <c r="AO3995" s="1"/>
      <c r="AP3995" s="47"/>
      <c r="AQ3995" s="107"/>
      <c r="AR3995" s="1"/>
      <c r="AS3995" s="47"/>
      <c r="AT3995" s="107"/>
      <c r="AU3995" s="1"/>
    </row>
    <row r="3996" spans="15:47" x14ac:dyDescent="0.25">
      <c r="O3996" s="8" t="s">
        <v>132</v>
      </c>
      <c r="P3996" s="8"/>
      <c r="Q3996" s="8"/>
      <c r="R3996" s="96">
        <f>P_1_minQ-(R3994^2*R_up)+dpup_minQ</f>
        <v>88.820570247297169</v>
      </c>
      <c r="S3996" s="106"/>
      <c r="T3996" s="22"/>
      <c r="U3996" s="96">
        <f ca="1">P_1_minQ-(U3994^2*R_up)+dpup_minQ</f>
        <v>83.208711641192565</v>
      </c>
      <c r="V3996" s="107"/>
      <c r="W3996" s="1"/>
      <c r="X3996" s="96">
        <f ca="1">P_1_minQ-(X3994^2*R_up)+dpup_minQ</f>
        <v>48.356353996477409</v>
      </c>
      <c r="Y3996" s="107"/>
      <c r="Z3996" s="1"/>
      <c r="AA3996" s="96">
        <f ca="1">P_1_minQ-(AA3994^2*R_up)+dpup_minQ</f>
        <v>-68.500850342190546</v>
      </c>
      <c r="AB3996" s="107"/>
      <c r="AC3996" s="1"/>
      <c r="AD3996" s="96">
        <f ca="1">P_1_minQ-(AD3994^2*R_up)+dpup_minQ</f>
        <v>-356.45863395287284</v>
      </c>
      <c r="AE3996" s="107"/>
      <c r="AF3996" s="1"/>
      <c r="AG3996" s="96">
        <f ca="1">P_1_minQ-(AG3994^2*R_up)+dpup_minQ</f>
        <v>-861.26413742391094</v>
      </c>
      <c r="AH3996" s="107"/>
      <c r="AI3996" s="1"/>
      <c r="AJ3996" s="96">
        <f ca="1">P_1_minQ-(AJ3994^2*R_up)+dpup_minQ</f>
        <v>-1604.2513680971847</v>
      </c>
      <c r="AK3996" s="107"/>
      <c r="AL3996" s="1"/>
      <c r="AM3996" s="96">
        <f ca="1">P_1_minQ-(AM3994^2*R_up)+dpup_minQ</f>
        <v>-2432.5998771466125</v>
      </c>
      <c r="AN3996" s="107"/>
      <c r="AO3996" s="1"/>
      <c r="AP3996" s="96">
        <f ca="1">P_1_minQ-(AP3994^2*R_up)+dpup_minQ</f>
        <v>-3310.1478743787247</v>
      </c>
      <c r="AQ3996" s="107"/>
      <c r="AR3996" s="1"/>
      <c r="AS3996" s="96">
        <f ca="1">P_1_minQ-(AS3994^2*R_up)+dpup_minQ</f>
        <v>-4585.0710047263256</v>
      </c>
      <c r="AT3996" s="107"/>
      <c r="AU3996" s="1"/>
    </row>
    <row r="3997" spans="15:47" x14ac:dyDescent="0.25">
      <c r="O3997" s="8" t="s">
        <v>134</v>
      </c>
      <c r="P3997" s="1"/>
      <c r="Q3997" s="8"/>
      <c r="R3997" s="97">
        <f>P_2_minQ+(R3994^2*R_dn)-dpdn_minQ</f>
        <v>60</v>
      </c>
      <c r="S3997" s="106"/>
      <c r="T3997" s="22"/>
      <c r="U3997" s="97">
        <f ca="1">P_2_minQ+(U3994^2*R_dn)-dpdn_minQ</f>
        <v>60</v>
      </c>
      <c r="V3997" s="107"/>
      <c r="W3997" s="1"/>
      <c r="X3997" s="97">
        <f ca="1">P_2_minQ+(X3994^2*R_dn)-dpdn_minQ</f>
        <v>60</v>
      </c>
      <c r="Y3997" s="107"/>
      <c r="Z3997" s="1"/>
      <c r="AA3997" s="97">
        <f ca="1">P_2_minQ+(AA3994^2*R_dn)-dpdn_minQ</f>
        <v>60</v>
      </c>
      <c r="AB3997" s="107"/>
      <c r="AC3997" s="1"/>
      <c r="AD3997" s="97">
        <f ca="1">P_2_minQ+(AD3994^2*R_dn)-dpdn_minQ</f>
        <v>60</v>
      </c>
      <c r="AE3997" s="107"/>
      <c r="AF3997" s="1"/>
      <c r="AG3997" s="97">
        <f ca="1">P_2_minQ+(AG3994^2*R_dn)-dpdn_minQ</f>
        <v>60</v>
      </c>
      <c r="AH3997" s="107"/>
      <c r="AI3997" s="1"/>
      <c r="AJ3997" s="97">
        <f ca="1">P_2_minQ+(AJ3994^2*R_dn)-dpdn_minQ</f>
        <v>60</v>
      </c>
      <c r="AK3997" s="107"/>
      <c r="AL3997" s="1"/>
      <c r="AM3997" s="97">
        <f ca="1">P_2_minQ+(AM3994^2*R_dn)-dpdn_minQ</f>
        <v>60</v>
      </c>
      <c r="AN3997" s="107"/>
      <c r="AO3997" s="1"/>
      <c r="AP3997" s="97">
        <f ca="1">P_2_minQ+(AP3994^2*R_dn)-dpdn_minQ</f>
        <v>60</v>
      </c>
      <c r="AQ3997" s="107"/>
      <c r="AR3997" s="1"/>
      <c r="AS3997" s="97">
        <f ca="1">P_2_minQ+(AS3994^2*R_dn)-dpdn_minQ</f>
        <v>60</v>
      </c>
      <c r="AT3997" s="107"/>
      <c r="AU3997" s="1"/>
    </row>
    <row r="3998" spans="15:47" x14ac:dyDescent="0.25">
      <c r="O3998" s="8" t="s">
        <v>138</v>
      </c>
      <c r="P3998" s="1"/>
      <c r="Q3998" s="8"/>
      <c r="R3998" s="97">
        <f>R3996-R3997</f>
        <v>28.820570247297169</v>
      </c>
      <c r="S3998" s="106"/>
      <c r="T3998" s="22"/>
      <c r="U3998" s="97">
        <f ca="1">U3996-U3997</f>
        <v>23.208711641192565</v>
      </c>
      <c r="V3998" s="110"/>
      <c r="W3998" s="25"/>
      <c r="X3998" s="97">
        <f ca="1">X3996-X3997</f>
        <v>-11.643646003522591</v>
      </c>
      <c r="Y3998" s="110"/>
      <c r="Z3998" s="25"/>
      <c r="AA3998" s="97">
        <f ca="1">AA3996-AA3997</f>
        <v>-128.50085034219055</v>
      </c>
      <c r="AB3998" s="110"/>
      <c r="AC3998" s="25"/>
      <c r="AD3998" s="97">
        <f ca="1">AD3996-AD3997</f>
        <v>-416.45863395287284</v>
      </c>
      <c r="AE3998" s="110"/>
      <c r="AF3998" s="25"/>
      <c r="AG3998" s="97">
        <f ca="1">AG3996-AG3997</f>
        <v>-921.26413742391094</v>
      </c>
      <c r="AH3998" s="110"/>
      <c r="AI3998" s="25"/>
      <c r="AJ3998" s="97">
        <f ca="1">AJ3996-AJ3997</f>
        <v>-1664.2513680971847</v>
      </c>
      <c r="AK3998" s="110"/>
      <c r="AL3998" s="25"/>
      <c r="AM3998" s="97">
        <f ca="1">AM3996-AM3997</f>
        <v>-2492.5998771466125</v>
      </c>
      <c r="AN3998" s="110"/>
      <c r="AO3998" s="25"/>
      <c r="AP3998" s="97">
        <f ca="1">AP3996-AP3997</f>
        <v>-3370.1478743787247</v>
      </c>
      <c r="AQ3998" s="110"/>
      <c r="AR3998" s="25"/>
      <c r="AS3998" s="97">
        <f ca="1">AS3996-AS3997</f>
        <v>-4645.0710047263256</v>
      </c>
      <c r="AT3998" s="110"/>
      <c r="AU3998" s="25"/>
    </row>
    <row r="3999" spans="15:47" ht="14.4" x14ac:dyDescent="0.3">
      <c r="O3999" s="2" t="s">
        <v>140</v>
      </c>
      <c r="P3999" s="11"/>
      <c r="Q3999" s="2"/>
      <c r="R3999" s="96">
        <f>R3998/R3996</f>
        <v>0.3244808062710472</v>
      </c>
      <c r="S3999" s="106"/>
      <c r="T3999" s="22"/>
      <c r="U3999" s="96">
        <f ca="1">U3998/U3996</f>
        <v>0.27892165595919488</v>
      </c>
      <c r="V3999" s="111"/>
      <c r="W3999" s="28"/>
      <c r="X3999" s="96">
        <f ca="1">X3998/X3996</f>
        <v>-0.24078833578666392</v>
      </c>
      <c r="Y3999" s="111"/>
      <c r="Z3999" s="28"/>
      <c r="AA3999" s="96">
        <f ca="1">AA3998/AA3996</f>
        <v>1.8759015355324025</v>
      </c>
      <c r="AB3999" s="111"/>
      <c r="AC3999" s="28"/>
      <c r="AD3999" s="96">
        <f ca="1">AD3998/AD3996</f>
        <v>1.1683224763968898</v>
      </c>
      <c r="AE3999" s="111"/>
      <c r="AF3999" s="28"/>
      <c r="AG3999" s="96">
        <f ca="1">AG3998/AG3996</f>
        <v>1.0696650393216922</v>
      </c>
      <c r="AH3999" s="111"/>
      <c r="AI3999" s="28"/>
      <c r="AJ3999" s="96">
        <f ca="1">AJ3998/AJ3996</f>
        <v>1.0374006226163712</v>
      </c>
      <c r="AK3999" s="111"/>
      <c r="AL3999" s="28"/>
      <c r="AM3999" s="96">
        <f ca="1">AM3998/AM3996</f>
        <v>1.0246649687701122</v>
      </c>
      <c r="AN3999" s="111"/>
      <c r="AO3999" s="28"/>
      <c r="AP3999" s="96">
        <f ca="1">AP3998/AP3996</f>
        <v>1.0181260784342636</v>
      </c>
      <c r="AQ3999" s="111"/>
      <c r="AR3999" s="28"/>
      <c r="AS3999" s="96">
        <f ca="1">AS3998/AS3996</f>
        <v>1.0130859478377001</v>
      </c>
      <c r="AT3999" s="111"/>
      <c r="AU3999" s="28"/>
    </row>
    <row r="4000" spans="15:47" x14ac:dyDescent="0.25">
      <c r="O4000" s="2" t="s">
        <v>21</v>
      </c>
      <c r="P4000" s="8">
        <v>12</v>
      </c>
      <c r="Q4000" s="2"/>
      <c r="R4000" s="96">
        <f ca="1">1-R3999/(3*F_GAMMA*R$29)</f>
        <v>0.83100742172249675</v>
      </c>
      <c r="S4000" s="106"/>
      <c r="T4000" s="22"/>
      <c r="U4000" s="96">
        <f ca="1">1-U3999/(3*F_GAMMA*U$29)</f>
        <v>0.85476879205899858</v>
      </c>
      <c r="V4000" s="111"/>
      <c r="W4000" s="28"/>
      <c r="X4000" s="96">
        <f ca="1">1-X3999/(3*F_GAMMA*X$29)</f>
        <v>1.1265697455161667</v>
      </c>
      <c r="Y4000" s="111"/>
      <c r="Z4000" s="28"/>
      <c r="AA4000" s="96">
        <f ca="1">1-AA3999/(3*F_GAMMA*AA$29)</f>
        <v>3.774947899248815E-5</v>
      </c>
      <c r="AB4000" s="111"/>
      <c r="AC4000" s="28"/>
      <c r="AD4000" s="96">
        <f ca="1">1-AD3999/(3*F_GAMMA*AD$29)</f>
        <v>0.35790256209022808</v>
      </c>
      <c r="AE4000" s="111"/>
      <c r="AF4000" s="28"/>
      <c r="AG4000" s="96">
        <f ca="1">1-AG3999/(3*F_GAMMA*AG$29)</f>
        <v>0.37684741151875367</v>
      </c>
      <c r="AH4000" s="111"/>
      <c r="AI4000" s="28"/>
      <c r="AJ4000" s="96">
        <f ca="1">1-AJ3999/(3*F_GAMMA*AJ$29)</f>
        <v>0.34979528451019948</v>
      </c>
      <c r="AK4000" s="111"/>
      <c r="AL4000" s="28"/>
      <c r="AM4000" s="96">
        <f ca="1">1-AM3999/(3*F_GAMMA*AM$29)</f>
        <v>0.28194233376302746</v>
      </c>
      <c r="AN4000" s="111"/>
      <c r="AO4000" s="28"/>
      <c r="AP4000" s="96">
        <f ca="1">1-AP3999/(3*F_GAMMA*AP$29)</f>
        <v>0.42531505071757481</v>
      </c>
      <c r="AQ4000" s="111"/>
      <c r="AR4000" s="28"/>
      <c r="AS4000" s="96">
        <f ca="1">1-AS3999/(3*F_GAMMA*AS$29)</f>
        <v>0.10351919105972185</v>
      </c>
      <c r="AT4000" s="111"/>
      <c r="AU4000" s="28"/>
    </row>
    <row r="4001" spans="15:47" x14ac:dyDescent="0.25">
      <c r="O4001" s="2" t="s">
        <v>57</v>
      </c>
      <c r="P4001" s="143">
        <v>7</v>
      </c>
      <c r="Q4001" s="2"/>
      <c r="R4001" s="96">
        <f ca="1">(R3994/(N_9*R$27*R3996*R4000))*SQRT(M*'Valve Sizing'!$W$6*'Valve Sizing'!$G$8/R3999)</f>
        <v>35.802086753968275</v>
      </c>
      <c r="S4001" s="107"/>
      <c r="T4001" s="22"/>
      <c r="U4001" s="96">
        <f ca="1">(U3994/(N_9*U$27*U3996*U4000))*SQRT(M*'Valve Sizing'!$W$6*'Valve Sizing'!$G$8/U3999)</f>
        <v>90.673218210300661</v>
      </c>
      <c r="V4001" s="111"/>
      <c r="W4001" s="28"/>
      <c r="X4001" s="96" t="e">
        <f ca="1">(X3994/(N_9*X$27*X3996*X4000))*SQRT(M*'Valve Sizing'!$W$6*'Valve Sizing'!$G$8/X3999)</f>
        <v>#NUM!</v>
      </c>
      <c r="Y4001" s="111"/>
      <c r="Z4001" s="28"/>
      <c r="AA4001" s="96">
        <f ca="1">(AA3994/(N_9*AA$27*AA3996*AA4000))*SQRT(M*'Valve Sizing'!$W$6*'Valve Sizing'!$G$8/AA3999)</f>
        <v>-4624337.9127248218</v>
      </c>
      <c r="AB4001" s="111"/>
      <c r="AC4001" s="28"/>
      <c r="AD4001" s="96">
        <f ca="1">(AD3994/(N_9*AD$27*AD3996*AD4000))*SQRT(M*'Valve Sizing'!$W$6*'Valve Sizing'!$G$8/AD3999)</f>
        <v>-201.72723678355405</v>
      </c>
      <c r="AE4001" s="111"/>
      <c r="AF4001" s="28"/>
      <c r="AG4001" s="96">
        <f ca="1">(AG3994/(N_9*AG$27*AG3996*AG4000))*SQRT(M*'Valve Sizing'!$W$6*'Valve Sizing'!$G$8/AG3999)</f>
        <v>-123.67205220865878</v>
      </c>
      <c r="AH4001" s="111"/>
      <c r="AI4001" s="28"/>
      <c r="AJ4001" s="96">
        <f ca="1">(AJ3994/(N_9*AJ$27*AJ3996*AJ4000))*SQRT(M*'Valve Sizing'!$W$6*'Valve Sizing'!$G$8/AJ3999)</f>
        <v>-100.43396917338627</v>
      </c>
      <c r="AK4001" s="111"/>
      <c r="AL4001" s="28"/>
      <c r="AM4001" s="96">
        <f ca="1">(AM3994/(N_9*AM$27*AM3996*AM4000))*SQRT(M*'Valve Sizing'!$W$6*'Valve Sizing'!$G$8/AM3999)</f>
        <v>-107.04453513101467</v>
      </c>
      <c r="AN4001" s="111"/>
      <c r="AO4001" s="28"/>
      <c r="AP4001" s="96">
        <f ca="1">(AP3994/(N_9*AP$27*AP3996*AP4000))*SQRT(M*'Valve Sizing'!$W$6*'Valve Sizing'!$G$8/AP3999)</f>
        <v>-69.129682216363989</v>
      </c>
      <c r="AQ4001" s="111"/>
      <c r="AR4001" s="28"/>
      <c r="AS4001" s="96">
        <f ca="1">(AS3994/(N_9*AS$27*AS3996*AS4000))*SQRT(M*'Valve Sizing'!$W$6*'Valve Sizing'!$G$8/AS3999)</f>
        <v>-322.83633447121713</v>
      </c>
      <c r="AT4001" s="111"/>
      <c r="AU4001" s="28"/>
    </row>
    <row r="4002" spans="15:47" x14ac:dyDescent="0.25">
      <c r="O4002" s="2" t="s">
        <v>59</v>
      </c>
      <c r="P4002" s="143">
        <v>7</v>
      </c>
      <c r="Q4002" s="2"/>
      <c r="R4002" s="96">
        <f ca="1">(R3994/(N_9*R$27*R3996*0.667))*SQRT(M*'Valve Sizing'!$W$6*'Valve Sizing'!$G$8/R4003)</f>
        <v>31.760099363964414</v>
      </c>
      <c r="S4002" s="107"/>
      <c r="T4002" s="22"/>
      <c r="U4002" s="96">
        <f ca="1">(U3994/(N_9*U$27*U3996*0.667))*SQRT(M*'Valve Sizing'!$W$6*'Valve Sizing'!$G$8/U4003)</f>
        <v>76.699486416697269</v>
      </c>
      <c r="V4002" s="111"/>
      <c r="W4002" s="28"/>
      <c r="X4002" s="96">
        <f ca="1">(X3994/(N_9*X$27*X3996*0.667))*SQRT(M*'Valve Sizing'!$W$6*'Valve Sizing'!$G$8/X4003)</f>
        <v>325.45303021865772</v>
      </c>
      <c r="Y4002" s="111"/>
      <c r="Z4002" s="28"/>
      <c r="AA4002" s="96">
        <f ca="1">(AA3994/(N_9*AA$27*AA3996*0.667))*SQRT(M*'Valve Sizing'!$W$6*'Valve Sizing'!$G$8/AA4003)</f>
        <v>-453.30146196091891</v>
      </c>
      <c r="AB4002" s="111"/>
      <c r="AC4002" s="28"/>
      <c r="AD4002" s="96">
        <f ca="1">(AD3994/(N_9*AD$27*AD3996*0.667))*SQRT(M*'Valve Sizing'!$W$6*'Valve Sizing'!$G$8/AD4003)</f>
        <v>-150.23274721194446</v>
      </c>
      <c r="AE4002" s="111"/>
      <c r="AF4002" s="28"/>
      <c r="AG4002" s="96">
        <f ca="1">(AG3994/(N_9*AG$27*AG3996*0.667))*SQRT(M*'Valve Sizing'!$W$6*'Valve Sizing'!$G$8/AG4003)</f>
        <v>-95.536449934584411</v>
      </c>
      <c r="AH4002" s="111"/>
      <c r="AI4002" s="28"/>
      <c r="AJ4002" s="96">
        <f ca="1">(AJ3994/(N_9*AJ$27*AJ3996*0.667))*SQRT(M*'Valve Sizing'!$W$6*'Valve Sizing'!$G$8/AJ4003)</f>
        <v>-73.562152373109384</v>
      </c>
      <c r="AK4002" s="111"/>
      <c r="AL4002" s="28"/>
      <c r="AM4002" s="96">
        <f ca="1">(AM3994/(N_9*AM$27*AM3996*0.667))*SQRT(M*'Valve Sizing'!$W$6*'Valve Sizing'!$G$8/AM4003)</f>
        <v>-66.410881645338037</v>
      </c>
      <c r="AN4002" s="111"/>
      <c r="AO4002" s="28"/>
      <c r="AP4002" s="96">
        <f ca="1">(AP3994/(N_9*AP$27*AP3996*0.667))*SQRT(M*'Valve Sizing'!$W$6*'Valve Sizing'!$G$8/AP4003)</f>
        <v>-57.879532822946395</v>
      </c>
      <c r="AQ4002" s="111"/>
      <c r="AR4002" s="28"/>
      <c r="AS4002" s="96">
        <f ca="1">(AS3994/(N_9*AS$27*AS3996*0.667))*SQRT(M*'Valve Sizing'!$W$6*'Valve Sizing'!$G$8/AS4003)</f>
        <v>-82.169107378457355</v>
      </c>
      <c r="AT4002" s="111"/>
      <c r="AU4002" s="28"/>
    </row>
    <row r="4003" spans="15:47" ht="15.6" x14ac:dyDescent="0.35">
      <c r="O4003" s="2" t="s">
        <v>68</v>
      </c>
      <c r="P4003" s="143">
        <v>10</v>
      </c>
      <c r="Q4003" s="2"/>
      <c r="R4003" s="96">
        <f ca="1">F_GAMMA*R$29</f>
        <v>0.64002969751372984</v>
      </c>
      <c r="S4003" s="107"/>
      <c r="T4003" s="1"/>
      <c r="U4003" s="96">
        <f ca="1">F_GAMMA*U$29</f>
        <v>0.64017842058782071</v>
      </c>
      <c r="V4003" s="111"/>
      <c r="W4003" s="28"/>
      <c r="X4003" s="96">
        <f ca="1">F_GAMMA*X$29</f>
        <v>0.63413873724904268</v>
      </c>
      <c r="Y4003" s="111"/>
      <c r="Z4003" s="28"/>
      <c r="AA4003" s="96">
        <f ca="1">F_GAMMA*AA$29</f>
        <v>0.62532411750377137</v>
      </c>
      <c r="AB4003" s="111"/>
      <c r="AC4003" s="28"/>
      <c r="AD4003" s="96">
        <f ca="1">F_GAMMA*AD$29</f>
        <v>0.60651359509139569</v>
      </c>
      <c r="AE4003" s="111"/>
      <c r="AF4003" s="28"/>
      <c r="AG4003" s="96">
        <f ca="1">F_GAMMA*AG$29</f>
        <v>0.57217930198481592</v>
      </c>
      <c r="AH4003" s="111"/>
      <c r="AI4003" s="28"/>
      <c r="AJ4003" s="96">
        <f ca="1">F_GAMMA*AJ$29</f>
        <v>0.53183282018848232</v>
      </c>
      <c r="AK4003" s="111"/>
      <c r="AL4003" s="28"/>
      <c r="AM4003" s="96">
        <f ca="1">F_GAMMA*AM$29</f>
        <v>0.47566512503094399</v>
      </c>
      <c r="AN4003" s="111"/>
      <c r="AO4003" s="28"/>
      <c r="AP4003" s="96">
        <f ca="1">F_GAMMA*AP$29</f>
        <v>0.59054158265645496</v>
      </c>
      <c r="AQ4003" s="111"/>
      <c r="AR4003" s="28"/>
      <c r="AS4003" s="96">
        <f ca="1">F_GAMMA*AS$29</f>
        <v>0.3766899554102966</v>
      </c>
      <c r="AT4003" s="111"/>
      <c r="AU4003" s="28"/>
    </row>
    <row r="4004" spans="15:47" x14ac:dyDescent="0.25">
      <c r="O4004" s="2" t="s">
        <v>145</v>
      </c>
      <c r="P4004" s="12"/>
      <c r="Q4004" s="2"/>
      <c r="R4004" s="96">
        <f ca="1">IF(R3999&lt;R4003,R4001,R4002)</f>
        <v>35.802086753968275</v>
      </c>
      <c r="S4004" s="116"/>
      <c r="T4004" s="1"/>
      <c r="U4004" s="96">
        <f ca="1">IF(U3999&lt;U4003,U4001,U4002)</f>
        <v>90.673218210300661</v>
      </c>
      <c r="V4004" s="111"/>
      <c r="W4004" s="28"/>
      <c r="X4004" s="96" t="e">
        <f ca="1">IF(X3999&lt;X4003,X4001,X4002)</f>
        <v>#NUM!</v>
      </c>
      <c r="Y4004" s="111"/>
      <c r="Z4004" s="28"/>
      <c r="AA4004" s="96">
        <f ca="1">IF(AA3999&lt;AA4003,AA4001,AA4002)</f>
        <v>-453.30146196091891</v>
      </c>
      <c r="AB4004" s="111"/>
      <c r="AC4004" s="28"/>
      <c r="AD4004" s="96">
        <f ca="1">IF(AD3999&lt;AD4003,AD4001,AD4002)</f>
        <v>-150.23274721194446</v>
      </c>
      <c r="AE4004" s="111"/>
      <c r="AF4004" s="28"/>
      <c r="AG4004" s="96">
        <f ca="1">IF(AG3999&lt;AG4003,AG4001,AG4002)</f>
        <v>-95.536449934584411</v>
      </c>
      <c r="AH4004" s="111"/>
      <c r="AI4004" s="28"/>
      <c r="AJ4004" s="96">
        <f ca="1">IF(AJ3999&lt;AJ4003,AJ4001,AJ4002)</f>
        <v>-73.562152373109384</v>
      </c>
      <c r="AK4004" s="111"/>
      <c r="AL4004" s="28"/>
      <c r="AM4004" s="96">
        <f ca="1">IF(AM3999&lt;AM4003,AM4001,AM4002)</f>
        <v>-66.410881645338037</v>
      </c>
      <c r="AN4004" s="111"/>
      <c r="AO4004" s="28"/>
      <c r="AP4004" s="96">
        <f ca="1">IF(AP3999&lt;AP4003,AP4001,AP4002)</f>
        <v>-57.879532822946395</v>
      </c>
      <c r="AQ4004" s="111"/>
      <c r="AR4004" s="28"/>
      <c r="AS4004" s="96">
        <f ca="1">IF(AS3999&lt;AS4003,AS4001,AS4002)</f>
        <v>-82.169107378457355</v>
      </c>
      <c r="AT4004" s="111"/>
      <c r="AU4004" s="28"/>
    </row>
    <row r="4005" spans="15:47" x14ac:dyDescent="0.25">
      <c r="O4005" s="13" t="s">
        <v>143</v>
      </c>
      <c r="P4005" s="1"/>
      <c r="Q4005" s="1"/>
      <c r="R4005" s="113"/>
      <c r="S4005" s="106">
        <f ca="1">IF(R3998&lt;=0,Q_max,ABS(R$23-R4004))</f>
        <v>31.072086753968275</v>
      </c>
      <c r="T4005" s="7">
        <f>R3994</f>
        <v>86523.73772340022</v>
      </c>
      <c r="U4005" s="98"/>
      <c r="V4005" s="106">
        <f ca="1">IF(U3998&lt;=0,Q_max,ABS(U$23-U4004))</f>
        <v>79.073218210300666</v>
      </c>
      <c r="W4005" s="9">
        <f ca="1">U3994</f>
        <v>195644.07712130205</v>
      </c>
      <c r="X4005" s="98"/>
      <c r="Y4005" s="106">
        <f ca="1">IF(X3998&lt;=0,Q_max,ABS(X$23-X4004))</f>
        <v>236393</v>
      </c>
      <c r="Z4005" s="9">
        <f ca="1">X3994</f>
        <v>479060.47984066745</v>
      </c>
      <c r="AA4005" s="98"/>
      <c r="AB4005" s="106">
        <f ca="1">IF(AA3998&lt;=0,Q_max,ABS(AA$23-AA4004))</f>
        <v>236393</v>
      </c>
      <c r="AC4005" s="9">
        <f ca="1">AA3994</f>
        <v>933087.53673942573</v>
      </c>
      <c r="AD4005" s="98"/>
      <c r="AE4005" s="106">
        <f ca="1">IF(AD3998&lt;=0,Q_max,ABS(AD$23-AD4004))</f>
        <v>236393</v>
      </c>
      <c r="AF4005" s="9">
        <f ca="1">AD3994</f>
        <v>1565430.6231428827</v>
      </c>
      <c r="AG4005" s="98"/>
      <c r="AH4005" s="106">
        <f ca="1">IF(AG3998&lt;=0,Q_max,ABS(AG$23-AG4004))</f>
        <v>236393</v>
      </c>
      <c r="AI4005" s="9">
        <f ca="1">AG3994</f>
        <v>2284788.6307674227</v>
      </c>
      <c r="AJ4005" s="98"/>
      <c r="AK4005" s="106">
        <f ca="1">IF(AJ3998&lt;=0,Q_max,ABS(AJ$23-AJ4004))</f>
        <v>236393</v>
      </c>
      <c r="AL4005" s="9">
        <f ca="1">AJ3994</f>
        <v>3049059.2848958666</v>
      </c>
      <c r="AM4005" s="98"/>
      <c r="AN4005" s="106">
        <f ca="1">IF(AM3998&lt;=0,Q_max,ABS(AM$23-AM4004))</f>
        <v>236393</v>
      </c>
      <c r="AO4005" s="9">
        <f ca="1">AM3994</f>
        <v>3720431.7706408077</v>
      </c>
      <c r="AP4005" s="98"/>
      <c r="AQ4005" s="106">
        <f ca="1">IF(AP3998&lt;=0,Q_max,ABS(AP$23-AP4004))</f>
        <v>236393</v>
      </c>
      <c r="AR4005" s="9">
        <f ca="1">AP3994</f>
        <v>4319305.7862862125</v>
      </c>
      <c r="AS4005" s="98"/>
      <c r="AT4005" s="106">
        <f ca="1">IF(AS3998&lt;=0,Q_max,ABS(AS$23-AS4004))</f>
        <v>236393</v>
      </c>
      <c r="AU4005" s="9">
        <f ca="1">AS3994</f>
        <v>5064725.7258945797</v>
      </c>
    </row>
    <row r="4006" spans="15:47" x14ac:dyDescent="0.25">
      <c r="O4006" s="21"/>
      <c r="P4006" s="14"/>
      <c r="Q4006" s="21"/>
      <c r="R4006" s="97"/>
      <c r="S4006" s="106"/>
      <c r="T4006" s="28"/>
      <c r="U4006" s="97"/>
      <c r="V4006" s="111"/>
      <c r="W4006" s="28"/>
      <c r="X4006" s="97"/>
      <c r="Y4006" s="111"/>
      <c r="Z4006" s="28"/>
      <c r="AA4006" s="97"/>
      <c r="AB4006" s="111"/>
      <c r="AC4006" s="28"/>
      <c r="AD4006" s="97"/>
      <c r="AE4006" s="111"/>
      <c r="AF4006" s="28"/>
      <c r="AG4006" s="97"/>
      <c r="AH4006" s="111"/>
      <c r="AI4006" s="28"/>
      <c r="AJ4006" s="97"/>
      <c r="AK4006" s="111"/>
      <c r="AL4006" s="28"/>
      <c r="AM4006" s="97"/>
      <c r="AN4006" s="111"/>
      <c r="AO4006" s="28"/>
      <c r="AP4006" s="97"/>
      <c r="AQ4006" s="111"/>
      <c r="AR4006" s="28"/>
      <c r="AS4006" s="97"/>
      <c r="AT4006" s="111"/>
      <c r="AU4006" s="28"/>
    </row>
    <row r="4007" spans="15:47" x14ac:dyDescent="0.25">
      <c r="O4007" s="1"/>
      <c r="P4007" s="1"/>
      <c r="Q4007" s="1"/>
      <c r="R4007" s="98"/>
      <c r="S4007" s="108" t="s">
        <v>137</v>
      </c>
      <c r="T4007" s="26" t="s">
        <v>146</v>
      </c>
      <c r="U4007" s="98"/>
      <c r="V4007" s="108" t="s">
        <v>137</v>
      </c>
      <c r="W4007" s="26" t="s">
        <v>146</v>
      </c>
      <c r="X4007" s="98"/>
      <c r="Y4007" s="108" t="s">
        <v>137</v>
      </c>
      <c r="Z4007" s="26" t="s">
        <v>146</v>
      </c>
      <c r="AA4007" s="98"/>
      <c r="AB4007" s="108" t="s">
        <v>137</v>
      </c>
      <c r="AC4007" s="26" t="s">
        <v>146</v>
      </c>
      <c r="AD4007" s="98"/>
      <c r="AE4007" s="108" t="s">
        <v>137</v>
      </c>
      <c r="AF4007" s="26" t="s">
        <v>146</v>
      </c>
      <c r="AG4007" s="98"/>
      <c r="AH4007" s="108" t="s">
        <v>137</v>
      </c>
      <c r="AI4007" s="26" t="s">
        <v>146</v>
      </c>
      <c r="AJ4007" s="98"/>
      <c r="AK4007" s="108" t="s">
        <v>137</v>
      </c>
      <c r="AL4007" s="26" t="s">
        <v>146</v>
      </c>
      <c r="AM4007" s="98"/>
      <c r="AN4007" s="108" t="s">
        <v>137</v>
      </c>
      <c r="AO4007" s="26" t="s">
        <v>146</v>
      </c>
      <c r="AP4007" s="98"/>
      <c r="AQ4007" s="108" t="s">
        <v>137</v>
      </c>
      <c r="AR4007" s="26" t="s">
        <v>146</v>
      </c>
      <c r="AS4007" s="98"/>
      <c r="AT4007" s="108" t="s">
        <v>137</v>
      </c>
      <c r="AU4007" s="26" t="s">
        <v>146</v>
      </c>
    </row>
    <row r="4008" spans="15:47" ht="13.8" x14ac:dyDescent="0.25">
      <c r="O4008" s="20" t="s">
        <v>136</v>
      </c>
      <c r="P4008" s="1"/>
      <c r="Q4008" s="1"/>
      <c r="R4008" s="96">
        <f>R3994*1.02</f>
        <v>88254.212477868219</v>
      </c>
      <c r="S4008" s="109" t="s">
        <v>144</v>
      </c>
      <c r="T4008" s="23" t="s">
        <v>147</v>
      </c>
      <c r="U4008" s="96">
        <f ca="1">U3994*1.01</f>
        <v>197600.51789251508</v>
      </c>
      <c r="V4008" s="109" t="s">
        <v>144</v>
      </c>
      <c r="W4008" s="23" t="s">
        <v>147</v>
      </c>
      <c r="X4008" s="96">
        <f ca="1">X3994*1.01</f>
        <v>483851.08463907411</v>
      </c>
      <c r="Y4008" s="109" t="s">
        <v>144</v>
      </c>
      <c r="Z4008" s="23" t="s">
        <v>147</v>
      </c>
      <c r="AA4008" s="96">
        <f ca="1">AA3994*1.01</f>
        <v>942418.41210682003</v>
      </c>
      <c r="AB4008" s="109" t="s">
        <v>144</v>
      </c>
      <c r="AC4008" s="23" t="s">
        <v>147</v>
      </c>
      <c r="AD4008" s="96">
        <f ca="1">AD3994*1.01</f>
        <v>1581084.9293743116</v>
      </c>
      <c r="AE4008" s="109" t="s">
        <v>144</v>
      </c>
      <c r="AF4008" s="23" t="s">
        <v>147</v>
      </c>
      <c r="AG4008" s="96">
        <f ca="1">AG3994*1.01</f>
        <v>2307636.5170750972</v>
      </c>
      <c r="AH4008" s="109" t="s">
        <v>144</v>
      </c>
      <c r="AI4008" s="23" t="s">
        <v>147</v>
      </c>
      <c r="AJ4008" s="96">
        <f ca="1">AJ3994*1.01</f>
        <v>3079549.8777448256</v>
      </c>
      <c r="AK4008" s="109" t="s">
        <v>144</v>
      </c>
      <c r="AL4008" s="23" t="s">
        <v>147</v>
      </c>
      <c r="AM4008" s="96">
        <f ca="1">AM3994*1.01</f>
        <v>3757636.0883472157</v>
      </c>
      <c r="AN4008" s="109" t="s">
        <v>144</v>
      </c>
      <c r="AO4008" s="23" t="s">
        <v>147</v>
      </c>
      <c r="AP4008" s="96">
        <f ca="1">AP3994*1.01</f>
        <v>4362498.8441490745</v>
      </c>
      <c r="AQ4008" s="109" t="s">
        <v>144</v>
      </c>
      <c r="AR4008" s="23" t="s">
        <v>147</v>
      </c>
      <c r="AS4008" s="96">
        <f ca="1">AS3994*1.01</f>
        <v>5115372.9831535257</v>
      </c>
      <c r="AT4008" s="109" t="s">
        <v>144</v>
      </c>
      <c r="AU4008" s="23" t="s">
        <v>147</v>
      </c>
    </row>
    <row r="4009" spans="15:47" x14ac:dyDescent="0.25">
      <c r="O4009" s="1"/>
      <c r="P4009" s="1"/>
      <c r="Q4009" s="1"/>
      <c r="R4009" s="98"/>
      <c r="S4009" s="107"/>
      <c r="T4009" s="1"/>
      <c r="U4009" s="47"/>
      <c r="V4009" s="107"/>
      <c r="W4009" s="1"/>
      <c r="X4009" s="47"/>
      <c r="Y4009" s="107"/>
      <c r="Z4009" s="1"/>
      <c r="AA4009" s="47"/>
      <c r="AB4009" s="107"/>
      <c r="AC4009" s="1"/>
      <c r="AD4009" s="47"/>
      <c r="AE4009" s="107"/>
      <c r="AF4009" s="1"/>
      <c r="AG4009" s="47"/>
      <c r="AH4009" s="107"/>
      <c r="AI4009" s="1"/>
      <c r="AJ4009" s="47"/>
      <c r="AK4009" s="107"/>
      <c r="AL4009" s="1"/>
      <c r="AM4009" s="47"/>
      <c r="AN4009" s="107"/>
      <c r="AO4009" s="1"/>
      <c r="AP4009" s="47"/>
      <c r="AQ4009" s="107"/>
      <c r="AR4009" s="1"/>
      <c r="AS4009" s="47"/>
      <c r="AT4009" s="107"/>
      <c r="AU4009" s="1"/>
    </row>
    <row r="4010" spans="15:47" x14ac:dyDescent="0.25">
      <c r="O4010" s="8" t="s">
        <v>132</v>
      </c>
      <c r="P4010" s="8"/>
      <c r="Q4010" s="8"/>
      <c r="R4010" s="96">
        <f>P_1_minQ-(R4008^2*R_up)+dpup_minQ</f>
        <v>88.765445647865647</v>
      </c>
      <c r="S4010" s="106"/>
      <c r="T4010" s="22"/>
      <c r="U4010" s="96">
        <f ca="1">P_1_minQ-(U4008^2*R_up)+dpup_minQ</f>
        <v>83.068487430522396</v>
      </c>
      <c r="V4010" s="107"/>
      <c r="W4010" s="1"/>
      <c r="X4010" s="96">
        <f ca="1">P_1_minQ-(X4008^2*R_up)+dpup_minQ</f>
        <v>47.515597397148468</v>
      </c>
      <c r="Y4010" s="107"/>
      <c r="Z4010" s="1"/>
      <c r="AA4010" s="96">
        <f ca="1">P_1_minQ-(AA4008^2*R_up)+dpup_minQ</f>
        <v>-71.690436748726739</v>
      </c>
      <c r="AB4010" s="107"/>
      <c r="AC4010" s="1"/>
      <c r="AD4010" s="96">
        <f ca="1">P_1_minQ-(AD4008^2*R_up)+dpup_minQ</f>
        <v>-365.43617180998376</v>
      </c>
      <c r="AE4010" s="107"/>
      <c r="AF4010" s="1"/>
      <c r="AG4010" s="96">
        <f ca="1">P_1_minQ-(AG4008^2*R_up)+dpup_minQ</f>
        <v>-880.38826590078997</v>
      </c>
      <c r="AH4010" s="107"/>
      <c r="AI4010" s="1"/>
      <c r="AJ4010" s="96">
        <f ca="1">P_1_minQ-(AJ4008^2*R_up)+dpup_minQ</f>
        <v>-1638.3095399105966</v>
      </c>
      <c r="AK4010" s="107"/>
      <c r="AL4010" s="1"/>
      <c r="AM4010" s="96">
        <f ca="1">P_1_minQ-(AM4008^2*R_up)+dpup_minQ</f>
        <v>-2483.3078539919175</v>
      </c>
      <c r="AN4010" s="107"/>
      <c r="AO4010" s="1"/>
      <c r="AP4010" s="96">
        <f ca="1">P_1_minQ-(AP4008^2*R_up)+dpup_minQ</f>
        <v>-3378.4945659683954</v>
      </c>
      <c r="AQ4010" s="107"/>
      <c r="AR4010" s="1"/>
      <c r="AS4010" s="96">
        <f ca="1">P_1_minQ-(AS4008^2*R_up)+dpup_minQ</f>
        <v>-4679.0436512359829</v>
      </c>
      <c r="AT4010" s="107"/>
      <c r="AU4010" s="1"/>
    </row>
    <row r="4011" spans="15:47" x14ac:dyDescent="0.25">
      <c r="O4011" s="8" t="s">
        <v>134</v>
      </c>
      <c r="P4011" s="1"/>
      <c r="Q4011" s="8"/>
      <c r="R4011" s="97">
        <f>P_2_minQ+(R4008^2*R_dn)-dpdn_minQ</f>
        <v>60</v>
      </c>
      <c r="S4011" s="106"/>
      <c r="T4011" s="22"/>
      <c r="U4011" s="97">
        <f ca="1">P_2_minQ+(U4008^2*R_dn)-dpdn_minQ</f>
        <v>60</v>
      </c>
      <c r="V4011" s="107"/>
      <c r="W4011" s="1"/>
      <c r="X4011" s="97">
        <f ca="1">P_2_minQ+(X4008^2*R_dn)-dpdn_minQ</f>
        <v>60</v>
      </c>
      <c r="Y4011" s="107"/>
      <c r="Z4011" s="1"/>
      <c r="AA4011" s="97">
        <f ca="1">P_2_minQ+(AA4008^2*R_dn)-dpdn_minQ</f>
        <v>60</v>
      </c>
      <c r="AB4011" s="107"/>
      <c r="AC4011" s="1"/>
      <c r="AD4011" s="97">
        <f ca="1">P_2_minQ+(AD4008^2*R_dn)-dpdn_minQ</f>
        <v>60</v>
      </c>
      <c r="AE4011" s="107"/>
      <c r="AF4011" s="1"/>
      <c r="AG4011" s="97">
        <f ca="1">P_2_minQ+(AG4008^2*R_dn)-dpdn_minQ</f>
        <v>60</v>
      </c>
      <c r="AH4011" s="107"/>
      <c r="AI4011" s="1"/>
      <c r="AJ4011" s="97">
        <f ca="1">P_2_minQ+(AJ4008^2*R_dn)-dpdn_minQ</f>
        <v>60</v>
      </c>
      <c r="AK4011" s="107"/>
      <c r="AL4011" s="1"/>
      <c r="AM4011" s="97">
        <f ca="1">P_2_minQ+(AM4008^2*R_dn)-dpdn_minQ</f>
        <v>60</v>
      </c>
      <c r="AN4011" s="107"/>
      <c r="AO4011" s="1"/>
      <c r="AP4011" s="97">
        <f ca="1">P_2_minQ+(AP4008^2*R_dn)-dpdn_minQ</f>
        <v>60</v>
      </c>
      <c r="AQ4011" s="107"/>
      <c r="AR4011" s="1"/>
      <c r="AS4011" s="97">
        <f ca="1">P_2_minQ+(AS4008^2*R_dn)-dpdn_minQ</f>
        <v>60</v>
      </c>
      <c r="AT4011" s="107"/>
      <c r="AU4011" s="1"/>
    </row>
    <row r="4012" spans="15:47" x14ac:dyDescent="0.25">
      <c r="O4012" s="8" t="s">
        <v>138</v>
      </c>
      <c r="P4012" s="1"/>
      <c r="Q4012" s="8"/>
      <c r="R4012" s="97">
        <f>R4010-R4011</f>
        <v>28.765445647865647</v>
      </c>
      <c r="S4012" s="106"/>
      <c r="T4012" s="22"/>
      <c r="U4012" s="97">
        <f ca="1">U4010-U4011</f>
        <v>23.068487430522396</v>
      </c>
      <c r="V4012" s="110"/>
      <c r="W4012" s="25"/>
      <c r="X4012" s="97">
        <f ca="1">X4010-X4011</f>
        <v>-12.484402602851532</v>
      </c>
      <c r="Y4012" s="110"/>
      <c r="Z4012" s="25"/>
      <c r="AA4012" s="97">
        <f ca="1">AA4010-AA4011</f>
        <v>-131.69043674872674</v>
      </c>
      <c r="AB4012" s="110"/>
      <c r="AC4012" s="25"/>
      <c r="AD4012" s="97">
        <f ca="1">AD4010-AD4011</f>
        <v>-425.43617180998376</v>
      </c>
      <c r="AE4012" s="110"/>
      <c r="AF4012" s="25"/>
      <c r="AG4012" s="97">
        <f ca="1">AG4010-AG4011</f>
        <v>-940.38826590078997</v>
      </c>
      <c r="AH4012" s="110"/>
      <c r="AI4012" s="25"/>
      <c r="AJ4012" s="97">
        <f ca="1">AJ4010-AJ4011</f>
        <v>-1698.3095399105966</v>
      </c>
      <c r="AK4012" s="110"/>
      <c r="AL4012" s="25"/>
      <c r="AM4012" s="97">
        <f ca="1">AM4010-AM4011</f>
        <v>-2543.3078539919175</v>
      </c>
      <c r="AN4012" s="110"/>
      <c r="AO4012" s="25"/>
      <c r="AP4012" s="97">
        <f ca="1">AP4010-AP4011</f>
        <v>-3438.4945659683954</v>
      </c>
      <c r="AQ4012" s="110"/>
      <c r="AR4012" s="25"/>
      <c r="AS4012" s="97">
        <f ca="1">AS4010-AS4011</f>
        <v>-4739.0436512359829</v>
      </c>
      <c r="AT4012" s="110"/>
      <c r="AU4012" s="25"/>
    </row>
    <row r="4013" spans="15:47" ht="14.4" x14ac:dyDescent="0.3">
      <c r="O4013" s="2" t="s">
        <v>140</v>
      </c>
      <c r="P4013" s="11"/>
      <c r="Q4013" s="2"/>
      <c r="R4013" s="96">
        <f>R4012/R4010</f>
        <v>0.32406129928056421</v>
      </c>
      <c r="S4013" s="106"/>
      <c r="T4013" s="22"/>
      <c r="U4013" s="96">
        <f ca="1">U4012/U4010</f>
        <v>0.27770443575027937</v>
      </c>
      <c r="V4013" s="111"/>
      <c r="W4013" s="28"/>
      <c r="X4013" s="96">
        <f ca="1">X4012/X4010</f>
        <v>-0.26274325246304808</v>
      </c>
      <c r="Y4013" s="111"/>
      <c r="Z4013" s="28"/>
      <c r="AA4013" s="96">
        <f ca="1">AA4012/AA4010</f>
        <v>1.8369317125281097</v>
      </c>
      <c r="AB4013" s="111"/>
      <c r="AC4013" s="28"/>
      <c r="AD4013" s="96">
        <f ca="1">AD4012/AD4010</f>
        <v>1.1641873591845699</v>
      </c>
      <c r="AE4013" s="111"/>
      <c r="AF4013" s="28"/>
      <c r="AG4013" s="96">
        <f ca="1">AG4012/AG4010</f>
        <v>1.0681517488634513</v>
      </c>
      <c r="AH4013" s="111"/>
      <c r="AI4013" s="28"/>
      <c r="AJ4013" s="96">
        <f ca="1">AJ4012/AJ4010</f>
        <v>1.0366231158022032</v>
      </c>
      <c r="AK4013" s="111"/>
      <c r="AL4013" s="28"/>
      <c r="AM4013" s="96">
        <f ca="1">AM4012/AM4010</f>
        <v>1.024161321723986</v>
      </c>
      <c r="AN4013" s="111"/>
      <c r="AO4013" s="28"/>
      <c r="AP4013" s="96">
        <f ca="1">AP4012/AP4010</f>
        <v>1.0177593892274921</v>
      </c>
      <c r="AQ4013" s="111"/>
      <c r="AR4013" s="28"/>
      <c r="AS4013" s="96">
        <f ca="1">AS4012/AS4010</f>
        <v>1.0128231332024762</v>
      </c>
      <c r="AT4013" s="111"/>
      <c r="AU4013" s="28"/>
    </row>
    <row r="4014" spans="15:47" x14ac:dyDescent="0.25">
      <c r="O4014" s="2" t="s">
        <v>21</v>
      </c>
      <c r="P4014" s="8">
        <v>12</v>
      </c>
      <c r="Q4014" s="2"/>
      <c r="R4014" s="96">
        <f ca="1">1-R4013/(3*F_GAMMA*R$29)</f>
        <v>0.83122590480857461</v>
      </c>
      <c r="S4014" s="106"/>
      <c r="T4014" s="22"/>
      <c r="U4014" s="96">
        <f ca="1">1-U4013/(3*F_GAMMA*U$29)</f>
        <v>0.85540258422785365</v>
      </c>
      <c r="V4014" s="111"/>
      <c r="W4014" s="28"/>
      <c r="X4014" s="96">
        <f ca="1">1-X4013/(3*F_GAMMA*X$29)</f>
        <v>1.1381102888214729</v>
      </c>
      <c r="Y4014" s="111"/>
      <c r="Z4014" s="28"/>
      <c r="AA4014" s="96">
        <f ca="1">1-AA4013/(3*F_GAMMA*AA$29)</f>
        <v>2.0810882383709872E-2</v>
      </c>
      <c r="AB4014" s="111"/>
      <c r="AC4014" s="28"/>
      <c r="AD4014" s="96">
        <f ca="1">1-AD4013/(3*F_GAMMA*AD$29)</f>
        <v>0.36017517793142606</v>
      </c>
      <c r="AE4014" s="111"/>
      <c r="AF4014" s="28"/>
      <c r="AG4014" s="96">
        <f ca="1">1-AG4013/(3*F_GAMMA*AG$29)</f>
        <v>0.37772900606612225</v>
      </c>
      <c r="AH4014" s="111"/>
      <c r="AI4014" s="28"/>
      <c r="AJ4014" s="96">
        <f ca="1">1-AJ4013/(3*F_GAMMA*AJ$29)</f>
        <v>0.35028259730515665</v>
      </c>
      <c r="AK4014" s="111"/>
      <c r="AL4014" s="28"/>
      <c r="AM4014" s="96">
        <f ca="1">1-AM4013/(3*F_GAMMA*AM$29)</f>
        <v>0.28229527607448612</v>
      </c>
      <c r="AN4014" s="111"/>
      <c r="AO4014" s="28"/>
      <c r="AP4014" s="96">
        <f ca="1">1-AP4013/(3*F_GAMMA*AP$29)</f>
        <v>0.42552202976728148</v>
      </c>
      <c r="AQ4014" s="111"/>
      <c r="AR4014" s="28"/>
      <c r="AS4014" s="96">
        <f ca="1">1-AS4013/(3*F_GAMMA*AS$29)</f>
        <v>0.10375175600378184</v>
      </c>
      <c r="AT4014" s="111"/>
      <c r="AU4014" s="28"/>
    </row>
    <row r="4015" spans="15:47" x14ac:dyDescent="0.25">
      <c r="O4015" s="2" t="s">
        <v>57</v>
      </c>
      <c r="P4015" s="143">
        <v>7</v>
      </c>
      <c r="Q4015" s="2"/>
      <c r="R4015" s="96">
        <f ca="1">(R4008/(N_9*R$27*R4010*R4014))*SQRT(M*'Valve Sizing'!$W$6*'Valve Sizing'!$G$8/R4013)</f>
        <v>36.554839933751794</v>
      </c>
      <c r="S4015" s="107"/>
      <c r="T4015" s="22"/>
      <c r="U4015" s="96">
        <f ca="1">(U4008/(N_9*U$27*U4010*U4014))*SQRT(M*'Valve Sizing'!$W$6*'Valve Sizing'!$G$8/U4013)</f>
        <v>91.867248202636716</v>
      </c>
      <c r="V4015" s="111"/>
      <c r="W4015" s="28"/>
      <c r="X4015" s="96" t="e">
        <f ca="1">(X4008/(N_9*X$27*X4010*X4014))*SQRT(M*'Valve Sizing'!$W$6*'Valve Sizing'!$G$8/X4013)</f>
        <v>#NUM!</v>
      </c>
      <c r="Y4015" s="111"/>
      <c r="Z4015" s="28"/>
      <c r="AA4015" s="96">
        <f ca="1">(AA4008/(N_9*AA$27*AA4010*AA4014))*SQRT(M*'Valve Sizing'!$W$6*'Valve Sizing'!$G$8/AA4013)</f>
        <v>-8180.5904851721079</v>
      </c>
      <c r="AB4015" s="111"/>
      <c r="AC4015" s="28"/>
      <c r="AD4015" s="96">
        <f ca="1">(AD4008/(N_9*AD$27*AD4010*AD4014))*SQRT(M*'Valve Sizing'!$W$6*'Valve Sizing'!$G$8/AD4013)</f>
        <v>-197.83561316444124</v>
      </c>
      <c r="AE4015" s="111"/>
      <c r="AF4015" s="28"/>
      <c r="AG4015" s="96">
        <f ca="1">(AG4008/(N_9*AG$27*AG4010*AG4014))*SQRT(M*'Valve Sizing'!$W$6*'Valve Sizing'!$G$8/AG4013)</f>
        <v>-121.99658762147678</v>
      </c>
      <c r="AH4015" s="111"/>
      <c r="AI4015" s="28"/>
      <c r="AJ4015" s="96">
        <f ca="1">(AJ4008/(N_9*AJ$27*AJ4010*AJ4014))*SQRT(M*'Valve Sizing'!$W$6*'Valve Sizing'!$G$8/AJ4013)</f>
        <v>-99.228552321420494</v>
      </c>
      <c r="AK4015" s="111"/>
      <c r="AL4015" s="28"/>
      <c r="AM4015" s="96">
        <f ca="1">(AM4008/(N_9*AM$27*AM4010*AM4014))*SQRT(M*'Valve Sizing'!$W$6*'Valve Sizing'!$G$8/AM4013)</f>
        <v>-105.80091689721198</v>
      </c>
      <c r="AN4015" s="111"/>
      <c r="AO4015" s="28"/>
      <c r="AP4015" s="96">
        <f ca="1">(AP4008/(N_9*AP$27*AP4010*AP4014))*SQRT(M*'Valve Sizing'!$W$6*'Valve Sizing'!$G$8/AP4013)</f>
        <v>-68.387547517852369</v>
      </c>
      <c r="AQ4015" s="111"/>
      <c r="AR4015" s="28"/>
      <c r="AS4015" s="96">
        <f ca="1">(AS4008/(N_9*AS$27*AS4010*AS4014))*SQRT(M*'Valve Sizing'!$W$6*'Valve Sizing'!$G$8/AS4013)</f>
        <v>-318.84125030075103</v>
      </c>
      <c r="AT4015" s="111"/>
      <c r="AU4015" s="28"/>
    </row>
    <row r="4016" spans="15:47" x14ac:dyDescent="0.25">
      <c r="O4016" s="2" t="s">
        <v>59</v>
      </c>
      <c r="P4016" s="143">
        <v>7</v>
      </c>
      <c r="Q4016" s="2"/>
      <c r="R4016" s="96">
        <f ca="1">(R4008/(N_9*R$27*R4010*0.667))*SQRT(M*'Valve Sizing'!$W$6*'Valve Sizing'!$G$8/R4017)</f>
        <v>32.415419292379653</v>
      </c>
      <c r="S4016" s="107"/>
      <c r="T4016" s="22"/>
      <c r="U4016" s="96">
        <f ca="1">(U4008/(N_9*U$27*U4010*0.667))*SQRT(M*'Valve Sizing'!$W$6*'Valve Sizing'!$G$8/U4017)</f>
        <v>77.59724899467497</v>
      </c>
      <c r="V4016" s="111"/>
      <c r="W4016" s="28"/>
      <c r="X4016" s="96">
        <f ca="1">(X4008/(N_9*X$27*X4010*0.667))*SQRT(M*'Valve Sizing'!$W$6*'Valve Sizing'!$G$8/X4017)</f>
        <v>334.52382014707399</v>
      </c>
      <c r="Y4016" s="111"/>
      <c r="Z4016" s="28"/>
      <c r="AA4016" s="96">
        <f ca="1">(AA4008/(N_9*AA$27*AA4010*0.667))*SQRT(M*'Valve Sizing'!$W$6*'Valve Sizing'!$G$8/AA4017)</f>
        <v>-437.46491699668587</v>
      </c>
      <c r="AB4016" s="111"/>
      <c r="AC4016" s="28"/>
      <c r="AD4016" s="96">
        <f ca="1">(AD4008/(N_9*AD$27*AD4010*0.667))*SQRT(M*'Valve Sizing'!$W$6*'Valve Sizing'!$G$8/AD4017)</f>
        <v>-148.0074541519179</v>
      </c>
      <c r="AE4016" s="111"/>
      <c r="AF4016" s="28"/>
      <c r="AG4016" s="96">
        <f ca="1">(AG4008/(N_9*AG$27*AG4010*0.667))*SQRT(M*'Valve Sizing'!$W$6*'Valve Sizing'!$G$8/AG4017)</f>
        <v>-94.395782571995383</v>
      </c>
      <c r="AH4016" s="111"/>
      <c r="AI4016" s="28"/>
      <c r="AJ4016" s="96">
        <f ca="1">(AJ4008/(N_9*AJ$27*AJ4010*0.667))*SQRT(M*'Valve Sizing'!$W$6*'Valve Sizing'!$G$8/AJ4017)</f>
        <v>-72.75322673582555</v>
      </c>
      <c r="AK4016" s="111"/>
      <c r="AL4016" s="28"/>
      <c r="AM4016" s="96">
        <f ca="1">(AM4008/(N_9*AM$27*AM4010*0.667))*SQRT(M*'Valve Sizing'!$W$6*'Valve Sizing'!$G$8/AM4017)</f>
        <v>-65.705350746051749</v>
      </c>
      <c r="AN4016" s="111"/>
      <c r="AO4016" s="28"/>
      <c r="AP4016" s="96">
        <f ca="1">(AP4008/(N_9*AP$27*AP4010*0.667))*SQRT(M*'Valve Sizing'!$W$6*'Valve Sizing'!$G$8/AP4017)</f>
        <v>-57.275720558657518</v>
      </c>
      <c r="AQ4016" s="111"/>
      <c r="AR4016" s="28"/>
      <c r="AS4016" s="96">
        <f ca="1">(AS4008/(N_9*AS$27*AS4010*0.667))*SQRT(M*'Valve Sizing'!$W$6*'Valve Sizing'!$G$8/AS4017)</f>
        <v>-81.324033714014561</v>
      </c>
      <c r="AT4016" s="111"/>
      <c r="AU4016" s="28"/>
    </row>
    <row r="4017" spans="15:47" ht="15.6" x14ac:dyDescent="0.35">
      <c r="O4017" s="2" t="s">
        <v>68</v>
      </c>
      <c r="P4017" s="143">
        <v>10</v>
      </c>
      <c r="Q4017" s="2"/>
      <c r="R4017" s="96">
        <f ca="1">F_GAMMA*R$29</f>
        <v>0.64002969751372984</v>
      </c>
      <c r="S4017" s="107"/>
      <c r="T4017" s="1"/>
      <c r="U4017" s="96">
        <f ca="1">F_GAMMA*U$29</f>
        <v>0.64017842058782071</v>
      </c>
      <c r="V4017" s="111"/>
      <c r="W4017" s="28"/>
      <c r="X4017" s="96">
        <f ca="1">F_GAMMA*X$29</f>
        <v>0.63413873724904268</v>
      </c>
      <c r="Y4017" s="111"/>
      <c r="Z4017" s="28"/>
      <c r="AA4017" s="96">
        <f ca="1">F_GAMMA*AA$29</f>
        <v>0.62532411750377137</v>
      </c>
      <c r="AB4017" s="111"/>
      <c r="AC4017" s="28"/>
      <c r="AD4017" s="96">
        <f ca="1">F_GAMMA*AD$29</f>
        <v>0.60651359509139569</v>
      </c>
      <c r="AE4017" s="111"/>
      <c r="AF4017" s="28"/>
      <c r="AG4017" s="96">
        <f ca="1">F_GAMMA*AG$29</f>
        <v>0.57217930198481592</v>
      </c>
      <c r="AH4017" s="111"/>
      <c r="AI4017" s="28"/>
      <c r="AJ4017" s="96">
        <f ca="1">F_GAMMA*AJ$29</f>
        <v>0.53183282018848232</v>
      </c>
      <c r="AK4017" s="111"/>
      <c r="AL4017" s="28"/>
      <c r="AM4017" s="96">
        <f ca="1">F_GAMMA*AM$29</f>
        <v>0.47566512503094399</v>
      </c>
      <c r="AN4017" s="111"/>
      <c r="AO4017" s="28"/>
      <c r="AP4017" s="96">
        <f ca="1">F_GAMMA*AP$29</f>
        <v>0.59054158265645496</v>
      </c>
      <c r="AQ4017" s="111"/>
      <c r="AR4017" s="28"/>
      <c r="AS4017" s="96">
        <f ca="1">F_GAMMA*AS$29</f>
        <v>0.3766899554102966</v>
      </c>
      <c r="AT4017" s="111"/>
      <c r="AU4017" s="28"/>
    </row>
    <row r="4018" spans="15:47" x14ac:dyDescent="0.25">
      <c r="O4018" s="2" t="s">
        <v>145</v>
      </c>
      <c r="P4018" s="12"/>
      <c r="Q4018" s="2"/>
      <c r="R4018" s="96">
        <f ca="1">IF(R4013&lt;R4017,R4015,R4016)</f>
        <v>36.554839933751794</v>
      </c>
      <c r="S4018" s="116"/>
      <c r="T4018" s="1"/>
      <c r="U4018" s="96">
        <f ca="1">IF(U4013&lt;U4017,U4015,U4016)</f>
        <v>91.867248202636716</v>
      </c>
      <c r="V4018" s="111"/>
      <c r="W4018" s="28"/>
      <c r="X4018" s="96" t="e">
        <f ca="1">IF(X4013&lt;X4017,X4015,X4016)</f>
        <v>#NUM!</v>
      </c>
      <c r="Y4018" s="111"/>
      <c r="Z4018" s="28"/>
      <c r="AA4018" s="96">
        <f ca="1">IF(AA4013&lt;AA4017,AA4015,AA4016)</f>
        <v>-437.46491699668587</v>
      </c>
      <c r="AB4018" s="111"/>
      <c r="AC4018" s="28"/>
      <c r="AD4018" s="96">
        <f ca="1">IF(AD4013&lt;AD4017,AD4015,AD4016)</f>
        <v>-148.0074541519179</v>
      </c>
      <c r="AE4018" s="111"/>
      <c r="AF4018" s="28"/>
      <c r="AG4018" s="96">
        <f ca="1">IF(AG4013&lt;AG4017,AG4015,AG4016)</f>
        <v>-94.395782571995383</v>
      </c>
      <c r="AH4018" s="111"/>
      <c r="AI4018" s="28"/>
      <c r="AJ4018" s="96">
        <f ca="1">IF(AJ4013&lt;AJ4017,AJ4015,AJ4016)</f>
        <v>-72.75322673582555</v>
      </c>
      <c r="AK4018" s="111"/>
      <c r="AL4018" s="28"/>
      <c r="AM4018" s="96">
        <f ca="1">IF(AM4013&lt;AM4017,AM4015,AM4016)</f>
        <v>-65.705350746051749</v>
      </c>
      <c r="AN4018" s="111"/>
      <c r="AO4018" s="28"/>
      <c r="AP4018" s="96">
        <f ca="1">IF(AP4013&lt;AP4017,AP4015,AP4016)</f>
        <v>-57.275720558657518</v>
      </c>
      <c r="AQ4018" s="111"/>
      <c r="AR4018" s="28"/>
      <c r="AS4018" s="96">
        <f ca="1">IF(AS4013&lt;AS4017,AS4015,AS4016)</f>
        <v>-81.324033714014561</v>
      </c>
      <c r="AT4018" s="111"/>
      <c r="AU4018" s="28"/>
    </row>
    <row r="4019" spans="15:47" x14ac:dyDescent="0.25">
      <c r="O4019" s="13" t="s">
        <v>143</v>
      </c>
      <c r="P4019" s="1"/>
      <c r="Q4019" s="1"/>
      <c r="R4019" s="113"/>
      <c r="S4019" s="106">
        <f ca="1">IF(R4012&lt;=0,Q_max,ABS(R$23-R4018))</f>
        <v>31.824839933751793</v>
      </c>
      <c r="T4019" s="7">
        <f>R4008</f>
        <v>88254.212477868219</v>
      </c>
      <c r="U4019" s="98"/>
      <c r="V4019" s="106">
        <f ca="1">IF(U4012&lt;=0,Q_max,ABS(U$23-U4018))</f>
        <v>80.267248202636722</v>
      </c>
      <c r="W4019" s="9">
        <f ca="1">U4008</f>
        <v>197600.51789251508</v>
      </c>
      <c r="X4019" s="98"/>
      <c r="Y4019" s="106">
        <f ca="1">IF(X4012&lt;=0,Q_max,ABS(X$23-X4018))</f>
        <v>236393</v>
      </c>
      <c r="Z4019" s="9">
        <f ca="1">X4008</f>
        <v>483851.08463907411</v>
      </c>
      <c r="AA4019" s="98"/>
      <c r="AB4019" s="106">
        <f ca="1">IF(AA4012&lt;=0,Q_max,ABS(AA$23-AA4018))</f>
        <v>236393</v>
      </c>
      <c r="AC4019" s="9">
        <f ca="1">AA4008</f>
        <v>942418.41210682003</v>
      </c>
      <c r="AD4019" s="98"/>
      <c r="AE4019" s="106">
        <f ca="1">IF(AD4012&lt;=0,Q_max,ABS(AD$23-AD4018))</f>
        <v>236393</v>
      </c>
      <c r="AF4019" s="9">
        <f ca="1">AD4008</f>
        <v>1581084.9293743116</v>
      </c>
      <c r="AG4019" s="98"/>
      <c r="AH4019" s="106">
        <f ca="1">IF(AG4012&lt;=0,Q_max,ABS(AG$23-AG4018))</f>
        <v>236393</v>
      </c>
      <c r="AI4019" s="9">
        <f ca="1">AG4008</f>
        <v>2307636.5170750972</v>
      </c>
      <c r="AJ4019" s="98"/>
      <c r="AK4019" s="106">
        <f ca="1">IF(AJ4012&lt;=0,Q_max,ABS(AJ$23-AJ4018))</f>
        <v>236393</v>
      </c>
      <c r="AL4019" s="9">
        <f ca="1">AJ4008</f>
        <v>3079549.8777448256</v>
      </c>
      <c r="AM4019" s="98"/>
      <c r="AN4019" s="106">
        <f ca="1">IF(AM4012&lt;=0,Q_max,ABS(AM$23-AM4018))</f>
        <v>236393</v>
      </c>
      <c r="AO4019" s="9">
        <f ca="1">AM4008</f>
        <v>3757636.0883472157</v>
      </c>
      <c r="AP4019" s="98"/>
      <c r="AQ4019" s="106">
        <f ca="1">IF(AP4012&lt;=0,Q_max,ABS(AP$23-AP4018))</f>
        <v>236393</v>
      </c>
      <c r="AR4019" s="9">
        <f ca="1">AP4008</f>
        <v>4362498.8441490745</v>
      </c>
      <c r="AS4019" s="98"/>
      <c r="AT4019" s="106">
        <f ca="1">IF(AS4012&lt;=0,Q_max,ABS(AS$23-AS4018))</f>
        <v>236393</v>
      </c>
      <c r="AU4019" s="9">
        <f ca="1">AS4008</f>
        <v>5115372.9831535257</v>
      </c>
    </row>
    <row r="4020" spans="15:47" x14ac:dyDescent="0.25">
      <c r="O4020" s="21"/>
      <c r="P4020" s="14"/>
      <c r="Q4020" s="21"/>
      <c r="R4020" s="97"/>
      <c r="S4020" s="106"/>
      <c r="T4020" s="28"/>
      <c r="U4020" s="97"/>
      <c r="V4020" s="111"/>
      <c r="W4020" s="28"/>
      <c r="X4020" s="97"/>
      <c r="Y4020" s="111"/>
      <c r="Z4020" s="28"/>
      <c r="AA4020" s="97"/>
      <c r="AB4020" s="111"/>
      <c r="AC4020" s="28"/>
      <c r="AD4020" s="97"/>
      <c r="AE4020" s="111"/>
      <c r="AF4020" s="28"/>
      <c r="AG4020" s="97"/>
      <c r="AH4020" s="111"/>
      <c r="AI4020" s="28"/>
      <c r="AJ4020" s="97"/>
      <c r="AK4020" s="111"/>
      <c r="AL4020" s="28"/>
      <c r="AM4020" s="97"/>
      <c r="AN4020" s="111"/>
      <c r="AO4020" s="28"/>
      <c r="AP4020" s="97"/>
      <c r="AQ4020" s="111"/>
      <c r="AR4020" s="28"/>
      <c r="AS4020" s="97"/>
      <c r="AT4020" s="111"/>
      <c r="AU4020" s="28"/>
    </row>
    <row r="4021" spans="15:47" x14ac:dyDescent="0.25">
      <c r="O4021" s="1"/>
      <c r="P4021" s="1"/>
      <c r="Q4021" s="1"/>
      <c r="R4021" s="98"/>
      <c r="S4021" s="108" t="s">
        <v>137</v>
      </c>
      <c r="T4021" s="26" t="s">
        <v>146</v>
      </c>
      <c r="U4021" s="98"/>
      <c r="V4021" s="108" t="s">
        <v>137</v>
      </c>
      <c r="W4021" s="26" t="s">
        <v>146</v>
      </c>
      <c r="X4021" s="98"/>
      <c r="Y4021" s="108" t="s">
        <v>137</v>
      </c>
      <c r="Z4021" s="26" t="s">
        <v>146</v>
      </c>
      <c r="AA4021" s="98"/>
      <c r="AB4021" s="108" t="s">
        <v>137</v>
      </c>
      <c r="AC4021" s="26" t="s">
        <v>146</v>
      </c>
      <c r="AD4021" s="98"/>
      <c r="AE4021" s="108" t="s">
        <v>137</v>
      </c>
      <c r="AF4021" s="26" t="s">
        <v>146</v>
      </c>
      <c r="AG4021" s="98"/>
      <c r="AH4021" s="108" t="s">
        <v>137</v>
      </c>
      <c r="AI4021" s="26" t="s">
        <v>146</v>
      </c>
      <c r="AJ4021" s="98"/>
      <c r="AK4021" s="108" t="s">
        <v>137</v>
      </c>
      <c r="AL4021" s="26" t="s">
        <v>146</v>
      </c>
      <c r="AM4021" s="98"/>
      <c r="AN4021" s="108" t="s">
        <v>137</v>
      </c>
      <c r="AO4021" s="26" t="s">
        <v>146</v>
      </c>
      <c r="AP4021" s="98"/>
      <c r="AQ4021" s="108" t="s">
        <v>137</v>
      </c>
      <c r="AR4021" s="26" t="s">
        <v>146</v>
      </c>
      <c r="AS4021" s="98"/>
      <c r="AT4021" s="108" t="s">
        <v>137</v>
      </c>
      <c r="AU4021" s="26" t="s">
        <v>146</v>
      </c>
    </row>
    <row r="4022" spans="15:47" ht="13.8" x14ac:dyDescent="0.25">
      <c r="O4022" s="20" t="s">
        <v>136</v>
      </c>
      <c r="P4022" s="1"/>
      <c r="Q4022" s="1"/>
      <c r="R4022" s="96">
        <f>R4008*1.02</f>
        <v>90019.296727425579</v>
      </c>
      <c r="S4022" s="109" t="s">
        <v>144</v>
      </c>
      <c r="T4022" s="23" t="s">
        <v>147</v>
      </c>
      <c r="U4022" s="96">
        <f ca="1">U4008*1.01</f>
        <v>199576.52307144023</v>
      </c>
      <c r="V4022" s="109" t="s">
        <v>144</v>
      </c>
      <c r="W4022" s="23" t="s">
        <v>147</v>
      </c>
      <c r="X4022" s="96">
        <f ca="1">X4008*1.01</f>
        <v>488689.59548546484</v>
      </c>
      <c r="Y4022" s="109" t="s">
        <v>144</v>
      </c>
      <c r="Z4022" s="23" t="s">
        <v>147</v>
      </c>
      <c r="AA4022" s="96">
        <f ca="1">AA4008*1.01</f>
        <v>951842.59622788825</v>
      </c>
      <c r="AB4022" s="109" t="s">
        <v>144</v>
      </c>
      <c r="AC4022" s="23" t="s">
        <v>147</v>
      </c>
      <c r="AD4022" s="96">
        <f ca="1">AD4008*1.01</f>
        <v>1596895.7786680546</v>
      </c>
      <c r="AE4022" s="109" t="s">
        <v>144</v>
      </c>
      <c r="AF4022" s="23" t="s">
        <v>147</v>
      </c>
      <c r="AG4022" s="96">
        <f ca="1">AG4008*1.01</f>
        <v>2330712.882245848</v>
      </c>
      <c r="AH4022" s="109" t="s">
        <v>144</v>
      </c>
      <c r="AI4022" s="23" t="s">
        <v>147</v>
      </c>
      <c r="AJ4022" s="96">
        <f ca="1">AJ4008*1.01</f>
        <v>3110345.3765222738</v>
      </c>
      <c r="AK4022" s="109" t="s">
        <v>144</v>
      </c>
      <c r="AL4022" s="23" t="s">
        <v>147</v>
      </c>
      <c r="AM4022" s="96">
        <f ca="1">AM4008*1.01</f>
        <v>3795212.4492306877</v>
      </c>
      <c r="AN4022" s="109" t="s">
        <v>144</v>
      </c>
      <c r="AO4022" s="23" t="s">
        <v>147</v>
      </c>
      <c r="AP4022" s="96">
        <f ca="1">AP4008*1.01</f>
        <v>4406123.8325905651</v>
      </c>
      <c r="AQ4022" s="109" t="s">
        <v>144</v>
      </c>
      <c r="AR4022" s="23" t="s">
        <v>147</v>
      </c>
      <c r="AS4022" s="96">
        <f ca="1">AS4008*1.01</f>
        <v>5166526.7129850611</v>
      </c>
      <c r="AT4022" s="109" t="s">
        <v>144</v>
      </c>
      <c r="AU4022" s="23" t="s">
        <v>147</v>
      </c>
    </row>
    <row r="4023" spans="15:47" x14ac:dyDescent="0.25">
      <c r="O4023" s="1"/>
      <c r="P4023" s="1"/>
      <c r="Q4023" s="1"/>
      <c r="R4023" s="98"/>
      <c r="S4023" s="107"/>
      <c r="T4023" s="1"/>
      <c r="U4023" s="47"/>
      <c r="V4023" s="107"/>
      <c r="W4023" s="1"/>
      <c r="X4023" s="47"/>
      <c r="Y4023" s="107"/>
      <c r="Z4023" s="1"/>
      <c r="AA4023" s="47"/>
      <c r="AB4023" s="107"/>
      <c r="AC4023" s="1"/>
      <c r="AD4023" s="47"/>
      <c r="AE4023" s="107"/>
      <c r="AF4023" s="1"/>
      <c r="AG4023" s="47"/>
      <c r="AH4023" s="107"/>
      <c r="AI4023" s="1"/>
      <c r="AJ4023" s="47"/>
      <c r="AK4023" s="107"/>
      <c r="AL4023" s="1"/>
      <c r="AM4023" s="47"/>
      <c r="AN4023" s="107"/>
      <c r="AO4023" s="1"/>
      <c r="AP4023" s="47"/>
      <c r="AQ4023" s="107"/>
      <c r="AR4023" s="1"/>
      <c r="AS4023" s="47"/>
      <c r="AT4023" s="107"/>
      <c r="AU4023" s="1"/>
    </row>
    <row r="4024" spans="15:47" x14ac:dyDescent="0.25">
      <c r="O4024" s="8" t="s">
        <v>132</v>
      </c>
      <c r="P4024" s="8"/>
      <c r="Q4024" s="8"/>
      <c r="R4024" s="96">
        <f>P_1_minQ-(R4022^2*R_up)+dpup_minQ</f>
        <v>88.708094014617089</v>
      </c>
      <c r="S4024" s="106"/>
      <c r="T4024" s="22"/>
      <c r="U4024" s="96">
        <f ca="1">P_1_minQ-(U4022^2*R_up)+dpup_minQ</f>
        <v>82.925444713217772</v>
      </c>
      <c r="V4024" s="107"/>
      <c r="W4024" s="1"/>
      <c r="X4024" s="96">
        <f ca="1">P_1_minQ-(X4022^2*R_up)+dpup_minQ</f>
        <v>46.657941590173017</v>
      </c>
      <c r="Y4024" s="107"/>
      <c r="Z4024" s="1"/>
      <c r="AA4024" s="96">
        <f ca="1">P_1_minQ-(AA4022^2*R_up)+dpup_minQ</f>
        <v>-74.94413384203429</v>
      </c>
      <c r="AB4024" s="107"/>
      <c r="AC4024" s="1"/>
      <c r="AD4024" s="96">
        <f ca="1">P_1_minQ-(AD4022^2*R_up)+dpup_minQ</f>
        <v>-374.59415817802255</v>
      </c>
      <c r="AE4024" s="107"/>
      <c r="AF4024" s="1"/>
      <c r="AG4024" s="96">
        <f ca="1">P_1_minQ-(AG4022^2*R_up)+dpup_minQ</f>
        <v>-899.89678936005384</v>
      </c>
      <c r="AH4024" s="107"/>
      <c r="AI4024" s="1"/>
      <c r="AJ4024" s="96">
        <f ca="1">P_1_minQ-(AJ4022^2*R_up)+dpup_minQ</f>
        <v>-1673.0522809774575</v>
      </c>
      <c r="AK4024" s="107"/>
      <c r="AL4024" s="1"/>
      <c r="AM4024" s="96">
        <f ca="1">P_1_minQ-(AM4022^2*R_up)+dpup_minQ</f>
        <v>-2535.0350611718131</v>
      </c>
      <c r="AN4024" s="107"/>
      <c r="AO4024" s="1"/>
      <c r="AP4024" s="96">
        <f ca="1">P_1_minQ-(AP4022^2*R_up)+dpup_minQ</f>
        <v>-3448.2150260590179</v>
      </c>
      <c r="AQ4024" s="107"/>
      <c r="AR4024" s="1"/>
      <c r="AS4024" s="96">
        <f ca="1">P_1_minQ-(AS4022^2*R_up)+dpup_minQ</f>
        <v>-4774.9051479404852</v>
      </c>
      <c r="AT4024" s="107"/>
      <c r="AU4024" s="1"/>
    </row>
    <row r="4025" spans="15:47" x14ac:dyDescent="0.25">
      <c r="O4025" s="8" t="s">
        <v>134</v>
      </c>
      <c r="P4025" s="1"/>
      <c r="Q4025" s="8"/>
      <c r="R4025" s="97">
        <f>P_2_minQ+(R4022^2*R_dn)-dpdn_minQ</f>
        <v>60</v>
      </c>
      <c r="S4025" s="106"/>
      <c r="T4025" s="22"/>
      <c r="U4025" s="97">
        <f ca="1">P_2_minQ+(U4022^2*R_dn)-dpdn_minQ</f>
        <v>60</v>
      </c>
      <c r="V4025" s="107"/>
      <c r="W4025" s="1"/>
      <c r="X4025" s="97">
        <f ca="1">P_2_minQ+(X4022^2*R_dn)-dpdn_minQ</f>
        <v>60</v>
      </c>
      <c r="Y4025" s="107"/>
      <c r="Z4025" s="1"/>
      <c r="AA4025" s="97">
        <f ca="1">P_2_minQ+(AA4022^2*R_dn)-dpdn_minQ</f>
        <v>60</v>
      </c>
      <c r="AB4025" s="107"/>
      <c r="AC4025" s="1"/>
      <c r="AD4025" s="97">
        <f ca="1">P_2_minQ+(AD4022^2*R_dn)-dpdn_minQ</f>
        <v>60</v>
      </c>
      <c r="AE4025" s="107"/>
      <c r="AF4025" s="1"/>
      <c r="AG4025" s="97">
        <f ca="1">P_2_minQ+(AG4022^2*R_dn)-dpdn_minQ</f>
        <v>60</v>
      </c>
      <c r="AH4025" s="107"/>
      <c r="AI4025" s="1"/>
      <c r="AJ4025" s="97">
        <f ca="1">P_2_minQ+(AJ4022^2*R_dn)-dpdn_minQ</f>
        <v>60</v>
      </c>
      <c r="AK4025" s="107"/>
      <c r="AL4025" s="1"/>
      <c r="AM4025" s="97">
        <f ca="1">P_2_minQ+(AM4022^2*R_dn)-dpdn_minQ</f>
        <v>60</v>
      </c>
      <c r="AN4025" s="107"/>
      <c r="AO4025" s="1"/>
      <c r="AP4025" s="97">
        <f ca="1">P_2_minQ+(AP4022^2*R_dn)-dpdn_minQ</f>
        <v>60</v>
      </c>
      <c r="AQ4025" s="107"/>
      <c r="AR4025" s="1"/>
      <c r="AS4025" s="97">
        <f ca="1">P_2_minQ+(AS4022^2*R_dn)-dpdn_minQ</f>
        <v>60</v>
      </c>
      <c r="AT4025" s="107"/>
      <c r="AU4025" s="1"/>
    </row>
    <row r="4026" spans="15:47" x14ac:dyDescent="0.25">
      <c r="O4026" s="8" t="s">
        <v>138</v>
      </c>
      <c r="P4026" s="1"/>
      <c r="Q4026" s="8"/>
      <c r="R4026" s="97">
        <f>R4024-R4025</f>
        <v>28.708094014617089</v>
      </c>
      <c r="S4026" s="106"/>
      <c r="T4026" s="22"/>
      <c r="U4026" s="97">
        <f ca="1">U4024-U4025</f>
        <v>22.925444713217772</v>
      </c>
      <c r="V4026" s="110"/>
      <c r="W4026" s="25"/>
      <c r="X4026" s="97">
        <f ca="1">X4024-X4025</f>
        <v>-13.342058409826983</v>
      </c>
      <c r="Y4026" s="110"/>
      <c r="Z4026" s="25"/>
      <c r="AA4026" s="97">
        <f ca="1">AA4024-AA4025</f>
        <v>-134.94413384203429</v>
      </c>
      <c r="AB4026" s="110"/>
      <c r="AC4026" s="25"/>
      <c r="AD4026" s="97">
        <f ca="1">AD4024-AD4025</f>
        <v>-434.59415817802255</v>
      </c>
      <c r="AE4026" s="110"/>
      <c r="AF4026" s="25"/>
      <c r="AG4026" s="97">
        <f ca="1">AG4024-AG4025</f>
        <v>-959.89678936005384</v>
      </c>
      <c r="AH4026" s="110"/>
      <c r="AI4026" s="25"/>
      <c r="AJ4026" s="97">
        <f ca="1">AJ4024-AJ4025</f>
        <v>-1733.0522809774575</v>
      </c>
      <c r="AK4026" s="110"/>
      <c r="AL4026" s="25"/>
      <c r="AM4026" s="97">
        <f ca="1">AM4024-AM4025</f>
        <v>-2595.0350611718131</v>
      </c>
      <c r="AN4026" s="110"/>
      <c r="AO4026" s="25"/>
      <c r="AP4026" s="97">
        <f ca="1">AP4024-AP4025</f>
        <v>-3508.2150260590179</v>
      </c>
      <c r="AQ4026" s="110"/>
      <c r="AR4026" s="25"/>
      <c r="AS4026" s="97">
        <f ca="1">AS4024-AS4025</f>
        <v>-4834.9051479404852</v>
      </c>
      <c r="AT4026" s="110"/>
      <c r="AU4026" s="25"/>
    </row>
    <row r="4027" spans="15:47" ht="14.4" x14ac:dyDescent="0.3">
      <c r="O4027" s="2" t="s">
        <v>140</v>
      </c>
      <c r="P4027" s="11"/>
      <c r="Q4027" s="2"/>
      <c r="R4027" s="96">
        <f>R4026/R4024</f>
        <v>0.32362429081033622</v>
      </c>
      <c r="S4027" s="106"/>
      <c r="T4027" s="22"/>
      <c r="U4027" s="96">
        <f ca="1">U4026/U4024</f>
        <v>0.27645850791034232</v>
      </c>
      <c r="V4027" s="111"/>
      <c r="W4027" s="28"/>
      <c r="X4027" s="96">
        <f ca="1">X4026/X4024</f>
        <v>-0.28595471542698864</v>
      </c>
      <c r="Y4027" s="111"/>
      <c r="Z4027" s="28"/>
      <c r="AA4027" s="96">
        <f ca="1">AA4026/AA4024</f>
        <v>1.8005963498953337</v>
      </c>
      <c r="AB4027" s="111"/>
      <c r="AC4027" s="28"/>
      <c r="AD4027" s="96">
        <f ca="1">AD4026/AD4024</f>
        <v>1.1601733467810396</v>
      </c>
      <c r="AE4027" s="111"/>
      <c r="AF4027" s="28"/>
      <c r="AG4027" s="96">
        <f ca="1">AG4026/AG4024</f>
        <v>1.0666743127760996</v>
      </c>
      <c r="AH4027" s="111"/>
      <c r="AI4027" s="28"/>
      <c r="AJ4027" s="96">
        <f ca="1">AJ4026/AJ4024</f>
        <v>1.0358625971717668</v>
      </c>
      <c r="AK4027" s="111"/>
      <c r="AL4027" s="28"/>
      <c r="AM4027" s="96">
        <f ca="1">AM4026/AM4024</f>
        <v>1.0236683117006931</v>
      </c>
      <c r="AN4027" s="111"/>
      <c r="AO4027" s="28"/>
      <c r="AP4027" s="96">
        <f ca="1">AP4026/AP4024</f>
        <v>1.0174003069839221</v>
      </c>
      <c r="AQ4027" s="111"/>
      <c r="AR4027" s="28"/>
      <c r="AS4027" s="96">
        <f ca="1">AS4026/AS4024</f>
        <v>1.012565694634977</v>
      </c>
      <c r="AT4027" s="111"/>
      <c r="AU4027" s="28"/>
    </row>
    <row r="4028" spans="15:47" x14ac:dyDescent="0.25">
      <c r="O4028" s="2" t="s">
        <v>21</v>
      </c>
      <c r="P4028" s="8">
        <v>12</v>
      </c>
      <c r="Q4028" s="2"/>
      <c r="R4028" s="96">
        <f ca="1">1-R4027/(3*F_GAMMA*R$29)</f>
        <v>0.83145350282573216</v>
      </c>
      <c r="S4028" s="106"/>
      <c r="T4028" s="22"/>
      <c r="U4028" s="96">
        <f ca="1">1-U4027/(3*F_GAMMA*U$29)</f>
        <v>0.85605132412070672</v>
      </c>
      <c r="V4028" s="111"/>
      <c r="W4028" s="28"/>
      <c r="X4028" s="96">
        <f ca="1">1-X4027/(3*F_GAMMA*X$29)</f>
        <v>1.1503113323263658</v>
      </c>
      <c r="Y4028" s="111"/>
      <c r="Z4028" s="28"/>
      <c r="AA4028" s="96">
        <f ca="1">1-AA4027/(3*F_GAMMA*AA$29)</f>
        <v>4.0179698019044197E-2</v>
      </c>
      <c r="AB4028" s="111"/>
      <c r="AC4028" s="28"/>
      <c r="AD4028" s="96">
        <f ca="1">1-AD4027/(3*F_GAMMA*AD$29)</f>
        <v>0.36238123587528548</v>
      </c>
      <c r="AE4028" s="111"/>
      <c r="AF4028" s="28"/>
      <c r="AG4028" s="96">
        <f ca="1">1-AG4027/(3*F_GAMMA*AG$29)</f>
        <v>0.37858971300549527</v>
      </c>
      <c r="AH4028" s="111"/>
      <c r="AI4028" s="28"/>
      <c r="AJ4028" s="96">
        <f ca="1">1-AJ4027/(3*F_GAMMA*AJ$29)</f>
        <v>0.35075926252874257</v>
      </c>
      <c r="AK4028" s="111"/>
      <c r="AL4028" s="28"/>
      <c r="AM4028" s="96">
        <f ca="1">1-AM4027/(3*F_GAMMA*AM$29)</f>
        <v>0.28264076424627571</v>
      </c>
      <c r="AN4028" s="111"/>
      <c r="AO4028" s="28"/>
      <c r="AP4028" s="96">
        <f ca="1">1-AP4027/(3*F_GAMMA*AP$29)</f>
        <v>0.4257247150390816</v>
      </c>
      <c r="AQ4028" s="111"/>
      <c r="AR4028" s="28"/>
      <c r="AS4028" s="96">
        <f ca="1">1-AS4027/(3*F_GAMMA*AS$29)</f>
        <v>0.10397956365992067</v>
      </c>
      <c r="AT4028" s="111"/>
      <c r="AU4028" s="28"/>
    </row>
    <row r="4029" spans="15:47" x14ac:dyDescent="0.25">
      <c r="O4029" s="2" t="s">
        <v>57</v>
      </c>
      <c r="P4029" s="143">
        <v>7</v>
      </c>
      <c r="Q4029" s="2"/>
      <c r="R4029" s="96">
        <f ca="1">(R4022/(N_9*R$27*R4024*R4028))*SQRT(M*'Valve Sizing'!$W$6*'Valve Sizing'!$G$8/R4027)</f>
        <v>37.325005354864864</v>
      </c>
      <c r="S4029" s="107"/>
      <c r="T4029" s="22"/>
      <c r="U4029" s="96">
        <f ca="1">(U4022/(N_9*U$27*U4024*U4028))*SQRT(M*'Valve Sizing'!$W$6*'Valve Sizing'!$G$8/U4027)</f>
        <v>93.084583084577758</v>
      </c>
      <c r="V4029" s="111"/>
      <c r="W4029" s="28"/>
      <c r="X4029" s="96" t="e">
        <f ca="1">(X4022/(N_9*X$27*X4024*X4028))*SQRT(M*'Valve Sizing'!$W$6*'Valve Sizing'!$G$8/X4027)</f>
        <v>#NUM!</v>
      </c>
      <c r="Y4029" s="111"/>
      <c r="Z4029" s="28"/>
      <c r="AA4029" s="96">
        <f ca="1">(AA4022/(N_9*AA$27*AA4024*AA4028))*SQRT(M*'Valve Sizing'!$W$6*'Valve Sizing'!$G$8/AA4027)</f>
        <v>-4134.7738179008984</v>
      </c>
      <c r="AB4029" s="111"/>
      <c r="AC4029" s="28"/>
      <c r="AD4029" s="96">
        <f ca="1">(AD4022/(N_9*AD$27*AD4024*AD4028))*SQRT(M*'Valve Sizing'!$W$6*'Valve Sizing'!$G$8/AD4027)</f>
        <v>-194.07717185736314</v>
      </c>
      <c r="AE4029" s="111"/>
      <c r="AF4029" s="28"/>
      <c r="AG4029" s="96">
        <f ca="1">(AG4022/(N_9*AG$27*AG4024*AG4028))*SQRT(M*'Valve Sizing'!$W$6*'Valve Sizing'!$G$8/AG4027)</f>
        <v>-120.35459792928589</v>
      </c>
      <c r="AH4029" s="111"/>
      <c r="AI4029" s="28"/>
      <c r="AJ4029" s="96">
        <f ca="1">(AJ4022/(N_9*AJ$27*AJ4024*AJ4028))*SQRT(M*'Valve Sizing'!$W$6*'Valve Sizing'!$G$8/AJ4027)</f>
        <v>-98.042247518047319</v>
      </c>
      <c r="AK4029" s="111"/>
      <c r="AL4029" s="28"/>
      <c r="AM4029" s="96">
        <f ca="1">(AM4022/(N_9*AM$27*AM4024*AM4028))*SQRT(M*'Valve Sizing'!$W$6*'Valve Sizing'!$G$8/AM4027)</f>
        <v>-104.57569615560449</v>
      </c>
      <c r="AN4029" s="111"/>
      <c r="AO4029" s="28"/>
      <c r="AP4029" s="96">
        <f ca="1">(AP4022/(N_9*AP$27*AP4024*AP4028))*SQRT(M*'Valve Sizing'!$W$6*'Valve Sizing'!$G$8/AP4027)</f>
        <v>-67.654564089956907</v>
      </c>
      <c r="AQ4029" s="111"/>
      <c r="AR4029" s="28"/>
      <c r="AS4029" s="96">
        <f ca="1">(AS4022/(N_9*AS$27*AS4024*AS4028))*SQRT(M*'Valve Sizing'!$W$6*'Valve Sizing'!$G$8/AS4027)</f>
        <v>-314.91321939816874</v>
      </c>
      <c r="AT4029" s="111"/>
      <c r="AU4029" s="28"/>
    </row>
    <row r="4030" spans="15:47" x14ac:dyDescent="0.25">
      <c r="O4030" s="2" t="s">
        <v>59</v>
      </c>
      <c r="P4030" s="143">
        <v>7</v>
      </c>
      <c r="Q4030" s="2"/>
      <c r="R4030" s="96">
        <f ca="1">(R4022/(N_9*R$27*R4024*0.667))*SQRT(M*'Valve Sizing'!$W$6*'Valve Sizing'!$G$8/R4031)</f>
        <v>33.085104067887016</v>
      </c>
      <c r="S4030" s="107"/>
      <c r="T4030" s="22"/>
      <c r="U4030" s="96">
        <f ca="1">(U4022/(N_9*U$27*U4024*0.667))*SQRT(M*'Valve Sizing'!$W$6*'Valve Sizing'!$G$8/U4031)</f>
        <v>78.508411818587945</v>
      </c>
      <c r="V4030" s="111"/>
      <c r="W4030" s="28"/>
      <c r="X4030" s="96">
        <f ca="1">(X4022/(N_9*X$27*X4024*0.667))*SQRT(M*'Valve Sizing'!$W$6*'Valve Sizing'!$G$8/X4031)</f>
        <v>344.07969152296204</v>
      </c>
      <c r="Y4030" s="111"/>
      <c r="Z4030" s="28"/>
      <c r="AA4030" s="96">
        <f ca="1">(AA4022/(N_9*AA$27*AA4024*0.667))*SQRT(M*'Valve Sizing'!$W$6*'Valve Sizing'!$G$8/AA4031)</f>
        <v>-422.65711600751314</v>
      </c>
      <c r="AB4030" s="111"/>
      <c r="AC4030" s="28"/>
      <c r="AD4030" s="96">
        <f ca="1">(AD4022/(N_9*AD$27*AD4024*0.667))*SQRT(M*'Valve Sizing'!$W$6*'Valve Sizing'!$G$8/AD4031)</f>
        <v>-145.83289415074967</v>
      </c>
      <c r="AE4030" s="111"/>
      <c r="AF4030" s="28"/>
      <c r="AG4030" s="96">
        <f ca="1">(AG4022/(N_9*AG$27*AG4024*0.667))*SQRT(M*'Valve Sizing'!$W$6*'Valve Sizing'!$G$8/AG4031)</f>
        <v>-93.272906085003058</v>
      </c>
      <c r="AH4030" s="111"/>
      <c r="AI4030" s="28"/>
      <c r="AJ4030" s="96">
        <f ca="1">(AJ4022/(N_9*AJ$27*AJ4024*0.667))*SQRT(M*'Valve Sizing'!$W$6*'Valve Sizing'!$G$8/AJ4031)</f>
        <v>-71.954851527087172</v>
      </c>
      <c r="AK4030" s="111"/>
      <c r="AL4030" s="28"/>
      <c r="AM4030" s="96">
        <f ca="1">(AM4022/(N_9*AM$27*AM4024*0.667))*SQRT(M*'Valve Sizing'!$W$6*'Valve Sizing'!$G$8/AM4031)</f>
        <v>-65.008284191681383</v>
      </c>
      <c r="AN4030" s="111"/>
      <c r="AO4030" s="28"/>
      <c r="AP4030" s="96">
        <f ca="1">(AP4022/(N_9*AP$27*AP4024*0.667))*SQRT(M*'Valve Sizing'!$W$6*'Valve Sizing'!$G$8/AP4031)</f>
        <v>-56.678822607942877</v>
      </c>
      <c r="AQ4030" s="111"/>
      <c r="AR4030" s="28"/>
      <c r="AS4030" s="96">
        <f ca="1">(AS4022/(N_9*AS$27*AS4024*0.667))*SQRT(M*'Valve Sizing'!$W$6*'Valve Sizing'!$G$8/AS4031)</f>
        <v>-80.488277519952888</v>
      </c>
      <c r="AT4030" s="111"/>
      <c r="AU4030" s="28"/>
    </row>
    <row r="4031" spans="15:47" ht="15.6" x14ac:dyDescent="0.35">
      <c r="O4031" s="2" t="s">
        <v>68</v>
      </c>
      <c r="P4031" s="143">
        <v>10</v>
      </c>
      <c r="Q4031" s="2"/>
      <c r="R4031" s="96">
        <f ca="1">F_GAMMA*R$29</f>
        <v>0.64002969751372984</v>
      </c>
      <c r="S4031" s="107"/>
      <c r="T4031" s="1"/>
      <c r="U4031" s="96">
        <f ca="1">F_GAMMA*U$29</f>
        <v>0.64017842058782071</v>
      </c>
      <c r="V4031" s="111"/>
      <c r="W4031" s="28"/>
      <c r="X4031" s="96">
        <f ca="1">F_GAMMA*X$29</f>
        <v>0.63413873724904268</v>
      </c>
      <c r="Y4031" s="111"/>
      <c r="Z4031" s="28"/>
      <c r="AA4031" s="96">
        <f ca="1">F_GAMMA*AA$29</f>
        <v>0.62532411750377137</v>
      </c>
      <c r="AB4031" s="111"/>
      <c r="AC4031" s="28"/>
      <c r="AD4031" s="96">
        <f ca="1">F_GAMMA*AD$29</f>
        <v>0.60651359509139569</v>
      </c>
      <c r="AE4031" s="111"/>
      <c r="AF4031" s="28"/>
      <c r="AG4031" s="96">
        <f ca="1">F_GAMMA*AG$29</f>
        <v>0.57217930198481592</v>
      </c>
      <c r="AH4031" s="111"/>
      <c r="AI4031" s="28"/>
      <c r="AJ4031" s="96">
        <f ca="1">F_GAMMA*AJ$29</f>
        <v>0.53183282018848232</v>
      </c>
      <c r="AK4031" s="111"/>
      <c r="AL4031" s="28"/>
      <c r="AM4031" s="96">
        <f ca="1">F_GAMMA*AM$29</f>
        <v>0.47566512503094399</v>
      </c>
      <c r="AN4031" s="111"/>
      <c r="AO4031" s="28"/>
      <c r="AP4031" s="96">
        <f ca="1">F_GAMMA*AP$29</f>
        <v>0.59054158265645496</v>
      </c>
      <c r="AQ4031" s="111"/>
      <c r="AR4031" s="28"/>
      <c r="AS4031" s="96">
        <f ca="1">F_GAMMA*AS$29</f>
        <v>0.3766899554102966</v>
      </c>
      <c r="AT4031" s="111"/>
      <c r="AU4031" s="28"/>
    </row>
    <row r="4032" spans="15:47" x14ac:dyDescent="0.25">
      <c r="O4032" s="2" t="s">
        <v>145</v>
      </c>
      <c r="P4032" s="12"/>
      <c r="Q4032" s="2"/>
      <c r="R4032" s="96">
        <f ca="1">IF(R4027&lt;R4031,R4029,R4030)</f>
        <v>37.325005354864864</v>
      </c>
      <c r="S4032" s="116"/>
      <c r="T4032" s="1"/>
      <c r="U4032" s="96">
        <f ca="1">IF(U4027&lt;U4031,U4029,U4030)</f>
        <v>93.084583084577758</v>
      </c>
      <c r="V4032" s="111"/>
      <c r="W4032" s="28"/>
      <c r="X4032" s="96" t="e">
        <f ca="1">IF(X4027&lt;X4031,X4029,X4030)</f>
        <v>#NUM!</v>
      </c>
      <c r="Y4032" s="111"/>
      <c r="Z4032" s="28"/>
      <c r="AA4032" s="96">
        <f ca="1">IF(AA4027&lt;AA4031,AA4029,AA4030)</f>
        <v>-422.65711600751314</v>
      </c>
      <c r="AB4032" s="111"/>
      <c r="AC4032" s="28"/>
      <c r="AD4032" s="96">
        <f ca="1">IF(AD4027&lt;AD4031,AD4029,AD4030)</f>
        <v>-145.83289415074967</v>
      </c>
      <c r="AE4032" s="111"/>
      <c r="AF4032" s="28"/>
      <c r="AG4032" s="96">
        <f ca="1">IF(AG4027&lt;AG4031,AG4029,AG4030)</f>
        <v>-93.272906085003058</v>
      </c>
      <c r="AH4032" s="111"/>
      <c r="AI4032" s="28"/>
      <c r="AJ4032" s="96">
        <f ca="1">IF(AJ4027&lt;AJ4031,AJ4029,AJ4030)</f>
        <v>-71.954851527087172</v>
      </c>
      <c r="AK4032" s="111"/>
      <c r="AL4032" s="28"/>
      <c r="AM4032" s="96">
        <f ca="1">IF(AM4027&lt;AM4031,AM4029,AM4030)</f>
        <v>-65.008284191681383</v>
      </c>
      <c r="AN4032" s="111"/>
      <c r="AO4032" s="28"/>
      <c r="AP4032" s="96">
        <f ca="1">IF(AP4027&lt;AP4031,AP4029,AP4030)</f>
        <v>-56.678822607942877</v>
      </c>
      <c r="AQ4032" s="111"/>
      <c r="AR4032" s="28"/>
      <c r="AS4032" s="96">
        <f ca="1">IF(AS4027&lt;AS4031,AS4029,AS4030)</f>
        <v>-80.488277519952888</v>
      </c>
      <c r="AT4032" s="111"/>
      <c r="AU4032" s="28"/>
    </row>
    <row r="4033" spans="15:47" x14ac:dyDescent="0.25">
      <c r="O4033" s="13" t="s">
        <v>143</v>
      </c>
      <c r="P4033" s="1"/>
      <c r="Q4033" s="1"/>
      <c r="R4033" s="113"/>
      <c r="S4033" s="106">
        <f ca="1">IF(R4026&lt;=0,Q_max,ABS(R$23-R4032))</f>
        <v>32.595005354864867</v>
      </c>
      <c r="T4033" s="7">
        <f>R4022</f>
        <v>90019.296727425579</v>
      </c>
      <c r="U4033" s="98"/>
      <c r="V4033" s="106">
        <f ca="1">IF(U4026&lt;=0,Q_max,ABS(U$23-U4032))</f>
        <v>81.484583084577764</v>
      </c>
      <c r="W4033" s="9">
        <f ca="1">U4022</f>
        <v>199576.52307144023</v>
      </c>
      <c r="X4033" s="98"/>
      <c r="Y4033" s="106">
        <f ca="1">IF(X4026&lt;=0,Q_max,ABS(X$23-X4032))</f>
        <v>236393</v>
      </c>
      <c r="Z4033" s="9">
        <f ca="1">X4022</f>
        <v>488689.59548546484</v>
      </c>
      <c r="AA4033" s="98"/>
      <c r="AB4033" s="106">
        <f ca="1">IF(AA4026&lt;=0,Q_max,ABS(AA$23-AA4032))</f>
        <v>236393</v>
      </c>
      <c r="AC4033" s="9">
        <f ca="1">AA4022</f>
        <v>951842.59622788825</v>
      </c>
      <c r="AD4033" s="98"/>
      <c r="AE4033" s="106">
        <f ca="1">IF(AD4026&lt;=0,Q_max,ABS(AD$23-AD4032))</f>
        <v>236393</v>
      </c>
      <c r="AF4033" s="9">
        <f ca="1">AD4022</f>
        <v>1596895.7786680546</v>
      </c>
      <c r="AG4033" s="98"/>
      <c r="AH4033" s="106">
        <f ca="1">IF(AG4026&lt;=0,Q_max,ABS(AG$23-AG4032))</f>
        <v>236393</v>
      </c>
      <c r="AI4033" s="9">
        <f ca="1">AG4022</f>
        <v>2330712.882245848</v>
      </c>
      <c r="AJ4033" s="98"/>
      <c r="AK4033" s="106">
        <f ca="1">IF(AJ4026&lt;=0,Q_max,ABS(AJ$23-AJ4032))</f>
        <v>236393</v>
      </c>
      <c r="AL4033" s="9">
        <f ca="1">AJ4022</f>
        <v>3110345.3765222738</v>
      </c>
      <c r="AM4033" s="98"/>
      <c r="AN4033" s="106">
        <f ca="1">IF(AM4026&lt;=0,Q_max,ABS(AM$23-AM4032))</f>
        <v>236393</v>
      </c>
      <c r="AO4033" s="9">
        <f ca="1">AM4022</f>
        <v>3795212.4492306877</v>
      </c>
      <c r="AP4033" s="98"/>
      <c r="AQ4033" s="106">
        <f ca="1">IF(AP4026&lt;=0,Q_max,ABS(AP$23-AP4032))</f>
        <v>236393</v>
      </c>
      <c r="AR4033" s="9">
        <f ca="1">AP4022</f>
        <v>4406123.8325905651</v>
      </c>
      <c r="AS4033" s="98"/>
      <c r="AT4033" s="106">
        <f ca="1">IF(AS4026&lt;=0,Q_max,ABS(AS$23-AS4032))</f>
        <v>236393</v>
      </c>
      <c r="AU4033" s="9">
        <f ca="1">AS4022</f>
        <v>5166526.7129850611</v>
      </c>
    </row>
    <row r="4034" spans="15:47" x14ac:dyDescent="0.25">
      <c r="O4034" s="21"/>
      <c r="P4034" s="14"/>
      <c r="Q4034" s="21"/>
      <c r="R4034" s="97"/>
      <c r="S4034" s="106"/>
      <c r="T4034" s="28"/>
      <c r="U4034" s="97"/>
      <c r="V4034" s="111"/>
      <c r="W4034" s="28"/>
      <c r="X4034" s="97"/>
      <c r="Y4034" s="111"/>
      <c r="Z4034" s="28"/>
      <c r="AA4034" s="97"/>
      <c r="AB4034" s="111"/>
      <c r="AC4034" s="28"/>
      <c r="AD4034" s="97"/>
      <c r="AE4034" s="111"/>
      <c r="AF4034" s="28"/>
      <c r="AG4034" s="97"/>
      <c r="AH4034" s="111"/>
      <c r="AI4034" s="28"/>
      <c r="AJ4034" s="97"/>
      <c r="AK4034" s="111"/>
      <c r="AL4034" s="28"/>
      <c r="AM4034" s="97"/>
      <c r="AN4034" s="111"/>
      <c r="AO4034" s="28"/>
      <c r="AP4034" s="97"/>
      <c r="AQ4034" s="111"/>
      <c r="AR4034" s="28"/>
      <c r="AS4034" s="97"/>
      <c r="AT4034" s="111"/>
      <c r="AU4034" s="28"/>
    </row>
    <row r="4035" spans="15:47" x14ac:dyDescent="0.25">
      <c r="O4035" s="1"/>
      <c r="P4035" s="1"/>
      <c r="Q4035" s="1"/>
      <c r="R4035" s="98"/>
      <c r="S4035" s="108" t="s">
        <v>137</v>
      </c>
      <c r="T4035" s="26" t="s">
        <v>146</v>
      </c>
      <c r="U4035" s="98"/>
      <c r="V4035" s="108" t="s">
        <v>137</v>
      </c>
      <c r="W4035" s="26" t="s">
        <v>146</v>
      </c>
      <c r="X4035" s="98"/>
      <c r="Y4035" s="108" t="s">
        <v>137</v>
      </c>
      <c r="Z4035" s="26" t="s">
        <v>146</v>
      </c>
      <c r="AA4035" s="98"/>
      <c r="AB4035" s="108" t="s">
        <v>137</v>
      </c>
      <c r="AC4035" s="26" t="s">
        <v>146</v>
      </c>
      <c r="AD4035" s="98"/>
      <c r="AE4035" s="108" t="s">
        <v>137</v>
      </c>
      <c r="AF4035" s="26" t="s">
        <v>146</v>
      </c>
      <c r="AG4035" s="98"/>
      <c r="AH4035" s="108" t="s">
        <v>137</v>
      </c>
      <c r="AI4035" s="26" t="s">
        <v>146</v>
      </c>
      <c r="AJ4035" s="98"/>
      <c r="AK4035" s="108" t="s">
        <v>137</v>
      </c>
      <c r="AL4035" s="26" t="s">
        <v>146</v>
      </c>
      <c r="AM4035" s="98"/>
      <c r="AN4035" s="108" t="s">
        <v>137</v>
      </c>
      <c r="AO4035" s="26" t="s">
        <v>146</v>
      </c>
      <c r="AP4035" s="98"/>
      <c r="AQ4035" s="108" t="s">
        <v>137</v>
      </c>
      <c r="AR4035" s="26" t="s">
        <v>146</v>
      </c>
      <c r="AS4035" s="98"/>
      <c r="AT4035" s="108" t="s">
        <v>137</v>
      </c>
      <c r="AU4035" s="26" t="s">
        <v>146</v>
      </c>
    </row>
    <row r="4036" spans="15:47" ht="13.8" x14ac:dyDescent="0.25">
      <c r="O4036" s="20" t="s">
        <v>136</v>
      </c>
      <c r="P4036" s="1"/>
      <c r="Q4036" s="1"/>
      <c r="R4036" s="96">
        <f>R4022*1.02</f>
        <v>91819.68266197409</v>
      </c>
      <c r="S4036" s="109" t="s">
        <v>144</v>
      </c>
      <c r="T4036" s="23" t="s">
        <v>147</v>
      </c>
      <c r="U4036" s="96">
        <f ca="1">U4022*1.01</f>
        <v>201572.28830215463</v>
      </c>
      <c r="V4036" s="109" t="s">
        <v>144</v>
      </c>
      <c r="W4036" s="23" t="s">
        <v>147</v>
      </c>
      <c r="X4036" s="96">
        <f ca="1">X4022*1.01</f>
        <v>493576.49144031951</v>
      </c>
      <c r="Y4036" s="109" t="s">
        <v>144</v>
      </c>
      <c r="Z4036" s="23" t="s">
        <v>147</v>
      </c>
      <c r="AA4036" s="96">
        <f ca="1">AA4022*1.01</f>
        <v>961361.0221901671</v>
      </c>
      <c r="AB4036" s="109" t="s">
        <v>144</v>
      </c>
      <c r="AC4036" s="23" t="s">
        <v>147</v>
      </c>
      <c r="AD4036" s="96">
        <f ca="1">AD4022*1.01</f>
        <v>1612864.7364547353</v>
      </c>
      <c r="AE4036" s="109" t="s">
        <v>144</v>
      </c>
      <c r="AF4036" s="23" t="s">
        <v>147</v>
      </c>
      <c r="AG4036" s="96">
        <f ca="1">AG4022*1.01</f>
        <v>2354020.0110683064</v>
      </c>
      <c r="AH4036" s="109" t="s">
        <v>144</v>
      </c>
      <c r="AI4036" s="23" t="s">
        <v>147</v>
      </c>
      <c r="AJ4036" s="96">
        <f ca="1">AJ4022*1.01</f>
        <v>3141448.8302874966</v>
      </c>
      <c r="AK4036" s="109" t="s">
        <v>144</v>
      </c>
      <c r="AL4036" s="23" t="s">
        <v>147</v>
      </c>
      <c r="AM4036" s="96">
        <f ca="1">AM4022*1.01</f>
        <v>3833164.5737229944</v>
      </c>
      <c r="AN4036" s="109" t="s">
        <v>144</v>
      </c>
      <c r="AO4036" s="23" t="s">
        <v>147</v>
      </c>
      <c r="AP4036" s="96">
        <f ca="1">AP4022*1.01</f>
        <v>4450185.0709164711</v>
      </c>
      <c r="AQ4036" s="109" t="s">
        <v>144</v>
      </c>
      <c r="AR4036" s="23" t="s">
        <v>147</v>
      </c>
      <c r="AS4036" s="96">
        <f ca="1">AS4022*1.01</f>
        <v>5218191.9801149117</v>
      </c>
      <c r="AT4036" s="109" t="s">
        <v>144</v>
      </c>
      <c r="AU4036" s="23" t="s">
        <v>147</v>
      </c>
    </row>
    <row r="4037" spans="15:47" x14ac:dyDescent="0.25">
      <c r="O4037" s="1"/>
      <c r="P4037" s="1"/>
      <c r="Q4037" s="1"/>
      <c r="R4037" s="98"/>
      <c r="S4037" s="107"/>
      <c r="T4037" s="1"/>
      <c r="U4037" s="47"/>
      <c r="V4037" s="107"/>
      <c r="W4037" s="1"/>
      <c r="X4037" s="47"/>
      <c r="Y4037" s="107"/>
      <c r="Z4037" s="1"/>
      <c r="AA4037" s="47"/>
      <c r="AB4037" s="107"/>
      <c r="AC4037" s="1"/>
      <c r="AD4037" s="47"/>
      <c r="AE4037" s="107"/>
      <c r="AF4037" s="1"/>
      <c r="AG4037" s="47"/>
      <c r="AH4037" s="107"/>
      <c r="AI4037" s="1"/>
      <c r="AJ4037" s="47"/>
      <c r="AK4037" s="107"/>
      <c r="AL4037" s="1"/>
      <c r="AM4037" s="47"/>
      <c r="AN4037" s="107"/>
      <c r="AO4037" s="1"/>
      <c r="AP4037" s="47"/>
      <c r="AQ4037" s="107"/>
      <c r="AR4037" s="1"/>
      <c r="AS4037" s="47"/>
      <c r="AT4037" s="107"/>
      <c r="AU4037" s="1"/>
    </row>
    <row r="4038" spans="15:47" x14ac:dyDescent="0.25">
      <c r="O4038" s="8" t="s">
        <v>132</v>
      </c>
      <c r="P4038" s="8"/>
      <c r="Q4038" s="8"/>
      <c r="R4038" s="96">
        <f>P_1_minQ-(R4036^2*R_up)+dpup_minQ</f>
        <v>88.648425375385301</v>
      </c>
      <c r="S4038" s="106"/>
      <c r="T4038" s="22"/>
      <c r="U4038" s="96">
        <f ca="1">P_1_minQ-(U4036^2*R_up)+dpup_minQ</f>
        <v>82.779526837295307</v>
      </c>
      <c r="V4038" s="107"/>
      <c r="W4038" s="1"/>
      <c r="X4038" s="96">
        <f ca="1">P_1_minQ-(X4036^2*R_up)+dpup_minQ</f>
        <v>45.783046901477356</v>
      </c>
      <c r="Y4038" s="107"/>
      <c r="Z4038" s="1"/>
      <c r="AA4038" s="96">
        <f ca="1">P_1_minQ-(AA4036^2*R_up)+dpup_minQ</f>
        <v>-78.263230246917288</v>
      </c>
      <c r="AB4038" s="107"/>
      <c r="AC4038" s="1"/>
      <c r="AD4038" s="96">
        <f ca="1">P_1_minQ-(AD4036^2*R_up)+dpup_minQ</f>
        <v>-383.93622007205897</v>
      </c>
      <c r="AE4038" s="107"/>
      <c r="AF4038" s="1"/>
      <c r="AG4038" s="96">
        <f ca="1">P_1_minQ-(AG4036^2*R_up)+dpup_minQ</f>
        <v>-919.79743414084896</v>
      </c>
      <c r="AH4038" s="107"/>
      <c r="AI4038" s="1"/>
      <c r="AJ4038" s="96">
        <f ca="1">P_1_minQ-(AJ4036^2*R_up)+dpup_minQ</f>
        <v>-1708.4933511397626</v>
      </c>
      <c r="AK4038" s="107"/>
      <c r="AL4038" s="1"/>
      <c r="AM4038" s="96">
        <f ca="1">P_1_minQ-(AM4036^2*R_up)+dpup_minQ</f>
        <v>-2587.8019852160246</v>
      </c>
      <c r="AN4038" s="107"/>
      <c r="AO4038" s="1"/>
      <c r="AP4038" s="96">
        <f ca="1">P_1_minQ-(AP4036^2*R_up)+dpup_minQ</f>
        <v>-3519.3368673974628</v>
      </c>
      <c r="AQ4038" s="107"/>
      <c r="AR4038" s="1"/>
      <c r="AS4038" s="96">
        <f ca="1">P_1_minQ-(AS4036^2*R_up)+dpup_minQ</f>
        <v>-4872.6934607287467</v>
      </c>
      <c r="AT4038" s="107"/>
      <c r="AU4038" s="1"/>
    </row>
    <row r="4039" spans="15:47" x14ac:dyDescent="0.25">
      <c r="O4039" s="8" t="s">
        <v>134</v>
      </c>
      <c r="P4039" s="1"/>
      <c r="Q4039" s="8"/>
      <c r="R4039" s="97">
        <f>P_2_minQ+(R4036^2*R_dn)-dpdn_minQ</f>
        <v>60</v>
      </c>
      <c r="S4039" s="106"/>
      <c r="T4039" s="22"/>
      <c r="U4039" s="97">
        <f ca="1">P_2_minQ+(U4036^2*R_dn)-dpdn_minQ</f>
        <v>60</v>
      </c>
      <c r="V4039" s="107"/>
      <c r="W4039" s="1"/>
      <c r="X4039" s="97">
        <f ca="1">P_2_minQ+(X4036^2*R_dn)-dpdn_minQ</f>
        <v>60</v>
      </c>
      <c r="Y4039" s="107"/>
      <c r="Z4039" s="1"/>
      <c r="AA4039" s="97">
        <f ca="1">P_2_minQ+(AA4036^2*R_dn)-dpdn_minQ</f>
        <v>60</v>
      </c>
      <c r="AB4039" s="107"/>
      <c r="AC4039" s="1"/>
      <c r="AD4039" s="97">
        <f ca="1">P_2_minQ+(AD4036^2*R_dn)-dpdn_minQ</f>
        <v>60</v>
      </c>
      <c r="AE4039" s="107"/>
      <c r="AF4039" s="1"/>
      <c r="AG4039" s="97">
        <f ca="1">P_2_minQ+(AG4036^2*R_dn)-dpdn_minQ</f>
        <v>60</v>
      </c>
      <c r="AH4039" s="107"/>
      <c r="AI4039" s="1"/>
      <c r="AJ4039" s="97">
        <f ca="1">P_2_minQ+(AJ4036^2*R_dn)-dpdn_minQ</f>
        <v>60</v>
      </c>
      <c r="AK4039" s="107"/>
      <c r="AL4039" s="1"/>
      <c r="AM4039" s="97">
        <f ca="1">P_2_minQ+(AM4036^2*R_dn)-dpdn_minQ</f>
        <v>60</v>
      </c>
      <c r="AN4039" s="107"/>
      <c r="AO4039" s="1"/>
      <c r="AP4039" s="97">
        <f ca="1">P_2_minQ+(AP4036^2*R_dn)-dpdn_minQ</f>
        <v>60</v>
      </c>
      <c r="AQ4039" s="107"/>
      <c r="AR4039" s="1"/>
      <c r="AS4039" s="97">
        <f ca="1">P_2_minQ+(AS4036^2*R_dn)-dpdn_minQ</f>
        <v>60</v>
      </c>
      <c r="AT4039" s="107"/>
      <c r="AU4039" s="1"/>
    </row>
    <row r="4040" spans="15:47" x14ac:dyDescent="0.25">
      <c r="O4040" s="8" t="s">
        <v>138</v>
      </c>
      <c r="P4040" s="1"/>
      <c r="Q4040" s="8"/>
      <c r="R4040" s="97">
        <f>R4038-R4039</f>
        <v>28.648425375385301</v>
      </c>
      <c r="S4040" s="106"/>
      <c r="T4040" s="22"/>
      <c r="U4040" s="97">
        <f ca="1">U4038-U4039</f>
        <v>22.779526837295307</v>
      </c>
      <c r="V4040" s="110"/>
      <c r="W4040" s="25"/>
      <c r="X4040" s="97">
        <f ca="1">X4038-X4039</f>
        <v>-14.216953098522644</v>
      </c>
      <c r="Y4040" s="110"/>
      <c r="Z4040" s="25"/>
      <c r="AA4040" s="97">
        <f ca="1">AA4038-AA4039</f>
        <v>-138.26323024691729</v>
      </c>
      <c r="AB4040" s="110"/>
      <c r="AC4040" s="25"/>
      <c r="AD4040" s="97">
        <f ca="1">AD4038-AD4039</f>
        <v>-443.93622007205897</v>
      </c>
      <c r="AE4040" s="110"/>
      <c r="AF4040" s="25"/>
      <c r="AG4040" s="97">
        <f ca="1">AG4038-AG4039</f>
        <v>-979.79743414084896</v>
      </c>
      <c r="AH4040" s="110"/>
      <c r="AI4040" s="25"/>
      <c r="AJ4040" s="97">
        <f ca="1">AJ4038-AJ4039</f>
        <v>-1768.4933511397626</v>
      </c>
      <c r="AK4040" s="110"/>
      <c r="AL4040" s="25"/>
      <c r="AM4040" s="97">
        <f ca="1">AM4038-AM4039</f>
        <v>-2647.8019852160246</v>
      </c>
      <c r="AN4040" s="110"/>
      <c r="AO4040" s="25"/>
      <c r="AP4040" s="97">
        <f ca="1">AP4038-AP4039</f>
        <v>-3579.3368673974628</v>
      </c>
      <c r="AQ4040" s="110"/>
      <c r="AR4040" s="25"/>
      <c r="AS4040" s="97">
        <f ca="1">AS4038-AS4039</f>
        <v>-4932.6934607287467</v>
      </c>
      <c r="AT4040" s="110"/>
      <c r="AU4040" s="25"/>
    </row>
    <row r="4041" spans="15:47" ht="14.4" x14ac:dyDescent="0.3">
      <c r="O4041" s="2" t="s">
        <v>140</v>
      </c>
      <c r="P4041" s="11"/>
      <c r="Q4041" s="2"/>
      <c r="R4041" s="96">
        <f>R4040/R4038</f>
        <v>0.32316902701962724</v>
      </c>
      <c r="S4041" s="106"/>
      <c r="T4041" s="22"/>
      <c r="U4041" s="96">
        <f ca="1">U4040/U4038</f>
        <v>0.27518310031016352</v>
      </c>
      <c r="V4041" s="111"/>
      <c r="W4041" s="28"/>
      <c r="X4041" s="96">
        <f ca="1">X4040/X4038</f>
        <v>-0.31052876688431769</v>
      </c>
      <c r="Y4041" s="111"/>
      <c r="Z4041" s="28"/>
      <c r="AA4041" s="96">
        <f ca="1">AA4040/AA4038</f>
        <v>1.7666435414268291</v>
      </c>
      <c r="AB4041" s="111"/>
      <c r="AC4041" s="28"/>
      <c r="AD4041" s="96">
        <f ca="1">AD4040/AD4038</f>
        <v>1.1562759564303127</v>
      </c>
      <c r="AE4041" s="111"/>
      <c r="AF4041" s="28"/>
      <c r="AG4041" s="96">
        <f ca="1">AG4040/AG4038</f>
        <v>1.0652317540503295</v>
      </c>
      <c r="AH4041" s="111"/>
      <c r="AI4041" s="28"/>
      <c r="AJ4041" s="96">
        <f ca="1">AJ4040/AJ4038</f>
        <v>1.035118661691</v>
      </c>
      <c r="AK4041" s="111"/>
      <c r="AL4041" s="28"/>
      <c r="AM4041" s="96">
        <f ca="1">AM4040/AM4038</f>
        <v>1.0231856998111821</v>
      </c>
      <c r="AN4041" s="111"/>
      <c r="AO4041" s="28"/>
      <c r="AP4041" s="96">
        <f ca="1">AP4040/AP4038</f>
        <v>1.0170486663427505</v>
      </c>
      <c r="AQ4041" s="111"/>
      <c r="AR4041" s="28"/>
      <c r="AS4041" s="96">
        <f ca="1">AS4040/AS4038</f>
        <v>1.0123135182796881</v>
      </c>
      <c r="AT4041" s="111"/>
      <c r="AU4041" s="28"/>
    </row>
    <row r="4042" spans="15:47" x14ac:dyDescent="0.25">
      <c r="O4042" s="2" t="s">
        <v>21</v>
      </c>
      <c r="P4042" s="8">
        <v>12</v>
      </c>
      <c r="Q4042" s="2"/>
      <c r="R4042" s="96">
        <f ca="1">1-R4041/(3*F_GAMMA*R$29)</f>
        <v>0.8316906083811344</v>
      </c>
      <c r="S4042" s="106"/>
      <c r="T4042" s="22"/>
      <c r="U4042" s="96">
        <f ca="1">1-U4041/(3*F_GAMMA*U$29)</f>
        <v>0.85671541377611227</v>
      </c>
      <c r="V4042" s="111"/>
      <c r="W4042" s="28"/>
      <c r="X4042" s="96">
        <f ca="1">1-X4041/(3*F_GAMMA*X$29)</f>
        <v>1.1632286168330832</v>
      </c>
      <c r="Y4042" s="111"/>
      <c r="Z4042" s="28"/>
      <c r="AA4042" s="96">
        <f ca="1">1-AA4041/(3*F_GAMMA*AA$29)</f>
        <v>5.8278476726018602E-2</v>
      </c>
      <c r="AB4042" s="111"/>
      <c r="AC4042" s="28"/>
      <c r="AD4042" s="96">
        <f ca="1">1-AD4041/(3*F_GAMMA*AD$29)</f>
        <v>0.36452319959616997</v>
      </c>
      <c r="AE4042" s="111"/>
      <c r="AF4042" s="28"/>
      <c r="AG4042" s="96">
        <f ca="1">1-AG4041/(3*F_GAMMA*AG$29)</f>
        <v>0.3794301015111996</v>
      </c>
      <c r="AH4042" s="111"/>
      <c r="AI4042" s="28"/>
      <c r="AJ4042" s="96">
        <f ca="1">1-AJ4041/(3*F_GAMMA*AJ$29)</f>
        <v>0.35122553404147294</v>
      </c>
      <c r="AK4042" s="111"/>
      <c r="AL4042" s="28"/>
      <c r="AM4042" s="96">
        <f ca="1">1-AM4041/(3*F_GAMMA*AM$29)</f>
        <v>0.28297896568542158</v>
      </c>
      <c r="AN4042" s="111"/>
      <c r="AO4042" s="28"/>
      <c r="AP4042" s="96">
        <f ca="1">1-AP4041/(3*F_GAMMA*AP$29)</f>
        <v>0.42592319987147897</v>
      </c>
      <c r="AQ4042" s="111"/>
      <c r="AR4042" s="28"/>
      <c r="AS4042" s="96">
        <f ca="1">1-AS4041/(3*F_GAMMA*AS$29)</f>
        <v>0.10420271477900156</v>
      </c>
      <c r="AT4042" s="111"/>
      <c r="AU4042" s="28"/>
    </row>
    <row r="4043" spans="15:47" x14ac:dyDescent="0.25">
      <c r="O4043" s="2" t="s">
        <v>57</v>
      </c>
      <c r="P4043" s="143">
        <v>7</v>
      </c>
      <c r="Q4043" s="2"/>
      <c r="R4043" s="96">
        <f ca="1">(R4036/(N_9*R$27*R4038*R4042))*SQRT(M*'Valve Sizing'!$W$6*'Valve Sizing'!$G$8/R4041)</f>
        <v>38.113087609046907</v>
      </c>
      <c r="S4043" s="107"/>
      <c r="T4043" s="22"/>
      <c r="U4043" s="96">
        <f ca="1">(U4036/(N_9*U$27*U4038*U4042))*SQRT(M*'Valve Sizing'!$W$6*'Valve Sizing'!$G$8/U4041)</f>
        <v>94.325979610883707</v>
      </c>
      <c r="V4043" s="111"/>
      <c r="W4043" s="28"/>
      <c r="X4043" s="96" t="e">
        <f ca="1">(X4036/(N_9*X$27*X4038*X4042))*SQRT(M*'Valve Sizing'!$W$6*'Valve Sizing'!$G$8/X4041)</f>
        <v>#NUM!</v>
      </c>
      <c r="Y4043" s="111"/>
      <c r="Z4043" s="28"/>
      <c r="AA4043" s="96">
        <f ca="1">(AA4036/(N_9*AA$27*AA4038*AA4042))*SQRT(M*'Valve Sizing'!$W$6*'Valve Sizing'!$G$8/AA4041)</f>
        <v>-2783.4613888089966</v>
      </c>
      <c r="AB4043" s="111"/>
      <c r="AC4043" s="28"/>
      <c r="AD4043" s="96">
        <f ca="1">(AD4036/(N_9*AD$27*AD4038*AD4042))*SQRT(M*'Valve Sizing'!$W$6*'Valve Sizing'!$G$8/AD4041)</f>
        <v>-190.44473323811957</v>
      </c>
      <c r="AE4043" s="111"/>
      <c r="AF4043" s="28"/>
      <c r="AG4043" s="96">
        <f ca="1">(AG4036/(N_9*AG$27*AG4038*AG4042))*SQRT(M*'Valve Sizing'!$W$6*'Valve Sizing'!$G$8/AG4041)</f>
        <v>-118.74503566109861</v>
      </c>
      <c r="AH4043" s="111"/>
      <c r="AI4043" s="28"/>
      <c r="AJ4043" s="96">
        <f ca="1">(AJ4036/(N_9*AJ$27*AJ4038*AJ4042))*SQRT(M*'Valve Sizing'!$W$6*'Valve Sizing'!$G$8/AJ4041)</f>
        <v>-96.874600635641414</v>
      </c>
      <c r="AK4043" s="111"/>
      <c r="AL4043" s="28"/>
      <c r="AM4043" s="96">
        <f ca="1">(AM4036/(N_9*AM$27*AM4038*AM4042))*SQRT(M*'Valve Sizing'!$W$6*'Valve Sizing'!$G$8/AM4041)</f>
        <v>-103.36847508845906</v>
      </c>
      <c r="AN4043" s="111"/>
      <c r="AO4043" s="28"/>
      <c r="AP4043" s="96">
        <f ca="1">(AP4036/(N_9*AP$27*AP4038*AP4042))*SQRT(M*'Valve Sizing'!$W$6*'Valve Sizing'!$G$8/AP4041)</f>
        <v>-66.930582796130849</v>
      </c>
      <c r="AQ4043" s="111"/>
      <c r="AR4043" s="28"/>
      <c r="AS4043" s="96">
        <f ca="1">(AS4036/(N_9*AS$27*AS4038*AS4042))*SQRT(M*'Valve Sizing'!$W$6*'Valve Sizing'!$G$8/AS4041)</f>
        <v>-311.05054527012595</v>
      </c>
      <c r="AT4043" s="111"/>
      <c r="AU4043" s="28"/>
    </row>
    <row r="4044" spans="15:47" x14ac:dyDescent="0.25">
      <c r="O4044" s="2" t="s">
        <v>59</v>
      </c>
      <c r="P4044" s="143">
        <v>7</v>
      </c>
      <c r="Q4044" s="2"/>
      <c r="R4044" s="96">
        <f ca="1">(R4036/(N_9*R$27*R4038*0.667))*SQRT(M*'Valve Sizing'!$W$6*'Valve Sizing'!$G$8/R4045)</f>
        <v>33.769520890006561</v>
      </c>
      <c r="S4044" s="107"/>
      <c r="T4044" s="22"/>
      <c r="U4044" s="96">
        <f ca="1">(U4036/(N_9*U$27*U4038*0.667))*SQRT(M*'Valve Sizing'!$W$6*'Valve Sizing'!$G$8/U4045)</f>
        <v>79.433268884791545</v>
      </c>
      <c r="V4044" s="111"/>
      <c r="W4044" s="28"/>
      <c r="X4044" s="96">
        <f ca="1">(X4036/(N_9*X$27*X4038*0.667))*SQRT(M*'Valve Sizing'!$W$6*'Valve Sizing'!$G$8/X4045)</f>
        <v>354.1614581884528</v>
      </c>
      <c r="Y4044" s="111"/>
      <c r="Z4044" s="28"/>
      <c r="AA4044" s="96">
        <f ca="1">(AA4036/(N_9*AA$27*AA4038*0.667))*SQRT(M*'Valve Sizing'!$W$6*'Valve Sizing'!$G$8/AA4045)</f>
        <v>-408.77980739018858</v>
      </c>
      <c r="AB4044" s="111"/>
      <c r="AC4044" s="28"/>
      <c r="AD4044" s="96">
        <f ca="1">(AD4036/(N_9*AD$27*AD4038*0.667))*SQRT(M*'Valve Sizing'!$W$6*'Valve Sizing'!$G$8/AD4045)</f>
        <v>-143.7072847956361</v>
      </c>
      <c r="AE4044" s="111"/>
      <c r="AF4044" s="28"/>
      <c r="AG4044" s="96">
        <f ca="1">(AG4036/(N_9*AG$27*AG4038*0.667))*SQRT(M*'Valve Sizing'!$W$6*'Valve Sizing'!$G$8/AG4045)</f>
        <v>-92.167411498123585</v>
      </c>
      <c r="AH4044" s="111"/>
      <c r="AI4044" s="28"/>
      <c r="AJ4044" s="96">
        <f ca="1">(AJ4036/(N_9*AJ$27*AJ4038*0.667))*SQRT(M*'Valve Sizing'!$W$6*'Valve Sizing'!$G$8/AJ4045)</f>
        <v>-71.166838711091302</v>
      </c>
      <c r="AK4044" s="111"/>
      <c r="AL4044" s="28"/>
      <c r="AM4044" s="96">
        <f ca="1">(AM4036/(N_9*AM$27*AM4038*0.667))*SQRT(M*'Valve Sizing'!$W$6*'Valve Sizing'!$G$8/AM4045)</f>
        <v>-64.319551279563754</v>
      </c>
      <c r="AN4044" s="111"/>
      <c r="AO4044" s="28"/>
      <c r="AP4044" s="96">
        <f ca="1">(AP4036/(N_9*AP$27*AP4038*0.667))*SQRT(M*'Valve Sizing'!$W$6*'Valve Sizing'!$G$8/AP4045)</f>
        <v>-56.088741399676145</v>
      </c>
      <c r="AQ4044" s="111"/>
      <c r="AR4044" s="28"/>
      <c r="AS4044" s="96">
        <f ca="1">(AS4036/(N_9*AS$27*AS4038*0.667))*SQRT(M*'Valve Sizing'!$W$6*'Valve Sizing'!$G$8/AS4045)</f>
        <v>-79.661717428787554</v>
      </c>
      <c r="AT4044" s="111"/>
      <c r="AU4044" s="28"/>
    </row>
    <row r="4045" spans="15:47" ht="15.6" x14ac:dyDescent="0.35">
      <c r="O4045" s="2" t="s">
        <v>68</v>
      </c>
      <c r="P4045" s="143">
        <v>10</v>
      </c>
      <c r="Q4045" s="2"/>
      <c r="R4045" s="96">
        <f ca="1">F_GAMMA*R$29</f>
        <v>0.64002969751372984</v>
      </c>
      <c r="S4045" s="107"/>
      <c r="T4045" s="1"/>
      <c r="U4045" s="96">
        <f ca="1">F_GAMMA*U$29</f>
        <v>0.64017842058782071</v>
      </c>
      <c r="V4045" s="111"/>
      <c r="W4045" s="28"/>
      <c r="X4045" s="96">
        <f ca="1">F_GAMMA*X$29</f>
        <v>0.63413873724904268</v>
      </c>
      <c r="Y4045" s="111"/>
      <c r="Z4045" s="28"/>
      <c r="AA4045" s="96">
        <f ca="1">F_GAMMA*AA$29</f>
        <v>0.62532411750377137</v>
      </c>
      <c r="AB4045" s="111"/>
      <c r="AC4045" s="28"/>
      <c r="AD4045" s="96">
        <f ca="1">F_GAMMA*AD$29</f>
        <v>0.60651359509139569</v>
      </c>
      <c r="AE4045" s="111"/>
      <c r="AF4045" s="28"/>
      <c r="AG4045" s="96">
        <f ca="1">F_GAMMA*AG$29</f>
        <v>0.57217930198481592</v>
      </c>
      <c r="AH4045" s="111"/>
      <c r="AI4045" s="28"/>
      <c r="AJ4045" s="96">
        <f ca="1">F_GAMMA*AJ$29</f>
        <v>0.53183282018848232</v>
      </c>
      <c r="AK4045" s="111"/>
      <c r="AL4045" s="28"/>
      <c r="AM4045" s="96">
        <f ca="1">F_GAMMA*AM$29</f>
        <v>0.47566512503094399</v>
      </c>
      <c r="AN4045" s="111"/>
      <c r="AO4045" s="28"/>
      <c r="AP4045" s="96">
        <f ca="1">F_GAMMA*AP$29</f>
        <v>0.59054158265645496</v>
      </c>
      <c r="AQ4045" s="111"/>
      <c r="AR4045" s="28"/>
      <c r="AS4045" s="96">
        <f ca="1">F_GAMMA*AS$29</f>
        <v>0.3766899554102966</v>
      </c>
      <c r="AT4045" s="111"/>
      <c r="AU4045" s="28"/>
    </row>
    <row r="4046" spans="15:47" x14ac:dyDescent="0.25">
      <c r="O4046" s="2" t="s">
        <v>145</v>
      </c>
      <c r="P4046" s="12"/>
      <c r="Q4046" s="2"/>
      <c r="R4046" s="96">
        <f ca="1">IF(R4041&lt;R4045,R4043,R4044)</f>
        <v>38.113087609046907</v>
      </c>
      <c r="S4046" s="116"/>
      <c r="T4046" s="1"/>
      <c r="U4046" s="96">
        <f ca="1">IF(U4041&lt;U4045,U4043,U4044)</f>
        <v>94.325979610883707</v>
      </c>
      <c r="V4046" s="111"/>
      <c r="W4046" s="28"/>
      <c r="X4046" s="96" t="e">
        <f ca="1">IF(X4041&lt;X4045,X4043,X4044)</f>
        <v>#NUM!</v>
      </c>
      <c r="Y4046" s="111"/>
      <c r="Z4046" s="28"/>
      <c r="AA4046" s="96">
        <f ca="1">IF(AA4041&lt;AA4045,AA4043,AA4044)</f>
        <v>-408.77980739018858</v>
      </c>
      <c r="AB4046" s="111"/>
      <c r="AC4046" s="28"/>
      <c r="AD4046" s="96">
        <f ca="1">IF(AD4041&lt;AD4045,AD4043,AD4044)</f>
        <v>-143.7072847956361</v>
      </c>
      <c r="AE4046" s="111"/>
      <c r="AF4046" s="28"/>
      <c r="AG4046" s="96">
        <f ca="1">IF(AG4041&lt;AG4045,AG4043,AG4044)</f>
        <v>-92.167411498123585</v>
      </c>
      <c r="AH4046" s="111"/>
      <c r="AI4046" s="28"/>
      <c r="AJ4046" s="96">
        <f ca="1">IF(AJ4041&lt;AJ4045,AJ4043,AJ4044)</f>
        <v>-71.166838711091302</v>
      </c>
      <c r="AK4046" s="111"/>
      <c r="AL4046" s="28"/>
      <c r="AM4046" s="96">
        <f ca="1">IF(AM4041&lt;AM4045,AM4043,AM4044)</f>
        <v>-64.319551279563754</v>
      </c>
      <c r="AN4046" s="111"/>
      <c r="AO4046" s="28"/>
      <c r="AP4046" s="96">
        <f ca="1">IF(AP4041&lt;AP4045,AP4043,AP4044)</f>
        <v>-56.088741399676145</v>
      </c>
      <c r="AQ4046" s="111"/>
      <c r="AR4046" s="28"/>
      <c r="AS4046" s="96">
        <f ca="1">IF(AS4041&lt;AS4045,AS4043,AS4044)</f>
        <v>-79.661717428787554</v>
      </c>
      <c r="AT4046" s="111"/>
      <c r="AU4046" s="28"/>
    </row>
    <row r="4047" spans="15:47" x14ac:dyDescent="0.25">
      <c r="O4047" s="13" t="s">
        <v>143</v>
      </c>
      <c r="P4047" s="1"/>
      <c r="Q4047" s="1"/>
      <c r="R4047" s="113"/>
      <c r="S4047" s="106">
        <f ca="1">IF(R4040&lt;=0,Q_max,ABS(R$23-R4046))</f>
        <v>33.38308760904691</v>
      </c>
      <c r="T4047" s="7">
        <f>R4036</f>
        <v>91819.68266197409</v>
      </c>
      <c r="U4047" s="98"/>
      <c r="V4047" s="106">
        <f ca="1">IF(U4040&lt;=0,Q_max,ABS(U$23-U4046))</f>
        <v>82.725979610883712</v>
      </c>
      <c r="W4047" s="9">
        <f ca="1">U4036</f>
        <v>201572.28830215463</v>
      </c>
      <c r="X4047" s="98"/>
      <c r="Y4047" s="106">
        <f ca="1">IF(X4040&lt;=0,Q_max,ABS(X$23-X4046))</f>
        <v>236393</v>
      </c>
      <c r="Z4047" s="9">
        <f ca="1">X4036</f>
        <v>493576.49144031951</v>
      </c>
      <c r="AA4047" s="98"/>
      <c r="AB4047" s="106">
        <f ca="1">IF(AA4040&lt;=0,Q_max,ABS(AA$23-AA4046))</f>
        <v>236393</v>
      </c>
      <c r="AC4047" s="9">
        <f ca="1">AA4036</f>
        <v>961361.0221901671</v>
      </c>
      <c r="AD4047" s="98"/>
      <c r="AE4047" s="106">
        <f ca="1">IF(AD4040&lt;=0,Q_max,ABS(AD$23-AD4046))</f>
        <v>236393</v>
      </c>
      <c r="AF4047" s="9">
        <f ca="1">AD4036</f>
        <v>1612864.7364547353</v>
      </c>
      <c r="AG4047" s="98"/>
      <c r="AH4047" s="106">
        <f ca="1">IF(AG4040&lt;=0,Q_max,ABS(AG$23-AG4046))</f>
        <v>236393</v>
      </c>
      <c r="AI4047" s="9">
        <f ca="1">AG4036</f>
        <v>2354020.0110683064</v>
      </c>
      <c r="AJ4047" s="98"/>
      <c r="AK4047" s="106">
        <f ca="1">IF(AJ4040&lt;=0,Q_max,ABS(AJ$23-AJ4046))</f>
        <v>236393</v>
      </c>
      <c r="AL4047" s="9">
        <f ca="1">AJ4036</f>
        <v>3141448.8302874966</v>
      </c>
      <c r="AM4047" s="98"/>
      <c r="AN4047" s="106">
        <f ca="1">IF(AM4040&lt;=0,Q_max,ABS(AM$23-AM4046))</f>
        <v>236393</v>
      </c>
      <c r="AO4047" s="9">
        <f ca="1">AM4036</f>
        <v>3833164.5737229944</v>
      </c>
      <c r="AP4047" s="98"/>
      <c r="AQ4047" s="106">
        <f ca="1">IF(AP4040&lt;=0,Q_max,ABS(AP$23-AP4046))</f>
        <v>236393</v>
      </c>
      <c r="AR4047" s="9">
        <f ca="1">AP4036</f>
        <v>4450185.0709164711</v>
      </c>
      <c r="AS4047" s="98"/>
      <c r="AT4047" s="106">
        <f ca="1">IF(AS4040&lt;=0,Q_max,ABS(AS$23-AS4046))</f>
        <v>236393</v>
      </c>
      <c r="AU4047" s="9">
        <f ca="1">AS4036</f>
        <v>5218191.9801149117</v>
      </c>
    </row>
    <row r="4048" spans="15:47" x14ac:dyDescent="0.25">
      <c r="O4048" s="21"/>
      <c r="P4048" s="14"/>
      <c r="Q4048" s="21"/>
      <c r="R4048" s="97"/>
      <c r="S4048" s="106"/>
      <c r="T4048" s="28"/>
      <c r="U4048" s="99"/>
      <c r="V4048" s="110"/>
      <c r="W4048" s="25"/>
      <c r="X4048" s="99"/>
      <c r="Y4048" s="110"/>
      <c r="Z4048" s="25"/>
      <c r="AA4048" s="99"/>
      <c r="AB4048" s="110"/>
      <c r="AC4048" s="25"/>
      <c r="AD4048" s="99"/>
      <c r="AE4048" s="110"/>
      <c r="AF4048" s="25"/>
      <c r="AG4048" s="99"/>
      <c r="AH4048" s="110"/>
      <c r="AI4048" s="25"/>
      <c r="AJ4048" s="99"/>
      <c r="AK4048" s="110"/>
      <c r="AL4048" s="25"/>
      <c r="AM4048" s="99"/>
      <c r="AN4048" s="110"/>
      <c r="AO4048" s="25"/>
      <c r="AP4048" s="99"/>
      <c r="AQ4048" s="110"/>
      <c r="AR4048" s="25"/>
      <c r="AS4048" s="99"/>
      <c r="AT4048" s="110"/>
      <c r="AU4048" s="25"/>
    </row>
    <row r="4049" spans="15:47" x14ac:dyDescent="0.25">
      <c r="O4049" s="1"/>
      <c r="P4049" s="1"/>
      <c r="Q4049" s="1"/>
      <c r="R4049" s="98"/>
      <c r="S4049" s="108" t="s">
        <v>137</v>
      </c>
      <c r="T4049" s="26" t="s">
        <v>146</v>
      </c>
      <c r="U4049" s="98"/>
      <c r="V4049" s="108" t="s">
        <v>137</v>
      </c>
      <c r="W4049" s="26" t="s">
        <v>146</v>
      </c>
      <c r="X4049" s="98"/>
      <c r="Y4049" s="108" t="s">
        <v>137</v>
      </c>
      <c r="Z4049" s="26" t="s">
        <v>146</v>
      </c>
      <c r="AA4049" s="98"/>
      <c r="AB4049" s="108" t="s">
        <v>137</v>
      </c>
      <c r="AC4049" s="26" t="s">
        <v>146</v>
      </c>
      <c r="AD4049" s="98"/>
      <c r="AE4049" s="108" t="s">
        <v>137</v>
      </c>
      <c r="AF4049" s="26" t="s">
        <v>146</v>
      </c>
      <c r="AG4049" s="98"/>
      <c r="AH4049" s="108" t="s">
        <v>137</v>
      </c>
      <c r="AI4049" s="26" t="s">
        <v>146</v>
      </c>
      <c r="AJ4049" s="98"/>
      <c r="AK4049" s="108" t="s">
        <v>137</v>
      </c>
      <c r="AL4049" s="26" t="s">
        <v>146</v>
      </c>
      <c r="AM4049" s="98"/>
      <c r="AN4049" s="108" t="s">
        <v>137</v>
      </c>
      <c r="AO4049" s="26" t="s">
        <v>146</v>
      </c>
      <c r="AP4049" s="98"/>
      <c r="AQ4049" s="108" t="s">
        <v>137</v>
      </c>
      <c r="AR4049" s="26" t="s">
        <v>146</v>
      </c>
      <c r="AS4049" s="98"/>
      <c r="AT4049" s="108" t="s">
        <v>137</v>
      </c>
      <c r="AU4049" s="26" t="s">
        <v>146</v>
      </c>
    </row>
    <row r="4050" spans="15:47" ht="13.8" x14ac:dyDescent="0.25">
      <c r="O4050" s="20" t="s">
        <v>136</v>
      </c>
      <c r="P4050" s="1"/>
      <c r="Q4050" s="1"/>
      <c r="R4050" s="96">
        <f>R4036*1.02</f>
        <v>93656.076315213577</v>
      </c>
      <c r="S4050" s="109" t="s">
        <v>144</v>
      </c>
      <c r="T4050" s="23" t="s">
        <v>147</v>
      </c>
      <c r="U4050" s="96">
        <f ca="1">U4036*1.01</f>
        <v>203588.01118517618</v>
      </c>
      <c r="V4050" s="109" t="s">
        <v>144</v>
      </c>
      <c r="W4050" s="23" t="s">
        <v>147</v>
      </c>
      <c r="X4050" s="96">
        <f ca="1">X4036*1.01</f>
        <v>498512.25635472272</v>
      </c>
      <c r="Y4050" s="109" t="s">
        <v>144</v>
      </c>
      <c r="Z4050" s="23" t="s">
        <v>147</v>
      </c>
      <c r="AA4050" s="96">
        <f ca="1">AA4036*1.01</f>
        <v>970974.63241206878</v>
      </c>
      <c r="AB4050" s="109" t="s">
        <v>144</v>
      </c>
      <c r="AC4050" s="23" t="s">
        <v>147</v>
      </c>
      <c r="AD4050" s="96">
        <f ca="1">AD4036*1.01</f>
        <v>1628993.3838192828</v>
      </c>
      <c r="AE4050" s="109" t="s">
        <v>144</v>
      </c>
      <c r="AF4050" s="23" t="s">
        <v>147</v>
      </c>
      <c r="AG4050" s="96">
        <f ca="1">AG4036*1.01</f>
        <v>2377560.2111789896</v>
      </c>
      <c r="AH4050" s="109" t="s">
        <v>144</v>
      </c>
      <c r="AI4050" s="23" t="s">
        <v>147</v>
      </c>
      <c r="AJ4050" s="96">
        <f ca="1">AJ4036*1.01</f>
        <v>3172863.3185903714</v>
      </c>
      <c r="AK4050" s="109" t="s">
        <v>144</v>
      </c>
      <c r="AL4050" s="23" t="s">
        <v>147</v>
      </c>
      <c r="AM4050" s="96">
        <f ca="1">AM4036*1.01</f>
        <v>3871496.2194602243</v>
      </c>
      <c r="AN4050" s="109" t="s">
        <v>144</v>
      </c>
      <c r="AO4050" s="23" t="s">
        <v>147</v>
      </c>
      <c r="AP4050" s="96">
        <f ca="1">AP4036*1.01</f>
        <v>4494686.9216256356</v>
      </c>
      <c r="AQ4050" s="109" t="s">
        <v>144</v>
      </c>
      <c r="AR4050" s="23" t="s">
        <v>147</v>
      </c>
      <c r="AS4050" s="96">
        <f ca="1">AS4036*1.01</f>
        <v>5270373.8999160612</v>
      </c>
      <c r="AT4050" s="109" t="s">
        <v>144</v>
      </c>
      <c r="AU4050" s="23" t="s">
        <v>147</v>
      </c>
    </row>
    <row r="4051" spans="15:47" x14ac:dyDescent="0.25">
      <c r="O4051" s="1"/>
      <c r="P4051" s="1"/>
      <c r="Q4051" s="1"/>
      <c r="R4051" s="98"/>
      <c r="S4051" s="107"/>
      <c r="T4051" s="1"/>
      <c r="U4051" s="47"/>
      <c r="V4051" s="107"/>
      <c r="W4051" s="1"/>
      <c r="X4051" s="47"/>
      <c r="Y4051" s="107"/>
      <c r="Z4051" s="1"/>
      <c r="AA4051" s="47"/>
      <c r="AB4051" s="107"/>
      <c r="AC4051" s="1"/>
      <c r="AD4051" s="47"/>
      <c r="AE4051" s="107"/>
      <c r="AF4051" s="1"/>
      <c r="AG4051" s="47"/>
      <c r="AH4051" s="107"/>
      <c r="AI4051" s="1"/>
      <c r="AJ4051" s="47"/>
      <c r="AK4051" s="107"/>
      <c r="AL4051" s="1"/>
      <c r="AM4051" s="47"/>
      <c r="AN4051" s="107"/>
      <c r="AO4051" s="1"/>
      <c r="AP4051" s="47"/>
      <c r="AQ4051" s="107"/>
      <c r="AR4051" s="1"/>
      <c r="AS4051" s="47"/>
      <c r="AT4051" s="107"/>
      <c r="AU4051" s="1"/>
    </row>
    <row r="4052" spans="15:47" x14ac:dyDescent="0.25">
      <c r="O4052" s="8" t="s">
        <v>132</v>
      </c>
      <c r="P4052" s="8"/>
      <c r="Q4052" s="8"/>
      <c r="R4052" s="96">
        <f>P_1_minQ-(R4050^2*R_up)+dpup_minQ</f>
        <v>88.586346123128536</v>
      </c>
      <c r="S4052" s="106"/>
      <c r="T4052" s="22"/>
      <c r="U4052" s="96">
        <f ca="1">P_1_minQ-(U4050^2*R_up)+dpup_minQ</f>
        <v>82.6306760120668</v>
      </c>
      <c r="V4052" s="107"/>
      <c r="W4052" s="1"/>
      <c r="X4052" s="96">
        <f ca="1">P_1_minQ-(X4050^2*R_up)+dpup_minQ</f>
        <v>44.890566829538912</v>
      </c>
      <c r="Y4052" s="107"/>
      <c r="Z4052" s="1"/>
      <c r="AA4052" s="96">
        <f ca="1">P_1_minQ-(AA4050^2*R_up)+dpup_minQ</f>
        <v>-81.649040489538464</v>
      </c>
      <c r="AB4052" s="107"/>
      <c r="AC4052" s="1"/>
      <c r="AD4052" s="96">
        <f ca="1">P_1_minQ-(AD4050^2*R_up)+dpup_minQ</f>
        <v>-393.4660574101656</v>
      </c>
      <c r="AE4052" s="107"/>
      <c r="AF4052" s="1"/>
      <c r="AG4052" s="96">
        <f ca="1">P_1_minQ-(AG4050^2*R_up)+dpup_minQ</f>
        <v>-940.09808188173815</v>
      </c>
      <c r="AH4052" s="107"/>
      <c r="AI4052" s="1"/>
      <c r="AJ4052" s="96">
        <f ca="1">P_1_minQ-(AJ4050^2*R_up)+dpup_minQ</f>
        <v>-1744.64678681233</v>
      </c>
      <c r="AK4052" s="107"/>
      <c r="AL4052" s="1"/>
      <c r="AM4052" s="96">
        <f ca="1">P_1_minQ-(AM4050^2*R_up)+dpup_minQ</f>
        <v>-2641.6295244335242</v>
      </c>
      <c r="AN4052" s="107"/>
      <c r="AO4052" s="1"/>
      <c r="AP4052" s="96">
        <f ca="1">P_1_minQ-(AP4050^2*R_up)+dpup_minQ</f>
        <v>-3591.8882577468094</v>
      </c>
      <c r="AQ4052" s="107"/>
      <c r="AR4052" s="1"/>
      <c r="AS4052" s="96">
        <f ca="1">P_1_minQ-(AS4050^2*R_up)+dpup_minQ</f>
        <v>-4972.4473186040541</v>
      </c>
      <c r="AT4052" s="107"/>
      <c r="AU4052" s="1"/>
    </row>
    <row r="4053" spans="15:47" x14ac:dyDescent="0.25">
      <c r="O4053" s="8" t="s">
        <v>134</v>
      </c>
      <c r="P4053" s="1"/>
      <c r="Q4053" s="8"/>
      <c r="R4053" s="97">
        <f>P_2_minQ+(R4050^2*R_dn)-dpdn_minQ</f>
        <v>60</v>
      </c>
      <c r="S4053" s="106"/>
      <c r="T4053" s="22"/>
      <c r="U4053" s="97">
        <f ca="1">P_2_minQ+(U4050^2*R_dn)-dpdn_minQ</f>
        <v>60</v>
      </c>
      <c r="V4053" s="107"/>
      <c r="W4053" s="1"/>
      <c r="X4053" s="97">
        <f ca="1">P_2_minQ+(X4050^2*R_dn)-dpdn_minQ</f>
        <v>60</v>
      </c>
      <c r="Y4053" s="107"/>
      <c r="Z4053" s="1"/>
      <c r="AA4053" s="97">
        <f ca="1">P_2_minQ+(AA4050^2*R_dn)-dpdn_minQ</f>
        <v>60</v>
      </c>
      <c r="AB4053" s="107"/>
      <c r="AC4053" s="1"/>
      <c r="AD4053" s="97">
        <f ca="1">P_2_minQ+(AD4050^2*R_dn)-dpdn_minQ</f>
        <v>60</v>
      </c>
      <c r="AE4053" s="107"/>
      <c r="AF4053" s="1"/>
      <c r="AG4053" s="97">
        <f ca="1">P_2_minQ+(AG4050^2*R_dn)-dpdn_minQ</f>
        <v>60</v>
      </c>
      <c r="AH4053" s="107"/>
      <c r="AI4053" s="1"/>
      <c r="AJ4053" s="97">
        <f ca="1">P_2_minQ+(AJ4050^2*R_dn)-dpdn_minQ</f>
        <v>60</v>
      </c>
      <c r="AK4053" s="107"/>
      <c r="AL4053" s="1"/>
      <c r="AM4053" s="97">
        <f ca="1">P_2_minQ+(AM4050^2*R_dn)-dpdn_minQ</f>
        <v>60</v>
      </c>
      <c r="AN4053" s="107"/>
      <c r="AO4053" s="1"/>
      <c r="AP4053" s="97">
        <f ca="1">P_2_minQ+(AP4050^2*R_dn)-dpdn_minQ</f>
        <v>60</v>
      </c>
      <c r="AQ4053" s="107"/>
      <c r="AR4053" s="1"/>
      <c r="AS4053" s="97">
        <f ca="1">P_2_minQ+(AS4050^2*R_dn)-dpdn_minQ</f>
        <v>60</v>
      </c>
      <c r="AT4053" s="107"/>
      <c r="AU4053" s="1"/>
    </row>
    <row r="4054" spans="15:47" x14ac:dyDescent="0.25">
      <c r="O4054" s="8" t="s">
        <v>138</v>
      </c>
      <c r="P4054" s="1"/>
      <c r="Q4054" s="8"/>
      <c r="R4054" s="97">
        <f>R4052-R4053</f>
        <v>28.586346123128536</v>
      </c>
      <c r="S4054" s="106"/>
      <c r="T4054" s="22"/>
      <c r="U4054" s="97">
        <f ca="1">U4052-U4053</f>
        <v>22.6306760120668</v>
      </c>
      <c r="V4054" s="110"/>
      <c r="W4054" s="25"/>
      <c r="X4054" s="97">
        <f ca="1">X4052-X4053</f>
        <v>-15.109433170461088</v>
      </c>
      <c r="Y4054" s="110"/>
      <c r="Z4054" s="25"/>
      <c r="AA4054" s="97">
        <f ca="1">AA4052-AA4053</f>
        <v>-141.64904048953846</v>
      </c>
      <c r="AB4054" s="110"/>
      <c r="AC4054" s="25"/>
      <c r="AD4054" s="97">
        <f ca="1">AD4052-AD4053</f>
        <v>-453.4660574101656</v>
      </c>
      <c r="AE4054" s="110"/>
      <c r="AF4054" s="25"/>
      <c r="AG4054" s="97">
        <f ca="1">AG4052-AG4053</f>
        <v>-1000.0980818817382</v>
      </c>
      <c r="AH4054" s="110"/>
      <c r="AI4054" s="25"/>
      <c r="AJ4054" s="97">
        <f ca="1">AJ4052-AJ4053</f>
        <v>-1804.64678681233</v>
      </c>
      <c r="AK4054" s="110"/>
      <c r="AL4054" s="25"/>
      <c r="AM4054" s="97">
        <f ca="1">AM4052-AM4053</f>
        <v>-2701.6295244335242</v>
      </c>
      <c r="AN4054" s="110"/>
      <c r="AO4054" s="25"/>
      <c r="AP4054" s="97">
        <f ca="1">AP4052-AP4053</f>
        <v>-3651.8882577468094</v>
      </c>
      <c r="AQ4054" s="110"/>
      <c r="AR4054" s="25"/>
      <c r="AS4054" s="97">
        <f ca="1">AS4052-AS4053</f>
        <v>-5032.4473186040541</v>
      </c>
      <c r="AT4054" s="110"/>
      <c r="AU4054" s="25"/>
    </row>
    <row r="4055" spans="15:47" ht="14.4" x14ac:dyDescent="0.3">
      <c r="O4055" s="2" t="s">
        <v>140</v>
      </c>
      <c r="P4055" s="11"/>
      <c r="Q4055" s="2"/>
      <c r="R4055" s="96">
        <f>R4054/R4052</f>
        <v>0.32269471960606216</v>
      </c>
      <c r="S4055" s="106"/>
      <c r="T4055" s="22"/>
      <c r="U4055" s="96">
        <f ca="1">U4054/U4052</f>
        <v>0.27387741580090641</v>
      </c>
      <c r="V4055" s="111"/>
      <c r="W4055" s="28"/>
      <c r="X4055" s="96">
        <f ca="1">X4054/X4052</f>
        <v>-0.33658370204670196</v>
      </c>
      <c r="Y4055" s="111"/>
      <c r="Z4055" s="28"/>
      <c r="AA4055" s="96">
        <f ca="1">AA4054/AA4052</f>
        <v>1.7348524813061053</v>
      </c>
      <c r="AB4055" s="111"/>
      <c r="AC4055" s="28"/>
      <c r="AD4055" s="96">
        <f ca="1">AD4054/AD4052</f>
        <v>1.1524909172469062</v>
      </c>
      <c r="AE4055" s="111"/>
      <c r="AF4055" s="28"/>
      <c r="AG4055" s="96">
        <f ca="1">AG4054/AG4052</f>
        <v>1.0638231277739676</v>
      </c>
      <c r="AH4055" s="111"/>
      <c r="AI4055" s="28"/>
      <c r="AJ4055" s="96">
        <f ca="1">AJ4054/AJ4052</f>
        <v>1.0343909153724042</v>
      </c>
      <c r="AK4055" s="111"/>
      <c r="AL4055" s="28"/>
      <c r="AM4055" s="96">
        <f ca="1">AM4054/AM4052</f>
        <v>1.0227132531057195</v>
      </c>
      <c r="AN4055" s="111"/>
      <c r="AO4055" s="28"/>
      <c r="AP4055" s="96">
        <f ca="1">AP4054/AP4052</f>
        <v>1.0167043058398588</v>
      </c>
      <c r="AQ4055" s="111"/>
      <c r="AR4055" s="28"/>
      <c r="AS4055" s="96">
        <f ca="1">AS4054/AS4052</f>
        <v>1.0120664928465937</v>
      </c>
      <c r="AT4055" s="111"/>
      <c r="AU4055" s="28"/>
    </row>
    <row r="4056" spans="15:47" x14ac:dyDescent="0.25">
      <c r="O4056" s="2" t="s">
        <v>21</v>
      </c>
      <c r="P4056" s="8">
        <v>12</v>
      </c>
      <c r="Q4056" s="2"/>
      <c r="R4056" s="96">
        <f ca="1">1-R4055/(3*F_GAMMA*R$29)</f>
        <v>0.83193763202988469</v>
      </c>
      <c r="S4056" s="106"/>
      <c r="T4056" s="22"/>
      <c r="U4056" s="96">
        <f ca="1">1-U4055/(3*F_GAMMA*U$29)</f>
        <v>0.85739526826004309</v>
      </c>
      <c r="V4056" s="111"/>
      <c r="W4056" s="28"/>
      <c r="X4056" s="96">
        <f ca="1">1-X4055/(3*F_GAMMA*X$29)</f>
        <v>1.1769243239036491</v>
      </c>
      <c r="Y4056" s="111"/>
      <c r="Z4056" s="28"/>
      <c r="AA4056" s="96">
        <f ca="1">1-AA4055/(3*F_GAMMA*AA$29)</f>
        <v>7.5224920567883324E-2</v>
      </c>
      <c r="AB4056" s="111"/>
      <c r="AC4056" s="28"/>
      <c r="AD4056" s="96">
        <f ca="1">1-AD4055/(3*F_GAMMA*AD$29)</f>
        <v>0.36660341632669857</v>
      </c>
      <c r="AE4056" s="111"/>
      <c r="AF4056" s="28"/>
      <c r="AG4056" s="96">
        <f ca="1">1-AG4055/(3*F_GAMMA*AG$29)</f>
        <v>0.38025072205880051</v>
      </c>
      <c r="AH4056" s="111"/>
      <c r="AI4056" s="28"/>
      <c r="AJ4056" s="96">
        <f ca="1">1-AJ4055/(3*F_GAMMA*AJ$29)</f>
        <v>0.35168165878028201</v>
      </c>
      <c r="AK4056" s="111"/>
      <c r="AL4056" s="28"/>
      <c r="AM4056" s="96">
        <f ca="1">1-AM4055/(3*F_GAMMA*AM$29)</f>
        <v>0.28331004363683532</v>
      </c>
      <c r="AN4056" s="111"/>
      <c r="AO4056" s="28"/>
      <c r="AP4056" s="96">
        <f ca="1">1-AP4055/(3*F_GAMMA*AP$29)</f>
        <v>0.42611757540347939</v>
      </c>
      <c r="AQ4056" s="111"/>
      <c r="AR4056" s="28"/>
      <c r="AS4056" s="96">
        <f ca="1">1-AS4055/(3*F_GAMMA*AS$29)</f>
        <v>0.10442130784167503</v>
      </c>
      <c r="AT4056" s="111"/>
      <c r="AU4056" s="28"/>
    </row>
    <row r="4057" spans="15:47" x14ac:dyDescent="0.25">
      <c r="O4057" s="2" t="s">
        <v>57</v>
      </c>
      <c r="P4057" s="143">
        <v>7</v>
      </c>
      <c r="Q4057" s="2"/>
      <c r="R4057" s="96">
        <f ca="1">(R4050/(N_9*R$27*R4052*R4056))*SQRT(M*'Valve Sizing'!$W$6*'Valve Sizing'!$G$8/R4055)</f>
        <v>38.919612300614979</v>
      </c>
      <c r="S4057" s="107"/>
      <c r="T4057" s="22"/>
      <c r="U4057" s="96">
        <f ca="1">(U4050/(N_9*U$27*U4052*U4056))*SQRT(M*'Valve Sizing'!$W$6*'Valve Sizing'!$G$8/U4055)</f>
        <v>95.592231321050363</v>
      </c>
      <c r="V4057" s="111"/>
      <c r="W4057" s="28"/>
      <c r="X4057" s="96" t="e">
        <f ca="1">(X4050/(N_9*X$27*X4052*X4056))*SQRT(M*'Valve Sizing'!$W$6*'Valve Sizing'!$G$8/X4055)</f>
        <v>#NUM!</v>
      </c>
      <c r="Y4057" s="111"/>
      <c r="Z4057" s="28"/>
      <c r="AA4057" s="96">
        <f ca="1">(AA4050/(N_9*AA$27*AA4052*AA4056))*SQRT(M*'Valve Sizing'!$W$6*'Valve Sizing'!$G$8/AA4055)</f>
        <v>-2106.7010021029764</v>
      </c>
      <c r="AB4057" s="111"/>
      <c r="AC4057" s="28"/>
      <c r="AD4057" s="96">
        <f ca="1">(AD4050/(N_9*AD$27*AD4052*AD4056))*SQRT(M*'Valve Sizing'!$W$6*'Valve Sizing'!$G$8/AD4055)</f>
        <v>-186.93163708343664</v>
      </c>
      <c r="AE4057" s="111"/>
      <c r="AF4057" s="28"/>
      <c r="AG4057" s="96">
        <f ca="1">(AG4050/(N_9*AG$27*AG4052*AG4056))*SQRT(M*'Valve Sizing'!$W$6*'Valve Sizing'!$G$8/AG4055)</f>
        <v>-117.16689903989395</v>
      </c>
      <c r="AH4057" s="111"/>
      <c r="AI4057" s="28"/>
      <c r="AJ4057" s="96">
        <f ca="1">(AJ4050/(N_9*AJ$27*AJ4052*AJ4056))*SQRT(M*'Valve Sizing'!$W$6*'Valve Sizing'!$G$8/AJ4055)</f>
        <v>-95.725172955209899</v>
      </c>
      <c r="AK4057" s="111"/>
      <c r="AL4057" s="28"/>
      <c r="AM4057" s="96">
        <f ca="1">(AM4050/(N_9*AM$27*AM4052*AM4056))*SQRT(M*'Valve Sizing'!$W$6*'Valve Sizing'!$G$8/AM4055)</f>
        <v>-102.17886821931741</v>
      </c>
      <c r="AN4057" s="111"/>
      <c r="AO4057" s="28"/>
      <c r="AP4057" s="96">
        <f ca="1">(AP4050/(N_9*AP$27*AP4052*AP4056))*SQRT(M*'Valve Sizing'!$W$6*'Valve Sizing'!$G$8/AP4055)</f>
        <v>-66.215457985648058</v>
      </c>
      <c r="AQ4057" s="111"/>
      <c r="AR4057" s="28"/>
      <c r="AS4057" s="96">
        <f ca="1">(AS4050/(N_9*AS$27*AS4052*AS4056))*SQRT(M*'Valve Sizing'!$W$6*'Valve Sizing'!$G$8/AS4055)</f>
        <v>-307.25159170517338</v>
      </c>
      <c r="AT4057" s="111"/>
      <c r="AU4057" s="28"/>
    </row>
    <row r="4058" spans="15:47" x14ac:dyDescent="0.25">
      <c r="O4058" s="2" t="s">
        <v>59</v>
      </c>
      <c r="P4058" s="143">
        <v>7</v>
      </c>
      <c r="Q4058" s="2"/>
      <c r="R4058" s="96">
        <f ca="1">(R4050/(N_9*R$27*R4052*0.667))*SQRT(M*'Valve Sizing'!$W$6*'Valve Sizing'!$G$8/R4059)</f>
        <v>34.469049501011632</v>
      </c>
      <c r="S4058" s="107"/>
      <c r="T4058" s="22"/>
      <c r="U4058" s="96">
        <f ca="1">(U4050/(N_9*U$27*U4052*0.667))*SQRT(M*'Valve Sizing'!$W$6*'Valve Sizing'!$G$8/U4059)</f>
        <v>80.37212350274234</v>
      </c>
      <c r="V4058" s="111"/>
      <c r="W4058" s="28"/>
      <c r="X4058" s="96">
        <f ca="1">(X4050/(N_9*X$27*X4052*0.667))*SQRT(M*'Valve Sizing'!$W$6*'Valve Sizing'!$G$8/X4059)</f>
        <v>364.81465292326618</v>
      </c>
      <c r="Y4058" s="111"/>
      <c r="Z4058" s="28"/>
      <c r="AA4058" s="96">
        <f ca="1">(AA4050/(N_9*AA$27*AA4052*0.667))*SQRT(M*'Valve Sizing'!$W$6*'Valve Sizing'!$G$8/AA4059)</f>
        <v>-395.74687313159109</v>
      </c>
      <c r="AB4058" s="111"/>
      <c r="AC4058" s="28"/>
      <c r="AD4058" s="96">
        <f ca="1">(AD4050/(N_9*AD$27*AD4052*0.667))*SQRT(M*'Valve Sizing'!$W$6*'Valve Sizing'!$G$8/AD4059)</f>
        <v>-141.62892831280902</v>
      </c>
      <c r="AE4058" s="111"/>
      <c r="AF4058" s="28"/>
      <c r="AG4058" s="96">
        <f ca="1">(AG4050/(N_9*AG$27*AG4052*0.667))*SQRT(M*'Valve Sizing'!$W$6*'Valve Sizing'!$G$8/AG4059)</f>
        <v>-91.078903088563891</v>
      </c>
      <c r="AH4058" s="111"/>
      <c r="AI4058" s="28"/>
      <c r="AJ4058" s="96">
        <f ca="1">(AJ4050/(N_9*AJ$27*AJ4052*0.667))*SQRT(M*'Valve Sizing'!$W$6*'Valve Sizing'!$G$8/AJ4059)</f>
        <v>-70.389005038382365</v>
      </c>
      <c r="AK4058" s="111"/>
      <c r="AL4058" s="28"/>
      <c r="AM4058" s="96">
        <f ca="1">(AM4050/(N_9*AM$27*AM4052*0.667))*SQRT(M*'Valve Sizing'!$W$6*'Valve Sizing'!$G$8/AM4059)</f>
        <v>-63.639024155139055</v>
      </c>
      <c r="AN4058" s="111"/>
      <c r="AO4058" s="28"/>
      <c r="AP4058" s="96">
        <f ca="1">(AP4050/(N_9*AP$27*AP4052*0.667))*SQRT(M*'Valve Sizing'!$W$6*'Valve Sizing'!$G$8/AP4059)</f>
        <v>-55.505381265230369</v>
      </c>
      <c r="AQ4058" s="111"/>
      <c r="AR4058" s="28"/>
      <c r="AS4058" s="96">
        <f ca="1">(AS4050/(N_9*AS$27*AS4052*0.667))*SQRT(M*'Valve Sizing'!$W$6*'Valve Sizing'!$G$8/AS4059)</f>
        <v>-78.844234189210766</v>
      </c>
      <c r="AT4058" s="111"/>
      <c r="AU4058" s="28"/>
    </row>
    <row r="4059" spans="15:47" ht="15.6" x14ac:dyDescent="0.35">
      <c r="O4059" s="2" t="s">
        <v>68</v>
      </c>
      <c r="P4059" s="143">
        <v>10</v>
      </c>
      <c r="Q4059" s="2"/>
      <c r="R4059" s="96">
        <f ca="1">F_GAMMA*R$29</f>
        <v>0.64002969751372984</v>
      </c>
      <c r="S4059" s="107"/>
      <c r="T4059" s="1"/>
      <c r="U4059" s="96">
        <f ca="1">F_GAMMA*U$29</f>
        <v>0.64017842058782071</v>
      </c>
      <c r="V4059" s="111"/>
      <c r="W4059" s="28"/>
      <c r="X4059" s="96">
        <f ca="1">F_GAMMA*X$29</f>
        <v>0.63413873724904268</v>
      </c>
      <c r="Y4059" s="111"/>
      <c r="Z4059" s="28"/>
      <c r="AA4059" s="96">
        <f ca="1">F_GAMMA*AA$29</f>
        <v>0.62532411750377137</v>
      </c>
      <c r="AB4059" s="111"/>
      <c r="AC4059" s="28"/>
      <c r="AD4059" s="96">
        <f ca="1">F_GAMMA*AD$29</f>
        <v>0.60651359509139569</v>
      </c>
      <c r="AE4059" s="111"/>
      <c r="AF4059" s="28"/>
      <c r="AG4059" s="96">
        <f ca="1">F_GAMMA*AG$29</f>
        <v>0.57217930198481592</v>
      </c>
      <c r="AH4059" s="111"/>
      <c r="AI4059" s="28"/>
      <c r="AJ4059" s="96">
        <f ca="1">F_GAMMA*AJ$29</f>
        <v>0.53183282018848232</v>
      </c>
      <c r="AK4059" s="111"/>
      <c r="AL4059" s="28"/>
      <c r="AM4059" s="96">
        <f ca="1">F_GAMMA*AM$29</f>
        <v>0.47566512503094399</v>
      </c>
      <c r="AN4059" s="111"/>
      <c r="AO4059" s="28"/>
      <c r="AP4059" s="96">
        <f ca="1">F_GAMMA*AP$29</f>
        <v>0.59054158265645496</v>
      </c>
      <c r="AQ4059" s="111"/>
      <c r="AR4059" s="28"/>
      <c r="AS4059" s="96">
        <f ca="1">F_GAMMA*AS$29</f>
        <v>0.3766899554102966</v>
      </c>
      <c r="AT4059" s="111"/>
      <c r="AU4059" s="28"/>
    </row>
    <row r="4060" spans="15:47" x14ac:dyDescent="0.25">
      <c r="O4060" s="2" t="s">
        <v>145</v>
      </c>
      <c r="P4060" s="12"/>
      <c r="Q4060" s="2"/>
      <c r="R4060" s="96">
        <f ca="1">IF(R4055&lt;R4059,R4057,R4058)</f>
        <v>38.919612300614979</v>
      </c>
      <c r="S4060" s="116"/>
      <c r="T4060" s="1"/>
      <c r="U4060" s="96">
        <f ca="1">IF(U4055&lt;U4059,U4057,U4058)</f>
        <v>95.592231321050363</v>
      </c>
      <c r="V4060" s="111"/>
      <c r="W4060" s="28"/>
      <c r="X4060" s="96" t="e">
        <f ca="1">IF(X4055&lt;X4059,X4057,X4058)</f>
        <v>#NUM!</v>
      </c>
      <c r="Y4060" s="111"/>
      <c r="Z4060" s="28"/>
      <c r="AA4060" s="96">
        <f ca="1">IF(AA4055&lt;AA4059,AA4057,AA4058)</f>
        <v>-395.74687313159109</v>
      </c>
      <c r="AB4060" s="111"/>
      <c r="AC4060" s="28"/>
      <c r="AD4060" s="96">
        <f ca="1">IF(AD4055&lt;AD4059,AD4057,AD4058)</f>
        <v>-141.62892831280902</v>
      </c>
      <c r="AE4060" s="111"/>
      <c r="AF4060" s="28"/>
      <c r="AG4060" s="96">
        <f ca="1">IF(AG4055&lt;AG4059,AG4057,AG4058)</f>
        <v>-91.078903088563891</v>
      </c>
      <c r="AH4060" s="111"/>
      <c r="AI4060" s="28"/>
      <c r="AJ4060" s="96">
        <f ca="1">IF(AJ4055&lt;AJ4059,AJ4057,AJ4058)</f>
        <v>-70.389005038382365</v>
      </c>
      <c r="AK4060" s="111"/>
      <c r="AL4060" s="28"/>
      <c r="AM4060" s="96">
        <f ca="1">IF(AM4055&lt;AM4059,AM4057,AM4058)</f>
        <v>-63.639024155139055</v>
      </c>
      <c r="AN4060" s="111"/>
      <c r="AO4060" s="28"/>
      <c r="AP4060" s="96">
        <f ca="1">IF(AP4055&lt;AP4059,AP4057,AP4058)</f>
        <v>-55.505381265230369</v>
      </c>
      <c r="AQ4060" s="111"/>
      <c r="AR4060" s="28"/>
      <c r="AS4060" s="96">
        <f ca="1">IF(AS4055&lt;AS4059,AS4057,AS4058)</f>
        <v>-78.844234189210766</v>
      </c>
      <c r="AT4060" s="111"/>
      <c r="AU4060" s="28"/>
    </row>
    <row r="4061" spans="15:47" x14ac:dyDescent="0.25">
      <c r="O4061" s="13" t="s">
        <v>143</v>
      </c>
      <c r="P4061" s="1"/>
      <c r="Q4061" s="1"/>
      <c r="R4061" s="113"/>
      <c r="S4061" s="106">
        <f ca="1">IF(R4054&lt;=0,Q_max,ABS(R$23-R4060))</f>
        <v>34.189612300614982</v>
      </c>
      <c r="T4061" s="7">
        <f>R4050</f>
        <v>93656.076315213577</v>
      </c>
      <c r="U4061" s="98"/>
      <c r="V4061" s="106">
        <f ca="1">IF(U4054&lt;=0,Q_max,ABS(U$23-U4060))</f>
        <v>83.992231321050369</v>
      </c>
      <c r="W4061" s="9">
        <f ca="1">U4050</f>
        <v>203588.01118517618</v>
      </c>
      <c r="X4061" s="98"/>
      <c r="Y4061" s="106">
        <f ca="1">IF(X4054&lt;=0,Q_max,ABS(X$23-X4060))</f>
        <v>236393</v>
      </c>
      <c r="Z4061" s="9">
        <f ca="1">X4050</f>
        <v>498512.25635472272</v>
      </c>
      <c r="AA4061" s="98"/>
      <c r="AB4061" s="106">
        <f ca="1">IF(AA4054&lt;=0,Q_max,ABS(AA$23-AA4060))</f>
        <v>236393</v>
      </c>
      <c r="AC4061" s="9">
        <f ca="1">AA4050</f>
        <v>970974.63241206878</v>
      </c>
      <c r="AD4061" s="98"/>
      <c r="AE4061" s="106">
        <f ca="1">IF(AD4054&lt;=0,Q_max,ABS(AD$23-AD4060))</f>
        <v>236393</v>
      </c>
      <c r="AF4061" s="9">
        <f ca="1">AD4050</f>
        <v>1628993.3838192828</v>
      </c>
      <c r="AG4061" s="98"/>
      <c r="AH4061" s="106">
        <f ca="1">IF(AG4054&lt;=0,Q_max,ABS(AG$23-AG4060))</f>
        <v>236393</v>
      </c>
      <c r="AI4061" s="9">
        <f ca="1">AG4050</f>
        <v>2377560.2111789896</v>
      </c>
      <c r="AJ4061" s="98"/>
      <c r="AK4061" s="106">
        <f ca="1">IF(AJ4054&lt;=0,Q_max,ABS(AJ$23-AJ4060))</f>
        <v>236393</v>
      </c>
      <c r="AL4061" s="9">
        <f ca="1">AJ4050</f>
        <v>3172863.3185903714</v>
      </c>
      <c r="AM4061" s="98"/>
      <c r="AN4061" s="106">
        <f ca="1">IF(AM4054&lt;=0,Q_max,ABS(AM$23-AM4060))</f>
        <v>236393</v>
      </c>
      <c r="AO4061" s="9">
        <f ca="1">AM4050</f>
        <v>3871496.2194602243</v>
      </c>
      <c r="AP4061" s="98"/>
      <c r="AQ4061" s="106">
        <f ca="1">IF(AP4054&lt;=0,Q_max,ABS(AP$23-AP4060))</f>
        <v>236393</v>
      </c>
      <c r="AR4061" s="9">
        <f ca="1">AP4050</f>
        <v>4494686.9216256356</v>
      </c>
      <c r="AS4061" s="98"/>
      <c r="AT4061" s="106">
        <f ca="1">IF(AS4054&lt;=0,Q_max,ABS(AS$23-AS4060))</f>
        <v>236393</v>
      </c>
      <c r="AU4061" s="9">
        <f ca="1">AS4050</f>
        <v>5270373.8999160612</v>
      </c>
    </row>
    <row r="4062" spans="15:47" x14ac:dyDescent="0.25">
      <c r="O4062" s="21"/>
      <c r="P4062" s="14"/>
      <c r="Q4062" s="21"/>
      <c r="R4062" s="97"/>
      <c r="S4062" s="106"/>
      <c r="T4062" s="28"/>
      <c r="U4062" s="97"/>
      <c r="V4062" s="111"/>
      <c r="W4062" s="28"/>
      <c r="X4062" s="97"/>
      <c r="Y4062" s="111"/>
      <c r="Z4062" s="28"/>
      <c r="AA4062" s="97"/>
      <c r="AB4062" s="111"/>
      <c r="AC4062" s="28"/>
      <c r="AD4062" s="97"/>
      <c r="AE4062" s="111"/>
      <c r="AF4062" s="28"/>
      <c r="AG4062" s="97"/>
      <c r="AH4062" s="111"/>
      <c r="AI4062" s="28"/>
      <c r="AJ4062" s="97"/>
      <c r="AK4062" s="111"/>
      <c r="AL4062" s="28"/>
      <c r="AM4062" s="97"/>
      <c r="AN4062" s="111"/>
      <c r="AO4062" s="28"/>
      <c r="AP4062" s="97"/>
      <c r="AQ4062" s="111"/>
      <c r="AR4062" s="28"/>
      <c r="AS4062" s="97"/>
      <c r="AT4062" s="111"/>
      <c r="AU4062" s="28"/>
    </row>
    <row r="4063" spans="15:47" x14ac:dyDescent="0.25">
      <c r="O4063" s="1"/>
      <c r="P4063" s="1"/>
      <c r="Q4063" s="1"/>
      <c r="R4063" s="98"/>
      <c r="S4063" s="108" t="s">
        <v>137</v>
      </c>
      <c r="T4063" s="26" t="s">
        <v>146</v>
      </c>
      <c r="U4063" s="98"/>
      <c r="V4063" s="108" t="s">
        <v>137</v>
      </c>
      <c r="W4063" s="26" t="s">
        <v>146</v>
      </c>
      <c r="X4063" s="98"/>
      <c r="Y4063" s="108" t="s">
        <v>137</v>
      </c>
      <c r="Z4063" s="26" t="s">
        <v>146</v>
      </c>
      <c r="AA4063" s="98"/>
      <c r="AB4063" s="108" t="s">
        <v>137</v>
      </c>
      <c r="AC4063" s="26" t="s">
        <v>146</v>
      </c>
      <c r="AD4063" s="98"/>
      <c r="AE4063" s="108" t="s">
        <v>137</v>
      </c>
      <c r="AF4063" s="26" t="s">
        <v>146</v>
      </c>
      <c r="AG4063" s="98"/>
      <c r="AH4063" s="108" t="s">
        <v>137</v>
      </c>
      <c r="AI4063" s="26" t="s">
        <v>146</v>
      </c>
      <c r="AJ4063" s="98"/>
      <c r="AK4063" s="108" t="s">
        <v>137</v>
      </c>
      <c r="AL4063" s="26" t="s">
        <v>146</v>
      </c>
      <c r="AM4063" s="98"/>
      <c r="AN4063" s="108" t="s">
        <v>137</v>
      </c>
      <c r="AO4063" s="26" t="s">
        <v>146</v>
      </c>
      <c r="AP4063" s="98"/>
      <c r="AQ4063" s="108" t="s">
        <v>137</v>
      </c>
      <c r="AR4063" s="26" t="s">
        <v>146</v>
      </c>
      <c r="AS4063" s="98"/>
      <c r="AT4063" s="108" t="s">
        <v>137</v>
      </c>
      <c r="AU4063" s="26" t="s">
        <v>146</v>
      </c>
    </row>
    <row r="4064" spans="15:47" ht="13.8" x14ac:dyDescent="0.25">
      <c r="O4064" s="20" t="s">
        <v>136</v>
      </c>
      <c r="P4064" s="1"/>
      <c r="Q4064" s="1"/>
      <c r="R4064" s="96">
        <f>R4050*1.02</f>
        <v>95529.197841517846</v>
      </c>
      <c r="S4064" s="109" t="s">
        <v>144</v>
      </c>
      <c r="T4064" s="23" t="s">
        <v>147</v>
      </c>
      <c r="U4064" s="96">
        <f ca="1">U4050*1.01</f>
        <v>205623.89129702793</v>
      </c>
      <c r="V4064" s="109" t="s">
        <v>144</v>
      </c>
      <c r="W4064" s="23" t="s">
        <v>147</v>
      </c>
      <c r="X4064" s="96">
        <f ca="1">X4050*1.01</f>
        <v>503497.37891826994</v>
      </c>
      <c r="Y4064" s="109" t="s">
        <v>144</v>
      </c>
      <c r="Z4064" s="23" t="s">
        <v>147</v>
      </c>
      <c r="AA4064" s="96">
        <f ca="1">AA4050*1.01</f>
        <v>980684.37873618945</v>
      </c>
      <c r="AB4064" s="109" t="s">
        <v>144</v>
      </c>
      <c r="AC4064" s="23" t="s">
        <v>147</v>
      </c>
      <c r="AD4064" s="96">
        <f ca="1">AD4050*1.01</f>
        <v>1645283.3176574756</v>
      </c>
      <c r="AE4064" s="109" t="s">
        <v>144</v>
      </c>
      <c r="AF4064" s="23" t="s">
        <v>147</v>
      </c>
      <c r="AG4064" s="96">
        <f ca="1">AG4050*1.01</f>
        <v>2401335.8132907795</v>
      </c>
      <c r="AH4064" s="109" t="s">
        <v>144</v>
      </c>
      <c r="AI4064" s="23" t="s">
        <v>147</v>
      </c>
      <c r="AJ4064" s="96">
        <f ca="1">AJ4050*1.01</f>
        <v>3204591.9517762749</v>
      </c>
      <c r="AK4064" s="109" t="s">
        <v>144</v>
      </c>
      <c r="AL4064" s="23" t="s">
        <v>147</v>
      </c>
      <c r="AM4064" s="96">
        <f ca="1">AM4050*1.01</f>
        <v>3910211.1816548267</v>
      </c>
      <c r="AN4064" s="109" t="s">
        <v>144</v>
      </c>
      <c r="AO4064" s="23" t="s">
        <v>147</v>
      </c>
      <c r="AP4064" s="96">
        <f ca="1">AP4050*1.01</f>
        <v>4539633.7908418924</v>
      </c>
      <c r="AQ4064" s="109" t="s">
        <v>144</v>
      </c>
      <c r="AR4064" s="23" t="s">
        <v>147</v>
      </c>
      <c r="AS4064" s="96">
        <f ca="1">AS4050*1.01</f>
        <v>5323077.6389152221</v>
      </c>
      <c r="AT4064" s="109" t="s">
        <v>144</v>
      </c>
      <c r="AU4064" s="23" t="s">
        <v>147</v>
      </c>
    </row>
    <row r="4065" spans="15:47" x14ac:dyDescent="0.25">
      <c r="O4065" s="1"/>
      <c r="P4065" s="1"/>
      <c r="Q4065" s="1"/>
      <c r="R4065" s="98"/>
      <c r="S4065" s="107"/>
      <c r="T4065" s="1"/>
      <c r="U4065" s="47"/>
      <c r="V4065" s="107"/>
      <c r="W4065" s="1"/>
      <c r="X4065" s="47"/>
      <c r="Y4065" s="107"/>
      <c r="Z4065" s="1"/>
      <c r="AA4065" s="47"/>
      <c r="AB4065" s="107"/>
      <c r="AC4065" s="1"/>
      <c r="AD4065" s="47"/>
      <c r="AE4065" s="107"/>
      <c r="AF4065" s="1"/>
      <c r="AG4065" s="47"/>
      <c r="AH4065" s="107"/>
      <c r="AI4065" s="1"/>
      <c r="AJ4065" s="47"/>
      <c r="AK4065" s="107"/>
      <c r="AL4065" s="1"/>
      <c r="AM4065" s="47"/>
      <c r="AN4065" s="107"/>
      <c r="AO4065" s="1"/>
      <c r="AP4065" s="47"/>
      <c r="AQ4065" s="107"/>
      <c r="AR4065" s="1"/>
      <c r="AS4065" s="47"/>
      <c r="AT4065" s="107"/>
      <c r="AU4065" s="1"/>
    </row>
    <row r="4066" spans="15:47" x14ac:dyDescent="0.25">
      <c r="O4066" s="8" t="s">
        <v>132</v>
      </c>
      <c r="P4066" s="8"/>
      <c r="Q4066" s="8"/>
      <c r="R4066" s="96">
        <f>P_1_minQ-(R4064^2*R_up)+dpup_minQ</f>
        <v>88.521758869080614</v>
      </c>
      <c r="S4066" s="106"/>
      <c r="T4066" s="22"/>
      <c r="U4066" s="96">
        <f ca="1">P_1_minQ-(U4064^2*R_up)+dpup_minQ</f>
        <v>82.478833285251213</v>
      </c>
      <c r="V4066" s="107"/>
      <c r="W4066" s="1"/>
      <c r="X4066" s="96">
        <f ca="1">P_1_minQ-(X4064^2*R_up)+dpup_minQ</f>
        <v>43.980147908154507</v>
      </c>
      <c r="Y4066" s="107"/>
      <c r="Z4066" s="1"/>
      <c r="AA4066" s="96">
        <f ca="1">P_1_minQ-(AA4064^2*R_up)+dpup_minQ</f>
        <v>-85.102905518036323</v>
      </c>
      <c r="AB4066" s="107"/>
      <c r="AC4066" s="1"/>
      <c r="AD4066" s="96">
        <f ca="1">P_1_minQ-(AD4064^2*R_up)+dpup_minQ</f>
        <v>-403.18744447876804</v>
      </c>
      <c r="AE4066" s="107"/>
      <c r="AF4066" s="1"/>
      <c r="AG4066" s="96">
        <f ca="1">P_1_minQ-(AG4064^2*R_up)+dpup_minQ</f>
        <v>-960.80677264221936</v>
      </c>
      <c r="AH4066" s="107"/>
      <c r="AI4066" s="1"/>
      <c r="AJ4066" s="96">
        <f ca="1">P_1_minQ-(AJ4064^2*R_up)+dpup_minQ</f>
        <v>-1781.5269065419157</v>
      </c>
      <c r="AK4066" s="107"/>
      <c r="AL4066" s="1"/>
      <c r="AM4066" s="96">
        <f ca="1">P_1_minQ-(AM4064^2*R_up)+dpup_minQ</f>
        <v>-2696.5389971892964</v>
      </c>
      <c r="AN4066" s="107"/>
      <c r="AO4066" s="1"/>
      <c r="AP4066" s="96">
        <f ca="1">P_1_minQ-(AP4064^2*R_up)+dpup_minQ</f>
        <v>-3665.8979310421796</v>
      </c>
      <c r="AQ4066" s="107"/>
      <c r="AR4066" s="1"/>
      <c r="AS4066" s="96">
        <f ca="1">P_1_minQ-(AS4064^2*R_up)+dpup_minQ</f>
        <v>-5074.206229022654</v>
      </c>
      <c r="AT4066" s="107"/>
      <c r="AU4066" s="1"/>
    </row>
    <row r="4067" spans="15:47" x14ac:dyDescent="0.25">
      <c r="O4067" s="8" t="s">
        <v>134</v>
      </c>
      <c r="P4067" s="1"/>
      <c r="Q4067" s="8"/>
      <c r="R4067" s="97">
        <f>P_2_minQ+(R4064^2*R_dn)-dpdn_minQ</f>
        <v>60</v>
      </c>
      <c r="S4067" s="106"/>
      <c r="T4067" s="22"/>
      <c r="U4067" s="97">
        <f ca="1">P_2_minQ+(U4064^2*R_dn)-dpdn_minQ</f>
        <v>60</v>
      </c>
      <c r="V4067" s="107"/>
      <c r="W4067" s="1"/>
      <c r="X4067" s="97">
        <f ca="1">P_2_minQ+(X4064^2*R_dn)-dpdn_minQ</f>
        <v>60</v>
      </c>
      <c r="Y4067" s="107"/>
      <c r="Z4067" s="1"/>
      <c r="AA4067" s="97">
        <f ca="1">P_2_minQ+(AA4064^2*R_dn)-dpdn_minQ</f>
        <v>60</v>
      </c>
      <c r="AB4067" s="107"/>
      <c r="AC4067" s="1"/>
      <c r="AD4067" s="97">
        <f ca="1">P_2_minQ+(AD4064^2*R_dn)-dpdn_minQ</f>
        <v>60</v>
      </c>
      <c r="AE4067" s="107"/>
      <c r="AF4067" s="1"/>
      <c r="AG4067" s="97">
        <f ca="1">P_2_minQ+(AG4064^2*R_dn)-dpdn_minQ</f>
        <v>60</v>
      </c>
      <c r="AH4067" s="107"/>
      <c r="AI4067" s="1"/>
      <c r="AJ4067" s="97">
        <f ca="1">P_2_minQ+(AJ4064^2*R_dn)-dpdn_minQ</f>
        <v>60</v>
      </c>
      <c r="AK4067" s="107"/>
      <c r="AL4067" s="1"/>
      <c r="AM4067" s="97">
        <f ca="1">P_2_minQ+(AM4064^2*R_dn)-dpdn_minQ</f>
        <v>60</v>
      </c>
      <c r="AN4067" s="107"/>
      <c r="AO4067" s="1"/>
      <c r="AP4067" s="97">
        <f ca="1">P_2_minQ+(AP4064^2*R_dn)-dpdn_minQ</f>
        <v>60</v>
      </c>
      <c r="AQ4067" s="107"/>
      <c r="AR4067" s="1"/>
      <c r="AS4067" s="97">
        <f ca="1">P_2_minQ+(AS4064^2*R_dn)-dpdn_minQ</f>
        <v>60</v>
      </c>
      <c r="AT4067" s="107"/>
      <c r="AU4067" s="1"/>
    </row>
    <row r="4068" spans="15:47" x14ac:dyDescent="0.25">
      <c r="O4068" s="8" t="s">
        <v>138</v>
      </c>
      <c r="P4068" s="1"/>
      <c r="Q4068" s="8"/>
      <c r="R4068" s="97">
        <f>R4066-R4067</f>
        <v>28.521758869080614</v>
      </c>
      <c r="S4068" s="106"/>
      <c r="T4068" s="22"/>
      <c r="U4068" s="97">
        <f ca="1">U4066-U4067</f>
        <v>22.478833285251213</v>
      </c>
      <c r="V4068" s="110"/>
      <c r="W4068" s="25"/>
      <c r="X4068" s="97">
        <f ca="1">X4066-X4067</f>
        <v>-16.019852091845493</v>
      </c>
      <c r="Y4068" s="110"/>
      <c r="Z4068" s="25"/>
      <c r="AA4068" s="97">
        <f ca="1">AA4066-AA4067</f>
        <v>-145.10290551803632</v>
      </c>
      <c r="AB4068" s="110"/>
      <c r="AC4068" s="25"/>
      <c r="AD4068" s="97">
        <f ca="1">AD4066-AD4067</f>
        <v>-463.18744447876804</v>
      </c>
      <c r="AE4068" s="110"/>
      <c r="AF4068" s="25"/>
      <c r="AG4068" s="97">
        <f ca="1">AG4066-AG4067</f>
        <v>-1020.8067726422194</v>
      </c>
      <c r="AH4068" s="110"/>
      <c r="AI4068" s="25"/>
      <c r="AJ4068" s="97">
        <f ca="1">AJ4066-AJ4067</f>
        <v>-1841.5269065419157</v>
      </c>
      <c r="AK4068" s="110"/>
      <c r="AL4068" s="25"/>
      <c r="AM4068" s="97">
        <f ca="1">AM4066-AM4067</f>
        <v>-2756.5389971892964</v>
      </c>
      <c r="AN4068" s="110"/>
      <c r="AO4068" s="25"/>
      <c r="AP4068" s="97">
        <f ca="1">AP4066-AP4067</f>
        <v>-3725.8979310421796</v>
      </c>
      <c r="AQ4068" s="110"/>
      <c r="AR4068" s="25"/>
      <c r="AS4068" s="97">
        <f ca="1">AS4066-AS4067</f>
        <v>-5134.206229022654</v>
      </c>
      <c r="AT4068" s="110"/>
      <c r="AU4068" s="25"/>
    </row>
    <row r="4069" spans="15:47" ht="14.4" x14ac:dyDescent="0.3">
      <c r="O4069" s="2" t="s">
        <v>140</v>
      </c>
      <c r="P4069" s="11"/>
      <c r="Q4069" s="2"/>
      <c r="R4069" s="96">
        <f>R4068/R4066</f>
        <v>0.32220054406355519</v>
      </c>
      <c r="S4069" s="106"/>
      <c r="T4069" s="22"/>
      <c r="U4069" s="96">
        <f ca="1">U4068/U4066</f>
        <v>0.27254063121272176</v>
      </c>
      <c r="V4069" s="111"/>
      <c r="W4069" s="28"/>
      <c r="X4069" s="96">
        <f ca="1">X4068/X4066</f>
        <v>-0.36425189213325038</v>
      </c>
      <c r="Y4069" s="111"/>
      <c r="Z4069" s="28"/>
      <c r="AA4069" s="96">
        <f ca="1">AA4068/AA4066</f>
        <v>1.7050288075920494</v>
      </c>
      <c r="AB4069" s="111"/>
      <c r="AC4069" s="28"/>
      <c r="AD4069" s="96">
        <f ca="1">AD4068/AD4066</f>
        <v>1.1488141578356108</v>
      </c>
      <c r="AE4069" s="111"/>
      <c r="AF4069" s="28"/>
      <c r="AG4069" s="96">
        <f ca="1">AG4068/AG4066</f>
        <v>1.0624475198431418</v>
      </c>
      <c r="AH4069" s="111"/>
      <c r="AI4069" s="28"/>
      <c r="AJ4069" s="96">
        <f ca="1">AJ4068/AJ4066</f>
        <v>1.0336789749173447</v>
      </c>
      <c r="AK4069" s="111"/>
      <c r="AL4069" s="28"/>
      <c r="AM4069" s="96">
        <f ca="1">AM4068/AM4066</f>
        <v>1.0222507444033038</v>
      </c>
      <c r="AN4069" s="111"/>
      <c r="AO4069" s="28"/>
      <c r="AP4069" s="96">
        <f ca="1">AP4068/AP4066</f>
        <v>1.0163670678040244</v>
      </c>
      <c r="AQ4069" s="111"/>
      <c r="AR4069" s="28"/>
      <c r="AS4069" s="96">
        <f ca="1">AS4068/AS4066</f>
        <v>1.0118245095472906</v>
      </c>
      <c r="AT4069" s="111"/>
      <c r="AU4069" s="28"/>
    </row>
    <row r="4070" spans="15:47" x14ac:dyDescent="0.25">
      <c r="O4070" s="2" t="s">
        <v>21</v>
      </c>
      <c r="P4070" s="8">
        <v>12</v>
      </c>
      <c r="Q4070" s="2"/>
      <c r="R4070" s="96">
        <f ca="1">1-R4069/(3*F_GAMMA*R$29)</f>
        <v>0.83219500318231021</v>
      </c>
      <c r="S4070" s="106"/>
      <c r="T4070" s="22"/>
      <c r="U4070" s="96">
        <f ca="1">1-U4069/(3*F_GAMMA*U$29)</f>
        <v>0.85809131618730539</v>
      </c>
      <c r="V4070" s="111"/>
      <c r="W4070" s="28"/>
      <c r="X4070" s="96">
        <f ca="1">1-X4069/(3*F_GAMMA*X$29)</f>
        <v>1.1914680341158002</v>
      </c>
      <c r="Y4070" s="111"/>
      <c r="Z4070" s="28"/>
      <c r="AA4070" s="96">
        <f ca="1">1-AA4069/(3*F_GAMMA*AA$29)</f>
        <v>9.1122635517750128E-2</v>
      </c>
      <c r="AB4070" s="111"/>
      <c r="AC4070" s="28"/>
      <c r="AD4070" s="96">
        <f ca="1">1-AD4069/(3*F_GAMMA*AD$29)</f>
        <v>0.36862412366178654</v>
      </c>
      <c r="AE4070" s="111"/>
      <c r="AF4070" s="28"/>
      <c r="AG4070" s="96">
        <f ca="1">1-AG4069/(3*F_GAMMA*AG$29)</f>
        <v>0.38105210717593307</v>
      </c>
      <c r="AH4070" s="111"/>
      <c r="AI4070" s="28"/>
      <c r="AJ4070" s="96">
        <f ca="1">1-AJ4069/(3*F_GAMMA*AJ$29)</f>
        <v>0.35212787698271586</v>
      </c>
      <c r="AK4070" s="111"/>
      <c r="AL4070" s="28"/>
      <c r="AM4070" s="96">
        <f ca="1">1-AM4069/(3*F_GAMMA*AM$29)</f>
        <v>0.2836341573028559</v>
      </c>
      <c r="AN4070" s="111"/>
      <c r="AO4070" s="28"/>
      <c r="AP4070" s="96">
        <f ca="1">1-AP4069/(3*F_GAMMA*AP$29)</f>
        <v>0.42630793063317518</v>
      </c>
      <c r="AQ4070" s="111"/>
      <c r="AR4070" s="28"/>
      <c r="AS4070" s="96">
        <f ca="1">1-AS4069/(3*F_GAMMA*AS$29)</f>
        <v>0.10463543911491224</v>
      </c>
      <c r="AT4070" s="111"/>
      <c r="AU4070" s="28"/>
    </row>
    <row r="4071" spans="15:47" x14ac:dyDescent="0.25">
      <c r="O4071" s="2" t="s">
        <v>57</v>
      </c>
      <c r="P4071" s="143">
        <v>7</v>
      </c>
      <c r="Q4071" s="2"/>
      <c r="R4071" s="96">
        <f ca="1">(R4064/(N_9*R$27*R4066*R4070))*SQRT(M*'Valve Sizing'!$W$6*'Valve Sizing'!$G$8/R4069)</f>
        <v>39.745127290915939</v>
      </c>
      <c r="S4071" s="107"/>
      <c r="T4071" s="22"/>
      <c r="U4071" s="96">
        <f ca="1">(U4064/(N_9*U$27*U4066*U4070))*SQRT(M*'Valve Sizing'!$W$6*'Valve Sizing'!$G$8/U4069)</f>
        <v>96.884170907912107</v>
      </c>
      <c r="V4071" s="111"/>
      <c r="W4071" s="28"/>
      <c r="X4071" s="96" t="e">
        <f ca="1">(X4064/(N_9*X$27*X4066*X4070))*SQRT(M*'Valve Sizing'!$W$6*'Valve Sizing'!$G$8/X4069)</f>
        <v>#NUM!</v>
      </c>
      <c r="Y4071" s="111"/>
      <c r="Z4071" s="28"/>
      <c r="AA4071" s="96">
        <f ca="1">(AA4064/(N_9*AA$27*AA4066*AA4070))*SQRT(M*'Valve Sizing'!$W$6*'Valve Sizing'!$G$8/AA4069)</f>
        <v>-1699.933193637617</v>
      </c>
      <c r="AB4071" s="111"/>
      <c r="AC4071" s="28"/>
      <c r="AD4071" s="96">
        <f ca="1">(AD4064/(N_9*AD$27*AD4066*AD4070))*SQRT(M*'Valve Sizing'!$W$6*'Valve Sizing'!$G$8/AD4069)</f>
        <v>-183.53169612281604</v>
      </c>
      <c r="AE4071" s="111"/>
      <c r="AF4071" s="28"/>
      <c r="AG4071" s="96">
        <f ca="1">(AG4064/(N_9*AG$27*AG4066*AG4070))*SQRT(M*'Valve Sizing'!$W$6*'Valve Sizing'!$G$8/AG4069)</f>
        <v>-115.61922948447324</v>
      </c>
      <c r="AH4071" s="111"/>
      <c r="AI4071" s="28"/>
      <c r="AJ4071" s="96">
        <f ca="1">(AJ4064/(N_9*AJ$27*AJ4066*AJ4070))*SQRT(M*'Valve Sizing'!$W$6*'Valve Sizing'!$G$8/AJ4069)</f>
        <v>-94.593540501328278</v>
      </c>
      <c r="AK4071" s="111"/>
      <c r="AL4071" s="28"/>
      <c r="AM4071" s="96">
        <f ca="1">(AM4064/(N_9*AM$27*AM4066*AM4070))*SQRT(M*'Valve Sizing'!$W$6*'Valve Sizing'!$G$8/AM4069)</f>
        <v>-101.00650192253777</v>
      </c>
      <c r="AN4071" s="111"/>
      <c r="AO4071" s="28"/>
      <c r="AP4071" s="96">
        <f ca="1">(AP4064/(N_9*AP$27*AP4066*AP4070))*SQRT(M*'Valve Sizing'!$W$6*'Valve Sizing'!$G$8/AP4069)</f>
        <v>-65.509047384494536</v>
      </c>
      <c r="AQ4071" s="111"/>
      <c r="AR4071" s="28"/>
      <c r="AS4071" s="96">
        <f ca="1">(AS4064/(N_9*AS$27*AS4066*AS4070))*SQRT(M*'Valve Sizing'!$W$6*'Valve Sizing'!$G$8/AS4069)</f>
        <v>-303.51478008314007</v>
      </c>
      <c r="AT4071" s="111"/>
      <c r="AU4071" s="28"/>
    </row>
    <row r="4072" spans="15:47" x14ac:dyDescent="0.25">
      <c r="O4072" s="2" t="s">
        <v>59</v>
      </c>
      <c r="P4072" s="143">
        <v>7</v>
      </c>
      <c r="Q4072" s="2"/>
      <c r="R4072" s="96">
        <f ca="1">(R4064/(N_9*R$27*R4066*0.667))*SQRT(M*'Valve Sizing'!$W$6*'Valve Sizing'!$G$8/R4073)</f>
        <v>35.184082788399891</v>
      </c>
      <c r="S4072" s="107"/>
      <c r="T4072" s="22"/>
      <c r="U4072" s="96">
        <f ca="1">(U4064/(N_9*U$27*U4066*0.667))*SQRT(M*'Valve Sizing'!$W$6*'Valve Sizing'!$G$8/U4073)</f>
        <v>81.325288675390865</v>
      </c>
      <c r="V4072" s="111"/>
      <c r="W4072" s="28"/>
      <c r="X4072" s="96">
        <f ca="1">(X4064/(N_9*X$27*X4066*0.667))*SQRT(M*'Valve Sizing'!$W$6*'Valve Sizing'!$G$8/X4073)</f>
        <v>376.09022956365635</v>
      </c>
      <c r="Y4072" s="111"/>
      <c r="Z4072" s="28"/>
      <c r="AA4072" s="96">
        <f ca="1">(AA4064/(N_9*AA$27*AA4066*0.667))*SQRT(M*'Valve Sizing'!$W$6*'Valve Sizing'!$G$8/AA4073)</f>
        <v>-383.48251207113253</v>
      </c>
      <c r="AB4072" s="111"/>
      <c r="AC4072" s="28"/>
      <c r="AD4072" s="96">
        <f ca="1">(AD4064/(N_9*AD$27*AD4066*0.667))*SQRT(M*'Valve Sizing'!$W$6*'Valve Sizing'!$G$8/AD4073)</f>
        <v>-139.59620660215407</v>
      </c>
      <c r="AE4072" s="111"/>
      <c r="AF4072" s="28"/>
      <c r="AG4072" s="96">
        <f ca="1">(AG4064/(N_9*AG$27*AG4066*0.667))*SQRT(M*'Valve Sizing'!$W$6*'Valve Sizing'!$G$8/AG4073)</f>
        <v>-90.006997844704941</v>
      </c>
      <c r="AH4072" s="111"/>
      <c r="AI4072" s="28"/>
      <c r="AJ4072" s="96">
        <f ca="1">(AJ4064/(N_9*AJ$27*AJ4066*0.667))*SQRT(M*'Valve Sizing'!$W$6*'Valve Sizing'!$G$8/AJ4073)</f>
        <v>-69.621171887074041</v>
      </c>
      <c r="AK4072" s="111"/>
      <c r="AL4072" s="28"/>
      <c r="AM4072" s="96">
        <f ca="1">(AM4064/(N_9*AM$27*AM4066*0.667))*SQRT(M*'Valve Sizing'!$W$6*'Valve Sizing'!$G$8/AM4073)</f>
        <v>-62.966577728887835</v>
      </c>
      <c r="AN4072" s="111"/>
      <c r="AO4072" s="28"/>
      <c r="AP4072" s="96">
        <f ca="1">(AP4064/(N_9*AP$27*AP4066*0.667))*SQRT(M*'Valve Sizing'!$W$6*'Valve Sizing'!$G$8/AP4073)</f>
        <v>-54.928648387975869</v>
      </c>
      <c r="AQ4072" s="111"/>
      <c r="AR4072" s="28"/>
      <c r="AS4072" s="96">
        <f ca="1">(AS4064/(N_9*AS$27*AS4066*0.667))*SQRT(M*'Valve Sizing'!$W$6*'Valve Sizing'!$G$8/AS4073)</f>
        <v>-78.035710615296438</v>
      </c>
      <c r="AT4072" s="111"/>
      <c r="AU4072" s="28"/>
    </row>
    <row r="4073" spans="15:47" ht="15.6" x14ac:dyDescent="0.35">
      <c r="O4073" s="2" t="s">
        <v>68</v>
      </c>
      <c r="P4073" s="143">
        <v>10</v>
      </c>
      <c r="Q4073" s="2"/>
      <c r="R4073" s="96">
        <f ca="1">F_GAMMA*R$29</f>
        <v>0.64002969751372984</v>
      </c>
      <c r="S4073" s="107"/>
      <c r="T4073" s="1"/>
      <c r="U4073" s="96">
        <f ca="1">F_GAMMA*U$29</f>
        <v>0.64017842058782071</v>
      </c>
      <c r="V4073" s="111"/>
      <c r="W4073" s="28"/>
      <c r="X4073" s="96">
        <f ca="1">F_GAMMA*X$29</f>
        <v>0.63413873724904268</v>
      </c>
      <c r="Y4073" s="111"/>
      <c r="Z4073" s="28"/>
      <c r="AA4073" s="96">
        <f ca="1">F_GAMMA*AA$29</f>
        <v>0.62532411750377137</v>
      </c>
      <c r="AB4073" s="111"/>
      <c r="AC4073" s="28"/>
      <c r="AD4073" s="96">
        <f ca="1">F_GAMMA*AD$29</f>
        <v>0.60651359509139569</v>
      </c>
      <c r="AE4073" s="111"/>
      <c r="AF4073" s="28"/>
      <c r="AG4073" s="96">
        <f ca="1">F_GAMMA*AG$29</f>
        <v>0.57217930198481592</v>
      </c>
      <c r="AH4073" s="111"/>
      <c r="AI4073" s="28"/>
      <c r="AJ4073" s="96">
        <f ca="1">F_GAMMA*AJ$29</f>
        <v>0.53183282018848232</v>
      </c>
      <c r="AK4073" s="111"/>
      <c r="AL4073" s="28"/>
      <c r="AM4073" s="96">
        <f ca="1">F_GAMMA*AM$29</f>
        <v>0.47566512503094399</v>
      </c>
      <c r="AN4073" s="111"/>
      <c r="AO4073" s="28"/>
      <c r="AP4073" s="96">
        <f ca="1">F_GAMMA*AP$29</f>
        <v>0.59054158265645496</v>
      </c>
      <c r="AQ4073" s="111"/>
      <c r="AR4073" s="28"/>
      <c r="AS4073" s="96">
        <f ca="1">F_GAMMA*AS$29</f>
        <v>0.3766899554102966</v>
      </c>
      <c r="AT4073" s="111"/>
      <c r="AU4073" s="28"/>
    </row>
    <row r="4074" spans="15:47" x14ac:dyDescent="0.25">
      <c r="O4074" s="2" t="s">
        <v>145</v>
      </c>
      <c r="P4074" s="12"/>
      <c r="Q4074" s="2"/>
      <c r="R4074" s="96">
        <f ca="1">IF(R4069&lt;R4073,R4071,R4072)</f>
        <v>39.745127290915939</v>
      </c>
      <c r="S4074" s="116"/>
      <c r="T4074" s="1"/>
      <c r="U4074" s="96">
        <f ca="1">IF(U4069&lt;U4073,U4071,U4072)</f>
        <v>96.884170907912107</v>
      </c>
      <c r="V4074" s="111"/>
      <c r="W4074" s="28"/>
      <c r="X4074" s="96" t="e">
        <f ca="1">IF(X4069&lt;X4073,X4071,X4072)</f>
        <v>#NUM!</v>
      </c>
      <c r="Y4074" s="111"/>
      <c r="Z4074" s="28"/>
      <c r="AA4074" s="96">
        <f ca="1">IF(AA4069&lt;AA4073,AA4071,AA4072)</f>
        <v>-383.48251207113253</v>
      </c>
      <c r="AB4074" s="111"/>
      <c r="AC4074" s="28"/>
      <c r="AD4074" s="96">
        <f ca="1">IF(AD4069&lt;AD4073,AD4071,AD4072)</f>
        <v>-139.59620660215407</v>
      </c>
      <c r="AE4074" s="111"/>
      <c r="AF4074" s="28"/>
      <c r="AG4074" s="96">
        <f ca="1">IF(AG4069&lt;AG4073,AG4071,AG4072)</f>
        <v>-90.006997844704941</v>
      </c>
      <c r="AH4074" s="111"/>
      <c r="AI4074" s="28"/>
      <c r="AJ4074" s="96">
        <f ca="1">IF(AJ4069&lt;AJ4073,AJ4071,AJ4072)</f>
        <v>-69.621171887074041</v>
      </c>
      <c r="AK4074" s="111"/>
      <c r="AL4074" s="28"/>
      <c r="AM4074" s="96">
        <f ca="1">IF(AM4069&lt;AM4073,AM4071,AM4072)</f>
        <v>-62.966577728887835</v>
      </c>
      <c r="AN4074" s="111"/>
      <c r="AO4074" s="28"/>
      <c r="AP4074" s="96">
        <f ca="1">IF(AP4069&lt;AP4073,AP4071,AP4072)</f>
        <v>-54.928648387975869</v>
      </c>
      <c r="AQ4074" s="111"/>
      <c r="AR4074" s="28"/>
      <c r="AS4074" s="96">
        <f ca="1">IF(AS4069&lt;AS4073,AS4071,AS4072)</f>
        <v>-78.035710615296438</v>
      </c>
      <c r="AT4074" s="111"/>
      <c r="AU4074" s="28"/>
    </row>
    <row r="4075" spans="15:47" x14ac:dyDescent="0.25">
      <c r="O4075" s="13" t="s">
        <v>143</v>
      </c>
      <c r="P4075" s="1"/>
      <c r="Q4075" s="1"/>
      <c r="R4075" s="113"/>
      <c r="S4075" s="106">
        <f ca="1">IF(R4068&lt;=0,Q_max,ABS(R$23-R4074))</f>
        <v>35.015127290915942</v>
      </c>
      <c r="T4075" s="7">
        <f>R4064</f>
        <v>95529.197841517846</v>
      </c>
      <c r="U4075" s="98"/>
      <c r="V4075" s="106">
        <f ca="1">IF(U4068&lt;=0,Q_max,ABS(U$23-U4074))</f>
        <v>85.284170907912113</v>
      </c>
      <c r="W4075" s="9">
        <f ca="1">U4064</f>
        <v>205623.89129702793</v>
      </c>
      <c r="X4075" s="98"/>
      <c r="Y4075" s="106">
        <f ca="1">IF(X4068&lt;=0,Q_max,ABS(X$23-X4074))</f>
        <v>236393</v>
      </c>
      <c r="Z4075" s="9">
        <f ca="1">X4064</f>
        <v>503497.37891826994</v>
      </c>
      <c r="AA4075" s="98"/>
      <c r="AB4075" s="106">
        <f ca="1">IF(AA4068&lt;=0,Q_max,ABS(AA$23-AA4074))</f>
        <v>236393</v>
      </c>
      <c r="AC4075" s="9">
        <f ca="1">AA4064</f>
        <v>980684.37873618945</v>
      </c>
      <c r="AD4075" s="98"/>
      <c r="AE4075" s="106">
        <f ca="1">IF(AD4068&lt;=0,Q_max,ABS(AD$23-AD4074))</f>
        <v>236393</v>
      </c>
      <c r="AF4075" s="9">
        <f ca="1">AD4064</f>
        <v>1645283.3176574756</v>
      </c>
      <c r="AG4075" s="98"/>
      <c r="AH4075" s="106">
        <f ca="1">IF(AG4068&lt;=0,Q_max,ABS(AG$23-AG4074))</f>
        <v>236393</v>
      </c>
      <c r="AI4075" s="9">
        <f ca="1">AG4064</f>
        <v>2401335.8132907795</v>
      </c>
      <c r="AJ4075" s="98"/>
      <c r="AK4075" s="106">
        <f ca="1">IF(AJ4068&lt;=0,Q_max,ABS(AJ$23-AJ4074))</f>
        <v>236393</v>
      </c>
      <c r="AL4075" s="9">
        <f ca="1">AJ4064</f>
        <v>3204591.9517762749</v>
      </c>
      <c r="AM4075" s="98"/>
      <c r="AN4075" s="106">
        <f ca="1">IF(AM4068&lt;=0,Q_max,ABS(AM$23-AM4074))</f>
        <v>236393</v>
      </c>
      <c r="AO4075" s="9">
        <f ca="1">AM4064</f>
        <v>3910211.1816548267</v>
      </c>
      <c r="AP4075" s="98"/>
      <c r="AQ4075" s="106">
        <f ca="1">IF(AP4068&lt;=0,Q_max,ABS(AP$23-AP4074))</f>
        <v>236393</v>
      </c>
      <c r="AR4075" s="9">
        <f ca="1">AP4064</f>
        <v>4539633.7908418924</v>
      </c>
      <c r="AS4075" s="98"/>
      <c r="AT4075" s="106">
        <f ca="1">IF(AS4068&lt;=0,Q_max,ABS(AS$23-AS4074))</f>
        <v>236393</v>
      </c>
      <c r="AU4075" s="9">
        <f ca="1">AS4064</f>
        <v>5323077.6389152221</v>
      </c>
    </row>
    <row r="4076" spans="15:47" x14ac:dyDescent="0.25">
      <c r="O4076" s="21"/>
      <c r="P4076" s="14"/>
      <c r="Q4076" s="21"/>
      <c r="R4076" s="97"/>
      <c r="S4076" s="106"/>
      <c r="T4076" s="28"/>
      <c r="U4076" s="97"/>
      <c r="V4076" s="111"/>
      <c r="W4076" s="28"/>
      <c r="X4076" s="97"/>
      <c r="Y4076" s="111"/>
      <c r="Z4076" s="28"/>
      <c r="AA4076" s="97"/>
      <c r="AB4076" s="111"/>
      <c r="AC4076" s="28"/>
      <c r="AD4076" s="97"/>
      <c r="AE4076" s="111"/>
      <c r="AF4076" s="28"/>
      <c r="AG4076" s="97"/>
      <c r="AH4076" s="111"/>
      <c r="AI4076" s="28"/>
      <c r="AJ4076" s="97"/>
      <c r="AK4076" s="111"/>
      <c r="AL4076" s="28"/>
      <c r="AM4076" s="97"/>
      <c r="AN4076" s="111"/>
      <c r="AO4076" s="28"/>
      <c r="AP4076" s="97"/>
      <c r="AQ4076" s="111"/>
      <c r="AR4076" s="28"/>
      <c r="AS4076" s="97"/>
      <c r="AT4076" s="111"/>
      <c r="AU4076" s="28"/>
    </row>
    <row r="4077" spans="15:47" x14ac:dyDescent="0.25">
      <c r="O4077" s="1"/>
      <c r="P4077" s="1"/>
      <c r="Q4077" s="1"/>
      <c r="R4077" s="98"/>
      <c r="S4077" s="108" t="s">
        <v>137</v>
      </c>
      <c r="T4077" s="26" t="s">
        <v>146</v>
      </c>
      <c r="U4077" s="98"/>
      <c r="V4077" s="108" t="s">
        <v>137</v>
      </c>
      <c r="W4077" s="26" t="s">
        <v>146</v>
      </c>
      <c r="X4077" s="98"/>
      <c r="Y4077" s="108" t="s">
        <v>137</v>
      </c>
      <c r="Z4077" s="26" t="s">
        <v>146</v>
      </c>
      <c r="AA4077" s="98"/>
      <c r="AB4077" s="108" t="s">
        <v>137</v>
      </c>
      <c r="AC4077" s="26" t="s">
        <v>146</v>
      </c>
      <c r="AD4077" s="98"/>
      <c r="AE4077" s="108" t="s">
        <v>137</v>
      </c>
      <c r="AF4077" s="26" t="s">
        <v>146</v>
      </c>
      <c r="AG4077" s="98"/>
      <c r="AH4077" s="108" t="s">
        <v>137</v>
      </c>
      <c r="AI4077" s="26" t="s">
        <v>146</v>
      </c>
      <c r="AJ4077" s="98"/>
      <c r="AK4077" s="108" t="s">
        <v>137</v>
      </c>
      <c r="AL4077" s="26" t="s">
        <v>146</v>
      </c>
      <c r="AM4077" s="98"/>
      <c r="AN4077" s="108" t="s">
        <v>137</v>
      </c>
      <c r="AO4077" s="26" t="s">
        <v>146</v>
      </c>
      <c r="AP4077" s="98"/>
      <c r="AQ4077" s="108" t="s">
        <v>137</v>
      </c>
      <c r="AR4077" s="26" t="s">
        <v>146</v>
      </c>
      <c r="AS4077" s="98"/>
      <c r="AT4077" s="108" t="s">
        <v>137</v>
      </c>
      <c r="AU4077" s="26" t="s">
        <v>146</v>
      </c>
    </row>
    <row r="4078" spans="15:47" ht="13.8" x14ac:dyDescent="0.25">
      <c r="O4078" s="20" t="s">
        <v>136</v>
      </c>
      <c r="P4078" s="1"/>
      <c r="Q4078" s="1"/>
      <c r="R4078" s="96">
        <f>R4064*1.02</f>
        <v>97439.781798348209</v>
      </c>
      <c r="S4078" s="109" t="s">
        <v>144</v>
      </c>
      <c r="T4078" s="23" t="s">
        <v>147</v>
      </c>
      <c r="U4078" s="96">
        <f ca="1">U4064*1.01</f>
        <v>207680.13020999823</v>
      </c>
      <c r="V4078" s="109" t="s">
        <v>144</v>
      </c>
      <c r="W4078" s="23" t="s">
        <v>147</v>
      </c>
      <c r="X4078" s="96">
        <f ca="1">X4064*1.01</f>
        <v>508532.35270745266</v>
      </c>
      <c r="Y4078" s="109" t="s">
        <v>144</v>
      </c>
      <c r="Z4078" s="23" t="s">
        <v>147</v>
      </c>
      <c r="AA4078" s="96">
        <f ca="1">AA4064*1.01</f>
        <v>990491.22252355132</v>
      </c>
      <c r="AB4078" s="109" t="s">
        <v>144</v>
      </c>
      <c r="AC4078" s="23" t="s">
        <v>147</v>
      </c>
      <c r="AD4078" s="96">
        <f ca="1">AD4064*1.01</f>
        <v>1661736.1508340503</v>
      </c>
      <c r="AE4078" s="109" t="s">
        <v>144</v>
      </c>
      <c r="AF4078" s="23" t="s">
        <v>147</v>
      </c>
      <c r="AG4078" s="96">
        <f ca="1">AG4064*1.01</f>
        <v>2425349.1714236871</v>
      </c>
      <c r="AH4078" s="109" t="s">
        <v>144</v>
      </c>
      <c r="AI4078" s="23" t="s">
        <v>147</v>
      </c>
      <c r="AJ4078" s="96">
        <f ca="1">AJ4064*1.01</f>
        <v>3236637.8712940379</v>
      </c>
      <c r="AK4078" s="109" t="s">
        <v>144</v>
      </c>
      <c r="AL4078" s="23" t="s">
        <v>147</v>
      </c>
      <c r="AM4078" s="96">
        <f ca="1">AM4064*1.01</f>
        <v>3949313.293471375</v>
      </c>
      <c r="AN4078" s="109" t="s">
        <v>144</v>
      </c>
      <c r="AO4078" s="23" t="s">
        <v>147</v>
      </c>
      <c r="AP4078" s="96">
        <f ca="1">AP4064*1.01</f>
        <v>4585030.1287503112</v>
      </c>
      <c r="AQ4078" s="109" t="s">
        <v>144</v>
      </c>
      <c r="AR4078" s="23" t="s">
        <v>147</v>
      </c>
      <c r="AS4078" s="96">
        <f ca="1">AS4064*1.01</f>
        <v>5376308.4153043739</v>
      </c>
      <c r="AT4078" s="109" t="s">
        <v>144</v>
      </c>
      <c r="AU4078" s="23" t="s">
        <v>147</v>
      </c>
    </row>
    <row r="4079" spans="15:47" x14ac:dyDescent="0.25">
      <c r="O4079" s="1"/>
      <c r="P4079" s="1"/>
      <c r="Q4079" s="1"/>
      <c r="R4079" s="98"/>
      <c r="S4079" s="107"/>
      <c r="T4079" s="1"/>
      <c r="U4079" s="47"/>
      <c r="V4079" s="107"/>
      <c r="W4079" s="1"/>
      <c r="X4079" s="47"/>
      <c r="Y4079" s="107"/>
      <c r="Z4079" s="1"/>
      <c r="AA4079" s="47"/>
      <c r="AB4079" s="107"/>
      <c r="AC4079" s="1"/>
      <c r="AD4079" s="47"/>
      <c r="AE4079" s="107"/>
      <c r="AF4079" s="1"/>
      <c r="AG4079" s="47"/>
      <c r="AH4079" s="107"/>
      <c r="AI4079" s="1"/>
      <c r="AJ4079" s="47"/>
      <c r="AK4079" s="107"/>
      <c r="AL4079" s="1"/>
      <c r="AM4079" s="47"/>
      <c r="AN4079" s="107"/>
      <c r="AO4079" s="1"/>
      <c r="AP4079" s="47"/>
      <c r="AQ4079" s="107"/>
      <c r="AR4079" s="1"/>
      <c r="AS4079" s="47"/>
      <c r="AT4079" s="107"/>
      <c r="AU4079" s="1"/>
    </row>
    <row r="4080" spans="15:47" x14ac:dyDescent="0.25">
      <c r="O4080" s="8" t="s">
        <v>132</v>
      </c>
      <c r="P4080" s="8"/>
      <c r="Q4080" s="8"/>
      <c r="R4080" s="96">
        <f>P_1_minQ-(R4078^2*R_up)+dpup_minQ</f>
        <v>88.454562289969147</v>
      </c>
      <c r="S4080" s="106"/>
      <c r="T4080" s="22"/>
      <c r="U4080" s="96">
        <f ca="1">P_1_minQ-(U4078^2*R_up)+dpup_minQ</f>
        <v>82.323938519626623</v>
      </c>
      <c r="V4080" s="107"/>
      <c r="W4080" s="1"/>
      <c r="X4080" s="96">
        <f ca="1">P_1_minQ-(X4078^2*R_up)+dpup_minQ</f>
        <v>43.051429566450274</v>
      </c>
      <c r="Y4080" s="107"/>
      <c r="Z4080" s="1"/>
      <c r="AA4080" s="96">
        <f ca="1">P_1_minQ-(AA4078^2*R_up)+dpup_minQ</f>
        <v>-88.626193233606983</v>
      </c>
      <c r="AB4080" s="107"/>
      <c r="AC4080" s="1"/>
      <c r="AD4080" s="96">
        <f ca="1">P_1_minQ-(AD4078^2*R_up)+dpup_minQ</f>
        <v>-413.10423142744941</v>
      </c>
      <c r="AE4080" s="107"/>
      <c r="AF4080" s="1"/>
      <c r="AG4080" s="96">
        <f ca="1">P_1_minQ-(AG4078^2*R_up)+dpup_minQ</f>
        <v>-981.93170808698596</v>
      </c>
      <c r="AH4080" s="107"/>
      <c r="AI4080" s="1"/>
      <c r="AJ4080" s="96">
        <f ca="1">P_1_minQ-(AJ4078^2*R_up)+dpup_minQ</f>
        <v>-1819.1483166780665</v>
      </c>
      <c r="AK4080" s="107"/>
      <c r="AL4080" s="1"/>
      <c r="AM4080" s="96">
        <f ca="1">P_1_minQ-(AM4078^2*R_up)+dpup_minQ</f>
        <v>-2752.5521503474597</v>
      </c>
      <c r="AN4080" s="107"/>
      <c r="AO4080" s="1"/>
      <c r="AP4080" s="96">
        <f ca="1">P_1_minQ-(AP4078^2*R_up)+dpup_minQ</f>
        <v>-3741.3951987707846</v>
      </c>
      <c r="AQ4080" s="107"/>
      <c r="AR4080" s="1"/>
      <c r="AS4080" s="96">
        <f ca="1">P_1_minQ-(AS4078^2*R_up)+dpup_minQ</f>
        <v>-5178.0104935406671</v>
      </c>
      <c r="AT4080" s="107"/>
      <c r="AU4080" s="1"/>
    </row>
    <row r="4081" spans="15:47" x14ac:dyDescent="0.25">
      <c r="O4081" s="8" t="s">
        <v>134</v>
      </c>
      <c r="P4081" s="1"/>
      <c r="Q4081" s="8"/>
      <c r="R4081" s="97">
        <f>P_2_minQ+(R4078^2*R_dn)-dpdn_minQ</f>
        <v>60</v>
      </c>
      <c r="S4081" s="106"/>
      <c r="T4081" s="22"/>
      <c r="U4081" s="97">
        <f ca="1">P_2_minQ+(U4078^2*R_dn)-dpdn_minQ</f>
        <v>60</v>
      </c>
      <c r="V4081" s="107"/>
      <c r="W4081" s="1"/>
      <c r="X4081" s="97">
        <f ca="1">P_2_minQ+(X4078^2*R_dn)-dpdn_minQ</f>
        <v>60</v>
      </c>
      <c r="Y4081" s="107"/>
      <c r="Z4081" s="1"/>
      <c r="AA4081" s="97">
        <f ca="1">P_2_minQ+(AA4078^2*R_dn)-dpdn_minQ</f>
        <v>60</v>
      </c>
      <c r="AB4081" s="107"/>
      <c r="AC4081" s="1"/>
      <c r="AD4081" s="97">
        <f ca="1">P_2_minQ+(AD4078^2*R_dn)-dpdn_minQ</f>
        <v>60</v>
      </c>
      <c r="AE4081" s="107"/>
      <c r="AF4081" s="1"/>
      <c r="AG4081" s="97">
        <f ca="1">P_2_minQ+(AG4078^2*R_dn)-dpdn_minQ</f>
        <v>60</v>
      </c>
      <c r="AH4081" s="107"/>
      <c r="AI4081" s="1"/>
      <c r="AJ4081" s="97">
        <f ca="1">P_2_minQ+(AJ4078^2*R_dn)-dpdn_minQ</f>
        <v>60</v>
      </c>
      <c r="AK4081" s="107"/>
      <c r="AL4081" s="1"/>
      <c r="AM4081" s="97">
        <f ca="1">P_2_minQ+(AM4078^2*R_dn)-dpdn_minQ</f>
        <v>60</v>
      </c>
      <c r="AN4081" s="107"/>
      <c r="AO4081" s="1"/>
      <c r="AP4081" s="97">
        <f ca="1">P_2_minQ+(AP4078^2*R_dn)-dpdn_minQ</f>
        <v>60</v>
      </c>
      <c r="AQ4081" s="107"/>
      <c r="AR4081" s="1"/>
      <c r="AS4081" s="97">
        <f ca="1">P_2_minQ+(AS4078^2*R_dn)-dpdn_minQ</f>
        <v>60</v>
      </c>
      <c r="AT4081" s="107"/>
      <c r="AU4081" s="1"/>
    </row>
    <row r="4082" spans="15:47" x14ac:dyDescent="0.25">
      <c r="O4082" s="8" t="s">
        <v>138</v>
      </c>
      <c r="P4082" s="1"/>
      <c r="Q4082" s="8"/>
      <c r="R4082" s="97">
        <f>R4080-R4081</f>
        <v>28.454562289969147</v>
      </c>
      <c r="S4082" s="106"/>
      <c r="T4082" s="22"/>
      <c r="U4082" s="97">
        <f ca="1">U4080-U4081</f>
        <v>22.323938519626623</v>
      </c>
      <c r="V4082" s="110"/>
      <c r="W4082" s="25"/>
      <c r="X4082" s="97">
        <f ca="1">X4080-X4081</f>
        <v>-16.948570433549726</v>
      </c>
      <c r="Y4082" s="110"/>
      <c r="Z4082" s="25"/>
      <c r="AA4082" s="97">
        <f ca="1">AA4080-AA4081</f>
        <v>-148.62619323360698</v>
      </c>
      <c r="AB4082" s="110"/>
      <c r="AC4082" s="25"/>
      <c r="AD4082" s="97">
        <f ca="1">AD4080-AD4081</f>
        <v>-473.10423142744941</v>
      </c>
      <c r="AE4082" s="110"/>
      <c r="AF4082" s="25"/>
      <c r="AG4082" s="97">
        <f ca="1">AG4080-AG4081</f>
        <v>-1041.931708086986</v>
      </c>
      <c r="AH4082" s="110"/>
      <c r="AI4082" s="25"/>
      <c r="AJ4082" s="97">
        <f ca="1">AJ4080-AJ4081</f>
        <v>-1879.1483166780665</v>
      </c>
      <c r="AK4082" s="110"/>
      <c r="AL4082" s="25"/>
      <c r="AM4082" s="97">
        <f ca="1">AM4080-AM4081</f>
        <v>-2812.5521503474597</v>
      </c>
      <c r="AN4082" s="110"/>
      <c r="AO4082" s="25"/>
      <c r="AP4082" s="97">
        <f ca="1">AP4080-AP4081</f>
        <v>-3801.3951987707846</v>
      </c>
      <c r="AQ4082" s="110"/>
      <c r="AR4082" s="25"/>
      <c r="AS4082" s="97">
        <f ca="1">AS4080-AS4081</f>
        <v>-5238.0104935406671</v>
      </c>
      <c r="AT4082" s="110"/>
      <c r="AU4082" s="25"/>
    </row>
    <row r="4083" spans="15:47" ht="14.4" x14ac:dyDescent="0.3">
      <c r="O4083" s="2" t="s">
        <v>140</v>
      </c>
      <c r="P4083" s="11"/>
      <c r="Q4083" s="2"/>
      <c r="R4083" s="96">
        <f>R4082/R4080</f>
        <v>0.3216856378384445</v>
      </c>
      <c r="S4083" s="106"/>
      <c r="T4083" s="22"/>
      <c r="U4083" s="96">
        <f ca="1">U4082/U4080</f>
        <v>0.27117189630455346</v>
      </c>
      <c r="V4083" s="111"/>
      <c r="W4083" s="28"/>
      <c r="X4083" s="96">
        <f ca="1">X4082/X4080</f>
        <v>-0.39368194283512592</v>
      </c>
      <c r="Y4083" s="111"/>
      <c r="Z4083" s="28"/>
      <c r="AA4083" s="96">
        <f ca="1">AA4082/AA4080</f>
        <v>1.6770007580247512</v>
      </c>
      <c r="AB4083" s="111"/>
      <c r="AC4083" s="28"/>
      <c r="AD4083" s="96">
        <f ca="1">AD4082/AD4080</f>
        <v>1.1452417947709581</v>
      </c>
      <c r="AE4083" s="111"/>
      <c r="AF4083" s="28"/>
      <c r="AG4083" s="96">
        <f ca="1">AG4082/AG4080</f>
        <v>1.0611040457354135</v>
      </c>
      <c r="AH4083" s="111"/>
      <c r="AI4083" s="28"/>
      <c r="AJ4083" s="96">
        <f ca="1">AJ4082/AJ4080</f>
        <v>1.0329824673721852</v>
      </c>
      <c r="AK4083" s="111"/>
      <c r="AL4083" s="28"/>
      <c r="AM4083" s="96">
        <f ca="1">AM4082/AM4080</f>
        <v>1.0217979521268747</v>
      </c>
      <c r="AN4083" s="111"/>
      <c r="AO4083" s="28"/>
      <c r="AP4083" s="96">
        <f ca="1">AP4082/AP4080</f>
        <v>1.0160367982563598</v>
      </c>
      <c r="AQ4083" s="111"/>
      <c r="AR4083" s="28"/>
      <c r="AS4083" s="96">
        <f ca="1">AS4082/AS4080</f>
        <v>1.011587462032927</v>
      </c>
      <c r="AT4083" s="111"/>
      <c r="AU4083" s="28"/>
    </row>
    <row r="4084" spans="15:47" x14ac:dyDescent="0.25">
      <c r="O4084" s="2" t="s">
        <v>21</v>
      </c>
      <c r="P4084" s="8">
        <v>12</v>
      </c>
      <c r="Q4084" s="2"/>
      <c r="R4084" s="96">
        <f ca="1">1-R4083/(3*F_GAMMA*R$29)</f>
        <v>0.83246317106426471</v>
      </c>
      <c r="S4084" s="106"/>
      <c r="T4084" s="22"/>
      <c r="U4084" s="96">
        <f ca="1">1-U4083/(3*F_GAMMA*U$29)</f>
        <v>0.8588040002683629</v>
      </c>
      <c r="V4084" s="111"/>
      <c r="W4084" s="28"/>
      <c r="X4084" s="96">
        <f ca="1">1-X4083/(3*F_GAMMA*X$29)</f>
        <v>1.2069378616541431</v>
      </c>
      <c r="Y4084" s="111"/>
      <c r="Z4084" s="28"/>
      <c r="AA4084" s="96">
        <f ca="1">1-AA4083/(3*F_GAMMA*AA$29)</f>
        <v>0.10606318063280884</v>
      </c>
      <c r="AB4084" s="111"/>
      <c r="AC4084" s="28"/>
      <c r="AD4084" s="96">
        <f ca="1">1-AD4083/(3*F_GAMMA*AD$29)</f>
        <v>0.37058745589020614</v>
      </c>
      <c r="AE4084" s="111"/>
      <c r="AF4084" s="28"/>
      <c r="AG4084" s="96">
        <f ca="1">1-AG4083/(3*F_GAMMA*AG$29)</f>
        <v>0.38183477215703709</v>
      </c>
      <c r="AH4084" s="111"/>
      <c r="AI4084" s="28"/>
      <c r="AJ4084" s="96">
        <f ca="1">1-AJ4083/(3*F_GAMMA*AJ$29)</f>
        <v>0.35256442240245423</v>
      </c>
      <c r="AK4084" s="111"/>
      <c r="AL4084" s="28"/>
      <c r="AM4084" s="96">
        <f ca="1">1-AM4083/(3*F_GAMMA*AM$29)</f>
        <v>0.28395146195873089</v>
      </c>
      <c r="AN4084" s="111"/>
      <c r="AO4084" s="28"/>
      <c r="AP4084" s="96">
        <f ca="1">1-AP4083/(3*F_GAMMA*AP$29)</f>
        <v>0.4264943524745064</v>
      </c>
      <c r="AQ4084" s="111"/>
      <c r="AR4084" s="28"/>
      <c r="AS4084" s="96">
        <f ca="1">1-AS4083/(3*F_GAMMA*AS$29)</f>
        <v>0.10484520270692288</v>
      </c>
      <c r="AT4084" s="111"/>
      <c r="AU4084" s="28"/>
    </row>
    <row r="4085" spans="15:47" x14ac:dyDescent="0.25">
      <c r="O4085" s="2" t="s">
        <v>57</v>
      </c>
      <c r="P4085" s="143">
        <v>7</v>
      </c>
      <c r="Q4085" s="2"/>
      <c r="R4085" s="96">
        <f ca="1">(R4078/(N_9*R$27*R4080*R4084))*SQRT(M*'Valve Sizing'!$W$6*'Valve Sizing'!$G$8/R4083)</f>
        <v>40.590204036794589</v>
      </c>
      <c r="S4085" s="107"/>
      <c r="T4085" s="22"/>
      <c r="U4085" s="96">
        <f ca="1">(U4078/(N_9*U$27*U4080*U4084))*SQRT(M*'Valve Sizing'!$W$6*'Valve Sizing'!$G$8/U4083)</f>
        <v>98.202672776353552</v>
      </c>
      <c r="V4085" s="111"/>
      <c r="W4085" s="28"/>
      <c r="X4085" s="96" t="e">
        <f ca="1">(X4078/(N_9*X$27*X4080*X4084))*SQRT(M*'Valve Sizing'!$W$6*'Valve Sizing'!$G$8/X4083)</f>
        <v>#NUM!</v>
      </c>
      <c r="Y4085" s="111"/>
      <c r="Z4085" s="28"/>
      <c r="AA4085" s="96">
        <f ca="1">(AA4078/(N_9*AA$27*AA4080*AA4084))*SQRT(M*'Valve Sizing'!$W$6*'Valve Sizing'!$G$8/AA4083)</f>
        <v>-1428.2241651147519</v>
      </c>
      <c r="AB4085" s="111"/>
      <c r="AC4085" s="28"/>
      <c r="AD4085" s="96">
        <f ca="1">(AD4078/(N_9*AD$27*AD4080*AD4084))*SQRT(M*'Valve Sizing'!$W$6*'Valve Sizing'!$G$8/AD4083)</f>
        <v>-180.23915450272756</v>
      </c>
      <c r="AE4085" s="111"/>
      <c r="AF4085" s="28"/>
      <c r="AG4085" s="96">
        <f ca="1">(AG4078/(N_9*AG$27*AG4080*AG4084))*SQRT(M*'Valve Sizing'!$W$6*'Valve Sizing'!$G$8/AG4083)</f>
        <v>-114.10110927398267</v>
      </c>
      <c r="AH4085" s="111"/>
      <c r="AI4085" s="28"/>
      <c r="AJ4085" s="96">
        <f ca="1">(AJ4078/(N_9*AJ$27*AJ4080*AJ4084))*SQRT(M*'Valve Sizing'!$W$6*'Valve Sizing'!$G$8/AJ4083)</f>
        <v>-93.479293411297604</v>
      </c>
      <c r="AK4085" s="111"/>
      <c r="AL4085" s="28"/>
      <c r="AM4085" s="96">
        <f ca="1">(AM4078/(N_9*AM$27*AM4080*AM4084))*SQRT(M*'Valve Sizing'!$W$6*'Valve Sizing'!$G$8/AM4083)</f>
        <v>-99.851013956069366</v>
      </c>
      <c r="AN4085" s="111"/>
      <c r="AO4085" s="28"/>
      <c r="AP4085" s="96">
        <f ca="1">(AP4078/(N_9*AP$27*AP4080*AP4084))*SQRT(M*'Valve Sizing'!$W$6*'Valve Sizing'!$G$8/AP4083)</f>
        <v>-64.811211990398888</v>
      </c>
      <c r="AQ4085" s="111"/>
      <c r="AR4085" s="28"/>
      <c r="AS4085" s="96">
        <f ca="1">(AS4078/(N_9*AS$27*AS4080*AS4084))*SQRT(M*'Valve Sizing'!$W$6*'Valve Sizing'!$G$8/AS4083)</f>
        <v>-299.83858682695296</v>
      </c>
      <c r="AT4085" s="111"/>
      <c r="AU4085" s="28"/>
    </row>
    <row r="4086" spans="15:47" x14ac:dyDescent="0.25">
      <c r="O4086" s="2" t="s">
        <v>59</v>
      </c>
      <c r="P4086" s="143">
        <v>7</v>
      </c>
      <c r="Q4086" s="2"/>
      <c r="R4086" s="96">
        <f ca="1">(R4078/(N_9*R$27*R4080*0.667))*SQRT(M*'Valve Sizing'!$W$6*'Valve Sizing'!$G$8/R4087)</f>
        <v>35.915027424619936</v>
      </c>
      <c r="S4086" s="107"/>
      <c r="T4086" s="22"/>
      <c r="U4086" s="96">
        <f ca="1">(U4078/(N_9*U$27*U4080*0.667))*SQRT(M*'Valve Sizing'!$W$6*'Valve Sizing'!$G$8/U4087)</f>
        <v>82.293087498269784</v>
      </c>
      <c r="V4086" s="111"/>
      <c r="W4086" s="28"/>
      <c r="X4086" s="96">
        <f ca="1">(X4078/(N_9*X$27*X4080*0.667))*SQRT(M*'Valve Sizing'!$W$6*'Valve Sizing'!$G$8/X4087)</f>
        <v>388.04539432229268</v>
      </c>
      <c r="Y4086" s="111"/>
      <c r="Z4086" s="28"/>
      <c r="AA4086" s="96">
        <f ca="1">(AA4078/(N_9*AA$27*AA4080*0.667))*SQRT(M*'Valve Sizing'!$W$6*'Valve Sizing'!$G$8/AA4087)</f>
        <v>-371.91974008916134</v>
      </c>
      <c r="AB4086" s="111"/>
      <c r="AC4086" s="28"/>
      <c r="AD4086" s="96">
        <f ca="1">(AD4078/(N_9*AD$27*AD4080*0.667))*SQRT(M*'Valve Sizing'!$W$6*'Valve Sizing'!$G$8/AD4087)</f>
        <v>-137.60757661671317</v>
      </c>
      <c r="AE4086" s="111"/>
      <c r="AF4086" s="28"/>
      <c r="AG4086" s="96">
        <f ca="1">(AG4078/(N_9*AG$27*AG4080*0.667))*SQRT(M*'Valve Sizing'!$W$6*'Valve Sizing'!$G$8/AG4087)</f>
        <v>-88.951324950790251</v>
      </c>
      <c r="AH4086" s="111"/>
      <c r="AI4086" s="28"/>
      <c r="AJ4086" s="96">
        <f ca="1">(AJ4078/(N_9*AJ$27*AJ4080*0.667))*SQRT(M*'Valve Sizing'!$W$6*'Valve Sizing'!$G$8/AJ4087)</f>
        <v>-68.863165110351687</v>
      </c>
      <c r="AK4086" s="111"/>
      <c r="AL4086" s="28"/>
      <c r="AM4086" s="96">
        <f ca="1">(AM4078/(N_9*AM$27*AM4080*0.667))*SQRT(M*'Valve Sizing'!$W$6*'Valve Sizing'!$G$8/AM4087)</f>
        <v>-62.302089596196964</v>
      </c>
      <c r="AN4086" s="111"/>
      <c r="AO4086" s="28"/>
      <c r="AP4086" s="96">
        <f ca="1">(AP4078/(N_9*AP$27*AP4080*0.667))*SQRT(M*'Valve Sizing'!$W$6*'Valve Sizing'!$G$8/AP4087)</f>
        <v>-54.358450754426194</v>
      </c>
      <c r="AQ4086" s="111"/>
      <c r="AR4086" s="28"/>
      <c r="AS4086" s="96">
        <f ca="1">(AS4078/(N_9*AS$27*AS4080*0.667))*SQRT(M*'Valve Sizing'!$W$6*'Valve Sizing'!$G$8/AS4087)</f>
        <v>-77.236031537236769</v>
      </c>
      <c r="AT4086" s="111"/>
      <c r="AU4086" s="28"/>
    </row>
    <row r="4087" spans="15:47" ht="15.6" x14ac:dyDescent="0.35">
      <c r="O4087" s="2" t="s">
        <v>68</v>
      </c>
      <c r="P4087" s="143">
        <v>10</v>
      </c>
      <c r="Q4087" s="2"/>
      <c r="R4087" s="96">
        <f ca="1">F_GAMMA*R$29</f>
        <v>0.64002969751372984</v>
      </c>
      <c r="S4087" s="107"/>
      <c r="T4087" s="1"/>
      <c r="U4087" s="96">
        <f ca="1">F_GAMMA*U$29</f>
        <v>0.64017842058782071</v>
      </c>
      <c r="V4087" s="111"/>
      <c r="W4087" s="28"/>
      <c r="X4087" s="96">
        <f ca="1">F_GAMMA*X$29</f>
        <v>0.63413873724904268</v>
      </c>
      <c r="Y4087" s="111"/>
      <c r="Z4087" s="28"/>
      <c r="AA4087" s="96">
        <f ca="1">F_GAMMA*AA$29</f>
        <v>0.62532411750377137</v>
      </c>
      <c r="AB4087" s="111"/>
      <c r="AC4087" s="28"/>
      <c r="AD4087" s="96">
        <f ca="1">F_GAMMA*AD$29</f>
        <v>0.60651359509139569</v>
      </c>
      <c r="AE4087" s="111"/>
      <c r="AF4087" s="28"/>
      <c r="AG4087" s="96">
        <f ca="1">F_GAMMA*AG$29</f>
        <v>0.57217930198481592</v>
      </c>
      <c r="AH4087" s="111"/>
      <c r="AI4087" s="28"/>
      <c r="AJ4087" s="96">
        <f ca="1">F_GAMMA*AJ$29</f>
        <v>0.53183282018848232</v>
      </c>
      <c r="AK4087" s="111"/>
      <c r="AL4087" s="28"/>
      <c r="AM4087" s="96">
        <f ca="1">F_GAMMA*AM$29</f>
        <v>0.47566512503094399</v>
      </c>
      <c r="AN4087" s="111"/>
      <c r="AO4087" s="28"/>
      <c r="AP4087" s="96">
        <f ca="1">F_GAMMA*AP$29</f>
        <v>0.59054158265645496</v>
      </c>
      <c r="AQ4087" s="111"/>
      <c r="AR4087" s="28"/>
      <c r="AS4087" s="96">
        <f ca="1">F_GAMMA*AS$29</f>
        <v>0.3766899554102966</v>
      </c>
      <c r="AT4087" s="111"/>
      <c r="AU4087" s="28"/>
    </row>
    <row r="4088" spans="15:47" x14ac:dyDescent="0.25">
      <c r="O4088" s="2" t="s">
        <v>145</v>
      </c>
      <c r="P4088" s="12"/>
      <c r="Q4088" s="2"/>
      <c r="R4088" s="96">
        <f ca="1">IF(R4083&lt;R4087,R4085,R4086)</f>
        <v>40.590204036794589</v>
      </c>
      <c r="S4088" s="116"/>
      <c r="T4088" s="1"/>
      <c r="U4088" s="96">
        <f ca="1">IF(U4083&lt;U4087,U4085,U4086)</f>
        <v>98.202672776353552</v>
      </c>
      <c r="V4088" s="111"/>
      <c r="W4088" s="28"/>
      <c r="X4088" s="96" t="e">
        <f ca="1">IF(X4083&lt;X4087,X4085,X4086)</f>
        <v>#NUM!</v>
      </c>
      <c r="Y4088" s="111"/>
      <c r="Z4088" s="28"/>
      <c r="AA4088" s="96">
        <f ca="1">IF(AA4083&lt;AA4087,AA4085,AA4086)</f>
        <v>-371.91974008916134</v>
      </c>
      <c r="AB4088" s="111"/>
      <c r="AC4088" s="28"/>
      <c r="AD4088" s="96">
        <f ca="1">IF(AD4083&lt;AD4087,AD4085,AD4086)</f>
        <v>-137.60757661671317</v>
      </c>
      <c r="AE4088" s="111"/>
      <c r="AF4088" s="28"/>
      <c r="AG4088" s="96">
        <f ca="1">IF(AG4083&lt;AG4087,AG4085,AG4086)</f>
        <v>-88.951324950790251</v>
      </c>
      <c r="AH4088" s="111"/>
      <c r="AI4088" s="28"/>
      <c r="AJ4088" s="96">
        <f ca="1">IF(AJ4083&lt;AJ4087,AJ4085,AJ4086)</f>
        <v>-68.863165110351687</v>
      </c>
      <c r="AK4088" s="111"/>
      <c r="AL4088" s="28"/>
      <c r="AM4088" s="96">
        <f ca="1">IF(AM4083&lt;AM4087,AM4085,AM4086)</f>
        <v>-62.302089596196964</v>
      </c>
      <c r="AN4088" s="111"/>
      <c r="AO4088" s="28"/>
      <c r="AP4088" s="96">
        <f ca="1">IF(AP4083&lt;AP4087,AP4085,AP4086)</f>
        <v>-54.358450754426194</v>
      </c>
      <c r="AQ4088" s="111"/>
      <c r="AR4088" s="28"/>
      <c r="AS4088" s="96">
        <f ca="1">IF(AS4083&lt;AS4087,AS4085,AS4086)</f>
        <v>-77.236031537236769</v>
      </c>
      <c r="AT4088" s="111"/>
      <c r="AU4088" s="28"/>
    </row>
    <row r="4089" spans="15:47" x14ac:dyDescent="0.25">
      <c r="O4089" s="13" t="s">
        <v>143</v>
      </c>
      <c r="P4089" s="1"/>
      <c r="Q4089" s="1"/>
      <c r="R4089" s="113"/>
      <c r="S4089" s="106">
        <f ca="1">IF(R4082&lt;=0,Q_max,ABS(R$23-R4088))</f>
        <v>35.860204036794585</v>
      </c>
      <c r="T4089" s="7">
        <f>R4078</f>
        <v>97439.781798348209</v>
      </c>
      <c r="U4089" s="98"/>
      <c r="V4089" s="106">
        <f ca="1">IF(U4082&lt;=0,Q_max,ABS(U$23-U4088))</f>
        <v>86.602672776353558</v>
      </c>
      <c r="W4089" s="9">
        <f ca="1">U4078</f>
        <v>207680.13020999823</v>
      </c>
      <c r="X4089" s="98"/>
      <c r="Y4089" s="106">
        <f ca="1">IF(X4082&lt;=0,Q_max,ABS(X$23-X4088))</f>
        <v>236393</v>
      </c>
      <c r="Z4089" s="9">
        <f ca="1">X4078</f>
        <v>508532.35270745266</v>
      </c>
      <c r="AA4089" s="98"/>
      <c r="AB4089" s="106">
        <f ca="1">IF(AA4082&lt;=0,Q_max,ABS(AA$23-AA4088))</f>
        <v>236393</v>
      </c>
      <c r="AC4089" s="9">
        <f ca="1">AA4078</f>
        <v>990491.22252355132</v>
      </c>
      <c r="AD4089" s="98"/>
      <c r="AE4089" s="106">
        <f ca="1">IF(AD4082&lt;=0,Q_max,ABS(AD$23-AD4088))</f>
        <v>236393</v>
      </c>
      <c r="AF4089" s="9">
        <f ca="1">AD4078</f>
        <v>1661736.1508340503</v>
      </c>
      <c r="AG4089" s="98"/>
      <c r="AH4089" s="106">
        <f ca="1">IF(AG4082&lt;=0,Q_max,ABS(AG$23-AG4088))</f>
        <v>236393</v>
      </c>
      <c r="AI4089" s="9">
        <f ca="1">AG4078</f>
        <v>2425349.1714236871</v>
      </c>
      <c r="AJ4089" s="98"/>
      <c r="AK4089" s="106">
        <f ca="1">IF(AJ4082&lt;=0,Q_max,ABS(AJ$23-AJ4088))</f>
        <v>236393</v>
      </c>
      <c r="AL4089" s="9">
        <f ca="1">AJ4078</f>
        <v>3236637.8712940379</v>
      </c>
      <c r="AM4089" s="98"/>
      <c r="AN4089" s="106">
        <f ca="1">IF(AM4082&lt;=0,Q_max,ABS(AM$23-AM4088))</f>
        <v>236393</v>
      </c>
      <c r="AO4089" s="9">
        <f ca="1">AM4078</f>
        <v>3949313.293471375</v>
      </c>
      <c r="AP4089" s="98"/>
      <c r="AQ4089" s="106">
        <f ca="1">IF(AP4082&lt;=0,Q_max,ABS(AP$23-AP4088))</f>
        <v>236393</v>
      </c>
      <c r="AR4089" s="9">
        <f ca="1">AP4078</f>
        <v>4585030.1287503112</v>
      </c>
      <c r="AS4089" s="98"/>
      <c r="AT4089" s="106">
        <f ca="1">IF(AS4082&lt;=0,Q_max,ABS(AS$23-AS4088))</f>
        <v>236393</v>
      </c>
      <c r="AU4089" s="9">
        <f ca="1">AS4078</f>
        <v>5376308.4153043739</v>
      </c>
    </row>
    <row r="4090" spans="15:47" x14ac:dyDescent="0.25">
      <c r="O4090" s="21"/>
      <c r="P4090" s="14"/>
      <c r="Q4090" s="21"/>
      <c r="R4090" s="97"/>
      <c r="S4090" s="106"/>
      <c r="T4090" s="28"/>
      <c r="U4090" s="97"/>
      <c r="V4090" s="111"/>
      <c r="W4090" s="28"/>
      <c r="X4090" s="97"/>
      <c r="Y4090" s="111"/>
      <c r="Z4090" s="28"/>
      <c r="AA4090" s="97"/>
      <c r="AB4090" s="111"/>
      <c r="AC4090" s="28"/>
      <c r="AD4090" s="97"/>
      <c r="AE4090" s="111"/>
      <c r="AF4090" s="28"/>
      <c r="AG4090" s="97"/>
      <c r="AH4090" s="111"/>
      <c r="AI4090" s="28"/>
      <c r="AJ4090" s="97"/>
      <c r="AK4090" s="111"/>
      <c r="AL4090" s="28"/>
      <c r="AM4090" s="97"/>
      <c r="AN4090" s="111"/>
      <c r="AO4090" s="28"/>
      <c r="AP4090" s="97"/>
      <c r="AQ4090" s="111"/>
      <c r="AR4090" s="28"/>
      <c r="AS4090" s="97"/>
      <c r="AT4090" s="111"/>
      <c r="AU4090" s="28"/>
    </row>
    <row r="4091" spans="15:47" x14ac:dyDescent="0.25">
      <c r="O4091" s="1"/>
      <c r="P4091" s="1"/>
      <c r="Q4091" s="1"/>
      <c r="R4091" s="98"/>
      <c r="S4091" s="108" t="s">
        <v>137</v>
      </c>
      <c r="T4091" s="26" t="s">
        <v>146</v>
      </c>
      <c r="U4091" s="98"/>
      <c r="V4091" s="108" t="s">
        <v>137</v>
      </c>
      <c r="W4091" s="26" t="s">
        <v>146</v>
      </c>
      <c r="X4091" s="98"/>
      <c r="Y4091" s="108" t="s">
        <v>137</v>
      </c>
      <c r="Z4091" s="26" t="s">
        <v>146</v>
      </c>
      <c r="AA4091" s="98"/>
      <c r="AB4091" s="108" t="s">
        <v>137</v>
      </c>
      <c r="AC4091" s="26" t="s">
        <v>146</v>
      </c>
      <c r="AD4091" s="98"/>
      <c r="AE4091" s="108" t="s">
        <v>137</v>
      </c>
      <c r="AF4091" s="26" t="s">
        <v>146</v>
      </c>
      <c r="AG4091" s="98"/>
      <c r="AH4091" s="108" t="s">
        <v>137</v>
      </c>
      <c r="AI4091" s="26" t="s">
        <v>146</v>
      </c>
      <c r="AJ4091" s="98"/>
      <c r="AK4091" s="108" t="s">
        <v>137</v>
      </c>
      <c r="AL4091" s="26" t="s">
        <v>146</v>
      </c>
      <c r="AM4091" s="98"/>
      <c r="AN4091" s="108" t="s">
        <v>137</v>
      </c>
      <c r="AO4091" s="26" t="s">
        <v>146</v>
      </c>
      <c r="AP4091" s="98"/>
      <c r="AQ4091" s="108" t="s">
        <v>137</v>
      </c>
      <c r="AR4091" s="26" t="s">
        <v>146</v>
      </c>
      <c r="AS4091" s="98"/>
      <c r="AT4091" s="108" t="s">
        <v>137</v>
      </c>
      <c r="AU4091" s="26" t="s">
        <v>146</v>
      </c>
    </row>
    <row r="4092" spans="15:47" ht="13.8" x14ac:dyDescent="0.25">
      <c r="O4092" s="20" t="s">
        <v>136</v>
      </c>
      <c r="P4092" s="1"/>
      <c r="Q4092" s="1"/>
      <c r="R4092" s="96">
        <f>R4078*1.02</f>
        <v>99388.577434315172</v>
      </c>
      <c r="S4092" s="109" t="s">
        <v>144</v>
      </c>
      <c r="T4092" s="23" t="s">
        <v>147</v>
      </c>
      <c r="U4092" s="96">
        <f ca="1">U4078*1.01</f>
        <v>209756.93151209821</v>
      </c>
      <c r="V4092" s="109" t="s">
        <v>144</v>
      </c>
      <c r="W4092" s="23" t="s">
        <v>147</v>
      </c>
      <c r="X4092" s="96">
        <f ca="1">X4078*1.01</f>
        <v>513617.6762345272</v>
      </c>
      <c r="Y4092" s="109" t="s">
        <v>144</v>
      </c>
      <c r="Z4092" s="23" t="s">
        <v>147</v>
      </c>
      <c r="AA4092" s="96">
        <f ca="1">AA4078*1.01</f>
        <v>1000396.1347487868</v>
      </c>
      <c r="AB4092" s="109" t="s">
        <v>144</v>
      </c>
      <c r="AC4092" s="23" t="s">
        <v>147</v>
      </c>
      <c r="AD4092" s="96">
        <f ca="1">AD4078*1.01</f>
        <v>1678353.5123423908</v>
      </c>
      <c r="AE4092" s="109" t="s">
        <v>144</v>
      </c>
      <c r="AF4092" s="23" t="s">
        <v>147</v>
      </c>
      <c r="AG4092" s="96">
        <f ca="1">AG4078*1.01</f>
        <v>2449602.6631379239</v>
      </c>
      <c r="AH4092" s="109" t="s">
        <v>144</v>
      </c>
      <c r="AI4092" s="23" t="s">
        <v>147</v>
      </c>
      <c r="AJ4092" s="96">
        <f ca="1">AJ4078*1.01</f>
        <v>3269004.2500069784</v>
      </c>
      <c r="AK4092" s="109" t="s">
        <v>144</v>
      </c>
      <c r="AL4092" s="23" t="s">
        <v>147</v>
      </c>
      <c r="AM4092" s="96">
        <f ca="1">AM4078*1.01</f>
        <v>3988806.4264060888</v>
      </c>
      <c r="AN4092" s="109" t="s">
        <v>144</v>
      </c>
      <c r="AO4092" s="23" t="s">
        <v>147</v>
      </c>
      <c r="AP4092" s="96">
        <f ca="1">AP4078*1.01</f>
        <v>4630880.4300378142</v>
      </c>
      <c r="AQ4092" s="109" t="s">
        <v>144</v>
      </c>
      <c r="AR4092" s="23" t="s">
        <v>147</v>
      </c>
      <c r="AS4092" s="96">
        <f ca="1">AS4078*1.01</f>
        <v>5430071.499457418</v>
      </c>
      <c r="AT4092" s="109" t="s">
        <v>144</v>
      </c>
      <c r="AU4092" s="23" t="s">
        <v>147</v>
      </c>
    </row>
    <row r="4093" spans="15:47" x14ac:dyDescent="0.25">
      <c r="O4093" s="1"/>
      <c r="P4093" s="1"/>
      <c r="Q4093" s="1"/>
      <c r="R4093" s="98"/>
      <c r="S4093" s="107"/>
      <c r="T4093" s="1"/>
      <c r="U4093" s="47"/>
      <c r="V4093" s="107"/>
      <c r="W4093" s="1"/>
      <c r="X4093" s="47"/>
      <c r="Y4093" s="107"/>
      <c r="Z4093" s="1"/>
      <c r="AA4093" s="47"/>
      <c r="AB4093" s="107"/>
      <c r="AC4093" s="1"/>
      <c r="AD4093" s="47"/>
      <c r="AE4093" s="107"/>
      <c r="AF4093" s="1"/>
      <c r="AG4093" s="47"/>
      <c r="AH4093" s="107"/>
      <c r="AI4093" s="1"/>
      <c r="AJ4093" s="47"/>
      <c r="AK4093" s="107"/>
      <c r="AL4093" s="1"/>
      <c r="AM4093" s="47"/>
      <c r="AN4093" s="107"/>
      <c r="AO4093" s="1"/>
      <c r="AP4093" s="47"/>
      <c r="AQ4093" s="107"/>
      <c r="AR4093" s="1"/>
      <c r="AS4093" s="47"/>
      <c r="AT4093" s="107"/>
      <c r="AU4093" s="1"/>
    </row>
    <row r="4094" spans="15:47" x14ac:dyDescent="0.25">
      <c r="O4094" s="8" t="s">
        <v>132</v>
      </c>
      <c r="P4094" s="8"/>
      <c r="Q4094" s="8"/>
      <c r="R4094" s="96">
        <f>P_1_minQ-(R4092^2*R_up)+dpup_minQ</f>
        <v>88.384650969061568</v>
      </c>
      <c r="S4094" s="106"/>
      <c r="T4094" s="22"/>
      <c r="U4094" s="96">
        <f ca="1">P_1_minQ-(U4092^2*R_up)+dpup_minQ</f>
        <v>82.165930369212987</v>
      </c>
      <c r="V4094" s="107"/>
      <c r="W4094" s="1"/>
      <c r="X4094" s="96">
        <f ca="1">P_1_minQ-(X4092^2*R_up)+dpup_minQ</f>
        <v>42.104043986077784</v>
      </c>
      <c r="Y4094" s="107"/>
      <c r="Z4094" s="1"/>
      <c r="AA4094" s="96">
        <f ca="1">P_1_minQ-(AA4092^2*R_up)+dpup_minQ</f>
        <v>-92.220299032260613</v>
      </c>
      <c r="AB4094" s="107"/>
      <c r="AC4094" s="1"/>
      <c r="AD4094" s="96">
        <f ca="1">P_1_minQ-(AD4092^2*R_up)+dpup_minQ</f>
        <v>-423.22034579379937</v>
      </c>
      <c r="AE4094" s="107"/>
      <c r="AF4094" s="1"/>
      <c r="AG4094" s="96">
        <f ca="1">P_1_minQ-(AG4092^2*R_up)+dpup_minQ</f>
        <v>-1003.4812547341924</v>
      </c>
      <c r="AH4094" s="107"/>
      <c r="AI4094" s="1"/>
      <c r="AJ4094" s="96">
        <f ca="1">P_1_minQ-(AJ4092^2*R_up)+dpup_minQ</f>
        <v>-1857.5259171579542</v>
      </c>
      <c r="AK4094" s="107"/>
      <c r="AL4094" s="1"/>
      <c r="AM4094" s="96">
        <f ca="1">P_1_minQ-(AM4092^2*R_up)+dpup_minQ</f>
        <v>-2809.6911678841016</v>
      </c>
      <c r="AN4094" s="107"/>
      <c r="AO4094" s="1"/>
      <c r="AP4094" s="96">
        <f ca="1">P_1_minQ-(AP4092^2*R_up)+dpup_minQ</f>
        <v>-3818.4099615807359</v>
      </c>
      <c r="AQ4094" s="107"/>
      <c r="AR4094" s="1"/>
      <c r="AS4094" s="96">
        <f ca="1">P_1_minQ-(AS4092^2*R_up)+dpup_minQ</f>
        <v>-5283.9012237754923</v>
      </c>
      <c r="AT4094" s="107"/>
      <c r="AU4094" s="1"/>
    </row>
    <row r="4095" spans="15:47" x14ac:dyDescent="0.25">
      <c r="O4095" s="8" t="s">
        <v>134</v>
      </c>
      <c r="P4095" s="1"/>
      <c r="Q4095" s="8"/>
      <c r="R4095" s="97">
        <f>P_2_minQ+(R4092^2*R_dn)-dpdn_minQ</f>
        <v>60</v>
      </c>
      <c r="S4095" s="106"/>
      <c r="T4095" s="22"/>
      <c r="U4095" s="97">
        <f ca="1">P_2_minQ+(U4092^2*R_dn)-dpdn_minQ</f>
        <v>60</v>
      </c>
      <c r="V4095" s="107"/>
      <c r="W4095" s="1"/>
      <c r="X4095" s="97">
        <f ca="1">P_2_minQ+(X4092^2*R_dn)-dpdn_minQ</f>
        <v>60</v>
      </c>
      <c r="Y4095" s="107"/>
      <c r="Z4095" s="1"/>
      <c r="AA4095" s="97">
        <f ca="1">P_2_minQ+(AA4092^2*R_dn)-dpdn_minQ</f>
        <v>60</v>
      </c>
      <c r="AB4095" s="107"/>
      <c r="AC4095" s="1"/>
      <c r="AD4095" s="97">
        <f ca="1">P_2_minQ+(AD4092^2*R_dn)-dpdn_minQ</f>
        <v>60</v>
      </c>
      <c r="AE4095" s="107"/>
      <c r="AF4095" s="1"/>
      <c r="AG4095" s="97">
        <f ca="1">P_2_minQ+(AG4092^2*R_dn)-dpdn_minQ</f>
        <v>60</v>
      </c>
      <c r="AH4095" s="107"/>
      <c r="AI4095" s="1"/>
      <c r="AJ4095" s="97">
        <f ca="1">P_2_minQ+(AJ4092^2*R_dn)-dpdn_minQ</f>
        <v>60</v>
      </c>
      <c r="AK4095" s="107"/>
      <c r="AL4095" s="1"/>
      <c r="AM4095" s="97">
        <f ca="1">P_2_minQ+(AM4092^2*R_dn)-dpdn_minQ</f>
        <v>60</v>
      </c>
      <c r="AN4095" s="107"/>
      <c r="AO4095" s="1"/>
      <c r="AP4095" s="97">
        <f ca="1">P_2_minQ+(AP4092^2*R_dn)-dpdn_minQ</f>
        <v>60</v>
      </c>
      <c r="AQ4095" s="107"/>
      <c r="AR4095" s="1"/>
      <c r="AS4095" s="97">
        <f ca="1">P_2_minQ+(AS4092^2*R_dn)-dpdn_minQ</f>
        <v>60</v>
      </c>
      <c r="AT4095" s="107"/>
      <c r="AU4095" s="1"/>
    </row>
    <row r="4096" spans="15:47" x14ac:dyDescent="0.25">
      <c r="O4096" s="8" t="s">
        <v>138</v>
      </c>
      <c r="P4096" s="1"/>
      <c r="Q4096" s="8"/>
      <c r="R4096" s="97">
        <f>R4094-R4095</f>
        <v>28.384650969061568</v>
      </c>
      <c r="S4096" s="106"/>
      <c r="T4096" s="22"/>
      <c r="U4096" s="97">
        <f ca="1">U4094-U4095</f>
        <v>22.165930369212987</v>
      </c>
      <c r="V4096" s="110"/>
      <c r="W4096" s="25"/>
      <c r="X4096" s="97">
        <f ca="1">X4094-X4095</f>
        <v>-17.895956013922216</v>
      </c>
      <c r="Y4096" s="110"/>
      <c r="Z4096" s="25"/>
      <c r="AA4096" s="97">
        <f ca="1">AA4094-AA4095</f>
        <v>-152.22029903226061</v>
      </c>
      <c r="AB4096" s="110"/>
      <c r="AC4096" s="25"/>
      <c r="AD4096" s="97">
        <f ca="1">AD4094-AD4095</f>
        <v>-483.22034579379937</v>
      </c>
      <c r="AE4096" s="110"/>
      <c r="AF4096" s="25"/>
      <c r="AG4096" s="97">
        <f ca="1">AG4094-AG4095</f>
        <v>-1063.4812547341924</v>
      </c>
      <c r="AH4096" s="110"/>
      <c r="AI4096" s="25"/>
      <c r="AJ4096" s="97">
        <f ca="1">AJ4094-AJ4095</f>
        <v>-1917.5259171579542</v>
      </c>
      <c r="AK4096" s="110"/>
      <c r="AL4096" s="25"/>
      <c r="AM4096" s="97">
        <f ca="1">AM4094-AM4095</f>
        <v>-2869.6911678841016</v>
      </c>
      <c r="AN4096" s="110"/>
      <c r="AO4096" s="25"/>
      <c r="AP4096" s="97">
        <f ca="1">AP4094-AP4095</f>
        <v>-3878.4099615807359</v>
      </c>
      <c r="AQ4096" s="110"/>
      <c r="AR4096" s="25"/>
      <c r="AS4096" s="97">
        <f ca="1">AS4094-AS4095</f>
        <v>-5343.9012237754923</v>
      </c>
      <c r="AT4096" s="110"/>
      <c r="AU4096" s="25"/>
    </row>
    <row r="4097" spans="15:47" ht="14.4" x14ac:dyDescent="0.3">
      <c r="O4097" s="2" t="s">
        <v>140</v>
      </c>
      <c r="P4097" s="11"/>
      <c r="Q4097" s="2"/>
      <c r="R4097" s="96">
        <f>R4096/R4094</f>
        <v>0.3211490983767919</v>
      </c>
      <c r="S4097" s="106"/>
      <c r="T4097" s="22"/>
      <c r="U4097" s="96">
        <f ca="1">U4096/U4094</f>
        <v>0.26977033266233674</v>
      </c>
      <c r="V4097" s="111"/>
      <c r="W4097" s="28"/>
      <c r="X4097" s="96">
        <f ca="1">X4096/X4094</f>
        <v>-0.42504126254095054</v>
      </c>
      <c r="Y4097" s="111"/>
      <c r="Z4097" s="28"/>
      <c r="AA4097" s="96">
        <f ca="1">AA4096/AA4094</f>
        <v>1.6506159774976519</v>
      </c>
      <c r="AB4097" s="111"/>
      <c r="AC4097" s="28"/>
      <c r="AD4097" s="96">
        <f ca="1">AD4096/AD4094</f>
        <v>1.1417701218675178</v>
      </c>
      <c r="AE4097" s="111"/>
      <c r="AF4097" s="28"/>
      <c r="AG4097" s="96">
        <f ca="1">AG4096/AG4094</f>
        <v>1.059791849341414</v>
      </c>
      <c r="AH4097" s="111"/>
      <c r="AI4097" s="28"/>
      <c r="AJ4097" s="96">
        <f ca="1">AJ4096/AJ4094</f>
        <v>1.0323010297976358</v>
      </c>
      <c r="AK4097" s="111"/>
      <c r="AL4097" s="28"/>
      <c r="AM4097" s="96">
        <f ca="1">AM4096/AM4094</f>
        <v>1.0213546601440842</v>
      </c>
      <c r="AN4097" s="111"/>
      <c r="AO4097" s="28"/>
      <c r="AP4097" s="96">
        <f ca="1">AP4096/AP4094</f>
        <v>1.0157133468128607</v>
      </c>
      <c r="AQ4097" s="111"/>
      <c r="AR4097" s="28"/>
      <c r="AS4097" s="96">
        <f ca="1">AS4096/AS4094</f>
        <v>1.0113552463339064</v>
      </c>
      <c r="AT4097" s="111"/>
      <c r="AU4097" s="28"/>
    </row>
    <row r="4098" spans="15:47" x14ac:dyDescent="0.25">
      <c r="O4098" s="2" t="s">
        <v>21</v>
      </c>
      <c r="P4098" s="8">
        <v>12</v>
      </c>
      <c r="Q4098" s="2"/>
      <c r="R4098" s="96">
        <f ca="1">1-R4097/(3*F_GAMMA*R$29)</f>
        <v>0.83274260573411252</v>
      </c>
      <c r="S4098" s="106"/>
      <c r="T4098" s="22"/>
      <c r="U4098" s="96">
        <f ca="1">1-U4097/(3*F_GAMMA*U$29)</f>
        <v>0.85953377788303142</v>
      </c>
      <c r="V4098" s="111"/>
      <c r="W4098" s="28"/>
      <c r="X4098" s="96">
        <f ca="1">1-X4097/(3*F_GAMMA*X$29)</f>
        <v>1.2234218042909779</v>
      </c>
      <c r="Y4098" s="111"/>
      <c r="Z4098" s="28"/>
      <c r="AA4098" s="96">
        <f ca="1">1-AA4097/(3*F_GAMMA*AA$29)</f>
        <v>0.12012776985331564</v>
      </c>
      <c r="AB4098" s="111"/>
      <c r="AC4098" s="28"/>
      <c r="AD4098" s="96">
        <f ca="1">1-AD4097/(3*F_GAMMA*AD$29)</f>
        <v>0.37249544989151517</v>
      </c>
      <c r="AE4098" s="111"/>
      <c r="AF4098" s="28"/>
      <c r="AG4098" s="96">
        <f ca="1">1-AG4097/(3*F_GAMMA*AG$29)</f>
        <v>0.38259921574400813</v>
      </c>
      <c r="AH4098" s="111"/>
      <c r="AI4098" s="28"/>
      <c r="AJ4098" s="96">
        <f ca="1">1-AJ4097/(3*F_GAMMA*AJ$29)</f>
        <v>0.35299152251655141</v>
      </c>
      <c r="AK4098" s="111"/>
      <c r="AL4098" s="28"/>
      <c r="AM4098" s="96">
        <f ca="1">1-AM4097/(3*F_GAMMA*AM$29)</f>
        <v>0.28426210906420013</v>
      </c>
      <c r="AN4098" s="111"/>
      <c r="AO4098" s="28"/>
      <c r="AP4098" s="96">
        <f ca="1">1-AP4097/(3*F_GAMMA*AP$29)</f>
        <v>0.42667692581226879</v>
      </c>
      <c r="AQ4098" s="111"/>
      <c r="AR4098" s="28"/>
      <c r="AS4098" s="96">
        <f ca="1">1-AS4097/(3*F_GAMMA*AS$29)</f>
        <v>0.10505069062051109</v>
      </c>
      <c r="AT4098" s="111"/>
      <c r="AU4098" s="28"/>
    </row>
    <row r="4099" spans="15:47" x14ac:dyDescent="0.25">
      <c r="O4099" s="2" t="s">
        <v>57</v>
      </c>
      <c r="P4099" s="143">
        <v>7</v>
      </c>
      <c r="Q4099" s="2"/>
      <c r="R4099" s="96">
        <f ca="1">(R4092/(N_9*R$27*R4094*R4098))*SQRT(M*'Valve Sizing'!$W$6*'Valve Sizing'!$G$8/R4097)</f>
        <v>41.455439031545403</v>
      </c>
      <c r="S4099" s="107"/>
      <c r="T4099" s="22"/>
      <c r="U4099" s="96">
        <f ca="1">(U4092/(N_9*U$27*U4094*U4098))*SQRT(M*'Valve Sizing'!$W$6*'Valve Sizing'!$G$8/U4097)</f>
        <v>99.548655810502183</v>
      </c>
      <c r="V4099" s="111"/>
      <c r="W4099" s="28"/>
      <c r="X4099" s="96" t="e">
        <f ca="1">(X4092/(N_9*X$27*X4094*X4098))*SQRT(M*'Valve Sizing'!$W$6*'Valve Sizing'!$G$8/X4097)</f>
        <v>#NUM!</v>
      </c>
      <c r="Y4099" s="111"/>
      <c r="Z4099" s="28"/>
      <c r="AA4099" s="96">
        <f ca="1">(AA4092/(N_9*AA$27*AA4094*AA4098))*SQRT(M*'Valve Sizing'!$W$6*'Valve Sizing'!$G$8/AA4097)</f>
        <v>-1233.724414623236</v>
      </c>
      <c r="AB4099" s="111"/>
      <c r="AC4099" s="28"/>
      <c r="AD4099" s="96">
        <f ca="1">(AD4092/(N_9*AD$27*AD4094*AD4098))*SQRT(M*'Valve Sizing'!$W$6*'Valve Sizing'!$G$8/AD4097)</f>
        <v>-177.04865056653492</v>
      </c>
      <c r="AE4099" s="111"/>
      <c r="AF4099" s="28"/>
      <c r="AG4099" s="96">
        <f ca="1">(AG4092/(N_9*AG$27*AG4094*AG4098))*SQRT(M*'Valve Sizing'!$W$6*'Valve Sizing'!$G$8/AG4097)</f>
        <v>-112.61165936284381</v>
      </c>
      <c r="AH4099" s="111"/>
      <c r="AI4099" s="28"/>
      <c r="AJ4099" s="96">
        <f ca="1">(AJ4092/(N_9*AJ$27*AJ4094*AJ4098))*SQRT(M*'Valve Sizing'!$W$6*'Valve Sizing'!$G$8/AJ4097)</f>
        <v>-92.382035336484407</v>
      </c>
      <c r="AK4099" s="111"/>
      <c r="AL4099" s="28"/>
      <c r="AM4099" s="96">
        <f ca="1">(AM4092/(N_9*AM$27*AM4094*AM4098))*SQRT(M*'Valve Sizing'!$W$6*'Valve Sizing'!$G$8/AM4097)</f>
        <v>-98.71205301618609</v>
      </c>
      <c r="AN4099" s="111"/>
      <c r="AO4099" s="28"/>
      <c r="AP4099" s="96">
        <f ca="1">(AP4092/(N_9*AP$27*AP4094*AP4098))*SQRT(M*'Valve Sizing'!$W$6*'Valve Sizing'!$G$8/AP4097)</f>
        <v>-64.121815971820027</v>
      </c>
      <c r="AQ4099" s="111"/>
      <c r="AR4099" s="28"/>
      <c r="AS4099" s="96">
        <f ca="1">(AS4092/(N_9*AS$27*AS4094*AS4098))*SQRT(M*'Valve Sizing'!$W$6*'Valve Sizing'!$G$8/AS4097)</f>
        <v>-296.22154098818766</v>
      </c>
      <c r="AT4099" s="111"/>
      <c r="AU4099" s="28"/>
    </row>
    <row r="4100" spans="15:47" x14ac:dyDescent="0.25">
      <c r="O4100" s="2" t="s">
        <v>59</v>
      </c>
      <c r="P4100" s="143">
        <v>7</v>
      </c>
      <c r="Q4100" s="2"/>
      <c r="R4100" s="96">
        <f ca="1">(R4092/(N_9*R$27*R4094*0.667))*SQRT(M*'Valve Sizing'!$W$6*'Valve Sizing'!$G$8/R4101)</f>
        <v>36.662304546756751</v>
      </c>
      <c r="S4100" s="107"/>
      <c r="T4100" s="22"/>
      <c r="U4100" s="96">
        <f ca="1">(U4092/(N_9*U$27*U4094*0.667))*SQRT(M*'Valve Sizing'!$W$6*'Valve Sizing'!$G$8/U4101)</f>
        <v>83.275853578353832</v>
      </c>
      <c r="V4100" s="111"/>
      <c r="W4100" s="28"/>
      <c r="X4100" s="96">
        <f ca="1">(X4092/(N_9*X$27*X4094*0.667))*SQRT(M*'Valve Sizing'!$W$6*'Valve Sizing'!$G$8/X4101)</f>
        <v>400.74459492426371</v>
      </c>
      <c r="Y4100" s="111"/>
      <c r="Z4100" s="28"/>
      <c r="AA4100" s="96">
        <f ca="1">(AA4092/(N_9*AA$27*AA4094*0.667))*SQRT(M*'Valve Sizing'!$W$6*'Valve Sizing'!$G$8/AA4101)</f>
        <v>-360.99914454207305</v>
      </c>
      <c r="AB4100" s="111"/>
      <c r="AC4100" s="28"/>
      <c r="AD4100" s="96">
        <f ca="1">(AD4092/(N_9*AD$27*AD4094*0.667))*SQRT(M*'Valve Sizing'!$W$6*'Valve Sizing'!$G$8/AD4101)</f>
        <v>-135.66156605945184</v>
      </c>
      <c r="AE4100" s="111"/>
      <c r="AF4100" s="28"/>
      <c r="AG4100" s="96">
        <f ca="1">(AG4092/(N_9*AG$27*AG4094*0.667))*SQRT(M*'Valve Sizing'!$W$6*'Valve Sizing'!$G$8/AG4101)</f>
        <v>-87.911525296357283</v>
      </c>
      <c r="AH4100" s="111"/>
      <c r="AI4100" s="28"/>
      <c r="AJ4100" s="96">
        <f ca="1">(AJ4092/(N_9*AJ$27*AJ4094*0.667))*SQRT(M*'Valve Sizing'!$W$6*'Valve Sizing'!$G$8/AJ4101)</f>
        <v>-68.114814889970233</v>
      </c>
      <c r="AK4100" s="111"/>
      <c r="AL4100" s="28"/>
      <c r="AM4100" s="96">
        <f ca="1">(AM4092/(N_9*AM$27*AM4094*0.667))*SQRT(M*'Valve Sizing'!$W$6*'Valve Sizing'!$G$8/AM4101)</f>
        <v>-61.645439960036271</v>
      </c>
      <c r="AN4100" s="111"/>
      <c r="AO4100" s="28"/>
      <c r="AP4100" s="96">
        <f ca="1">(AP4092/(N_9*AP$27*AP4094*0.667))*SQRT(M*'Valve Sizing'!$W$6*'Valve Sizing'!$G$8/AP4101)</f>
        <v>-53.794698106969477</v>
      </c>
      <c r="AQ4100" s="111"/>
      <c r="AR4100" s="28"/>
      <c r="AS4100" s="96">
        <f ca="1">(AS4092/(N_9*AS$27*AS4094*0.667))*SQRT(M*'Valve Sizing'!$W$6*'Valve Sizing'!$G$8/AS4101)</f>
        <v>-76.445083753557483</v>
      </c>
      <c r="AT4100" s="111"/>
      <c r="AU4100" s="28"/>
    </row>
    <row r="4101" spans="15:47" ht="15.6" x14ac:dyDescent="0.35">
      <c r="O4101" s="2" t="s">
        <v>68</v>
      </c>
      <c r="P4101" s="143">
        <v>10</v>
      </c>
      <c r="Q4101" s="2"/>
      <c r="R4101" s="96">
        <f ca="1">F_GAMMA*R$29</f>
        <v>0.64002969751372984</v>
      </c>
      <c r="S4101" s="107"/>
      <c r="T4101" s="1"/>
      <c r="U4101" s="96">
        <f ca="1">F_GAMMA*U$29</f>
        <v>0.64017842058782071</v>
      </c>
      <c r="V4101" s="111"/>
      <c r="W4101" s="28"/>
      <c r="X4101" s="96">
        <f ca="1">F_GAMMA*X$29</f>
        <v>0.63413873724904268</v>
      </c>
      <c r="Y4101" s="111"/>
      <c r="Z4101" s="28"/>
      <c r="AA4101" s="96">
        <f ca="1">F_GAMMA*AA$29</f>
        <v>0.62532411750377137</v>
      </c>
      <c r="AB4101" s="111"/>
      <c r="AC4101" s="28"/>
      <c r="AD4101" s="96">
        <f ca="1">F_GAMMA*AD$29</f>
        <v>0.60651359509139569</v>
      </c>
      <c r="AE4101" s="111"/>
      <c r="AF4101" s="28"/>
      <c r="AG4101" s="96">
        <f ca="1">F_GAMMA*AG$29</f>
        <v>0.57217930198481592</v>
      </c>
      <c r="AH4101" s="111"/>
      <c r="AI4101" s="28"/>
      <c r="AJ4101" s="96">
        <f ca="1">F_GAMMA*AJ$29</f>
        <v>0.53183282018848232</v>
      </c>
      <c r="AK4101" s="111"/>
      <c r="AL4101" s="28"/>
      <c r="AM4101" s="96">
        <f ca="1">F_GAMMA*AM$29</f>
        <v>0.47566512503094399</v>
      </c>
      <c r="AN4101" s="111"/>
      <c r="AO4101" s="28"/>
      <c r="AP4101" s="96">
        <f ca="1">F_GAMMA*AP$29</f>
        <v>0.59054158265645496</v>
      </c>
      <c r="AQ4101" s="111"/>
      <c r="AR4101" s="28"/>
      <c r="AS4101" s="96">
        <f ca="1">F_GAMMA*AS$29</f>
        <v>0.3766899554102966</v>
      </c>
      <c r="AT4101" s="111"/>
      <c r="AU4101" s="28"/>
    </row>
    <row r="4102" spans="15:47" x14ac:dyDescent="0.25">
      <c r="O4102" s="2" t="s">
        <v>145</v>
      </c>
      <c r="P4102" s="12"/>
      <c r="Q4102" s="2"/>
      <c r="R4102" s="96">
        <f ca="1">IF(R4097&lt;R4101,R4099,R4100)</f>
        <v>41.455439031545403</v>
      </c>
      <c r="S4102" s="116"/>
      <c r="T4102" s="1"/>
      <c r="U4102" s="96">
        <f ca="1">IF(U4097&lt;U4101,U4099,U4100)</f>
        <v>99.548655810502183</v>
      </c>
      <c r="V4102" s="111"/>
      <c r="W4102" s="28"/>
      <c r="X4102" s="96" t="e">
        <f ca="1">IF(X4097&lt;X4101,X4099,X4100)</f>
        <v>#NUM!</v>
      </c>
      <c r="Y4102" s="111"/>
      <c r="Z4102" s="28"/>
      <c r="AA4102" s="96">
        <f ca="1">IF(AA4097&lt;AA4101,AA4099,AA4100)</f>
        <v>-360.99914454207305</v>
      </c>
      <c r="AB4102" s="111"/>
      <c r="AC4102" s="28"/>
      <c r="AD4102" s="96">
        <f ca="1">IF(AD4097&lt;AD4101,AD4099,AD4100)</f>
        <v>-135.66156605945184</v>
      </c>
      <c r="AE4102" s="111"/>
      <c r="AF4102" s="28"/>
      <c r="AG4102" s="96">
        <f ca="1">IF(AG4097&lt;AG4101,AG4099,AG4100)</f>
        <v>-87.911525296357283</v>
      </c>
      <c r="AH4102" s="111"/>
      <c r="AI4102" s="28"/>
      <c r="AJ4102" s="96">
        <f ca="1">IF(AJ4097&lt;AJ4101,AJ4099,AJ4100)</f>
        <v>-68.114814889970233</v>
      </c>
      <c r="AK4102" s="111"/>
      <c r="AL4102" s="28"/>
      <c r="AM4102" s="96">
        <f ca="1">IF(AM4097&lt;AM4101,AM4099,AM4100)</f>
        <v>-61.645439960036271</v>
      </c>
      <c r="AN4102" s="111"/>
      <c r="AO4102" s="28"/>
      <c r="AP4102" s="96">
        <f ca="1">IF(AP4097&lt;AP4101,AP4099,AP4100)</f>
        <v>-53.794698106969477</v>
      </c>
      <c r="AQ4102" s="111"/>
      <c r="AR4102" s="28"/>
      <c r="AS4102" s="96">
        <f ca="1">IF(AS4097&lt;AS4101,AS4099,AS4100)</f>
        <v>-76.445083753557483</v>
      </c>
      <c r="AT4102" s="111"/>
      <c r="AU4102" s="28"/>
    </row>
    <row r="4103" spans="15:47" x14ac:dyDescent="0.25">
      <c r="O4103" s="13" t="s">
        <v>143</v>
      </c>
      <c r="P4103" s="1"/>
      <c r="Q4103" s="1"/>
      <c r="R4103" s="113"/>
      <c r="S4103" s="106">
        <f ca="1">IF(R4096&lt;=0,Q_max,ABS(R$23-R4102))</f>
        <v>36.725439031545406</v>
      </c>
      <c r="T4103" s="7">
        <f>R4092</f>
        <v>99388.577434315172</v>
      </c>
      <c r="U4103" s="98"/>
      <c r="V4103" s="106">
        <f ca="1">IF(U4096&lt;=0,Q_max,ABS(U$23-U4102))</f>
        <v>87.948655810502189</v>
      </c>
      <c r="W4103" s="9">
        <f ca="1">U4092</f>
        <v>209756.93151209821</v>
      </c>
      <c r="X4103" s="98"/>
      <c r="Y4103" s="106">
        <f ca="1">IF(X4096&lt;=0,Q_max,ABS(X$23-X4102))</f>
        <v>236393</v>
      </c>
      <c r="Z4103" s="9">
        <f ca="1">X4092</f>
        <v>513617.6762345272</v>
      </c>
      <c r="AA4103" s="98"/>
      <c r="AB4103" s="106">
        <f ca="1">IF(AA4096&lt;=0,Q_max,ABS(AA$23-AA4102))</f>
        <v>236393</v>
      </c>
      <c r="AC4103" s="9">
        <f ca="1">AA4092</f>
        <v>1000396.1347487868</v>
      </c>
      <c r="AD4103" s="98"/>
      <c r="AE4103" s="106">
        <f ca="1">IF(AD4096&lt;=0,Q_max,ABS(AD$23-AD4102))</f>
        <v>236393</v>
      </c>
      <c r="AF4103" s="9">
        <f ca="1">AD4092</f>
        <v>1678353.5123423908</v>
      </c>
      <c r="AG4103" s="98"/>
      <c r="AH4103" s="106">
        <f ca="1">IF(AG4096&lt;=0,Q_max,ABS(AG$23-AG4102))</f>
        <v>236393</v>
      </c>
      <c r="AI4103" s="9">
        <f ca="1">AG4092</f>
        <v>2449602.6631379239</v>
      </c>
      <c r="AJ4103" s="98"/>
      <c r="AK4103" s="106">
        <f ca="1">IF(AJ4096&lt;=0,Q_max,ABS(AJ$23-AJ4102))</f>
        <v>236393</v>
      </c>
      <c r="AL4103" s="9">
        <f ca="1">AJ4092</f>
        <v>3269004.2500069784</v>
      </c>
      <c r="AM4103" s="98"/>
      <c r="AN4103" s="106">
        <f ca="1">IF(AM4096&lt;=0,Q_max,ABS(AM$23-AM4102))</f>
        <v>236393</v>
      </c>
      <c r="AO4103" s="9">
        <f ca="1">AM4092</f>
        <v>3988806.4264060888</v>
      </c>
      <c r="AP4103" s="98"/>
      <c r="AQ4103" s="106">
        <f ca="1">IF(AP4096&lt;=0,Q_max,ABS(AP$23-AP4102))</f>
        <v>236393</v>
      </c>
      <c r="AR4103" s="9">
        <f ca="1">AP4092</f>
        <v>4630880.4300378142</v>
      </c>
      <c r="AS4103" s="98"/>
      <c r="AT4103" s="106">
        <f ca="1">IF(AS4096&lt;=0,Q_max,ABS(AS$23-AS4102))</f>
        <v>236393</v>
      </c>
      <c r="AU4103" s="9">
        <f ca="1">AS4092</f>
        <v>5430071.499457418</v>
      </c>
    </row>
    <row r="4104" spans="15:47" x14ac:dyDescent="0.25">
      <c r="O4104" s="21"/>
      <c r="P4104" s="14"/>
      <c r="Q4104" s="21"/>
      <c r="R4104" s="97"/>
      <c r="S4104" s="106"/>
      <c r="T4104" s="28"/>
      <c r="U4104" s="99"/>
      <c r="V4104" s="111"/>
      <c r="W4104" s="28"/>
      <c r="X4104" s="99"/>
      <c r="Y4104" s="111"/>
      <c r="Z4104" s="28"/>
      <c r="AA4104" s="99"/>
      <c r="AB4104" s="111"/>
      <c r="AC4104" s="28"/>
      <c r="AD4104" s="99"/>
      <c r="AE4104" s="111"/>
      <c r="AF4104" s="28"/>
      <c r="AG4104" s="99"/>
      <c r="AH4104" s="111"/>
      <c r="AI4104" s="28"/>
      <c r="AJ4104" s="99"/>
      <c r="AK4104" s="111"/>
      <c r="AL4104" s="28"/>
      <c r="AM4104" s="99"/>
      <c r="AN4104" s="111"/>
      <c r="AO4104" s="28"/>
      <c r="AP4104" s="99"/>
      <c r="AQ4104" s="111"/>
      <c r="AR4104" s="28"/>
      <c r="AS4104" s="99"/>
      <c r="AT4104" s="111"/>
      <c r="AU4104" s="28"/>
    </row>
    <row r="4105" spans="15:47" x14ac:dyDescent="0.25">
      <c r="O4105" s="1"/>
      <c r="P4105" s="1"/>
      <c r="Q4105" s="1"/>
      <c r="R4105" s="98"/>
      <c r="S4105" s="108" t="s">
        <v>137</v>
      </c>
      <c r="T4105" s="26" t="s">
        <v>146</v>
      </c>
      <c r="U4105" s="98"/>
      <c r="V4105" s="108" t="s">
        <v>137</v>
      </c>
      <c r="W4105" s="26" t="s">
        <v>146</v>
      </c>
      <c r="X4105" s="98"/>
      <c r="Y4105" s="108" t="s">
        <v>137</v>
      </c>
      <c r="Z4105" s="26" t="s">
        <v>146</v>
      </c>
      <c r="AA4105" s="98"/>
      <c r="AB4105" s="108" t="s">
        <v>137</v>
      </c>
      <c r="AC4105" s="26" t="s">
        <v>146</v>
      </c>
      <c r="AD4105" s="98"/>
      <c r="AE4105" s="108" t="s">
        <v>137</v>
      </c>
      <c r="AF4105" s="26" t="s">
        <v>146</v>
      </c>
      <c r="AG4105" s="98"/>
      <c r="AH4105" s="108" t="s">
        <v>137</v>
      </c>
      <c r="AI4105" s="26" t="s">
        <v>146</v>
      </c>
      <c r="AJ4105" s="98"/>
      <c r="AK4105" s="108" t="s">
        <v>137</v>
      </c>
      <c r="AL4105" s="26" t="s">
        <v>146</v>
      </c>
      <c r="AM4105" s="98"/>
      <c r="AN4105" s="108" t="s">
        <v>137</v>
      </c>
      <c r="AO4105" s="26" t="s">
        <v>146</v>
      </c>
      <c r="AP4105" s="98"/>
      <c r="AQ4105" s="108" t="s">
        <v>137</v>
      </c>
      <c r="AR4105" s="26" t="s">
        <v>146</v>
      </c>
      <c r="AS4105" s="98"/>
      <c r="AT4105" s="108" t="s">
        <v>137</v>
      </c>
      <c r="AU4105" s="26" t="s">
        <v>146</v>
      </c>
    </row>
    <row r="4106" spans="15:47" ht="13.8" x14ac:dyDescent="0.25">
      <c r="O4106" s="20" t="s">
        <v>136</v>
      </c>
      <c r="P4106" s="1"/>
      <c r="Q4106" s="1"/>
      <c r="R4106" s="96">
        <f>R4092*1.02</f>
        <v>101376.34898300147</v>
      </c>
      <c r="S4106" s="109" t="s">
        <v>144</v>
      </c>
      <c r="T4106" s="23" t="s">
        <v>147</v>
      </c>
      <c r="U4106" s="96">
        <f ca="1">U4092*1.01</f>
        <v>211854.50082721919</v>
      </c>
      <c r="V4106" s="109" t="s">
        <v>144</v>
      </c>
      <c r="W4106" s="23" t="s">
        <v>147</v>
      </c>
      <c r="X4106" s="96">
        <f ca="1">X4092*1.01</f>
        <v>518753.85299687251</v>
      </c>
      <c r="Y4106" s="109" t="s">
        <v>144</v>
      </c>
      <c r="Z4106" s="23" t="s">
        <v>147</v>
      </c>
      <c r="AA4106" s="96">
        <f ca="1">AA4092*1.01</f>
        <v>1010400.0960962747</v>
      </c>
      <c r="AB4106" s="109" t="s">
        <v>144</v>
      </c>
      <c r="AC4106" s="23" t="s">
        <v>147</v>
      </c>
      <c r="AD4106" s="96">
        <f ca="1">AD4092*1.01</f>
        <v>1695137.0474658147</v>
      </c>
      <c r="AE4106" s="109" t="s">
        <v>144</v>
      </c>
      <c r="AF4106" s="23" t="s">
        <v>147</v>
      </c>
      <c r="AG4106" s="96">
        <f ca="1">AG4092*1.01</f>
        <v>2474098.689769303</v>
      </c>
      <c r="AH4106" s="109" t="s">
        <v>144</v>
      </c>
      <c r="AI4106" s="23" t="s">
        <v>147</v>
      </c>
      <c r="AJ4106" s="96">
        <f ca="1">AJ4092*1.01</f>
        <v>3301694.2925070482</v>
      </c>
      <c r="AK4106" s="109" t="s">
        <v>144</v>
      </c>
      <c r="AL4106" s="23" t="s">
        <v>147</v>
      </c>
      <c r="AM4106" s="96">
        <f ca="1">AM4092*1.01</f>
        <v>4028694.4906701497</v>
      </c>
      <c r="AN4106" s="109" t="s">
        <v>144</v>
      </c>
      <c r="AO4106" s="23" t="s">
        <v>147</v>
      </c>
      <c r="AP4106" s="96">
        <f ca="1">AP4092*1.01</f>
        <v>4677189.2343381923</v>
      </c>
      <c r="AQ4106" s="109" t="s">
        <v>144</v>
      </c>
      <c r="AR4106" s="23" t="s">
        <v>147</v>
      </c>
      <c r="AS4106" s="96">
        <f ca="1">AS4092*1.01</f>
        <v>5484372.214451992</v>
      </c>
      <c r="AT4106" s="109" t="s">
        <v>144</v>
      </c>
      <c r="AU4106" s="23" t="s">
        <v>147</v>
      </c>
    </row>
    <row r="4107" spans="15:47" x14ac:dyDescent="0.25">
      <c r="O4107" s="1"/>
      <c r="P4107" s="1"/>
      <c r="Q4107" s="1"/>
      <c r="R4107" s="98"/>
      <c r="S4107" s="107"/>
      <c r="T4107" s="1"/>
      <c r="U4107" s="47"/>
      <c r="V4107" s="107"/>
      <c r="W4107" s="1"/>
      <c r="X4107" s="47"/>
      <c r="Y4107" s="107"/>
      <c r="Z4107" s="1"/>
      <c r="AA4107" s="47"/>
      <c r="AB4107" s="107"/>
      <c r="AC4107" s="1"/>
      <c r="AD4107" s="47"/>
      <c r="AE4107" s="107"/>
      <c r="AF4107" s="1"/>
      <c r="AG4107" s="47"/>
      <c r="AH4107" s="107"/>
      <c r="AI4107" s="1"/>
      <c r="AJ4107" s="47"/>
      <c r="AK4107" s="107"/>
      <c r="AL4107" s="1"/>
      <c r="AM4107" s="47"/>
      <c r="AN4107" s="107"/>
      <c r="AO4107" s="1"/>
      <c r="AP4107" s="47"/>
      <c r="AQ4107" s="107"/>
      <c r="AR4107" s="1"/>
      <c r="AS4107" s="47"/>
      <c r="AT4107" s="107"/>
      <c r="AU4107" s="1"/>
    </row>
    <row r="4108" spans="15:47" x14ac:dyDescent="0.25">
      <c r="O4108" s="8" t="s">
        <v>132</v>
      </c>
      <c r="P4108" s="8"/>
      <c r="Q4108" s="8"/>
      <c r="R4108" s="96">
        <f>P_1_minQ-(R4106^2*R_up)+dpup_minQ</f>
        <v>88.311915230789339</v>
      </c>
      <c r="S4108" s="106"/>
      <c r="T4108" s="22"/>
      <c r="U4108" s="96">
        <f ca="1">P_1_minQ-(U4106^2*R_up)+dpup_minQ</f>
        <v>82.004746254976027</v>
      </c>
      <c r="V4108" s="107"/>
      <c r="W4108" s="1"/>
      <c r="X4108" s="96">
        <f ca="1">P_1_minQ-(X4106^2*R_up)+dpup_minQ</f>
        <v>41.137615955539808</v>
      </c>
      <c r="Y4108" s="107"/>
      <c r="Z4108" s="1"/>
      <c r="AA4108" s="96">
        <f ca="1">P_1_minQ-(AA4106^2*R_up)+dpup_minQ</f>
        <v>-95.886646357467185</v>
      </c>
      <c r="AB4108" s="107"/>
      <c r="AC4108" s="1"/>
      <c r="AD4108" s="96">
        <f ca="1">P_1_minQ-(AD4106^2*R_up)+dpup_minQ</f>
        <v>-433.53979405891272</v>
      </c>
      <c r="AE4108" s="107"/>
      <c r="AF4108" s="1"/>
      <c r="AG4108" s="96">
        <f ca="1">P_1_minQ-(AG4106^2*R_up)+dpup_minQ</f>
        <v>-1025.4639472690076</v>
      </c>
      <c r="AH4108" s="107"/>
      <c r="AI4108" s="1"/>
      <c r="AJ4108" s="96">
        <f ca="1">P_1_minQ-(AJ4106^2*R_up)+dpup_minQ</f>
        <v>-1896.6749074074869</v>
      </c>
      <c r="AK4108" s="107"/>
      <c r="AL4108" s="1"/>
      <c r="AM4108" s="96">
        <f ca="1">P_1_minQ-(AM4106^2*R_up)+dpup_minQ</f>
        <v>-2867.9786796732305</v>
      </c>
      <c r="AN4108" s="107"/>
      <c r="AO4108" s="1"/>
      <c r="AP4108" s="96">
        <f ca="1">P_1_minQ-(AP4106^2*R_up)+dpup_minQ</f>
        <v>-3896.9727211231666</v>
      </c>
      <c r="AQ4108" s="107"/>
      <c r="AR4108" s="1"/>
      <c r="AS4108" s="96">
        <f ca="1">P_1_minQ-(AS4106^2*R_up)+dpup_minQ</f>
        <v>-5391.9203576880382</v>
      </c>
      <c r="AT4108" s="107"/>
      <c r="AU4108" s="1"/>
    </row>
    <row r="4109" spans="15:47" x14ac:dyDescent="0.25">
      <c r="O4109" s="8" t="s">
        <v>134</v>
      </c>
      <c r="P4109" s="1"/>
      <c r="Q4109" s="8"/>
      <c r="R4109" s="97">
        <f>P_2_minQ+(R4106^2*R_dn)-dpdn_minQ</f>
        <v>60</v>
      </c>
      <c r="S4109" s="106"/>
      <c r="T4109" s="22"/>
      <c r="U4109" s="97">
        <f ca="1">P_2_minQ+(U4106^2*R_dn)-dpdn_minQ</f>
        <v>60</v>
      </c>
      <c r="V4109" s="107"/>
      <c r="W4109" s="1"/>
      <c r="X4109" s="97">
        <f ca="1">P_2_minQ+(X4106^2*R_dn)-dpdn_minQ</f>
        <v>60</v>
      </c>
      <c r="Y4109" s="107"/>
      <c r="Z4109" s="1"/>
      <c r="AA4109" s="97">
        <f ca="1">P_2_minQ+(AA4106^2*R_dn)-dpdn_minQ</f>
        <v>60</v>
      </c>
      <c r="AB4109" s="107"/>
      <c r="AC4109" s="1"/>
      <c r="AD4109" s="97">
        <f ca="1">P_2_minQ+(AD4106^2*R_dn)-dpdn_minQ</f>
        <v>60</v>
      </c>
      <c r="AE4109" s="107"/>
      <c r="AF4109" s="1"/>
      <c r="AG4109" s="97">
        <f ca="1">P_2_minQ+(AG4106^2*R_dn)-dpdn_minQ</f>
        <v>60</v>
      </c>
      <c r="AH4109" s="107"/>
      <c r="AI4109" s="1"/>
      <c r="AJ4109" s="97">
        <f ca="1">P_2_minQ+(AJ4106^2*R_dn)-dpdn_minQ</f>
        <v>60</v>
      </c>
      <c r="AK4109" s="107"/>
      <c r="AL4109" s="1"/>
      <c r="AM4109" s="97">
        <f ca="1">P_2_minQ+(AM4106^2*R_dn)-dpdn_minQ</f>
        <v>60</v>
      </c>
      <c r="AN4109" s="107"/>
      <c r="AO4109" s="1"/>
      <c r="AP4109" s="97">
        <f ca="1">P_2_minQ+(AP4106^2*R_dn)-dpdn_minQ</f>
        <v>60</v>
      </c>
      <c r="AQ4109" s="107"/>
      <c r="AR4109" s="1"/>
      <c r="AS4109" s="97">
        <f ca="1">P_2_minQ+(AS4106^2*R_dn)-dpdn_minQ</f>
        <v>60</v>
      </c>
      <c r="AT4109" s="107"/>
      <c r="AU4109" s="1"/>
    </row>
    <row r="4110" spans="15:47" x14ac:dyDescent="0.25">
      <c r="O4110" s="8" t="s">
        <v>138</v>
      </c>
      <c r="P4110" s="1"/>
      <c r="Q4110" s="8"/>
      <c r="R4110" s="97">
        <f>R4108-R4109</f>
        <v>28.311915230789339</v>
      </c>
      <c r="S4110" s="106"/>
      <c r="T4110" s="22"/>
      <c r="U4110" s="97">
        <f ca="1">U4108-U4109</f>
        <v>22.004746254976027</v>
      </c>
      <c r="V4110" s="110"/>
      <c r="W4110" s="25"/>
      <c r="X4110" s="97">
        <f ca="1">X4108-X4109</f>
        <v>-18.862384044460192</v>
      </c>
      <c r="Y4110" s="110"/>
      <c r="Z4110" s="25"/>
      <c r="AA4110" s="97">
        <f ca="1">AA4108-AA4109</f>
        <v>-155.88664635746719</v>
      </c>
      <c r="AB4110" s="110"/>
      <c r="AC4110" s="25"/>
      <c r="AD4110" s="97">
        <f ca="1">AD4108-AD4109</f>
        <v>-493.53979405891272</v>
      </c>
      <c r="AE4110" s="110"/>
      <c r="AF4110" s="25"/>
      <c r="AG4110" s="97">
        <f ca="1">AG4108-AG4109</f>
        <v>-1085.4639472690076</v>
      </c>
      <c r="AH4110" s="110"/>
      <c r="AI4110" s="25"/>
      <c r="AJ4110" s="97">
        <f ca="1">AJ4108-AJ4109</f>
        <v>-1956.6749074074869</v>
      </c>
      <c r="AK4110" s="110"/>
      <c r="AL4110" s="25"/>
      <c r="AM4110" s="97">
        <f ca="1">AM4108-AM4109</f>
        <v>-2927.9786796732305</v>
      </c>
      <c r="AN4110" s="110"/>
      <c r="AO4110" s="25"/>
      <c r="AP4110" s="97">
        <f ca="1">AP4108-AP4109</f>
        <v>-3956.9727211231666</v>
      </c>
      <c r="AQ4110" s="110"/>
      <c r="AR4110" s="25"/>
      <c r="AS4110" s="97">
        <f ca="1">AS4108-AS4109</f>
        <v>-5451.9203576880382</v>
      </c>
      <c r="AT4110" s="110"/>
      <c r="AU4110" s="25"/>
    </row>
    <row r="4111" spans="15:47" ht="14.4" x14ac:dyDescent="0.3">
      <c r="O4111" s="2" t="s">
        <v>140</v>
      </c>
      <c r="P4111" s="11"/>
      <c r="Q4111" s="2"/>
      <c r="R4111" s="96">
        <f>R4110/R4108</f>
        <v>0.3205899810552244</v>
      </c>
      <c r="S4111" s="106"/>
      <c r="T4111" s="22"/>
      <c r="U4111" s="96">
        <f ca="1">U4110/U4108</f>
        <v>0.26833503254259244</v>
      </c>
      <c r="V4111" s="111"/>
      <c r="W4111" s="28"/>
      <c r="X4111" s="96">
        <f ca="1">X4110/X4108</f>
        <v>-0.45851913404136113</v>
      </c>
      <c r="Y4111" s="111"/>
      <c r="Z4111" s="28"/>
      <c r="AA4111" s="96">
        <f ca="1">AA4110/AA4108</f>
        <v>1.6257388518555429</v>
      </c>
      <c r="AB4111" s="111"/>
      <c r="AC4111" s="28"/>
      <c r="AD4111" s="96">
        <f ca="1">AD4110/AD4108</f>
        <v>1.1383956001783928</v>
      </c>
      <c r="AE4111" s="111"/>
      <c r="AF4111" s="28"/>
      <c r="AG4111" s="96">
        <f ca="1">AG4110/AG4108</f>
        <v>1.0585101018517429</v>
      </c>
      <c r="AH4111" s="111"/>
      <c r="AI4111" s="28"/>
      <c r="AJ4111" s="96">
        <f ca="1">AJ4110/AJ4108</f>
        <v>1.0316343089507165</v>
      </c>
      <c r="AK4111" s="111"/>
      <c r="AL4111" s="28"/>
      <c r="AM4111" s="96">
        <f ca="1">AM4110/AM4108</f>
        <v>1.0209206576134089</v>
      </c>
      <c r="AN4111" s="111"/>
      <c r="AO4111" s="28"/>
      <c r="AP4111" s="96">
        <f ca="1">AP4110/AP4108</f>
        <v>1.0153965665899523</v>
      </c>
      <c r="AQ4111" s="111"/>
      <c r="AR4111" s="28"/>
      <c r="AS4111" s="96">
        <f ca="1">AS4110/AS4108</f>
        <v>1.0111277608012976</v>
      </c>
      <c r="AT4111" s="111"/>
      <c r="AU4111" s="28"/>
    </row>
    <row r="4112" spans="15:47" x14ac:dyDescent="0.25">
      <c r="O4112" s="2" t="s">
        <v>21</v>
      </c>
      <c r="P4112" s="8">
        <v>12</v>
      </c>
      <c r="Q4112" s="2"/>
      <c r="R4112" s="96">
        <f ca="1">1-R4111/(3*F_GAMMA*R$29)</f>
        <v>0.83303379916036513</v>
      </c>
      <c r="S4112" s="106"/>
      <c r="T4112" s="22"/>
      <c r="U4112" s="96">
        <f ca="1">1-U4111/(3*F_GAMMA*U$29)</f>
        <v>0.86028112168260662</v>
      </c>
      <c r="V4112" s="111"/>
      <c r="W4112" s="28"/>
      <c r="X4112" s="96">
        <f ca="1">1-X4111/(3*F_GAMMA*X$29)</f>
        <v>1.2410193580195941</v>
      </c>
      <c r="Y4112" s="111"/>
      <c r="Z4112" s="28"/>
      <c r="AA4112" s="96">
        <f ca="1">1-AA4111/(3*F_GAMMA*AA$29)</f>
        <v>0.1333886932399565</v>
      </c>
      <c r="AB4112" s="111"/>
      <c r="AC4112" s="28"/>
      <c r="AD4112" s="96">
        <f ca="1">1-AD4111/(3*F_GAMMA*AD$29)</f>
        <v>0.37435005063277671</v>
      </c>
      <c r="AE4112" s="111"/>
      <c r="AF4112" s="28"/>
      <c r="AG4112" s="96">
        <f ca="1">1-AG4111/(3*F_GAMMA*AG$29)</f>
        <v>0.38334592077465435</v>
      </c>
      <c r="AH4112" s="111"/>
      <c r="AI4112" s="28"/>
      <c r="AJ4112" s="96">
        <f ca="1">1-AJ4111/(3*F_GAMMA*AJ$29)</f>
        <v>0.35340939872476984</v>
      </c>
      <c r="AK4112" s="111"/>
      <c r="AL4112" s="28"/>
      <c r="AM4112" s="96">
        <f ca="1">1-AM4111/(3*F_GAMMA*AM$29)</f>
        <v>0.28456624637133543</v>
      </c>
      <c r="AN4112" s="111"/>
      <c r="AO4112" s="28"/>
      <c r="AP4112" s="96">
        <f ca="1">1-AP4111/(3*F_GAMMA*AP$29)</f>
        <v>0.4268557335554275</v>
      </c>
      <c r="AQ4112" s="111"/>
      <c r="AR4112" s="28"/>
      <c r="AS4112" s="96">
        <f ca="1">1-AS4111/(3*F_GAMMA*AS$29)</f>
        <v>0.10525199280492159</v>
      </c>
      <c r="AT4112" s="111"/>
      <c r="AU4112" s="28"/>
    </row>
    <row r="4113" spans="15:47" x14ac:dyDescent="0.25">
      <c r="O4113" s="2" t="s">
        <v>57</v>
      </c>
      <c r="P4113" s="143">
        <v>7</v>
      </c>
      <c r="Q4113" s="2"/>
      <c r="R4113" s="96">
        <f ca="1">(R4106/(N_9*R$27*R4108*R4112))*SQRT(M*'Valve Sizing'!$W$6*'Valve Sizing'!$G$8/R4111)</f>
        <v>42.341455357705932</v>
      </c>
      <c r="S4113" s="107"/>
      <c r="T4113" s="22"/>
      <c r="U4113" s="96">
        <f ca="1">(U4106/(N_9*U$27*U4108*U4112))*SQRT(M*'Valve Sizing'!$W$6*'Valve Sizing'!$G$8/U4111)</f>
        <v>100.92308636985751</v>
      </c>
      <c r="V4113" s="111"/>
      <c r="W4113" s="28"/>
      <c r="X4113" s="96" t="e">
        <f ca="1">(X4106/(N_9*X$27*X4108*X4112))*SQRT(M*'Valve Sizing'!$W$6*'Valve Sizing'!$G$8/X4111)</f>
        <v>#NUM!</v>
      </c>
      <c r="Y4113" s="111"/>
      <c r="Z4113" s="28"/>
      <c r="AA4113" s="96">
        <f ca="1">(AA4106/(N_9*AA$27*AA4108*AA4112))*SQRT(M*'Valve Sizing'!$W$6*'Valve Sizing'!$G$8/AA4111)</f>
        <v>-1087.5017296254146</v>
      </c>
      <c r="AB4113" s="111"/>
      <c r="AC4113" s="28"/>
      <c r="AD4113" s="96">
        <f ca="1">(AD4106/(N_9*AD$27*AD4108*AD4112))*SQRT(M*'Valve Sizing'!$W$6*'Valve Sizing'!$G$8/AD4111)</f>
        <v>-173.95518343500692</v>
      </c>
      <c r="AE4113" s="111"/>
      <c r="AF4113" s="28"/>
      <c r="AG4113" s="96">
        <f ca="1">(AG4106/(N_9*AG$27*AG4108*AG4112))*SQRT(M*'Valve Sizing'!$W$6*'Valve Sizing'!$G$8/AG4111)</f>
        <v>-111.15003733488081</v>
      </c>
      <c r="AH4113" s="111"/>
      <c r="AI4113" s="28"/>
      <c r="AJ4113" s="96">
        <f ca="1">(AJ4106/(N_9*AJ$27*AJ4108*AJ4112))*SQRT(M*'Valve Sizing'!$W$6*'Valve Sizing'!$G$8/AJ4111)</f>
        <v>-91.301382873941904</v>
      </c>
      <c r="AK4113" s="111"/>
      <c r="AL4113" s="28"/>
      <c r="AM4113" s="96">
        <f ca="1">(AM4106/(N_9*AM$27*AM4108*AM4112))*SQRT(M*'Valve Sizing'!$W$6*'Valve Sizing'!$G$8/AM4111)</f>
        <v>-97.589278312987304</v>
      </c>
      <c r="AN4113" s="111"/>
      <c r="AO4113" s="28"/>
      <c r="AP4113" s="96">
        <f ca="1">(AP4106/(N_9*AP$27*AP4108*AP4112))*SQRT(M*'Valve Sizing'!$W$6*'Valve Sizing'!$G$8/AP4111)</f>
        <v>-63.440726570720621</v>
      </c>
      <c r="AQ4113" s="111"/>
      <c r="AR4113" s="28"/>
      <c r="AS4113" s="96">
        <f ca="1">(AS4106/(N_9*AS$27*AS4108*AS4112))*SQRT(M*'Valve Sizing'!$W$6*'Valve Sizing'!$G$8/AS4111)</f>
        <v>-292.66222195824412</v>
      </c>
      <c r="AT4113" s="111"/>
      <c r="AU4113" s="28"/>
    </row>
    <row r="4114" spans="15:47" x14ac:dyDescent="0.25">
      <c r="O4114" s="2" t="s">
        <v>59</v>
      </c>
      <c r="P4114" s="143">
        <v>7</v>
      </c>
      <c r="Q4114" s="2"/>
      <c r="R4114" s="96">
        <f ca="1">(R4106/(N_9*R$27*R4108*0.667))*SQRT(M*'Valve Sizing'!$W$6*'Valve Sizing'!$G$8/R4115)</f>
        <v>37.42635047910197</v>
      </c>
      <c r="S4114" s="107"/>
      <c r="T4114" s="22"/>
      <c r="U4114" s="96">
        <f ca="1">(U4106/(N_9*U$27*U4108*0.667))*SQRT(M*'Valve Sizing'!$W$6*'Valve Sizing'!$G$8/U4115)</f>
        <v>84.27393147383836</v>
      </c>
      <c r="V4114" s="111"/>
      <c r="W4114" s="28"/>
      <c r="X4114" s="96">
        <f ca="1">(X4106/(N_9*X$27*X4108*0.667))*SQRT(M*'Valve Sizing'!$W$6*'Valve Sizing'!$G$8/X4115)</f>
        <v>414.26070365407116</v>
      </c>
      <c r="Y4114" s="111"/>
      <c r="Z4114" s="28"/>
      <c r="AA4114" s="96">
        <f ca="1">(AA4106/(N_9*AA$27*AA4108*0.667))*SQRT(M*'Valve Sizing'!$W$6*'Valve Sizing'!$G$8/AA4115)</f>
        <v>-350.66784404273159</v>
      </c>
      <c r="AB4114" s="111"/>
      <c r="AC4114" s="28"/>
      <c r="AD4114" s="96">
        <f ca="1">(AD4106/(N_9*AD$27*AD4108*0.667))*SQRT(M*'Valve Sizing'!$W$6*'Valve Sizing'!$G$8/AD4115)</f>
        <v>-133.75676937216906</v>
      </c>
      <c r="AE4114" s="111"/>
      <c r="AF4114" s="28"/>
      <c r="AG4114" s="96">
        <f ca="1">(AG4106/(N_9*AG$27*AG4108*0.667))*SQRT(M*'Valve Sizing'!$W$6*'Valve Sizing'!$G$8/AG4115)</f>
        <v>-86.887251009041876</v>
      </c>
      <c r="AH4114" s="111"/>
      <c r="AI4114" s="28"/>
      <c r="AJ4114" s="96">
        <f ca="1">(AJ4106/(N_9*AJ$27*AJ4108*0.667))*SQRT(M*'Valve Sizing'!$W$6*'Valve Sizing'!$G$8/AJ4115)</f>
        <v>-67.37595559547664</v>
      </c>
      <c r="AK4114" s="111"/>
      <c r="AL4114" s="28"/>
      <c r="AM4114" s="96">
        <f ca="1">(AM4106/(N_9*AM$27*AM4108*0.667))*SQRT(M*'Valve Sizing'!$W$6*'Valve Sizing'!$G$8/AM4115)</f>
        <v>-60.996511556332706</v>
      </c>
      <c r="AN4114" s="111"/>
      <c r="AO4114" s="28"/>
      <c r="AP4114" s="96">
        <f ca="1">(AP4106/(N_9*AP$27*AP4108*0.667))*SQRT(M*'Valve Sizing'!$W$6*'Valve Sizing'!$G$8/AP4115)</f>
        <v>-53.237301898126972</v>
      </c>
      <c r="AQ4114" s="111"/>
      <c r="AR4114" s="28"/>
      <c r="AS4114" s="96">
        <f ca="1">(AS4106/(N_9*AS$27*AS4108*0.667))*SQRT(M*'Valve Sizing'!$W$6*'Valve Sizing'!$G$8/AS4115)</f>
        <v>-75.662755984760537</v>
      </c>
      <c r="AT4114" s="111"/>
      <c r="AU4114" s="28"/>
    </row>
    <row r="4115" spans="15:47" ht="15.6" x14ac:dyDescent="0.35">
      <c r="O4115" s="2" t="s">
        <v>68</v>
      </c>
      <c r="P4115" s="143">
        <v>10</v>
      </c>
      <c r="Q4115" s="2"/>
      <c r="R4115" s="96">
        <f ca="1">F_GAMMA*R$29</f>
        <v>0.64002969751372984</v>
      </c>
      <c r="S4115" s="107"/>
      <c r="T4115" s="1"/>
      <c r="U4115" s="96">
        <f ca="1">F_GAMMA*U$29</f>
        <v>0.64017842058782071</v>
      </c>
      <c r="V4115" s="111"/>
      <c r="W4115" s="28"/>
      <c r="X4115" s="96">
        <f ca="1">F_GAMMA*X$29</f>
        <v>0.63413873724904268</v>
      </c>
      <c r="Y4115" s="111"/>
      <c r="Z4115" s="28"/>
      <c r="AA4115" s="96">
        <f ca="1">F_GAMMA*AA$29</f>
        <v>0.62532411750377137</v>
      </c>
      <c r="AB4115" s="111"/>
      <c r="AC4115" s="28"/>
      <c r="AD4115" s="96">
        <f ca="1">F_GAMMA*AD$29</f>
        <v>0.60651359509139569</v>
      </c>
      <c r="AE4115" s="111"/>
      <c r="AF4115" s="28"/>
      <c r="AG4115" s="96">
        <f ca="1">F_GAMMA*AG$29</f>
        <v>0.57217930198481592</v>
      </c>
      <c r="AH4115" s="111"/>
      <c r="AI4115" s="28"/>
      <c r="AJ4115" s="96">
        <f ca="1">F_GAMMA*AJ$29</f>
        <v>0.53183282018848232</v>
      </c>
      <c r="AK4115" s="111"/>
      <c r="AL4115" s="28"/>
      <c r="AM4115" s="96">
        <f ca="1">F_GAMMA*AM$29</f>
        <v>0.47566512503094399</v>
      </c>
      <c r="AN4115" s="111"/>
      <c r="AO4115" s="28"/>
      <c r="AP4115" s="96">
        <f ca="1">F_GAMMA*AP$29</f>
        <v>0.59054158265645496</v>
      </c>
      <c r="AQ4115" s="111"/>
      <c r="AR4115" s="28"/>
      <c r="AS4115" s="96">
        <f ca="1">F_GAMMA*AS$29</f>
        <v>0.3766899554102966</v>
      </c>
      <c r="AT4115" s="111"/>
      <c r="AU4115" s="28"/>
    </row>
    <row r="4116" spans="15:47" x14ac:dyDescent="0.25">
      <c r="O4116" s="2" t="s">
        <v>145</v>
      </c>
      <c r="P4116" s="12"/>
      <c r="Q4116" s="2"/>
      <c r="R4116" s="96">
        <f ca="1">IF(R4111&lt;R4115,R4113,R4114)</f>
        <v>42.341455357705932</v>
      </c>
      <c r="S4116" s="116"/>
      <c r="T4116" s="1"/>
      <c r="U4116" s="96">
        <f ca="1">IF(U4111&lt;U4115,U4113,U4114)</f>
        <v>100.92308636985751</v>
      </c>
      <c r="V4116" s="111"/>
      <c r="W4116" s="28"/>
      <c r="X4116" s="96" t="e">
        <f ca="1">IF(X4111&lt;X4115,X4113,X4114)</f>
        <v>#NUM!</v>
      </c>
      <c r="Y4116" s="111"/>
      <c r="Z4116" s="28"/>
      <c r="AA4116" s="96">
        <f ca="1">IF(AA4111&lt;AA4115,AA4113,AA4114)</f>
        <v>-350.66784404273159</v>
      </c>
      <c r="AB4116" s="111"/>
      <c r="AC4116" s="28"/>
      <c r="AD4116" s="96">
        <f ca="1">IF(AD4111&lt;AD4115,AD4113,AD4114)</f>
        <v>-133.75676937216906</v>
      </c>
      <c r="AE4116" s="111"/>
      <c r="AF4116" s="28"/>
      <c r="AG4116" s="96">
        <f ca="1">IF(AG4111&lt;AG4115,AG4113,AG4114)</f>
        <v>-86.887251009041876</v>
      </c>
      <c r="AH4116" s="111"/>
      <c r="AI4116" s="28"/>
      <c r="AJ4116" s="96">
        <f ca="1">IF(AJ4111&lt;AJ4115,AJ4113,AJ4114)</f>
        <v>-67.37595559547664</v>
      </c>
      <c r="AK4116" s="111"/>
      <c r="AL4116" s="28"/>
      <c r="AM4116" s="96">
        <f ca="1">IF(AM4111&lt;AM4115,AM4113,AM4114)</f>
        <v>-60.996511556332706</v>
      </c>
      <c r="AN4116" s="111"/>
      <c r="AO4116" s="28"/>
      <c r="AP4116" s="96">
        <f ca="1">IF(AP4111&lt;AP4115,AP4113,AP4114)</f>
        <v>-53.237301898126972</v>
      </c>
      <c r="AQ4116" s="111"/>
      <c r="AR4116" s="28"/>
      <c r="AS4116" s="96">
        <f ca="1">IF(AS4111&lt;AS4115,AS4113,AS4114)</f>
        <v>-75.662755984760537</v>
      </c>
      <c r="AT4116" s="111"/>
      <c r="AU4116" s="28"/>
    </row>
    <row r="4117" spans="15:47" x14ac:dyDescent="0.25">
      <c r="O4117" s="13" t="s">
        <v>143</v>
      </c>
      <c r="P4117" s="1"/>
      <c r="Q4117" s="1"/>
      <c r="R4117" s="113"/>
      <c r="S4117" s="106">
        <f ca="1">IF(R4110&lt;=0,Q_max,ABS(R$23-R4116))</f>
        <v>37.611455357705935</v>
      </c>
      <c r="T4117" s="7">
        <f>R4106</f>
        <v>101376.34898300147</v>
      </c>
      <c r="U4117" s="98"/>
      <c r="V4117" s="106">
        <f ca="1">IF(U4110&lt;=0,Q_max,ABS(U$23-U4116))</f>
        <v>89.323086369857521</v>
      </c>
      <c r="W4117" s="9">
        <f ca="1">U4106</f>
        <v>211854.50082721919</v>
      </c>
      <c r="X4117" s="98"/>
      <c r="Y4117" s="106">
        <f ca="1">IF(X4110&lt;=0,Q_max,ABS(X$23-X4116))</f>
        <v>236393</v>
      </c>
      <c r="Z4117" s="9">
        <f ca="1">X4106</f>
        <v>518753.85299687251</v>
      </c>
      <c r="AA4117" s="98"/>
      <c r="AB4117" s="106">
        <f ca="1">IF(AA4110&lt;=0,Q_max,ABS(AA$23-AA4116))</f>
        <v>236393</v>
      </c>
      <c r="AC4117" s="9">
        <f ca="1">AA4106</f>
        <v>1010400.0960962747</v>
      </c>
      <c r="AD4117" s="98"/>
      <c r="AE4117" s="106">
        <f ca="1">IF(AD4110&lt;=0,Q_max,ABS(AD$23-AD4116))</f>
        <v>236393</v>
      </c>
      <c r="AF4117" s="9">
        <f ca="1">AD4106</f>
        <v>1695137.0474658147</v>
      </c>
      <c r="AG4117" s="98"/>
      <c r="AH4117" s="106">
        <f ca="1">IF(AG4110&lt;=0,Q_max,ABS(AG$23-AG4116))</f>
        <v>236393</v>
      </c>
      <c r="AI4117" s="9">
        <f ca="1">AG4106</f>
        <v>2474098.689769303</v>
      </c>
      <c r="AJ4117" s="98"/>
      <c r="AK4117" s="106">
        <f ca="1">IF(AJ4110&lt;=0,Q_max,ABS(AJ$23-AJ4116))</f>
        <v>236393</v>
      </c>
      <c r="AL4117" s="9">
        <f ca="1">AJ4106</f>
        <v>3301694.2925070482</v>
      </c>
      <c r="AM4117" s="98"/>
      <c r="AN4117" s="106">
        <f ca="1">IF(AM4110&lt;=0,Q_max,ABS(AM$23-AM4116))</f>
        <v>236393</v>
      </c>
      <c r="AO4117" s="9">
        <f ca="1">AM4106</f>
        <v>4028694.4906701497</v>
      </c>
      <c r="AP4117" s="98"/>
      <c r="AQ4117" s="106">
        <f ca="1">IF(AP4110&lt;=0,Q_max,ABS(AP$23-AP4116))</f>
        <v>236393</v>
      </c>
      <c r="AR4117" s="9">
        <f ca="1">AP4106</f>
        <v>4677189.2343381923</v>
      </c>
      <c r="AS4117" s="98"/>
      <c r="AT4117" s="106">
        <f ca="1">IF(AS4110&lt;=0,Q_max,ABS(AS$23-AS4116))</f>
        <v>236393</v>
      </c>
      <c r="AU4117" s="9">
        <f ca="1">AS4106</f>
        <v>5484372.214451992</v>
      </c>
    </row>
    <row r="4118" spans="15:47" x14ac:dyDescent="0.25">
      <c r="O4118" s="21"/>
      <c r="P4118" s="14"/>
      <c r="Q4118" s="21"/>
      <c r="R4118" s="97"/>
      <c r="S4118" s="106"/>
      <c r="T4118" s="28"/>
      <c r="U4118" s="97"/>
      <c r="V4118" s="111"/>
      <c r="W4118" s="28"/>
      <c r="X4118" s="97"/>
      <c r="Y4118" s="111"/>
      <c r="Z4118" s="28"/>
      <c r="AA4118" s="97"/>
      <c r="AB4118" s="111"/>
      <c r="AC4118" s="28"/>
      <c r="AD4118" s="97"/>
      <c r="AE4118" s="111"/>
      <c r="AF4118" s="28"/>
      <c r="AG4118" s="97"/>
      <c r="AH4118" s="111"/>
      <c r="AI4118" s="28"/>
      <c r="AJ4118" s="97"/>
      <c r="AK4118" s="111"/>
      <c r="AL4118" s="28"/>
      <c r="AM4118" s="97"/>
      <c r="AN4118" s="111"/>
      <c r="AO4118" s="28"/>
      <c r="AP4118" s="97"/>
      <c r="AQ4118" s="111"/>
      <c r="AR4118" s="28"/>
      <c r="AS4118" s="97"/>
      <c r="AT4118" s="111"/>
      <c r="AU4118" s="28"/>
    </row>
    <row r="4119" spans="15:47" x14ac:dyDescent="0.25">
      <c r="O4119" s="1"/>
      <c r="P4119" s="1"/>
      <c r="Q4119" s="1"/>
      <c r="R4119" s="98"/>
      <c r="S4119" s="108" t="s">
        <v>137</v>
      </c>
      <c r="T4119" s="26" t="s">
        <v>146</v>
      </c>
      <c r="U4119" s="98"/>
      <c r="V4119" s="108" t="s">
        <v>137</v>
      </c>
      <c r="W4119" s="26" t="s">
        <v>146</v>
      </c>
      <c r="X4119" s="98"/>
      <c r="Y4119" s="108" t="s">
        <v>137</v>
      </c>
      <c r="Z4119" s="26" t="s">
        <v>146</v>
      </c>
      <c r="AA4119" s="98"/>
      <c r="AB4119" s="108" t="s">
        <v>137</v>
      </c>
      <c r="AC4119" s="26" t="s">
        <v>146</v>
      </c>
      <c r="AD4119" s="98"/>
      <c r="AE4119" s="108" t="s">
        <v>137</v>
      </c>
      <c r="AF4119" s="26" t="s">
        <v>146</v>
      </c>
      <c r="AG4119" s="98"/>
      <c r="AH4119" s="108" t="s">
        <v>137</v>
      </c>
      <c r="AI4119" s="26" t="s">
        <v>146</v>
      </c>
      <c r="AJ4119" s="98"/>
      <c r="AK4119" s="108" t="s">
        <v>137</v>
      </c>
      <c r="AL4119" s="26" t="s">
        <v>146</v>
      </c>
      <c r="AM4119" s="98"/>
      <c r="AN4119" s="108" t="s">
        <v>137</v>
      </c>
      <c r="AO4119" s="26" t="s">
        <v>146</v>
      </c>
      <c r="AP4119" s="98"/>
      <c r="AQ4119" s="108" t="s">
        <v>137</v>
      </c>
      <c r="AR4119" s="26" t="s">
        <v>146</v>
      </c>
      <c r="AS4119" s="98"/>
      <c r="AT4119" s="108" t="s">
        <v>137</v>
      </c>
      <c r="AU4119" s="26" t="s">
        <v>146</v>
      </c>
    </row>
    <row r="4120" spans="15:47" ht="13.8" x14ac:dyDescent="0.25">
      <c r="O4120" s="20" t="s">
        <v>136</v>
      </c>
      <c r="P4120" s="1"/>
      <c r="Q4120" s="1"/>
      <c r="R4120" s="96">
        <f>R4106*1.02</f>
        <v>103403.87596266151</v>
      </c>
      <c r="S4120" s="109" t="s">
        <v>144</v>
      </c>
      <c r="T4120" s="23" t="s">
        <v>147</v>
      </c>
      <c r="U4120" s="96">
        <f ca="1">U4106*1.01</f>
        <v>213973.04583549139</v>
      </c>
      <c r="V4120" s="109" t="s">
        <v>144</v>
      </c>
      <c r="W4120" s="23" t="s">
        <v>147</v>
      </c>
      <c r="X4120" s="96">
        <f ca="1">X4106*1.01</f>
        <v>523941.39152684121</v>
      </c>
      <c r="Y4120" s="109" t="s">
        <v>144</v>
      </c>
      <c r="Z4120" s="23" t="s">
        <v>147</v>
      </c>
      <c r="AA4120" s="96">
        <f ca="1">AA4106*1.01</f>
        <v>1020504.0970572374</v>
      </c>
      <c r="AB4120" s="109" t="s">
        <v>144</v>
      </c>
      <c r="AC4120" s="23" t="s">
        <v>147</v>
      </c>
      <c r="AD4120" s="96">
        <f ca="1">AD4106*1.01</f>
        <v>1712088.417940473</v>
      </c>
      <c r="AE4120" s="109" t="s">
        <v>144</v>
      </c>
      <c r="AF4120" s="23" t="s">
        <v>147</v>
      </c>
      <c r="AG4120" s="96">
        <f ca="1">AG4106*1.01</f>
        <v>2498839.676666996</v>
      </c>
      <c r="AH4120" s="109" t="s">
        <v>144</v>
      </c>
      <c r="AI4120" s="23" t="s">
        <v>147</v>
      </c>
      <c r="AJ4120" s="96">
        <f ca="1">AJ4106*1.01</f>
        <v>3334711.2354321186</v>
      </c>
      <c r="AK4120" s="109" t="s">
        <v>144</v>
      </c>
      <c r="AL4120" s="23" t="s">
        <v>147</v>
      </c>
      <c r="AM4120" s="96">
        <f ca="1">AM4106*1.01</f>
        <v>4068981.435576851</v>
      </c>
      <c r="AN4120" s="109" t="s">
        <v>144</v>
      </c>
      <c r="AO4120" s="23" t="s">
        <v>147</v>
      </c>
      <c r="AP4120" s="96">
        <f ca="1">AP4106*1.01</f>
        <v>4723961.1266815746</v>
      </c>
      <c r="AQ4120" s="109" t="s">
        <v>144</v>
      </c>
      <c r="AR4120" s="23" t="s">
        <v>147</v>
      </c>
      <c r="AS4120" s="96">
        <f ca="1">AS4106*1.01</f>
        <v>5539215.9365965119</v>
      </c>
      <c r="AT4120" s="109" t="s">
        <v>144</v>
      </c>
      <c r="AU4120" s="23" t="s">
        <v>147</v>
      </c>
    </row>
    <row r="4121" spans="15:47" x14ac:dyDescent="0.25">
      <c r="O4121" s="1"/>
      <c r="P4121" s="1"/>
      <c r="Q4121" s="1"/>
      <c r="R4121" s="98"/>
      <c r="S4121" s="107"/>
      <c r="T4121" s="1"/>
      <c r="U4121" s="47"/>
      <c r="V4121" s="107"/>
      <c r="W4121" s="1"/>
      <c r="X4121" s="47"/>
      <c r="Y4121" s="107"/>
      <c r="Z4121" s="1"/>
      <c r="AA4121" s="47"/>
      <c r="AB4121" s="107"/>
      <c r="AC4121" s="1"/>
      <c r="AD4121" s="47"/>
      <c r="AE4121" s="107"/>
      <c r="AF4121" s="1"/>
      <c r="AG4121" s="47"/>
      <c r="AH4121" s="107"/>
      <c r="AI4121" s="1"/>
      <c r="AJ4121" s="47"/>
      <c r="AK4121" s="107"/>
      <c r="AL4121" s="1"/>
      <c r="AM4121" s="47"/>
      <c r="AN4121" s="107"/>
      <c r="AO4121" s="1"/>
      <c r="AP4121" s="47"/>
      <c r="AQ4121" s="107"/>
      <c r="AR4121" s="1"/>
      <c r="AS4121" s="47"/>
      <c r="AT4121" s="107"/>
      <c r="AU4121" s="1"/>
    </row>
    <row r="4122" spans="15:47" x14ac:dyDescent="0.25">
      <c r="O4122" s="8" t="s">
        <v>132</v>
      </c>
      <c r="P4122" s="8"/>
      <c r="Q4122" s="8"/>
      <c r="R4122" s="96">
        <f>P_1_minQ-(R4120^2*R_up)+dpup_minQ</f>
        <v>88.236240968690893</v>
      </c>
      <c r="S4122" s="106"/>
      <c r="T4122" s="22"/>
      <c r="U4122" s="96">
        <f ca="1">P_1_minQ-(U4120^2*R_up)+dpup_minQ</f>
        <v>81.840322340042917</v>
      </c>
      <c r="V4122" s="107"/>
      <c r="W4122" s="1"/>
      <c r="X4122" s="96">
        <f ca="1">P_1_minQ-(X4120^2*R_up)+dpup_minQ</f>
        <v>40.151762721588021</v>
      </c>
      <c r="Y4122" s="107"/>
      <c r="Z4122" s="1"/>
      <c r="AA4122" s="96">
        <f ca="1">P_1_minQ-(AA4120^2*R_up)+dpup_minQ</f>
        <v>-99.626687263910412</v>
      </c>
      <c r="AB4122" s="107"/>
      <c r="AC4122" s="1"/>
      <c r="AD4122" s="96">
        <f ca="1">P_1_minQ-(AD4120^2*R_up)+dpup_minQ</f>
        <v>-444.0666632341551</v>
      </c>
      <c r="AE4122" s="107"/>
      <c r="AF4122" s="1"/>
      <c r="AG4122" s="96">
        <f ca="1">P_1_minQ-(AG4120^2*R_up)+dpup_minQ</f>
        <v>-1047.8884919237728</v>
      </c>
      <c r="AH4122" s="107"/>
      <c r="AI4122" s="1"/>
      <c r="AJ4122" s="96">
        <f ca="1">P_1_minQ-(AJ4120^2*R_up)+dpup_minQ</f>
        <v>-1936.6107923610357</v>
      </c>
      <c r="AK4122" s="107"/>
      <c r="AL4122" s="1"/>
      <c r="AM4122" s="96">
        <f ca="1">P_1_minQ-(AM4120^2*R_up)+dpup_minQ</f>
        <v>-2927.4377704493204</v>
      </c>
      <c r="AN4122" s="107"/>
      <c r="AO4122" s="1"/>
      <c r="AP4122" s="96">
        <f ca="1">P_1_minQ-(AP4120^2*R_up)+dpup_minQ</f>
        <v>-3977.1145921324014</v>
      </c>
      <c r="AQ4122" s="107"/>
      <c r="AR4122" s="1"/>
      <c r="AS4122" s="96">
        <f ca="1">P_1_minQ-(AS4120^2*R_up)+dpup_minQ</f>
        <v>-5502.1106761922256</v>
      </c>
      <c r="AT4122" s="107"/>
      <c r="AU4122" s="1"/>
    </row>
    <row r="4123" spans="15:47" x14ac:dyDescent="0.25">
      <c r="O4123" s="8" t="s">
        <v>134</v>
      </c>
      <c r="P4123" s="1"/>
      <c r="Q4123" s="8"/>
      <c r="R4123" s="97">
        <f>P_2_minQ+(R4120^2*R_dn)-dpdn_minQ</f>
        <v>60</v>
      </c>
      <c r="S4123" s="106"/>
      <c r="T4123" s="22"/>
      <c r="U4123" s="97">
        <f ca="1">P_2_minQ+(U4120^2*R_dn)-dpdn_minQ</f>
        <v>60</v>
      </c>
      <c r="V4123" s="107"/>
      <c r="W4123" s="1"/>
      <c r="X4123" s="97">
        <f ca="1">P_2_minQ+(X4120^2*R_dn)-dpdn_minQ</f>
        <v>60</v>
      </c>
      <c r="Y4123" s="107"/>
      <c r="Z4123" s="1"/>
      <c r="AA4123" s="97">
        <f ca="1">P_2_minQ+(AA4120^2*R_dn)-dpdn_minQ</f>
        <v>60</v>
      </c>
      <c r="AB4123" s="107"/>
      <c r="AC4123" s="1"/>
      <c r="AD4123" s="97">
        <f ca="1">P_2_minQ+(AD4120^2*R_dn)-dpdn_minQ</f>
        <v>60</v>
      </c>
      <c r="AE4123" s="107"/>
      <c r="AF4123" s="1"/>
      <c r="AG4123" s="97">
        <f ca="1">P_2_minQ+(AG4120^2*R_dn)-dpdn_minQ</f>
        <v>60</v>
      </c>
      <c r="AH4123" s="107"/>
      <c r="AI4123" s="1"/>
      <c r="AJ4123" s="97">
        <f ca="1">P_2_minQ+(AJ4120^2*R_dn)-dpdn_minQ</f>
        <v>60</v>
      </c>
      <c r="AK4123" s="107"/>
      <c r="AL4123" s="1"/>
      <c r="AM4123" s="97">
        <f ca="1">P_2_minQ+(AM4120^2*R_dn)-dpdn_minQ</f>
        <v>60</v>
      </c>
      <c r="AN4123" s="107"/>
      <c r="AO4123" s="1"/>
      <c r="AP4123" s="97">
        <f ca="1">P_2_minQ+(AP4120^2*R_dn)-dpdn_minQ</f>
        <v>60</v>
      </c>
      <c r="AQ4123" s="107"/>
      <c r="AR4123" s="1"/>
      <c r="AS4123" s="97">
        <f ca="1">P_2_minQ+(AS4120^2*R_dn)-dpdn_minQ</f>
        <v>60</v>
      </c>
      <c r="AT4123" s="107"/>
      <c r="AU4123" s="1"/>
    </row>
    <row r="4124" spans="15:47" x14ac:dyDescent="0.25">
      <c r="O4124" s="8" t="s">
        <v>138</v>
      </c>
      <c r="P4124" s="1"/>
      <c r="Q4124" s="8"/>
      <c r="R4124" s="97">
        <f>R4122-R4123</f>
        <v>28.236240968690893</v>
      </c>
      <c r="S4124" s="106"/>
      <c r="T4124" s="22"/>
      <c r="U4124" s="97">
        <f ca="1">U4122-U4123</f>
        <v>21.840322340042917</v>
      </c>
      <c r="V4124" s="110"/>
      <c r="W4124" s="25"/>
      <c r="X4124" s="97">
        <f ca="1">X4122-X4123</f>
        <v>-19.848237278411979</v>
      </c>
      <c r="Y4124" s="110"/>
      <c r="Z4124" s="25"/>
      <c r="AA4124" s="97">
        <f ca="1">AA4122-AA4123</f>
        <v>-159.62668726391041</v>
      </c>
      <c r="AB4124" s="110"/>
      <c r="AC4124" s="25"/>
      <c r="AD4124" s="97">
        <f ca="1">AD4122-AD4123</f>
        <v>-504.0666632341551</v>
      </c>
      <c r="AE4124" s="110"/>
      <c r="AF4124" s="25"/>
      <c r="AG4124" s="97">
        <f ca="1">AG4122-AG4123</f>
        <v>-1107.8884919237728</v>
      </c>
      <c r="AH4124" s="110"/>
      <c r="AI4124" s="25"/>
      <c r="AJ4124" s="97">
        <f ca="1">AJ4122-AJ4123</f>
        <v>-1996.6107923610357</v>
      </c>
      <c r="AK4124" s="110"/>
      <c r="AL4124" s="25"/>
      <c r="AM4124" s="97">
        <f ca="1">AM4122-AM4123</f>
        <v>-2987.4377704493204</v>
      </c>
      <c r="AN4124" s="110"/>
      <c r="AO4124" s="25"/>
      <c r="AP4124" s="97">
        <f ca="1">AP4122-AP4123</f>
        <v>-4037.1145921324014</v>
      </c>
      <c r="AQ4124" s="110"/>
      <c r="AR4124" s="25"/>
      <c r="AS4124" s="97">
        <f ca="1">AS4122-AS4123</f>
        <v>-5562.1106761922256</v>
      </c>
      <c r="AT4124" s="110"/>
      <c r="AU4124" s="25"/>
    </row>
    <row r="4125" spans="15:47" ht="14.4" x14ac:dyDescent="0.3">
      <c r="O4125" s="2" t="s">
        <v>140</v>
      </c>
      <c r="P4125" s="11"/>
      <c r="Q4125" s="2"/>
      <c r="R4125" s="96">
        <f>R4124/R4122</f>
        <v>0.32000729698707403</v>
      </c>
      <c r="S4125" s="106"/>
      <c r="T4125" s="22"/>
      <c r="U4125" s="96">
        <f ca="1">U4124/U4122</f>
        <v>0.26686505765822066</v>
      </c>
      <c r="V4125" s="111"/>
      <c r="W4125" s="28"/>
      <c r="X4125" s="96">
        <f ca="1">X4124/X4122</f>
        <v>-0.49433040875538858</v>
      </c>
      <c r="Y4125" s="111"/>
      <c r="Z4125" s="28"/>
      <c r="AA4125" s="96">
        <f ca="1">AA4124/AA4122</f>
        <v>1.6022482694928961</v>
      </c>
      <c r="AB4125" s="111"/>
      <c r="AC4125" s="28"/>
      <c r="AD4125" s="96">
        <f ca="1">AD4124/AD4122</f>
        <v>1.1351148486648774</v>
      </c>
      <c r="AE4125" s="111"/>
      <c r="AF4125" s="28"/>
      <c r="AG4125" s="96">
        <f ca="1">AG4124/AG4122</f>
        <v>1.0572580006960937</v>
      </c>
      <c r="AH4125" s="111"/>
      <c r="AI4125" s="28"/>
      <c r="AJ4125" s="96">
        <f ca="1">AJ4124/AJ4122</f>
        <v>1.0309819609787729</v>
      </c>
      <c r="AK4125" s="111"/>
      <c r="AL4125" s="28"/>
      <c r="AM4125" s="96">
        <f ca="1">AM4124/AM4122</f>
        <v>1.0204957388353948</v>
      </c>
      <c r="AN4125" s="111"/>
      <c r="AO4125" s="28"/>
      <c r="AP4125" s="96">
        <f ca="1">AP4124/AP4122</f>
        <v>1.0150863141129232</v>
      </c>
      <c r="AQ4125" s="111"/>
      <c r="AR4125" s="28"/>
      <c r="AS4125" s="96">
        <f ca="1">AS4124/AS4122</f>
        <v>1.0109049060498949</v>
      </c>
      <c r="AT4125" s="111"/>
      <c r="AU4125" s="28"/>
    </row>
    <row r="4126" spans="15:47" x14ac:dyDescent="0.25">
      <c r="O4126" s="2" t="s">
        <v>21</v>
      </c>
      <c r="P4126" s="8">
        <v>12</v>
      </c>
      <c r="Q4126" s="2"/>
      <c r="R4126" s="96">
        <f ca="1">1-R4125/(3*F_GAMMA*R$29)</f>
        <v>0.8333372663642642</v>
      </c>
      <c r="S4126" s="106"/>
      <c r="T4126" s="22"/>
      <c r="U4126" s="96">
        <f ca="1">1-U4125/(3*F_GAMMA*U$29)</f>
        <v>0.86104652022208561</v>
      </c>
      <c r="V4126" s="111"/>
      <c r="W4126" s="28"/>
      <c r="X4126" s="96">
        <f ca="1">1-X4125/(3*F_GAMMA*X$29)</f>
        <v>1.2598434589144973</v>
      </c>
      <c r="Y4126" s="111"/>
      <c r="Z4126" s="28"/>
      <c r="AA4126" s="96">
        <f ca="1">1-AA4125/(3*F_GAMMA*AA$29)</f>
        <v>0.14591051016929479</v>
      </c>
      <c r="AB4126" s="111"/>
      <c r="AC4126" s="28"/>
      <c r="AD4126" s="96">
        <f ca="1">1-AD4125/(3*F_GAMMA*AD$29)</f>
        <v>0.3761531162964139</v>
      </c>
      <c r="AE4126" s="111"/>
      <c r="AF4126" s="28"/>
      <c r="AG4126" s="96">
        <f ca="1">1-AG4125/(3*F_GAMMA*AG$29)</f>
        <v>0.38407535480072852</v>
      </c>
      <c r="AH4126" s="111"/>
      <c r="AI4126" s="28"/>
      <c r="AJ4126" s="96">
        <f ca="1">1-AJ4125/(3*F_GAMMA*AJ$29)</f>
        <v>0.35381826654135951</v>
      </c>
      <c r="AK4126" s="111"/>
      <c r="AL4126" s="28"/>
      <c r="AM4126" s="96">
        <f ca="1">1-AM4125/(3*F_GAMMA*AM$29)</f>
        <v>0.28486401802878492</v>
      </c>
      <c r="AN4126" s="111"/>
      <c r="AO4126" s="28"/>
      <c r="AP4126" s="96">
        <f ca="1">1-AP4125/(3*F_GAMMA*AP$29)</f>
        <v>0.42703085668880247</v>
      </c>
      <c r="AQ4126" s="111"/>
      <c r="AR4126" s="28"/>
      <c r="AS4126" s="96">
        <f ca="1">1-AS4125/(3*F_GAMMA*AS$29)</f>
        <v>0.10544919720622636</v>
      </c>
      <c r="AT4126" s="111"/>
      <c r="AU4126" s="28"/>
    </row>
    <row r="4127" spans="15:47" x14ac:dyDescent="0.25">
      <c r="O4127" s="2" t="s">
        <v>57</v>
      </c>
      <c r="P4127" s="143">
        <v>7</v>
      </c>
      <c r="Q4127" s="2"/>
      <c r="R4127" s="96">
        <f ca="1">(R4120/(N_9*R$27*R4122*R4126))*SQRT(M*'Valve Sizing'!$W$6*'Valve Sizing'!$G$8/R4125)</f>
        <v>43.248904362045373</v>
      </c>
      <c r="S4127" s="107"/>
      <c r="T4127" s="22"/>
      <c r="U4127" s="96">
        <f ca="1">(U4120/(N_9*U$27*U4122*U4126))*SQRT(M*'Valve Sizing'!$W$6*'Valve Sizing'!$G$8/U4125)</f>
        <v>102.32698153717054</v>
      </c>
      <c r="V4127" s="111"/>
      <c r="W4127" s="28"/>
      <c r="X4127" s="96" t="e">
        <f ca="1">(X4120/(N_9*X$27*X4122*X4126))*SQRT(M*'Valve Sizing'!$W$6*'Valve Sizing'!$G$8/X4125)</f>
        <v>#NUM!</v>
      </c>
      <c r="Y4127" s="111"/>
      <c r="Z4127" s="28"/>
      <c r="AA4127" s="96">
        <f ca="1">(AA4120/(N_9*AA$27*AA4122*AA4126))*SQRT(M*'Valve Sizing'!$W$6*'Valve Sizing'!$G$8/AA4125)</f>
        <v>-973.47924954430016</v>
      </c>
      <c r="AB4127" s="111"/>
      <c r="AC4127" s="28"/>
      <c r="AD4127" s="96">
        <f ca="1">(AD4120/(N_9*AD$27*AD4122*AD4126))*SQRT(M*'Valve Sizing'!$W$6*'Valve Sizing'!$G$8/AD4125)</f>
        <v>-170.9540829414268</v>
      </c>
      <c r="AE4127" s="111"/>
      <c r="AF4127" s="28"/>
      <c r="AG4127" s="96">
        <f ca="1">(AG4120/(N_9*AG$27*AG4122*AG4126))*SQRT(M*'Valve Sizing'!$W$6*'Valve Sizing'!$G$8/AG4125)</f>
        <v>-109.71543548637941</v>
      </c>
      <c r="AH4127" s="111"/>
      <c r="AI4127" s="28"/>
      <c r="AJ4127" s="96">
        <f ca="1">(AJ4120/(N_9*AJ$27*AJ4122*AJ4126))*SQRT(M*'Valve Sizing'!$W$6*'Valve Sizing'!$G$8/AJ4125)</f>
        <v>-90.236965026539181</v>
      </c>
      <c r="AK4127" s="111"/>
      <c r="AL4127" s="28"/>
      <c r="AM4127" s="96">
        <f ca="1">(AM4120/(N_9*AM$27*AM4122*AM4126))*SQRT(M*'Valve Sizing'!$W$6*'Valve Sizing'!$G$8/AM4125)</f>
        <v>-96.482359165545517</v>
      </c>
      <c r="AN4127" s="111"/>
      <c r="AO4127" s="28"/>
      <c r="AP4127" s="96">
        <f ca="1">(AP4120/(N_9*AP$27*AP4122*AP4126))*SQRT(M*'Valve Sizing'!$W$6*'Valve Sizing'!$G$8/AP4125)</f>
        <v>-62.767814008961572</v>
      </c>
      <c r="AQ4127" s="111"/>
      <c r="AR4127" s="28"/>
      <c r="AS4127" s="96">
        <f ca="1">(AS4120/(N_9*AS$27*AS4122*AS4126))*SQRT(M*'Valve Sizing'!$W$6*'Valve Sizing'!$G$8/AS4125)</f>
        <v>-289.1592572975988</v>
      </c>
      <c r="AT4127" s="111"/>
      <c r="AU4127" s="28"/>
    </row>
    <row r="4128" spans="15:47" x14ac:dyDescent="0.25">
      <c r="O4128" s="2" t="s">
        <v>59</v>
      </c>
      <c r="P4128" s="143">
        <v>7</v>
      </c>
      <c r="Q4128" s="2"/>
      <c r="R4128" s="96">
        <f ca="1">(R4120/(N_9*R$27*R4122*0.667))*SQRT(M*'Valve Sizing'!$W$6*'Valve Sizing'!$G$8/R4129)</f>
        <v>38.207617501777719</v>
      </c>
      <c r="S4128" s="107"/>
      <c r="T4128" s="22"/>
      <c r="U4128" s="96">
        <f ca="1">(U4120/(N_9*U$27*U4122*0.667))*SQRT(M*'Valve Sizing'!$W$6*'Valve Sizing'!$G$8/U4129)</f>
        <v>85.287677156061235</v>
      </c>
      <c r="V4128" s="111"/>
      <c r="W4128" s="28"/>
      <c r="X4128" s="96">
        <f ca="1">(X4120/(N_9*X$27*X4122*0.667))*SQRT(M*'Valve Sizing'!$W$6*'Valve Sizing'!$G$8/X4129)</f>
        <v>428.67644016192884</v>
      </c>
      <c r="Y4128" s="111"/>
      <c r="Z4128" s="28"/>
      <c r="AA4128" s="96">
        <f ca="1">(AA4120/(N_9*AA$27*AA4122*0.667))*SQRT(M*'Valve Sizing'!$W$6*'Valve Sizing'!$G$8/AA4129)</f>
        <v>-340.87861514662274</v>
      </c>
      <c r="AB4128" s="111"/>
      <c r="AC4128" s="28"/>
      <c r="AD4128" s="96">
        <f ca="1">(AD4120/(N_9*AD$27*AD4122*0.667))*SQRT(M*'Valve Sizing'!$W$6*'Valve Sizing'!$G$8/AD4129)</f>
        <v>-131.89184399367639</v>
      </c>
      <c r="AE4128" s="111"/>
      <c r="AF4128" s="28"/>
      <c r="AG4128" s="96">
        <f ca="1">(AG4120/(N_9*AG$27*AG4122*0.667))*SQRT(M*'Valve Sizing'!$W$6*'Valve Sizing'!$G$8/AG4129)</f>
        <v>-85.878165009471473</v>
      </c>
      <c r="AH4128" s="111"/>
      <c r="AI4128" s="28"/>
      <c r="AJ4128" s="96">
        <f ca="1">(AJ4120/(N_9*AJ$27*AJ4122*0.667))*SQRT(M*'Valve Sizing'!$W$6*'Valve Sizing'!$G$8/AJ4129)</f>
        <v>-66.646425648899964</v>
      </c>
      <c r="AK4128" s="111"/>
      <c r="AL4128" s="28"/>
      <c r="AM4128" s="96">
        <f ca="1">(AM4120/(N_9*AM$27*AM4122*0.667))*SQRT(M*'Valve Sizing'!$W$6*'Valve Sizing'!$G$8/AM4129)</f>
        <v>-60.355189581934397</v>
      </c>
      <c r="AN4128" s="111"/>
      <c r="AO4128" s="28"/>
      <c r="AP4128" s="96">
        <f ca="1">(AP4120/(N_9*AP$27*AP4122*0.667))*SQRT(M*'Valve Sizing'!$W$6*'Valve Sizing'!$G$8/AP4129)</f>
        <v>-52.686175246281586</v>
      </c>
      <c r="AQ4128" s="111"/>
      <c r="AR4128" s="28"/>
      <c r="AS4128" s="96">
        <f ca="1">(AS4120/(N_9*AS$27*AS4122*0.667))*SQRT(M*'Valve Sizing'!$W$6*'Valve Sizing'!$G$8/AS4129)</f>
        <v>-74.888938828344891</v>
      </c>
      <c r="AT4128" s="111"/>
      <c r="AU4128" s="28"/>
    </row>
    <row r="4129" spans="15:47" ht="15.6" x14ac:dyDescent="0.35">
      <c r="O4129" s="2" t="s">
        <v>68</v>
      </c>
      <c r="P4129" s="143">
        <v>10</v>
      </c>
      <c r="Q4129" s="2"/>
      <c r="R4129" s="96">
        <f ca="1">F_GAMMA*R$29</f>
        <v>0.64002969751372984</v>
      </c>
      <c r="S4129" s="107"/>
      <c r="T4129" s="1"/>
      <c r="U4129" s="96">
        <f ca="1">F_GAMMA*U$29</f>
        <v>0.64017842058782071</v>
      </c>
      <c r="V4129" s="111"/>
      <c r="W4129" s="28"/>
      <c r="X4129" s="96">
        <f ca="1">F_GAMMA*X$29</f>
        <v>0.63413873724904268</v>
      </c>
      <c r="Y4129" s="111"/>
      <c r="Z4129" s="28"/>
      <c r="AA4129" s="96">
        <f ca="1">F_GAMMA*AA$29</f>
        <v>0.62532411750377137</v>
      </c>
      <c r="AB4129" s="111"/>
      <c r="AC4129" s="28"/>
      <c r="AD4129" s="96">
        <f ca="1">F_GAMMA*AD$29</f>
        <v>0.60651359509139569</v>
      </c>
      <c r="AE4129" s="111"/>
      <c r="AF4129" s="28"/>
      <c r="AG4129" s="96">
        <f ca="1">F_GAMMA*AG$29</f>
        <v>0.57217930198481592</v>
      </c>
      <c r="AH4129" s="111"/>
      <c r="AI4129" s="28"/>
      <c r="AJ4129" s="96">
        <f ca="1">F_GAMMA*AJ$29</f>
        <v>0.53183282018848232</v>
      </c>
      <c r="AK4129" s="111"/>
      <c r="AL4129" s="28"/>
      <c r="AM4129" s="96">
        <f ca="1">F_GAMMA*AM$29</f>
        <v>0.47566512503094399</v>
      </c>
      <c r="AN4129" s="111"/>
      <c r="AO4129" s="28"/>
      <c r="AP4129" s="96">
        <f ca="1">F_GAMMA*AP$29</f>
        <v>0.59054158265645496</v>
      </c>
      <c r="AQ4129" s="111"/>
      <c r="AR4129" s="28"/>
      <c r="AS4129" s="96">
        <f ca="1">F_GAMMA*AS$29</f>
        <v>0.3766899554102966</v>
      </c>
      <c r="AT4129" s="111"/>
      <c r="AU4129" s="28"/>
    </row>
    <row r="4130" spans="15:47" x14ac:dyDescent="0.25">
      <c r="O4130" s="2" t="s">
        <v>145</v>
      </c>
      <c r="P4130" s="12"/>
      <c r="Q4130" s="2"/>
      <c r="R4130" s="96">
        <f ca="1">IF(R4125&lt;R4129,R4127,R4128)</f>
        <v>43.248904362045373</v>
      </c>
      <c r="S4130" s="116"/>
      <c r="T4130" s="1"/>
      <c r="U4130" s="96">
        <f ca="1">IF(U4125&lt;U4129,U4127,U4128)</f>
        <v>102.32698153717054</v>
      </c>
      <c r="V4130" s="111"/>
      <c r="W4130" s="28"/>
      <c r="X4130" s="96" t="e">
        <f ca="1">IF(X4125&lt;X4129,X4127,X4128)</f>
        <v>#NUM!</v>
      </c>
      <c r="Y4130" s="111"/>
      <c r="Z4130" s="28"/>
      <c r="AA4130" s="96">
        <f ca="1">IF(AA4125&lt;AA4129,AA4127,AA4128)</f>
        <v>-340.87861514662274</v>
      </c>
      <c r="AB4130" s="111"/>
      <c r="AC4130" s="28"/>
      <c r="AD4130" s="96">
        <f ca="1">IF(AD4125&lt;AD4129,AD4127,AD4128)</f>
        <v>-131.89184399367639</v>
      </c>
      <c r="AE4130" s="111"/>
      <c r="AF4130" s="28"/>
      <c r="AG4130" s="96">
        <f ca="1">IF(AG4125&lt;AG4129,AG4127,AG4128)</f>
        <v>-85.878165009471473</v>
      </c>
      <c r="AH4130" s="111"/>
      <c r="AI4130" s="28"/>
      <c r="AJ4130" s="96">
        <f ca="1">IF(AJ4125&lt;AJ4129,AJ4127,AJ4128)</f>
        <v>-66.646425648899964</v>
      </c>
      <c r="AK4130" s="111"/>
      <c r="AL4130" s="28"/>
      <c r="AM4130" s="96">
        <f ca="1">IF(AM4125&lt;AM4129,AM4127,AM4128)</f>
        <v>-60.355189581934397</v>
      </c>
      <c r="AN4130" s="111"/>
      <c r="AO4130" s="28"/>
      <c r="AP4130" s="96">
        <f ca="1">IF(AP4125&lt;AP4129,AP4127,AP4128)</f>
        <v>-52.686175246281586</v>
      </c>
      <c r="AQ4130" s="111"/>
      <c r="AR4130" s="28"/>
      <c r="AS4130" s="96">
        <f ca="1">IF(AS4125&lt;AS4129,AS4127,AS4128)</f>
        <v>-74.888938828344891</v>
      </c>
      <c r="AT4130" s="111"/>
      <c r="AU4130" s="28"/>
    </row>
    <row r="4131" spans="15:47" x14ac:dyDescent="0.25">
      <c r="O4131" s="13" t="s">
        <v>143</v>
      </c>
      <c r="P4131" s="1"/>
      <c r="Q4131" s="1"/>
      <c r="R4131" s="113"/>
      <c r="S4131" s="106">
        <f ca="1">IF(R4124&lt;=0,Q_max,ABS(R$23-R4130))</f>
        <v>38.518904362045376</v>
      </c>
      <c r="T4131" s="7">
        <f>R4120</f>
        <v>103403.87596266151</v>
      </c>
      <c r="U4131" s="98"/>
      <c r="V4131" s="106">
        <f ca="1">IF(U4124&lt;=0,Q_max,ABS(U$23-U4130))</f>
        <v>90.726981537170545</v>
      </c>
      <c r="W4131" s="9">
        <f ca="1">U4120</f>
        <v>213973.04583549139</v>
      </c>
      <c r="X4131" s="98"/>
      <c r="Y4131" s="106">
        <f ca="1">IF(X4124&lt;=0,Q_max,ABS(X$23-X4130))</f>
        <v>236393</v>
      </c>
      <c r="Z4131" s="9">
        <f ca="1">X4120</f>
        <v>523941.39152684121</v>
      </c>
      <c r="AA4131" s="98"/>
      <c r="AB4131" s="106">
        <f ca="1">IF(AA4124&lt;=0,Q_max,ABS(AA$23-AA4130))</f>
        <v>236393</v>
      </c>
      <c r="AC4131" s="9">
        <f ca="1">AA4120</f>
        <v>1020504.0970572374</v>
      </c>
      <c r="AD4131" s="98"/>
      <c r="AE4131" s="106">
        <f ca="1">IF(AD4124&lt;=0,Q_max,ABS(AD$23-AD4130))</f>
        <v>236393</v>
      </c>
      <c r="AF4131" s="9">
        <f ca="1">AD4120</f>
        <v>1712088.417940473</v>
      </c>
      <c r="AG4131" s="98"/>
      <c r="AH4131" s="106">
        <f ca="1">IF(AG4124&lt;=0,Q_max,ABS(AG$23-AG4130))</f>
        <v>236393</v>
      </c>
      <c r="AI4131" s="9">
        <f ca="1">AG4120</f>
        <v>2498839.676666996</v>
      </c>
      <c r="AJ4131" s="98"/>
      <c r="AK4131" s="106">
        <f ca="1">IF(AJ4124&lt;=0,Q_max,ABS(AJ$23-AJ4130))</f>
        <v>236393</v>
      </c>
      <c r="AL4131" s="9">
        <f ca="1">AJ4120</f>
        <v>3334711.2354321186</v>
      </c>
      <c r="AM4131" s="98"/>
      <c r="AN4131" s="106">
        <f ca="1">IF(AM4124&lt;=0,Q_max,ABS(AM$23-AM4130))</f>
        <v>236393</v>
      </c>
      <c r="AO4131" s="9">
        <f ca="1">AM4120</f>
        <v>4068981.435576851</v>
      </c>
      <c r="AP4131" s="98"/>
      <c r="AQ4131" s="106">
        <f ca="1">IF(AP4124&lt;=0,Q_max,ABS(AP$23-AP4130))</f>
        <v>236393</v>
      </c>
      <c r="AR4131" s="9">
        <f ca="1">AP4120</f>
        <v>4723961.1266815746</v>
      </c>
      <c r="AS4131" s="98"/>
      <c r="AT4131" s="106">
        <f ca="1">IF(AS4124&lt;=0,Q_max,ABS(AS$23-AS4130))</f>
        <v>236393</v>
      </c>
      <c r="AU4131" s="9">
        <f ca="1">AS4120</f>
        <v>5539215.9365965119</v>
      </c>
    </row>
    <row r="4132" spans="15:47" x14ac:dyDescent="0.25">
      <c r="O4132" s="21"/>
      <c r="P4132" s="14"/>
      <c r="Q4132" s="21"/>
      <c r="R4132" s="97"/>
      <c r="S4132" s="106"/>
      <c r="T4132" s="28"/>
      <c r="U4132" s="97"/>
      <c r="V4132" s="111"/>
      <c r="W4132" s="28"/>
      <c r="X4132" s="97"/>
      <c r="Y4132" s="111"/>
      <c r="Z4132" s="28"/>
      <c r="AA4132" s="97"/>
      <c r="AB4132" s="111"/>
      <c r="AC4132" s="28"/>
      <c r="AD4132" s="97"/>
      <c r="AE4132" s="111"/>
      <c r="AF4132" s="28"/>
      <c r="AG4132" s="97"/>
      <c r="AH4132" s="111"/>
      <c r="AI4132" s="28"/>
      <c r="AJ4132" s="97"/>
      <c r="AK4132" s="111"/>
      <c r="AL4132" s="28"/>
      <c r="AM4132" s="97"/>
      <c r="AN4132" s="111"/>
      <c r="AO4132" s="28"/>
      <c r="AP4132" s="97"/>
      <c r="AQ4132" s="111"/>
      <c r="AR4132" s="28"/>
      <c r="AS4132" s="97"/>
      <c r="AT4132" s="111"/>
      <c r="AU4132" s="28"/>
    </row>
    <row r="4133" spans="15:47" x14ac:dyDescent="0.25">
      <c r="O4133" s="1"/>
      <c r="P4133" s="1"/>
      <c r="Q4133" s="1"/>
      <c r="R4133" s="98"/>
      <c r="S4133" s="108" t="s">
        <v>137</v>
      </c>
      <c r="T4133" s="26" t="s">
        <v>146</v>
      </c>
      <c r="U4133" s="98"/>
      <c r="V4133" s="108" t="s">
        <v>137</v>
      </c>
      <c r="W4133" s="26" t="s">
        <v>146</v>
      </c>
      <c r="X4133" s="98"/>
      <c r="Y4133" s="108" t="s">
        <v>137</v>
      </c>
      <c r="Z4133" s="26" t="s">
        <v>146</v>
      </c>
      <c r="AA4133" s="98"/>
      <c r="AB4133" s="108" t="s">
        <v>137</v>
      </c>
      <c r="AC4133" s="26" t="s">
        <v>146</v>
      </c>
      <c r="AD4133" s="98"/>
      <c r="AE4133" s="108" t="s">
        <v>137</v>
      </c>
      <c r="AF4133" s="26" t="s">
        <v>146</v>
      </c>
      <c r="AG4133" s="98"/>
      <c r="AH4133" s="108" t="s">
        <v>137</v>
      </c>
      <c r="AI4133" s="26" t="s">
        <v>146</v>
      </c>
      <c r="AJ4133" s="98"/>
      <c r="AK4133" s="108" t="s">
        <v>137</v>
      </c>
      <c r="AL4133" s="26" t="s">
        <v>146</v>
      </c>
      <c r="AM4133" s="98"/>
      <c r="AN4133" s="108" t="s">
        <v>137</v>
      </c>
      <c r="AO4133" s="26" t="s">
        <v>146</v>
      </c>
      <c r="AP4133" s="98"/>
      <c r="AQ4133" s="108" t="s">
        <v>137</v>
      </c>
      <c r="AR4133" s="26" t="s">
        <v>146</v>
      </c>
      <c r="AS4133" s="98"/>
      <c r="AT4133" s="108" t="s">
        <v>137</v>
      </c>
      <c r="AU4133" s="26" t="s">
        <v>146</v>
      </c>
    </row>
    <row r="4134" spans="15:47" ht="13.8" x14ac:dyDescent="0.25">
      <c r="O4134" s="20" t="s">
        <v>136</v>
      </c>
      <c r="P4134" s="1"/>
      <c r="Q4134" s="1"/>
      <c r="R4134" s="96">
        <f>R4120*1.02</f>
        <v>105471.95348191474</v>
      </c>
      <c r="S4134" s="109" t="s">
        <v>144</v>
      </c>
      <c r="T4134" s="23" t="s">
        <v>147</v>
      </c>
      <c r="U4134" s="96">
        <f ca="1">U4120*1.01</f>
        <v>216112.77629384631</v>
      </c>
      <c r="V4134" s="109" t="s">
        <v>144</v>
      </c>
      <c r="W4134" s="23" t="s">
        <v>147</v>
      </c>
      <c r="X4134" s="96">
        <f ca="1">X4120*1.01</f>
        <v>529180.80544210959</v>
      </c>
      <c r="Y4134" s="109" t="s">
        <v>144</v>
      </c>
      <c r="Z4134" s="23" t="s">
        <v>147</v>
      </c>
      <c r="AA4134" s="96">
        <f ca="1">AA4120*1.01</f>
        <v>1030709.1380278098</v>
      </c>
      <c r="AB4134" s="109" t="s">
        <v>144</v>
      </c>
      <c r="AC4134" s="23" t="s">
        <v>147</v>
      </c>
      <c r="AD4134" s="96">
        <f ca="1">AD4120*1.01</f>
        <v>1729209.3021198777</v>
      </c>
      <c r="AE4134" s="109" t="s">
        <v>144</v>
      </c>
      <c r="AF4134" s="23" t="s">
        <v>147</v>
      </c>
      <c r="AG4134" s="96">
        <f ca="1">AG4120*1.01</f>
        <v>2523828.073433666</v>
      </c>
      <c r="AH4134" s="109" t="s">
        <v>144</v>
      </c>
      <c r="AI4134" s="23" t="s">
        <v>147</v>
      </c>
      <c r="AJ4134" s="96">
        <f ca="1">AJ4120*1.01</f>
        <v>3368058.34778644</v>
      </c>
      <c r="AK4134" s="109" t="s">
        <v>144</v>
      </c>
      <c r="AL4134" s="23" t="s">
        <v>147</v>
      </c>
      <c r="AM4134" s="96">
        <f ca="1">AM4120*1.01</f>
        <v>4109671.2499326197</v>
      </c>
      <c r="AN4134" s="109" t="s">
        <v>144</v>
      </c>
      <c r="AO4134" s="23" t="s">
        <v>147</v>
      </c>
      <c r="AP4134" s="96">
        <f ca="1">AP4120*1.01</f>
        <v>4771200.7379483907</v>
      </c>
      <c r="AQ4134" s="109" t="s">
        <v>144</v>
      </c>
      <c r="AR4134" s="23" t="s">
        <v>147</v>
      </c>
      <c r="AS4134" s="96">
        <f ca="1">AS4120*1.01</f>
        <v>5594608.0959624769</v>
      </c>
      <c r="AT4134" s="109" t="s">
        <v>144</v>
      </c>
      <c r="AU4134" s="23" t="s">
        <v>147</v>
      </c>
    </row>
    <row r="4135" spans="15:47" x14ac:dyDescent="0.25">
      <c r="O4135" s="1"/>
      <c r="P4135" s="1"/>
      <c r="Q4135" s="1"/>
      <c r="R4135" s="98"/>
      <c r="S4135" s="107"/>
      <c r="T4135" s="1"/>
      <c r="U4135" s="47"/>
      <c r="V4135" s="107"/>
      <c r="W4135" s="1"/>
      <c r="X4135" s="47"/>
      <c r="Y4135" s="107"/>
      <c r="Z4135" s="1"/>
      <c r="AA4135" s="47"/>
      <c r="AB4135" s="107"/>
      <c r="AC4135" s="1"/>
      <c r="AD4135" s="47"/>
      <c r="AE4135" s="107"/>
      <c r="AF4135" s="1"/>
      <c r="AG4135" s="47"/>
      <c r="AH4135" s="107"/>
      <c r="AI4135" s="1"/>
      <c r="AJ4135" s="47"/>
      <c r="AK4135" s="107"/>
      <c r="AL4135" s="1"/>
      <c r="AM4135" s="47"/>
      <c r="AN4135" s="107"/>
      <c r="AO4135" s="1"/>
      <c r="AP4135" s="47"/>
      <c r="AQ4135" s="107"/>
      <c r="AR4135" s="1"/>
      <c r="AS4135" s="47"/>
      <c r="AT4135" s="107"/>
      <c r="AU4135" s="1"/>
    </row>
    <row r="4136" spans="15:47" x14ac:dyDescent="0.25">
      <c r="O4136" s="8" t="s">
        <v>132</v>
      </c>
      <c r="P4136" s="8"/>
      <c r="Q4136" s="8"/>
      <c r="R4136" s="96">
        <f>P_1_minQ-(R4134^2*R_up)+dpup_minQ</f>
        <v>88.157509466403681</v>
      </c>
      <c r="S4136" s="106"/>
      <c r="T4136" s="22"/>
      <c r="U4136" s="96">
        <f ca="1">P_1_minQ-(U4134^2*R_up)+dpup_minQ</f>
        <v>81.672593504419638</v>
      </c>
      <c r="V4136" s="107"/>
      <c r="W4136" s="1"/>
      <c r="X4136" s="96">
        <f ca="1">P_1_minQ-(X4134^2*R_up)+dpup_minQ</f>
        <v>39.146093837633806</v>
      </c>
      <c r="Y4136" s="107"/>
      <c r="Z4136" s="1"/>
      <c r="AA4136" s="96">
        <f ca="1">P_1_minQ-(AA4134^2*R_up)+dpup_minQ</f>
        <v>-103.44190299257315</v>
      </c>
      <c r="AB4136" s="107"/>
      <c r="AC4136" s="1"/>
      <c r="AD4136" s="96">
        <f ca="1">P_1_minQ-(AD4134^2*R_up)+dpup_minQ</f>
        <v>-454.80512247981977</v>
      </c>
      <c r="AE4136" s="107"/>
      <c r="AF4136" s="1"/>
      <c r="AG4136" s="96">
        <f ca="1">P_1_minQ-(AG4134^2*R_up)+dpup_minQ</f>
        <v>-1070.763769926099</v>
      </c>
      <c r="AH4136" s="107"/>
      <c r="AI4136" s="1"/>
      <c r="AJ4136" s="96">
        <f ca="1">P_1_minQ-(AJ4134^2*R_up)+dpup_minQ</f>
        <v>-1977.3493886021508</v>
      </c>
      <c r="AK4136" s="107"/>
      <c r="AL4136" s="1"/>
      <c r="AM4136" s="96">
        <f ca="1">P_1_minQ-(AM4134^2*R_up)+dpup_minQ</f>
        <v>-2988.0919889500101</v>
      </c>
      <c r="AN4136" s="107"/>
      <c r="AO4136" s="1"/>
      <c r="AP4136" s="96">
        <f ca="1">P_1_minQ-(AP4134^2*R_up)+dpup_minQ</f>
        <v>-4058.8673147489208</v>
      </c>
      <c r="AQ4136" s="107"/>
      <c r="AR4136" s="1"/>
      <c r="AS4136" s="96">
        <f ca="1">P_1_minQ-(AS4134^2*R_up)+dpup_minQ</f>
        <v>-5614.5158200983469</v>
      </c>
      <c r="AT4136" s="107"/>
      <c r="AU4136" s="1"/>
    </row>
    <row r="4137" spans="15:47" x14ac:dyDescent="0.25">
      <c r="O4137" s="8" t="s">
        <v>134</v>
      </c>
      <c r="P4137" s="1"/>
      <c r="Q4137" s="8"/>
      <c r="R4137" s="97">
        <f>P_2_minQ+(R4134^2*R_dn)-dpdn_minQ</f>
        <v>60</v>
      </c>
      <c r="S4137" s="106"/>
      <c r="T4137" s="22"/>
      <c r="U4137" s="97">
        <f ca="1">P_2_minQ+(U4134^2*R_dn)-dpdn_minQ</f>
        <v>60</v>
      </c>
      <c r="V4137" s="107"/>
      <c r="W4137" s="1"/>
      <c r="X4137" s="97">
        <f ca="1">P_2_minQ+(X4134^2*R_dn)-dpdn_minQ</f>
        <v>60</v>
      </c>
      <c r="Y4137" s="107"/>
      <c r="Z4137" s="1"/>
      <c r="AA4137" s="97">
        <f ca="1">P_2_minQ+(AA4134^2*R_dn)-dpdn_minQ</f>
        <v>60</v>
      </c>
      <c r="AB4137" s="107"/>
      <c r="AC4137" s="1"/>
      <c r="AD4137" s="97">
        <f ca="1">P_2_minQ+(AD4134^2*R_dn)-dpdn_minQ</f>
        <v>60</v>
      </c>
      <c r="AE4137" s="107"/>
      <c r="AF4137" s="1"/>
      <c r="AG4137" s="97">
        <f ca="1">P_2_minQ+(AG4134^2*R_dn)-dpdn_minQ</f>
        <v>60</v>
      </c>
      <c r="AH4137" s="107"/>
      <c r="AI4137" s="1"/>
      <c r="AJ4137" s="97">
        <f ca="1">P_2_minQ+(AJ4134^2*R_dn)-dpdn_minQ</f>
        <v>60</v>
      </c>
      <c r="AK4137" s="107"/>
      <c r="AL4137" s="1"/>
      <c r="AM4137" s="97">
        <f ca="1">P_2_minQ+(AM4134^2*R_dn)-dpdn_minQ</f>
        <v>60</v>
      </c>
      <c r="AN4137" s="107"/>
      <c r="AO4137" s="1"/>
      <c r="AP4137" s="97">
        <f ca="1">P_2_minQ+(AP4134^2*R_dn)-dpdn_minQ</f>
        <v>60</v>
      </c>
      <c r="AQ4137" s="107"/>
      <c r="AR4137" s="1"/>
      <c r="AS4137" s="97">
        <f ca="1">P_2_minQ+(AS4134^2*R_dn)-dpdn_minQ</f>
        <v>60</v>
      </c>
      <c r="AT4137" s="107"/>
      <c r="AU4137" s="1"/>
    </row>
    <row r="4138" spans="15:47" x14ac:dyDescent="0.25">
      <c r="O4138" s="8" t="s">
        <v>138</v>
      </c>
      <c r="P4138" s="1"/>
      <c r="Q4138" s="8"/>
      <c r="R4138" s="97">
        <f>R4136-R4137</f>
        <v>28.157509466403681</v>
      </c>
      <c r="S4138" s="106"/>
      <c r="T4138" s="22"/>
      <c r="U4138" s="97">
        <f ca="1">U4136-U4137</f>
        <v>21.672593504419638</v>
      </c>
      <c r="V4138" s="110"/>
      <c r="W4138" s="25"/>
      <c r="X4138" s="97">
        <f ca="1">X4136-X4137</f>
        <v>-20.853906162366194</v>
      </c>
      <c r="Y4138" s="110"/>
      <c r="Z4138" s="25"/>
      <c r="AA4138" s="97">
        <f ca="1">AA4136-AA4137</f>
        <v>-163.44190299257315</v>
      </c>
      <c r="AB4138" s="110"/>
      <c r="AC4138" s="25"/>
      <c r="AD4138" s="97">
        <f ca="1">AD4136-AD4137</f>
        <v>-514.80512247981983</v>
      </c>
      <c r="AE4138" s="110"/>
      <c r="AF4138" s="25"/>
      <c r="AG4138" s="97">
        <f ca="1">AG4136-AG4137</f>
        <v>-1130.763769926099</v>
      </c>
      <c r="AH4138" s="110"/>
      <c r="AI4138" s="25"/>
      <c r="AJ4138" s="97">
        <f ca="1">AJ4136-AJ4137</f>
        <v>-2037.3493886021508</v>
      </c>
      <c r="AK4138" s="110"/>
      <c r="AL4138" s="25"/>
      <c r="AM4138" s="97">
        <f ca="1">AM4136-AM4137</f>
        <v>-3048.0919889500101</v>
      </c>
      <c r="AN4138" s="110"/>
      <c r="AO4138" s="25"/>
      <c r="AP4138" s="97">
        <f ca="1">AP4136-AP4137</f>
        <v>-4118.8673147489208</v>
      </c>
      <c r="AQ4138" s="110"/>
      <c r="AR4138" s="25"/>
      <c r="AS4138" s="97">
        <f ca="1">AS4136-AS4137</f>
        <v>-5674.5158200983469</v>
      </c>
      <c r="AT4138" s="110"/>
      <c r="AU4138" s="25"/>
    </row>
    <row r="4139" spans="15:47" ht="14.4" x14ac:dyDescent="0.3">
      <c r="O4139" s="2" t="s">
        <v>140</v>
      </c>
      <c r="P4139" s="11"/>
      <c r="Q4139" s="2"/>
      <c r="R4139" s="96">
        <f>R4138/R4136</f>
        <v>0.31940001069488411</v>
      </c>
      <c r="S4139" s="106"/>
      <c r="T4139" s="22"/>
      <c r="U4139" s="96">
        <f ca="1">U4138/U4136</f>
        <v>0.2653594379030812</v>
      </c>
      <c r="V4139" s="111"/>
      <c r="W4139" s="28"/>
      <c r="X4139" s="96">
        <f ca="1">X4138/X4136</f>
        <v>-0.53271997581321673</v>
      </c>
      <c r="Y4139" s="111"/>
      <c r="Z4139" s="28"/>
      <c r="AA4139" s="96">
        <f ca="1">AA4138/AA4136</f>
        <v>1.5800357327562684</v>
      </c>
      <c r="AB4139" s="111"/>
      <c r="AC4139" s="28"/>
      <c r="AD4139" s="96">
        <f ca="1">AD4138/AD4136</f>
        <v>1.1319246354853056</v>
      </c>
      <c r="AE4139" s="111"/>
      <c r="AF4139" s="28"/>
      <c r="AG4139" s="96">
        <f ca="1">AG4138/AG4136</f>
        <v>1.0560347685317566</v>
      </c>
      <c r="AH4139" s="111"/>
      <c r="AI4139" s="28"/>
      <c r="AJ4139" s="96">
        <f ca="1">AJ4138/AJ4136</f>
        <v>1.0303436511250124</v>
      </c>
      <c r="AK4139" s="111"/>
      <c r="AL4139" s="28"/>
      <c r="AM4139" s="96">
        <f ca="1">AM4138/AM4136</f>
        <v>1.0200797031088336</v>
      </c>
      <c r="AN4139" s="111"/>
      <c r="AO4139" s="28"/>
      <c r="AP4139" s="96">
        <f ca="1">AP4138/AP4136</f>
        <v>1.0147824492271464</v>
      </c>
      <c r="AQ4139" s="111"/>
      <c r="AR4139" s="28"/>
      <c r="AS4139" s="96">
        <f ca="1">AS4138/AS4136</f>
        <v>1.0106865849028721</v>
      </c>
      <c r="AT4139" s="111"/>
      <c r="AU4139" s="28"/>
    </row>
    <row r="4140" spans="15:47" x14ac:dyDescent="0.25">
      <c r="O4140" s="2" t="s">
        <v>21</v>
      </c>
      <c r="P4140" s="8">
        <v>12</v>
      </c>
      <c r="Q4140" s="2"/>
      <c r="R4140" s="96">
        <f ca="1">1-R4139/(3*F_GAMMA*R$29)</f>
        <v>0.83365354663196056</v>
      </c>
      <c r="S4140" s="106"/>
      <c r="T4140" s="22"/>
      <c r="U4140" s="96">
        <f ca="1">1-U4139/(3*F_GAMMA*U$29)</f>
        <v>0.8618304786242641</v>
      </c>
      <c r="V4140" s="111"/>
      <c r="W4140" s="28"/>
      <c r="X4140" s="96">
        <f ca="1">1-X4139/(3*F_GAMMA*X$29)</f>
        <v>1.2800228322928247</v>
      </c>
      <c r="Y4140" s="111"/>
      <c r="Z4140" s="28"/>
      <c r="AA4140" s="96">
        <f ca="1">1-AA4139/(3*F_GAMMA*AA$29)</f>
        <v>0.15775105606374384</v>
      </c>
      <c r="AB4140" s="111"/>
      <c r="AC4140" s="28"/>
      <c r="AD4140" s="96">
        <f ca="1">1-AD4139/(3*F_GAMMA*AD$29)</f>
        <v>0.37790642306776556</v>
      </c>
      <c r="AE4140" s="111"/>
      <c r="AF4140" s="28"/>
      <c r="AG4140" s="96">
        <f ca="1">1-AG4139/(3*F_GAMMA*AG$29)</f>
        <v>0.3847879706771935</v>
      </c>
      <c r="AH4140" s="111"/>
      <c r="AI4140" s="28"/>
      <c r="AJ4140" s="96">
        <f ca="1">1-AJ4139/(3*F_GAMMA*AJ$29)</f>
        <v>0.3542183357796177</v>
      </c>
      <c r="AK4140" s="111"/>
      <c r="AL4140" s="28"/>
      <c r="AM4140" s="96">
        <f ca="1">1-AM4139/(3*F_GAMMA*AM$29)</f>
        <v>0.2851555646825602</v>
      </c>
      <c r="AN4140" s="111"/>
      <c r="AO4140" s="28"/>
      <c r="AP4140" s="96">
        <f ca="1">1-AP4139/(3*F_GAMMA*AP$29)</f>
        <v>0.4272023743231802</v>
      </c>
      <c r="AQ4140" s="111"/>
      <c r="AR4140" s="28"/>
      <c r="AS4140" s="96">
        <f ca="1">1-AS4139/(3*F_GAMMA*AS$29)</f>
        <v>0.10564238981630014</v>
      </c>
      <c r="AT4140" s="111"/>
      <c r="AU4140" s="28"/>
    </row>
    <row r="4141" spans="15:47" x14ac:dyDescent="0.25">
      <c r="O4141" s="2" t="s">
        <v>57</v>
      </c>
      <c r="P4141" s="143">
        <v>7</v>
      </c>
      <c r="Q4141" s="2"/>
      <c r="R4141" s="96">
        <f ca="1">(R4134/(N_9*R$27*R4136*R4140))*SQRT(M*'Valve Sizing'!$W$6*'Valve Sizing'!$G$8/R4139)</f>
        <v>44.178467464221903</v>
      </c>
      <c r="S4141" s="107"/>
      <c r="T4141" s="22"/>
      <c r="U4141" s="96">
        <f ca="1">(U4134/(N_9*U$27*U4136*U4140))*SQRT(M*'Valve Sizing'!$W$6*'Valve Sizing'!$G$8/U4139)</f>
        <v>103.7614126435561</v>
      </c>
      <c r="V4141" s="111"/>
      <c r="W4141" s="28"/>
      <c r="X4141" s="96" t="e">
        <f ca="1">(X4134/(N_9*X$27*X4136*X4140))*SQRT(M*'Valve Sizing'!$W$6*'Valve Sizing'!$G$8/X4139)</f>
        <v>#NUM!</v>
      </c>
      <c r="Y4141" s="111"/>
      <c r="Z4141" s="28"/>
      <c r="AA4141" s="96">
        <f ca="1">(AA4134/(N_9*AA$27*AA4136*AA4140))*SQRT(M*'Valve Sizing'!$W$6*'Valve Sizing'!$G$8/AA4139)</f>
        <v>-882.00899126200886</v>
      </c>
      <c r="AB4141" s="111"/>
      <c r="AC4141" s="28"/>
      <c r="AD4141" s="96">
        <f ca="1">(AD4134/(N_9*AD$27*AD4136*AD4140))*SQRT(M*'Valve Sizing'!$W$6*'Valve Sizing'!$G$8/AD4139)</f>
        <v>-168.04098253419298</v>
      </c>
      <c r="AE4141" s="111"/>
      <c r="AF4141" s="28"/>
      <c r="AG4141" s="96">
        <f ca="1">(AG4134/(N_9*AG$27*AG4136*AG4140))*SQRT(M*'Valve Sizing'!$W$6*'Valve Sizing'!$G$8/AG4139)</f>
        <v>-108.30707902867074</v>
      </c>
      <c r="AH4141" s="111"/>
      <c r="AI4141" s="28"/>
      <c r="AJ4141" s="96">
        <f ca="1">(AJ4134/(N_9*AJ$27*AJ4136*AJ4140))*SQRT(M*'Valve Sizing'!$W$6*'Valve Sizing'!$G$8/AJ4139)</f>
        <v>-89.188422689943167</v>
      </c>
      <c r="AK4141" s="111"/>
      <c r="AL4141" s="28"/>
      <c r="AM4141" s="96">
        <f ca="1">(AM4134/(N_9*AM$27*AM4136*AM4140))*SQRT(M*'Valve Sizing'!$W$6*'Valve Sizing'!$G$8/AM4139)</f>
        <v>-95.390974615650265</v>
      </c>
      <c r="AN4141" s="111"/>
      <c r="AO4141" s="28"/>
      <c r="AP4141" s="96">
        <f ca="1">(AP4134/(N_9*AP$27*AP4136*AP4140))*SQRT(M*'Valve Sizing'!$W$6*'Valve Sizing'!$G$8/AP4139)</f>
        <v>-62.102951398162546</v>
      </c>
      <c r="AQ4141" s="111"/>
      <c r="AR4141" s="28"/>
      <c r="AS4141" s="96">
        <f ca="1">(AS4134/(N_9*AS$27*AS4136*AS4140))*SQRT(M*'Valve Sizing'!$W$6*'Valve Sizing'!$G$8/AS4139)</f>
        <v>-285.71132067609835</v>
      </c>
      <c r="AT4141" s="111"/>
      <c r="AU4141" s="28"/>
    </row>
    <row r="4142" spans="15:47" x14ac:dyDescent="0.25">
      <c r="O4142" s="2" t="s">
        <v>59</v>
      </c>
      <c r="P4142" s="143">
        <v>7</v>
      </c>
      <c r="Q4142" s="2"/>
      <c r="R4142" s="96">
        <f ca="1">(R4134/(N_9*R$27*R4136*0.667))*SQRT(M*'Valve Sizing'!$W$6*'Valve Sizing'!$G$8/R4143)</f>
        <v>39.006574668848103</v>
      </c>
      <c r="S4142" s="107"/>
      <c r="T4142" s="22"/>
      <c r="U4142" s="96">
        <f ca="1">(U4134/(N_9*U$27*U4136*0.667))*SQRT(M*'Valve Sizing'!$W$6*'Valve Sizing'!$G$8/U4143)</f>
        <v>86.317458494873563</v>
      </c>
      <c r="V4142" s="111"/>
      <c r="W4142" s="28"/>
      <c r="X4142" s="96">
        <f ca="1">(X4134/(N_9*X$27*X4136*0.667))*SQRT(M*'Valve Sizing'!$W$6*'Valve Sizing'!$G$8/X4143)</f>
        <v>444.08609269978587</v>
      </c>
      <c r="Y4142" s="111"/>
      <c r="Z4142" s="28"/>
      <c r="AA4142" s="96">
        <f ca="1">(AA4134/(N_9*AA$27*AA4136*0.667))*SQRT(M*'Valve Sizing'!$W$6*'Valve Sizing'!$G$8/AA4143)</f>
        <v>-331.58915551362009</v>
      </c>
      <c r="AB4142" s="111"/>
      <c r="AC4142" s="28"/>
      <c r="AD4142" s="96">
        <f ca="1">(AD4134/(N_9*AD$27*AD4136*0.667))*SQRT(M*'Valve Sizing'!$W$6*'Valve Sizing'!$G$8/AD4143)</f>
        <v>-130.06550686639878</v>
      </c>
      <c r="AE4142" s="111"/>
      <c r="AF4142" s="28"/>
      <c r="AG4142" s="96">
        <f ca="1">(AG4134/(N_9*AG$27*AG4136*0.667))*SQRT(M*'Valve Sizing'!$W$6*'Valve Sizing'!$G$8/AG4143)</f>
        <v>-84.883940587043355</v>
      </c>
      <c r="AH4142" s="111"/>
      <c r="AI4142" s="28"/>
      <c r="AJ4142" s="96">
        <f ca="1">(AJ4134/(N_9*AJ$27*AJ4136*0.667))*SQRT(M*'Valve Sizing'!$W$6*'Valve Sizing'!$G$8/AJ4143)</f>
        <v>-65.926067394665736</v>
      </c>
      <c r="AK4142" s="111"/>
      <c r="AL4142" s="28"/>
      <c r="AM4142" s="96">
        <f ca="1">(AM4134/(N_9*AM$27*AM4136*0.667))*SQRT(M*'Valve Sizing'!$W$6*'Valve Sizing'!$G$8/AM4143)</f>
        <v>-59.721361625061199</v>
      </c>
      <c r="AN4142" s="111"/>
      <c r="AO4142" s="28"/>
      <c r="AP4142" s="96">
        <f ca="1">(AP4134/(N_9*AP$27*AP4136*0.667))*SQRT(M*'Valve Sizing'!$W$6*'Valve Sizing'!$G$8/AP4143)</f>
        <v>-52.141232892822309</v>
      </c>
      <c r="AQ4142" s="111"/>
      <c r="AR4142" s="28"/>
      <c r="AS4142" s="96">
        <f ca="1">(AS4134/(N_9*AS$27*AS4136*0.667))*SQRT(M*'Valve Sizing'!$W$6*'Valve Sizing'!$G$8/AS4143)</f>
        <v>-74.123524715157814</v>
      </c>
      <c r="AT4142" s="111"/>
      <c r="AU4142" s="28"/>
    </row>
    <row r="4143" spans="15:47" ht="15.6" x14ac:dyDescent="0.35">
      <c r="O4143" s="2" t="s">
        <v>68</v>
      </c>
      <c r="P4143" s="143">
        <v>10</v>
      </c>
      <c r="Q4143" s="2"/>
      <c r="R4143" s="96">
        <f ca="1">F_GAMMA*R$29</f>
        <v>0.64002969751372984</v>
      </c>
      <c r="S4143" s="107"/>
      <c r="T4143" s="1"/>
      <c r="U4143" s="96">
        <f ca="1">F_GAMMA*U$29</f>
        <v>0.64017842058782071</v>
      </c>
      <c r="V4143" s="111"/>
      <c r="W4143" s="28"/>
      <c r="X4143" s="96">
        <f ca="1">F_GAMMA*X$29</f>
        <v>0.63413873724904268</v>
      </c>
      <c r="Y4143" s="111"/>
      <c r="Z4143" s="28"/>
      <c r="AA4143" s="96">
        <f ca="1">F_GAMMA*AA$29</f>
        <v>0.62532411750377137</v>
      </c>
      <c r="AB4143" s="111"/>
      <c r="AC4143" s="28"/>
      <c r="AD4143" s="96">
        <f ca="1">F_GAMMA*AD$29</f>
        <v>0.60651359509139569</v>
      </c>
      <c r="AE4143" s="111"/>
      <c r="AF4143" s="28"/>
      <c r="AG4143" s="96">
        <f ca="1">F_GAMMA*AG$29</f>
        <v>0.57217930198481592</v>
      </c>
      <c r="AH4143" s="111"/>
      <c r="AI4143" s="28"/>
      <c r="AJ4143" s="96">
        <f ca="1">F_GAMMA*AJ$29</f>
        <v>0.53183282018848232</v>
      </c>
      <c r="AK4143" s="111"/>
      <c r="AL4143" s="28"/>
      <c r="AM4143" s="96">
        <f ca="1">F_GAMMA*AM$29</f>
        <v>0.47566512503094399</v>
      </c>
      <c r="AN4143" s="111"/>
      <c r="AO4143" s="28"/>
      <c r="AP4143" s="96">
        <f ca="1">F_GAMMA*AP$29</f>
        <v>0.59054158265645496</v>
      </c>
      <c r="AQ4143" s="111"/>
      <c r="AR4143" s="28"/>
      <c r="AS4143" s="96">
        <f ca="1">F_GAMMA*AS$29</f>
        <v>0.3766899554102966</v>
      </c>
      <c r="AT4143" s="111"/>
      <c r="AU4143" s="28"/>
    </row>
    <row r="4144" spans="15:47" x14ac:dyDescent="0.25">
      <c r="O4144" s="2" t="s">
        <v>145</v>
      </c>
      <c r="P4144" s="12"/>
      <c r="Q4144" s="2"/>
      <c r="R4144" s="96">
        <f ca="1">IF(R4139&lt;R4143,R4141,R4142)</f>
        <v>44.178467464221903</v>
      </c>
      <c r="S4144" s="116"/>
      <c r="T4144" s="1"/>
      <c r="U4144" s="96">
        <f ca="1">IF(U4139&lt;U4143,U4141,U4142)</f>
        <v>103.7614126435561</v>
      </c>
      <c r="V4144" s="111"/>
      <c r="W4144" s="28"/>
      <c r="X4144" s="96" t="e">
        <f ca="1">IF(X4139&lt;X4143,X4141,X4142)</f>
        <v>#NUM!</v>
      </c>
      <c r="Y4144" s="111"/>
      <c r="Z4144" s="28"/>
      <c r="AA4144" s="96">
        <f ca="1">IF(AA4139&lt;AA4143,AA4141,AA4142)</f>
        <v>-331.58915551362009</v>
      </c>
      <c r="AB4144" s="111"/>
      <c r="AC4144" s="28"/>
      <c r="AD4144" s="96">
        <f ca="1">IF(AD4139&lt;AD4143,AD4141,AD4142)</f>
        <v>-130.06550686639878</v>
      </c>
      <c r="AE4144" s="111"/>
      <c r="AF4144" s="28"/>
      <c r="AG4144" s="96">
        <f ca="1">IF(AG4139&lt;AG4143,AG4141,AG4142)</f>
        <v>-84.883940587043355</v>
      </c>
      <c r="AH4144" s="111"/>
      <c r="AI4144" s="28"/>
      <c r="AJ4144" s="96">
        <f ca="1">IF(AJ4139&lt;AJ4143,AJ4141,AJ4142)</f>
        <v>-65.926067394665736</v>
      </c>
      <c r="AK4144" s="111"/>
      <c r="AL4144" s="28"/>
      <c r="AM4144" s="96">
        <f ca="1">IF(AM4139&lt;AM4143,AM4141,AM4142)</f>
        <v>-59.721361625061199</v>
      </c>
      <c r="AN4144" s="111"/>
      <c r="AO4144" s="28"/>
      <c r="AP4144" s="96">
        <f ca="1">IF(AP4139&lt;AP4143,AP4141,AP4142)</f>
        <v>-52.141232892822309</v>
      </c>
      <c r="AQ4144" s="111"/>
      <c r="AR4144" s="28"/>
      <c r="AS4144" s="96">
        <f ca="1">IF(AS4139&lt;AS4143,AS4141,AS4142)</f>
        <v>-74.123524715157814</v>
      </c>
      <c r="AT4144" s="111"/>
      <c r="AU4144" s="28"/>
    </row>
    <row r="4145" spans="15:47" x14ac:dyDescent="0.25">
      <c r="O4145" s="13" t="s">
        <v>143</v>
      </c>
      <c r="P4145" s="1"/>
      <c r="Q4145" s="1"/>
      <c r="R4145" s="113"/>
      <c r="S4145" s="106">
        <f ca="1">IF(R4138&lt;=0,Q_max,ABS(R$23-R4144))</f>
        <v>39.448467464221906</v>
      </c>
      <c r="T4145" s="7">
        <f>R4134</f>
        <v>105471.95348191474</v>
      </c>
      <c r="U4145" s="98"/>
      <c r="V4145" s="106">
        <f ca="1">IF(U4138&lt;=0,Q_max,ABS(U$23-U4144))</f>
        <v>92.161412643556105</v>
      </c>
      <c r="W4145" s="9">
        <f ca="1">U4134</f>
        <v>216112.77629384631</v>
      </c>
      <c r="X4145" s="98"/>
      <c r="Y4145" s="106">
        <f ca="1">IF(X4138&lt;=0,Q_max,ABS(X$23-X4144))</f>
        <v>236393</v>
      </c>
      <c r="Z4145" s="9">
        <f ca="1">X4134</f>
        <v>529180.80544210959</v>
      </c>
      <c r="AA4145" s="98"/>
      <c r="AB4145" s="106">
        <f ca="1">IF(AA4138&lt;=0,Q_max,ABS(AA$23-AA4144))</f>
        <v>236393</v>
      </c>
      <c r="AC4145" s="9">
        <f ca="1">AA4134</f>
        <v>1030709.1380278098</v>
      </c>
      <c r="AD4145" s="98"/>
      <c r="AE4145" s="106">
        <f ca="1">IF(AD4138&lt;=0,Q_max,ABS(AD$23-AD4144))</f>
        <v>236393</v>
      </c>
      <c r="AF4145" s="9">
        <f ca="1">AD4134</f>
        <v>1729209.3021198777</v>
      </c>
      <c r="AG4145" s="98"/>
      <c r="AH4145" s="106">
        <f ca="1">IF(AG4138&lt;=0,Q_max,ABS(AG$23-AG4144))</f>
        <v>236393</v>
      </c>
      <c r="AI4145" s="9">
        <f ca="1">AG4134</f>
        <v>2523828.073433666</v>
      </c>
      <c r="AJ4145" s="98"/>
      <c r="AK4145" s="106">
        <f ca="1">IF(AJ4138&lt;=0,Q_max,ABS(AJ$23-AJ4144))</f>
        <v>236393</v>
      </c>
      <c r="AL4145" s="9">
        <f ca="1">AJ4134</f>
        <v>3368058.34778644</v>
      </c>
      <c r="AM4145" s="98"/>
      <c r="AN4145" s="106">
        <f ca="1">IF(AM4138&lt;=0,Q_max,ABS(AM$23-AM4144))</f>
        <v>236393</v>
      </c>
      <c r="AO4145" s="9">
        <f ca="1">AM4134</f>
        <v>4109671.2499326197</v>
      </c>
      <c r="AP4145" s="98"/>
      <c r="AQ4145" s="106">
        <f ca="1">IF(AP4138&lt;=0,Q_max,ABS(AP$23-AP4144))</f>
        <v>236393</v>
      </c>
      <c r="AR4145" s="9">
        <f ca="1">AP4134</f>
        <v>4771200.7379483907</v>
      </c>
      <c r="AS4145" s="98"/>
      <c r="AT4145" s="106">
        <f ca="1">IF(AS4138&lt;=0,Q_max,ABS(AS$23-AS4144))</f>
        <v>236393</v>
      </c>
      <c r="AU4145" s="9">
        <f ca="1">AS4134</f>
        <v>5594608.0959624769</v>
      </c>
    </row>
    <row r="4146" spans="15:47" x14ac:dyDescent="0.25">
      <c r="O4146" s="21"/>
      <c r="P4146" s="14"/>
      <c r="Q4146" s="21"/>
      <c r="R4146" s="97"/>
      <c r="S4146" s="106"/>
      <c r="T4146" s="28"/>
      <c r="U4146" s="97"/>
      <c r="V4146" s="111"/>
      <c r="W4146" s="28"/>
      <c r="X4146" s="97"/>
      <c r="Y4146" s="111"/>
      <c r="Z4146" s="28"/>
      <c r="AA4146" s="97"/>
      <c r="AB4146" s="111"/>
      <c r="AC4146" s="28"/>
      <c r="AD4146" s="97"/>
      <c r="AE4146" s="111"/>
      <c r="AF4146" s="28"/>
      <c r="AG4146" s="97"/>
      <c r="AH4146" s="111"/>
      <c r="AI4146" s="28"/>
      <c r="AJ4146" s="97"/>
      <c r="AK4146" s="111"/>
      <c r="AL4146" s="28"/>
      <c r="AM4146" s="97"/>
      <c r="AN4146" s="111"/>
      <c r="AO4146" s="28"/>
      <c r="AP4146" s="97"/>
      <c r="AQ4146" s="111"/>
      <c r="AR4146" s="28"/>
      <c r="AS4146" s="97"/>
      <c r="AT4146" s="111"/>
      <c r="AU4146" s="28"/>
    </row>
    <row r="4147" spans="15:47" x14ac:dyDescent="0.25">
      <c r="O4147" s="1"/>
      <c r="P4147" s="1"/>
      <c r="Q4147" s="1"/>
      <c r="R4147" s="98"/>
      <c r="S4147" s="108" t="s">
        <v>137</v>
      </c>
      <c r="T4147" s="26" t="s">
        <v>146</v>
      </c>
      <c r="U4147" s="98"/>
      <c r="V4147" s="108" t="s">
        <v>137</v>
      </c>
      <c r="W4147" s="26" t="s">
        <v>146</v>
      </c>
      <c r="X4147" s="98"/>
      <c r="Y4147" s="108" t="s">
        <v>137</v>
      </c>
      <c r="Z4147" s="26" t="s">
        <v>146</v>
      </c>
      <c r="AA4147" s="98"/>
      <c r="AB4147" s="108" t="s">
        <v>137</v>
      </c>
      <c r="AC4147" s="26" t="s">
        <v>146</v>
      </c>
      <c r="AD4147" s="98"/>
      <c r="AE4147" s="108" t="s">
        <v>137</v>
      </c>
      <c r="AF4147" s="26" t="s">
        <v>146</v>
      </c>
      <c r="AG4147" s="98"/>
      <c r="AH4147" s="108" t="s">
        <v>137</v>
      </c>
      <c r="AI4147" s="26" t="s">
        <v>146</v>
      </c>
      <c r="AJ4147" s="98"/>
      <c r="AK4147" s="108" t="s">
        <v>137</v>
      </c>
      <c r="AL4147" s="26" t="s">
        <v>146</v>
      </c>
      <c r="AM4147" s="98"/>
      <c r="AN4147" s="108" t="s">
        <v>137</v>
      </c>
      <c r="AO4147" s="26" t="s">
        <v>146</v>
      </c>
      <c r="AP4147" s="98"/>
      <c r="AQ4147" s="108" t="s">
        <v>137</v>
      </c>
      <c r="AR4147" s="26" t="s">
        <v>146</v>
      </c>
      <c r="AS4147" s="98"/>
      <c r="AT4147" s="108" t="s">
        <v>137</v>
      </c>
      <c r="AU4147" s="26" t="s">
        <v>146</v>
      </c>
    </row>
    <row r="4148" spans="15:47" ht="13.8" x14ac:dyDescent="0.25">
      <c r="O4148" s="20" t="s">
        <v>136</v>
      </c>
      <c r="P4148" s="1"/>
      <c r="Q4148" s="1"/>
      <c r="R4148" s="96">
        <f>R4134*1.02</f>
        <v>107581.39255155303</v>
      </c>
      <c r="S4148" s="109" t="s">
        <v>144</v>
      </c>
      <c r="T4148" s="23" t="s">
        <v>147</v>
      </c>
      <c r="U4148" s="96">
        <f ca="1">U4134*1.01</f>
        <v>218273.90405678478</v>
      </c>
      <c r="V4148" s="109" t="s">
        <v>144</v>
      </c>
      <c r="W4148" s="23" t="s">
        <v>147</v>
      </c>
      <c r="X4148" s="96">
        <f ca="1">X4134*1.01</f>
        <v>534472.61349653068</v>
      </c>
      <c r="Y4148" s="109" t="s">
        <v>144</v>
      </c>
      <c r="Z4148" s="23" t="s">
        <v>147</v>
      </c>
      <c r="AA4148" s="96">
        <f ca="1">AA4134*1.01</f>
        <v>1041016.2294080879</v>
      </c>
      <c r="AB4148" s="109" t="s">
        <v>144</v>
      </c>
      <c r="AC4148" s="23" t="s">
        <v>147</v>
      </c>
      <c r="AD4148" s="96">
        <f ca="1">AD4134*1.01</f>
        <v>1746501.3951410765</v>
      </c>
      <c r="AE4148" s="109" t="s">
        <v>144</v>
      </c>
      <c r="AF4148" s="23" t="s">
        <v>147</v>
      </c>
      <c r="AG4148" s="96">
        <f ca="1">AG4134*1.01</f>
        <v>2549066.3541680025</v>
      </c>
      <c r="AH4148" s="109" t="s">
        <v>144</v>
      </c>
      <c r="AI4148" s="23" t="s">
        <v>147</v>
      </c>
      <c r="AJ4148" s="96">
        <f ca="1">AJ4134*1.01</f>
        <v>3401738.9312643046</v>
      </c>
      <c r="AK4148" s="109" t="s">
        <v>144</v>
      </c>
      <c r="AL4148" s="23" t="s">
        <v>147</v>
      </c>
      <c r="AM4148" s="96">
        <f ca="1">AM4134*1.01</f>
        <v>4150767.9624319458</v>
      </c>
      <c r="AN4148" s="109" t="s">
        <v>144</v>
      </c>
      <c r="AO4148" s="23" t="s">
        <v>147</v>
      </c>
      <c r="AP4148" s="96">
        <f ca="1">AP4134*1.01</f>
        <v>4818912.745327875</v>
      </c>
      <c r="AQ4148" s="109" t="s">
        <v>144</v>
      </c>
      <c r="AR4148" s="23" t="s">
        <v>147</v>
      </c>
      <c r="AS4148" s="96">
        <f ca="1">AS4134*1.01</f>
        <v>5650554.1769221015</v>
      </c>
      <c r="AT4148" s="109" t="s">
        <v>144</v>
      </c>
      <c r="AU4148" s="23" t="s">
        <v>147</v>
      </c>
    </row>
    <row r="4149" spans="15:47" x14ac:dyDescent="0.25">
      <c r="O4149" s="1"/>
      <c r="P4149" s="1"/>
      <c r="Q4149" s="1"/>
      <c r="R4149" s="98"/>
      <c r="S4149" s="107"/>
      <c r="T4149" s="1"/>
      <c r="U4149" s="47"/>
      <c r="V4149" s="107"/>
      <c r="W4149" s="1"/>
      <c r="X4149" s="47"/>
      <c r="Y4149" s="107"/>
      <c r="Z4149" s="1"/>
      <c r="AA4149" s="47"/>
      <c r="AB4149" s="107"/>
      <c r="AC4149" s="1"/>
      <c r="AD4149" s="47"/>
      <c r="AE4149" s="107"/>
      <c r="AF4149" s="1"/>
      <c r="AG4149" s="47"/>
      <c r="AH4149" s="107"/>
      <c r="AI4149" s="1"/>
      <c r="AJ4149" s="47"/>
      <c r="AK4149" s="107"/>
      <c r="AL4149" s="1"/>
      <c r="AM4149" s="47"/>
      <c r="AN4149" s="107"/>
      <c r="AO4149" s="1"/>
      <c r="AP4149" s="47"/>
      <c r="AQ4149" s="107"/>
      <c r="AR4149" s="1"/>
      <c r="AS4149" s="47"/>
      <c r="AT4149" s="107"/>
      <c r="AU4149" s="1"/>
    </row>
    <row r="4150" spans="15:47" x14ac:dyDescent="0.25">
      <c r="O4150" s="8" t="s">
        <v>132</v>
      </c>
      <c r="P4150" s="8"/>
      <c r="Q4150" s="8"/>
      <c r="R4150" s="96">
        <f>P_1_minQ-(R4148^2*R_up)+dpup_minQ</f>
        <v>88.075597211424068</v>
      </c>
      <c r="S4150" s="106"/>
      <c r="T4150" s="22"/>
      <c r="U4150" s="96">
        <f ca="1">P_1_minQ-(U4148^2*R_up)+dpup_minQ</f>
        <v>81.501493319200335</v>
      </c>
      <c r="V4150" s="107"/>
      <c r="W4150" s="1"/>
      <c r="X4150" s="96">
        <f ca="1">P_1_minQ-(X4148^2*R_up)+dpup_minQ</f>
        <v>38.120211009112111</v>
      </c>
      <c r="Y4150" s="107"/>
      <c r="Z4150" s="1"/>
      <c r="AA4150" s="96">
        <f ca="1">P_1_minQ-(AA4148^2*R_up)+dpup_minQ</f>
        <v>-107.33380455738202</v>
      </c>
      <c r="AB4150" s="107"/>
      <c r="AC4150" s="1"/>
      <c r="AD4150" s="96">
        <f ca="1">P_1_minQ-(AD4148^2*R_up)+dpup_minQ</f>
        <v>-465.75942475632229</v>
      </c>
      <c r="AE4150" s="107"/>
      <c r="AF4150" s="1"/>
      <c r="AG4150" s="96">
        <f ca="1">P_1_minQ-(AG4148^2*R_up)+dpup_minQ</f>
        <v>-1094.0988410162715</v>
      </c>
      <c r="AH4150" s="107"/>
      <c r="AI4150" s="1"/>
      <c r="AJ4150" s="96">
        <f ca="1">P_1_minQ-(AJ4148^2*R_up)+dpup_minQ</f>
        <v>-2018.9068306277125</v>
      </c>
      <c r="AK4150" s="107"/>
      <c r="AL4150" s="1"/>
      <c r="AM4150" s="96">
        <f ca="1">P_1_minQ-(AM4148^2*R_up)+dpup_minQ</f>
        <v>-3049.9653572425632</v>
      </c>
      <c r="AN4150" s="107"/>
      <c r="AO4150" s="1"/>
      <c r="AP4150" s="96">
        <f ca="1">P_1_minQ-(AP4148^2*R_up)+dpup_minQ</f>
        <v>-4142.263267090033</v>
      </c>
      <c r="AQ4150" s="107"/>
      <c r="AR4150" s="1"/>
      <c r="AS4150" s="96">
        <f ca="1">P_1_minQ-(AS4148^2*R_up)+dpup_minQ</f>
        <v>-5729.1803073969822</v>
      </c>
      <c r="AT4150" s="107"/>
      <c r="AU4150" s="1"/>
    </row>
    <row r="4151" spans="15:47" x14ac:dyDescent="0.25">
      <c r="O4151" s="8" t="s">
        <v>134</v>
      </c>
      <c r="P4151" s="1"/>
      <c r="Q4151" s="8"/>
      <c r="R4151" s="97">
        <f>P_2_minQ+(R4148^2*R_dn)-dpdn_minQ</f>
        <v>60</v>
      </c>
      <c r="S4151" s="106"/>
      <c r="T4151" s="22"/>
      <c r="U4151" s="97">
        <f ca="1">P_2_minQ+(U4148^2*R_dn)-dpdn_minQ</f>
        <v>60</v>
      </c>
      <c r="V4151" s="107"/>
      <c r="W4151" s="1"/>
      <c r="X4151" s="97">
        <f ca="1">P_2_minQ+(X4148^2*R_dn)-dpdn_minQ</f>
        <v>60</v>
      </c>
      <c r="Y4151" s="107"/>
      <c r="Z4151" s="1"/>
      <c r="AA4151" s="97">
        <f ca="1">P_2_minQ+(AA4148^2*R_dn)-dpdn_minQ</f>
        <v>60</v>
      </c>
      <c r="AB4151" s="107"/>
      <c r="AC4151" s="1"/>
      <c r="AD4151" s="97">
        <f ca="1">P_2_minQ+(AD4148^2*R_dn)-dpdn_minQ</f>
        <v>60</v>
      </c>
      <c r="AE4151" s="107"/>
      <c r="AF4151" s="1"/>
      <c r="AG4151" s="97">
        <f ca="1">P_2_minQ+(AG4148^2*R_dn)-dpdn_minQ</f>
        <v>60</v>
      </c>
      <c r="AH4151" s="107"/>
      <c r="AI4151" s="1"/>
      <c r="AJ4151" s="97">
        <f ca="1">P_2_minQ+(AJ4148^2*R_dn)-dpdn_minQ</f>
        <v>60</v>
      </c>
      <c r="AK4151" s="107"/>
      <c r="AL4151" s="1"/>
      <c r="AM4151" s="97">
        <f ca="1">P_2_minQ+(AM4148^2*R_dn)-dpdn_minQ</f>
        <v>60</v>
      </c>
      <c r="AN4151" s="107"/>
      <c r="AO4151" s="1"/>
      <c r="AP4151" s="97">
        <f ca="1">P_2_minQ+(AP4148^2*R_dn)-dpdn_minQ</f>
        <v>60</v>
      </c>
      <c r="AQ4151" s="107"/>
      <c r="AR4151" s="1"/>
      <c r="AS4151" s="97">
        <f ca="1">P_2_minQ+(AS4148^2*R_dn)-dpdn_minQ</f>
        <v>60</v>
      </c>
      <c r="AT4151" s="107"/>
      <c r="AU4151" s="1"/>
    </row>
    <row r="4152" spans="15:47" x14ac:dyDescent="0.25">
      <c r="O4152" s="8" t="s">
        <v>138</v>
      </c>
      <c r="P4152" s="1"/>
      <c r="Q4152" s="8"/>
      <c r="R4152" s="97">
        <f>R4150-R4151</f>
        <v>28.075597211424068</v>
      </c>
      <c r="S4152" s="106"/>
      <c r="T4152" s="22"/>
      <c r="U4152" s="97">
        <f ca="1">U4150-U4151</f>
        <v>21.501493319200335</v>
      </c>
      <c r="V4152" s="110"/>
      <c r="W4152" s="25"/>
      <c r="X4152" s="97">
        <f ca="1">X4150-X4151</f>
        <v>-21.879788990887889</v>
      </c>
      <c r="Y4152" s="110"/>
      <c r="Z4152" s="25"/>
      <c r="AA4152" s="97">
        <f ca="1">AA4150-AA4151</f>
        <v>-167.33380455738202</v>
      </c>
      <c r="AB4152" s="110"/>
      <c r="AC4152" s="25"/>
      <c r="AD4152" s="97">
        <f ca="1">AD4150-AD4151</f>
        <v>-525.75942475632223</v>
      </c>
      <c r="AE4152" s="110"/>
      <c r="AF4152" s="25"/>
      <c r="AG4152" s="97">
        <f ca="1">AG4150-AG4151</f>
        <v>-1154.0988410162715</v>
      </c>
      <c r="AH4152" s="110"/>
      <c r="AI4152" s="25"/>
      <c r="AJ4152" s="97">
        <f ca="1">AJ4150-AJ4151</f>
        <v>-2078.9068306277122</v>
      </c>
      <c r="AK4152" s="110"/>
      <c r="AL4152" s="25"/>
      <c r="AM4152" s="97">
        <f ca="1">AM4150-AM4151</f>
        <v>-3109.9653572425632</v>
      </c>
      <c r="AN4152" s="110"/>
      <c r="AO4152" s="25"/>
      <c r="AP4152" s="97">
        <f ca="1">AP4150-AP4151</f>
        <v>-4202.263267090033</v>
      </c>
      <c r="AQ4152" s="110"/>
      <c r="AR4152" s="25"/>
      <c r="AS4152" s="97">
        <f ca="1">AS4150-AS4151</f>
        <v>-5789.1803073969822</v>
      </c>
      <c r="AT4152" s="110"/>
      <c r="AU4152" s="25"/>
    </row>
    <row r="4153" spans="15:47" ht="14.4" x14ac:dyDescent="0.3">
      <c r="O4153" s="2" t="s">
        <v>140</v>
      </c>
      <c r="P4153" s="11"/>
      <c r="Q4153" s="2"/>
      <c r="R4153" s="96">
        <f>R4152/R4150</f>
        <v>0.31876703763959774</v>
      </c>
      <c r="S4153" s="106"/>
      <c r="T4153" s="22"/>
      <c r="U4153" s="96">
        <f ca="1">U4152/U4150</f>
        <v>0.26381717001171751</v>
      </c>
      <c r="V4153" s="111"/>
      <c r="W4153" s="28"/>
      <c r="X4153" s="96">
        <f ca="1">X4152/X4150</f>
        <v>-0.57396820247552738</v>
      </c>
      <c r="Y4153" s="111"/>
      <c r="Z4153" s="28"/>
      <c r="AA4153" s="96">
        <f ca="1">AA4152/AA4150</f>
        <v>1.5590037569936621</v>
      </c>
      <c r="AB4153" s="111"/>
      <c r="AC4153" s="28"/>
      <c r="AD4153" s="96">
        <f ca="1">AD4152/AD4150</f>
        <v>1.1288218698556469</v>
      </c>
      <c r="AE4153" s="111"/>
      <c r="AF4153" s="28"/>
      <c r="AG4153" s="96">
        <f ca="1">AG4152/AG4150</f>
        <v>1.054839652278827</v>
      </c>
      <c r="AH4153" s="111"/>
      <c r="AI4153" s="28"/>
      <c r="AJ4153" s="96">
        <f ca="1">AJ4152/AJ4150</f>
        <v>1.0297190534450491</v>
      </c>
      <c r="AK4153" s="111"/>
      <c r="AL4153" s="28"/>
      <c r="AM4153" s="96">
        <f ca="1">AM4152/AM4150</f>
        <v>1.0196723545916748</v>
      </c>
      <c r="AN4153" s="111"/>
      <c r="AO4153" s="28"/>
      <c r="AP4153" s="96">
        <f ca="1">AP4152/AP4150</f>
        <v>1.0144848350119837</v>
      </c>
      <c r="AQ4153" s="111"/>
      <c r="AR4153" s="28"/>
      <c r="AS4153" s="96">
        <f ca="1">AS4152/AS4150</f>
        <v>1.0104727023379825</v>
      </c>
      <c r="AT4153" s="111"/>
      <c r="AU4153" s="28"/>
    </row>
    <row r="4154" spans="15:47" x14ac:dyDescent="0.25">
      <c r="O4154" s="2" t="s">
        <v>21</v>
      </c>
      <c r="P4154" s="8">
        <v>12</v>
      </c>
      <c r="Q4154" s="2"/>
      <c r="R4154" s="96">
        <f ca="1">1-R4153/(3*F_GAMMA*R$29)</f>
        <v>0.83398320480133681</v>
      </c>
      <c r="S4154" s="106"/>
      <c r="T4154" s="22"/>
      <c r="U4154" s="96">
        <f ca="1">1-U4153/(3*F_GAMMA*U$29)</f>
        <v>0.86263351927760135</v>
      </c>
      <c r="V4154" s="111"/>
      <c r="W4154" s="28"/>
      <c r="X4154" s="96">
        <f ca="1">1-X4153/(3*F_GAMMA*X$29)</f>
        <v>1.3017048524562407</v>
      </c>
      <c r="Y4154" s="111"/>
      <c r="Z4154" s="28"/>
      <c r="AA4154" s="96">
        <f ca="1">1-AA4153/(3*F_GAMMA*AA$29)</f>
        <v>0.16896229578934607</v>
      </c>
      <c r="AB4154" s="111"/>
      <c r="AC4154" s="28"/>
      <c r="AD4154" s="96">
        <f ca="1">1-AD4153/(3*F_GAMMA*AD$29)</f>
        <v>0.37961166960841464</v>
      </c>
      <c r="AE4154" s="111"/>
      <c r="AF4154" s="28"/>
      <c r="AG4154" s="96">
        <f ca="1">1-AG4153/(3*F_GAMMA*AG$29)</f>
        <v>0.38548420712427911</v>
      </c>
      <c r="AH4154" s="111"/>
      <c r="AI4154" s="28"/>
      <c r="AJ4154" s="96">
        <f ca="1">1-AJ4153/(3*F_GAMMA*AJ$29)</f>
        <v>0.35460981072954767</v>
      </c>
      <c r="AK4154" s="111"/>
      <c r="AL4154" s="28"/>
      <c r="AM4154" s="96">
        <f ca="1">1-AM4153/(3*F_GAMMA*AM$29)</f>
        <v>0.28544102357350598</v>
      </c>
      <c r="AN4154" s="111"/>
      <c r="AO4154" s="28"/>
      <c r="AP4154" s="96">
        <f ca="1">1-AP4153/(3*F_GAMMA*AP$29)</f>
        <v>0.42737036374391046</v>
      </c>
      <c r="AQ4154" s="111"/>
      <c r="AR4154" s="28"/>
      <c r="AS4154" s="96">
        <f ca="1">1-AS4153/(3*F_GAMMA*AS$29)</f>
        <v>0.10583165472042766</v>
      </c>
      <c r="AT4154" s="111"/>
      <c r="AU4154" s="28"/>
    </row>
    <row r="4155" spans="15:47" x14ac:dyDescent="0.25">
      <c r="O4155" s="2" t="s">
        <v>57</v>
      </c>
      <c r="P4155" s="143">
        <v>7</v>
      </c>
      <c r="Q4155" s="2"/>
      <c r="R4155" s="96">
        <f ca="1">(R4148/(N_9*R$27*R4150*R4154))*SQRT(M*'Valve Sizing'!$W$6*'Valve Sizing'!$G$8/R4153)</f>
        <v>45.130858111840681</v>
      </c>
      <c r="S4155" s="107"/>
      <c r="T4155" s="22"/>
      <c r="U4155" s="96">
        <f ca="1">(U4148/(N_9*U$27*U4150*U4154))*SQRT(M*'Valve Sizing'!$W$6*'Valve Sizing'!$G$8/U4153)</f>
        <v>105.22750909935229</v>
      </c>
      <c r="V4155" s="111"/>
      <c r="W4155" s="28"/>
      <c r="X4155" s="96" t="e">
        <f ca="1">(X4148/(N_9*X$27*X4150*X4154))*SQRT(M*'Valve Sizing'!$W$6*'Valve Sizing'!$G$8/X4153)</f>
        <v>#NUM!</v>
      </c>
      <c r="Y4155" s="111"/>
      <c r="Z4155" s="28"/>
      <c r="AA4155" s="96">
        <f ca="1">(AA4148/(N_9*AA$27*AA4150*AA4154))*SQRT(M*'Valve Sizing'!$W$6*'Valve Sizing'!$G$8/AA4153)</f>
        <v>-806.95015792555694</v>
      </c>
      <c r="AB4155" s="111"/>
      <c r="AC4155" s="28"/>
      <c r="AD4155" s="96">
        <f ca="1">(AD4148/(N_9*AD$27*AD4150*AD4154))*SQRT(M*'Valve Sizing'!$W$6*'Valve Sizing'!$G$8/AD4153)</f>
        <v>-165.21179481007371</v>
      </c>
      <c r="AE4155" s="111"/>
      <c r="AF4155" s="28"/>
      <c r="AG4155" s="96">
        <f ca="1">(AG4148/(N_9*AG$27*AG4150*AG4154))*SQRT(M*'Valve Sizing'!$W$6*'Valve Sizing'!$G$8/AG4153)</f>
        <v>-106.9242244016115</v>
      </c>
      <c r="AH4155" s="111"/>
      <c r="AI4155" s="28"/>
      <c r="AJ4155" s="96">
        <f ca="1">(AJ4148/(N_9*AJ$27*AJ4150*AJ4154))*SQRT(M*'Valve Sizing'!$W$6*'Valve Sizing'!$G$8/AJ4153)</f>
        <v>-88.15540816490639</v>
      </c>
      <c r="AK4155" s="111"/>
      <c r="AL4155" s="28"/>
      <c r="AM4155" s="96">
        <f ca="1">(AM4148/(N_9*AM$27*AM4150*AM4154))*SQRT(M*'Valve Sizing'!$W$6*'Valve Sizing'!$G$8/AM4153)</f>
        <v>-94.31481305915996</v>
      </c>
      <c r="AN4155" s="111"/>
      <c r="AO4155" s="28"/>
      <c r="AP4155" s="96">
        <f ca="1">(AP4148/(N_9*AP$27*AP4150*AP4154))*SQRT(M*'Valve Sizing'!$W$6*'Valve Sizing'!$G$8/AP4153)</f>
        <v>-61.446014652880031</v>
      </c>
      <c r="AQ4155" s="111"/>
      <c r="AR4155" s="28"/>
      <c r="AS4155" s="96">
        <f ca="1">(AS4148/(N_9*AS$27*AS4150*AS4154))*SQRT(M*'Valve Sizing'!$W$6*'Valve Sizing'!$G$8/AS4153)</f>
        <v>-282.31712991774475</v>
      </c>
      <c r="AT4155" s="111"/>
      <c r="AU4155" s="28"/>
    </row>
    <row r="4156" spans="15:47" x14ac:dyDescent="0.25">
      <c r="O4156" s="2" t="s">
        <v>59</v>
      </c>
      <c r="P4156" s="143">
        <v>7</v>
      </c>
      <c r="Q4156" s="2"/>
      <c r="R4156" s="96">
        <f ca="1">(R4148/(N_9*R$27*R4150*0.667))*SQRT(M*'Valve Sizing'!$W$6*'Valve Sizing'!$G$8/R4157)</f>
        <v>39.823708679643559</v>
      </c>
      <c r="S4156" s="107"/>
      <c r="T4156" s="22"/>
      <c r="U4156" s="96">
        <f ca="1">(U4148/(N_9*U$27*U4150*0.667))*SQRT(M*'Valve Sizing'!$W$6*'Valve Sizing'!$G$8/U4157)</f>
        <v>87.363655768855409</v>
      </c>
      <c r="V4156" s="111"/>
      <c r="W4156" s="28"/>
      <c r="X4156" s="96">
        <f ca="1">(X4148/(N_9*X$27*X4150*0.667))*SQRT(M*'Valve Sizing'!$W$6*'Valve Sizing'!$G$8/X4157)</f>
        <v>460.59761345982793</v>
      </c>
      <c r="Y4156" s="111"/>
      <c r="Z4156" s="28"/>
      <c r="AA4156" s="96">
        <f ca="1">(AA4148/(N_9*AA$27*AA4150*0.667))*SQRT(M*'Valve Sizing'!$W$6*'Valve Sizing'!$G$8/AA4157)</f>
        <v>-322.7614592948554</v>
      </c>
      <c r="AB4156" s="111"/>
      <c r="AC4156" s="28"/>
      <c r="AD4156" s="96">
        <f ca="1">(AD4148/(N_9*AD$27*AD4150*0.667))*SQRT(M*'Valve Sizing'!$W$6*'Valve Sizing'!$G$8/AD4157)</f>
        <v>-128.27653117237122</v>
      </c>
      <c r="AE4156" s="111"/>
      <c r="AF4156" s="28"/>
      <c r="AG4156" s="96">
        <f ca="1">(AG4148/(N_9*AG$27*AG4150*0.667))*SQRT(M*'Valve Sizing'!$W$6*'Valve Sizing'!$G$8/AG4157)</f>
        <v>-83.904260995457861</v>
      </c>
      <c r="AH4156" s="111"/>
      <c r="AI4156" s="28"/>
      <c r="AJ4156" s="96">
        <f ca="1">(AJ4148/(N_9*AJ$27*AJ4150*0.667))*SQRT(M*'Valve Sizing'!$W$6*'Valve Sizing'!$G$8/AJ4157)</f>
        <v>-65.214726974502454</v>
      </c>
      <c r="AK4156" s="111"/>
      <c r="AL4156" s="28"/>
      <c r="AM4156" s="96">
        <f ca="1">(AM4148/(N_9*AM$27*AM4150*0.667))*SQRT(M*'Valve Sizing'!$W$6*'Valve Sizing'!$G$8/AM4157)</f>
        <v>-59.094917598143709</v>
      </c>
      <c r="AN4156" s="111"/>
      <c r="AO4156" s="28"/>
      <c r="AP4156" s="96">
        <f ca="1">(AP4148/(N_9*AP$27*AP4150*0.667))*SQRT(M*'Valve Sizing'!$W$6*'Valve Sizing'!$G$8/AP4157)</f>
        <v>-51.602391160652353</v>
      </c>
      <c r="AQ4156" s="111"/>
      <c r="AR4156" s="28"/>
      <c r="AS4156" s="96">
        <f ca="1">(AS4148/(N_9*AS$27*AS4150*0.667))*SQRT(M*'Valve Sizing'!$W$6*'Valve Sizing'!$G$8/AS4157)</f>
        <v>-73.366407867031413</v>
      </c>
      <c r="AT4156" s="111"/>
      <c r="AU4156" s="28"/>
    </row>
    <row r="4157" spans="15:47" ht="15.6" x14ac:dyDescent="0.35">
      <c r="O4157" s="2" t="s">
        <v>68</v>
      </c>
      <c r="P4157" s="143">
        <v>10</v>
      </c>
      <c r="Q4157" s="2"/>
      <c r="R4157" s="96">
        <f ca="1">F_GAMMA*R$29</f>
        <v>0.64002969751372984</v>
      </c>
      <c r="S4157" s="107"/>
      <c r="T4157" s="1"/>
      <c r="U4157" s="96">
        <f ca="1">F_GAMMA*U$29</f>
        <v>0.64017842058782071</v>
      </c>
      <c r="V4157" s="111"/>
      <c r="W4157" s="28"/>
      <c r="X4157" s="96">
        <f ca="1">F_GAMMA*X$29</f>
        <v>0.63413873724904268</v>
      </c>
      <c r="Y4157" s="111"/>
      <c r="Z4157" s="28"/>
      <c r="AA4157" s="96">
        <f ca="1">F_GAMMA*AA$29</f>
        <v>0.62532411750377137</v>
      </c>
      <c r="AB4157" s="111"/>
      <c r="AC4157" s="28"/>
      <c r="AD4157" s="96">
        <f ca="1">F_GAMMA*AD$29</f>
        <v>0.60651359509139569</v>
      </c>
      <c r="AE4157" s="111"/>
      <c r="AF4157" s="28"/>
      <c r="AG4157" s="96">
        <f ca="1">F_GAMMA*AG$29</f>
        <v>0.57217930198481592</v>
      </c>
      <c r="AH4157" s="111"/>
      <c r="AI4157" s="28"/>
      <c r="AJ4157" s="96">
        <f ca="1">F_GAMMA*AJ$29</f>
        <v>0.53183282018848232</v>
      </c>
      <c r="AK4157" s="111"/>
      <c r="AL4157" s="28"/>
      <c r="AM4157" s="96">
        <f ca="1">F_GAMMA*AM$29</f>
        <v>0.47566512503094399</v>
      </c>
      <c r="AN4157" s="111"/>
      <c r="AO4157" s="28"/>
      <c r="AP4157" s="96">
        <f ca="1">F_GAMMA*AP$29</f>
        <v>0.59054158265645496</v>
      </c>
      <c r="AQ4157" s="111"/>
      <c r="AR4157" s="28"/>
      <c r="AS4157" s="96">
        <f ca="1">F_GAMMA*AS$29</f>
        <v>0.3766899554102966</v>
      </c>
      <c r="AT4157" s="111"/>
      <c r="AU4157" s="28"/>
    </row>
    <row r="4158" spans="15:47" x14ac:dyDescent="0.25">
      <c r="O4158" s="2" t="s">
        <v>145</v>
      </c>
      <c r="P4158" s="12"/>
      <c r="Q4158" s="2"/>
      <c r="R4158" s="96">
        <f ca="1">IF(R4153&lt;R4157,R4155,R4156)</f>
        <v>45.130858111840681</v>
      </c>
      <c r="S4158" s="116"/>
      <c r="T4158" s="1"/>
      <c r="U4158" s="96">
        <f ca="1">IF(U4153&lt;U4157,U4155,U4156)</f>
        <v>105.22750909935229</v>
      </c>
      <c r="V4158" s="111"/>
      <c r="W4158" s="28"/>
      <c r="X4158" s="96" t="e">
        <f ca="1">IF(X4153&lt;X4157,X4155,X4156)</f>
        <v>#NUM!</v>
      </c>
      <c r="Y4158" s="111"/>
      <c r="Z4158" s="28"/>
      <c r="AA4158" s="96">
        <f ca="1">IF(AA4153&lt;AA4157,AA4155,AA4156)</f>
        <v>-322.7614592948554</v>
      </c>
      <c r="AB4158" s="111"/>
      <c r="AC4158" s="28"/>
      <c r="AD4158" s="96">
        <f ca="1">IF(AD4153&lt;AD4157,AD4155,AD4156)</f>
        <v>-128.27653117237122</v>
      </c>
      <c r="AE4158" s="111"/>
      <c r="AF4158" s="28"/>
      <c r="AG4158" s="96">
        <f ca="1">IF(AG4153&lt;AG4157,AG4155,AG4156)</f>
        <v>-83.904260995457861</v>
      </c>
      <c r="AH4158" s="111"/>
      <c r="AI4158" s="28"/>
      <c r="AJ4158" s="96">
        <f ca="1">IF(AJ4153&lt;AJ4157,AJ4155,AJ4156)</f>
        <v>-65.214726974502454</v>
      </c>
      <c r="AK4158" s="111"/>
      <c r="AL4158" s="28"/>
      <c r="AM4158" s="96">
        <f ca="1">IF(AM4153&lt;AM4157,AM4155,AM4156)</f>
        <v>-59.094917598143709</v>
      </c>
      <c r="AN4158" s="111"/>
      <c r="AO4158" s="28"/>
      <c r="AP4158" s="96">
        <f ca="1">IF(AP4153&lt;AP4157,AP4155,AP4156)</f>
        <v>-51.602391160652353</v>
      </c>
      <c r="AQ4158" s="111"/>
      <c r="AR4158" s="28"/>
      <c r="AS4158" s="96">
        <f ca="1">IF(AS4153&lt;AS4157,AS4155,AS4156)</f>
        <v>-73.366407867031413</v>
      </c>
      <c r="AT4158" s="111"/>
      <c r="AU4158" s="28"/>
    </row>
    <row r="4159" spans="15:47" x14ac:dyDescent="0.25">
      <c r="O4159" s="13" t="s">
        <v>143</v>
      </c>
      <c r="P4159" s="1"/>
      <c r="Q4159" s="1"/>
      <c r="R4159" s="113"/>
      <c r="S4159" s="106">
        <f ca="1">IF(R4152&lt;=0,Q_max,ABS(R$23-R4158))</f>
        <v>40.400858111840677</v>
      </c>
      <c r="T4159" s="7">
        <f>R4148</f>
        <v>107581.39255155303</v>
      </c>
      <c r="U4159" s="98"/>
      <c r="V4159" s="106">
        <f ca="1">IF(U4152&lt;=0,Q_max,ABS(U$23-U4158))</f>
        <v>93.627509099352295</v>
      </c>
      <c r="W4159" s="9">
        <f ca="1">U4148</f>
        <v>218273.90405678478</v>
      </c>
      <c r="X4159" s="98"/>
      <c r="Y4159" s="106">
        <f ca="1">IF(X4152&lt;=0,Q_max,ABS(X$23-X4158))</f>
        <v>236393</v>
      </c>
      <c r="Z4159" s="9">
        <f ca="1">X4148</f>
        <v>534472.61349653068</v>
      </c>
      <c r="AA4159" s="98"/>
      <c r="AB4159" s="106">
        <f ca="1">IF(AA4152&lt;=0,Q_max,ABS(AA$23-AA4158))</f>
        <v>236393</v>
      </c>
      <c r="AC4159" s="9">
        <f ca="1">AA4148</f>
        <v>1041016.2294080879</v>
      </c>
      <c r="AD4159" s="98"/>
      <c r="AE4159" s="106">
        <f ca="1">IF(AD4152&lt;=0,Q_max,ABS(AD$23-AD4158))</f>
        <v>236393</v>
      </c>
      <c r="AF4159" s="9">
        <f ca="1">AD4148</f>
        <v>1746501.3951410765</v>
      </c>
      <c r="AG4159" s="98"/>
      <c r="AH4159" s="106">
        <f ca="1">IF(AG4152&lt;=0,Q_max,ABS(AG$23-AG4158))</f>
        <v>236393</v>
      </c>
      <c r="AI4159" s="9">
        <f ca="1">AG4148</f>
        <v>2549066.3541680025</v>
      </c>
      <c r="AJ4159" s="98"/>
      <c r="AK4159" s="106">
        <f ca="1">IF(AJ4152&lt;=0,Q_max,ABS(AJ$23-AJ4158))</f>
        <v>236393</v>
      </c>
      <c r="AL4159" s="9">
        <f ca="1">AJ4148</f>
        <v>3401738.9312643046</v>
      </c>
      <c r="AM4159" s="98"/>
      <c r="AN4159" s="106">
        <f ca="1">IF(AM4152&lt;=0,Q_max,ABS(AM$23-AM4158))</f>
        <v>236393</v>
      </c>
      <c r="AO4159" s="9">
        <f ca="1">AM4148</f>
        <v>4150767.9624319458</v>
      </c>
      <c r="AP4159" s="98"/>
      <c r="AQ4159" s="106">
        <f ca="1">IF(AP4152&lt;=0,Q_max,ABS(AP$23-AP4158))</f>
        <v>236393</v>
      </c>
      <c r="AR4159" s="9">
        <f ca="1">AP4148</f>
        <v>4818912.745327875</v>
      </c>
      <c r="AS4159" s="98"/>
      <c r="AT4159" s="106">
        <f ca="1">IF(AS4152&lt;=0,Q_max,ABS(AS$23-AS4158))</f>
        <v>236393</v>
      </c>
      <c r="AU4159" s="9">
        <f ca="1">AS4148</f>
        <v>5650554.1769221015</v>
      </c>
    </row>
    <row r="4160" spans="15:47" x14ac:dyDescent="0.25">
      <c r="O4160" s="21"/>
      <c r="P4160" s="14"/>
      <c r="Q4160" s="21"/>
      <c r="R4160" s="97"/>
      <c r="S4160" s="106"/>
      <c r="T4160" s="28"/>
      <c r="U4160" s="97"/>
      <c r="V4160" s="111"/>
      <c r="W4160" s="28"/>
      <c r="X4160" s="97"/>
      <c r="Y4160" s="111"/>
      <c r="Z4160" s="28"/>
      <c r="AA4160" s="97"/>
      <c r="AB4160" s="111"/>
      <c r="AC4160" s="28"/>
      <c r="AD4160" s="97"/>
      <c r="AE4160" s="111"/>
      <c r="AF4160" s="28"/>
      <c r="AG4160" s="97"/>
      <c r="AH4160" s="111"/>
      <c r="AI4160" s="28"/>
      <c r="AJ4160" s="97"/>
      <c r="AK4160" s="111"/>
      <c r="AL4160" s="28"/>
      <c r="AM4160" s="97"/>
      <c r="AN4160" s="111"/>
      <c r="AO4160" s="28"/>
      <c r="AP4160" s="97"/>
      <c r="AQ4160" s="111"/>
      <c r="AR4160" s="28"/>
      <c r="AS4160" s="97"/>
      <c r="AT4160" s="111"/>
      <c r="AU4160" s="28"/>
    </row>
    <row r="4161" spans="15:47" x14ac:dyDescent="0.25">
      <c r="O4161" s="1"/>
      <c r="P4161" s="1"/>
      <c r="Q4161" s="1"/>
      <c r="R4161" s="98"/>
      <c r="S4161" s="108" t="s">
        <v>137</v>
      </c>
      <c r="T4161" s="26" t="s">
        <v>146</v>
      </c>
      <c r="U4161" s="98"/>
      <c r="V4161" s="108" t="s">
        <v>137</v>
      </c>
      <c r="W4161" s="26" t="s">
        <v>146</v>
      </c>
      <c r="X4161" s="98"/>
      <c r="Y4161" s="108" t="s">
        <v>137</v>
      </c>
      <c r="Z4161" s="26" t="s">
        <v>146</v>
      </c>
      <c r="AA4161" s="98"/>
      <c r="AB4161" s="108" t="s">
        <v>137</v>
      </c>
      <c r="AC4161" s="26" t="s">
        <v>146</v>
      </c>
      <c r="AD4161" s="98"/>
      <c r="AE4161" s="108" t="s">
        <v>137</v>
      </c>
      <c r="AF4161" s="26" t="s">
        <v>146</v>
      </c>
      <c r="AG4161" s="98"/>
      <c r="AH4161" s="108" t="s">
        <v>137</v>
      </c>
      <c r="AI4161" s="26" t="s">
        <v>146</v>
      </c>
      <c r="AJ4161" s="98"/>
      <c r="AK4161" s="108" t="s">
        <v>137</v>
      </c>
      <c r="AL4161" s="26" t="s">
        <v>146</v>
      </c>
      <c r="AM4161" s="98"/>
      <c r="AN4161" s="108" t="s">
        <v>137</v>
      </c>
      <c r="AO4161" s="26" t="s">
        <v>146</v>
      </c>
      <c r="AP4161" s="98"/>
      <c r="AQ4161" s="108" t="s">
        <v>137</v>
      </c>
      <c r="AR4161" s="26" t="s">
        <v>146</v>
      </c>
      <c r="AS4161" s="98"/>
      <c r="AT4161" s="108" t="s">
        <v>137</v>
      </c>
      <c r="AU4161" s="26" t="s">
        <v>146</v>
      </c>
    </row>
    <row r="4162" spans="15:47" ht="13.8" x14ac:dyDescent="0.25">
      <c r="O4162" s="20" t="s">
        <v>136</v>
      </c>
      <c r="P4162" s="1"/>
      <c r="Q4162" s="1"/>
      <c r="R4162" s="96">
        <f>R4148*1.02</f>
        <v>109733.02040258409</v>
      </c>
      <c r="S4162" s="109" t="s">
        <v>144</v>
      </c>
      <c r="T4162" s="23" t="s">
        <v>147</v>
      </c>
      <c r="U4162" s="96">
        <f ca="1">U4148*1.01</f>
        <v>220456.64309735264</v>
      </c>
      <c r="V4162" s="109" t="s">
        <v>144</v>
      </c>
      <c r="W4162" s="23" t="s">
        <v>147</v>
      </c>
      <c r="X4162" s="96">
        <f ca="1">X4148*1.01</f>
        <v>539817.339631496</v>
      </c>
      <c r="Y4162" s="109" t="s">
        <v>144</v>
      </c>
      <c r="Z4162" s="23" t="s">
        <v>147</v>
      </c>
      <c r="AA4162" s="96">
        <f ca="1">AA4148*1.01</f>
        <v>1051426.3917021689</v>
      </c>
      <c r="AB4162" s="109" t="s">
        <v>144</v>
      </c>
      <c r="AC4162" s="23" t="s">
        <v>147</v>
      </c>
      <c r="AD4162" s="96">
        <f ca="1">AD4148*1.01</f>
        <v>1763966.4090924873</v>
      </c>
      <c r="AE4162" s="109" t="s">
        <v>144</v>
      </c>
      <c r="AF4162" s="23" t="s">
        <v>147</v>
      </c>
      <c r="AG4162" s="96">
        <f ca="1">AG4148*1.01</f>
        <v>2574557.0177096827</v>
      </c>
      <c r="AH4162" s="109" t="s">
        <v>144</v>
      </c>
      <c r="AI4162" s="23" t="s">
        <v>147</v>
      </c>
      <c r="AJ4162" s="96">
        <f ca="1">AJ4148*1.01</f>
        <v>3435756.3205769476</v>
      </c>
      <c r="AK4162" s="109" t="s">
        <v>144</v>
      </c>
      <c r="AL4162" s="23" t="s">
        <v>147</v>
      </c>
      <c r="AM4162" s="96">
        <f ca="1">AM4148*1.01</f>
        <v>4192275.6420562654</v>
      </c>
      <c r="AN4162" s="109" t="s">
        <v>144</v>
      </c>
      <c r="AO4162" s="23" t="s">
        <v>147</v>
      </c>
      <c r="AP4162" s="96">
        <f ca="1">AP4148*1.01</f>
        <v>4867101.8727811538</v>
      </c>
      <c r="AQ4162" s="109" t="s">
        <v>144</v>
      </c>
      <c r="AR4162" s="23" t="s">
        <v>147</v>
      </c>
      <c r="AS4162" s="96">
        <f ca="1">AS4148*1.01</f>
        <v>5707059.718691323</v>
      </c>
      <c r="AT4162" s="109" t="s">
        <v>144</v>
      </c>
      <c r="AU4162" s="23" t="s">
        <v>147</v>
      </c>
    </row>
    <row r="4163" spans="15:47" x14ac:dyDescent="0.25">
      <c r="O4163" s="1"/>
      <c r="P4163" s="1"/>
      <c r="Q4163" s="1"/>
      <c r="R4163" s="98"/>
      <c r="S4163" s="107"/>
      <c r="T4163" s="1"/>
      <c r="U4163" s="47"/>
      <c r="V4163" s="107"/>
      <c r="W4163" s="1"/>
      <c r="X4163" s="47"/>
      <c r="Y4163" s="107"/>
      <c r="Z4163" s="1"/>
      <c r="AA4163" s="47"/>
      <c r="AB4163" s="107"/>
      <c r="AC4163" s="1"/>
      <c r="AD4163" s="47"/>
      <c r="AE4163" s="107"/>
      <c r="AF4163" s="1"/>
      <c r="AG4163" s="47"/>
      <c r="AH4163" s="107"/>
      <c r="AI4163" s="1"/>
      <c r="AJ4163" s="47"/>
      <c r="AK4163" s="107"/>
      <c r="AL4163" s="1"/>
      <c r="AM4163" s="47"/>
      <c r="AN4163" s="107"/>
      <c r="AO4163" s="1"/>
      <c r="AP4163" s="47"/>
      <c r="AQ4163" s="107"/>
      <c r="AR4163" s="1"/>
      <c r="AS4163" s="47"/>
      <c r="AT4163" s="107"/>
      <c r="AU4163" s="1"/>
    </row>
    <row r="4164" spans="15:47" x14ac:dyDescent="0.25">
      <c r="O4164" s="8" t="s">
        <v>132</v>
      </c>
      <c r="P4164" s="8"/>
      <c r="Q4164" s="8"/>
      <c r="R4164" s="96">
        <f>P_1_minQ-(R4162^2*R_up)+dpup_minQ</f>
        <v>87.990375701343282</v>
      </c>
      <c r="S4164" s="106"/>
      <c r="T4164" s="22"/>
      <c r="U4164" s="96">
        <f ca="1">P_1_minQ-(U4162^2*R_up)+dpup_minQ</f>
        <v>81.326954020258114</v>
      </c>
      <c r="V4164" s="107"/>
      <c r="W4164" s="1"/>
      <c r="X4164" s="96">
        <f ca="1">P_1_minQ-(X4162^2*R_up)+dpup_minQ</f>
        <v>37.073707935737126</v>
      </c>
      <c r="Y4164" s="107"/>
      <c r="Z4164" s="1"/>
      <c r="AA4164" s="96">
        <f ca="1">P_1_minQ-(AA4162^2*R_up)+dpup_minQ</f>
        <v>-111.30393334364354</v>
      </c>
      <c r="AB4164" s="107"/>
      <c r="AC4164" s="1"/>
      <c r="AD4164" s="96">
        <f ca="1">P_1_minQ-(AD4162^2*R_up)+dpup_minQ</f>
        <v>-476.93390850858253</v>
      </c>
      <c r="AE4164" s="107"/>
      <c r="AF4164" s="1"/>
      <c r="AG4164" s="96">
        <f ca="1">P_1_minQ-(AG4162^2*R_up)+dpup_minQ</f>
        <v>-1117.9029470353569</v>
      </c>
      <c r="AH4164" s="107"/>
      <c r="AI4164" s="1"/>
      <c r="AJ4164" s="96">
        <f ca="1">P_1_minQ-(AJ4162^2*R_up)+dpup_minQ</f>
        <v>-2061.2995772379873</v>
      </c>
      <c r="AK4164" s="107"/>
      <c r="AL4164" s="1"/>
      <c r="AM4164" s="96">
        <f ca="1">P_1_minQ-(AM4162^2*R_up)+dpup_minQ</f>
        <v>-3113.0823802377968</v>
      </c>
      <c r="AN4164" s="107"/>
      <c r="AO4164" s="1"/>
      <c r="AP4164" s="96">
        <f ca="1">P_1_minQ-(AP4162^2*R_up)+dpup_minQ</f>
        <v>-4227.3354780732006</v>
      </c>
      <c r="AQ4164" s="107"/>
      <c r="AR4164" s="1"/>
      <c r="AS4164" s="96">
        <f ca="1">P_1_minQ-(AS4162^2*R_up)+dpup_minQ</f>
        <v>-5846.1495508903199</v>
      </c>
      <c r="AT4164" s="107"/>
      <c r="AU4164" s="1"/>
    </row>
    <row r="4165" spans="15:47" x14ac:dyDescent="0.25">
      <c r="O4165" s="8" t="s">
        <v>134</v>
      </c>
      <c r="P4165" s="1"/>
      <c r="Q4165" s="8"/>
      <c r="R4165" s="97">
        <f>P_2_minQ+(R4162^2*R_dn)-dpdn_minQ</f>
        <v>60</v>
      </c>
      <c r="S4165" s="106"/>
      <c r="T4165" s="22"/>
      <c r="U4165" s="97">
        <f ca="1">P_2_minQ+(U4162^2*R_dn)-dpdn_minQ</f>
        <v>60</v>
      </c>
      <c r="V4165" s="107"/>
      <c r="W4165" s="1"/>
      <c r="X4165" s="97">
        <f ca="1">P_2_minQ+(X4162^2*R_dn)-dpdn_minQ</f>
        <v>60</v>
      </c>
      <c r="Y4165" s="107"/>
      <c r="Z4165" s="1"/>
      <c r="AA4165" s="97">
        <f ca="1">P_2_minQ+(AA4162^2*R_dn)-dpdn_minQ</f>
        <v>60</v>
      </c>
      <c r="AB4165" s="107"/>
      <c r="AC4165" s="1"/>
      <c r="AD4165" s="97">
        <f ca="1">P_2_minQ+(AD4162^2*R_dn)-dpdn_minQ</f>
        <v>60</v>
      </c>
      <c r="AE4165" s="107"/>
      <c r="AF4165" s="1"/>
      <c r="AG4165" s="97">
        <f ca="1">P_2_minQ+(AG4162^2*R_dn)-dpdn_minQ</f>
        <v>60</v>
      </c>
      <c r="AH4165" s="107"/>
      <c r="AI4165" s="1"/>
      <c r="AJ4165" s="97">
        <f ca="1">P_2_minQ+(AJ4162^2*R_dn)-dpdn_minQ</f>
        <v>60</v>
      </c>
      <c r="AK4165" s="107"/>
      <c r="AL4165" s="1"/>
      <c r="AM4165" s="97">
        <f ca="1">P_2_minQ+(AM4162^2*R_dn)-dpdn_minQ</f>
        <v>60</v>
      </c>
      <c r="AN4165" s="107"/>
      <c r="AO4165" s="1"/>
      <c r="AP4165" s="97">
        <f ca="1">P_2_minQ+(AP4162^2*R_dn)-dpdn_minQ</f>
        <v>60</v>
      </c>
      <c r="AQ4165" s="107"/>
      <c r="AR4165" s="1"/>
      <c r="AS4165" s="97">
        <f ca="1">P_2_minQ+(AS4162^2*R_dn)-dpdn_minQ</f>
        <v>60</v>
      </c>
      <c r="AT4165" s="107"/>
      <c r="AU4165" s="1"/>
    </row>
    <row r="4166" spans="15:47" x14ac:dyDescent="0.25">
      <c r="O4166" s="8" t="s">
        <v>138</v>
      </c>
      <c r="P4166" s="1"/>
      <c r="Q4166" s="8"/>
      <c r="R4166" s="97">
        <f>R4164-R4165</f>
        <v>27.990375701343282</v>
      </c>
      <c r="S4166" s="106"/>
      <c r="T4166" s="22"/>
      <c r="U4166" s="97">
        <f ca="1">U4164-U4165</f>
        <v>21.326954020258114</v>
      </c>
      <c r="V4166" s="110"/>
      <c r="W4166" s="25"/>
      <c r="X4166" s="97">
        <f ca="1">X4164-X4165</f>
        <v>-22.926292064262874</v>
      </c>
      <c r="Y4166" s="110"/>
      <c r="Z4166" s="25"/>
      <c r="AA4166" s="97">
        <f ca="1">AA4164-AA4165</f>
        <v>-171.30393334364354</v>
      </c>
      <c r="AB4166" s="110"/>
      <c r="AC4166" s="25"/>
      <c r="AD4166" s="97">
        <f ca="1">AD4164-AD4165</f>
        <v>-536.93390850858259</v>
      </c>
      <c r="AE4166" s="110"/>
      <c r="AF4166" s="25"/>
      <c r="AG4166" s="97">
        <f ca="1">AG4164-AG4165</f>
        <v>-1177.9029470353569</v>
      </c>
      <c r="AH4166" s="110"/>
      <c r="AI4166" s="25"/>
      <c r="AJ4166" s="97">
        <f ca="1">AJ4164-AJ4165</f>
        <v>-2121.2995772379873</v>
      </c>
      <c r="AK4166" s="110"/>
      <c r="AL4166" s="25"/>
      <c r="AM4166" s="97">
        <f ca="1">AM4164-AM4165</f>
        <v>-3173.0823802377968</v>
      </c>
      <c r="AN4166" s="110"/>
      <c r="AO4166" s="25"/>
      <c r="AP4166" s="97">
        <f ca="1">AP4164-AP4165</f>
        <v>-4287.3354780732006</v>
      </c>
      <c r="AQ4166" s="110"/>
      <c r="AR4166" s="25"/>
      <c r="AS4166" s="97">
        <f ca="1">AS4164-AS4165</f>
        <v>-5906.1495508903199</v>
      </c>
      <c r="AT4166" s="110"/>
      <c r="AU4166" s="25"/>
    </row>
    <row r="4167" spans="15:47" ht="14.4" x14ac:dyDescent="0.3">
      <c r="O4167" s="2" t="s">
        <v>140</v>
      </c>
      <c r="P4167" s="11"/>
      <c r="Q4167" s="2"/>
      <c r="R4167" s="96">
        <f>R4166/R4164</f>
        <v>0.31810724159592346</v>
      </c>
      <c r="S4167" s="106"/>
      <c r="T4167" s="22"/>
      <c r="U4167" s="96">
        <f ca="1">U4166/U4164</f>
        <v>0.26223721615032675</v>
      </c>
      <c r="V4167" s="111"/>
      <c r="W4167" s="28"/>
      <c r="X4167" s="96">
        <f ca="1">X4166/X4164</f>
        <v>-0.61839760144852196</v>
      </c>
      <c r="Y4167" s="111"/>
      <c r="Z4167" s="28"/>
      <c r="AA4167" s="96">
        <f ca="1">AA4166/AA4164</f>
        <v>1.5390645074038307</v>
      </c>
      <c r="AB4167" s="111"/>
      <c r="AC4167" s="28"/>
      <c r="AD4167" s="96">
        <f ca="1">AD4166/AD4164</f>
        <v>1.1258035944385372</v>
      </c>
      <c r="AE4167" s="111"/>
      <c r="AF4167" s="28"/>
      <c r="AG4167" s="96">
        <f ca="1">AG4166/AG4164</f>
        <v>1.0536719221996131</v>
      </c>
      <c r="AH4167" s="111"/>
      <c r="AI4167" s="28"/>
      <c r="AJ4167" s="96">
        <f ca="1">AJ4166/AJ4164</f>
        <v>1.0291078505339804</v>
      </c>
      <c r="AK4167" s="111"/>
      <c r="AL4167" s="28"/>
      <c r="AM4167" s="96">
        <f ca="1">AM4166/AM4164</f>
        <v>1.019273502166498</v>
      </c>
      <c r="AN4167" s="111"/>
      <c r="AO4167" s="28"/>
      <c r="AP4167" s="96">
        <f ca="1">AP4166/AP4164</f>
        <v>1.0141933376972834</v>
      </c>
      <c r="AQ4167" s="111"/>
      <c r="AR4167" s="28"/>
      <c r="AS4167" s="96">
        <f ca="1">AS4166/AS4164</f>
        <v>1.0102631654352501</v>
      </c>
      <c r="AT4167" s="111"/>
      <c r="AU4167" s="28"/>
    </row>
    <row r="4168" spans="15:47" x14ac:dyDescent="0.25">
      <c r="O4168" s="2" t="s">
        <v>21</v>
      </c>
      <c r="P4168" s="8">
        <v>12</v>
      </c>
      <c r="Q4168" s="2"/>
      <c r="R4168" s="96">
        <f ca="1">1-R4167/(3*F_GAMMA*R$29)</f>
        <v>0.83432683262893992</v>
      </c>
      <c r="S4168" s="106"/>
      <c r="T4168" s="22"/>
      <c r="U4168" s="96">
        <f ca="1">1-U4167/(3*F_GAMMA*U$29)</f>
        <v>0.86345618256988577</v>
      </c>
      <c r="V4168" s="111"/>
      <c r="W4168" s="28"/>
      <c r="X4168" s="96">
        <f ca="1">1-X4167/(3*F_GAMMA*X$29)</f>
        <v>1.3250590473472692</v>
      </c>
      <c r="Y4168" s="111"/>
      <c r="Z4168" s="28"/>
      <c r="AA4168" s="96">
        <f ca="1">1-AA4167/(3*F_GAMMA*AA$29)</f>
        <v>0.17959105029265165</v>
      </c>
      <c r="AB4168" s="111"/>
      <c r="AC4168" s="28"/>
      <c r="AD4168" s="96">
        <f ca="1">1-AD4167/(3*F_GAMMA*AD$29)</f>
        <v>0.38127048123909479</v>
      </c>
      <c r="AE4168" s="111"/>
      <c r="AF4168" s="28"/>
      <c r="AG4168" s="96">
        <f ca="1">1-AG4167/(3*F_GAMMA*AG$29)</f>
        <v>0.38616448926378977</v>
      </c>
      <c r="AH4168" s="111"/>
      <c r="AI4168" s="28"/>
      <c r="AJ4168" s="96">
        <f ca="1">1-AJ4167/(3*F_GAMMA*AJ$29)</f>
        <v>0.35499289032891768</v>
      </c>
      <c r="AK4168" s="111"/>
      <c r="AL4168" s="28"/>
      <c r="AM4168" s="96">
        <f ca="1">1-AM4167/(3*F_GAMMA*AM$29)</f>
        <v>0.28572052863157316</v>
      </c>
      <c r="AN4168" s="111"/>
      <c r="AO4168" s="28"/>
      <c r="AP4168" s="96">
        <f ca="1">1-AP4167/(3*F_GAMMA*AP$29)</f>
        <v>0.42753490045803932</v>
      </c>
      <c r="AQ4168" s="111"/>
      <c r="AR4168" s="28"/>
      <c r="AS4168" s="96">
        <f ca="1">1-AS4167/(3*F_GAMMA*AS$29)</f>
        <v>0.1060170741435924</v>
      </c>
      <c r="AT4168" s="111"/>
      <c r="AU4168" s="28"/>
    </row>
    <row r="4169" spans="15:47" x14ac:dyDescent="0.25">
      <c r="O4169" s="2" t="s">
        <v>57</v>
      </c>
      <c r="P4169" s="143">
        <v>7</v>
      </c>
      <c r="Q4169" s="2"/>
      <c r="R4169" s="96">
        <f ca="1">(R4162/(N_9*R$27*R4164*R4168))*SQRT(M*'Valve Sizing'!$W$6*'Valve Sizing'!$G$8/R4167)</f>
        <v>46.106823896062743</v>
      </c>
      <c r="S4169" s="107"/>
      <c r="T4169" s="22"/>
      <c r="U4169" s="96">
        <f ca="1">(U4162/(N_9*U$27*U4164*U4168))*SQRT(M*'Valve Sizing'!$W$6*'Valve Sizing'!$G$8/U4167)</f>
        <v>106.726462562687</v>
      </c>
      <c r="V4169" s="111"/>
      <c r="W4169" s="28"/>
      <c r="X4169" s="96" t="e">
        <f ca="1">(X4162/(N_9*X$27*X4164*X4168))*SQRT(M*'Valve Sizing'!$W$6*'Valve Sizing'!$G$8/X4167)</f>
        <v>#NUM!</v>
      </c>
      <c r="Y4169" s="111"/>
      <c r="Z4169" s="28"/>
      <c r="AA4169" s="96">
        <f ca="1">(AA4162/(N_9*AA$27*AA4164*AA4168))*SQRT(M*'Valve Sizing'!$W$6*'Valve Sizing'!$G$8/AA4167)</f>
        <v>-744.20807381267502</v>
      </c>
      <c r="AB4169" s="111"/>
      <c r="AC4169" s="28"/>
      <c r="AD4169" s="96">
        <f ca="1">(AD4162/(N_9*AD$27*AD4164*AD4168))*SQRT(M*'Valve Sizing'!$W$6*'Valve Sizing'!$G$8/AD4167)</f>
        <v>-162.46268938432536</v>
      </c>
      <c r="AE4169" s="111"/>
      <c r="AF4169" s="28"/>
      <c r="AG4169" s="96">
        <f ca="1">(AG4162/(N_9*AG$27*AG4164*AG4168))*SQRT(M*'Valve Sizing'!$W$6*'Valve Sizing'!$G$8/AG4167)</f>
        <v>-105.56615769003714</v>
      </c>
      <c r="AH4169" s="111"/>
      <c r="AI4169" s="28"/>
      <c r="AJ4169" s="96">
        <f ca="1">(AJ4162/(N_9*AJ$27*AJ4164*AJ4168))*SQRT(M*'Valve Sizing'!$W$6*'Valve Sizing'!$G$8/AJ4167)</f>
        <v>-87.137584693416443</v>
      </c>
      <c r="AK4169" s="111"/>
      <c r="AL4169" s="28"/>
      <c r="AM4169" s="96">
        <f ca="1">(AM4162/(N_9*AM$27*AM4164*AM4168))*SQRT(M*'Valve Sizing'!$W$6*'Valve Sizing'!$G$8/AM4167)</f>
        <v>-93.253571894035844</v>
      </c>
      <c r="AN4169" s="111"/>
      <c r="AO4169" s="28"/>
      <c r="AP4169" s="96">
        <f ca="1">(AP4162/(N_9*AP$27*AP4164*AP4168))*SQRT(M*'Valve Sizing'!$W$6*'Valve Sizing'!$G$8/AP4167)</f>
        <v>-60.796882406962077</v>
      </c>
      <c r="AQ4169" s="111"/>
      <c r="AR4169" s="28"/>
      <c r="AS4169" s="96">
        <f ca="1">(AS4162/(N_9*AS$27*AS4164*AS4168))*SQRT(M*'Valve Sizing'!$W$6*'Valve Sizing'!$G$8/AS4167)</f>
        <v>-278.97544514383679</v>
      </c>
      <c r="AT4169" s="111"/>
      <c r="AU4169" s="28"/>
    </row>
    <row r="4170" spans="15:47" x14ac:dyDescent="0.25">
      <c r="O4170" s="2" t="s">
        <v>59</v>
      </c>
      <c r="P4170" s="143">
        <v>7</v>
      </c>
      <c r="Q4170" s="2"/>
      <c r="R4170" s="96">
        <f ca="1">(R4162/(N_9*R$27*R4164*0.667))*SQRT(M*'Valve Sizing'!$W$6*'Valve Sizing'!$G$8/R4171)</f>
        <v>40.659524807341278</v>
      </c>
      <c r="S4170" s="107"/>
      <c r="T4170" s="22"/>
      <c r="U4170" s="96">
        <f ca="1">(U4162/(N_9*U$27*U4164*0.667))*SQRT(M*'Valve Sizing'!$W$6*'Valve Sizing'!$G$8/U4171)</f>
        <v>88.426662201867217</v>
      </c>
      <c r="V4170" s="111"/>
      <c r="W4170" s="28"/>
      <c r="X4170" s="96">
        <f ca="1">(X4162/(N_9*X$27*X4164*0.667))*SQRT(M*'Valve Sizing'!$W$6*'Valve Sizing'!$G$8/X4171)</f>
        <v>478.33518644196897</v>
      </c>
      <c r="Y4170" s="111"/>
      <c r="Z4170" s="28"/>
      <c r="AA4170" s="96">
        <f ca="1">(AA4162/(N_9*AA$27*AA4164*0.667))*SQRT(M*'Valve Sizing'!$W$6*'Valve Sizing'!$G$8/AA4171)</f>
        <v>-314.36128529696521</v>
      </c>
      <c r="AB4170" s="111"/>
      <c r="AC4170" s="28"/>
      <c r="AD4170" s="96">
        <f ca="1">(AD4162/(N_9*AD$27*AD4164*0.667))*SQRT(M*'Valve Sizing'!$W$6*'Valve Sizing'!$G$8/AD4171)</f>
        <v>-126.52374328125586</v>
      </c>
      <c r="AE4170" s="111"/>
      <c r="AF4170" s="28"/>
      <c r="AG4170" s="96">
        <f ca="1">(AG4162/(N_9*AG$27*AG4164*0.667))*SQRT(M*'Valve Sizing'!$W$6*'Valve Sizing'!$G$8/AG4171)</f>
        <v>-82.93881906694655</v>
      </c>
      <c r="AH4170" s="111"/>
      <c r="AI4170" s="28"/>
      <c r="AJ4170" s="96">
        <f ca="1">(AJ4162/(N_9*AJ$27*AJ4164*0.667))*SQRT(M*'Valve Sizing'!$W$6*'Valve Sizing'!$G$8/AJ4171)</f>
        <v>-64.512254207120861</v>
      </c>
      <c r="AK4170" s="111"/>
      <c r="AL4170" s="28"/>
      <c r="AM4170" s="96">
        <f ca="1">(AM4162/(N_9*AM$27*AM4164*0.667))*SQRT(M*'Valve Sizing'!$W$6*'Valve Sizing'!$G$8/AM4171)</f>
        <v>-58.475749672956383</v>
      </c>
      <c r="AN4170" s="111"/>
      <c r="AO4170" s="28"/>
      <c r="AP4170" s="96">
        <f ca="1">(AP4162/(N_9*AP$27*AP4164*0.667))*SQRT(M*'Valve Sizing'!$W$6*'Valve Sizing'!$G$8/AP4171)</f>
        <v>-51.069567914011458</v>
      </c>
      <c r="AQ4170" s="111"/>
      <c r="AR4170" s="28"/>
      <c r="AS4170" s="96">
        <f ca="1">(AS4162/(N_9*AS$27*AS4164*0.667))*SQRT(M*'Valve Sizing'!$W$6*'Valve Sizing'!$G$8/AS4171)</f>
        <v>-72.617484255660415</v>
      </c>
      <c r="AT4170" s="111"/>
      <c r="AU4170" s="28"/>
    </row>
    <row r="4171" spans="15:47" ht="15.6" x14ac:dyDescent="0.35">
      <c r="O4171" s="2" t="s">
        <v>68</v>
      </c>
      <c r="P4171" s="143">
        <v>10</v>
      </c>
      <c r="Q4171" s="2"/>
      <c r="R4171" s="96">
        <f ca="1">F_GAMMA*R$29</f>
        <v>0.64002969751372984</v>
      </c>
      <c r="S4171" s="107"/>
      <c r="T4171" s="1"/>
      <c r="U4171" s="96">
        <f ca="1">F_GAMMA*U$29</f>
        <v>0.64017842058782071</v>
      </c>
      <c r="V4171" s="111"/>
      <c r="W4171" s="28"/>
      <c r="X4171" s="96">
        <f ca="1">F_GAMMA*X$29</f>
        <v>0.63413873724904268</v>
      </c>
      <c r="Y4171" s="111"/>
      <c r="Z4171" s="28"/>
      <c r="AA4171" s="96">
        <f ca="1">F_GAMMA*AA$29</f>
        <v>0.62532411750377137</v>
      </c>
      <c r="AB4171" s="111"/>
      <c r="AC4171" s="28"/>
      <c r="AD4171" s="96">
        <f ca="1">F_GAMMA*AD$29</f>
        <v>0.60651359509139569</v>
      </c>
      <c r="AE4171" s="111"/>
      <c r="AF4171" s="28"/>
      <c r="AG4171" s="96">
        <f ca="1">F_GAMMA*AG$29</f>
        <v>0.57217930198481592</v>
      </c>
      <c r="AH4171" s="111"/>
      <c r="AI4171" s="28"/>
      <c r="AJ4171" s="96">
        <f ca="1">F_GAMMA*AJ$29</f>
        <v>0.53183282018848232</v>
      </c>
      <c r="AK4171" s="111"/>
      <c r="AL4171" s="28"/>
      <c r="AM4171" s="96">
        <f ca="1">F_GAMMA*AM$29</f>
        <v>0.47566512503094399</v>
      </c>
      <c r="AN4171" s="111"/>
      <c r="AO4171" s="28"/>
      <c r="AP4171" s="96">
        <f ca="1">F_GAMMA*AP$29</f>
        <v>0.59054158265645496</v>
      </c>
      <c r="AQ4171" s="111"/>
      <c r="AR4171" s="28"/>
      <c r="AS4171" s="96">
        <f ca="1">F_GAMMA*AS$29</f>
        <v>0.3766899554102966</v>
      </c>
      <c r="AT4171" s="111"/>
      <c r="AU4171" s="28"/>
    </row>
    <row r="4172" spans="15:47" x14ac:dyDescent="0.25">
      <c r="O4172" s="2" t="s">
        <v>145</v>
      </c>
      <c r="P4172" s="12"/>
      <c r="Q4172" s="2"/>
      <c r="R4172" s="96">
        <f ca="1">IF(R4167&lt;R4171,R4169,R4170)</f>
        <v>46.106823896062743</v>
      </c>
      <c r="S4172" s="116"/>
      <c r="T4172" s="1"/>
      <c r="U4172" s="96">
        <f ca="1">IF(U4167&lt;U4171,U4169,U4170)</f>
        <v>106.726462562687</v>
      </c>
      <c r="V4172" s="111"/>
      <c r="W4172" s="28"/>
      <c r="X4172" s="96" t="e">
        <f ca="1">IF(X4167&lt;X4171,X4169,X4170)</f>
        <v>#NUM!</v>
      </c>
      <c r="Y4172" s="111"/>
      <c r="Z4172" s="28"/>
      <c r="AA4172" s="96">
        <f ca="1">IF(AA4167&lt;AA4171,AA4169,AA4170)</f>
        <v>-314.36128529696521</v>
      </c>
      <c r="AB4172" s="111"/>
      <c r="AC4172" s="28"/>
      <c r="AD4172" s="96">
        <f ca="1">IF(AD4167&lt;AD4171,AD4169,AD4170)</f>
        <v>-126.52374328125586</v>
      </c>
      <c r="AE4172" s="111"/>
      <c r="AF4172" s="28"/>
      <c r="AG4172" s="96">
        <f ca="1">IF(AG4167&lt;AG4171,AG4169,AG4170)</f>
        <v>-82.93881906694655</v>
      </c>
      <c r="AH4172" s="111"/>
      <c r="AI4172" s="28"/>
      <c r="AJ4172" s="96">
        <f ca="1">IF(AJ4167&lt;AJ4171,AJ4169,AJ4170)</f>
        <v>-64.512254207120861</v>
      </c>
      <c r="AK4172" s="111"/>
      <c r="AL4172" s="28"/>
      <c r="AM4172" s="96">
        <f ca="1">IF(AM4167&lt;AM4171,AM4169,AM4170)</f>
        <v>-58.475749672956383</v>
      </c>
      <c r="AN4172" s="111"/>
      <c r="AO4172" s="28"/>
      <c r="AP4172" s="96">
        <f ca="1">IF(AP4167&lt;AP4171,AP4169,AP4170)</f>
        <v>-51.069567914011458</v>
      </c>
      <c r="AQ4172" s="111"/>
      <c r="AR4172" s="28"/>
      <c r="AS4172" s="96">
        <f ca="1">IF(AS4167&lt;AS4171,AS4169,AS4170)</f>
        <v>-72.617484255660415</v>
      </c>
      <c r="AT4172" s="111"/>
      <c r="AU4172" s="28"/>
    </row>
    <row r="4173" spans="15:47" x14ac:dyDescent="0.25">
      <c r="O4173" s="13" t="s">
        <v>143</v>
      </c>
      <c r="P4173" s="1"/>
      <c r="Q4173" s="1"/>
      <c r="R4173" s="113"/>
      <c r="S4173" s="106">
        <f ca="1">IF(R4166&lt;=0,Q_max,ABS(R$23-R4172))</f>
        <v>41.376823896062746</v>
      </c>
      <c r="T4173" s="7">
        <f>R4162</f>
        <v>109733.02040258409</v>
      </c>
      <c r="U4173" s="98"/>
      <c r="V4173" s="106">
        <f ca="1">IF(U4166&lt;=0,Q_max,ABS(U$23-U4172))</f>
        <v>95.12646256268701</v>
      </c>
      <c r="W4173" s="9">
        <f ca="1">U4162</f>
        <v>220456.64309735264</v>
      </c>
      <c r="X4173" s="98"/>
      <c r="Y4173" s="106">
        <f ca="1">IF(X4166&lt;=0,Q_max,ABS(X$23-X4172))</f>
        <v>236393</v>
      </c>
      <c r="Z4173" s="9">
        <f ca="1">X4162</f>
        <v>539817.339631496</v>
      </c>
      <c r="AA4173" s="98"/>
      <c r="AB4173" s="106">
        <f ca="1">IF(AA4166&lt;=0,Q_max,ABS(AA$23-AA4172))</f>
        <v>236393</v>
      </c>
      <c r="AC4173" s="9">
        <f ca="1">AA4162</f>
        <v>1051426.3917021689</v>
      </c>
      <c r="AD4173" s="98"/>
      <c r="AE4173" s="106">
        <f ca="1">IF(AD4166&lt;=0,Q_max,ABS(AD$23-AD4172))</f>
        <v>236393</v>
      </c>
      <c r="AF4173" s="9">
        <f ca="1">AD4162</f>
        <v>1763966.4090924873</v>
      </c>
      <c r="AG4173" s="98"/>
      <c r="AH4173" s="106">
        <f ca="1">IF(AG4166&lt;=0,Q_max,ABS(AG$23-AG4172))</f>
        <v>236393</v>
      </c>
      <c r="AI4173" s="9">
        <f ca="1">AG4162</f>
        <v>2574557.0177096827</v>
      </c>
      <c r="AJ4173" s="98"/>
      <c r="AK4173" s="106">
        <f ca="1">IF(AJ4166&lt;=0,Q_max,ABS(AJ$23-AJ4172))</f>
        <v>236393</v>
      </c>
      <c r="AL4173" s="9">
        <f ca="1">AJ4162</f>
        <v>3435756.3205769476</v>
      </c>
      <c r="AM4173" s="98"/>
      <c r="AN4173" s="106">
        <f ca="1">IF(AM4166&lt;=0,Q_max,ABS(AM$23-AM4172))</f>
        <v>236393</v>
      </c>
      <c r="AO4173" s="9">
        <f ca="1">AM4162</f>
        <v>4192275.6420562654</v>
      </c>
      <c r="AP4173" s="98"/>
      <c r="AQ4173" s="106">
        <f ca="1">IF(AP4166&lt;=0,Q_max,ABS(AP$23-AP4172))</f>
        <v>236393</v>
      </c>
      <c r="AR4173" s="9">
        <f ca="1">AP4162</f>
        <v>4867101.8727811538</v>
      </c>
      <c r="AS4173" s="98"/>
      <c r="AT4173" s="106">
        <f ca="1">IF(AS4166&lt;=0,Q_max,ABS(AS$23-AS4172))</f>
        <v>236393</v>
      </c>
      <c r="AU4173" s="9">
        <f ca="1">AS4162</f>
        <v>5707059.718691323</v>
      </c>
    </row>
    <row r="4174" spans="15:47" x14ac:dyDescent="0.25">
      <c r="O4174" s="21"/>
      <c r="P4174" s="14"/>
      <c r="Q4174" s="21"/>
      <c r="R4174" s="97"/>
      <c r="S4174" s="106"/>
      <c r="T4174" s="28"/>
      <c r="U4174" s="99"/>
      <c r="V4174" s="110"/>
      <c r="W4174" s="25"/>
      <c r="X4174" s="99"/>
      <c r="Y4174" s="110"/>
      <c r="Z4174" s="25"/>
      <c r="AA4174" s="99"/>
      <c r="AB4174" s="110"/>
      <c r="AC4174" s="25"/>
      <c r="AD4174" s="99"/>
      <c r="AE4174" s="110"/>
      <c r="AF4174" s="25"/>
      <c r="AG4174" s="99"/>
      <c r="AH4174" s="110"/>
      <c r="AI4174" s="25"/>
      <c r="AJ4174" s="99"/>
      <c r="AK4174" s="110"/>
      <c r="AL4174" s="25"/>
      <c r="AM4174" s="99"/>
      <c r="AN4174" s="110"/>
      <c r="AO4174" s="25"/>
      <c r="AP4174" s="99"/>
      <c r="AQ4174" s="110"/>
      <c r="AR4174" s="25"/>
      <c r="AS4174" s="99"/>
      <c r="AT4174" s="110"/>
      <c r="AU4174" s="25"/>
    </row>
    <row r="4175" spans="15:47" x14ac:dyDescent="0.25">
      <c r="O4175" s="1"/>
      <c r="P4175" s="1"/>
      <c r="Q4175" s="1"/>
      <c r="R4175" s="98"/>
      <c r="S4175" s="108" t="s">
        <v>137</v>
      </c>
      <c r="T4175" s="26" t="s">
        <v>146</v>
      </c>
      <c r="U4175" s="98"/>
      <c r="V4175" s="108" t="s">
        <v>137</v>
      </c>
      <c r="W4175" s="26" t="s">
        <v>146</v>
      </c>
      <c r="X4175" s="98"/>
      <c r="Y4175" s="108" t="s">
        <v>137</v>
      </c>
      <c r="Z4175" s="26" t="s">
        <v>146</v>
      </c>
      <c r="AA4175" s="98"/>
      <c r="AB4175" s="108" t="s">
        <v>137</v>
      </c>
      <c r="AC4175" s="26" t="s">
        <v>146</v>
      </c>
      <c r="AD4175" s="98"/>
      <c r="AE4175" s="108" t="s">
        <v>137</v>
      </c>
      <c r="AF4175" s="26" t="s">
        <v>146</v>
      </c>
      <c r="AG4175" s="98"/>
      <c r="AH4175" s="108" t="s">
        <v>137</v>
      </c>
      <c r="AI4175" s="26" t="s">
        <v>146</v>
      </c>
      <c r="AJ4175" s="98"/>
      <c r="AK4175" s="108" t="s">
        <v>137</v>
      </c>
      <c r="AL4175" s="26" t="s">
        <v>146</v>
      </c>
      <c r="AM4175" s="98"/>
      <c r="AN4175" s="108" t="s">
        <v>137</v>
      </c>
      <c r="AO4175" s="26" t="s">
        <v>146</v>
      </c>
      <c r="AP4175" s="98"/>
      <c r="AQ4175" s="108" t="s">
        <v>137</v>
      </c>
      <c r="AR4175" s="26" t="s">
        <v>146</v>
      </c>
      <c r="AS4175" s="98"/>
      <c r="AT4175" s="108" t="s">
        <v>137</v>
      </c>
      <c r="AU4175" s="26" t="s">
        <v>146</v>
      </c>
    </row>
    <row r="4176" spans="15:47" ht="13.8" x14ac:dyDescent="0.25">
      <c r="O4176" s="20" t="s">
        <v>136</v>
      </c>
      <c r="P4176" s="1"/>
      <c r="Q4176" s="1"/>
      <c r="R4176" s="96">
        <f>R4162*1.02</f>
        <v>111927.68081063578</v>
      </c>
      <c r="S4176" s="109" t="s">
        <v>144</v>
      </c>
      <c r="T4176" s="23" t="s">
        <v>147</v>
      </c>
      <c r="U4176" s="96">
        <f ca="1">U4162*1.01</f>
        <v>222661.20952832617</v>
      </c>
      <c r="V4176" s="109" t="s">
        <v>144</v>
      </c>
      <c r="W4176" s="23" t="s">
        <v>147</v>
      </c>
      <c r="X4176" s="96">
        <f ca="1">X4162*1.01</f>
        <v>545215.51302781096</v>
      </c>
      <c r="Y4176" s="109" t="s">
        <v>144</v>
      </c>
      <c r="Z4176" s="23" t="s">
        <v>147</v>
      </c>
      <c r="AA4176" s="96">
        <f ca="1">AA4162*1.01</f>
        <v>1061940.6556191905</v>
      </c>
      <c r="AB4176" s="109" t="s">
        <v>144</v>
      </c>
      <c r="AC4176" s="23" t="s">
        <v>147</v>
      </c>
      <c r="AD4176" s="96">
        <f ca="1">AD4162*1.01</f>
        <v>1781606.0731834122</v>
      </c>
      <c r="AE4176" s="109" t="s">
        <v>144</v>
      </c>
      <c r="AF4176" s="23" t="s">
        <v>147</v>
      </c>
      <c r="AG4176" s="96">
        <f ca="1">AG4162*1.01</f>
        <v>2600302.5878867796</v>
      </c>
      <c r="AH4176" s="109" t="s">
        <v>144</v>
      </c>
      <c r="AI4176" s="23" t="s">
        <v>147</v>
      </c>
      <c r="AJ4176" s="96">
        <f ca="1">AJ4162*1.01</f>
        <v>3470113.8837827169</v>
      </c>
      <c r="AK4176" s="109" t="s">
        <v>144</v>
      </c>
      <c r="AL4176" s="23" t="s">
        <v>147</v>
      </c>
      <c r="AM4176" s="96">
        <f ca="1">AM4162*1.01</f>
        <v>4234198.3984768279</v>
      </c>
      <c r="AN4176" s="109" t="s">
        <v>144</v>
      </c>
      <c r="AO4176" s="23" t="s">
        <v>147</v>
      </c>
      <c r="AP4176" s="96">
        <f ca="1">AP4162*1.01</f>
        <v>4915772.8915089658</v>
      </c>
      <c r="AQ4176" s="109" t="s">
        <v>144</v>
      </c>
      <c r="AR4176" s="23" t="s">
        <v>147</v>
      </c>
      <c r="AS4176" s="96">
        <f ca="1">AS4162*1.01</f>
        <v>5764130.3158782367</v>
      </c>
      <c r="AT4176" s="109" t="s">
        <v>144</v>
      </c>
      <c r="AU4176" s="23" t="s">
        <v>147</v>
      </c>
    </row>
    <row r="4177" spans="15:47" x14ac:dyDescent="0.25">
      <c r="O4177" s="1"/>
      <c r="P4177" s="1"/>
      <c r="Q4177" s="1"/>
      <c r="R4177" s="98"/>
      <c r="S4177" s="107"/>
      <c r="T4177" s="1"/>
      <c r="U4177" s="47"/>
      <c r="V4177" s="107"/>
      <c r="W4177" s="1"/>
      <c r="X4177" s="47"/>
      <c r="Y4177" s="107"/>
      <c r="Z4177" s="1"/>
      <c r="AA4177" s="47"/>
      <c r="AB4177" s="107"/>
      <c r="AC4177" s="1"/>
      <c r="AD4177" s="47"/>
      <c r="AE4177" s="107"/>
      <c r="AF4177" s="1"/>
      <c r="AG4177" s="47"/>
      <c r="AH4177" s="107"/>
      <c r="AI4177" s="1"/>
      <c r="AJ4177" s="47"/>
      <c r="AK4177" s="107"/>
      <c r="AL4177" s="1"/>
      <c r="AM4177" s="47"/>
      <c r="AN4177" s="107"/>
      <c r="AO4177" s="1"/>
      <c r="AP4177" s="47"/>
      <c r="AQ4177" s="107"/>
      <c r="AR4177" s="1"/>
      <c r="AS4177" s="47"/>
      <c r="AT4177" s="107"/>
      <c r="AU4177" s="1"/>
    </row>
    <row r="4178" spans="15:47" x14ac:dyDescent="0.25">
      <c r="O4178" s="8" t="s">
        <v>132</v>
      </c>
      <c r="P4178" s="8"/>
      <c r="Q4178" s="8"/>
      <c r="R4178" s="96">
        <f>P_1_minQ-(R4176^2*R_up)+dpup_minQ</f>
        <v>87.901711242255217</v>
      </c>
      <c r="S4178" s="106"/>
      <c r="T4178" s="22"/>
      <c r="U4178" s="96">
        <f ca="1">P_1_minQ-(U4176^2*R_up)+dpup_minQ</f>
        <v>81.148906481407167</v>
      </c>
      <c r="V4178" s="107"/>
      <c r="W4178" s="1"/>
      <c r="X4178" s="96">
        <f ca="1">P_1_minQ-(X4176^2*R_up)+dpup_minQ</f>
        <v>36.006170150587316</v>
      </c>
      <c r="Y4178" s="107"/>
      <c r="Z4178" s="1"/>
      <c r="AA4178" s="96">
        <f ca="1">P_1_minQ-(AA4176^2*R_up)+dpup_minQ</f>
        <v>-115.35386171850894</v>
      </c>
      <c r="AB4178" s="107"/>
      <c r="AC4178" s="1"/>
      <c r="AD4178" s="96">
        <f ca="1">P_1_minQ-(AD4176^2*R_up)+dpup_minQ</f>
        <v>-488.33299938426325</v>
      </c>
      <c r="AE4178" s="107"/>
      <c r="AF4178" s="1"/>
      <c r="AG4178" s="96">
        <f ca="1">P_1_minQ-(AG4176^2*R_up)+dpup_minQ</f>
        <v>-1142.1855155854255</v>
      </c>
      <c r="AH4178" s="107"/>
      <c r="AI4178" s="1"/>
      <c r="AJ4178" s="96">
        <f ca="1">P_1_minQ-(AJ4176^2*R_up)+dpup_minQ</f>
        <v>-2104.544418055129</v>
      </c>
      <c r="AK4178" s="107"/>
      <c r="AL4178" s="1"/>
      <c r="AM4178" s="96">
        <f ca="1">P_1_minQ-(AM4176^2*R_up)+dpup_minQ</f>
        <v>-3177.4680553952348</v>
      </c>
      <c r="AN4178" s="107"/>
      <c r="AO4178" s="1"/>
      <c r="AP4178" s="96">
        <f ca="1">P_1_minQ-(AP4176^2*R_up)+dpup_minQ</f>
        <v>-4314.1176404971311</v>
      </c>
      <c r="AQ4178" s="107"/>
      <c r="AR4178" s="1"/>
      <c r="AS4178" s="96">
        <f ca="1">P_1_minQ-(AS4176^2*R_up)+dpup_minQ</f>
        <v>-5965.4698761778745</v>
      </c>
      <c r="AT4178" s="107"/>
      <c r="AU4178" s="1"/>
    </row>
    <row r="4179" spans="15:47" x14ac:dyDescent="0.25">
      <c r="O4179" s="8" t="s">
        <v>134</v>
      </c>
      <c r="P4179" s="1"/>
      <c r="Q4179" s="8"/>
      <c r="R4179" s="97">
        <f>P_2_minQ+(R4176^2*R_dn)-dpdn_minQ</f>
        <v>60</v>
      </c>
      <c r="S4179" s="106"/>
      <c r="T4179" s="22"/>
      <c r="U4179" s="97">
        <f ca="1">P_2_minQ+(U4176^2*R_dn)-dpdn_minQ</f>
        <v>60</v>
      </c>
      <c r="V4179" s="107"/>
      <c r="W4179" s="1"/>
      <c r="X4179" s="97">
        <f ca="1">P_2_minQ+(X4176^2*R_dn)-dpdn_minQ</f>
        <v>60</v>
      </c>
      <c r="Y4179" s="107"/>
      <c r="Z4179" s="1"/>
      <c r="AA4179" s="97">
        <f ca="1">P_2_minQ+(AA4176^2*R_dn)-dpdn_minQ</f>
        <v>60</v>
      </c>
      <c r="AB4179" s="107"/>
      <c r="AC4179" s="1"/>
      <c r="AD4179" s="97">
        <f ca="1">P_2_minQ+(AD4176^2*R_dn)-dpdn_minQ</f>
        <v>60</v>
      </c>
      <c r="AE4179" s="107"/>
      <c r="AF4179" s="1"/>
      <c r="AG4179" s="97">
        <f ca="1">P_2_minQ+(AG4176^2*R_dn)-dpdn_minQ</f>
        <v>60</v>
      </c>
      <c r="AH4179" s="107"/>
      <c r="AI4179" s="1"/>
      <c r="AJ4179" s="97">
        <f ca="1">P_2_minQ+(AJ4176^2*R_dn)-dpdn_minQ</f>
        <v>60</v>
      </c>
      <c r="AK4179" s="107"/>
      <c r="AL4179" s="1"/>
      <c r="AM4179" s="97">
        <f ca="1">P_2_minQ+(AM4176^2*R_dn)-dpdn_minQ</f>
        <v>60</v>
      </c>
      <c r="AN4179" s="107"/>
      <c r="AO4179" s="1"/>
      <c r="AP4179" s="97">
        <f ca="1">P_2_minQ+(AP4176^2*R_dn)-dpdn_minQ</f>
        <v>60</v>
      </c>
      <c r="AQ4179" s="107"/>
      <c r="AR4179" s="1"/>
      <c r="AS4179" s="97">
        <f ca="1">P_2_minQ+(AS4176^2*R_dn)-dpdn_minQ</f>
        <v>60</v>
      </c>
      <c r="AT4179" s="107"/>
      <c r="AU4179" s="1"/>
    </row>
    <row r="4180" spans="15:47" x14ac:dyDescent="0.25">
      <c r="O4180" s="8" t="s">
        <v>138</v>
      </c>
      <c r="P4180" s="1"/>
      <c r="Q4180" s="8"/>
      <c r="R4180" s="97">
        <f>R4178-R4179</f>
        <v>27.901711242255217</v>
      </c>
      <c r="S4180" s="106"/>
      <c r="T4180" s="22"/>
      <c r="U4180" s="97">
        <f ca="1">U4178-U4179</f>
        <v>21.148906481407167</v>
      </c>
      <c r="V4180" s="110"/>
      <c r="W4180" s="25"/>
      <c r="X4180" s="97">
        <f ca="1">X4178-X4179</f>
        <v>-23.993829849412684</v>
      </c>
      <c r="Y4180" s="110"/>
      <c r="Z4180" s="25"/>
      <c r="AA4180" s="97">
        <f ca="1">AA4178-AA4179</f>
        <v>-175.35386171850894</v>
      </c>
      <c r="AB4180" s="110"/>
      <c r="AC4180" s="25"/>
      <c r="AD4180" s="97">
        <f ca="1">AD4178-AD4179</f>
        <v>-548.3329993842633</v>
      </c>
      <c r="AE4180" s="110"/>
      <c r="AF4180" s="25"/>
      <c r="AG4180" s="97">
        <f ca="1">AG4178-AG4179</f>
        <v>-1202.1855155854255</v>
      </c>
      <c r="AH4180" s="110"/>
      <c r="AI4180" s="25"/>
      <c r="AJ4180" s="97">
        <f ca="1">AJ4178-AJ4179</f>
        <v>-2164.544418055129</v>
      </c>
      <c r="AK4180" s="110"/>
      <c r="AL4180" s="25"/>
      <c r="AM4180" s="97">
        <f ca="1">AM4178-AM4179</f>
        <v>-3237.4680553952348</v>
      </c>
      <c r="AN4180" s="110"/>
      <c r="AO4180" s="25"/>
      <c r="AP4180" s="97">
        <f ca="1">AP4178-AP4179</f>
        <v>-4374.1176404971311</v>
      </c>
      <c r="AQ4180" s="110"/>
      <c r="AR4180" s="25"/>
      <c r="AS4180" s="97">
        <f ca="1">AS4178-AS4179</f>
        <v>-6025.4698761778745</v>
      </c>
      <c r="AT4180" s="110"/>
      <c r="AU4180" s="25"/>
    </row>
    <row r="4181" spans="15:47" ht="14.4" x14ac:dyDescent="0.3">
      <c r="O4181" s="2" t="s">
        <v>140</v>
      </c>
      <c r="P4181" s="11"/>
      <c r="Q4181" s="2"/>
      <c r="R4181" s="96">
        <f>R4180/R4178</f>
        <v>0.31741943186246629</v>
      </c>
      <c r="S4181" s="106"/>
      <c r="T4181" s="22"/>
      <c r="U4181" s="96">
        <f ca="1">U4180/U4178</f>
        <v>0.26061850243481471</v>
      </c>
      <c r="V4181" s="111"/>
      <c r="W4181" s="28"/>
      <c r="X4181" s="96">
        <f ca="1">X4180/X4178</f>
        <v>-0.6663810604978021</v>
      </c>
      <c r="Y4181" s="111"/>
      <c r="Z4181" s="28"/>
      <c r="AA4181" s="96">
        <f ca="1">AA4180/AA4178</f>
        <v>1.5201386334721447</v>
      </c>
      <c r="AB4181" s="111"/>
      <c r="AC4181" s="28"/>
      <c r="AD4181" s="96">
        <f ca="1">AD4180/AD4178</f>
        <v>1.1228669782211191</v>
      </c>
      <c r="AE4181" s="111"/>
      <c r="AF4181" s="28"/>
      <c r="AG4181" s="96">
        <f ca="1">AG4180/AG4178</f>
        <v>1.052530871019886</v>
      </c>
      <c r="AH4181" s="111"/>
      <c r="AI4181" s="28"/>
      <c r="AJ4181" s="96">
        <f ca="1">AJ4180/AJ4178</f>
        <v>1.0285097332635287</v>
      </c>
      <c r="AK4181" s="111"/>
      <c r="AL4181" s="28"/>
      <c r="AM4181" s="96">
        <f ca="1">AM4180/AM4178</f>
        <v>1.018882959310361</v>
      </c>
      <c r="AN4181" s="111"/>
      <c r="AO4181" s="28"/>
      <c r="AP4181" s="96">
        <f ca="1">AP4180/AP4178</f>
        <v>1.0139078265823753</v>
      </c>
      <c r="AQ4181" s="111"/>
      <c r="AR4181" s="28"/>
      <c r="AS4181" s="96">
        <f ca="1">AS4180/AS4178</f>
        <v>1.0100578833261065</v>
      </c>
      <c r="AT4181" s="111"/>
      <c r="AU4181" s="28"/>
    </row>
    <row r="4182" spans="15:47" x14ac:dyDescent="0.25">
      <c r="O4182" s="2" t="s">
        <v>21</v>
      </c>
      <c r="P4182" s="8">
        <v>12</v>
      </c>
      <c r="Q4182" s="2"/>
      <c r="R4182" s="96">
        <f ca="1">1-R4181/(3*F_GAMMA*R$29)</f>
        <v>0.83468505024297091</v>
      </c>
      <c r="S4182" s="106"/>
      <c r="T4182" s="22"/>
      <c r="U4182" s="96">
        <f ca="1">1-U4181/(3*F_GAMMA*U$29)</f>
        <v>0.86429902765986644</v>
      </c>
      <c r="V4182" s="111"/>
      <c r="W4182" s="28"/>
      <c r="X4182" s="96">
        <f ca="1">1-X4181/(3*F_GAMMA*X$29)</f>
        <v>1.3502814244238466</v>
      </c>
      <c r="Y4182" s="111"/>
      <c r="Z4182" s="28"/>
      <c r="AA4182" s="96">
        <f ca="1">1-AA4181/(3*F_GAMMA*AA$29)</f>
        <v>0.18967961791271837</v>
      </c>
      <c r="AB4182" s="111"/>
      <c r="AC4182" s="28"/>
      <c r="AD4182" s="96">
        <f ca="1">1-AD4181/(3*F_GAMMA*AD$29)</f>
        <v>0.38288441385395267</v>
      </c>
      <c r="AE4182" s="111"/>
      <c r="AF4182" s="28"/>
      <c r="AG4182" s="96">
        <f ca="1">1-AG4181/(3*F_GAMMA*AG$29)</f>
        <v>0.38682922913103601</v>
      </c>
      <c r="AH4182" s="111"/>
      <c r="AI4182" s="28"/>
      <c r="AJ4182" s="96">
        <f ca="1">1-AJ4181/(3*F_GAMMA*AJ$29)</f>
        <v>0.35536776832800998</v>
      </c>
      <c r="AK4182" s="111"/>
      <c r="AL4182" s="28"/>
      <c r="AM4182" s="96">
        <f ca="1">1-AM4181/(3*F_GAMMA*AM$29)</f>
        <v>0.28599421056702556</v>
      </c>
      <c r="AN4182" s="111"/>
      <c r="AO4182" s="28"/>
      <c r="AP4182" s="96">
        <f ca="1">1-AP4181/(3*F_GAMMA*AP$29)</f>
        <v>0.42769605824003309</v>
      </c>
      <c r="AQ4182" s="111"/>
      <c r="AR4182" s="28"/>
      <c r="AS4182" s="96">
        <f ca="1">1-AS4181/(3*F_GAMMA*AS$29)</f>
        <v>0.10619872849548506</v>
      </c>
      <c r="AT4182" s="111"/>
      <c r="AU4182" s="28"/>
    </row>
    <row r="4183" spans="15:47" x14ac:dyDescent="0.25">
      <c r="O4183" s="2" t="s">
        <v>57</v>
      </c>
      <c r="P4183" s="143">
        <v>7</v>
      </c>
      <c r="Q4183" s="2"/>
      <c r="R4183" s="96">
        <f ca="1">(R4176/(N_9*R$27*R4178*R4182))*SQRT(M*'Valve Sizing'!$W$6*'Valve Sizing'!$G$8/R4181)</f>
        <v>47.107148843515262</v>
      </c>
      <c r="S4183" s="107"/>
      <c r="T4183" s="22"/>
      <c r="U4183" s="96">
        <f ca="1">(U4176/(N_9*U$27*U4178*U4182))*SQRT(M*'Valve Sizing'!$W$6*'Valve Sizing'!$G$8/U4181)</f>
        <v>108.25953148163643</v>
      </c>
      <c r="V4183" s="111"/>
      <c r="W4183" s="28"/>
      <c r="X4183" s="96" t="e">
        <f ca="1">(X4176/(N_9*X$27*X4178*X4182))*SQRT(M*'Valve Sizing'!$W$6*'Valve Sizing'!$G$8/X4181)</f>
        <v>#NUM!</v>
      </c>
      <c r="Y4183" s="111"/>
      <c r="Z4183" s="28"/>
      <c r="AA4183" s="96">
        <f ca="1">(AA4176/(N_9*AA$27*AA4178*AA4182))*SQRT(M*'Valve Sizing'!$W$6*'Valve Sizing'!$G$8/AA4181)</f>
        <v>-690.94736112427643</v>
      </c>
      <c r="AB4183" s="111"/>
      <c r="AC4183" s="28"/>
      <c r="AD4183" s="96">
        <f ca="1">(AD4176/(N_9*AD$27*AD4178*AD4182))*SQRT(M*'Valve Sizing'!$W$6*'Valve Sizing'!$G$8/AD4181)</f>
        <v>-159.79007284082633</v>
      </c>
      <c r="AE4183" s="111"/>
      <c r="AF4183" s="28"/>
      <c r="AG4183" s="96">
        <f ca="1">(AG4176/(N_9*AG$27*AG4178*AG4182))*SQRT(M*'Valve Sizing'!$W$6*'Valve Sizing'!$G$8/AG4181)</f>
        <v>-104.23219313590823</v>
      </c>
      <c r="AH4183" s="111"/>
      <c r="AI4183" s="28"/>
      <c r="AJ4183" s="96">
        <f ca="1">(AJ4176/(N_9*AJ$27*AJ4178*AJ4182))*SQRT(M*'Valve Sizing'!$W$6*'Valve Sizing'!$G$8/AJ4181)</f>
        <v>-86.134626017354208</v>
      </c>
      <c r="AK4183" s="111"/>
      <c r="AL4183" s="28"/>
      <c r="AM4183" s="96">
        <f ca="1">(AM4176/(N_9*AM$27*AM4178*AM4182))*SQRT(M*'Valve Sizing'!$W$6*'Valve Sizing'!$G$8/AM4181)</f>
        <v>-92.206957184183679</v>
      </c>
      <c r="AN4183" s="111"/>
      <c r="AO4183" s="28"/>
      <c r="AP4183" s="96">
        <f ca="1">(AP4176/(N_9*AP$27*AP4178*AP4182))*SQRT(M*'Valve Sizing'!$W$6*'Valve Sizing'!$G$8/AP4181)</f>
        <v>-60.155435932945515</v>
      </c>
      <c r="AQ4183" s="111"/>
      <c r="AR4183" s="28"/>
      <c r="AS4183" s="96">
        <f ca="1">(AS4176/(N_9*AS$27*AS4178*AS4182))*SQRT(M*'Valve Sizing'!$W$6*'Valve Sizing'!$G$8/AS4181)</f>
        <v>-275.68506700876878</v>
      </c>
      <c r="AT4183" s="111"/>
      <c r="AU4183" s="28"/>
    </row>
    <row r="4184" spans="15:47" x14ac:dyDescent="0.25">
      <c r="O4184" s="2" t="s">
        <v>59</v>
      </c>
      <c r="P4184" s="143">
        <v>7</v>
      </c>
      <c r="Q4184" s="2"/>
      <c r="R4184" s="96">
        <f ca="1">(R4176/(N_9*R$27*R4178*0.667))*SQRT(M*'Valve Sizing'!$W$6*'Valve Sizing'!$G$8/R4185)</f>
        <v>41.514547889194681</v>
      </c>
      <c r="S4184" s="107"/>
      <c r="T4184" s="22"/>
      <c r="U4184" s="96">
        <f ca="1">(U4176/(N_9*U$27*U4178*0.667))*SQRT(M*'Valve Sizing'!$W$6*'Valve Sizing'!$G$8/U4185)</f>
        <v>89.506884527530886</v>
      </c>
      <c r="V4184" s="111"/>
      <c r="W4184" s="28"/>
      <c r="X4184" s="96">
        <f ca="1">(X4176/(N_9*X$27*X4178*0.667))*SQRT(M*'Valve Sizing'!$W$6*'Valve Sizing'!$G$8/X4185)</f>
        <v>497.44239702814173</v>
      </c>
      <c r="Y4184" s="111"/>
      <c r="Z4184" s="28"/>
      <c r="AA4184" s="96">
        <f ca="1">(AA4176/(N_9*AA$27*AA4178*0.667))*SQRT(M*'Valve Sizing'!$W$6*'Valve Sizing'!$G$8/AA4185)</f>
        <v>-306.3577022345176</v>
      </c>
      <c r="AB4184" s="111"/>
      <c r="AC4184" s="28"/>
      <c r="AD4184" s="96">
        <f ca="1">(AD4176/(N_9*AD$27*AD4178*0.667))*SQRT(M*'Valve Sizing'!$W$6*'Valve Sizing'!$G$8/AD4185)</f>
        <v>-124.8060198944904</v>
      </c>
      <c r="AE4184" s="111"/>
      <c r="AF4184" s="28"/>
      <c r="AG4184" s="96">
        <f ca="1">(AG4176/(N_9*AG$27*AG4178*0.667))*SQRT(M*'Valve Sizing'!$W$6*'Valve Sizing'!$G$8/AG4185)</f>
        <v>-81.98731684419937</v>
      </c>
      <c r="AH4184" s="111"/>
      <c r="AI4184" s="28"/>
      <c r="AJ4184" s="96">
        <f ca="1">(AJ4176/(N_9*AJ$27*AJ4178*0.667))*SQRT(M*'Valve Sizing'!$W$6*'Valve Sizing'!$G$8/AJ4185)</f>
        <v>-63.818502472456537</v>
      </c>
      <c r="AK4184" s="111"/>
      <c r="AL4184" s="28"/>
      <c r="AM4184" s="96">
        <f ca="1">(AM4176/(N_9*AM$27*AM4178*0.667))*SQRT(M*'Valve Sizing'!$W$6*'Valve Sizing'!$G$8/AM4185)</f>
        <v>-57.863752217955081</v>
      </c>
      <c r="AN4184" s="111"/>
      <c r="AO4184" s="28"/>
      <c r="AP4184" s="96">
        <f ca="1">(AP4176/(N_9*AP$27*AP4178*0.667))*SQRT(M*'Valve Sizing'!$W$6*'Valve Sizing'!$G$8/AP4185)</f>
        <v>-50.542682519564032</v>
      </c>
      <c r="AQ4184" s="111"/>
      <c r="AR4184" s="28"/>
      <c r="AS4184" s="96">
        <f ca="1">(AS4176/(N_9*AS$27*AS4178*0.667))*SQRT(M*'Valve Sizing'!$W$6*'Valve Sizing'!$G$8/AS4185)</f>
        <v>-71.876651562678859</v>
      </c>
      <c r="AT4184" s="111"/>
      <c r="AU4184" s="28"/>
    </row>
    <row r="4185" spans="15:47" ht="15.6" x14ac:dyDescent="0.35">
      <c r="O4185" s="2" t="s">
        <v>68</v>
      </c>
      <c r="P4185" s="143">
        <v>10</v>
      </c>
      <c r="Q4185" s="2"/>
      <c r="R4185" s="96">
        <f ca="1">F_GAMMA*R$29</f>
        <v>0.64002969751372984</v>
      </c>
      <c r="S4185" s="107"/>
      <c r="T4185" s="1"/>
      <c r="U4185" s="96">
        <f ca="1">F_GAMMA*U$29</f>
        <v>0.64017842058782071</v>
      </c>
      <c r="V4185" s="111"/>
      <c r="W4185" s="28"/>
      <c r="X4185" s="96">
        <f ca="1">F_GAMMA*X$29</f>
        <v>0.63413873724904268</v>
      </c>
      <c r="Y4185" s="111"/>
      <c r="Z4185" s="28"/>
      <c r="AA4185" s="96">
        <f ca="1">F_GAMMA*AA$29</f>
        <v>0.62532411750377137</v>
      </c>
      <c r="AB4185" s="111"/>
      <c r="AC4185" s="28"/>
      <c r="AD4185" s="96">
        <f ca="1">F_GAMMA*AD$29</f>
        <v>0.60651359509139569</v>
      </c>
      <c r="AE4185" s="111"/>
      <c r="AF4185" s="28"/>
      <c r="AG4185" s="96">
        <f ca="1">F_GAMMA*AG$29</f>
        <v>0.57217930198481592</v>
      </c>
      <c r="AH4185" s="111"/>
      <c r="AI4185" s="28"/>
      <c r="AJ4185" s="96">
        <f ca="1">F_GAMMA*AJ$29</f>
        <v>0.53183282018848232</v>
      </c>
      <c r="AK4185" s="111"/>
      <c r="AL4185" s="28"/>
      <c r="AM4185" s="96">
        <f ca="1">F_GAMMA*AM$29</f>
        <v>0.47566512503094399</v>
      </c>
      <c r="AN4185" s="111"/>
      <c r="AO4185" s="28"/>
      <c r="AP4185" s="96">
        <f ca="1">F_GAMMA*AP$29</f>
        <v>0.59054158265645496</v>
      </c>
      <c r="AQ4185" s="111"/>
      <c r="AR4185" s="28"/>
      <c r="AS4185" s="96">
        <f ca="1">F_GAMMA*AS$29</f>
        <v>0.3766899554102966</v>
      </c>
      <c r="AT4185" s="111"/>
      <c r="AU4185" s="28"/>
    </row>
    <row r="4186" spans="15:47" x14ac:dyDescent="0.25">
      <c r="O4186" s="2" t="s">
        <v>145</v>
      </c>
      <c r="P4186" s="12"/>
      <c r="Q4186" s="2"/>
      <c r="R4186" s="96">
        <f ca="1">IF(R4181&lt;R4185,R4183,R4184)</f>
        <v>47.107148843515262</v>
      </c>
      <c r="S4186" s="116"/>
      <c r="T4186" s="1"/>
      <c r="U4186" s="96">
        <f ca="1">IF(U4181&lt;U4185,U4183,U4184)</f>
        <v>108.25953148163643</v>
      </c>
      <c r="V4186" s="111"/>
      <c r="W4186" s="28"/>
      <c r="X4186" s="96" t="e">
        <f ca="1">IF(X4181&lt;X4185,X4183,X4184)</f>
        <v>#NUM!</v>
      </c>
      <c r="Y4186" s="111"/>
      <c r="Z4186" s="28"/>
      <c r="AA4186" s="96">
        <f ca="1">IF(AA4181&lt;AA4185,AA4183,AA4184)</f>
        <v>-306.3577022345176</v>
      </c>
      <c r="AB4186" s="111"/>
      <c r="AC4186" s="28"/>
      <c r="AD4186" s="96">
        <f ca="1">IF(AD4181&lt;AD4185,AD4183,AD4184)</f>
        <v>-124.8060198944904</v>
      </c>
      <c r="AE4186" s="111"/>
      <c r="AF4186" s="28"/>
      <c r="AG4186" s="96">
        <f ca="1">IF(AG4181&lt;AG4185,AG4183,AG4184)</f>
        <v>-81.98731684419937</v>
      </c>
      <c r="AH4186" s="111"/>
      <c r="AI4186" s="28"/>
      <c r="AJ4186" s="96">
        <f ca="1">IF(AJ4181&lt;AJ4185,AJ4183,AJ4184)</f>
        <v>-63.818502472456537</v>
      </c>
      <c r="AK4186" s="111"/>
      <c r="AL4186" s="28"/>
      <c r="AM4186" s="96">
        <f ca="1">IF(AM4181&lt;AM4185,AM4183,AM4184)</f>
        <v>-57.863752217955081</v>
      </c>
      <c r="AN4186" s="111"/>
      <c r="AO4186" s="28"/>
      <c r="AP4186" s="96">
        <f ca="1">IF(AP4181&lt;AP4185,AP4183,AP4184)</f>
        <v>-50.542682519564032</v>
      </c>
      <c r="AQ4186" s="111"/>
      <c r="AR4186" s="28"/>
      <c r="AS4186" s="96">
        <f ca="1">IF(AS4181&lt;AS4185,AS4183,AS4184)</f>
        <v>-71.876651562678859</v>
      </c>
      <c r="AT4186" s="111"/>
      <c r="AU4186" s="28"/>
    </row>
    <row r="4187" spans="15:47" x14ac:dyDescent="0.25">
      <c r="O4187" s="13" t="s">
        <v>143</v>
      </c>
      <c r="P4187" s="1"/>
      <c r="Q4187" s="1"/>
      <c r="R4187" s="113"/>
      <c r="S4187" s="106">
        <f ca="1">IF(R4180&lt;=0,Q_max,ABS(R$23-R4186))</f>
        <v>42.377148843515258</v>
      </c>
      <c r="T4187" s="7">
        <f>R4176</f>
        <v>111927.68081063578</v>
      </c>
      <c r="U4187" s="98"/>
      <c r="V4187" s="106">
        <f ca="1">IF(U4180&lt;=0,Q_max,ABS(U$23-U4186))</f>
        <v>96.659531481636435</v>
      </c>
      <c r="W4187" s="9">
        <f ca="1">U4176</f>
        <v>222661.20952832617</v>
      </c>
      <c r="X4187" s="98"/>
      <c r="Y4187" s="106">
        <f ca="1">IF(X4180&lt;=0,Q_max,ABS(X$23-X4186))</f>
        <v>236393</v>
      </c>
      <c r="Z4187" s="9">
        <f ca="1">X4176</f>
        <v>545215.51302781096</v>
      </c>
      <c r="AA4187" s="98"/>
      <c r="AB4187" s="106">
        <f ca="1">IF(AA4180&lt;=0,Q_max,ABS(AA$23-AA4186))</f>
        <v>236393</v>
      </c>
      <c r="AC4187" s="9">
        <f ca="1">AA4176</f>
        <v>1061940.6556191905</v>
      </c>
      <c r="AD4187" s="98"/>
      <c r="AE4187" s="106">
        <f ca="1">IF(AD4180&lt;=0,Q_max,ABS(AD$23-AD4186))</f>
        <v>236393</v>
      </c>
      <c r="AF4187" s="9">
        <f ca="1">AD4176</f>
        <v>1781606.0731834122</v>
      </c>
      <c r="AG4187" s="98"/>
      <c r="AH4187" s="106">
        <f ca="1">IF(AG4180&lt;=0,Q_max,ABS(AG$23-AG4186))</f>
        <v>236393</v>
      </c>
      <c r="AI4187" s="9">
        <f ca="1">AG4176</f>
        <v>2600302.5878867796</v>
      </c>
      <c r="AJ4187" s="98"/>
      <c r="AK4187" s="106">
        <f ca="1">IF(AJ4180&lt;=0,Q_max,ABS(AJ$23-AJ4186))</f>
        <v>236393</v>
      </c>
      <c r="AL4187" s="9">
        <f ca="1">AJ4176</f>
        <v>3470113.8837827169</v>
      </c>
      <c r="AM4187" s="98"/>
      <c r="AN4187" s="106">
        <f ca="1">IF(AM4180&lt;=0,Q_max,ABS(AM$23-AM4186))</f>
        <v>236393</v>
      </c>
      <c r="AO4187" s="9">
        <f ca="1">AM4176</f>
        <v>4234198.3984768279</v>
      </c>
      <c r="AP4187" s="98"/>
      <c r="AQ4187" s="106">
        <f ca="1">IF(AP4180&lt;=0,Q_max,ABS(AP$23-AP4186))</f>
        <v>236393</v>
      </c>
      <c r="AR4187" s="9">
        <f ca="1">AP4176</f>
        <v>4915772.8915089658</v>
      </c>
      <c r="AS4187" s="98"/>
      <c r="AT4187" s="106">
        <f ca="1">IF(AS4180&lt;=0,Q_max,ABS(AS$23-AS4186))</f>
        <v>236393</v>
      </c>
      <c r="AU4187" s="9">
        <f ca="1">AS4176</f>
        <v>5764130.3158782367</v>
      </c>
    </row>
    <row r="4188" spans="15:47" x14ac:dyDescent="0.25">
      <c r="O4188" s="21"/>
      <c r="P4188" s="14"/>
      <c r="Q4188" s="21"/>
      <c r="R4188" s="97"/>
      <c r="S4188" s="106"/>
      <c r="T4188" s="28"/>
      <c r="U4188" s="97"/>
      <c r="V4188" s="111"/>
      <c r="W4188" s="28"/>
      <c r="X4188" s="97"/>
      <c r="Y4188" s="111"/>
      <c r="Z4188" s="28"/>
      <c r="AA4188" s="97"/>
      <c r="AB4188" s="111"/>
      <c r="AC4188" s="28"/>
      <c r="AD4188" s="97"/>
      <c r="AE4188" s="111"/>
      <c r="AF4188" s="28"/>
      <c r="AG4188" s="97"/>
      <c r="AH4188" s="111"/>
      <c r="AI4188" s="28"/>
      <c r="AJ4188" s="97"/>
      <c r="AK4188" s="111"/>
      <c r="AL4188" s="28"/>
      <c r="AM4188" s="97"/>
      <c r="AN4188" s="111"/>
      <c r="AO4188" s="28"/>
      <c r="AP4188" s="97"/>
      <c r="AQ4188" s="111"/>
      <c r="AR4188" s="28"/>
      <c r="AS4188" s="97"/>
      <c r="AT4188" s="111"/>
      <c r="AU4188" s="28"/>
    </row>
    <row r="4189" spans="15:47" x14ac:dyDescent="0.25">
      <c r="O4189" s="1"/>
      <c r="P4189" s="1"/>
      <c r="Q4189" s="1"/>
      <c r="R4189" s="98"/>
      <c r="S4189" s="108" t="s">
        <v>137</v>
      </c>
      <c r="T4189" s="26" t="s">
        <v>146</v>
      </c>
      <c r="U4189" s="98"/>
      <c r="V4189" s="108" t="s">
        <v>137</v>
      </c>
      <c r="W4189" s="26" t="s">
        <v>146</v>
      </c>
      <c r="X4189" s="98"/>
      <c r="Y4189" s="108" t="s">
        <v>137</v>
      </c>
      <c r="Z4189" s="26" t="s">
        <v>146</v>
      </c>
      <c r="AA4189" s="98"/>
      <c r="AB4189" s="108" t="s">
        <v>137</v>
      </c>
      <c r="AC4189" s="26" t="s">
        <v>146</v>
      </c>
      <c r="AD4189" s="98"/>
      <c r="AE4189" s="108" t="s">
        <v>137</v>
      </c>
      <c r="AF4189" s="26" t="s">
        <v>146</v>
      </c>
      <c r="AG4189" s="98"/>
      <c r="AH4189" s="108" t="s">
        <v>137</v>
      </c>
      <c r="AI4189" s="26" t="s">
        <v>146</v>
      </c>
      <c r="AJ4189" s="98"/>
      <c r="AK4189" s="108" t="s">
        <v>137</v>
      </c>
      <c r="AL4189" s="26" t="s">
        <v>146</v>
      </c>
      <c r="AM4189" s="98"/>
      <c r="AN4189" s="108" t="s">
        <v>137</v>
      </c>
      <c r="AO4189" s="26" t="s">
        <v>146</v>
      </c>
      <c r="AP4189" s="98"/>
      <c r="AQ4189" s="108" t="s">
        <v>137</v>
      </c>
      <c r="AR4189" s="26" t="s">
        <v>146</v>
      </c>
      <c r="AS4189" s="98"/>
      <c r="AT4189" s="108" t="s">
        <v>137</v>
      </c>
      <c r="AU4189" s="26" t="s">
        <v>146</v>
      </c>
    </row>
    <row r="4190" spans="15:47" ht="13.8" x14ac:dyDescent="0.25">
      <c r="O4190" s="20" t="s">
        <v>136</v>
      </c>
      <c r="P4190" s="1"/>
      <c r="Q4190" s="1"/>
      <c r="R4190" s="96">
        <f>R4176*1.02</f>
        <v>114166.2344268485</v>
      </c>
      <c r="S4190" s="109" t="s">
        <v>144</v>
      </c>
      <c r="T4190" s="23" t="s">
        <v>147</v>
      </c>
      <c r="U4190" s="96">
        <f ca="1">U4176*1.01</f>
        <v>224887.82162360943</v>
      </c>
      <c r="V4190" s="109" t="s">
        <v>144</v>
      </c>
      <c r="W4190" s="23" t="s">
        <v>147</v>
      </c>
      <c r="X4190" s="96">
        <f ca="1">X4176*1.01</f>
        <v>550667.66815808904</v>
      </c>
      <c r="Y4190" s="109" t="s">
        <v>144</v>
      </c>
      <c r="Z4190" s="23" t="s">
        <v>147</v>
      </c>
      <c r="AA4190" s="96">
        <f ca="1">AA4176*1.01</f>
        <v>1072560.0621753824</v>
      </c>
      <c r="AB4190" s="109" t="s">
        <v>144</v>
      </c>
      <c r="AC4190" s="23" t="s">
        <v>147</v>
      </c>
      <c r="AD4190" s="96">
        <f ca="1">AD4176*1.01</f>
        <v>1799422.1339152462</v>
      </c>
      <c r="AE4190" s="109" t="s">
        <v>144</v>
      </c>
      <c r="AF4190" s="23" t="s">
        <v>147</v>
      </c>
      <c r="AG4190" s="96">
        <f ca="1">AG4176*1.01</f>
        <v>2626305.6137656472</v>
      </c>
      <c r="AH4190" s="109" t="s">
        <v>144</v>
      </c>
      <c r="AI4190" s="23" t="s">
        <v>147</v>
      </c>
      <c r="AJ4190" s="96">
        <f ca="1">AJ4176*1.01</f>
        <v>3504815.0226205443</v>
      </c>
      <c r="AK4190" s="109" t="s">
        <v>144</v>
      </c>
      <c r="AL4190" s="23" t="s">
        <v>147</v>
      </c>
      <c r="AM4190" s="96">
        <f ca="1">AM4176*1.01</f>
        <v>4276540.3824615963</v>
      </c>
      <c r="AN4190" s="109" t="s">
        <v>144</v>
      </c>
      <c r="AO4190" s="23" t="s">
        <v>147</v>
      </c>
      <c r="AP4190" s="96">
        <f ca="1">AP4176*1.01</f>
        <v>4964930.6204240555</v>
      </c>
      <c r="AQ4190" s="109" t="s">
        <v>144</v>
      </c>
      <c r="AR4190" s="23" t="s">
        <v>147</v>
      </c>
      <c r="AS4190" s="96">
        <f ca="1">AS4176*1.01</f>
        <v>5821771.6190370191</v>
      </c>
      <c r="AT4190" s="109" t="s">
        <v>144</v>
      </c>
      <c r="AU4190" s="23" t="s">
        <v>147</v>
      </c>
    </row>
    <row r="4191" spans="15:47" x14ac:dyDescent="0.25">
      <c r="O4191" s="1"/>
      <c r="P4191" s="1"/>
      <c r="Q4191" s="1"/>
      <c r="R4191" s="98"/>
      <c r="S4191" s="107"/>
      <c r="T4191" s="1"/>
      <c r="U4191" s="47"/>
      <c r="V4191" s="107"/>
      <c r="W4191" s="1"/>
      <c r="X4191" s="47"/>
      <c r="Y4191" s="107"/>
      <c r="Z4191" s="1"/>
      <c r="AA4191" s="47"/>
      <c r="AB4191" s="107"/>
      <c r="AC4191" s="1"/>
      <c r="AD4191" s="47"/>
      <c r="AE4191" s="107"/>
      <c r="AF4191" s="1"/>
      <c r="AG4191" s="47"/>
      <c r="AH4191" s="107"/>
      <c r="AI4191" s="1"/>
      <c r="AJ4191" s="47"/>
      <c r="AK4191" s="107"/>
      <c r="AL4191" s="1"/>
      <c r="AM4191" s="47"/>
      <c r="AN4191" s="107"/>
      <c r="AO4191" s="1"/>
      <c r="AP4191" s="47"/>
      <c r="AQ4191" s="107"/>
      <c r="AR4191" s="1"/>
      <c r="AS4191" s="47"/>
      <c r="AT4191" s="107"/>
      <c r="AU4191" s="1"/>
    </row>
    <row r="4192" spans="15:47" x14ac:dyDescent="0.25">
      <c r="O4192" s="8" t="s">
        <v>132</v>
      </c>
      <c r="P4192" s="8"/>
      <c r="Q4192" s="8"/>
      <c r="R4192" s="96">
        <f>P_1_minQ-(R4190^2*R_up)+dpup_minQ</f>
        <v>87.809464739020015</v>
      </c>
      <c r="S4192" s="106"/>
      <c r="T4192" s="22"/>
      <c r="U4192" s="96">
        <f ca="1">P_1_minQ-(U4190^2*R_up)+dpup_minQ</f>
        <v>80.967280187025324</v>
      </c>
      <c r="V4192" s="107"/>
      <c r="W4192" s="1"/>
      <c r="X4192" s="96">
        <f ca="1">P_1_minQ-(X4190^2*R_up)+dpup_minQ</f>
        <v>34.917174855955977</v>
      </c>
      <c r="Y4192" s="107"/>
      <c r="Z4192" s="1"/>
      <c r="AA4192" s="96">
        <f ca="1">P_1_minQ-(AA4190^2*R_up)+dpup_minQ</f>
        <v>-119.48519365370908</v>
      </c>
      <c r="AB4192" s="107"/>
      <c r="AC4192" s="1"/>
      <c r="AD4192" s="96">
        <f ca="1">P_1_minQ-(AD4190^2*R_up)+dpup_minQ</f>
        <v>-499.96121198654492</v>
      </c>
      <c r="AE4192" s="107"/>
      <c r="AF4192" s="1"/>
      <c r="AG4192" s="96">
        <f ca="1">P_1_minQ-(AG4190^2*R_up)+dpup_minQ</f>
        <v>-1166.9561637633508</v>
      </c>
      <c r="AH4192" s="107"/>
      <c r="AI4192" s="1"/>
      <c r="AJ4192" s="96">
        <f ca="1">P_1_minQ-(AJ4190^2*R_up)+dpup_minQ</f>
        <v>-2148.6584801726954</v>
      </c>
      <c r="AK4192" s="107"/>
      <c r="AL4192" s="1"/>
      <c r="AM4192" s="96">
        <f ca="1">P_1_minQ-(AM4190^2*R_up)+dpup_minQ</f>
        <v>-3243.1478826233374</v>
      </c>
      <c r="AN4192" s="107"/>
      <c r="AO4192" s="1"/>
      <c r="AP4192" s="96">
        <f ca="1">P_1_minQ-(AP4190^2*R_up)+dpup_minQ</f>
        <v>-4402.6441243857826</v>
      </c>
      <c r="AQ4192" s="107"/>
      <c r="AR4192" s="1"/>
      <c r="AS4192" s="96">
        <f ca="1">P_1_minQ-(AS4190^2*R_up)+dpup_minQ</f>
        <v>-6087.1885400037081</v>
      </c>
      <c r="AT4192" s="107"/>
      <c r="AU4192" s="1"/>
    </row>
    <row r="4193" spans="15:47" x14ac:dyDescent="0.25">
      <c r="O4193" s="8" t="s">
        <v>134</v>
      </c>
      <c r="P4193" s="1"/>
      <c r="Q4193" s="8"/>
      <c r="R4193" s="97">
        <f>P_2_minQ+(R4190^2*R_dn)-dpdn_minQ</f>
        <v>60</v>
      </c>
      <c r="S4193" s="106"/>
      <c r="T4193" s="22"/>
      <c r="U4193" s="97">
        <f ca="1">P_2_minQ+(U4190^2*R_dn)-dpdn_minQ</f>
        <v>60</v>
      </c>
      <c r="V4193" s="107"/>
      <c r="W4193" s="1"/>
      <c r="X4193" s="97">
        <f ca="1">P_2_minQ+(X4190^2*R_dn)-dpdn_minQ</f>
        <v>60</v>
      </c>
      <c r="Y4193" s="107"/>
      <c r="Z4193" s="1"/>
      <c r="AA4193" s="97">
        <f ca="1">P_2_minQ+(AA4190^2*R_dn)-dpdn_minQ</f>
        <v>60</v>
      </c>
      <c r="AB4193" s="107"/>
      <c r="AC4193" s="1"/>
      <c r="AD4193" s="97">
        <f ca="1">P_2_minQ+(AD4190^2*R_dn)-dpdn_minQ</f>
        <v>60</v>
      </c>
      <c r="AE4193" s="107"/>
      <c r="AF4193" s="1"/>
      <c r="AG4193" s="97">
        <f ca="1">P_2_minQ+(AG4190^2*R_dn)-dpdn_minQ</f>
        <v>60</v>
      </c>
      <c r="AH4193" s="107"/>
      <c r="AI4193" s="1"/>
      <c r="AJ4193" s="97">
        <f ca="1">P_2_minQ+(AJ4190^2*R_dn)-dpdn_minQ</f>
        <v>60</v>
      </c>
      <c r="AK4193" s="107"/>
      <c r="AL4193" s="1"/>
      <c r="AM4193" s="97">
        <f ca="1">P_2_minQ+(AM4190^2*R_dn)-dpdn_minQ</f>
        <v>60</v>
      </c>
      <c r="AN4193" s="107"/>
      <c r="AO4193" s="1"/>
      <c r="AP4193" s="97">
        <f ca="1">P_2_minQ+(AP4190^2*R_dn)-dpdn_minQ</f>
        <v>60</v>
      </c>
      <c r="AQ4193" s="107"/>
      <c r="AR4193" s="1"/>
      <c r="AS4193" s="97">
        <f ca="1">P_2_minQ+(AS4190^2*R_dn)-dpdn_minQ</f>
        <v>60</v>
      </c>
      <c r="AT4193" s="107"/>
      <c r="AU4193" s="1"/>
    </row>
    <row r="4194" spans="15:47" x14ac:dyDescent="0.25">
      <c r="O4194" s="8" t="s">
        <v>138</v>
      </c>
      <c r="P4194" s="1"/>
      <c r="Q4194" s="8"/>
      <c r="R4194" s="97">
        <f>R4192-R4193</f>
        <v>27.809464739020015</v>
      </c>
      <c r="S4194" s="106"/>
      <c r="T4194" s="22"/>
      <c r="U4194" s="97">
        <f ca="1">U4192-U4193</f>
        <v>20.967280187025324</v>
      </c>
      <c r="V4194" s="110"/>
      <c r="W4194" s="25"/>
      <c r="X4194" s="97">
        <f ca="1">X4192-X4193</f>
        <v>-25.082825144044023</v>
      </c>
      <c r="Y4194" s="110"/>
      <c r="Z4194" s="25"/>
      <c r="AA4194" s="97">
        <f ca="1">AA4192-AA4193</f>
        <v>-179.48519365370908</v>
      </c>
      <c r="AB4194" s="110"/>
      <c r="AC4194" s="25"/>
      <c r="AD4194" s="97">
        <f ca="1">AD4192-AD4193</f>
        <v>-559.96121198654487</v>
      </c>
      <c r="AE4194" s="110"/>
      <c r="AF4194" s="25"/>
      <c r="AG4194" s="97">
        <f ca="1">AG4192-AG4193</f>
        <v>-1226.9561637633508</v>
      </c>
      <c r="AH4194" s="110"/>
      <c r="AI4194" s="25"/>
      <c r="AJ4194" s="97">
        <f ca="1">AJ4192-AJ4193</f>
        <v>-2208.6584801726954</v>
      </c>
      <c r="AK4194" s="110"/>
      <c r="AL4194" s="25"/>
      <c r="AM4194" s="97">
        <f ca="1">AM4192-AM4193</f>
        <v>-3303.1478826233374</v>
      </c>
      <c r="AN4194" s="110"/>
      <c r="AO4194" s="25"/>
      <c r="AP4194" s="97">
        <f ca="1">AP4192-AP4193</f>
        <v>-4462.6441243857826</v>
      </c>
      <c r="AQ4194" s="110"/>
      <c r="AR4194" s="25"/>
      <c r="AS4194" s="97">
        <f ca="1">AS4192-AS4193</f>
        <v>-6147.1885400037081</v>
      </c>
      <c r="AT4194" s="110"/>
      <c r="AU4194" s="25"/>
    </row>
    <row r="4195" spans="15:47" ht="14.4" x14ac:dyDescent="0.3">
      <c r="O4195" s="2" t="s">
        <v>140</v>
      </c>
      <c r="P4195" s="11"/>
      <c r="Q4195" s="2"/>
      <c r="R4195" s="96">
        <f>R4194/R4192</f>
        <v>0.31670236029422333</v>
      </c>
      <c r="S4195" s="106"/>
      <c r="T4195" s="22"/>
      <c r="U4195" s="96">
        <f ca="1">U4194/U4192</f>
        <v>0.25895991737147722</v>
      </c>
      <c r="V4195" s="111"/>
      <c r="W4195" s="28"/>
      <c r="X4195" s="96">
        <f ca="1">X4194/X4192</f>
        <v>-0.71835207881274321</v>
      </c>
      <c r="Y4195" s="111"/>
      <c r="Z4195" s="28"/>
      <c r="AA4195" s="96">
        <f ca="1">AA4194/AA4192</f>
        <v>1.5021542683681082</v>
      </c>
      <c r="AB4195" s="111"/>
      <c r="AC4195" s="28"/>
      <c r="AD4195" s="96">
        <f ca="1">AD4194/AD4192</f>
        <v>1.12000930984545</v>
      </c>
      <c r="AE4195" s="111"/>
      <c r="AF4195" s="28"/>
      <c r="AG4195" s="96">
        <f ca="1">AG4194/AG4192</f>
        <v>1.0514158130897602</v>
      </c>
      <c r="AH4195" s="111"/>
      <c r="AI4195" s="28"/>
      <c r="AJ4195" s="96">
        <f ca="1">AJ4194/AJ4192</f>
        <v>1.0279244005288255</v>
      </c>
      <c r="AK4195" s="111"/>
      <c r="AL4195" s="28"/>
      <c r="AM4195" s="96">
        <f ca="1">AM4194/AM4192</f>
        <v>1.0185005439688637</v>
      </c>
      <c r="AN4195" s="111"/>
      <c r="AO4195" s="28"/>
      <c r="AP4195" s="96">
        <f ca="1">AP4194/AP4192</f>
        <v>1.0136281739574784</v>
      </c>
      <c r="AQ4195" s="111"/>
      <c r="AR4195" s="28"/>
      <c r="AS4195" s="96">
        <f ca="1">AS4194/AS4192</f>
        <v>1.0098567671439274</v>
      </c>
      <c r="AT4195" s="111"/>
      <c r="AU4195" s="28"/>
    </row>
    <row r="4196" spans="15:47" x14ac:dyDescent="0.25">
      <c r="O4196" s="2" t="s">
        <v>21</v>
      </c>
      <c r="P4196" s="8">
        <v>12</v>
      </c>
      <c r="Q4196" s="2"/>
      <c r="R4196" s="96">
        <f ca="1">1-R4195/(3*F_GAMMA*R$29)</f>
        <v>0.83505850768878864</v>
      </c>
      <c r="S4196" s="106"/>
      <c r="T4196" s="22"/>
      <c r="U4196" s="96">
        <f ca="1">1-U4195/(3*F_GAMMA*U$29)</f>
        <v>0.86516263328917131</v>
      </c>
      <c r="V4196" s="111"/>
      <c r="W4196" s="28"/>
      <c r="X4196" s="96">
        <f ca="1">1-X4195/(3*F_GAMMA*X$29)</f>
        <v>1.3775998513769119</v>
      </c>
      <c r="Y4196" s="111"/>
      <c r="Z4196" s="28"/>
      <c r="AA4196" s="96">
        <f ca="1">1-AA4195/(3*F_GAMMA*AA$29)</f>
        <v>0.19926630775916587</v>
      </c>
      <c r="AB4196" s="111"/>
      <c r="AC4196" s="28"/>
      <c r="AD4196" s="96">
        <f ca="1">1-AD4195/(3*F_GAMMA*AD$29)</f>
        <v>0.38445495758608372</v>
      </c>
      <c r="AE4196" s="111"/>
      <c r="AF4196" s="28"/>
      <c r="AG4196" s="96">
        <f ca="1">1-AG4195/(3*F_GAMMA*AG$29)</f>
        <v>0.38747882616367813</v>
      </c>
      <c r="AH4196" s="111"/>
      <c r="AI4196" s="28"/>
      <c r="AJ4196" s="96">
        <f ca="1">1-AJ4195/(3*F_GAMMA*AJ$29)</f>
        <v>0.35573463344832834</v>
      </c>
      <c r="AK4196" s="111"/>
      <c r="AL4196" s="28"/>
      <c r="AM4196" s="96">
        <f ca="1">1-AM4195/(3*F_GAMMA*AM$29)</f>
        <v>0.28626219695869304</v>
      </c>
      <c r="AN4196" s="111"/>
      <c r="AO4196" s="28"/>
      <c r="AP4196" s="96">
        <f ca="1">1-AP4195/(3*F_GAMMA*AP$29)</f>
        <v>0.42785390917613997</v>
      </c>
      <c r="AQ4196" s="111"/>
      <c r="AR4196" s="28"/>
      <c r="AS4196" s="96">
        <f ca="1">1-AS4195/(3*F_GAMMA*AS$29)</f>
        <v>0.10637669641427394</v>
      </c>
      <c r="AT4196" s="111"/>
      <c r="AU4196" s="28"/>
    </row>
    <row r="4197" spans="15:47" x14ac:dyDescent="0.25">
      <c r="O4197" s="2" t="s">
        <v>57</v>
      </c>
      <c r="P4197" s="143">
        <v>7</v>
      </c>
      <c r="Q4197" s="2"/>
      <c r="R4197" s="96">
        <f ca="1">(R4190/(N_9*R$27*R4192*R4196))*SQRT(M*'Valve Sizing'!$W$6*'Valve Sizing'!$G$8/R4195)</f>
        <v>48.132655902062851</v>
      </c>
      <c r="S4197" s="107"/>
      <c r="T4197" s="22"/>
      <c r="U4197" s="96">
        <f ca="1">(U4190/(N_9*U$27*U4192*U4196))*SQRT(M*'Valve Sizing'!$W$6*'Valve Sizing'!$G$8/U4195)</f>
        <v>109.82804605034562</v>
      </c>
      <c r="V4197" s="111"/>
      <c r="W4197" s="28"/>
      <c r="X4197" s="96" t="e">
        <f ca="1">(X4190/(N_9*X$27*X4192*X4196))*SQRT(M*'Valve Sizing'!$W$6*'Valve Sizing'!$G$8/X4195)</f>
        <v>#NUM!</v>
      </c>
      <c r="Y4197" s="111"/>
      <c r="Z4197" s="28"/>
      <c r="AA4197" s="96">
        <f ca="1">(AA4190/(N_9*AA$27*AA4192*AA4196))*SQRT(M*'Valve Sizing'!$W$6*'Valve Sizing'!$G$8/AA4195)</f>
        <v>-645.14228054615114</v>
      </c>
      <c r="AB4197" s="111"/>
      <c r="AC4197" s="28"/>
      <c r="AD4197" s="96">
        <f ca="1">(AD4190/(N_9*AD$27*AD4192*AD4196))*SQRT(M*'Valve Sizing'!$W$6*'Valve Sizing'!$G$8/AD4195)</f>
        <v>-157.19057053718345</v>
      </c>
      <c r="AE4197" s="111"/>
      <c r="AF4197" s="28"/>
      <c r="AG4197" s="96">
        <f ca="1">(AG4190/(N_9*AG$27*AG4192*AG4196))*SQRT(M*'Valve Sizing'!$W$6*'Valve Sizing'!$G$8/AG4195)</f>
        <v>-102.92167173945225</v>
      </c>
      <c r="AH4197" s="111"/>
      <c r="AI4197" s="28"/>
      <c r="AJ4197" s="96">
        <f ca="1">(AJ4190/(N_9*AJ$27*AJ4192*AJ4196))*SQRT(M*'Valve Sizing'!$W$6*'Valve Sizing'!$G$8/AJ4195)</f>
        <v>-85.146215958398372</v>
      </c>
      <c r="AK4197" s="111"/>
      <c r="AL4197" s="28"/>
      <c r="AM4197" s="96">
        <f ca="1">(AM4190/(N_9*AM$27*AM4192*AM4196))*SQRT(M*'Valve Sizing'!$W$6*'Valve Sizing'!$G$8/AM4195)</f>
        <v>-91.174683338284098</v>
      </c>
      <c r="AN4197" s="111"/>
      <c r="AO4197" s="28"/>
      <c r="AP4197" s="96">
        <f ca="1">(AP4190/(N_9*AP$27*AP4192*AP4196))*SQRT(M*'Valve Sizing'!$W$6*'Valve Sizing'!$G$8/AP4195)</f>
        <v>-59.521559064367857</v>
      </c>
      <c r="AQ4197" s="111"/>
      <c r="AR4197" s="28"/>
      <c r="AS4197" s="96">
        <f ca="1">(AS4190/(N_9*AS$27*AS4192*AS4196))*SQRT(M*'Valve Sizing'!$W$6*'Valve Sizing'!$G$8/AS4195)</f>
        <v>-272.44483502314409</v>
      </c>
      <c r="AT4197" s="111"/>
      <c r="AU4197" s="28"/>
    </row>
    <row r="4198" spans="15:47" x14ac:dyDescent="0.25">
      <c r="O4198" s="2" t="s">
        <v>59</v>
      </c>
      <c r="P4198" s="143">
        <v>7</v>
      </c>
      <c r="Q4198" s="2"/>
      <c r="R4198" s="96">
        <f ca="1">(R4190/(N_9*R$27*R4192*0.667))*SQRT(M*'Valve Sizing'!$W$6*'Valve Sizing'!$G$8/R4199)</f>
        <v>42.389323383187765</v>
      </c>
      <c r="S4198" s="107"/>
      <c r="T4198" s="22"/>
      <c r="U4198" s="96">
        <f ca="1">(U4190/(N_9*U$27*U4192*0.667))*SQRT(M*'Valve Sizing'!$W$6*'Valve Sizing'!$G$8/U4199)</f>
        <v>90.60474358334622</v>
      </c>
      <c r="V4198" s="111"/>
      <c r="W4198" s="28"/>
      <c r="X4198" s="96">
        <f ca="1">(X4190/(N_9*X$27*X4192*0.667))*SQRT(M*'Valve Sizing'!$W$6*'Valve Sizing'!$G$8/X4199)</f>
        <v>518.08617444033234</v>
      </c>
      <c r="Y4198" s="111"/>
      <c r="Z4198" s="28"/>
      <c r="AA4198" s="96">
        <f ca="1">(AA4190/(N_9*AA$27*AA4192*0.667))*SQRT(M*'Valve Sizing'!$W$6*'Valve Sizing'!$G$8/AA4199)</f>
        <v>-298.72269834206605</v>
      </c>
      <c r="AB4198" s="111"/>
      <c r="AC4198" s="28"/>
      <c r="AD4198" s="96">
        <f ca="1">(AD4190/(N_9*AD$27*AD4192*0.667))*SQRT(M*'Valve Sizing'!$W$6*'Valve Sizing'!$G$8/AD4199)</f>
        <v>-123.122285371026</v>
      </c>
      <c r="AE4198" s="111"/>
      <c r="AF4198" s="28"/>
      <c r="AG4198" s="96">
        <f ca="1">(AG4190/(N_9*AG$27*AG4192*0.667))*SQRT(M*'Valve Sizing'!$W$6*'Valve Sizing'!$G$8/AG4199)</f>
        <v>-81.04946522905496</v>
      </c>
      <c r="AH4198" s="111"/>
      <c r="AI4198" s="28"/>
      <c r="AJ4198" s="96">
        <f ca="1">(AJ4190/(N_9*AJ$27*AJ4192*0.667))*SQRT(M*'Valve Sizing'!$W$6*'Valve Sizing'!$G$8/AJ4199)</f>
        <v>-63.133328600277835</v>
      </c>
      <c r="AK4198" s="111"/>
      <c r="AL4198" s="28"/>
      <c r="AM4198" s="96">
        <f ca="1">(AM4190/(N_9*AM$27*AM4192*0.667))*SQRT(M*'Valve Sizing'!$W$6*'Valve Sizing'!$G$8/AM4199)</f>
        <v>-57.25882173773303</v>
      </c>
      <c r="AN4198" s="111"/>
      <c r="AO4198" s="28"/>
      <c r="AP4198" s="96">
        <f ca="1">(AP4190/(N_9*AP$27*AP4192*0.667))*SQRT(M*'Valve Sizing'!$W$6*'Valve Sizing'!$G$8/AP4199)</f>
        <v>-50.021655808707521</v>
      </c>
      <c r="AQ4198" s="111"/>
      <c r="AR4198" s="28"/>
      <c r="AS4198" s="96">
        <f ca="1">(AS4190/(N_9*AS$27*AS4192*0.667))*SQRT(M*'Valve Sizing'!$W$6*'Valve Sizing'!$G$8/AS4199)</f>
        <v>-71.143809140895641</v>
      </c>
      <c r="AT4198" s="111"/>
      <c r="AU4198" s="28"/>
    </row>
    <row r="4199" spans="15:47" ht="15.6" x14ac:dyDescent="0.35">
      <c r="O4199" s="2" t="s">
        <v>68</v>
      </c>
      <c r="P4199" s="143">
        <v>10</v>
      </c>
      <c r="Q4199" s="2"/>
      <c r="R4199" s="96">
        <f ca="1">F_GAMMA*R$29</f>
        <v>0.64002969751372984</v>
      </c>
      <c r="S4199" s="107"/>
      <c r="T4199" s="1"/>
      <c r="U4199" s="96">
        <f ca="1">F_GAMMA*U$29</f>
        <v>0.64017842058782071</v>
      </c>
      <c r="V4199" s="111"/>
      <c r="W4199" s="28"/>
      <c r="X4199" s="96">
        <f ca="1">F_GAMMA*X$29</f>
        <v>0.63413873724904268</v>
      </c>
      <c r="Y4199" s="111"/>
      <c r="Z4199" s="28"/>
      <c r="AA4199" s="96">
        <f ca="1">F_GAMMA*AA$29</f>
        <v>0.62532411750377137</v>
      </c>
      <c r="AB4199" s="111"/>
      <c r="AC4199" s="28"/>
      <c r="AD4199" s="96">
        <f ca="1">F_GAMMA*AD$29</f>
        <v>0.60651359509139569</v>
      </c>
      <c r="AE4199" s="111"/>
      <c r="AF4199" s="28"/>
      <c r="AG4199" s="96">
        <f ca="1">F_GAMMA*AG$29</f>
        <v>0.57217930198481592</v>
      </c>
      <c r="AH4199" s="111"/>
      <c r="AI4199" s="28"/>
      <c r="AJ4199" s="96">
        <f ca="1">F_GAMMA*AJ$29</f>
        <v>0.53183282018848232</v>
      </c>
      <c r="AK4199" s="111"/>
      <c r="AL4199" s="28"/>
      <c r="AM4199" s="96">
        <f ca="1">F_GAMMA*AM$29</f>
        <v>0.47566512503094399</v>
      </c>
      <c r="AN4199" s="111"/>
      <c r="AO4199" s="28"/>
      <c r="AP4199" s="96">
        <f ca="1">F_GAMMA*AP$29</f>
        <v>0.59054158265645496</v>
      </c>
      <c r="AQ4199" s="111"/>
      <c r="AR4199" s="28"/>
      <c r="AS4199" s="96">
        <f ca="1">F_GAMMA*AS$29</f>
        <v>0.3766899554102966</v>
      </c>
      <c r="AT4199" s="111"/>
      <c r="AU4199" s="28"/>
    </row>
    <row r="4200" spans="15:47" x14ac:dyDescent="0.25">
      <c r="O4200" s="2" t="s">
        <v>145</v>
      </c>
      <c r="P4200" s="12"/>
      <c r="Q4200" s="2"/>
      <c r="R4200" s="96">
        <f ca="1">IF(R4195&lt;R4199,R4197,R4198)</f>
        <v>48.132655902062851</v>
      </c>
      <c r="S4200" s="116"/>
      <c r="T4200" s="1"/>
      <c r="U4200" s="96">
        <f ca="1">IF(U4195&lt;U4199,U4197,U4198)</f>
        <v>109.82804605034562</v>
      </c>
      <c r="V4200" s="111"/>
      <c r="W4200" s="28"/>
      <c r="X4200" s="96" t="e">
        <f ca="1">IF(X4195&lt;X4199,X4197,X4198)</f>
        <v>#NUM!</v>
      </c>
      <c r="Y4200" s="111"/>
      <c r="Z4200" s="28"/>
      <c r="AA4200" s="96">
        <f ca="1">IF(AA4195&lt;AA4199,AA4197,AA4198)</f>
        <v>-298.72269834206605</v>
      </c>
      <c r="AB4200" s="111"/>
      <c r="AC4200" s="28"/>
      <c r="AD4200" s="96">
        <f ca="1">IF(AD4195&lt;AD4199,AD4197,AD4198)</f>
        <v>-123.122285371026</v>
      </c>
      <c r="AE4200" s="111"/>
      <c r="AF4200" s="28"/>
      <c r="AG4200" s="96">
        <f ca="1">IF(AG4195&lt;AG4199,AG4197,AG4198)</f>
        <v>-81.04946522905496</v>
      </c>
      <c r="AH4200" s="111"/>
      <c r="AI4200" s="28"/>
      <c r="AJ4200" s="96">
        <f ca="1">IF(AJ4195&lt;AJ4199,AJ4197,AJ4198)</f>
        <v>-63.133328600277835</v>
      </c>
      <c r="AK4200" s="111"/>
      <c r="AL4200" s="28"/>
      <c r="AM4200" s="96">
        <f ca="1">IF(AM4195&lt;AM4199,AM4197,AM4198)</f>
        <v>-57.25882173773303</v>
      </c>
      <c r="AN4200" s="111"/>
      <c r="AO4200" s="28"/>
      <c r="AP4200" s="96">
        <f ca="1">IF(AP4195&lt;AP4199,AP4197,AP4198)</f>
        <v>-50.021655808707521</v>
      </c>
      <c r="AQ4200" s="111"/>
      <c r="AR4200" s="28"/>
      <c r="AS4200" s="96">
        <f ca="1">IF(AS4195&lt;AS4199,AS4197,AS4198)</f>
        <v>-71.143809140895641</v>
      </c>
      <c r="AT4200" s="111"/>
      <c r="AU4200" s="28"/>
    </row>
    <row r="4201" spans="15:47" x14ac:dyDescent="0.25">
      <c r="O4201" s="13" t="s">
        <v>143</v>
      </c>
      <c r="P4201" s="1"/>
      <c r="Q4201" s="1"/>
      <c r="R4201" s="113"/>
      <c r="S4201" s="106">
        <f ca="1">IF(R4194&lt;=0,Q_max,ABS(R$23-R4200))</f>
        <v>43.402655902062847</v>
      </c>
      <c r="T4201" s="7">
        <f>R4190</f>
        <v>114166.2344268485</v>
      </c>
      <c r="U4201" s="98"/>
      <c r="V4201" s="106">
        <f ca="1">IF(U4194&lt;=0,Q_max,ABS(U$23-U4200))</f>
        <v>98.228046050345625</v>
      </c>
      <c r="W4201" s="9">
        <f ca="1">U4190</f>
        <v>224887.82162360943</v>
      </c>
      <c r="X4201" s="98"/>
      <c r="Y4201" s="106">
        <f ca="1">IF(X4194&lt;=0,Q_max,ABS(X$23-X4200))</f>
        <v>236393</v>
      </c>
      <c r="Z4201" s="9">
        <f ca="1">X4190</f>
        <v>550667.66815808904</v>
      </c>
      <c r="AA4201" s="98"/>
      <c r="AB4201" s="106">
        <f ca="1">IF(AA4194&lt;=0,Q_max,ABS(AA$23-AA4200))</f>
        <v>236393</v>
      </c>
      <c r="AC4201" s="9">
        <f ca="1">AA4190</f>
        <v>1072560.0621753824</v>
      </c>
      <c r="AD4201" s="98"/>
      <c r="AE4201" s="106">
        <f ca="1">IF(AD4194&lt;=0,Q_max,ABS(AD$23-AD4200))</f>
        <v>236393</v>
      </c>
      <c r="AF4201" s="9">
        <f ca="1">AD4190</f>
        <v>1799422.1339152462</v>
      </c>
      <c r="AG4201" s="98"/>
      <c r="AH4201" s="106">
        <f ca="1">IF(AG4194&lt;=0,Q_max,ABS(AG$23-AG4200))</f>
        <v>236393</v>
      </c>
      <c r="AI4201" s="9">
        <f ca="1">AG4190</f>
        <v>2626305.6137656472</v>
      </c>
      <c r="AJ4201" s="98"/>
      <c r="AK4201" s="106">
        <f ca="1">IF(AJ4194&lt;=0,Q_max,ABS(AJ$23-AJ4200))</f>
        <v>236393</v>
      </c>
      <c r="AL4201" s="9">
        <f ca="1">AJ4190</f>
        <v>3504815.0226205443</v>
      </c>
      <c r="AM4201" s="98"/>
      <c r="AN4201" s="106">
        <f ca="1">IF(AM4194&lt;=0,Q_max,ABS(AM$23-AM4200))</f>
        <v>236393</v>
      </c>
      <c r="AO4201" s="9">
        <f ca="1">AM4190</f>
        <v>4276540.3824615963</v>
      </c>
      <c r="AP4201" s="98"/>
      <c r="AQ4201" s="106">
        <f ca="1">IF(AP4194&lt;=0,Q_max,ABS(AP$23-AP4200))</f>
        <v>236393</v>
      </c>
      <c r="AR4201" s="9">
        <f ca="1">AP4190</f>
        <v>4964930.6204240555</v>
      </c>
      <c r="AS4201" s="98"/>
      <c r="AT4201" s="106">
        <f ca="1">IF(AS4194&lt;=0,Q_max,ABS(AS$23-AS4200))</f>
        <v>236393</v>
      </c>
      <c r="AU4201" s="9">
        <f ca="1">AS4190</f>
        <v>5821771.6190370191</v>
      </c>
    </row>
    <row r="4202" spans="15:47" x14ac:dyDescent="0.25">
      <c r="O4202" s="21"/>
      <c r="P4202" s="14"/>
      <c r="Q4202" s="21"/>
      <c r="R4202" s="97"/>
      <c r="S4202" s="106"/>
      <c r="T4202" s="28"/>
      <c r="U4202" s="97"/>
      <c r="V4202" s="111"/>
      <c r="W4202" s="28"/>
      <c r="X4202" s="97"/>
      <c r="Y4202" s="111"/>
      <c r="Z4202" s="28"/>
      <c r="AA4202" s="97"/>
      <c r="AB4202" s="111"/>
      <c r="AC4202" s="28"/>
      <c r="AD4202" s="97"/>
      <c r="AE4202" s="111"/>
      <c r="AF4202" s="28"/>
      <c r="AG4202" s="97"/>
      <c r="AH4202" s="111"/>
      <c r="AI4202" s="28"/>
      <c r="AJ4202" s="97"/>
      <c r="AK4202" s="111"/>
      <c r="AL4202" s="28"/>
      <c r="AM4202" s="97"/>
      <c r="AN4202" s="111"/>
      <c r="AO4202" s="28"/>
      <c r="AP4202" s="97"/>
      <c r="AQ4202" s="111"/>
      <c r="AR4202" s="28"/>
      <c r="AS4202" s="97"/>
      <c r="AT4202" s="111"/>
      <c r="AU4202" s="28"/>
    </row>
    <row r="4203" spans="15:47" x14ac:dyDescent="0.25">
      <c r="O4203" s="1"/>
      <c r="P4203" s="1"/>
      <c r="Q4203" s="1"/>
      <c r="R4203" s="98"/>
      <c r="S4203" s="108" t="s">
        <v>137</v>
      </c>
      <c r="T4203" s="26" t="s">
        <v>146</v>
      </c>
      <c r="U4203" s="98"/>
      <c r="V4203" s="108" t="s">
        <v>137</v>
      </c>
      <c r="W4203" s="26" t="s">
        <v>146</v>
      </c>
      <c r="X4203" s="98"/>
      <c r="Y4203" s="108" t="s">
        <v>137</v>
      </c>
      <c r="Z4203" s="26" t="s">
        <v>146</v>
      </c>
      <c r="AA4203" s="98"/>
      <c r="AB4203" s="108" t="s">
        <v>137</v>
      </c>
      <c r="AC4203" s="26" t="s">
        <v>146</v>
      </c>
      <c r="AD4203" s="98"/>
      <c r="AE4203" s="108" t="s">
        <v>137</v>
      </c>
      <c r="AF4203" s="26" t="s">
        <v>146</v>
      </c>
      <c r="AG4203" s="98"/>
      <c r="AH4203" s="108" t="s">
        <v>137</v>
      </c>
      <c r="AI4203" s="26" t="s">
        <v>146</v>
      </c>
      <c r="AJ4203" s="98"/>
      <c r="AK4203" s="108" t="s">
        <v>137</v>
      </c>
      <c r="AL4203" s="26" t="s">
        <v>146</v>
      </c>
      <c r="AM4203" s="98"/>
      <c r="AN4203" s="108" t="s">
        <v>137</v>
      </c>
      <c r="AO4203" s="26" t="s">
        <v>146</v>
      </c>
      <c r="AP4203" s="98"/>
      <c r="AQ4203" s="108" t="s">
        <v>137</v>
      </c>
      <c r="AR4203" s="26" t="s">
        <v>146</v>
      </c>
      <c r="AS4203" s="98"/>
      <c r="AT4203" s="108" t="s">
        <v>137</v>
      </c>
      <c r="AU4203" s="26" t="s">
        <v>146</v>
      </c>
    </row>
    <row r="4204" spans="15:47" ht="13.8" x14ac:dyDescent="0.25">
      <c r="O4204" s="20" t="s">
        <v>136</v>
      </c>
      <c r="P4204" s="1"/>
      <c r="Q4204" s="1"/>
      <c r="R4204" s="96">
        <f>R4190*1.02</f>
        <v>116449.55911538548</v>
      </c>
      <c r="S4204" s="109" t="s">
        <v>144</v>
      </c>
      <c r="T4204" s="23" t="s">
        <v>147</v>
      </c>
      <c r="U4204" s="96">
        <f ca="1">U4190*1.01</f>
        <v>227136.69983984553</v>
      </c>
      <c r="V4204" s="109" t="s">
        <v>144</v>
      </c>
      <c r="W4204" s="23" t="s">
        <v>147</v>
      </c>
      <c r="X4204" s="96">
        <f ca="1">X4190*1.01</f>
        <v>556174.34483967</v>
      </c>
      <c r="Y4204" s="109" t="s">
        <v>144</v>
      </c>
      <c r="Z4204" s="23" t="s">
        <v>147</v>
      </c>
      <c r="AA4204" s="96">
        <f ca="1">AA4190*1.01</f>
        <v>1083285.6627971362</v>
      </c>
      <c r="AB4204" s="109" t="s">
        <v>144</v>
      </c>
      <c r="AC4204" s="23" t="s">
        <v>147</v>
      </c>
      <c r="AD4204" s="96">
        <f ca="1">AD4190*1.01</f>
        <v>1817416.3552543987</v>
      </c>
      <c r="AE4204" s="109" t="s">
        <v>144</v>
      </c>
      <c r="AF4204" s="23" t="s">
        <v>147</v>
      </c>
      <c r="AG4204" s="96">
        <f ca="1">AG4190*1.01</f>
        <v>2652568.6699033035</v>
      </c>
      <c r="AH4204" s="109" t="s">
        <v>144</v>
      </c>
      <c r="AI4204" s="23" t="s">
        <v>147</v>
      </c>
      <c r="AJ4204" s="96">
        <f ca="1">AJ4190*1.01</f>
        <v>3539863.1728467499</v>
      </c>
      <c r="AK4204" s="109" t="s">
        <v>144</v>
      </c>
      <c r="AL4204" s="23" t="s">
        <v>147</v>
      </c>
      <c r="AM4204" s="96">
        <f ca="1">AM4190*1.01</f>
        <v>4319305.7862862125</v>
      </c>
      <c r="AN4204" s="109" t="s">
        <v>144</v>
      </c>
      <c r="AO4204" s="23" t="s">
        <v>147</v>
      </c>
      <c r="AP4204" s="96">
        <f ca="1">AP4190*1.01</f>
        <v>5014579.9266282963</v>
      </c>
      <c r="AQ4204" s="109" t="s">
        <v>144</v>
      </c>
      <c r="AR4204" s="23" t="s">
        <v>147</v>
      </c>
      <c r="AS4204" s="96">
        <f ca="1">AS4190*1.01</f>
        <v>5879989.3352273889</v>
      </c>
      <c r="AT4204" s="109" t="s">
        <v>144</v>
      </c>
      <c r="AU4204" s="23" t="s">
        <v>147</v>
      </c>
    </row>
    <row r="4205" spans="15:47" x14ac:dyDescent="0.25">
      <c r="O4205" s="1"/>
      <c r="P4205" s="1"/>
      <c r="Q4205" s="1"/>
      <c r="R4205" s="98"/>
      <c r="S4205" s="107"/>
      <c r="T4205" s="1"/>
      <c r="U4205" s="47"/>
      <c r="V4205" s="107"/>
      <c r="W4205" s="1"/>
      <c r="X4205" s="47"/>
      <c r="Y4205" s="107"/>
      <c r="Z4205" s="1"/>
      <c r="AA4205" s="47"/>
      <c r="AB4205" s="107"/>
      <c r="AC4205" s="1"/>
      <c r="AD4205" s="47"/>
      <c r="AE4205" s="107"/>
      <c r="AF4205" s="1"/>
      <c r="AG4205" s="47"/>
      <c r="AH4205" s="107"/>
      <c r="AI4205" s="1"/>
      <c r="AJ4205" s="47"/>
      <c r="AK4205" s="107"/>
      <c r="AL4205" s="1"/>
      <c r="AM4205" s="47"/>
      <c r="AN4205" s="107"/>
      <c r="AO4205" s="1"/>
      <c r="AP4205" s="47"/>
      <c r="AQ4205" s="107"/>
      <c r="AR4205" s="1"/>
      <c r="AS4205" s="47"/>
      <c r="AT4205" s="107"/>
      <c r="AU4205" s="1"/>
    </row>
    <row r="4206" spans="15:47" x14ac:dyDescent="0.25">
      <c r="O4206" s="8" t="s">
        <v>132</v>
      </c>
      <c r="P4206" s="8"/>
      <c r="Q4206" s="8"/>
      <c r="R4206" s="96">
        <f>P_1_minQ-(R4204^2*R_up)+dpup_minQ</f>
        <v>87.713491477054092</v>
      </c>
      <c r="S4206" s="106"/>
      <c r="T4206" s="22"/>
      <c r="U4206" s="96">
        <f ca="1">P_1_minQ-(U4204^2*R_up)+dpup_minQ</f>
        <v>80.782003204126397</v>
      </c>
      <c r="V4206" s="107"/>
      <c r="W4206" s="1"/>
      <c r="X4206" s="96">
        <f ca="1">P_1_minQ-(X4204^2*R_up)+dpup_minQ</f>
        <v>33.806290755902545</v>
      </c>
      <c r="Y4206" s="107"/>
      <c r="Z4206" s="1"/>
      <c r="AA4206" s="96">
        <f ca="1">P_1_minQ-(AA4204^2*R_up)+dpup_minQ</f>
        <v>-123.69956536080679</v>
      </c>
      <c r="AB4206" s="107"/>
      <c r="AC4206" s="1"/>
      <c r="AD4206" s="96">
        <f ca="1">P_1_minQ-(AD4204^2*R_up)+dpup_minQ</f>
        <v>-511.8231516621326</v>
      </c>
      <c r="AE4206" s="107"/>
      <c r="AF4206" s="1"/>
      <c r="AG4206" s="96">
        <f ca="1">P_1_minQ-(AG4204^2*R_up)+dpup_minQ</f>
        <v>-1192.224701969652</v>
      </c>
      <c r="AH4206" s="107"/>
      <c r="AI4206" s="1"/>
      <c r="AJ4206" s="96">
        <f ca="1">P_1_minQ-(AJ4204^2*R_up)+dpup_minQ</f>
        <v>-2193.6592349388247</v>
      </c>
      <c r="AK4206" s="107"/>
      <c r="AL4206" s="1"/>
      <c r="AM4206" s="96">
        <f ca="1">P_1_minQ-(AM4204^2*R_up)+dpup_minQ</f>
        <v>-3310.1478743787247</v>
      </c>
      <c r="AN4206" s="107"/>
      <c r="AO4206" s="1"/>
      <c r="AP4206" s="96">
        <f ca="1">P_1_minQ-(AP4204^2*R_up)+dpup_minQ</f>
        <v>-4492.9499906005949</v>
      </c>
      <c r="AQ4206" s="107"/>
      <c r="AR4206" s="1"/>
      <c r="AS4206" s="96">
        <f ca="1">P_1_minQ-(AS4204^2*R_up)+dpup_minQ</f>
        <v>-6211.3537489724404</v>
      </c>
      <c r="AT4206" s="107"/>
      <c r="AU4206" s="1"/>
    </row>
    <row r="4207" spans="15:47" x14ac:dyDescent="0.25">
      <c r="O4207" s="8" t="s">
        <v>134</v>
      </c>
      <c r="P4207" s="1"/>
      <c r="Q4207" s="8"/>
      <c r="R4207" s="97">
        <f>P_2_minQ+(R4204^2*R_dn)-dpdn_minQ</f>
        <v>60</v>
      </c>
      <c r="S4207" s="106"/>
      <c r="T4207" s="22"/>
      <c r="U4207" s="97">
        <f ca="1">P_2_minQ+(U4204^2*R_dn)-dpdn_minQ</f>
        <v>60</v>
      </c>
      <c r="V4207" s="107"/>
      <c r="W4207" s="1"/>
      <c r="X4207" s="97">
        <f ca="1">P_2_minQ+(X4204^2*R_dn)-dpdn_minQ</f>
        <v>60</v>
      </c>
      <c r="Y4207" s="107"/>
      <c r="Z4207" s="1"/>
      <c r="AA4207" s="97">
        <f ca="1">P_2_minQ+(AA4204^2*R_dn)-dpdn_minQ</f>
        <v>60</v>
      </c>
      <c r="AB4207" s="107"/>
      <c r="AC4207" s="1"/>
      <c r="AD4207" s="97">
        <f ca="1">P_2_minQ+(AD4204^2*R_dn)-dpdn_minQ</f>
        <v>60</v>
      </c>
      <c r="AE4207" s="107"/>
      <c r="AF4207" s="1"/>
      <c r="AG4207" s="97">
        <f ca="1">P_2_minQ+(AG4204^2*R_dn)-dpdn_minQ</f>
        <v>60</v>
      </c>
      <c r="AH4207" s="107"/>
      <c r="AI4207" s="1"/>
      <c r="AJ4207" s="97">
        <f ca="1">P_2_minQ+(AJ4204^2*R_dn)-dpdn_minQ</f>
        <v>60</v>
      </c>
      <c r="AK4207" s="107"/>
      <c r="AL4207" s="1"/>
      <c r="AM4207" s="97">
        <f ca="1">P_2_minQ+(AM4204^2*R_dn)-dpdn_minQ</f>
        <v>60</v>
      </c>
      <c r="AN4207" s="107"/>
      <c r="AO4207" s="1"/>
      <c r="AP4207" s="97">
        <f ca="1">P_2_minQ+(AP4204^2*R_dn)-dpdn_minQ</f>
        <v>60</v>
      </c>
      <c r="AQ4207" s="107"/>
      <c r="AR4207" s="1"/>
      <c r="AS4207" s="97">
        <f ca="1">P_2_minQ+(AS4204^2*R_dn)-dpdn_minQ</f>
        <v>60</v>
      </c>
      <c r="AT4207" s="107"/>
      <c r="AU4207" s="1"/>
    </row>
    <row r="4208" spans="15:47" x14ac:dyDescent="0.25">
      <c r="O4208" s="8" t="s">
        <v>138</v>
      </c>
      <c r="P4208" s="1"/>
      <c r="Q4208" s="8"/>
      <c r="R4208" s="97">
        <f>R4206-R4207</f>
        <v>27.713491477054092</v>
      </c>
      <c r="S4208" s="106"/>
      <c r="T4208" s="22"/>
      <c r="U4208" s="97">
        <f ca="1">U4206-U4207</f>
        <v>20.782003204126397</v>
      </c>
      <c r="V4208" s="110"/>
      <c r="W4208" s="25"/>
      <c r="X4208" s="97">
        <f ca="1">X4206-X4207</f>
        <v>-26.193709244097455</v>
      </c>
      <c r="Y4208" s="110"/>
      <c r="Z4208" s="25"/>
      <c r="AA4208" s="97">
        <f ca="1">AA4206-AA4207</f>
        <v>-183.69956536080679</v>
      </c>
      <c r="AB4208" s="110"/>
      <c r="AC4208" s="25"/>
      <c r="AD4208" s="97">
        <f ca="1">AD4206-AD4207</f>
        <v>-571.82315166213266</v>
      </c>
      <c r="AE4208" s="110"/>
      <c r="AF4208" s="25"/>
      <c r="AG4208" s="97">
        <f ca="1">AG4206-AG4207</f>
        <v>-1252.224701969652</v>
      </c>
      <c r="AH4208" s="110"/>
      <c r="AI4208" s="25"/>
      <c r="AJ4208" s="97">
        <f ca="1">AJ4206-AJ4207</f>
        <v>-2253.6592349388247</v>
      </c>
      <c r="AK4208" s="110"/>
      <c r="AL4208" s="25"/>
      <c r="AM4208" s="97">
        <f ca="1">AM4206-AM4207</f>
        <v>-3370.1478743787247</v>
      </c>
      <c r="AN4208" s="110"/>
      <c r="AO4208" s="25"/>
      <c r="AP4208" s="97">
        <f ca="1">AP4206-AP4207</f>
        <v>-4552.9499906005949</v>
      </c>
      <c r="AQ4208" s="110"/>
      <c r="AR4208" s="25"/>
      <c r="AS4208" s="97">
        <f ca="1">AS4206-AS4207</f>
        <v>-6271.3537489724404</v>
      </c>
      <c r="AT4208" s="110"/>
      <c r="AU4208" s="25"/>
    </row>
    <row r="4209" spans="15:47" ht="14.4" x14ac:dyDescent="0.3">
      <c r="O4209" s="2" t="s">
        <v>140</v>
      </c>
      <c r="P4209" s="11"/>
      <c r="Q4209" s="2"/>
      <c r="R4209" s="96">
        <f>R4208/R4206</f>
        <v>0.31595471814394666</v>
      </c>
      <c r="S4209" s="106"/>
      <c r="T4209" s="22"/>
      <c r="U4209" s="96">
        <f ca="1">U4208/U4206</f>
        <v>0.25726031021554119</v>
      </c>
      <c r="V4209" s="111"/>
      <c r="W4209" s="28"/>
      <c r="X4209" s="96">
        <f ca="1">X4208/X4206</f>
        <v>-0.77481760519746046</v>
      </c>
      <c r="Y4209" s="111"/>
      <c r="Z4209" s="28"/>
      <c r="AA4209" s="96">
        <f ca="1">AA4208/AA4206</f>
        <v>1.4850461666942163</v>
      </c>
      <c r="AB4209" s="111"/>
      <c r="AC4209" s="28"/>
      <c r="AD4209" s="96">
        <f ca="1">AD4208/AD4206</f>
        <v>1.1172279913582486</v>
      </c>
      <c r="AE4209" s="111"/>
      <c r="AF4209" s="28"/>
      <c r="AG4209" s="96">
        <f ca="1">AG4208/AG4206</f>
        <v>1.050326083582126</v>
      </c>
      <c r="AH4209" s="111"/>
      <c r="AI4209" s="28"/>
      <c r="AJ4209" s="96">
        <f ca="1">AJ4208/AJ4206</f>
        <v>1.0273515590044109</v>
      </c>
      <c r="AK4209" s="111"/>
      <c r="AL4209" s="28"/>
      <c r="AM4209" s="96">
        <f ca="1">AM4208/AM4206</f>
        <v>1.0181260784342636</v>
      </c>
      <c r="AN4209" s="111"/>
      <c r="AO4209" s="28"/>
      <c r="AP4209" s="96">
        <f ca="1">AP4208/AP4206</f>
        <v>1.0133542550274368</v>
      </c>
      <c r="AQ4209" s="111"/>
      <c r="AR4209" s="28"/>
      <c r="AS4209" s="96">
        <f ca="1">AS4208/AS4206</f>
        <v>1.0096597299759213</v>
      </c>
      <c r="AT4209" s="111"/>
      <c r="AU4209" s="28"/>
    </row>
    <row r="4210" spans="15:47" x14ac:dyDescent="0.25">
      <c r="O4210" s="2" t="s">
        <v>21</v>
      </c>
      <c r="P4210" s="8">
        <v>12</v>
      </c>
      <c r="Q4210" s="2"/>
      <c r="R4210" s="96">
        <f ca="1">1-R4209/(3*F_GAMMA*R$29)</f>
        <v>0.83544788657395652</v>
      </c>
      <c r="S4210" s="106"/>
      <c r="T4210" s="22"/>
      <c r="U4210" s="96">
        <f ca="1">1-U4209/(3*F_GAMMA*U$29)</f>
        <v>0.86604759863699599</v>
      </c>
      <c r="V4210" s="111"/>
      <c r="W4210" s="28"/>
      <c r="X4210" s="96">
        <f ca="1">1-X4209/(3*F_GAMMA*X$29)</f>
        <v>1.4072808044911942</v>
      </c>
      <c r="Y4210" s="111"/>
      <c r="Z4210" s="28"/>
      <c r="AA4210" s="96">
        <f ca="1">1-AA4209/(3*F_GAMMA*AA$29)</f>
        <v>0.20838589934109386</v>
      </c>
      <c r="AB4210" s="111"/>
      <c r="AC4210" s="28"/>
      <c r="AD4210" s="96">
        <f ca="1">1-AD4209/(3*F_GAMMA*AD$29)</f>
        <v>0.38598354024260395</v>
      </c>
      <c r="AE4210" s="111"/>
      <c r="AF4210" s="28"/>
      <c r="AG4210" s="96">
        <f ca="1">1-AG4209/(3*F_GAMMA*AG$29)</f>
        <v>0.38811366766869471</v>
      </c>
      <c r="AH4210" s="111"/>
      <c r="AI4210" s="28"/>
      <c r="AJ4210" s="96">
        <f ca="1">1-AJ4209/(3*F_GAMMA*AJ$29)</f>
        <v>0.35609366953552812</v>
      </c>
      <c r="AK4210" s="111"/>
      <c r="AL4210" s="28"/>
      <c r="AM4210" s="96">
        <f ca="1">1-AM4209/(3*F_GAMMA*AM$29)</f>
        <v>0.28652461233938453</v>
      </c>
      <c r="AN4210" s="111"/>
      <c r="AO4210" s="28"/>
      <c r="AP4210" s="96">
        <f ca="1">1-AP4209/(3*F_GAMMA*AP$29)</f>
        <v>0.42800852370743703</v>
      </c>
      <c r="AQ4210" s="111"/>
      <c r="AR4210" s="28"/>
      <c r="AS4210" s="96">
        <f ca="1">1-AS4209/(3*F_GAMMA*AS$29)</f>
        <v>0.10655105480917848</v>
      </c>
      <c r="AT4210" s="111"/>
      <c r="AU4210" s="28"/>
    </row>
    <row r="4211" spans="15:47" x14ac:dyDescent="0.25">
      <c r="O4211" s="2" t="s">
        <v>57</v>
      </c>
      <c r="P4211" s="143">
        <v>7</v>
      </c>
      <c r="Q4211" s="2"/>
      <c r="R4211" s="96">
        <f ca="1">(R4204/(N_9*R$27*R4206*R4210))*SQRT(M*'Valve Sizing'!$W$6*'Valve Sizing'!$G$8/R4209)</f>
        <v>49.184209640049943</v>
      </c>
      <c r="S4211" s="107"/>
      <c r="T4211" s="22"/>
      <c r="U4211" s="96">
        <f ca="1">(U4204/(N_9*U$27*U4206*U4210))*SQRT(M*'Valve Sizing'!$W$6*'Valve Sizing'!$G$8/U4209)</f>
        <v>111.43341362460683</v>
      </c>
      <c r="V4211" s="111"/>
      <c r="W4211" s="28"/>
      <c r="X4211" s="96" t="e">
        <f ca="1">(X4204/(N_9*X$27*X4206*X4210))*SQRT(M*'Valve Sizing'!$W$6*'Valve Sizing'!$G$8/X4209)</f>
        <v>#NUM!</v>
      </c>
      <c r="Y4211" s="111"/>
      <c r="Z4211" s="28"/>
      <c r="AA4211" s="96">
        <f ca="1">(AA4204/(N_9*AA$27*AA4206*AA4210))*SQRT(M*'Valve Sizing'!$W$6*'Valve Sizing'!$G$8/AA4209)</f>
        <v>-605.30691134328151</v>
      </c>
      <c r="AB4211" s="111"/>
      <c r="AC4211" s="28"/>
      <c r="AD4211" s="96">
        <f ca="1">(AD4204/(N_9*AD$27*AD4206*AD4210))*SQRT(M*'Valve Sizing'!$W$6*'Valve Sizing'!$G$8/AD4209)</f>
        <v>-154.66101006719663</v>
      </c>
      <c r="AE4211" s="111"/>
      <c r="AF4211" s="28"/>
      <c r="AG4211" s="96">
        <f ca="1">(AG4204/(N_9*AG$27*AG4206*AG4210))*SQRT(M*'Valve Sizing'!$W$6*'Valve Sizing'!$G$8/AG4209)</f>
        <v>-101.63395994313524</v>
      </c>
      <c r="AH4211" s="111"/>
      <c r="AI4211" s="28"/>
      <c r="AJ4211" s="96">
        <f ca="1">(AJ4204/(N_9*AJ$27*AJ4206*AJ4210))*SQRT(M*'Valve Sizing'!$W$6*'Valve Sizing'!$G$8/AJ4209)</f>
        <v>-84.172048017990463</v>
      </c>
      <c r="AK4211" s="111"/>
      <c r="AL4211" s="28"/>
      <c r="AM4211" s="96">
        <f ca="1">(AM4204/(N_9*AM$27*AM4206*AM4210))*SQRT(M*'Valve Sizing'!$W$6*'Valve Sizing'!$G$8/AM4209)</f>
        <v>-90.156472802839289</v>
      </c>
      <c r="AN4211" s="111"/>
      <c r="AO4211" s="28"/>
      <c r="AP4211" s="96">
        <f ca="1">(AP4204/(N_9*AP$27*AP4206*AP4210))*SQRT(M*'Valve Sizing'!$W$6*'Valve Sizing'!$G$8/AP4209)</f>
        <v>-58.89513812087246</v>
      </c>
      <c r="AQ4211" s="111"/>
      <c r="AR4211" s="28"/>
      <c r="AS4211" s="96">
        <f ca="1">(AS4204/(N_9*AS$27*AS4206*AS4210))*SQRT(M*'Valve Sizing'!$W$6*'Valve Sizing'!$G$8/AS4209)</f>
        <v>-269.25362595921155</v>
      </c>
      <c r="AT4211" s="111"/>
      <c r="AU4211" s="28"/>
    </row>
    <row r="4212" spans="15:47" x14ac:dyDescent="0.25">
      <c r="O4212" s="2" t="s">
        <v>59</v>
      </c>
      <c r="P4212" s="143">
        <v>7</v>
      </c>
      <c r="Q4212" s="2"/>
      <c r="R4212" s="96">
        <f ca="1">(R4204/(N_9*R$27*R4206*0.667))*SQRT(M*'Valve Sizing'!$W$6*'Valve Sizing'!$G$8/R4213)</f>
        <v>43.284418496311737</v>
      </c>
      <c r="S4212" s="107"/>
      <c r="T4212" s="22"/>
      <c r="U4212" s="96">
        <f ca="1">(U4204/(N_9*U$27*U4206*0.667))*SQRT(M*'Valve Sizing'!$W$6*'Valve Sizing'!$G$8/U4213)</f>
        <v>91.720674936268068</v>
      </c>
      <c r="V4212" s="111"/>
      <c r="W4212" s="28"/>
      <c r="X4212" s="96">
        <f ca="1">(X4204/(N_9*X$27*X4206*0.667))*SQRT(M*'Valve Sizing'!$W$6*'Valve Sizing'!$G$8/X4213)</f>
        <v>540.46173627108612</v>
      </c>
      <c r="Y4212" s="111"/>
      <c r="Z4212" s="28"/>
      <c r="AA4212" s="96">
        <f ca="1">(AA4204/(N_9*AA$27*AA4206*0.667))*SQRT(M*'Valve Sizing'!$W$6*'Valve Sizing'!$G$8/AA4213)</f>
        <v>-291.43084496385785</v>
      </c>
      <c r="AB4212" s="111"/>
      <c r="AC4212" s="28"/>
      <c r="AD4212" s="96">
        <f ca="1">(AD4204/(N_9*AD$27*AD4206*0.667))*SQRT(M*'Valve Sizing'!$W$6*'Valve Sizing'!$G$8/AD4213)</f>
        <v>-121.47150922133196</v>
      </c>
      <c r="AE4212" s="111"/>
      <c r="AF4212" s="28"/>
      <c r="AG4212" s="96">
        <f ca="1">(AG4204/(N_9*AG$27*AG4206*0.667))*SQRT(M*'Valve Sizing'!$W$6*'Valve Sizing'!$G$8/AG4213)</f>
        <v>-80.124983647074615</v>
      </c>
      <c r="AH4212" s="111"/>
      <c r="AI4212" s="28"/>
      <c r="AJ4212" s="96">
        <f ca="1">(AJ4204/(N_9*AJ$27*AJ4206*0.667))*SQRT(M*'Valve Sizing'!$W$6*'Valve Sizing'!$G$8/AJ4213)</f>
        <v>-62.456592762969542</v>
      </c>
      <c r="AK4212" s="111"/>
      <c r="AL4212" s="28"/>
      <c r="AM4212" s="96">
        <f ca="1">(AM4204/(N_9*AM$27*AM4206*0.667))*SQRT(M*'Valve Sizing'!$W$6*'Valve Sizing'!$G$8/AM4213)</f>
        <v>-56.660856814513259</v>
      </c>
      <c r="AN4212" s="111"/>
      <c r="AO4212" s="28"/>
      <c r="AP4212" s="96">
        <f ca="1">(AP4204/(N_9*AP$27*AP4206*0.667))*SQRT(M*'Valve Sizing'!$W$6*'Valve Sizing'!$G$8/AP4213)</f>
        <v>-49.506410041057102</v>
      </c>
      <c r="AQ4212" s="111"/>
      <c r="AR4212" s="28"/>
      <c r="AS4212" s="96">
        <f ca="1">(AS4204/(N_9*AS$27*AS4206*0.667))*SQRT(M*'Valve Sizing'!$W$6*'Valve Sizing'!$G$8/AS4213)</f>
        <v>-70.418857976649178</v>
      </c>
      <c r="AT4212" s="111"/>
      <c r="AU4212" s="28"/>
    </row>
    <row r="4213" spans="15:47" ht="15.6" x14ac:dyDescent="0.35">
      <c r="O4213" s="2" t="s">
        <v>68</v>
      </c>
      <c r="P4213" s="143">
        <v>10</v>
      </c>
      <c r="Q4213" s="2"/>
      <c r="R4213" s="96">
        <f ca="1">F_GAMMA*R$29</f>
        <v>0.64002969751372984</v>
      </c>
      <c r="S4213" s="107"/>
      <c r="T4213" s="1"/>
      <c r="U4213" s="96">
        <f ca="1">F_GAMMA*U$29</f>
        <v>0.64017842058782071</v>
      </c>
      <c r="V4213" s="111"/>
      <c r="W4213" s="28"/>
      <c r="X4213" s="96">
        <f ca="1">F_GAMMA*X$29</f>
        <v>0.63413873724904268</v>
      </c>
      <c r="Y4213" s="111"/>
      <c r="Z4213" s="28"/>
      <c r="AA4213" s="96">
        <f ca="1">F_GAMMA*AA$29</f>
        <v>0.62532411750377137</v>
      </c>
      <c r="AB4213" s="111"/>
      <c r="AC4213" s="28"/>
      <c r="AD4213" s="96">
        <f ca="1">F_GAMMA*AD$29</f>
        <v>0.60651359509139569</v>
      </c>
      <c r="AE4213" s="111"/>
      <c r="AF4213" s="28"/>
      <c r="AG4213" s="96">
        <f ca="1">F_GAMMA*AG$29</f>
        <v>0.57217930198481592</v>
      </c>
      <c r="AH4213" s="111"/>
      <c r="AI4213" s="28"/>
      <c r="AJ4213" s="96">
        <f ca="1">F_GAMMA*AJ$29</f>
        <v>0.53183282018848232</v>
      </c>
      <c r="AK4213" s="111"/>
      <c r="AL4213" s="28"/>
      <c r="AM4213" s="96">
        <f ca="1">F_GAMMA*AM$29</f>
        <v>0.47566512503094399</v>
      </c>
      <c r="AN4213" s="111"/>
      <c r="AO4213" s="28"/>
      <c r="AP4213" s="96">
        <f ca="1">F_GAMMA*AP$29</f>
        <v>0.59054158265645496</v>
      </c>
      <c r="AQ4213" s="111"/>
      <c r="AR4213" s="28"/>
      <c r="AS4213" s="96">
        <f ca="1">F_GAMMA*AS$29</f>
        <v>0.3766899554102966</v>
      </c>
      <c r="AT4213" s="111"/>
      <c r="AU4213" s="28"/>
    </row>
    <row r="4214" spans="15:47" x14ac:dyDescent="0.25">
      <c r="O4214" s="2" t="s">
        <v>145</v>
      </c>
      <c r="P4214" s="12"/>
      <c r="Q4214" s="2"/>
      <c r="R4214" s="96">
        <f ca="1">IF(R4209&lt;R4213,R4211,R4212)</f>
        <v>49.184209640049943</v>
      </c>
      <c r="S4214" s="116"/>
      <c r="T4214" s="1"/>
      <c r="U4214" s="96">
        <f ca="1">IF(U4209&lt;U4213,U4211,U4212)</f>
        <v>111.43341362460683</v>
      </c>
      <c r="V4214" s="111"/>
      <c r="W4214" s="28"/>
      <c r="X4214" s="96" t="e">
        <f ca="1">IF(X4209&lt;X4213,X4211,X4212)</f>
        <v>#NUM!</v>
      </c>
      <c r="Y4214" s="111"/>
      <c r="Z4214" s="28"/>
      <c r="AA4214" s="96">
        <f ca="1">IF(AA4209&lt;AA4213,AA4211,AA4212)</f>
        <v>-291.43084496385785</v>
      </c>
      <c r="AB4214" s="111"/>
      <c r="AC4214" s="28"/>
      <c r="AD4214" s="96">
        <f ca="1">IF(AD4209&lt;AD4213,AD4211,AD4212)</f>
        <v>-121.47150922133196</v>
      </c>
      <c r="AE4214" s="111"/>
      <c r="AF4214" s="28"/>
      <c r="AG4214" s="96">
        <f ca="1">IF(AG4209&lt;AG4213,AG4211,AG4212)</f>
        <v>-80.124983647074615</v>
      </c>
      <c r="AH4214" s="111"/>
      <c r="AI4214" s="28"/>
      <c r="AJ4214" s="96">
        <f ca="1">IF(AJ4209&lt;AJ4213,AJ4211,AJ4212)</f>
        <v>-62.456592762969542</v>
      </c>
      <c r="AK4214" s="111"/>
      <c r="AL4214" s="28"/>
      <c r="AM4214" s="96">
        <f ca="1">IF(AM4209&lt;AM4213,AM4211,AM4212)</f>
        <v>-56.660856814513259</v>
      </c>
      <c r="AN4214" s="111"/>
      <c r="AO4214" s="28"/>
      <c r="AP4214" s="96">
        <f ca="1">IF(AP4209&lt;AP4213,AP4211,AP4212)</f>
        <v>-49.506410041057102</v>
      </c>
      <c r="AQ4214" s="111"/>
      <c r="AR4214" s="28"/>
      <c r="AS4214" s="96">
        <f ca="1">IF(AS4209&lt;AS4213,AS4211,AS4212)</f>
        <v>-70.418857976649178</v>
      </c>
      <c r="AT4214" s="111"/>
      <c r="AU4214" s="28"/>
    </row>
    <row r="4215" spans="15:47" x14ac:dyDescent="0.25">
      <c r="O4215" s="13" t="s">
        <v>143</v>
      </c>
      <c r="P4215" s="1"/>
      <c r="Q4215" s="1"/>
      <c r="R4215" s="113"/>
      <c r="S4215" s="106">
        <f ca="1">IF(R4208&lt;=0,Q_max,ABS(R$23-R4214))</f>
        <v>44.454209640049939</v>
      </c>
      <c r="T4215" s="7">
        <f>R4204</f>
        <v>116449.55911538548</v>
      </c>
      <c r="U4215" s="98"/>
      <c r="V4215" s="106">
        <f ca="1">IF(U4208&lt;=0,Q_max,ABS(U$23-U4214))</f>
        <v>99.833413624606834</v>
      </c>
      <c r="W4215" s="9">
        <f ca="1">U4204</f>
        <v>227136.69983984553</v>
      </c>
      <c r="X4215" s="98"/>
      <c r="Y4215" s="106">
        <f ca="1">IF(X4208&lt;=0,Q_max,ABS(X$23-X4214))</f>
        <v>236393</v>
      </c>
      <c r="Z4215" s="9">
        <f ca="1">X4204</f>
        <v>556174.34483967</v>
      </c>
      <c r="AA4215" s="98"/>
      <c r="AB4215" s="106">
        <f ca="1">IF(AA4208&lt;=0,Q_max,ABS(AA$23-AA4214))</f>
        <v>236393</v>
      </c>
      <c r="AC4215" s="9">
        <f ca="1">AA4204</f>
        <v>1083285.6627971362</v>
      </c>
      <c r="AD4215" s="98"/>
      <c r="AE4215" s="106">
        <f ca="1">IF(AD4208&lt;=0,Q_max,ABS(AD$23-AD4214))</f>
        <v>236393</v>
      </c>
      <c r="AF4215" s="9">
        <f ca="1">AD4204</f>
        <v>1817416.3552543987</v>
      </c>
      <c r="AG4215" s="98"/>
      <c r="AH4215" s="106">
        <f ca="1">IF(AG4208&lt;=0,Q_max,ABS(AG$23-AG4214))</f>
        <v>236393</v>
      </c>
      <c r="AI4215" s="9">
        <f ca="1">AG4204</f>
        <v>2652568.6699033035</v>
      </c>
      <c r="AJ4215" s="98"/>
      <c r="AK4215" s="106">
        <f ca="1">IF(AJ4208&lt;=0,Q_max,ABS(AJ$23-AJ4214))</f>
        <v>236393</v>
      </c>
      <c r="AL4215" s="9">
        <f ca="1">AJ4204</f>
        <v>3539863.1728467499</v>
      </c>
      <c r="AM4215" s="98"/>
      <c r="AN4215" s="106">
        <f ca="1">IF(AM4208&lt;=0,Q_max,ABS(AM$23-AM4214))</f>
        <v>236393</v>
      </c>
      <c r="AO4215" s="9">
        <f ca="1">AM4204</f>
        <v>4319305.7862862125</v>
      </c>
      <c r="AP4215" s="98"/>
      <c r="AQ4215" s="106">
        <f ca="1">IF(AP4208&lt;=0,Q_max,ABS(AP$23-AP4214))</f>
        <v>236393</v>
      </c>
      <c r="AR4215" s="9">
        <f ca="1">AP4204</f>
        <v>5014579.9266282963</v>
      </c>
      <c r="AS4215" s="98"/>
      <c r="AT4215" s="106">
        <f ca="1">IF(AS4208&lt;=0,Q_max,ABS(AS$23-AS4214))</f>
        <v>236393</v>
      </c>
      <c r="AU4215" s="9">
        <f ca="1">AS4204</f>
        <v>5879989.3352273889</v>
      </c>
    </row>
    <row r="4216" spans="15:47" x14ac:dyDescent="0.25">
      <c r="O4216" s="21"/>
      <c r="P4216" s="14"/>
      <c r="Q4216" s="21"/>
      <c r="R4216" s="97"/>
      <c r="S4216" s="106"/>
      <c r="T4216" s="28"/>
      <c r="U4216" s="97"/>
      <c r="V4216" s="111"/>
      <c r="W4216" s="28"/>
      <c r="X4216" s="97"/>
      <c r="Y4216" s="111"/>
      <c r="Z4216" s="28"/>
      <c r="AA4216" s="97"/>
      <c r="AB4216" s="111"/>
      <c r="AC4216" s="28"/>
      <c r="AD4216" s="97"/>
      <c r="AE4216" s="111"/>
      <c r="AF4216" s="28"/>
      <c r="AG4216" s="97"/>
      <c r="AH4216" s="111"/>
      <c r="AI4216" s="28"/>
      <c r="AJ4216" s="97"/>
      <c r="AK4216" s="111"/>
      <c r="AL4216" s="28"/>
      <c r="AM4216" s="97"/>
      <c r="AN4216" s="111"/>
      <c r="AO4216" s="28"/>
      <c r="AP4216" s="97"/>
      <c r="AQ4216" s="111"/>
      <c r="AR4216" s="28"/>
      <c r="AS4216" s="97"/>
      <c r="AT4216" s="111"/>
      <c r="AU4216" s="28"/>
    </row>
    <row r="4217" spans="15:47" x14ac:dyDescent="0.25">
      <c r="O4217" s="1"/>
      <c r="P4217" s="1"/>
      <c r="Q4217" s="1"/>
      <c r="R4217" s="98"/>
      <c r="S4217" s="108" t="s">
        <v>137</v>
      </c>
      <c r="T4217" s="26" t="s">
        <v>146</v>
      </c>
      <c r="U4217" s="98"/>
      <c r="V4217" s="108" t="s">
        <v>137</v>
      </c>
      <c r="W4217" s="26" t="s">
        <v>146</v>
      </c>
      <c r="X4217" s="98"/>
      <c r="Y4217" s="108" t="s">
        <v>137</v>
      </c>
      <c r="Z4217" s="26" t="s">
        <v>146</v>
      </c>
      <c r="AA4217" s="98"/>
      <c r="AB4217" s="108" t="s">
        <v>137</v>
      </c>
      <c r="AC4217" s="26" t="s">
        <v>146</v>
      </c>
      <c r="AD4217" s="98"/>
      <c r="AE4217" s="108" t="s">
        <v>137</v>
      </c>
      <c r="AF4217" s="26" t="s">
        <v>146</v>
      </c>
      <c r="AG4217" s="98"/>
      <c r="AH4217" s="108" t="s">
        <v>137</v>
      </c>
      <c r="AI4217" s="26" t="s">
        <v>146</v>
      </c>
      <c r="AJ4217" s="98"/>
      <c r="AK4217" s="108" t="s">
        <v>137</v>
      </c>
      <c r="AL4217" s="26" t="s">
        <v>146</v>
      </c>
      <c r="AM4217" s="98"/>
      <c r="AN4217" s="108" t="s">
        <v>137</v>
      </c>
      <c r="AO4217" s="26" t="s">
        <v>146</v>
      </c>
      <c r="AP4217" s="98"/>
      <c r="AQ4217" s="108" t="s">
        <v>137</v>
      </c>
      <c r="AR4217" s="26" t="s">
        <v>146</v>
      </c>
      <c r="AS4217" s="98"/>
      <c r="AT4217" s="108" t="s">
        <v>137</v>
      </c>
      <c r="AU4217" s="26" t="s">
        <v>146</v>
      </c>
    </row>
    <row r="4218" spans="15:47" ht="13.8" x14ac:dyDescent="0.25">
      <c r="O4218" s="20" t="s">
        <v>136</v>
      </c>
      <c r="P4218" s="1"/>
      <c r="Q4218" s="1"/>
      <c r="R4218" s="96">
        <f>R4204*1.02</f>
        <v>118778.55029769319</v>
      </c>
      <c r="S4218" s="109" t="s">
        <v>144</v>
      </c>
      <c r="T4218" s="23" t="s">
        <v>147</v>
      </c>
      <c r="U4218" s="96">
        <f ca="1">U4204*1.01</f>
        <v>229408.06683824398</v>
      </c>
      <c r="V4218" s="109" t="s">
        <v>144</v>
      </c>
      <c r="W4218" s="23" t="s">
        <v>147</v>
      </c>
      <c r="X4218" s="96">
        <f ca="1">X4204*1.01</f>
        <v>561736.08828806668</v>
      </c>
      <c r="Y4218" s="109" t="s">
        <v>144</v>
      </c>
      <c r="Z4218" s="23" t="s">
        <v>147</v>
      </c>
      <c r="AA4218" s="96">
        <f ca="1">AA4204*1.01</f>
        <v>1094118.5194251076</v>
      </c>
      <c r="AB4218" s="109" t="s">
        <v>144</v>
      </c>
      <c r="AC4218" s="23" t="s">
        <v>147</v>
      </c>
      <c r="AD4218" s="96">
        <f ca="1">AD4204*1.01</f>
        <v>1835590.5188069427</v>
      </c>
      <c r="AE4218" s="109" t="s">
        <v>144</v>
      </c>
      <c r="AF4218" s="23" t="s">
        <v>147</v>
      </c>
      <c r="AG4218" s="96">
        <f ca="1">AG4204*1.01</f>
        <v>2679094.3566023367</v>
      </c>
      <c r="AH4218" s="109" t="s">
        <v>144</v>
      </c>
      <c r="AI4218" s="23" t="s">
        <v>147</v>
      </c>
      <c r="AJ4218" s="96">
        <f ca="1">AJ4204*1.01</f>
        <v>3575261.8045752174</v>
      </c>
      <c r="AK4218" s="109" t="s">
        <v>144</v>
      </c>
      <c r="AL4218" s="23" t="s">
        <v>147</v>
      </c>
      <c r="AM4218" s="96">
        <f ca="1">AM4204*1.01</f>
        <v>4362498.8441490745</v>
      </c>
      <c r="AN4218" s="109" t="s">
        <v>144</v>
      </c>
      <c r="AO4218" s="23" t="s">
        <v>147</v>
      </c>
      <c r="AP4218" s="96">
        <f ca="1">AP4204*1.01</f>
        <v>5064725.7258945797</v>
      </c>
      <c r="AQ4218" s="109" t="s">
        <v>144</v>
      </c>
      <c r="AR4218" s="23" t="s">
        <v>147</v>
      </c>
      <c r="AS4218" s="96">
        <f ca="1">AS4204*1.01</f>
        <v>5938789.2285796627</v>
      </c>
      <c r="AT4218" s="109" t="s">
        <v>144</v>
      </c>
      <c r="AU4218" s="23" t="s">
        <v>147</v>
      </c>
    </row>
    <row r="4219" spans="15:47" x14ac:dyDescent="0.25">
      <c r="O4219" s="1"/>
      <c r="P4219" s="1"/>
      <c r="Q4219" s="1"/>
      <c r="R4219" s="98"/>
      <c r="S4219" s="107"/>
      <c r="T4219" s="1"/>
      <c r="U4219" s="47"/>
      <c r="V4219" s="107"/>
      <c r="W4219" s="1"/>
      <c r="X4219" s="47"/>
      <c r="Y4219" s="107"/>
      <c r="Z4219" s="1"/>
      <c r="AA4219" s="47"/>
      <c r="AB4219" s="107"/>
      <c r="AC4219" s="1"/>
      <c r="AD4219" s="47"/>
      <c r="AE4219" s="107"/>
      <c r="AF4219" s="1"/>
      <c r="AG4219" s="47"/>
      <c r="AH4219" s="107"/>
      <c r="AI4219" s="1"/>
      <c r="AJ4219" s="47"/>
      <c r="AK4219" s="107"/>
      <c r="AL4219" s="1"/>
      <c r="AM4219" s="47"/>
      <c r="AN4219" s="107"/>
      <c r="AO4219" s="1"/>
      <c r="AP4219" s="47"/>
      <c r="AQ4219" s="107"/>
      <c r="AR4219" s="1"/>
      <c r="AS4219" s="47"/>
      <c r="AT4219" s="107"/>
      <c r="AU4219" s="1"/>
    </row>
    <row r="4220" spans="15:47" x14ac:dyDescent="0.25">
      <c r="O4220" s="8" t="s">
        <v>132</v>
      </c>
      <c r="P4220" s="8"/>
      <c r="Q4220" s="8"/>
      <c r="R4220" s="96">
        <f>P_1_minQ-(R4218^2*R_up)+dpup_minQ</f>
        <v>87.613640895304755</v>
      </c>
      <c r="S4220" s="106"/>
      <c r="T4220" s="22"/>
      <c r="U4220" s="96">
        <f ca="1">P_1_minQ-(U4218^2*R_up)+dpup_minQ</f>
        <v>80.593002153871197</v>
      </c>
      <c r="V4220" s="107"/>
      <c r="W4220" s="1"/>
      <c r="X4220" s="96">
        <f ca="1">P_1_minQ-(X4218^2*R_up)+dpup_minQ</f>
        <v>32.673077885438055</v>
      </c>
      <c r="Y4220" s="107"/>
      <c r="Z4220" s="1"/>
      <c r="AA4220" s="96">
        <f ca="1">P_1_minQ-(AA4218^2*R_up)+dpup_minQ</f>
        <v>-127.99864593921714</v>
      </c>
      <c r="AB4220" s="107"/>
      <c r="AC4220" s="1"/>
      <c r="AD4220" s="96">
        <f ca="1">P_1_minQ-(AD4218^2*R_up)+dpup_minQ</f>
        <v>-523.92351632519978</v>
      </c>
      <c r="AE4220" s="107"/>
      <c r="AF4220" s="1"/>
      <c r="AG4220" s="96">
        <f ca="1">P_1_minQ-(AG4218^2*R_up)+dpup_minQ</f>
        <v>-1218.0011377939002</v>
      </c>
      <c r="AH4220" s="107"/>
      <c r="AI4220" s="1"/>
      <c r="AJ4220" s="96">
        <f ca="1">P_1_minQ-(AJ4218^2*R_up)+dpup_minQ</f>
        <v>-2239.5645048757533</v>
      </c>
      <c r="AK4220" s="107"/>
      <c r="AL4220" s="1"/>
      <c r="AM4220" s="96">
        <f ca="1">P_1_minQ-(AM4218^2*R_up)+dpup_minQ</f>
        <v>-3378.4945659683954</v>
      </c>
      <c r="AN4220" s="107"/>
      <c r="AO4220" s="1"/>
      <c r="AP4220" s="96">
        <f ca="1">P_1_minQ-(AP4218^2*R_up)+dpup_minQ</f>
        <v>-4585.0710047263256</v>
      </c>
      <c r="AQ4220" s="107"/>
      <c r="AR4220" s="1"/>
      <c r="AS4220" s="96">
        <f ca="1">P_1_minQ-(AS4218^2*R_up)+dpup_minQ</f>
        <v>-6338.0146786414443</v>
      </c>
      <c r="AT4220" s="107"/>
      <c r="AU4220" s="1"/>
    </row>
    <row r="4221" spans="15:47" x14ac:dyDescent="0.25">
      <c r="O4221" s="8" t="s">
        <v>134</v>
      </c>
      <c r="P4221" s="1"/>
      <c r="Q4221" s="8"/>
      <c r="R4221" s="97">
        <f>P_2_minQ+(R4218^2*R_dn)-dpdn_minQ</f>
        <v>60</v>
      </c>
      <c r="S4221" s="106"/>
      <c r="T4221" s="22"/>
      <c r="U4221" s="97">
        <f ca="1">P_2_minQ+(U4218^2*R_dn)-dpdn_minQ</f>
        <v>60</v>
      </c>
      <c r="V4221" s="107"/>
      <c r="W4221" s="1"/>
      <c r="X4221" s="97">
        <f ca="1">P_2_minQ+(X4218^2*R_dn)-dpdn_minQ</f>
        <v>60</v>
      </c>
      <c r="Y4221" s="107"/>
      <c r="Z4221" s="1"/>
      <c r="AA4221" s="97">
        <f ca="1">P_2_minQ+(AA4218^2*R_dn)-dpdn_minQ</f>
        <v>60</v>
      </c>
      <c r="AB4221" s="107"/>
      <c r="AC4221" s="1"/>
      <c r="AD4221" s="97">
        <f ca="1">P_2_minQ+(AD4218^2*R_dn)-dpdn_minQ</f>
        <v>60</v>
      </c>
      <c r="AE4221" s="107"/>
      <c r="AF4221" s="1"/>
      <c r="AG4221" s="97">
        <f ca="1">P_2_minQ+(AG4218^2*R_dn)-dpdn_minQ</f>
        <v>60</v>
      </c>
      <c r="AH4221" s="107"/>
      <c r="AI4221" s="1"/>
      <c r="AJ4221" s="97">
        <f ca="1">P_2_minQ+(AJ4218^2*R_dn)-dpdn_minQ</f>
        <v>60</v>
      </c>
      <c r="AK4221" s="107"/>
      <c r="AL4221" s="1"/>
      <c r="AM4221" s="97">
        <f ca="1">P_2_minQ+(AM4218^2*R_dn)-dpdn_minQ</f>
        <v>60</v>
      </c>
      <c r="AN4221" s="107"/>
      <c r="AO4221" s="1"/>
      <c r="AP4221" s="97">
        <f ca="1">P_2_minQ+(AP4218^2*R_dn)-dpdn_minQ</f>
        <v>60</v>
      </c>
      <c r="AQ4221" s="107"/>
      <c r="AR4221" s="1"/>
      <c r="AS4221" s="97">
        <f ca="1">P_2_minQ+(AS4218^2*R_dn)-dpdn_minQ</f>
        <v>60</v>
      </c>
      <c r="AT4221" s="107"/>
      <c r="AU4221" s="1"/>
    </row>
    <row r="4222" spans="15:47" x14ac:dyDescent="0.25">
      <c r="O4222" s="8" t="s">
        <v>138</v>
      </c>
      <c r="P4222" s="1"/>
      <c r="Q4222" s="8"/>
      <c r="R4222" s="97">
        <f>R4220-R4221</f>
        <v>27.613640895304755</v>
      </c>
      <c r="S4222" s="106"/>
      <c r="T4222" s="22"/>
      <c r="U4222" s="97">
        <f ca="1">U4220-U4221</f>
        <v>20.593002153871197</v>
      </c>
      <c r="V4222" s="110"/>
      <c r="W4222" s="25"/>
      <c r="X4222" s="97">
        <f ca="1">X4220-X4221</f>
        <v>-27.326922114561945</v>
      </c>
      <c r="Y4222" s="110"/>
      <c r="Z4222" s="25"/>
      <c r="AA4222" s="97">
        <f ca="1">AA4220-AA4221</f>
        <v>-187.99864593921714</v>
      </c>
      <c r="AB4222" s="110"/>
      <c r="AC4222" s="25"/>
      <c r="AD4222" s="97">
        <f ca="1">AD4220-AD4221</f>
        <v>-583.92351632519978</v>
      </c>
      <c r="AE4222" s="110"/>
      <c r="AF4222" s="25"/>
      <c r="AG4222" s="97">
        <f ca="1">AG4220-AG4221</f>
        <v>-1278.0011377939002</v>
      </c>
      <c r="AH4222" s="110"/>
      <c r="AI4222" s="25"/>
      <c r="AJ4222" s="97">
        <f ca="1">AJ4220-AJ4221</f>
        <v>-2299.5645048757533</v>
      </c>
      <c r="AK4222" s="110"/>
      <c r="AL4222" s="25"/>
      <c r="AM4222" s="97">
        <f ca="1">AM4220-AM4221</f>
        <v>-3438.4945659683954</v>
      </c>
      <c r="AN4222" s="110"/>
      <c r="AO4222" s="25"/>
      <c r="AP4222" s="97">
        <f ca="1">AP4220-AP4221</f>
        <v>-4645.0710047263256</v>
      </c>
      <c r="AQ4222" s="110"/>
      <c r="AR4222" s="25"/>
      <c r="AS4222" s="97">
        <f ca="1">AS4220-AS4221</f>
        <v>-6398.0146786414443</v>
      </c>
      <c r="AT4222" s="110"/>
      <c r="AU4222" s="25"/>
    </row>
    <row r="4223" spans="15:47" ht="14.4" x14ac:dyDescent="0.3">
      <c r="O4223" s="2" t="s">
        <v>140</v>
      </c>
      <c r="P4223" s="11"/>
      <c r="Q4223" s="2"/>
      <c r="R4223" s="96">
        <f>R4222/R4220</f>
        <v>0.31517513269768221</v>
      </c>
      <c r="S4223" s="106"/>
      <c r="T4223" s="22"/>
      <c r="U4223" s="96">
        <f ca="1">U4222/U4220</f>
        <v>0.25551848924245635</v>
      </c>
      <c r="V4223" s="111"/>
      <c r="W4223" s="28"/>
      <c r="X4223" s="96">
        <f ca="1">X4222/X4220</f>
        <v>-0.8363742837567556</v>
      </c>
      <c r="Y4223" s="111"/>
      <c r="Z4223" s="28"/>
      <c r="AA4223" s="96">
        <f ca="1">AA4222/AA4220</f>
        <v>1.4687549587711441</v>
      </c>
      <c r="AB4223" s="111"/>
      <c r="AC4223" s="28"/>
      <c r="AD4223" s="96">
        <f ca="1">AD4222/AD4220</f>
        <v>1.1145205323495309</v>
      </c>
      <c r="AE4223" s="111"/>
      <c r="AF4223" s="28"/>
      <c r="AG4223" s="96">
        <f ca="1">AG4222/AG4220</f>
        <v>1.0492610377266762</v>
      </c>
      <c r="AH4223" s="111"/>
      <c r="AI4223" s="28"/>
      <c r="AJ4223" s="96">
        <f ca="1">AJ4222/AJ4220</f>
        <v>1.026790922909063</v>
      </c>
      <c r="AK4223" s="111"/>
      <c r="AL4223" s="28"/>
      <c r="AM4223" s="96">
        <f ca="1">AM4222/AM4220</f>
        <v>1.0177593892274921</v>
      </c>
      <c r="AN4223" s="111"/>
      <c r="AO4223" s="28"/>
      <c r="AP4223" s="96">
        <f ca="1">AP4222/AP4220</f>
        <v>1.0130859478377001</v>
      </c>
      <c r="AQ4223" s="111"/>
      <c r="AR4223" s="28"/>
      <c r="AS4223" s="96">
        <f ca="1">AS4222/AS4220</f>
        <v>1.0094666868163298</v>
      </c>
      <c r="AT4223" s="111"/>
      <c r="AU4223" s="28"/>
    </row>
    <row r="4224" spans="15:47" x14ac:dyDescent="0.25">
      <c r="O4224" s="2" t="s">
        <v>21</v>
      </c>
      <c r="P4224" s="8">
        <v>12</v>
      </c>
      <c r="Q4224" s="2"/>
      <c r="R4224" s="96">
        <f ca="1">1-R4223/(3*F_GAMMA*R$29)</f>
        <v>0.83585390182048491</v>
      </c>
      <c r="S4224" s="106"/>
      <c r="T4224" s="22"/>
      <c r="U4224" s="96">
        <f ca="1">1-U4223/(3*F_GAMMA*U$29)</f>
        <v>0.86695454422022133</v>
      </c>
      <c r="V4224" s="111"/>
      <c r="W4224" s="28"/>
      <c r="X4224" s="96">
        <f ca="1">1-X4223/(3*F_GAMMA*X$29)</f>
        <v>1.4396379081466364</v>
      </c>
      <c r="Y4224" s="111"/>
      <c r="Z4224" s="28"/>
      <c r="AA4224" s="96">
        <f ca="1">1-AA4223/(3*F_GAMMA*AA$29)</f>
        <v>0.21707004007550479</v>
      </c>
      <c r="AB4224" s="111"/>
      <c r="AC4224" s="28"/>
      <c r="AD4224" s="96">
        <f ca="1">1-AD4223/(3*F_GAMMA*AD$29)</f>
        <v>0.38747153052599281</v>
      </c>
      <c r="AE4224" s="111"/>
      <c r="AF4224" s="28"/>
      <c r="AG4224" s="96">
        <f ca="1">1-AG4223/(3*F_GAMMA*AG$29)</f>
        <v>0.3887341292686135</v>
      </c>
      <c r="AH4224" s="111"/>
      <c r="AI4224" s="28"/>
      <c r="AJ4224" s="96">
        <f ca="1">1-AJ4223/(3*F_GAMMA*AJ$29)</f>
        <v>0.35644505570681229</v>
      </c>
      <c r="AK4224" s="111"/>
      <c r="AL4224" s="28"/>
      <c r="AM4224" s="96">
        <f ca="1">1-AM4223/(3*F_GAMMA*AM$29)</f>
        <v>0.28678157827856821</v>
      </c>
      <c r="AN4224" s="111"/>
      <c r="AO4224" s="28"/>
      <c r="AP4224" s="96">
        <f ca="1">1-AP4223/(3*F_GAMMA*AP$29)</f>
        <v>0.42815997067161171</v>
      </c>
      <c r="AQ4224" s="111"/>
      <c r="AR4224" s="28"/>
      <c r="AS4224" s="96">
        <f ca="1">1-AS4223/(3*F_GAMMA*AS$29)</f>
        <v>0.106721878901883</v>
      </c>
      <c r="AT4224" s="111"/>
      <c r="AU4224" s="28"/>
    </row>
    <row r="4225" spans="15:47" x14ac:dyDescent="0.25">
      <c r="O4225" s="2" t="s">
        <v>57</v>
      </c>
      <c r="P4225" s="143">
        <v>7</v>
      </c>
      <c r="Q4225" s="2"/>
      <c r="R4225" s="96">
        <f ca="1">(R4218/(N_9*R$27*R4220*R4224))*SQRT(M*'Valve Sizing'!$W$6*'Valve Sizing'!$G$8/R4223)</f>
        <v>50.262719180948956</v>
      </c>
      <c r="S4225" s="107"/>
      <c r="T4225" s="22"/>
      <c r="U4225" s="96">
        <f ca="1">(U4218/(N_9*U$27*U4220*U4224))*SQRT(M*'Valve Sizing'!$W$6*'Valve Sizing'!$G$8/U4223)</f>
        <v>113.07712464827424</v>
      </c>
      <c r="V4225" s="111"/>
      <c r="W4225" s="28"/>
      <c r="X4225" s="96" t="e">
        <f ca="1">(X4218/(N_9*X$27*X4220*X4224))*SQRT(M*'Valve Sizing'!$W$6*'Valve Sizing'!$G$8/X4223)</f>
        <v>#NUM!</v>
      </c>
      <c r="Y4225" s="111"/>
      <c r="Z4225" s="28"/>
      <c r="AA4225" s="96">
        <f ca="1">(AA4218/(N_9*AA$27*AA4220*AA4224))*SQRT(M*'Valve Sizing'!$W$6*'Valve Sizing'!$G$8/AA4223)</f>
        <v>-570.32650018450556</v>
      </c>
      <c r="AB4225" s="111"/>
      <c r="AC4225" s="28"/>
      <c r="AD4225" s="96">
        <f ca="1">(AD4218/(N_9*AD$27*AD4220*AD4224))*SQRT(M*'Valve Sizing'!$W$6*'Valve Sizing'!$G$8/AD4223)</f>
        <v>-152.19840620679852</v>
      </c>
      <c r="AE4225" s="111"/>
      <c r="AF4225" s="28"/>
      <c r="AG4225" s="96">
        <f ca="1">(AG4218/(N_9*AG$27*AG4220*AG4224))*SQRT(M*'Valve Sizing'!$W$6*'Valve Sizing'!$G$8/AG4223)</f>
        <v>-100.3684483927827</v>
      </c>
      <c r="AH4225" s="111"/>
      <c r="AI4225" s="28"/>
      <c r="AJ4225" s="96">
        <f ca="1">(AJ4218/(N_9*AJ$27*AJ4220*AJ4224))*SQRT(M*'Valve Sizing'!$W$6*'Valve Sizing'!$G$8/AJ4223)</f>
        <v>-83.2118249962531</v>
      </c>
      <c r="AK4225" s="111"/>
      <c r="AL4225" s="28"/>
      <c r="AM4225" s="96">
        <f ca="1">(AM4218/(N_9*AM$27*AM4220*AM4224))*SQRT(M*'Valve Sizing'!$W$6*'Valve Sizing'!$G$8/AM4223)</f>
        <v>-89.152055768708493</v>
      </c>
      <c r="AN4225" s="111"/>
      <c r="AO4225" s="28"/>
      <c r="AP4225" s="96">
        <f ca="1">(AP4218/(N_9*AP$27*AP4220*AP4224))*SQRT(M*'Valve Sizing'!$W$6*'Valve Sizing'!$G$8/AP4223)</f>
        <v>-58.276061835990419</v>
      </c>
      <c r="AQ4225" s="111"/>
      <c r="AR4225" s="28"/>
      <c r="AS4225" s="96">
        <f ca="1">(AS4218/(N_9*AS$27*AS4220*AS4224))*SQRT(M*'Valve Sizing'!$W$6*'Valve Sizing'!$G$8/AS4223)</f>
        <v>-266.11035233396262</v>
      </c>
      <c r="AT4225" s="111"/>
      <c r="AU4225" s="28"/>
    </row>
    <row r="4226" spans="15:47" x14ac:dyDescent="0.25">
      <c r="O4226" s="2" t="s">
        <v>59</v>
      </c>
      <c r="P4226" s="143">
        <v>7</v>
      </c>
      <c r="Q4226" s="2"/>
      <c r="R4226" s="96">
        <f ca="1">(R4218/(N_9*R$27*R4220*0.667))*SQRT(M*'Valve Sizing'!$W$6*'Valve Sizing'!$G$8/R4227)</f>
        <v>44.200423390124442</v>
      </c>
      <c r="S4226" s="107"/>
      <c r="T4226" s="22"/>
      <c r="U4226" s="96">
        <f ca="1">(U4218/(N_9*U$27*U4220*0.667))*SQRT(M*'Valve Sizing'!$W$6*'Valve Sizing'!$G$8/U4227)</f>
        <v>92.855129541698602</v>
      </c>
      <c r="V4226" s="111"/>
      <c r="W4226" s="28"/>
      <c r="X4226" s="96">
        <f ca="1">(X4218/(N_9*X$27*X4220*0.667))*SQRT(M*'Valve Sizing'!$W$6*'Valve Sizing'!$G$8/X4227)</f>
        <v>564.79884538312911</v>
      </c>
      <c r="Y4226" s="111"/>
      <c r="Z4226" s="28"/>
      <c r="AA4226" s="96">
        <f ca="1">(AA4218/(N_9*AA$27*AA4220*0.667))*SQRT(M*'Valve Sizing'!$W$6*'Valve Sizing'!$G$8/AA4227)</f>
        <v>-284.45900561010421</v>
      </c>
      <c r="AB4226" s="111"/>
      <c r="AC4226" s="28"/>
      <c r="AD4226" s="96">
        <f ca="1">(AD4218/(N_9*AD$27*AD4220*0.667))*SQRT(M*'Valve Sizing'!$W$6*'Valve Sizing'!$G$8/AD4227)</f>
        <v>-119.85270375745078</v>
      </c>
      <c r="AE4226" s="111"/>
      <c r="AF4226" s="28"/>
      <c r="AG4226" s="96">
        <f ca="1">(AG4218/(N_9*AG$27*AG4220*0.667))*SQRT(M*'Valve Sizing'!$W$6*'Valve Sizing'!$G$8/AG4227)</f>
        <v>-79.213599727172209</v>
      </c>
      <c r="AH4226" s="111"/>
      <c r="AI4226" s="28"/>
      <c r="AJ4226" s="96">
        <f ca="1">(AJ4218/(N_9*AJ$27*AJ4220*0.667))*SQRT(M*'Valve Sizing'!$W$6*'Valve Sizing'!$G$8/AJ4227)</f>
        <v>-61.788158372313326</v>
      </c>
      <c r="AK4226" s="111"/>
      <c r="AL4226" s="28"/>
      <c r="AM4226" s="96">
        <f ca="1">(AM4218/(N_9*AM$27*AM4220*0.667))*SQRT(M*'Valve Sizing'!$W$6*'Valve Sizing'!$G$8/AM4227)</f>
        <v>-56.069758051598647</v>
      </c>
      <c r="AN4226" s="111"/>
      <c r="AO4226" s="28"/>
      <c r="AP4226" s="96">
        <f ca="1">(AP4218/(N_9*AP$27*AP4220*0.667))*SQRT(M*'Valve Sizing'!$W$6*'Valve Sizing'!$G$8/AP4227)</f>
        <v>-48.99686886906396</v>
      </c>
      <c r="AQ4226" s="111"/>
      <c r="AR4226" s="28"/>
      <c r="AS4226" s="96">
        <f ca="1">(AS4218/(N_9*AS$27*AS4220*0.667))*SQRT(M*'Valve Sizing'!$W$6*'Valve Sizing'!$G$8/AS4227)</f>
        <v>-69.701700653244245</v>
      </c>
      <c r="AT4226" s="111"/>
      <c r="AU4226" s="28"/>
    </row>
    <row r="4227" spans="15:47" ht="15.6" x14ac:dyDescent="0.35">
      <c r="O4227" s="2" t="s">
        <v>68</v>
      </c>
      <c r="P4227" s="143">
        <v>10</v>
      </c>
      <c r="Q4227" s="2"/>
      <c r="R4227" s="96">
        <f ca="1">F_GAMMA*R$29</f>
        <v>0.64002969751372984</v>
      </c>
      <c r="S4227" s="107"/>
      <c r="T4227" s="1"/>
      <c r="U4227" s="96">
        <f ca="1">F_GAMMA*U$29</f>
        <v>0.64017842058782071</v>
      </c>
      <c r="V4227" s="111"/>
      <c r="W4227" s="28"/>
      <c r="X4227" s="96">
        <f ca="1">F_GAMMA*X$29</f>
        <v>0.63413873724904268</v>
      </c>
      <c r="Y4227" s="111"/>
      <c r="Z4227" s="28"/>
      <c r="AA4227" s="96">
        <f ca="1">F_GAMMA*AA$29</f>
        <v>0.62532411750377137</v>
      </c>
      <c r="AB4227" s="111"/>
      <c r="AC4227" s="28"/>
      <c r="AD4227" s="96">
        <f ca="1">F_GAMMA*AD$29</f>
        <v>0.60651359509139569</v>
      </c>
      <c r="AE4227" s="111"/>
      <c r="AF4227" s="28"/>
      <c r="AG4227" s="96">
        <f ca="1">F_GAMMA*AG$29</f>
        <v>0.57217930198481592</v>
      </c>
      <c r="AH4227" s="111"/>
      <c r="AI4227" s="28"/>
      <c r="AJ4227" s="96">
        <f ca="1">F_GAMMA*AJ$29</f>
        <v>0.53183282018848232</v>
      </c>
      <c r="AK4227" s="111"/>
      <c r="AL4227" s="28"/>
      <c r="AM4227" s="96">
        <f ca="1">F_GAMMA*AM$29</f>
        <v>0.47566512503094399</v>
      </c>
      <c r="AN4227" s="111"/>
      <c r="AO4227" s="28"/>
      <c r="AP4227" s="96">
        <f ca="1">F_GAMMA*AP$29</f>
        <v>0.59054158265645496</v>
      </c>
      <c r="AQ4227" s="111"/>
      <c r="AR4227" s="28"/>
      <c r="AS4227" s="96">
        <f ca="1">F_GAMMA*AS$29</f>
        <v>0.3766899554102966</v>
      </c>
      <c r="AT4227" s="111"/>
      <c r="AU4227" s="28"/>
    </row>
    <row r="4228" spans="15:47" x14ac:dyDescent="0.25">
      <c r="O4228" s="2" t="s">
        <v>145</v>
      </c>
      <c r="P4228" s="12"/>
      <c r="Q4228" s="2"/>
      <c r="R4228" s="96">
        <f ca="1">IF(R4223&lt;R4227,R4225,R4226)</f>
        <v>50.262719180948956</v>
      </c>
      <c r="S4228" s="116"/>
      <c r="T4228" s="1"/>
      <c r="U4228" s="96">
        <f ca="1">IF(U4223&lt;U4227,U4225,U4226)</f>
        <v>113.07712464827424</v>
      </c>
      <c r="V4228" s="111"/>
      <c r="W4228" s="28"/>
      <c r="X4228" s="96" t="e">
        <f ca="1">IF(X4223&lt;X4227,X4225,X4226)</f>
        <v>#NUM!</v>
      </c>
      <c r="Y4228" s="111"/>
      <c r="Z4228" s="28"/>
      <c r="AA4228" s="96">
        <f ca="1">IF(AA4223&lt;AA4227,AA4225,AA4226)</f>
        <v>-284.45900561010421</v>
      </c>
      <c r="AB4228" s="111"/>
      <c r="AC4228" s="28"/>
      <c r="AD4228" s="96">
        <f ca="1">IF(AD4223&lt;AD4227,AD4225,AD4226)</f>
        <v>-119.85270375745078</v>
      </c>
      <c r="AE4228" s="111"/>
      <c r="AF4228" s="28"/>
      <c r="AG4228" s="96">
        <f ca="1">IF(AG4223&lt;AG4227,AG4225,AG4226)</f>
        <v>-79.213599727172209</v>
      </c>
      <c r="AH4228" s="111"/>
      <c r="AI4228" s="28"/>
      <c r="AJ4228" s="96">
        <f ca="1">IF(AJ4223&lt;AJ4227,AJ4225,AJ4226)</f>
        <v>-61.788158372313326</v>
      </c>
      <c r="AK4228" s="111"/>
      <c r="AL4228" s="28"/>
      <c r="AM4228" s="96">
        <f ca="1">IF(AM4223&lt;AM4227,AM4225,AM4226)</f>
        <v>-56.069758051598647</v>
      </c>
      <c r="AN4228" s="111"/>
      <c r="AO4228" s="28"/>
      <c r="AP4228" s="96">
        <f ca="1">IF(AP4223&lt;AP4227,AP4225,AP4226)</f>
        <v>-48.99686886906396</v>
      </c>
      <c r="AQ4228" s="111"/>
      <c r="AR4228" s="28"/>
      <c r="AS4228" s="96">
        <f ca="1">IF(AS4223&lt;AS4227,AS4225,AS4226)</f>
        <v>-69.701700653244245</v>
      </c>
      <c r="AT4228" s="111"/>
      <c r="AU4228" s="28"/>
    </row>
    <row r="4229" spans="15:47" x14ac:dyDescent="0.25">
      <c r="O4229" s="13" t="s">
        <v>143</v>
      </c>
      <c r="P4229" s="1"/>
      <c r="Q4229" s="1"/>
      <c r="R4229" s="113"/>
      <c r="S4229" s="106">
        <f ca="1">IF(R4222&lt;=0,Q_max,ABS(R$23-R4228))</f>
        <v>45.532719180948959</v>
      </c>
      <c r="T4229" s="7">
        <f>R4218</f>
        <v>118778.55029769319</v>
      </c>
      <c r="U4229" s="98"/>
      <c r="V4229" s="106">
        <f ca="1">IF(U4222&lt;=0,Q_max,ABS(U$23-U4228))</f>
        <v>101.47712464827424</v>
      </c>
      <c r="W4229" s="9">
        <f ca="1">U4218</f>
        <v>229408.06683824398</v>
      </c>
      <c r="X4229" s="98"/>
      <c r="Y4229" s="106">
        <f ca="1">IF(X4222&lt;=0,Q_max,ABS(X$23-X4228))</f>
        <v>236393</v>
      </c>
      <c r="Z4229" s="9">
        <f ca="1">X4218</f>
        <v>561736.08828806668</v>
      </c>
      <c r="AA4229" s="98"/>
      <c r="AB4229" s="106">
        <f ca="1">IF(AA4222&lt;=0,Q_max,ABS(AA$23-AA4228))</f>
        <v>236393</v>
      </c>
      <c r="AC4229" s="9">
        <f ca="1">AA4218</f>
        <v>1094118.5194251076</v>
      </c>
      <c r="AD4229" s="98"/>
      <c r="AE4229" s="106">
        <f ca="1">IF(AD4222&lt;=0,Q_max,ABS(AD$23-AD4228))</f>
        <v>236393</v>
      </c>
      <c r="AF4229" s="9">
        <f ca="1">AD4218</f>
        <v>1835590.5188069427</v>
      </c>
      <c r="AG4229" s="98"/>
      <c r="AH4229" s="106">
        <f ca="1">IF(AG4222&lt;=0,Q_max,ABS(AG$23-AG4228))</f>
        <v>236393</v>
      </c>
      <c r="AI4229" s="9">
        <f ca="1">AG4218</f>
        <v>2679094.3566023367</v>
      </c>
      <c r="AJ4229" s="98"/>
      <c r="AK4229" s="106">
        <f ca="1">IF(AJ4222&lt;=0,Q_max,ABS(AJ$23-AJ4228))</f>
        <v>236393</v>
      </c>
      <c r="AL4229" s="9">
        <f ca="1">AJ4218</f>
        <v>3575261.8045752174</v>
      </c>
      <c r="AM4229" s="98"/>
      <c r="AN4229" s="106">
        <f ca="1">IF(AM4222&lt;=0,Q_max,ABS(AM$23-AM4228))</f>
        <v>236393</v>
      </c>
      <c r="AO4229" s="9">
        <f ca="1">AM4218</f>
        <v>4362498.8441490745</v>
      </c>
      <c r="AP4229" s="98"/>
      <c r="AQ4229" s="106">
        <f ca="1">IF(AP4222&lt;=0,Q_max,ABS(AP$23-AP4228))</f>
        <v>236393</v>
      </c>
      <c r="AR4229" s="9">
        <f ca="1">AP4218</f>
        <v>5064725.7258945797</v>
      </c>
      <c r="AS4229" s="98"/>
      <c r="AT4229" s="106">
        <f ca="1">IF(AS4222&lt;=0,Q_max,ABS(AS$23-AS4228))</f>
        <v>236393</v>
      </c>
      <c r="AU4229" s="9">
        <f ca="1">AS4218</f>
        <v>5938789.2285796627</v>
      </c>
    </row>
    <row r="4230" spans="15:47" x14ac:dyDescent="0.25">
      <c r="O4230" s="21"/>
      <c r="P4230" s="14"/>
      <c r="Q4230" s="21"/>
      <c r="R4230" s="97"/>
      <c r="S4230" s="106"/>
      <c r="T4230" s="28"/>
      <c r="U4230" s="97"/>
      <c r="V4230" s="111"/>
      <c r="W4230" s="28"/>
      <c r="X4230" s="97"/>
      <c r="Y4230" s="111"/>
      <c r="Z4230" s="28"/>
      <c r="AA4230" s="97"/>
      <c r="AB4230" s="111"/>
      <c r="AC4230" s="28"/>
      <c r="AD4230" s="97"/>
      <c r="AE4230" s="111"/>
      <c r="AF4230" s="28"/>
      <c r="AG4230" s="97"/>
      <c r="AH4230" s="111"/>
      <c r="AI4230" s="28"/>
      <c r="AJ4230" s="97"/>
      <c r="AK4230" s="111"/>
      <c r="AL4230" s="28"/>
      <c r="AM4230" s="97"/>
      <c r="AN4230" s="111"/>
      <c r="AO4230" s="28"/>
      <c r="AP4230" s="97"/>
      <c r="AQ4230" s="111"/>
      <c r="AR4230" s="28"/>
      <c r="AS4230" s="97"/>
      <c r="AT4230" s="111"/>
      <c r="AU4230" s="28"/>
    </row>
    <row r="4231" spans="15:47" x14ac:dyDescent="0.25">
      <c r="O4231" s="1"/>
      <c r="P4231" s="1"/>
      <c r="Q4231" s="1"/>
      <c r="R4231" s="98"/>
      <c r="S4231" s="108" t="s">
        <v>137</v>
      </c>
      <c r="T4231" s="26" t="s">
        <v>146</v>
      </c>
      <c r="U4231" s="98"/>
      <c r="V4231" s="108" t="s">
        <v>137</v>
      </c>
      <c r="W4231" s="26" t="s">
        <v>146</v>
      </c>
      <c r="X4231" s="98"/>
      <c r="Y4231" s="108" t="s">
        <v>137</v>
      </c>
      <c r="Z4231" s="26" t="s">
        <v>146</v>
      </c>
      <c r="AA4231" s="98"/>
      <c r="AB4231" s="108" t="s">
        <v>137</v>
      </c>
      <c r="AC4231" s="26" t="s">
        <v>146</v>
      </c>
      <c r="AD4231" s="98"/>
      <c r="AE4231" s="108" t="s">
        <v>137</v>
      </c>
      <c r="AF4231" s="26" t="s">
        <v>146</v>
      </c>
      <c r="AG4231" s="98"/>
      <c r="AH4231" s="108" t="s">
        <v>137</v>
      </c>
      <c r="AI4231" s="26" t="s">
        <v>146</v>
      </c>
      <c r="AJ4231" s="98"/>
      <c r="AK4231" s="108" t="s">
        <v>137</v>
      </c>
      <c r="AL4231" s="26" t="s">
        <v>146</v>
      </c>
      <c r="AM4231" s="98"/>
      <c r="AN4231" s="108" t="s">
        <v>137</v>
      </c>
      <c r="AO4231" s="26" t="s">
        <v>146</v>
      </c>
      <c r="AP4231" s="98"/>
      <c r="AQ4231" s="108" t="s">
        <v>137</v>
      </c>
      <c r="AR4231" s="26" t="s">
        <v>146</v>
      </c>
      <c r="AS4231" s="98"/>
      <c r="AT4231" s="108" t="s">
        <v>137</v>
      </c>
      <c r="AU4231" s="26" t="s">
        <v>146</v>
      </c>
    </row>
    <row r="4232" spans="15:47" ht="13.8" x14ac:dyDescent="0.25">
      <c r="O4232" s="20" t="s">
        <v>136</v>
      </c>
      <c r="P4232" s="1"/>
      <c r="Q4232" s="1"/>
      <c r="R4232" s="96">
        <f>R4218*1.02</f>
        <v>121154.12130364706</v>
      </c>
      <c r="S4232" s="109" t="s">
        <v>144</v>
      </c>
      <c r="T4232" s="23" t="s">
        <v>147</v>
      </c>
      <c r="U4232" s="96">
        <f ca="1">U4218*1.01</f>
        <v>231702.14750662641</v>
      </c>
      <c r="V4232" s="109" t="s">
        <v>144</v>
      </c>
      <c r="W4232" s="23" t="s">
        <v>147</v>
      </c>
      <c r="X4232" s="96">
        <f ca="1">X4218*1.01</f>
        <v>567353.44917094731</v>
      </c>
      <c r="Y4232" s="109" t="s">
        <v>144</v>
      </c>
      <c r="Z4232" s="23" t="s">
        <v>147</v>
      </c>
      <c r="AA4232" s="96">
        <f ca="1">AA4218*1.01</f>
        <v>1105059.7046193588</v>
      </c>
      <c r="AB4232" s="109" t="s">
        <v>144</v>
      </c>
      <c r="AC4232" s="23" t="s">
        <v>147</v>
      </c>
      <c r="AD4232" s="96">
        <f ca="1">AD4218*1.01</f>
        <v>1853946.4239950122</v>
      </c>
      <c r="AE4232" s="109" t="s">
        <v>144</v>
      </c>
      <c r="AF4232" s="23" t="s">
        <v>147</v>
      </c>
      <c r="AG4232" s="96">
        <f ca="1">AG4218*1.01</f>
        <v>2705885.3001683601</v>
      </c>
      <c r="AH4232" s="109" t="s">
        <v>144</v>
      </c>
      <c r="AI4232" s="23" t="s">
        <v>147</v>
      </c>
      <c r="AJ4232" s="96">
        <f ca="1">AJ4218*1.01</f>
        <v>3611014.4226209698</v>
      </c>
      <c r="AK4232" s="109" t="s">
        <v>144</v>
      </c>
      <c r="AL4232" s="23" t="s">
        <v>147</v>
      </c>
      <c r="AM4232" s="96">
        <f ca="1">AM4218*1.01</f>
        <v>4406123.8325905651</v>
      </c>
      <c r="AN4232" s="109" t="s">
        <v>144</v>
      </c>
      <c r="AO4232" s="23" t="s">
        <v>147</v>
      </c>
      <c r="AP4232" s="96">
        <f ca="1">AP4218*1.01</f>
        <v>5115372.9831535257</v>
      </c>
      <c r="AQ4232" s="109" t="s">
        <v>144</v>
      </c>
      <c r="AR4232" s="23" t="s">
        <v>147</v>
      </c>
      <c r="AS4232" s="96">
        <f ca="1">AS4218*1.01</f>
        <v>5998177.1208654596</v>
      </c>
      <c r="AT4232" s="109" t="s">
        <v>144</v>
      </c>
      <c r="AU4232" s="23" t="s">
        <v>147</v>
      </c>
    </row>
    <row r="4233" spans="15:47" x14ac:dyDescent="0.25">
      <c r="O4233" s="1"/>
      <c r="P4233" s="1"/>
      <c r="Q4233" s="1"/>
      <c r="R4233" s="98"/>
      <c r="S4233" s="107"/>
      <c r="T4233" s="1"/>
      <c r="U4233" s="47"/>
      <c r="V4233" s="107"/>
      <c r="W4233" s="1"/>
      <c r="X4233" s="47"/>
      <c r="Y4233" s="107"/>
      <c r="Z4233" s="1"/>
      <c r="AA4233" s="47"/>
      <c r="AB4233" s="107"/>
      <c r="AC4233" s="1"/>
      <c r="AD4233" s="47"/>
      <c r="AE4233" s="107"/>
      <c r="AF4233" s="1"/>
      <c r="AG4233" s="47"/>
      <c r="AH4233" s="107"/>
      <c r="AI4233" s="1"/>
      <c r="AJ4233" s="47"/>
      <c r="AK4233" s="107"/>
      <c r="AL4233" s="1"/>
      <c r="AM4233" s="47"/>
      <c r="AN4233" s="107"/>
      <c r="AO4233" s="1"/>
      <c r="AP4233" s="47"/>
      <c r="AQ4233" s="107"/>
      <c r="AR4233" s="1"/>
      <c r="AS4233" s="47"/>
      <c r="AT4233" s="107"/>
      <c r="AU4233" s="1"/>
    </row>
    <row r="4234" spans="15:47" x14ac:dyDescent="0.25">
      <c r="O4234" s="8" t="s">
        <v>132</v>
      </c>
      <c r="P4234" s="8"/>
      <c r="Q4234" s="8"/>
      <c r="R4234" s="96">
        <f>P_1_minQ-(R4232^2*R_up)+dpup_minQ</f>
        <v>87.50975635005274</v>
      </c>
      <c r="S4234" s="106"/>
      <c r="T4234" s="22"/>
      <c r="U4234" s="96">
        <f ca="1">P_1_minQ-(U4232^2*R_up)+dpup_minQ</f>
        <v>80.400202182505865</v>
      </c>
      <c r="V4234" s="107"/>
      <c r="W4234" s="1"/>
      <c r="X4234" s="96">
        <f ca="1">P_1_minQ-(X4232^2*R_up)+dpup_minQ</f>
        <v>31.51708743627723</v>
      </c>
      <c r="Y4234" s="107"/>
      <c r="Z4234" s="1"/>
      <c r="AA4234" s="96">
        <f ca="1">P_1_minQ-(AA4232^2*R_up)+dpup_minQ</f>
        <v>-132.38413803725354</v>
      </c>
      <c r="AB4234" s="107"/>
      <c r="AC4234" s="1"/>
      <c r="AD4234" s="96">
        <f ca="1">P_1_minQ-(AD4232^2*R_up)+dpup_minQ</f>
        <v>-536.2670983179944</v>
      </c>
      <c r="AE4234" s="107"/>
      <c r="AF4234" s="1"/>
      <c r="AG4234" s="96">
        <f ca="1">P_1_minQ-(AG4232^2*R_up)+dpup_minQ</f>
        <v>-1244.295679978216</v>
      </c>
      <c r="AH4234" s="107"/>
      <c r="AI4234" s="1"/>
      <c r="AJ4234" s="96">
        <f ca="1">P_1_minQ-(AJ4232^2*R_up)+dpup_minQ</f>
        <v>-2286.3924707384144</v>
      </c>
      <c r="AK4234" s="107"/>
      <c r="AL4234" s="1"/>
      <c r="AM4234" s="96">
        <f ca="1">P_1_minQ-(AM4232^2*R_up)+dpup_minQ</f>
        <v>-3448.2150260590179</v>
      </c>
      <c r="AN4234" s="107"/>
      <c r="AO4234" s="1"/>
      <c r="AP4234" s="96">
        <f ca="1">P_1_minQ-(AP4232^2*R_up)+dpup_minQ</f>
        <v>-4679.0436512359829</v>
      </c>
      <c r="AQ4234" s="107"/>
      <c r="AR4234" s="1"/>
      <c r="AS4234" s="96">
        <f ca="1">P_1_minQ-(AS4232^2*R_up)+dpup_minQ</f>
        <v>-6467.2214929967959</v>
      </c>
      <c r="AT4234" s="107"/>
      <c r="AU4234" s="1"/>
    </row>
    <row r="4235" spans="15:47" x14ac:dyDescent="0.25">
      <c r="O4235" s="8" t="s">
        <v>134</v>
      </c>
      <c r="P4235" s="1"/>
      <c r="Q4235" s="8"/>
      <c r="R4235" s="97">
        <f>P_2_minQ+(R4232^2*R_dn)-dpdn_minQ</f>
        <v>60</v>
      </c>
      <c r="S4235" s="106"/>
      <c r="T4235" s="22"/>
      <c r="U4235" s="97">
        <f ca="1">P_2_minQ+(U4232^2*R_dn)-dpdn_minQ</f>
        <v>60</v>
      </c>
      <c r="V4235" s="107"/>
      <c r="W4235" s="1"/>
      <c r="X4235" s="97">
        <f ca="1">P_2_minQ+(X4232^2*R_dn)-dpdn_minQ</f>
        <v>60</v>
      </c>
      <c r="Y4235" s="107"/>
      <c r="Z4235" s="1"/>
      <c r="AA4235" s="97">
        <f ca="1">P_2_minQ+(AA4232^2*R_dn)-dpdn_minQ</f>
        <v>60</v>
      </c>
      <c r="AB4235" s="107"/>
      <c r="AC4235" s="1"/>
      <c r="AD4235" s="97">
        <f ca="1">P_2_minQ+(AD4232^2*R_dn)-dpdn_minQ</f>
        <v>60</v>
      </c>
      <c r="AE4235" s="107"/>
      <c r="AF4235" s="1"/>
      <c r="AG4235" s="97">
        <f ca="1">P_2_minQ+(AG4232^2*R_dn)-dpdn_minQ</f>
        <v>60</v>
      </c>
      <c r="AH4235" s="107"/>
      <c r="AI4235" s="1"/>
      <c r="AJ4235" s="97">
        <f ca="1">P_2_minQ+(AJ4232^2*R_dn)-dpdn_minQ</f>
        <v>60</v>
      </c>
      <c r="AK4235" s="107"/>
      <c r="AL4235" s="1"/>
      <c r="AM4235" s="97">
        <f ca="1">P_2_minQ+(AM4232^2*R_dn)-dpdn_minQ</f>
        <v>60</v>
      </c>
      <c r="AN4235" s="107"/>
      <c r="AO4235" s="1"/>
      <c r="AP4235" s="97">
        <f ca="1">P_2_minQ+(AP4232^2*R_dn)-dpdn_minQ</f>
        <v>60</v>
      </c>
      <c r="AQ4235" s="107"/>
      <c r="AR4235" s="1"/>
      <c r="AS4235" s="97">
        <f ca="1">P_2_minQ+(AS4232^2*R_dn)-dpdn_minQ</f>
        <v>60</v>
      </c>
      <c r="AT4235" s="107"/>
      <c r="AU4235" s="1"/>
    </row>
    <row r="4236" spans="15:47" x14ac:dyDescent="0.25">
      <c r="O4236" s="8" t="s">
        <v>138</v>
      </c>
      <c r="P4236" s="1"/>
      <c r="Q4236" s="8"/>
      <c r="R4236" s="97">
        <f>R4234-R4235</f>
        <v>27.50975635005274</v>
      </c>
      <c r="S4236" s="106"/>
      <c r="T4236" s="22"/>
      <c r="U4236" s="97">
        <f ca="1">U4234-U4235</f>
        <v>20.400202182505865</v>
      </c>
      <c r="V4236" s="110"/>
      <c r="W4236" s="25"/>
      <c r="X4236" s="97">
        <f ca="1">X4234-X4235</f>
        <v>-28.48291256372277</v>
      </c>
      <c r="Y4236" s="110"/>
      <c r="Z4236" s="25"/>
      <c r="AA4236" s="97">
        <f ca="1">AA4234-AA4235</f>
        <v>-192.38413803725354</v>
      </c>
      <c r="AB4236" s="110"/>
      <c r="AC4236" s="25"/>
      <c r="AD4236" s="97">
        <f ca="1">AD4234-AD4235</f>
        <v>-596.2670983179944</v>
      </c>
      <c r="AE4236" s="110"/>
      <c r="AF4236" s="25"/>
      <c r="AG4236" s="97">
        <f ca="1">AG4234-AG4235</f>
        <v>-1304.295679978216</v>
      </c>
      <c r="AH4236" s="110"/>
      <c r="AI4236" s="25"/>
      <c r="AJ4236" s="97">
        <f ca="1">AJ4234-AJ4235</f>
        <v>-2346.3924707384144</v>
      </c>
      <c r="AK4236" s="110"/>
      <c r="AL4236" s="25"/>
      <c r="AM4236" s="97">
        <f ca="1">AM4234-AM4235</f>
        <v>-3508.2150260590179</v>
      </c>
      <c r="AN4236" s="110"/>
      <c r="AO4236" s="25"/>
      <c r="AP4236" s="97">
        <f ca="1">AP4234-AP4235</f>
        <v>-4739.0436512359829</v>
      </c>
      <c r="AQ4236" s="110"/>
      <c r="AR4236" s="25"/>
      <c r="AS4236" s="97">
        <f ca="1">AS4234-AS4235</f>
        <v>-6527.2214929967959</v>
      </c>
      <c r="AT4236" s="110"/>
      <c r="AU4236" s="25"/>
    </row>
    <row r="4237" spans="15:47" ht="14.4" x14ac:dyDescent="0.3">
      <c r="O4237" s="2" t="s">
        <v>140</v>
      </c>
      <c r="P4237" s="11"/>
      <c r="Q4237" s="2"/>
      <c r="R4237" s="96">
        <f>R4236/R4234</f>
        <v>0.31436216368846237</v>
      </c>
      <c r="S4237" s="106"/>
      <c r="T4237" s="22"/>
      <c r="U4237" s="96">
        <f ca="1">U4236/U4234</f>
        <v>0.25373321992646319</v>
      </c>
      <c r="V4237" s="111"/>
      <c r="W4237" s="28"/>
      <c r="X4237" s="96">
        <f ca="1">X4236/X4234</f>
        <v>-0.90372921106085391</v>
      </c>
      <c r="Y4237" s="111"/>
      <c r="Z4237" s="28"/>
      <c r="AA4237" s="96">
        <f ca="1">AA4236/AA4234</f>
        <v>1.4532265034887768</v>
      </c>
      <c r="AB4237" s="111"/>
      <c r="AC4237" s="28"/>
      <c r="AD4237" s="96">
        <f ca="1">AD4236/AD4234</f>
        <v>1.1118845444521777</v>
      </c>
      <c r="AE4237" s="111"/>
      <c r="AF4237" s="28"/>
      <c r="AG4237" s="96">
        <f ca="1">AG4236/AG4234</f>
        <v>1.0482200500776877</v>
      </c>
      <c r="AH4237" s="111"/>
      <c r="AI4237" s="28"/>
      <c r="AJ4237" s="96">
        <f ca="1">AJ4236/AJ4234</f>
        <v>1.0262422137790816</v>
      </c>
      <c r="AK4237" s="111"/>
      <c r="AL4237" s="28"/>
      <c r="AM4237" s="96">
        <f ca="1">AM4236/AM4234</f>
        <v>1.0174003069839221</v>
      </c>
      <c r="AN4237" s="111"/>
      <c r="AO4237" s="28"/>
      <c r="AP4237" s="96">
        <f ca="1">AP4236/AP4234</f>
        <v>1.0128231332024762</v>
      </c>
      <c r="AQ4237" s="111"/>
      <c r="AR4237" s="28"/>
      <c r="AS4237" s="96">
        <f ca="1">AS4236/AS4234</f>
        <v>1.0092775545208978</v>
      </c>
      <c r="AT4237" s="111"/>
      <c r="AU4237" s="28"/>
    </row>
    <row r="4238" spans="15:47" x14ac:dyDescent="0.25">
      <c r="O4238" s="2" t="s">
        <v>21</v>
      </c>
      <c r="P4238" s="8">
        <v>12</v>
      </c>
      <c r="Q4238" s="2"/>
      <c r="R4238" s="96">
        <f ca="1">1-R4237/(3*F_GAMMA*R$29)</f>
        <v>0.83627730353261265</v>
      </c>
      <c r="S4238" s="106"/>
      <c r="T4238" s="22"/>
      <c r="U4238" s="96">
        <f ca="1">1-U4237/(3*F_GAMMA*U$29)</f>
        <v>0.86788411284181166</v>
      </c>
      <c r="V4238" s="111"/>
      <c r="W4238" s="28"/>
      <c r="X4238" s="96">
        <f ca="1">1-X4237/(3*F_GAMMA*X$29)</f>
        <v>1.4750428457665914</v>
      </c>
      <c r="Y4238" s="111"/>
      <c r="Z4238" s="28"/>
      <c r="AA4238" s="96">
        <f ca="1">1-AA4237/(3*F_GAMMA*AA$29)</f>
        <v>0.22534759025452522</v>
      </c>
      <c r="AB4238" s="111"/>
      <c r="AC4238" s="28"/>
      <c r="AD4238" s="96">
        <f ca="1">1-AD4237/(3*F_GAMMA*AD$29)</f>
        <v>0.38892024105707113</v>
      </c>
      <c r="AE4238" s="111"/>
      <c r="AF4238" s="28"/>
      <c r="AG4238" s="96">
        <f ca="1">1-AG4237/(3*F_GAMMA*AG$29)</f>
        <v>0.38934057532807864</v>
      </c>
      <c r="AH4238" s="111"/>
      <c r="AI4238" s="28"/>
      <c r="AJ4238" s="96">
        <f ca="1">1-AJ4237/(3*F_GAMMA*AJ$29)</f>
        <v>0.35678896649302949</v>
      </c>
      <c r="AK4238" s="111"/>
      <c r="AL4238" s="28"/>
      <c r="AM4238" s="96">
        <f ca="1">1-AM4237/(3*F_GAMMA*AM$29)</f>
        <v>0.28703321346242205</v>
      </c>
      <c r="AN4238" s="111"/>
      <c r="AO4238" s="28"/>
      <c r="AP4238" s="96">
        <f ca="1">1-AP4237/(3*F_GAMMA*AP$29)</f>
        <v>0.4283083173435156</v>
      </c>
      <c r="AQ4238" s="111"/>
      <c r="AR4238" s="28"/>
      <c r="AS4238" s="96">
        <f ca="1">1-AS4237/(3*F_GAMMA*AS$29)</f>
        <v>0.10688924226682495</v>
      </c>
      <c r="AT4238" s="111"/>
      <c r="AU4238" s="28"/>
    </row>
    <row r="4239" spans="15:47" x14ac:dyDescent="0.25">
      <c r="O4239" s="2" t="s">
        <v>57</v>
      </c>
      <c r="P4239" s="143">
        <v>7</v>
      </c>
      <c r="Q4239" s="2"/>
      <c r="R4239" s="96">
        <f ca="1">(R4232/(N_9*R$27*R4234*R4238))*SQRT(M*'Valve Sizing'!$W$6*'Valve Sizing'!$G$8/R4237)</f>
        <v>51.3691413979953</v>
      </c>
      <c r="S4239" s="107"/>
      <c r="T4239" s="22"/>
      <c r="U4239" s="96">
        <f ca="1">(U4232/(N_9*U$27*U4234*U4238))*SQRT(M*'Valve Sizing'!$W$6*'Valve Sizing'!$G$8/U4237)</f>
        <v>114.76075914865065</v>
      </c>
      <c r="V4239" s="111"/>
      <c r="W4239" s="28"/>
      <c r="X4239" s="96" t="e">
        <f ca="1">(X4232/(N_9*X$27*X4234*X4238))*SQRT(M*'Valve Sizing'!$W$6*'Valve Sizing'!$G$8/X4237)</f>
        <v>#NUM!</v>
      </c>
      <c r="Y4239" s="111"/>
      <c r="Z4239" s="28"/>
      <c r="AA4239" s="96">
        <f ca="1">(AA4232/(N_9*AA$27*AA4234*AA4238))*SQRT(M*'Valve Sizing'!$W$6*'Valve Sizing'!$G$8/AA4237)</f>
        <v>-539.34832558085668</v>
      </c>
      <c r="AB4239" s="111"/>
      <c r="AC4239" s="28"/>
      <c r="AD4239" s="96">
        <f ca="1">(AD4232/(N_9*AD$27*AD4234*AD4238))*SQRT(M*'Valve Sizing'!$W$6*'Valve Sizing'!$G$8/AD4237)</f>
        <v>-149.79994719015156</v>
      </c>
      <c r="AE4239" s="111"/>
      <c r="AF4239" s="28"/>
      <c r="AG4239" s="96">
        <f ca="1">(AG4232/(N_9*AG$27*AG4234*AG4238))*SQRT(M*'Valve Sizing'!$W$6*'Valve Sizing'!$G$8/AG4237)</f>
        <v>-99.124550770610995</v>
      </c>
      <c r="AH4239" s="111"/>
      <c r="AI4239" s="28"/>
      <c r="AJ4239" s="96">
        <f ca="1">(AJ4232/(N_9*AJ$27*AJ4234*AJ4238))*SQRT(M*'Valve Sizing'!$W$6*'Valve Sizing'!$G$8/AJ4237)</f>
        <v>-82.265258628821471</v>
      </c>
      <c r="AK4239" s="111"/>
      <c r="AL4239" s="28"/>
      <c r="AM4239" s="96">
        <f ca="1">(AM4232/(N_9*AM$27*AM4234*AM4238))*SQRT(M*'Valve Sizing'!$W$6*'Valve Sizing'!$G$8/AM4237)</f>
        <v>-88.161169890448434</v>
      </c>
      <c r="AN4239" s="111"/>
      <c r="AO4239" s="28"/>
      <c r="AP4239" s="96">
        <f ca="1">(AP4232/(N_9*AP$27*AP4234*AP4238))*SQRT(M*'Valve Sizing'!$W$6*'Valve Sizing'!$G$8/AP4237)</f>
        <v>-57.664221287489568</v>
      </c>
      <c r="AQ4239" s="111"/>
      <c r="AR4239" s="28"/>
      <c r="AS4239" s="96">
        <f ca="1">(AS4232/(N_9*AS$27*AS4234*AS4238))*SQRT(M*'Valve Sizing'!$W$6*'Valve Sizing'!$G$8/AS4237)</f>
        <v>-263.01396096552901</v>
      </c>
      <c r="AT4239" s="111"/>
      <c r="AU4239" s="28"/>
    </row>
    <row r="4240" spans="15:47" x14ac:dyDescent="0.25">
      <c r="O4240" s="2" t="s">
        <v>59</v>
      </c>
      <c r="P4240" s="143">
        <v>7</v>
      </c>
      <c r="Q4240" s="2"/>
      <c r="R4240" s="96">
        <f ca="1">(R4232/(N_9*R$27*R4234*0.667))*SQRT(M*'Valve Sizing'!$W$6*'Valve Sizing'!$G$8/R4241)</f>
        <v>45.137952469763299</v>
      </c>
      <c r="S4240" s="107"/>
      <c r="T4240" s="22"/>
      <c r="U4240" s="96">
        <f ca="1">(U4232/(N_9*U$27*U4234*0.667))*SQRT(M*'Valve Sizing'!$W$6*'Valve Sizing'!$G$8/U4241)</f>
        <v>94.008574437990944</v>
      </c>
      <c r="V4240" s="111"/>
      <c r="W4240" s="28"/>
      <c r="X4240" s="96">
        <f ca="1">(X4232/(N_9*X$27*X4234*0.667))*SQRT(M*'Valve Sizing'!$W$6*'Valve Sizing'!$G$8/X4241)</f>
        <v>591.36980436851161</v>
      </c>
      <c r="Y4240" s="111"/>
      <c r="Z4240" s="28"/>
      <c r="AA4240" s="96">
        <f ca="1">(AA4232/(N_9*AA$27*AA4234*0.667))*SQRT(M*'Valve Sizing'!$W$6*'Valve Sizing'!$G$8/AA4241)</f>
        <v>-277.78608346865616</v>
      </c>
      <c r="AB4240" s="111"/>
      <c r="AC4240" s="28"/>
      <c r="AD4240" s="96">
        <f ca="1">(AD4232/(N_9*AD$27*AD4234*0.667))*SQRT(M*'Valve Sizing'!$W$6*'Valve Sizing'!$G$8/AD4241)</f>
        <v>-118.26492188788987</v>
      </c>
      <c r="AE4240" s="111"/>
      <c r="AF4240" s="28"/>
      <c r="AG4240" s="96">
        <f ca="1">(AG4232/(N_9*AG$27*AG4234*0.667))*SQRT(M*'Valve Sizing'!$W$6*'Valve Sizing'!$G$8/AG4241)</f>
        <v>-78.315048995522361</v>
      </c>
      <c r="AH4240" s="111"/>
      <c r="AI4240" s="28"/>
      <c r="AJ4240" s="96">
        <f ca="1">(AJ4232/(N_9*AJ$27*AJ4234*0.667))*SQRT(M*'Valve Sizing'!$W$6*'Valve Sizing'!$G$8/AJ4241)</f>
        <v>-61.127891980093665</v>
      </c>
      <c r="AK4240" s="111"/>
      <c r="AL4240" s="28"/>
      <c r="AM4240" s="96">
        <f ca="1">(AM4232/(N_9*AM$27*AM4234*0.667))*SQRT(M*'Valve Sizing'!$W$6*'Valve Sizing'!$G$8/AM4241)</f>
        <v>-55.48542801870471</v>
      </c>
      <c r="AN4240" s="111"/>
      <c r="AO4240" s="28"/>
      <c r="AP4240" s="96">
        <f ca="1">(AP4232/(N_9*AP$27*AP4234*0.667))*SQRT(M*'Valve Sizing'!$W$6*'Valve Sizing'!$G$8/AP4241)</f>
        <v>-48.492957303727202</v>
      </c>
      <c r="AQ4240" s="111"/>
      <c r="AR4240" s="28"/>
      <c r="AS4240" s="96">
        <f ca="1">(AS4232/(N_9*AS$27*AS4234*0.667))*SQRT(M*'Valve Sizing'!$W$6*'Valve Sizing'!$G$8/AS4241)</f>
        <v>-68.992241315434455</v>
      </c>
      <c r="AT4240" s="111"/>
      <c r="AU4240" s="28"/>
    </row>
    <row r="4241" spans="15:47" ht="15.6" x14ac:dyDescent="0.35">
      <c r="O4241" s="2" t="s">
        <v>68</v>
      </c>
      <c r="P4241" s="143">
        <v>10</v>
      </c>
      <c r="Q4241" s="2"/>
      <c r="R4241" s="96">
        <f ca="1">F_GAMMA*R$29</f>
        <v>0.64002969751372984</v>
      </c>
      <c r="S4241" s="107"/>
      <c r="T4241" s="1"/>
      <c r="U4241" s="96">
        <f ca="1">F_GAMMA*U$29</f>
        <v>0.64017842058782071</v>
      </c>
      <c r="V4241" s="111"/>
      <c r="W4241" s="28"/>
      <c r="X4241" s="96">
        <f ca="1">F_GAMMA*X$29</f>
        <v>0.63413873724904268</v>
      </c>
      <c r="Y4241" s="111"/>
      <c r="Z4241" s="28"/>
      <c r="AA4241" s="96">
        <f ca="1">F_GAMMA*AA$29</f>
        <v>0.62532411750377137</v>
      </c>
      <c r="AB4241" s="111"/>
      <c r="AC4241" s="28"/>
      <c r="AD4241" s="96">
        <f ca="1">F_GAMMA*AD$29</f>
        <v>0.60651359509139569</v>
      </c>
      <c r="AE4241" s="111"/>
      <c r="AF4241" s="28"/>
      <c r="AG4241" s="96">
        <f ca="1">F_GAMMA*AG$29</f>
        <v>0.57217930198481592</v>
      </c>
      <c r="AH4241" s="111"/>
      <c r="AI4241" s="28"/>
      <c r="AJ4241" s="96">
        <f ca="1">F_GAMMA*AJ$29</f>
        <v>0.53183282018848232</v>
      </c>
      <c r="AK4241" s="111"/>
      <c r="AL4241" s="28"/>
      <c r="AM4241" s="96">
        <f ca="1">F_GAMMA*AM$29</f>
        <v>0.47566512503094399</v>
      </c>
      <c r="AN4241" s="111"/>
      <c r="AO4241" s="28"/>
      <c r="AP4241" s="96">
        <f ca="1">F_GAMMA*AP$29</f>
        <v>0.59054158265645496</v>
      </c>
      <c r="AQ4241" s="111"/>
      <c r="AR4241" s="28"/>
      <c r="AS4241" s="96">
        <f ca="1">F_GAMMA*AS$29</f>
        <v>0.3766899554102966</v>
      </c>
      <c r="AT4241" s="111"/>
      <c r="AU4241" s="28"/>
    </row>
    <row r="4242" spans="15:47" x14ac:dyDescent="0.25">
      <c r="O4242" s="2" t="s">
        <v>145</v>
      </c>
      <c r="P4242" s="12"/>
      <c r="Q4242" s="2"/>
      <c r="R4242" s="96">
        <f ca="1">IF(R4237&lt;R4241,R4239,R4240)</f>
        <v>51.3691413979953</v>
      </c>
      <c r="S4242" s="116"/>
      <c r="T4242" s="1"/>
      <c r="U4242" s="96">
        <f ca="1">IF(U4237&lt;U4241,U4239,U4240)</f>
        <v>114.76075914865065</v>
      </c>
      <c r="V4242" s="111"/>
      <c r="W4242" s="28"/>
      <c r="X4242" s="96" t="e">
        <f ca="1">IF(X4237&lt;X4241,X4239,X4240)</f>
        <v>#NUM!</v>
      </c>
      <c r="Y4242" s="111"/>
      <c r="Z4242" s="28"/>
      <c r="AA4242" s="96">
        <f ca="1">IF(AA4237&lt;AA4241,AA4239,AA4240)</f>
        <v>-277.78608346865616</v>
      </c>
      <c r="AB4242" s="111"/>
      <c r="AC4242" s="28"/>
      <c r="AD4242" s="96">
        <f ca="1">IF(AD4237&lt;AD4241,AD4239,AD4240)</f>
        <v>-118.26492188788987</v>
      </c>
      <c r="AE4242" s="111"/>
      <c r="AF4242" s="28"/>
      <c r="AG4242" s="96">
        <f ca="1">IF(AG4237&lt;AG4241,AG4239,AG4240)</f>
        <v>-78.315048995522361</v>
      </c>
      <c r="AH4242" s="111"/>
      <c r="AI4242" s="28"/>
      <c r="AJ4242" s="96">
        <f ca="1">IF(AJ4237&lt;AJ4241,AJ4239,AJ4240)</f>
        <v>-61.127891980093665</v>
      </c>
      <c r="AK4242" s="111"/>
      <c r="AL4242" s="28"/>
      <c r="AM4242" s="96">
        <f ca="1">IF(AM4237&lt;AM4241,AM4239,AM4240)</f>
        <v>-55.48542801870471</v>
      </c>
      <c r="AN4242" s="111"/>
      <c r="AO4242" s="28"/>
      <c r="AP4242" s="96">
        <f ca="1">IF(AP4237&lt;AP4241,AP4239,AP4240)</f>
        <v>-48.492957303727202</v>
      </c>
      <c r="AQ4242" s="111"/>
      <c r="AR4242" s="28"/>
      <c r="AS4242" s="96">
        <f ca="1">IF(AS4237&lt;AS4241,AS4239,AS4240)</f>
        <v>-68.992241315434455</v>
      </c>
      <c r="AT4242" s="111"/>
      <c r="AU4242" s="28"/>
    </row>
    <row r="4243" spans="15:47" x14ac:dyDescent="0.25">
      <c r="O4243" s="13" t="s">
        <v>143</v>
      </c>
      <c r="P4243" s="1"/>
      <c r="Q4243" s="1"/>
      <c r="R4243" s="113"/>
      <c r="S4243" s="106">
        <f ca="1">IF(R4236&lt;=0,Q_max,ABS(R$23-R4242))</f>
        <v>46.639141397995303</v>
      </c>
      <c r="T4243" s="7">
        <f>R4232</f>
        <v>121154.12130364706</v>
      </c>
      <c r="U4243" s="98"/>
      <c r="V4243" s="106">
        <f ca="1">IF(U4236&lt;=0,Q_max,ABS(U$23-U4242))</f>
        <v>103.16075914865065</v>
      </c>
      <c r="W4243" s="9">
        <f ca="1">U4232</f>
        <v>231702.14750662641</v>
      </c>
      <c r="X4243" s="98"/>
      <c r="Y4243" s="106">
        <f ca="1">IF(X4236&lt;=0,Q_max,ABS(X$23-X4242))</f>
        <v>236393</v>
      </c>
      <c r="Z4243" s="9">
        <f ca="1">X4232</f>
        <v>567353.44917094731</v>
      </c>
      <c r="AA4243" s="98"/>
      <c r="AB4243" s="106">
        <f ca="1">IF(AA4236&lt;=0,Q_max,ABS(AA$23-AA4242))</f>
        <v>236393</v>
      </c>
      <c r="AC4243" s="9">
        <f ca="1">AA4232</f>
        <v>1105059.7046193588</v>
      </c>
      <c r="AD4243" s="98"/>
      <c r="AE4243" s="106">
        <f ca="1">IF(AD4236&lt;=0,Q_max,ABS(AD$23-AD4242))</f>
        <v>236393</v>
      </c>
      <c r="AF4243" s="9">
        <f ca="1">AD4232</f>
        <v>1853946.4239950122</v>
      </c>
      <c r="AG4243" s="98"/>
      <c r="AH4243" s="106">
        <f ca="1">IF(AG4236&lt;=0,Q_max,ABS(AG$23-AG4242))</f>
        <v>236393</v>
      </c>
      <c r="AI4243" s="9">
        <f ca="1">AG4232</f>
        <v>2705885.3001683601</v>
      </c>
      <c r="AJ4243" s="98"/>
      <c r="AK4243" s="106">
        <f ca="1">IF(AJ4236&lt;=0,Q_max,ABS(AJ$23-AJ4242))</f>
        <v>236393</v>
      </c>
      <c r="AL4243" s="9">
        <f ca="1">AJ4232</f>
        <v>3611014.4226209698</v>
      </c>
      <c r="AM4243" s="98"/>
      <c r="AN4243" s="106">
        <f ca="1">IF(AM4236&lt;=0,Q_max,ABS(AM$23-AM4242))</f>
        <v>236393</v>
      </c>
      <c r="AO4243" s="9">
        <f ca="1">AM4232</f>
        <v>4406123.8325905651</v>
      </c>
      <c r="AP4243" s="98"/>
      <c r="AQ4243" s="106">
        <f ca="1">IF(AP4236&lt;=0,Q_max,ABS(AP$23-AP4242))</f>
        <v>236393</v>
      </c>
      <c r="AR4243" s="9">
        <f ca="1">AP4232</f>
        <v>5115372.9831535257</v>
      </c>
      <c r="AS4243" s="98"/>
      <c r="AT4243" s="106">
        <f ca="1">IF(AS4236&lt;=0,Q_max,ABS(AS$23-AS4242))</f>
        <v>236393</v>
      </c>
      <c r="AU4243" s="9">
        <f ca="1">AS4232</f>
        <v>5998177.1208654596</v>
      </c>
    </row>
    <row r="4244" spans="15:47" x14ac:dyDescent="0.25">
      <c r="O4244" s="21"/>
      <c r="P4244" s="14"/>
      <c r="Q4244" s="21"/>
      <c r="R4244" s="97"/>
      <c r="S4244" s="106"/>
      <c r="T4244" s="28"/>
      <c r="U4244" s="97"/>
      <c r="V4244" s="111"/>
      <c r="W4244" s="28"/>
      <c r="X4244" s="97"/>
      <c r="Y4244" s="111"/>
      <c r="Z4244" s="28"/>
      <c r="AA4244" s="97"/>
      <c r="AB4244" s="111"/>
      <c r="AC4244" s="28"/>
      <c r="AD4244" s="97"/>
      <c r="AE4244" s="111"/>
      <c r="AF4244" s="28"/>
      <c r="AG4244" s="97"/>
      <c r="AH4244" s="111"/>
      <c r="AI4244" s="28"/>
      <c r="AJ4244" s="97"/>
      <c r="AK4244" s="111"/>
      <c r="AL4244" s="28"/>
      <c r="AM4244" s="97"/>
      <c r="AN4244" s="111"/>
      <c r="AO4244" s="28"/>
      <c r="AP4244" s="97"/>
      <c r="AQ4244" s="111"/>
      <c r="AR4244" s="28"/>
      <c r="AS4244" s="97"/>
      <c r="AT4244" s="111"/>
      <c r="AU4244" s="28"/>
    </row>
    <row r="4245" spans="15:47" x14ac:dyDescent="0.25">
      <c r="O4245" s="1"/>
      <c r="P4245" s="1"/>
      <c r="Q4245" s="1"/>
      <c r="R4245" s="98"/>
      <c r="S4245" s="108" t="s">
        <v>137</v>
      </c>
      <c r="T4245" s="26" t="s">
        <v>146</v>
      </c>
      <c r="U4245" s="98"/>
      <c r="V4245" s="108" t="s">
        <v>137</v>
      </c>
      <c r="W4245" s="26" t="s">
        <v>146</v>
      </c>
      <c r="X4245" s="98"/>
      <c r="Y4245" s="108" t="s">
        <v>137</v>
      </c>
      <c r="Z4245" s="26" t="s">
        <v>146</v>
      </c>
      <c r="AA4245" s="98"/>
      <c r="AB4245" s="108" t="s">
        <v>137</v>
      </c>
      <c r="AC4245" s="26" t="s">
        <v>146</v>
      </c>
      <c r="AD4245" s="98"/>
      <c r="AE4245" s="108" t="s">
        <v>137</v>
      </c>
      <c r="AF4245" s="26" t="s">
        <v>146</v>
      </c>
      <c r="AG4245" s="98"/>
      <c r="AH4245" s="108" t="s">
        <v>137</v>
      </c>
      <c r="AI4245" s="26" t="s">
        <v>146</v>
      </c>
      <c r="AJ4245" s="98"/>
      <c r="AK4245" s="108" t="s">
        <v>137</v>
      </c>
      <c r="AL4245" s="26" t="s">
        <v>146</v>
      </c>
      <c r="AM4245" s="98"/>
      <c r="AN4245" s="108" t="s">
        <v>137</v>
      </c>
      <c r="AO4245" s="26" t="s">
        <v>146</v>
      </c>
      <c r="AP4245" s="98"/>
      <c r="AQ4245" s="108" t="s">
        <v>137</v>
      </c>
      <c r="AR4245" s="26" t="s">
        <v>146</v>
      </c>
      <c r="AS4245" s="98"/>
      <c r="AT4245" s="108" t="s">
        <v>137</v>
      </c>
      <c r="AU4245" s="26" t="s">
        <v>146</v>
      </c>
    </row>
    <row r="4246" spans="15:47" ht="13.8" x14ac:dyDescent="0.25">
      <c r="O4246" s="20" t="s">
        <v>136</v>
      </c>
      <c r="P4246" s="1"/>
      <c r="Q4246" s="1"/>
      <c r="R4246" s="96">
        <f>R4232*1.02</f>
        <v>123577.20372972</v>
      </c>
      <c r="S4246" s="109" t="s">
        <v>144</v>
      </c>
      <c r="T4246" s="23" t="s">
        <v>147</v>
      </c>
      <c r="U4246" s="96">
        <f ca="1">U4232*1.01</f>
        <v>234019.16898169267</v>
      </c>
      <c r="V4246" s="109" t="s">
        <v>144</v>
      </c>
      <c r="W4246" s="23" t="s">
        <v>147</v>
      </c>
      <c r="X4246" s="96">
        <f ca="1">X4232*1.01</f>
        <v>573026.98366265674</v>
      </c>
      <c r="Y4246" s="109" t="s">
        <v>144</v>
      </c>
      <c r="Z4246" s="23" t="s">
        <v>147</v>
      </c>
      <c r="AA4246" s="96">
        <f ca="1">AA4232*1.01</f>
        <v>1116110.3016655524</v>
      </c>
      <c r="AB4246" s="109" t="s">
        <v>144</v>
      </c>
      <c r="AC4246" s="23" t="s">
        <v>147</v>
      </c>
      <c r="AD4246" s="96">
        <f ca="1">AD4232*1.01</f>
        <v>1872485.8882349622</v>
      </c>
      <c r="AE4246" s="109" t="s">
        <v>144</v>
      </c>
      <c r="AF4246" s="23" t="s">
        <v>147</v>
      </c>
      <c r="AG4246" s="96">
        <f ca="1">AG4232*1.01</f>
        <v>2732944.1531700436</v>
      </c>
      <c r="AH4246" s="109" t="s">
        <v>144</v>
      </c>
      <c r="AI4246" s="23" t="s">
        <v>147</v>
      </c>
      <c r="AJ4246" s="96">
        <f ca="1">AJ4232*1.01</f>
        <v>3647124.5668471796</v>
      </c>
      <c r="AK4246" s="109" t="s">
        <v>144</v>
      </c>
      <c r="AL4246" s="23" t="s">
        <v>147</v>
      </c>
      <c r="AM4246" s="96">
        <f ca="1">AM4232*1.01</f>
        <v>4450185.0709164711</v>
      </c>
      <c r="AN4246" s="109" t="s">
        <v>144</v>
      </c>
      <c r="AO4246" s="23" t="s">
        <v>147</v>
      </c>
      <c r="AP4246" s="96">
        <f ca="1">AP4232*1.01</f>
        <v>5166526.7129850611</v>
      </c>
      <c r="AQ4246" s="109" t="s">
        <v>144</v>
      </c>
      <c r="AR4246" s="23" t="s">
        <v>147</v>
      </c>
      <c r="AS4246" s="96">
        <f ca="1">AS4232*1.01</f>
        <v>6058158.8920741146</v>
      </c>
      <c r="AT4246" s="109" t="s">
        <v>144</v>
      </c>
      <c r="AU4246" s="23" t="s">
        <v>147</v>
      </c>
    </row>
    <row r="4247" spans="15:47" x14ac:dyDescent="0.25">
      <c r="O4247" s="1"/>
      <c r="P4247" s="1"/>
      <c r="Q4247" s="1"/>
      <c r="R4247" s="98"/>
      <c r="S4247" s="107"/>
      <c r="T4247" s="1"/>
      <c r="U4247" s="47"/>
      <c r="V4247" s="107"/>
      <c r="W4247" s="1"/>
      <c r="X4247" s="47"/>
      <c r="Y4247" s="107"/>
      <c r="Z4247" s="1"/>
      <c r="AA4247" s="47"/>
      <c r="AB4247" s="107"/>
      <c r="AC4247" s="1"/>
      <c r="AD4247" s="47"/>
      <c r="AE4247" s="107"/>
      <c r="AF4247" s="1"/>
      <c r="AG4247" s="47"/>
      <c r="AH4247" s="107"/>
      <c r="AI4247" s="1"/>
      <c r="AJ4247" s="47"/>
      <c r="AK4247" s="107"/>
      <c r="AL4247" s="1"/>
      <c r="AM4247" s="47"/>
      <c r="AN4247" s="107"/>
      <c r="AO4247" s="1"/>
      <c r="AP4247" s="47"/>
      <c r="AQ4247" s="107"/>
      <c r="AR4247" s="1"/>
      <c r="AS4247" s="47"/>
      <c r="AT4247" s="107"/>
      <c r="AU4247" s="1"/>
    </row>
    <row r="4248" spans="15:47" x14ac:dyDescent="0.25">
      <c r="O4248" s="8" t="s">
        <v>132</v>
      </c>
      <c r="P4248" s="8"/>
      <c r="Q4248" s="8"/>
      <c r="R4248" s="96">
        <f>P_1_minQ-(R4246^2*R_up)+dpup_minQ</f>
        <v>87.401674869172552</v>
      </c>
      <c r="S4248" s="106"/>
      <c r="T4248" s="22"/>
      <c r="U4248" s="96">
        <f ca="1">P_1_minQ-(U4246^2*R_up)+dpup_minQ</f>
        <v>80.203526931716098</v>
      </c>
      <c r="V4248" s="107"/>
      <c r="W4248" s="1"/>
      <c r="X4248" s="96">
        <f ca="1">P_1_minQ-(X4246^2*R_up)+dpup_minQ</f>
        <v>30.337861579088269</v>
      </c>
      <c r="Y4248" s="107"/>
      <c r="Z4248" s="1"/>
      <c r="AA4248" s="96">
        <f ca="1">P_1_minQ-(AA4246^2*R_up)+dpup_minQ</f>
        <v>-136.85777852646052</v>
      </c>
      <c r="AB4248" s="107"/>
      <c r="AC4248" s="1"/>
      <c r="AD4248" s="96">
        <f ca="1">P_1_minQ-(AD4246^2*R_up)+dpup_minQ</f>
        <v>-548.85878630884417</v>
      </c>
      <c r="AE4248" s="107"/>
      <c r="AF4248" s="1"/>
      <c r="AG4248" s="96">
        <f ca="1">P_1_minQ-(AG4246^2*R_up)+dpup_minQ</f>
        <v>-1271.1187424604361</v>
      </c>
      <c r="AH4248" s="107"/>
      <c r="AI4248" s="1"/>
      <c r="AJ4248" s="96">
        <f ca="1">P_1_minQ-(AJ4246^2*R_up)+dpup_minQ</f>
        <v>-2334.1616787149146</v>
      </c>
      <c r="AK4248" s="107"/>
      <c r="AL4248" s="1"/>
      <c r="AM4248" s="96">
        <f ca="1">P_1_minQ-(AM4246^2*R_up)+dpup_minQ</f>
        <v>-3519.3368673974628</v>
      </c>
      <c r="AN4248" s="107"/>
      <c r="AO4248" s="1"/>
      <c r="AP4248" s="96">
        <f ca="1">P_1_minQ-(AP4246^2*R_up)+dpup_minQ</f>
        <v>-4774.9051479404852</v>
      </c>
      <c r="AQ4248" s="107"/>
      <c r="AR4248" s="1"/>
      <c r="AS4248" s="96">
        <f ca="1">P_1_minQ-(AS4246^2*R_up)+dpup_minQ</f>
        <v>-6599.0253643206906</v>
      </c>
      <c r="AT4248" s="107"/>
      <c r="AU4248" s="1"/>
    </row>
    <row r="4249" spans="15:47" x14ac:dyDescent="0.25">
      <c r="O4249" s="8" t="s">
        <v>134</v>
      </c>
      <c r="P4249" s="1"/>
      <c r="Q4249" s="8"/>
      <c r="R4249" s="97">
        <f>P_2_minQ+(R4246^2*R_dn)-dpdn_minQ</f>
        <v>60</v>
      </c>
      <c r="S4249" s="106"/>
      <c r="T4249" s="22"/>
      <c r="U4249" s="97">
        <f ca="1">P_2_minQ+(U4246^2*R_dn)-dpdn_minQ</f>
        <v>60</v>
      </c>
      <c r="V4249" s="107"/>
      <c r="W4249" s="1"/>
      <c r="X4249" s="97">
        <f ca="1">P_2_minQ+(X4246^2*R_dn)-dpdn_minQ</f>
        <v>60</v>
      </c>
      <c r="Y4249" s="107"/>
      <c r="Z4249" s="1"/>
      <c r="AA4249" s="97">
        <f ca="1">P_2_minQ+(AA4246^2*R_dn)-dpdn_minQ</f>
        <v>60</v>
      </c>
      <c r="AB4249" s="107"/>
      <c r="AC4249" s="1"/>
      <c r="AD4249" s="97">
        <f ca="1">P_2_minQ+(AD4246^2*R_dn)-dpdn_minQ</f>
        <v>60</v>
      </c>
      <c r="AE4249" s="107"/>
      <c r="AF4249" s="1"/>
      <c r="AG4249" s="97">
        <f ca="1">P_2_minQ+(AG4246^2*R_dn)-dpdn_minQ</f>
        <v>60</v>
      </c>
      <c r="AH4249" s="107"/>
      <c r="AI4249" s="1"/>
      <c r="AJ4249" s="97">
        <f ca="1">P_2_minQ+(AJ4246^2*R_dn)-dpdn_minQ</f>
        <v>60</v>
      </c>
      <c r="AK4249" s="107"/>
      <c r="AL4249" s="1"/>
      <c r="AM4249" s="97">
        <f ca="1">P_2_minQ+(AM4246^2*R_dn)-dpdn_minQ</f>
        <v>60</v>
      </c>
      <c r="AN4249" s="107"/>
      <c r="AO4249" s="1"/>
      <c r="AP4249" s="97">
        <f ca="1">P_2_minQ+(AP4246^2*R_dn)-dpdn_minQ</f>
        <v>60</v>
      </c>
      <c r="AQ4249" s="107"/>
      <c r="AR4249" s="1"/>
      <c r="AS4249" s="97">
        <f ca="1">P_2_minQ+(AS4246^2*R_dn)-dpdn_minQ</f>
        <v>60</v>
      </c>
      <c r="AT4249" s="107"/>
      <c r="AU4249" s="1"/>
    </row>
    <row r="4250" spans="15:47" x14ac:dyDescent="0.25">
      <c r="O4250" s="8" t="s">
        <v>138</v>
      </c>
      <c r="P4250" s="1"/>
      <c r="Q4250" s="8"/>
      <c r="R4250" s="97">
        <f>R4248-R4249</f>
        <v>27.401674869172552</v>
      </c>
      <c r="S4250" s="106"/>
      <c r="T4250" s="22"/>
      <c r="U4250" s="97">
        <f ca="1">U4248-U4249</f>
        <v>20.203526931716098</v>
      </c>
      <c r="V4250" s="110"/>
      <c r="W4250" s="25"/>
      <c r="X4250" s="97">
        <f ca="1">X4248-X4249</f>
        <v>-29.662138420911731</v>
      </c>
      <c r="Y4250" s="110"/>
      <c r="Z4250" s="25"/>
      <c r="AA4250" s="97">
        <f ca="1">AA4248-AA4249</f>
        <v>-196.85777852646052</v>
      </c>
      <c r="AB4250" s="110"/>
      <c r="AC4250" s="25"/>
      <c r="AD4250" s="97">
        <f ca="1">AD4248-AD4249</f>
        <v>-608.85878630884417</v>
      </c>
      <c r="AE4250" s="110"/>
      <c r="AF4250" s="25"/>
      <c r="AG4250" s="97">
        <f ca="1">AG4248-AG4249</f>
        <v>-1331.1187424604361</v>
      </c>
      <c r="AH4250" s="110"/>
      <c r="AI4250" s="25"/>
      <c r="AJ4250" s="97">
        <f ca="1">AJ4248-AJ4249</f>
        <v>-2394.1616787149146</v>
      </c>
      <c r="AK4250" s="110"/>
      <c r="AL4250" s="25"/>
      <c r="AM4250" s="97">
        <f ca="1">AM4248-AM4249</f>
        <v>-3579.3368673974628</v>
      </c>
      <c r="AN4250" s="110"/>
      <c r="AO4250" s="25"/>
      <c r="AP4250" s="97">
        <f ca="1">AP4248-AP4249</f>
        <v>-4834.9051479404852</v>
      </c>
      <c r="AQ4250" s="110"/>
      <c r="AR4250" s="25"/>
      <c r="AS4250" s="97">
        <f ca="1">AS4248-AS4249</f>
        <v>-6659.0253643206906</v>
      </c>
      <c r="AT4250" s="110"/>
      <c r="AU4250" s="25"/>
    </row>
    <row r="4251" spans="15:47" ht="14.4" x14ac:dyDescent="0.3">
      <c r="O4251" s="2" t="s">
        <v>140</v>
      </c>
      <c r="P4251" s="11"/>
      <c r="Q4251" s="2"/>
      <c r="R4251" s="96">
        <f>R4250/R4248</f>
        <v>0.31351429947067749</v>
      </c>
      <c r="S4251" s="106"/>
      <c r="T4251" s="22"/>
      <c r="U4251" s="96">
        <f ca="1">U4250/U4248</f>
        <v>0.25190322302056656</v>
      </c>
      <c r="V4251" s="111"/>
      <c r="W4251" s="28"/>
      <c r="X4251" s="96">
        <f ca="1">X4250/X4248</f>
        <v>-0.97772673738341831</v>
      </c>
      <c r="Y4251" s="111"/>
      <c r="Z4251" s="28"/>
      <c r="AA4251" s="96">
        <f ca="1">AA4250/AA4248</f>
        <v>1.4384113248513632</v>
      </c>
      <c r="AB4251" s="111"/>
      <c r="AC4251" s="28"/>
      <c r="AD4251" s="96">
        <f ca="1">AD4250/AD4248</f>
        <v>1.1093177361767474</v>
      </c>
      <c r="AE4251" s="111"/>
      <c r="AF4251" s="28"/>
      <c r="AG4251" s="96">
        <f ca="1">AG4250/AG4248</f>
        <v>1.0472025138138246</v>
      </c>
      <c r="AH4251" s="111"/>
      <c r="AI4251" s="28"/>
      <c r="AJ4251" s="96">
        <f ca="1">AJ4250/AJ4248</f>
        <v>1.0257051602496676</v>
      </c>
      <c r="AK4251" s="111"/>
      <c r="AL4251" s="28"/>
      <c r="AM4251" s="96">
        <f ca="1">AM4250/AM4248</f>
        <v>1.0170486663427505</v>
      </c>
      <c r="AN4251" s="111"/>
      <c r="AO4251" s="28"/>
      <c r="AP4251" s="96">
        <f ca="1">AP4250/AP4248</f>
        <v>1.012565694634977</v>
      </c>
      <c r="AQ4251" s="111"/>
      <c r="AR4251" s="28"/>
      <c r="AS4251" s="96">
        <f ca="1">AS4250/AS4248</f>
        <v>1.0090922517625718</v>
      </c>
      <c r="AT4251" s="111"/>
      <c r="AU4251" s="28"/>
    </row>
    <row r="4252" spans="15:47" x14ac:dyDescent="0.25">
      <c r="O4252" s="2" t="s">
        <v>21</v>
      </c>
      <c r="P4252" s="8">
        <v>12</v>
      </c>
      <c r="Q4252" s="2"/>
      <c r="R4252" s="96">
        <f ca="1">1-R4251/(3*F_GAMMA*R$29)</f>
        <v>0.83671887898923003</v>
      </c>
      <c r="S4252" s="106"/>
      <c r="T4252" s="22"/>
      <c r="U4252" s="96">
        <f ca="1">1-U4251/(3*F_GAMMA*U$29)</f>
        <v>0.8688369705905501</v>
      </c>
      <c r="V4252" s="111"/>
      <c r="W4252" s="28"/>
      <c r="X4252" s="96">
        <f ca="1">1-X4251/(3*F_GAMMA*X$29)</f>
        <v>1.513939447816995</v>
      </c>
      <c r="Y4252" s="111"/>
      <c r="Z4252" s="28"/>
      <c r="AA4252" s="96">
        <f ca="1">1-AA4251/(3*F_GAMMA*AA$29)</f>
        <v>0.23324492339889746</v>
      </c>
      <c r="AB4252" s="111"/>
      <c r="AC4252" s="28"/>
      <c r="AD4252" s="96">
        <f ca="1">1-AD4251/(3*F_GAMMA*AD$29)</f>
        <v>0.39033093121373252</v>
      </c>
      <c r="AE4252" s="111"/>
      <c r="AF4252" s="28"/>
      <c r="AG4252" s="96">
        <f ca="1">1-AG4251/(3*F_GAMMA*AG$29)</f>
        <v>0.38993335936176265</v>
      </c>
      <c r="AH4252" s="111"/>
      <c r="AI4252" s="28"/>
      <c r="AJ4252" s="96">
        <f ca="1">1-AJ4251/(3*F_GAMMA*AJ$29)</f>
        <v>0.35712557197569705</v>
      </c>
      <c r="AK4252" s="111"/>
      <c r="AL4252" s="28"/>
      <c r="AM4252" s="96">
        <f ca="1">1-AM4251/(3*F_GAMMA*AM$29)</f>
        <v>0.28727963377135168</v>
      </c>
      <c r="AN4252" s="111"/>
      <c r="AO4252" s="28"/>
      <c r="AP4252" s="96">
        <f ca="1">1-AP4251/(3*F_GAMMA*AP$29)</f>
        <v>0.42845362947453791</v>
      </c>
      <c r="AQ4252" s="111"/>
      <c r="AR4252" s="28"/>
      <c r="AS4252" s="96">
        <f ca="1">1-AS4251/(3*F_GAMMA*AS$29)</f>
        <v>0.10705321687039893</v>
      </c>
      <c r="AT4252" s="111"/>
      <c r="AU4252" s="28"/>
    </row>
    <row r="4253" spans="15:47" x14ac:dyDescent="0.25">
      <c r="O4253" s="2" t="s">
        <v>57</v>
      </c>
      <c r="P4253" s="143">
        <v>7</v>
      </c>
      <c r="Q4253" s="2"/>
      <c r="R4253" s="96">
        <f ca="1">(R4246/(N_9*R$27*R4248*R4252))*SQRT(M*'Valve Sizing'!$W$6*'Valve Sizing'!$G$8/R4251)</f>
        <v>52.504484396402468</v>
      </c>
      <c r="S4253" s="107"/>
      <c r="T4253" s="22"/>
      <c r="U4253" s="96">
        <f ca="1">(U4246/(N_9*U$27*U4248*U4252))*SQRT(M*'Valve Sizing'!$W$6*'Valve Sizing'!$G$8/U4251)</f>
        <v>116.48599386676639</v>
      </c>
      <c r="V4253" s="111"/>
      <c r="W4253" s="28"/>
      <c r="X4253" s="96" t="e">
        <f ca="1">(X4246/(N_9*X$27*X4248*X4252))*SQRT(M*'Valve Sizing'!$W$6*'Valve Sizing'!$G$8/X4251)</f>
        <v>#NUM!</v>
      </c>
      <c r="Y4253" s="111"/>
      <c r="Z4253" s="28"/>
      <c r="AA4253" s="96">
        <f ca="1">(AA4246/(N_9*AA$27*AA4248*AA4252))*SQRT(M*'Valve Sizing'!$W$6*'Valve Sizing'!$G$8/AA4251)</f>
        <v>-511.70893547445758</v>
      </c>
      <c r="AB4253" s="111"/>
      <c r="AC4253" s="28"/>
      <c r="AD4253" s="96">
        <f ca="1">(AD4246/(N_9*AD$27*AD4248*AD4252))*SQRT(M*'Valve Sizing'!$W$6*'Valve Sizing'!$G$8/AD4251)</f>
        <v>-147.46298218045104</v>
      </c>
      <c r="AE4253" s="111"/>
      <c r="AF4253" s="28"/>
      <c r="AG4253" s="96">
        <f ca="1">(AG4246/(N_9*AG$27*AG4248*AG4252))*SQRT(M*'Valve Sizing'!$W$6*'Valve Sizing'!$G$8/AG4251)</f>
        <v>-97.901702695333242</v>
      </c>
      <c r="AH4253" s="111"/>
      <c r="AI4253" s="28"/>
      <c r="AJ4253" s="96">
        <f ca="1">(AJ4246/(N_9*AJ$27*AJ4248*AJ4252))*SQRT(M*'Valve Sizing'!$W$6*'Valve Sizing'!$G$8/AJ4251)</f>
        <v>-81.332069240613876</v>
      </c>
      <c r="AK4253" s="111"/>
      <c r="AL4253" s="28"/>
      <c r="AM4253" s="96">
        <f ca="1">(AM4246/(N_9*AM$27*AM4248*AM4252))*SQRT(M*'Valve Sizing'!$W$6*'Valve Sizing'!$G$8/AM4251)</f>
        <v>-87.183560017812638</v>
      </c>
      <c r="AN4253" s="111"/>
      <c r="AO4253" s="28"/>
      <c r="AP4253" s="96">
        <f ca="1">(AP4246/(N_9*AP$27*AP4248*AP4252))*SQRT(M*'Valve Sizing'!$W$6*'Valve Sizing'!$G$8/AP4251)</f>
        <v>-57.05950983018446</v>
      </c>
      <c r="AQ4253" s="111"/>
      <c r="AR4253" s="28"/>
      <c r="AS4253" s="96">
        <f ca="1">(AS4246/(N_9*AS$27*AS4248*AS4252))*SQRT(M*'Valve Sizing'!$W$6*'Valve Sizing'!$G$8/AS4251)</f>
        <v>-259.96343159877847</v>
      </c>
      <c r="AT4253" s="111"/>
      <c r="AU4253" s="28"/>
    </row>
    <row r="4254" spans="15:47" x14ac:dyDescent="0.25">
      <c r="O4254" s="2" t="s">
        <v>59</v>
      </c>
      <c r="P4254" s="143">
        <v>7</v>
      </c>
      <c r="Q4254" s="2"/>
      <c r="R4254" s="96">
        <f ca="1">(R4246/(N_9*R$27*R4248*0.667))*SQRT(M*'Valve Sizing'!$W$6*'Valve Sizing'!$G$8/R4255)</f>
        <v>46.097645763144342</v>
      </c>
      <c r="S4254" s="107"/>
      <c r="T4254" s="22"/>
      <c r="U4254" s="96">
        <f ca="1">(U4246/(N_9*U$27*U4248*0.667))*SQRT(M*'Valve Sizing'!$W$6*'Valve Sizing'!$G$8/U4255)</f>
        <v>95.181493478709811</v>
      </c>
      <c r="V4254" s="111"/>
      <c r="W4254" s="28"/>
      <c r="X4254" s="96">
        <f ca="1">(X4246/(N_9*X$27*X4248*0.667))*SQRT(M*'Valve Sizing'!$W$6*'Valve Sizing'!$G$8/X4255)</f>
        <v>620.49977783361066</v>
      </c>
      <c r="Y4254" s="111"/>
      <c r="Z4254" s="28"/>
      <c r="AA4254" s="96">
        <f ca="1">(AA4246/(N_9*AA$27*AA4248*0.667))*SQRT(M*'Valve Sizing'!$W$6*'Valve Sizing'!$G$8/AA4255)</f>
        <v>-271.39280156990742</v>
      </c>
      <c r="AB4254" s="111"/>
      <c r="AC4254" s="28"/>
      <c r="AD4254" s="96">
        <f ca="1">(AD4246/(N_9*AD$27*AD4248*0.667))*SQRT(M*'Valve Sizing'!$W$6*'Valve Sizing'!$G$8/AD4255)</f>
        <v>-116.70725504704745</v>
      </c>
      <c r="AE4254" s="111"/>
      <c r="AF4254" s="28"/>
      <c r="AG4254" s="96">
        <f ca="1">(AG4246/(N_9*AG$27*AG4248*0.667))*SQRT(M*'Valve Sizing'!$W$6*'Valve Sizing'!$G$8/AG4255)</f>
        <v>-77.429074583013076</v>
      </c>
      <c r="AH4254" s="111"/>
      <c r="AI4254" s="28"/>
      <c r="AJ4254" s="96">
        <f ca="1">(AJ4246/(N_9*AJ$27*AJ4248*0.667))*SQRT(M*'Valve Sizing'!$W$6*'Valve Sizing'!$G$8/AJ4255)</f>
        <v>-60.47566318236688</v>
      </c>
      <c r="AK4254" s="111"/>
      <c r="AL4254" s="28"/>
      <c r="AM4254" s="96">
        <f ca="1">(AM4246/(N_9*AM$27*AM4248*0.667))*SQRT(M*'Valve Sizing'!$W$6*'Valve Sizing'!$G$8/AM4255)</f>
        <v>-54.907771199102982</v>
      </c>
      <c r="AN4254" s="111"/>
      <c r="AO4254" s="28"/>
      <c r="AP4254" s="96">
        <f ca="1">(AP4246/(N_9*AP$27*AP4248*0.667))*SQRT(M*'Valve Sizing'!$W$6*'Valve Sizing'!$G$8/AP4255)</f>
        <v>-47.994601681360002</v>
      </c>
      <c r="AQ4254" s="111"/>
      <c r="AR4254" s="28"/>
      <c r="AS4254" s="96">
        <f ca="1">(AS4246/(N_9*AS$27*AS4248*0.667))*SQRT(M*'Valve Sizing'!$W$6*'Valve Sizing'!$G$8/AS4255)</f>
        <v>-68.290385634915893</v>
      </c>
      <c r="AT4254" s="111"/>
      <c r="AU4254" s="28"/>
    </row>
    <row r="4255" spans="15:47" ht="15.6" x14ac:dyDescent="0.35">
      <c r="O4255" s="2" t="s">
        <v>68</v>
      </c>
      <c r="P4255" s="143">
        <v>10</v>
      </c>
      <c r="Q4255" s="2"/>
      <c r="R4255" s="96">
        <f ca="1">F_GAMMA*R$29</f>
        <v>0.64002969751372984</v>
      </c>
      <c r="S4255" s="107"/>
      <c r="T4255" s="1"/>
      <c r="U4255" s="96">
        <f ca="1">F_GAMMA*U$29</f>
        <v>0.64017842058782071</v>
      </c>
      <c r="V4255" s="111"/>
      <c r="W4255" s="28"/>
      <c r="X4255" s="96">
        <f ca="1">F_GAMMA*X$29</f>
        <v>0.63413873724904268</v>
      </c>
      <c r="Y4255" s="111"/>
      <c r="Z4255" s="28"/>
      <c r="AA4255" s="96">
        <f ca="1">F_GAMMA*AA$29</f>
        <v>0.62532411750377137</v>
      </c>
      <c r="AB4255" s="111"/>
      <c r="AC4255" s="28"/>
      <c r="AD4255" s="96">
        <f ca="1">F_GAMMA*AD$29</f>
        <v>0.60651359509139569</v>
      </c>
      <c r="AE4255" s="111"/>
      <c r="AF4255" s="28"/>
      <c r="AG4255" s="96">
        <f ca="1">F_GAMMA*AG$29</f>
        <v>0.57217930198481592</v>
      </c>
      <c r="AH4255" s="111"/>
      <c r="AI4255" s="28"/>
      <c r="AJ4255" s="96">
        <f ca="1">F_GAMMA*AJ$29</f>
        <v>0.53183282018848232</v>
      </c>
      <c r="AK4255" s="111"/>
      <c r="AL4255" s="28"/>
      <c r="AM4255" s="96">
        <f ca="1">F_GAMMA*AM$29</f>
        <v>0.47566512503094399</v>
      </c>
      <c r="AN4255" s="111"/>
      <c r="AO4255" s="28"/>
      <c r="AP4255" s="96">
        <f ca="1">F_GAMMA*AP$29</f>
        <v>0.59054158265645496</v>
      </c>
      <c r="AQ4255" s="111"/>
      <c r="AR4255" s="28"/>
      <c r="AS4255" s="96">
        <f ca="1">F_GAMMA*AS$29</f>
        <v>0.3766899554102966</v>
      </c>
      <c r="AT4255" s="111"/>
      <c r="AU4255" s="28"/>
    </row>
    <row r="4256" spans="15:47" x14ac:dyDescent="0.25">
      <c r="O4256" s="2" t="s">
        <v>145</v>
      </c>
      <c r="P4256" s="12"/>
      <c r="Q4256" s="2"/>
      <c r="R4256" s="96">
        <f ca="1">IF(R4251&lt;R4255,R4253,R4254)</f>
        <v>52.504484396402468</v>
      </c>
      <c r="S4256" s="116"/>
      <c r="T4256" s="1"/>
      <c r="U4256" s="96">
        <f ca="1">IF(U4251&lt;U4255,U4253,U4254)</f>
        <v>116.48599386676639</v>
      </c>
      <c r="V4256" s="111"/>
      <c r="W4256" s="28"/>
      <c r="X4256" s="96" t="e">
        <f ca="1">IF(X4251&lt;X4255,X4253,X4254)</f>
        <v>#NUM!</v>
      </c>
      <c r="Y4256" s="111"/>
      <c r="Z4256" s="28"/>
      <c r="AA4256" s="96">
        <f ca="1">IF(AA4251&lt;AA4255,AA4253,AA4254)</f>
        <v>-271.39280156990742</v>
      </c>
      <c r="AB4256" s="111"/>
      <c r="AC4256" s="28"/>
      <c r="AD4256" s="96">
        <f ca="1">IF(AD4251&lt;AD4255,AD4253,AD4254)</f>
        <v>-116.70725504704745</v>
      </c>
      <c r="AE4256" s="111"/>
      <c r="AF4256" s="28"/>
      <c r="AG4256" s="96">
        <f ca="1">IF(AG4251&lt;AG4255,AG4253,AG4254)</f>
        <v>-77.429074583013076</v>
      </c>
      <c r="AH4256" s="111"/>
      <c r="AI4256" s="28"/>
      <c r="AJ4256" s="96">
        <f ca="1">IF(AJ4251&lt;AJ4255,AJ4253,AJ4254)</f>
        <v>-60.47566318236688</v>
      </c>
      <c r="AK4256" s="111"/>
      <c r="AL4256" s="28"/>
      <c r="AM4256" s="96">
        <f ca="1">IF(AM4251&lt;AM4255,AM4253,AM4254)</f>
        <v>-54.907771199102982</v>
      </c>
      <c r="AN4256" s="111"/>
      <c r="AO4256" s="28"/>
      <c r="AP4256" s="96">
        <f ca="1">IF(AP4251&lt;AP4255,AP4253,AP4254)</f>
        <v>-47.994601681360002</v>
      </c>
      <c r="AQ4256" s="111"/>
      <c r="AR4256" s="28"/>
      <c r="AS4256" s="96">
        <f ca="1">IF(AS4251&lt;AS4255,AS4253,AS4254)</f>
        <v>-68.290385634915893</v>
      </c>
      <c r="AT4256" s="111"/>
      <c r="AU4256" s="28"/>
    </row>
    <row r="4257" spans="15:47" x14ac:dyDescent="0.25">
      <c r="O4257" s="13" t="s">
        <v>143</v>
      </c>
      <c r="P4257" s="1"/>
      <c r="Q4257" s="1"/>
      <c r="R4257" s="113"/>
      <c r="S4257" s="106">
        <f ca="1">IF(R4250&lt;=0,Q_max,ABS(R$23-R4256))</f>
        <v>47.774484396402471</v>
      </c>
      <c r="T4257" s="7">
        <f>R4246</f>
        <v>123577.20372972</v>
      </c>
      <c r="U4257" s="98"/>
      <c r="V4257" s="106">
        <f ca="1">IF(U4250&lt;=0,Q_max,ABS(U$23-U4256))</f>
        <v>104.8859938667664</v>
      </c>
      <c r="W4257" s="9">
        <f ca="1">U4246</f>
        <v>234019.16898169267</v>
      </c>
      <c r="X4257" s="98"/>
      <c r="Y4257" s="106">
        <f ca="1">IF(X4250&lt;=0,Q_max,ABS(X$23-X4256))</f>
        <v>236393</v>
      </c>
      <c r="Z4257" s="9">
        <f ca="1">X4246</f>
        <v>573026.98366265674</v>
      </c>
      <c r="AA4257" s="98"/>
      <c r="AB4257" s="106">
        <f ca="1">IF(AA4250&lt;=0,Q_max,ABS(AA$23-AA4256))</f>
        <v>236393</v>
      </c>
      <c r="AC4257" s="9">
        <f ca="1">AA4246</f>
        <v>1116110.3016655524</v>
      </c>
      <c r="AD4257" s="98"/>
      <c r="AE4257" s="106">
        <f ca="1">IF(AD4250&lt;=0,Q_max,ABS(AD$23-AD4256))</f>
        <v>236393</v>
      </c>
      <c r="AF4257" s="9">
        <f ca="1">AD4246</f>
        <v>1872485.8882349622</v>
      </c>
      <c r="AG4257" s="98"/>
      <c r="AH4257" s="106">
        <f ca="1">IF(AG4250&lt;=0,Q_max,ABS(AG$23-AG4256))</f>
        <v>236393</v>
      </c>
      <c r="AI4257" s="9">
        <f ca="1">AG4246</f>
        <v>2732944.1531700436</v>
      </c>
      <c r="AJ4257" s="98"/>
      <c r="AK4257" s="106">
        <f ca="1">IF(AJ4250&lt;=0,Q_max,ABS(AJ$23-AJ4256))</f>
        <v>236393</v>
      </c>
      <c r="AL4257" s="9">
        <f ca="1">AJ4246</f>
        <v>3647124.5668471796</v>
      </c>
      <c r="AM4257" s="98"/>
      <c r="AN4257" s="106">
        <f ca="1">IF(AM4250&lt;=0,Q_max,ABS(AM$23-AM4256))</f>
        <v>236393</v>
      </c>
      <c r="AO4257" s="9">
        <f ca="1">AM4246</f>
        <v>4450185.0709164711</v>
      </c>
      <c r="AP4257" s="98"/>
      <c r="AQ4257" s="106">
        <f ca="1">IF(AP4250&lt;=0,Q_max,ABS(AP$23-AP4256))</f>
        <v>236393</v>
      </c>
      <c r="AR4257" s="9">
        <f ca="1">AP4246</f>
        <v>5166526.7129850611</v>
      </c>
      <c r="AS4257" s="98"/>
      <c r="AT4257" s="106">
        <f ca="1">IF(AS4250&lt;=0,Q_max,ABS(AS$23-AS4256))</f>
        <v>236393</v>
      </c>
      <c r="AU4257" s="9">
        <f ca="1">AS4246</f>
        <v>6058158.8920741146</v>
      </c>
    </row>
    <row r="4258" spans="15:47" x14ac:dyDescent="0.25">
      <c r="O4258" s="21"/>
      <c r="P4258" s="14"/>
      <c r="Q4258" s="21"/>
      <c r="R4258" s="97"/>
      <c r="S4258" s="106"/>
      <c r="T4258" s="28"/>
      <c r="U4258" s="97"/>
      <c r="V4258" s="111"/>
      <c r="W4258" s="28"/>
      <c r="X4258" s="97"/>
      <c r="Y4258" s="111"/>
      <c r="Z4258" s="28"/>
      <c r="AA4258" s="97"/>
      <c r="AB4258" s="111"/>
      <c r="AC4258" s="28"/>
      <c r="AD4258" s="97"/>
      <c r="AE4258" s="111"/>
      <c r="AF4258" s="28"/>
      <c r="AG4258" s="97"/>
      <c r="AH4258" s="111"/>
      <c r="AI4258" s="28"/>
      <c r="AJ4258" s="97"/>
      <c r="AK4258" s="111"/>
      <c r="AL4258" s="28"/>
      <c r="AM4258" s="97"/>
      <c r="AN4258" s="111"/>
      <c r="AO4258" s="28"/>
      <c r="AP4258" s="97"/>
      <c r="AQ4258" s="111"/>
      <c r="AR4258" s="28"/>
      <c r="AS4258" s="97"/>
      <c r="AT4258" s="111"/>
      <c r="AU4258" s="28"/>
    </row>
    <row r="4259" spans="15:47" x14ac:dyDescent="0.25">
      <c r="O4259" s="1"/>
      <c r="P4259" s="1"/>
      <c r="Q4259" s="1"/>
      <c r="R4259" s="98"/>
      <c r="S4259" s="108" t="s">
        <v>137</v>
      </c>
      <c r="T4259" s="26" t="s">
        <v>146</v>
      </c>
      <c r="U4259" s="98"/>
      <c r="V4259" s="108" t="s">
        <v>137</v>
      </c>
      <c r="W4259" s="26" t="s">
        <v>146</v>
      </c>
      <c r="X4259" s="98"/>
      <c r="Y4259" s="108" t="s">
        <v>137</v>
      </c>
      <c r="Z4259" s="26" t="s">
        <v>146</v>
      </c>
      <c r="AA4259" s="98"/>
      <c r="AB4259" s="108" t="s">
        <v>137</v>
      </c>
      <c r="AC4259" s="26" t="s">
        <v>146</v>
      </c>
      <c r="AD4259" s="98"/>
      <c r="AE4259" s="108" t="s">
        <v>137</v>
      </c>
      <c r="AF4259" s="26" t="s">
        <v>146</v>
      </c>
      <c r="AG4259" s="98"/>
      <c r="AH4259" s="108" t="s">
        <v>137</v>
      </c>
      <c r="AI4259" s="26" t="s">
        <v>146</v>
      </c>
      <c r="AJ4259" s="98"/>
      <c r="AK4259" s="108" t="s">
        <v>137</v>
      </c>
      <c r="AL4259" s="26" t="s">
        <v>146</v>
      </c>
      <c r="AM4259" s="98"/>
      <c r="AN4259" s="108" t="s">
        <v>137</v>
      </c>
      <c r="AO4259" s="26" t="s">
        <v>146</v>
      </c>
      <c r="AP4259" s="98"/>
      <c r="AQ4259" s="108" t="s">
        <v>137</v>
      </c>
      <c r="AR4259" s="26" t="s">
        <v>146</v>
      </c>
      <c r="AS4259" s="98"/>
      <c r="AT4259" s="108" t="s">
        <v>137</v>
      </c>
      <c r="AU4259" s="26" t="s">
        <v>146</v>
      </c>
    </row>
    <row r="4260" spans="15:47" ht="13.8" x14ac:dyDescent="0.25">
      <c r="O4260" s="20" t="s">
        <v>136</v>
      </c>
      <c r="P4260" s="1"/>
      <c r="Q4260" s="1"/>
      <c r="R4260" s="96">
        <f>R4246*1.02</f>
        <v>126048.74780431441</v>
      </c>
      <c r="S4260" s="109" t="s">
        <v>144</v>
      </c>
      <c r="T4260" s="23" t="s">
        <v>147</v>
      </c>
      <c r="U4260" s="96">
        <f ca="1">U4246*1.01</f>
        <v>236359.36067150958</v>
      </c>
      <c r="V4260" s="109" t="s">
        <v>144</v>
      </c>
      <c r="W4260" s="23" t="s">
        <v>147</v>
      </c>
      <c r="X4260" s="96">
        <f ca="1">X4246*1.01</f>
        <v>578757.25349928334</v>
      </c>
      <c r="Y4260" s="109" t="s">
        <v>144</v>
      </c>
      <c r="Z4260" s="23" t="s">
        <v>147</v>
      </c>
      <c r="AA4260" s="96">
        <f ca="1">AA4246*1.01</f>
        <v>1127271.4046822079</v>
      </c>
      <c r="AB4260" s="109" t="s">
        <v>144</v>
      </c>
      <c r="AC4260" s="23" t="s">
        <v>147</v>
      </c>
      <c r="AD4260" s="96">
        <f ca="1">AD4246*1.01</f>
        <v>1891210.7471173119</v>
      </c>
      <c r="AE4260" s="109" t="s">
        <v>144</v>
      </c>
      <c r="AF4260" s="23" t="s">
        <v>147</v>
      </c>
      <c r="AG4260" s="96">
        <f ca="1">AG4246*1.01</f>
        <v>2760273.5947017442</v>
      </c>
      <c r="AH4260" s="109" t="s">
        <v>144</v>
      </c>
      <c r="AI4260" s="23" t="s">
        <v>147</v>
      </c>
      <c r="AJ4260" s="96">
        <f ca="1">AJ4246*1.01</f>
        <v>3683595.8125156513</v>
      </c>
      <c r="AK4260" s="109" t="s">
        <v>144</v>
      </c>
      <c r="AL4260" s="23" t="s">
        <v>147</v>
      </c>
      <c r="AM4260" s="96">
        <f ca="1">AM4246*1.01</f>
        <v>4494686.9216256356</v>
      </c>
      <c r="AN4260" s="109" t="s">
        <v>144</v>
      </c>
      <c r="AO4260" s="23" t="s">
        <v>147</v>
      </c>
      <c r="AP4260" s="96">
        <f ca="1">AP4246*1.01</f>
        <v>5218191.9801149117</v>
      </c>
      <c r="AQ4260" s="109" t="s">
        <v>144</v>
      </c>
      <c r="AR4260" s="23" t="s">
        <v>147</v>
      </c>
      <c r="AS4260" s="96">
        <f ca="1">AS4246*1.01</f>
        <v>6118740.480994856</v>
      </c>
      <c r="AT4260" s="109" t="s">
        <v>144</v>
      </c>
      <c r="AU4260" s="23" t="s">
        <v>147</v>
      </c>
    </row>
    <row r="4261" spans="15:47" x14ac:dyDescent="0.25">
      <c r="O4261" s="1"/>
      <c r="P4261" s="1"/>
      <c r="Q4261" s="1"/>
      <c r="R4261" s="98"/>
      <c r="S4261" s="107"/>
      <c r="T4261" s="1"/>
      <c r="U4261" s="47"/>
      <c r="V4261" s="107"/>
      <c r="W4261" s="1"/>
      <c r="X4261" s="47"/>
      <c r="Y4261" s="107"/>
      <c r="Z4261" s="1"/>
      <c r="AA4261" s="47"/>
      <c r="AB4261" s="107"/>
      <c r="AC4261" s="1"/>
      <c r="AD4261" s="47"/>
      <c r="AE4261" s="107"/>
      <c r="AF4261" s="1"/>
      <c r="AG4261" s="47"/>
      <c r="AH4261" s="107"/>
      <c r="AI4261" s="1"/>
      <c r="AJ4261" s="47"/>
      <c r="AK4261" s="107"/>
      <c r="AL4261" s="1"/>
      <c r="AM4261" s="47"/>
      <c r="AN4261" s="107"/>
      <c r="AO4261" s="1"/>
      <c r="AP4261" s="47"/>
      <c r="AQ4261" s="107"/>
      <c r="AR4261" s="1"/>
      <c r="AS4261" s="47"/>
      <c r="AT4261" s="107"/>
      <c r="AU4261" s="1"/>
    </row>
    <row r="4262" spans="15:47" x14ac:dyDescent="0.25">
      <c r="O4262" s="8" t="s">
        <v>132</v>
      </c>
      <c r="P4262" s="8"/>
      <c r="Q4262" s="8"/>
      <c r="R4262" s="96">
        <f>P_1_minQ-(R4260^2*R_up)+dpup_minQ</f>
        <v>87.289226896464797</v>
      </c>
      <c r="S4262" s="106"/>
      <c r="T4262" s="22"/>
      <c r="U4262" s="96">
        <f ca="1">P_1_minQ-(U4260^2*R_up)+dpup_minQ</f>
        <v>80.002898508385456</v>
      </c>
      <c r="V4262" s="107"/>
      <c r="W4262" s="1"/>
      <c r="X4262" s="96">
        <f ca="1">P_1_minQ-(X4260^2*R_up)+dpup_minQ</f>
        <v>29.134933282169811</v>
      </c>
      <c r="Y4262" s="107"/>
      <c r="Z4262" s="1"/>
      <c r="AA4262" s="96">
        <f ca="1">P_1_minQ-(AA4260^2*R_up)+dpup_minQ</f>
        <v>-141.42133918950046</v>
      </c>
      <c r="AB4262" s="107"/>
      <c r="AC4262" s="1"/>
      <c r="AD4262" s="96">
        <f ca="1">P_1_minQ-(AD4260^2*R_up)+dpup_minQ</f>
        <v>-561.70356722831013</v>
      </c>
      <c r="AE4262" s="107"/>
      <c r="AF4262" s="1"/>
      <c r="AG4262" s="96">
        <f ca="1">P_1_minQ-(AG4260^2*R_up)+dpup_minQ</f>
        <v>-1298.480948498549</v>
      </c>
      <c r="AH4262" s="107"/>
      <c r="AI4262" s="1"/>
      <c r="AJ4262" s="96">
        <f ca="1">P_1_minQ-(AJ4260^2*R_up)+dpup_minQ</f>
        <v>-2382.8910477717427</v>
      </c>
      <c r="AK4262" s="107"/>
      <c r="AL4262" s="1"/>
      <c r="AM4262" s="96">
        <f ca="1">P_1_minQ-(AM4260^2*R_up)+dpup_minQ</f>
        <v>-3591.8882577468094</v>
      </c>
      <c r="AN4262" s="107"/>
      <c r="AO4262" s="1"/>
      <c r="AP4262" s="96">
        <f ca="1">P_1_minQ-(AP4260^2*R_up)+dpup_minQ</f>
        <v>-4872.6934607287467</v>
      </c>
      <c r="AQ4262" s="107"/>
      <c r="AR4262" s="1"/>
      <c r="AS4262" s="96">
        <f ca="1">P_1_minQ-(AS4260^2*R_up)+dpup_minQ</f>
        <v>-6733.4784934581958</v>
      </c>
      <c r="AT4262" s="107"/>
      <c r="AU4262" s="1"/>
    </row>
    <row r="4263" spans="15:47" x14ac:dyDescent="0.25">
      <c r="O4263" s="8" t="s">
        <v>134</v>
      </c>
      <c r="P4263" s="1"/>
      <c r="Q4263" s="8"/>
      <c r="R4263" s="97">
        <f>P_2_minQ+(R4260^2*R_dn)-dpdn_minQ</f>
        <v>60</v>
      </c>
      <c r="S4263" s="106"/>
      <c r="T4263" s="22"/>
      <c r="U4263" s="97">
        <f ca="1">P_2_minQ+(U4260^2*R_dn)-dpdn_minQ</f>
        <v>60</v>
      </c>
      <c r="V4263" s="107"/>
      <c r="W4263" s="1"/>
      <c r="X4263" s="97">
        <f ca="1">P_2_minQ+(X4260^2*R_dn)-dpdn_minQ</f>
        <v>60</v>
      </c>
      <c r="Y4263" s="107"/>
      <c r="Z4263" s="1"/>
      <c r="AA4263" s="97">
        <f ca="1">P_2_minQ+(AA4260^2*R_dn)-dpdn_minQ</f>
        <v>60</v>
      </c>
      <c r="AB4263" s="107"/>
      <c r="AC4263" s="1"/>
      <c r="AD4263" s="97">
        <f ca="1">P_2_minQ+(AD4260^2*R_dn)-dpdn_minQ</f>
        <v>60</v>
      </c>
      <c r="AE4263" s="107"/>
      <c r="AF4263" s="1"/>
      <c r="AG4263" s="97">
        <f ca="1">P_2_minQ+(AG4260^2*R_dn)-dpdn_minQ</f>
        <v>60</v>
      </c>
      <c r="AH4263" s="107"/>
      <c r="AI4263" s="1"/>
      <c r="AJ4263" s="97">
        <f ca="1">P_2_minQ+(AJ4260^2*R_dn)-dpdn_minQ</f>
        <v>60</v>
      </c>
      <c r="AK4263" s="107"/>
      <c r="AL4263" s="1"/>
      <c r="AM4263" s="97">
        <f ca="1">P_2_minQ+(AM4260^2*R_dn)-dpdn_minQ</f>
        <v>60</v>
      </c>
      <c r="AN4263" s="107"/>
      <c r="AO4263" s="1"/>
      <c r="AP4263" s="97">
        <f ca="1">P_2_minQ+(AP4260^2*R_dn)-dpdn_minQ</f>
        <v>60</v>
      </c>
      <c r="AQ4263" s="107"/>
      <c r="AR4263" s="1"/>
      <c r="AS4263" s="97">
        <f ca="1">P_2_minQ+(AS4260^2*R_dn)-dpdn_minQ</f>
        <v>60</v>
      </c>
      <c r="AT4263" s="107"/>
      <c r="AU4263" s="1"/>
    </row>
    <row r="4264" spans="15:47" x14ac:dyDescent="0.25">
      <c r="O4264" s="8" t="s">
        <v>138</v>
      </c>
      <c r="P4264" s="1"/>
      <c r="Q4264" s="8"/>
      <c r="R4264" s="97">
        <f>R4262-R4263</f>
        <v>27.289226896464797</v>
      </c>
      <c r="S4264" s="106"/>
      <c r="T4264" s="22"/>
      <c r="U4264" s="97">
        <f ca="1">U4262-U4263</f>
        <v>20.002898508385456</v>
      </c>
      <c r="V4264" s="110"/>
      <c r="W4264" s="25"/>
      <c r="X4264" s="97">
        <f ca="1">X4262-X4263</f>
        <v>-30.865066717830189</v>
      </c>
      <c r="Y4264" s="110"/>
      <c r="Z4264" s="25"/>
      <c r="AA4264" s="97">
        <f ca="1">AA4262-AA4263</f>
        <v>-201.42133918950046</v>
      </c>
      <c r="AB4264" s="110"/>
      <c r="AC4264" s="25"/>
      <c r="AD4264" s="97">
        <f ca="1">AD4262-AD4263</f>
        <v>-621.70356722831013</v>
      </c>
      <c r="AE4264" s="110"/>
      <c r="AF4264" s="25"/>
      <c r="AG4264" s="97">
        <f ca="1">AG4262-AG4263</f>
        <v>-1358.480948498549</v>
      </c>
      <c r="AH4264" s="110"/>
      <c r="AI4264" s="25"/>
      <c r="AJ4264" s="97">
        <f ca="1">AJ4262-AJ4263</f>
        <v>-2442.8910477717427</v>
      </c>
      <c r="AK4264" s="110"/>
      <c r="AL4264" s="25"/>
      <c r="AM4264" s="97">
        <f ca="1">AM4262-AM4263</f>
        <v>-3651.8882577468094</v>
      </c>
      <c r="AN4264" s="110"/>
      <c r="AO4264" s="25"/>
      <c r="AP4264" s="97">
        <f ca="1">AP4262-AP4263</f>
        <v>-4932.6934607287467</v>
      </c>
      <c r="AQ4264" s="110"/>
      <c r="AR4264" s="25"/>
      <c r="AS4264" s="97">
        <f ca="1">AS4262-AS4263</f>
        <v>-6793.4784934581958</v>
      </c>
      <c r="AT4264" s="110"/>
      <c r="AU4264" s="25"/>
    </row>
    <row r="4265" spans="15:47" ht="14.4" x14ac:dyDescent="0.3">
      <c r="O4265" s="2" t="s">
        <v>140</v>
      </c>
      <c r="P4265" s="11"/>
      <c r="Q4265" s="2"/>
      <c r="R4265" s="96">
        <f>R4264/R4262</f>
        <v>0.31262995293603646</v>
      </c>
      <c r="S4265" s="106"/>
      <c r="T4265" s="22"/>
      <c r="U4265" s="96">
        <f ca="1">U4264/U4262</f>
        <v>0.25002717253161599</v>
      </c>
      <c r="V4265" s="111"/>
      <c r="W4265" s="28"/>
      <c r="X4265" s="96">
        <f ca="1">X4264/X4262</f>
        <v>-1.0593834699707103</v>
      </c>
      <c r="Y4265" s="111"/>
      <c r="Z4265" s="28"/>
      <c r="AA4265" s="96">
        <f ca="1">AA4264/AA4262</f>
        <v>1.4242641198553618</v>
      </c>
      <c r="AB4265" s="111"/>
      <c r="AC4265" s="28"/>
      <c r="AD4265" s="96">
        <f ca="1">AD4264/AD4262</f>
        <v>1.1068179080579212</v>
      </c>
      <c r="AE4265" s="111"/>
      <c r="AF4265" s="28"/>
      <c r="AG4265" s="96">
        <f ca="1">AG4264/AG4262</f>
        <v>1.0462078400683343</v>
      </c>
      <c r="AH4265" s="111"/>
      <c r="AI4265" s="28"/>
      <c r="AJ4265" s="96">
        <f ca="1">AJ4264/AJ4262</f>
        <v>1.0251794978440607</v>
      </c>
      <c r="AK4265" s="111"/>
      <c r="AL4265" s="28"/>
      <c r="AM4265" s="96">
        <f ca="1">AM4264/AM4262</f>
        <v>1.0167043058398588</v>
      </c>
      <c r="AN4265" s="111"/>
      <c r="AO4265" s="28"/>
      <c r="AP4265" s="96">
        <f ca="1">AP4264/AP4262</f>
        <v>1.0123135182796881</v>
      </c>
      <c r="AQ4265" s="111"/>
      <c r="AR4265" s="28"/>
      <c r="AS4265" s="96">
        <f ca="1">AS4264/AS4262</f>
        <v>1.0089106989883894</v>
      </c>
      <c r="AT4265" s="111"/>
      <c r="AU4265" s="28"/>
    </row>
    <row r="4266" spans="15:47" x14ac:dyDescent="0.25">
      <c r="O4266" s="2" t="s">
        <v>21</v>
      </c>
      <c r="P4266" s="8">
        <v>12</v>
      </c>
      <c r="Q4266" s="2"/>
      <c r="R4266" s="96">
        <f ca="1">1-R4265/(3*F_GAMMA*R$29)</f>
        <v>0.83717945477088329</v>
      </c>
      <c r="S4266" s="106"/>
      <c r="T4266" s="22"/>
      <c r="U4266" s="96">
        <f ca="1">1-U4265/(3*F_GAMMA*U$29)</f>
        <v>0.86981380789538976</v>
      </c>
      <c r="V4266" s="111"/>
      <c r="W4266" s="28"/>
      <c r="X4266" s="96">
        <f ca="1">1-X4265/(3*F_GAMMA*X$29)</f>
        <v>1.5568620911812987</v>
      </c>
      <c r="Y4266" s="111"/>
      <c r="Z4266" s="28"/>
      <c r="AA4266" s="96">
        <f ca="1">1-AA4265/(3*F_GAMMA*AA$29)</f>
        <v>0.24078618858708789</v>
      </c>
      <c r="AB4266" s="111"/>
      <c r="AC4266" s="28"/>
      <c r="AD4266" s="96">
        <f ca="1">1-AD4265/(3*F_GAMMA*AD$29)</f>
        <v>0.39170480979840494</v>
      </c>
      <c r="AE4266" s="111"/>
      <c r="AF4266" s="28"/>
      <c r="AG4266" s="96">
        <f ca="1">1-AG4265/(3*F_GAMMA*AG$29)</f>
        <v>0.39051282442457291</v>
      </c>
      <c r="AH4266" s="111"/>
      <c r="AI4266" s="28"/>
      <c r="AJ4266" s="96">
        <f ca="1">1-AJ4265/(3*F_GAMMA*AJ$29)</f>
        <v>0.35745503791916189</v>
      </c>
      <c r="AK4266" s="111"/>
      <c r="AL4266" s="28"/>
      <c r="AM4266" s="96">
        <f ca="1">1-AM4265/(3*F_GAMMA*AM$29)</f>
        <v>0.28752095235507125</v>
      </c>
      <c r="AN4266" s="111"/>
      <c r="AO4266" s="28"/>
      <c r="AP4266" s="96">
        <f ca="1">1-AP4265/(3*F_GAMMA*AP$29)</f>
        <v>0.4285959713308356</v>
      </c>
      <c r="AQ4266" s="111"/>
      <c r="AR4266" s="28"/>
      <c r="AS4266" s="96">
        <f ca="1">1-AS4265/(3*F_GAMMA*AS$29)</f>
        <v>0.1072138731091038</v>
      </c>
      <c r="AT4266" s="111"/>
      <c r="AU4266" s="28"/>
    </row>
    <row r="4267" spans="15:47" x14ac:dyDescent="0.25">
      <c r="O4267" s="2" t="s">
        <v>57</v>
      </c>
      <c r="P4267" s="143">
        <v>7</v>
      </c>
      <c r="Q4267" s="2"/>
      <c r="R4267" s="96">
        <f ca="1">(R4260/(N_9*R$27*R4262*R4266))*SQRT(M*'Valve Sizing'!$W$6*'Valve Sizing'!$G$8/R4265)</f>
        <v>53.669811314192749</v>
      </c>
      <c r="S4267" s="107"/>
      <c r="T4267" s="22"/>
      <c r="U4267" s="96">
        <f ca="1">(U4260/(N_9*U$27*U4262*U4266))*SQRT(M*'Valve Sizing'!$W$6*'Valve Sizing'!$G$8/U4265)</f>
        <v>118.25461009745942</v>
      </c>
      <c r="V4267" s="111"/>
      <c r="W4267" s="28"/>
      <c r="X4267" s="96" t="e">
        <f ca="1">(X4260/(N_9*X$27*X4262*X4266))*SQRT(M*'Valve Sizing'!$W$6*'Valve Sizing'!$G$8/X4265)</f>
        <v>#NUM!</v>
      </c>
      <c r="Y4267" s="111"/>
      <c r="Z4267" s="28"/>
      <c r="AA4267" s="96">
        <f ca="1">(AA4260/(N_9*AA$27*AA4262*AA4266))*SQRT(M*'Valve Sizing'!$W$6*'Valve Sizing'!$G$8/AA4265)</f>
        <v>-486.88435877913264</v>
      </c>
      <c r="AB4267" s="111"/>
      <c r="AC4267" s="28"/>
      <c r="AD4267" s="96">
        <f ca="1">(AD4260/(N_9*AD$27*AD4262*AD4266))*SQRT(M*'Valve Sizing'!$W$6*'Valve Sizing'!$G$8/AD4265)</f>
        <v>-145.18500981554439</v>
      </c>
      <c r="AE4267" s="111"/>
      <c r="AF4267" s="28"/>
      <c r="AG4267" s="96">
        <f ca="1">(AG4260/(N_9*AG$27*AG4262*AG4266))*SQRT(M*'Valve Sizing'!$W$6*'Valve Sizing'!$G$8/AG4265)</f>
        <v>-96.699360684873838</v>
      </c>
      <c r="AH4267" s="111"/>
      <c r="AI4267" s="28"/>
      <c r="AJ4267" s="96">
        <f ca="1">(AJ4260/(N_9*AJ$27*AJ4262*AJ4266))*SQRT(M*'Valve Sizing'!$W$6*'Valve Sizing'!$G$8/AJ4265)</f>
        <v>-80.411985415626958</v>
      </c>
      <c r="AK4267" s="111"/>
      <c r="AL4267" s="28"/>
      <c r="AM4267" s="96">
        <f ca="1">(AM4260/(N_9*AM$27*AM4262*AM4266))*SQRT(M*'Valve Sizing'!$W$6*'Valve Sizing'!$G$8/AM4265)</f>
        <v>-86.218977938801658</v>
      </c>
      <c r="AN4267" s="111"/>
      <c r="AO4267" s="28"/>
      <c r="AP4267" s="96">
        <f ca="1">(AP4260/(N_9*AP$27*AP4262*AP4266))*SQRT(M*'Valve Sizing'!$W$6*'Valve Sizing'!$G$8/AP4265)</f>
        <v>-56.461823031107549</v>
      </c>
      <c r="AQ4267" s="111"/>
      <c r="AR4267" s="28"/>
      <c r="AS4267" s="96">
        <f ca="1">(AS4260/(N_9*AS$27*AS4262*AS4266))*SQRT(M*'Valve Sizing'!$W$6*'Valve Sizing'!$G$8/AS4265)</f>
        <v>-256.95777559629738</v>
      </c>
      <c r="AT4267" s="111"/>
      <c r="AU4267" s="28"/>
    </row>
    <row r="4268" spans="15:47" x14ac:dyDescent="0.25">
      <c r="O4268" s="2" t="s">
        <v>59</v>
      </c>
      <c r="P4268" s="143">
        <v>7</v>
      </c>
      <c r="Q4268" s="2"/>
      <c r="R4268" s="96">
        <f ca="1">(R4260/(N_9*R$27*R4262*0.667))*SQRT(M*'Valve Sizing'!$W$6*'Valve Sizing'!$G$8/R4269)</f>
        <v>47.080170397700741</v>
      </c>
      <c r="S4268" s="107"/>
      <c r="T4268" s="22"/>
      <c r="U4268" s="96">
        <f ca="1">(U4260/(N_9*U$27*U4262*0.667))*SQRT(M*'Valve Sizing'!$W$6*'Valve Sizing'!$G$8/U4269)</f>
        <v>96.374388105060049</v>
      </c>
      <c r="V4268" s="111"/>
      <c r="W4268" s="28"/>
      <c r="X4268" s="96">
        <f ca="1">(X4260/(N_9*X$27*X4262*0.667))*SQRT(M*'Valve Sizing'!$W$6*'Valve Sizing'!$G$8/X4269)</f>
        <v>652.58027362995369</v>
      </c>
      <c r="Y4268" s="111"/>
      <c r="Z4268" s="28"/>
      <c r="AA4268" s="96">
        <f ca="1">(AA4260/(N_9*AA$27*AA4262*0.667))*SQRT(M*'Valve Sizing'!$W$6*'Valve Sizing'!$G$8/AA4269)</f>
        <v>-265.26151078213275</v>
      </c>
      <c r="AB4268" s="111"/>
      <c r="AC4268" s="28"/>
      <c r="AD4268" s="96">
        <f ca="1">(AD4260/(N_9*AD$27*AD4262*0.667))*SQRT(M*'Valve Sizing'!$W$6*'Valve Sizing'!$G$8/AD4269)</f>
        <v>-115.17883124970132</v>
      </c>
      <c r="AE4268" s="111"/>
      <c r="AF4268" s="28"/>
      <c r="AG4268" s="96">
        <f ca="1">(AG4260/(N_9*AG$27*AG4262*0.667))*SQRT(M*'Valve Sizing'!$W$6*'Valve Sizing'!$G$8/AG4269)</f>
        <v>-76.555426945553165</v>
      </c>
      <c r="AH4268" s="111"/>
      <c r="AI4268" s="28"/>
      <c r="AJ4268" s="96">
        <f ca="1">(AJ4260/(N_9*AJ$27*AJ4262*0.667))*SQRT(M*'Valve Sizing'!$W$6*'Valve Sizing'!$G$8/AJ4269)</f>
        <v>-59.831344527238201</v>
      </c>
      <c r="AK4268" s="111"/>
      <c r="AL4268" s="28"/>
      <c r="AM4268" s="96">
        <f ca="1">(AM4260/(N_9*AM$27*AM4262*0.667))*SQRT(M*'Valve Sizing'!$W$6*'Valve Sizing'!$G$8/AM4269)</f>
        <v>-54.336693938506585</v>
      </c>
      <c r="AN4268" s="111"/>
      <c r="AO4268" s="28"/>
      <c r="AP4268" s="96">
        <f ca="1">(AP4260/(N_9*AP$27*AP4262*0.667))*SQRT(M*'Valve Sizing'!$W$6*'Valve Sizing'!$G$8/AP4269)</f>
        <v>-47.501729631372918</v>
      </c>
      <c r="AQ4268" s="111"/>
      <c r="AR4268" s="28"/>
      <c r="AS4268" s="96">
        <f ca="1">(AS4260/(N_9*AS$27*AS4262*0.667))*SQRT(M*'Valve Sizing'!$W$6*'Valve Sizing'!$G$8/AS4269)</f>
        <v>-67.596040776797892</v>
      </c>
      <c r="AT4268" s="111"/>
      <c r="AU4268" s="28"/>
    </row>
    <row r="4269" spans="15:47" ht="15.6" x14ac:dyDescent="0.35">
      <c r="O4269" s="2" t="s">
        <v>68</v>
      </c>
      <c r="P4269" s="143">
        <v>10</v>
      </c>
      <c r="Q4269" s="2"/>
      <c r="R4269" s="96">
        <f ca="1">F_GAMMA*R$29</f>
        <v>0.64002969751372984</v>
      </c>
      <c r="S4269" s="107"/>
      <c r="T4269" s="1"/>
      <c r="U4269" s="96">
        <f ca="1">F_GAMMA*U$29</f>
        <v>0.64017842058782071</v>
      </c>
      <c r="V4269" s="111"/>
      <c r="W4269" s="28"/>
      <c r="X4269" s="96">
        <f ca="1">F_GAMMA*X$29</f>
        <v>0.63413873724904268</v>
      </c>
      <c r="Y4269" s="111"/>
      <c r="Z4269" s="28"/>
      <c r="AA4269" s="96">
        <f ca="1">F_GAMMA*AA$29</f>
        <v>0.62532411750377137</v>
      </c>
      <c r="AB4269" s="111"/>
      <c r="AC4269" s="28"/>
      <c r="AD4269" s="96">
        <f ca="1">F_GAMMA*AD$29</f>
        <v>0.60651359509139569</v>
      </c>
      <c r="AE4269" s="111"/>
      <c r="AF4269" s="28"/>
      <c r="AG4269" s="96">
        <f ca="1">F_GAMMA*AG$29</f>
        <v>0.57217930198481592</v>
      </c>
      <c r="AH4269" s="111"/>
      <c r="AI4269" s="28"/>
      <c r="AJ4269" s="96">
        <f ca="1">F_GAMMA*AJ$29</f>
        <v>0.53183282018848232</v>
      </c>
      <c r="AK4269" s="111"/>
      <c r="AL4269" s="28"/>
      <c r="AM4269" s="96">
        <f ca="1">F_GAMMA*AM$29</f>
        <v>0.47566512503094399</v>
      </c>
      <c r="AN4269" s="111"/>
      <c r="AO4269" s="28"/>
      <c r="AP4269" s="96">
        <f ca="1">F_GAMMA*AP$29</f>
        <v>0.59054158265645496</v>
      </c>
      <c r="AQ4269" s="111"/>
      <c r="AR4269" s="28"/>
      <c r="AS4269" s="96">
        <f ca="1">F_GAMMA*AS$29</f>
        <v>0.3766899554102966</v>
      </c>
      <c r="AT4269" s="111"/>
      <c r="AU4269" s="28"/>
    </row>
    <row r="4270" spans="15:47" x14ac:dyDescent="0.25">
      <c r="O4270" s="2" t="s">
        <v>145</v>
      </c>
      <c r="P4270" s="12"/>
      <c r="Q4270" s="2"/>
      <c r="R4270" s="96">
        <f ca="1">IF(R4265&lt;R4269,R4267,R4268)</f>
        <v>53.669811314192749</v>
      </c>
      <c r="S4270" s="116"/>
      <c r="T4270" s="1"/>
      <c r="U4270" s="96">
        <f ca="1">IF(U4265&lt;U4269,U4267,U4268)</f>
        <v>118.25461009745942</v>
      </c>
      <c r="V4270" s="111"/>
      <c r="W4270" s="28"/>
      <c r="X4270" s="96" t="e">
        <f ca="1">IF(X4265&lt;X4269,X4267,X4268)</f>
        <v>#NUM!</v>
      </c>
      <c r="Y4270" s="111"/>
      <c r="Z4270" s="28"/>
      <c r="AA4270" s="96">
        <f ca="1">IF(AA4265&lt;AA4269,AA4267,AA4268)</f>
        <v>-265.26151078213275</v>
      </c>
      <c r="AB4270" s="111"/>
      <c r="AC4270" s="28"/>
      <c r="AD4270" s="96">
        <f ca="1">IF(AD4265&lt;AD4269,AD4267,AD4268)</f>
        <v>-115.17883124970132</v>
      </c>
      <c r="AE4270" s="111"/>
      <c r="AF4270" s="28"/>
      <c r="AG4270" s="96">
        <f ca="1">IF(AG4265&lt;AG4269,AG4267,AG4268)</f>
        <v>-76.555426945553165</v>
      </c>
      <c r="AH4270" s="111"/>
      <c r="AI4270" s="28"/>
      <c r="AJ4270" s="96">
        <f ca="1">IF(AJ4265&lt;AJ4269,AJ4267,AJ4268)</f>
        <v>-59.831344527238201</v>
      </c>
      <c r="AK4270" s="111"/>
      <c r="AL4270" s="28"/>
      <c r="AM4270" s="96">
        <f ca="1">IF(AM4265&lt;AM4269,AM4267,AM4268)</f>
        <v>-54.336693938506585</v>
      </c>
      <c r="AN4270" s="111"/>
      <c r="AO4270" s="28"/>
      <c r="AP4270" s="96">
        <f ca="1">IF(AP4265&lt;AP4269,AP4267,AP4268)</f>
        <v>-47.501729631372918</v>
      </c>
      <c r="AQ4270" s="111"/>
      <c r="AR4270" s="28"/>
      <c r="AS4270" s="96">
        <f ca="1">IF(AS4265&lt;AS4269,AS4267,AS4268)</f>
        <v>-67.596040776797892</v>
      </c>
      <c r="AT4270" s="111"/>
      <c r="AU4270" s="28"/>
    </row>
    <row r="4271" spans="15:47" x14ac:dyDescent="0.25">
      <c r="O4271" s="13" t="s">
        <v>143</v>
      </c>
      <c r="P4271" s="1"/>
      <c r="Q4271" s="1"/>
      <c r="R4271" s="113"/>
      <c r="S4271" s="106">
        <f ca="1">IF(R4264&lt;=0,Q_max,ABS(R$23-R4270))</f>
        <v>48.939811314192752</v>
      </c>
      <c r="T4271" s="7">
        <f>R4260</f>
        <v>126048.74780431441</v>
      </c>
      <c r="U4271" s="98"/>
      <c r="V4271" s="106">
        <f ca="1">IF(U4264&lt;=0,Q_max,ABS(U$23-U4270))</f>
        <v>106.65461009745943</v>
      </c>
      <c r="W4271" s="9">
        <f ca="1">U4260</f>
        <v>236359.36067150958</v>
      </c>
      <c r="X4271" s="98"/>
      <c r="Y4271" s="106">
        <f ca="1">IF(X4264&lt;=0,Q_max,ABS(X$23-X4270))</f>
        <v>236393</v>
      </c>
      <c r="Z4271" s="9">
        <f ca="1">X4260</f>
        <v>578757.25349928334</v>
      </c>
      <c r="AA4271" s="98"/>
      <c r="AB4271" s="106">
        <f ca="1">IF(AA4264&lt;=0,Q_max,ABS(AA$23-AA4270))</f>
        <v>236393</v>
      </c>
      <c r="AC4271" s="9">
        <f ca="1">AA4260</f>
        <v>1127271.4046822079</v>
      </c>
      <c r="AD4271" s="98"/>
      <c r="AE4271" s="106">
        <f ca="1">IF(AD4264&lt;=0,Q_max,ABS(AD$23-AD4270))</f>
        <v>236393</v>
      </c>
      <c r="AF4271" s="9">
        <f ca="1">AD4260</f>
        <v>1891210.7471173119</v>
      </c>
      <c r="AG4271" s="98"/>
      <c r="AH4271" s="106">
        <f ca="1">IF(AG4264&lt;=0,Q_max,ABS(AG$23-AG4270))</f>
        <v>236393</v>
      </c>
      <c r="AI4271" s="9">
        <f ca="1">AG4260</f>
        <v>2760273.5947017442</v>
      </c>
      <c r="AJ4271" s="98"/>
      <c r="AK4271" s="106">
        <f ca="1">IF(AJ4264&lt;=0,Q_max,ABS(AJ$23-AJ4270))</f>
        <v>236393</v>
      </c>
      <c r="AL4271" s="9">
        <f ca="1">AJ4260</f>
        <v>3683595.8125156513</v>
      </c>
      <c r="AM4271" s="98"/>
      <c r="AN4271" s="106">
        <f ca="1">IF(AM4264&lt;=0,Q_max,ABS(AM$23-AM4270))</f>
        <v>236393</v>
      </c>
      <c r="AO4271" s="9">
        <f ca="1">AM4260</f>
        <v>4494686.9216256356</v>
      </c>
      <c r="AP4271" s="98"/>
      <c r="AQ4271" s="106">
        <f ca="1">IF(AP4264&lt;=0,Q_max,ABS(AP$23-AP4270))</f>
        <v>236393</v>
      </c>
      <c r="AR4271" s="9">
        <f ca="1">AP4260</f>
        <v>5218191.9801149117</v>
      </c>
      <c r="AS4271" s="98"/>
      <c r="AT4271" s="106">
        <f ca="1">IF(AS4264&lt;=0,Q_max,ABS(AS$23-AS4270))</f>
        <v>236393</v>
      </c>
      <c r="AU4271" s="9">
        <f ca="1">AS4260</f>
        <v>6118740.480994856</v>
      </c>
    </row>
    <row r="4272" spans="15:47" x14ac:dyDescent="0.25">
      <c r="O4272" s="21"/>
      <c r="P4272" s="14"/>
      <c r="Q4272" s="21"/>
      <c r="R4272" s="97"/>
      <c r="S4272" s="106"/>
      <c r="T4272" s="28"/>
      <c r="U4272" s="97"/>
      <c r="V4272" s="111"/>
      <c r="W4272" s="28"/>
      <c r="X4272" s="97"/>
      <c r="Y4272" s="111"/>
      <c r="Z4272" s="28"/>
      <c r="AA4272" s="97"/>
      <c r="AB4272" s="111"/>
      <c r="AC4272" s="28"/>
      <c r="AD4272" s="97"/>
      <c r="AE4272" s="111"/>
      <c r="AF4272" s="28"/>
      <c r="AG4272" s="97"/>
      <c r="AH4272" s="111"/>
      <c r="AI4272" s="28"/>
      <c r="AJ4272" s="97"/>
      <c r="AK4272" s="111"/>
      <c r="AL4272" s="28"/>
      <c r="AM4272" s="97"/>
      <c r="AN4272" s="111"/>
      <c r="AO4272" s="28"/>
      <c r="AP4272" s="97"/>
      <c r="AQ4272" s="111"/>
      <c r="AR4272" s="28"/>
      <c r="AS4272" s="97"/>
      <c r="AT4272" s="111"/>
      <c r="AU4272" s="28"/>
    </row>
    <row r="4273" spans="15:47" x14ac:dyDescent="0.25">
      <c r="O4273" s="1"/>
      <c r="P4273" s="1"/>
      <c r="Q4273" s="1"/>
      <c r="R4273" s="98"/>
      <c r="S4273" s="108" t="s">
        <v>137</v>
      </c>
      <c r="T4273" s="26" t="s">
        <v>146</v>
      </c>
      <c r="U4273" s="98"/>
      <c r="V4273" s="108" t="s">
        <v>137</v>
      </c>
      <c r="W4273" s="26" t="s">
        <v>146</v>
      </c>
      <c r="X4273" s="98"/>
      <c r="Y4273" s="108" t="s">
        <v>137</v>
      </c>
      <c r="Z4273" s="26" t="s">
        <v>146</v>
      </c>
      <c r="AA4273" s="98"/>
      <c r="AB4273" s="108" t="s">
        <v>137</v>
      </c>
      <c r="AC4273" s="26" t="s">
        <v>146</v>
      </c>
      <c r="AD4273" s="98"/>
      <c r="AE4273" s="108" t="s">
        <v>137</v>
      </c>
      <c r="AF4273" s="26" t="s">
        <v>146</v>
      </c>
      <c r="AG4273" s="98"/>
      <c r="AH4273" s="108" t="s">
        <v>137</v>
      </c>
      <c r="AI4273" s="26" t="s">
        <v>146</v>
      </c>
      <c r="AJ4273" s="98"/>
      <c r="AK4273" s="108" t="s">
        <v>137</v>
      </c>
      <c r="AL4273" s="26" t="s">
        <v>146</v>
      </c>
      <c r="AM4273" s="98"/>
      <c r="AN4273" s="108" t="s">
        <v>137</v>
      </c>
      <c r="AO4273" s="26" t="s">
        <v>146</v>
      </c>
      <c r="AP4273" s="98"/>
      <c r="AQ4273" s="108" t="s">
        <v>137</v>
      </c>
      <c r="AR4273" s="26" t="s">
        <v>146</v>
      </c>
      <c r="AS4273" s="98"/>
      <c r="AT4273" s="108" t="s">
        <v>137</v>
      </c>
      <c r="AU4273" s="26" t="s">
        <v>146</v>
      </c>
    </row>
    <row r="4274" spans="15:47" ht="13.8" x14ac:dyDescent="0.25">
      <c r="O4274" s="20" t="s">
        <v>136</v>
      </c>
      <c r="P4274" s="1"/>
      <c r="Q4274" s="1"/>
      <c r="R4274" s="96">
        <f>R4260*1.02</f>
        <v>128569.72276040069</v>
      </c>
      <c r="S4274" s="109" t="s">
        <v>144</v>
      </c>
      <c r="T4274" s="23" t="s">
        <v>147</v>
      </c>
      <c r="U4274" s="96">
        <f ca="1">U4260*1.01</f>
        <v>238722.95427822467</v>
      </c>
      <c r="V4274" s="109" t="s">
        <v>144</v>
      </c>
      <c r="W4274" s="23" t="s">
        <v>147</v>
      </c>
      <c r="X4274" s="96">
        <f ca="1">X4260*1.01</f>
        <v>584544.82603427616</v>
      </c>
      <c r="Y4274" s="109" t="s">
        <v>144</v>
      </c>
      <c r="Z4274" s="23" t="s">
        <v>147</v>
      </c>
      <c r="AA4274" s="96">
        <f ca="1">AA4260*1.01</f>
        <v>1138544.11872903</v>
      </c>
      <c r="AB4274" s="109" t="s">
        <v>144</v>
      </c>
      <c r="AC4274" s="23" t="s">
        <v>147</v>
      </c>
      <c r="AD4274" s="96">
        <f ca="1">AD4260*1.01</f>
        <v>1910122.8545884851</v>
      </c>
      <c r="AE4274" s="109" t="s">
        <v>144</v>
      </c>
      <c r="AF4274" s="23" t="s">
        <v>147</v>
      </c>
      <c r="AG4274" s="96">
        <f ca="1">AG4260*1.01</f>
        <v>2787876.3306487617</v>
      </c>
      <c r="AH4274" s="109" t="s">
        <v>144</v>
      </c>
      <c r="AI4274" s="23" t="s">
        <v>147</v>
      </c>
      <c r="AJ4274" s="96">
        <f ca="1">AJ4260*1.01</f>
        <v>3720431.7706408077</v>
      </c>
      <c r="AK4274" s="109" t="s">
        <v>144</v>
      </c>
      <c r="AL4274" s="23" t="s">
        <v>147</v>
      </c>
      <c r="AM4274" s="96">
        <f ca="1">AM4260*1.01</f>
        <v>4539633.7908418924</v>
      </c>
      <c r="AN4274" s="109" t="s">
        <v>144</v>
      </c>
      <c r="AO4274" s="23" t="s">
        <v>147</v>
      </c>
      <c r="AP4274" s="96">
        <f ca="1">AP4260*1.01</f>
        <v>5270373.8999160612</v>
      </c>
      <c r="AQ4274" s="109" t="s">
        <v>144</v>
      </c>
      <c r="AR4274" s="23" t="s">
        <v>147</v>
      </c>
      <c r="AS4274" s="96">
        <f ca="1">AS4260*1.01</f>
        <v>6179927.885804805</v>
      </c>
      <c r="AT4274" s="109" t="s">
        <v>144</v>
      </c>
      <c r="AU4274" s="23" t="s">
        <v>147</v>
      </c>
    </row>
    <row r="4275" spans="15:47" x14ac:dyDescent="0.25">
      <c r="O4275" s="1"/>
      <c r="P4275" s="1"/>
      <c r="Q4275" s="1"/>
      <c r="R4275" s="98"/>
      <c r="S4275" s="107"/>
      <c r="T4275" s="1"/>
      <c r="U4275" s="47"/>
      <c r="V4275" s="107"/>
      <c r="W4275" s="1"/>
      <c r="X4275" s="47"/>
      <c r="Y4275" s="107"/>
      <c r="Z4275" s="1"/>
      <c r="AA4275" s="47"/>
      <c r="AB4275" s="107"/>
      <c r="AC4275" s="1"/>
      <c r="AD4275" s="47"/>
      <c r="AE4275" s="107"/>
      <c r="AF4275" s="1"/>
      <c r="AG4275" s="47"/>
      <c r="AH4275" s="107"/>
      <c r="AI4275" s="1"/>
      <c r="AJ4275" s="47"/>
      <c r="AK4275" s="107"/>
      <c r="AL4275" s="1"/>
      <c r="AM4275" s="47"/>
      <c r="AN4275" s="107"/>
      <c r="AO4275" s="1"/>
      <c r="AP4275" s="47"/>
      <c r="AQ4275" s="107"/>
      <c r="AR4275" s="1"/>
      <c r="AS4275" s="47"/>
      <c r="AT4275" s="107"/>
      <c r="AU4275" s="1"/>
    </row>
    <row r="4276" spans="15:47" x14ac:dyDescent="0.25">
      <c r="O4276" s="8" t="s">
        <v>132</v>
      </c>
      <c r="P4276" s="8"/>
      <c r="Q4276" s="8"/>
      <c r="R4276" s="96">
        <f>P_1_minQ-(R4274^2*R_up)+dpup_minQ</f>
        <v>87.172236025659657</v>
      </c>
      <c r="S4276" s="106"/>
      <c r="T4276" s="22"/>
      <c r="U4276" s="96">
        <f ca="1">P_1_minQ-(U4274^2*R_up)+dpup_minQ</f>
        <v>79.79823745374587</v>
      </c>
      <c r="V4276" s="107"/>
      <c r="W4276" s="1"/>
      <c r="X4276" s="96">
        <f ca="1">P_1_minQ-(X4274^2*R_up)+dpup_minQ</f>
        <v>27.907826126483286</v>
      </c>
      <c r="Y4276" s="107"/>
      <c r="Z4276" s="1"/>
      <c r="AA4276" s="96">
        <f ca="1">P_1_minQ-(AA4274^2*R_up)+dpup_minQ</f>
        <v>-146.07662742186761</v>
      </c>
      <c r="AB4276" s="107"/>
      <c r="AC4276" s="1"/>
      <c r="AD4276" s="96">
        <f ca="1">P_1_minQ-(AD4274^2*R_up)+dpup_minQ</f>
        <v>-574.80652824425738</v>
      </c>
      <c r="AE4276" s="107"/>
      <c r="AF4276" s="1"/>
      <c r="AG4276" s="96">
        <f ca="1">P_1_minQ-(AG4274^2*R_up)+dpup_minQ</f>
        <v>-1326.3931348780281</v>
      </c>
      <c r="AH4276" s="107"/>
      <c r="AI4276" s="1"/>
      <c r="AJ4276" s="96">
        <f ca="1">P_1_minQ-(AJ4274^2*R_up)+dpup_minQ</f>
        <v>-2432.5998771466125</v>
      </c>
      <c r="AK4276" s="107"/>
      <c r="AL4276" s="1"/>
      <c r="AM4276" s="96">
        <f ca="1">P_1_minQ-(AM4274^2*R_up)+dpup_minQ</f>
        <v>-3665.8979310421796</v>
      </c>
      <c r="AN4276" s="107"/>
      <c r="AO4276" s="1"/>
      <c r="AP4276" s="96">
        <f ca="1">P_1_minQ-(AP4274^2*R_up)+dpup_minQ</f>
        <v>-4972.4473186040541</v>
      </c>
      <c r="AQ4276" s="107"/>
      <c r="AR4276" s="1"/>
      <c r="AS4276" s="96">
        <f ca="1">P_1_minQ-(AS4274^2*R_up)+dpup_minQ</f>
        <v>-6870.6341304913631</v>
      </c>
      <c r="AT4276" s="107"/>
      <c r="AU4276" s="1"/>
    </row>
    <row r="4277" spans="15:47" x14ac:dyDescent="0.25">
      <c r="O4277" s="8" t="s">
        <v>134</v>
      </c>
      <c r="P4277" s="1"/>
      <c r="Q4277" s="8"/>
      <c r="R4277" s="97">
        <f>P_2_minQ+(R4274^2*R_dn)-dpdn_minQ</f>
        <v>60</v>
      </c>
      <c r="S4277" s="106"/>
      <c r="T4277" s="22"/>
      <c r="U4277" s="97">
        <f ca="1">P_2_minQ+(U4274^2*R_dn)-dpdn_minQ</f>
        <v>60</v>
      </c>
      <c r="V4277" s="107"/>
      <c r="W4277" s="1"/>
      <c r="X4277" s="97">
        <f ca="1">P_2_minQ+(X4274^2*R_dn)-dpdn_minQ</f>
        <v>60</v>
      </c>
      <c r="Y4277" s="107"/>
      <c r="Z4277" s="1"/>
      <c r="AA4277" s="97">
        <f ca="1">P_2_minQ+(AA4274^2*R_dn)-dpdn_minQ</f>
        <v>60</v>
      </c>
      <c r="AB4277" s="107"/>
      <c r="AC4277" s="1"/>
      <c r="AD4277" s="97">
        <f ca="1">P_2_minQ+(AD4274^2*R_dn)-dpdn_minQ</f>
        <v>60</v>
      </c>
      <c r="AE4277" s="107"/>
      <c r="AF4277" s="1"/>
      <c r="AG4277" s="97">
        <f ca="1">P_2_minQ+(AG4274^2*R_dn)-dpdn_minQ</f>
        <v>60</v>
      </c>
      <c r="AH4277" s="107"/>
      <c r="AI4277" s="1"/>
      <c r="AJ4277" s="97">
        <f ca="1">P_2_minQ+(AJ4274^2*R_dn)-dpdn_minQ</f>
        <v>60</v>
      </c>
      <c r="AK4277" s="107"/>
      <c r="AL4277" s="1"/>
      <c r="AM4277" s="97">
        <f ca="1">P_2_minQ+(AM4274^2*R_dn)-dpdn_minQ</f>
        <v>60</v>
      </c>
      <c r="AN4277" s="107"/>
      <c r="AO4277" s="1"/>
      <c r="AP4277" s="97">
        <f ca="1">P_2_minQ+(AP4274^2*R_dn)-dpdn_minQ</f>
        <v>60</v>
      </c>
      <c r="AQ4277" s="107"/>
      <c r="AR4277" s="1"/>
      <c r="AS4277" s="97">
        <f ca="1">P_2_minQ+(AS4274^2*R_dn)-dpdn_minQ</f>
        <v>60</v>
      </c>
      <c r="AT4277" s="107"/>
      <c r="AU4277" s="1"/>
    </row>
    <row r="4278" spans="15:47" x14ac:dyDescent="0.25">
      <c r="O4278" s="8" t="s">
        <v>138</v>
      </c>
      <c r="P4278" s="1"/>
      <c r="Q4278" s="8"/>
      <c r="R4278" s="97">
        <f>R4276-R4277</f>
        <v>27.172236025659657</v>
      </c>
      <c r="S4278" s="106"/>
      <c r="T4278" s="22"/>
      <c r="U4278" s="97">
        <f ca="1">U4276-U4277</f>
        <v>19.79823745374587</v>
      </c>
      <c r="V4278" s="110"/>
      <c r="W4278" s="25"/>
      <c r="X4278" s="97">
        <f ca="1">X4276-X4277</f>
        <v>-32.092173873516714</v>
      </c>
      <c r="Y4278" s="110"/>
      <c r="Z4278" s="25"/>
      <c r="AA4278" s="97">
        <f ca="1">AA4276-AA4277</f>
        <v>-206.07662742186761</v>
      </c>
      <c r="AB4278" s="110"/>
      <c r="AC4278" s="25"/>
      <c r="AD4278" s="97">
        <f ca="1">AD4276-AD4277</f>
        <v>-634.80652824425738</v>
      </c>
      <c r="AE4278" s="110"/>
      <c r="AF4278" s="25"/>
      <c r="AG4278" s="97">
        <f ca="1">AG4276-AG4277</f>
        <v>-1386.3931348780281</v>
      </c>
      <c r="AH4278" s="110"/>
      <c r="AI4278" s="25"/>
      <c r="AJ4278" s="97">
        <f ca="1">AJ4276-AJ4277</f>
        <v>-2492.5998771466125</v>
      </c>
      <c r="AK4278" s="110"/>
      <c r="AL4278" s="25"/>
      <c r="AM4278" s="97">
        <f ca="1">AM4276-AM4277</f>
        <v>-3725.8979310421796</v>
      </c>
      <c r="AN4278" s="110"/>
      <c r="AO4278" s="25"/>
      <c r="AP4278" s="97">
        <f ca="1">AP4276-AP4277</f>
        <v>-5032.4473186040541</v>
      </c>
      <c r="AQ4278" s="110"/>
      <c r="AR4278" s="25"/>
      <c r="AS4278" s="97">
        <f ca="1">AS4276-AS4277</f>
        <v>-6930.6341304913631</v>
      </c>
      <c r="AT4278" s="110"/>
      <c r="AU4278" s="25"/>
    </row>
    <row r="4279" spans="15:47" ht="14.4" x14ac:dyDescent="0.3">
      <c r="O4279" s="2" t="s">
        <v>140</v>
      </c>
      <c r="P4279" s="11"/>
      <c r="Q4279" s="2"/>
      <c r="R4279" s="96">
        <f>R4278/R4276</f>
        <v>0.3117074571502485</v>
      </c>
      <c r="S4279" s="106"/>
      <c r="T4279" s="22"/>
      <c r="U4279" s="96">
        <f ca="1">U4278/U4276</f>
        <v>0.24810369358372972</v>
      </c>
      <c r="V4279" s="111"/>
      <c r="W4279" s="28"/>
      <c r="X4279" s="96">
        <f ca="1">X4278/X4276</f>
        <v>-1.1499345641638017</v>
      </c>
      <c r="Y4279" s="111"/>
      <c r="Z4279" s="28"/>
      <c r="AA4279" s="96">
        <f ca="1">AA4278/AA4276</f>
        <v>1.4107433273820096</v>
      </c>
      <c r="AB4279" s="111"/>
      <c r="AC4279" s="28"/>
      <c r="AD4279" s="96">
        <f ca="1">AD4278/AD4276</f>
        <v>1.1043829480908465</v>
      </c>
      <c r="AE4279" s="111"/>
      <c r="AF4279" s="28"/>
      <c r="AG4279" s="96">
        <f ca="1">AG4278/AG4276</f>
        <v>1.0452354572880969</v>
      </c>
      <c r="AH4279" s="111"/>
      <c r="AI4279" s="28"/>
      <c r="AJ4279" s="96">
        <f ca="1">AJ4278/AJ4276</f>
        <v>1.0246649687701122</v>
      </c>
      <c r="AK4279" s="111"/>
      <c r="AL4279" s="28"/>
      <c r="AM4279" s="96">
        <f ca="1">AM4278/AM4276</f>
        <v>1.0163670678040244</v>
      </c>
      <c r="AN4279" s="111"/>
      <c r="AO4279" s="28"/>
      <c r="AP4279" s="96">
        <f ca="1">AP4278/AP4276</f>
        <v>1.0120664928465937</v>
      </c>
      <c r="AQ4279" s="111"/>
      <c r="AR4279" s="28"/>
      <c r="AS4279" s="96">
        <f ca="1">AS4278/AS4276</f>
        <v>1.0087328183775242</v>
      </c>
      <c r="AT4279" s="111"/>
      <c r="AU4279" s="28"/>
    </row>
    <row r="4280" spans="15:47" x14ac:dyDescent="0.25">
      <c r="O4280" s="2" t="s">
        <v>21</v>
      </c>
      <c r="P4280" s="8">
        <v>12</v>
      </c>
      <c r="Q4280" s="2"/>
      <c r="R4280" s="96">
        <f ca="1">1-R4279/(3*F_GAMMA*R$29)</f>
        <v>0.83765989903223104</v>
      </c>
      <c r="S4280" s="106"/>
      <c r="T4280" s="22"/>
      <c r="U4280" s="96">
        <f ca="1">1-U4279/(3*F_GAMMA*U$29)</f>
        <v>0.87081534063794408</v>
      </c>
      <c r="V4280" s="111"/>
      <c r="W4280" s="28"/>
      <c r="X4280" s="96">
        <f ca="1">1-X4279/(3*F_GAMMA*X$29)</f>
        <v>1.6044600319652096</v>
      </c>
      <c r="Y4280" s="111"/>
      <c r="Z4280" s="28"/>
      <c r="AA4280" s="96">
        <f ca="1">1-AA4279/(3*F_GAMMA*AA$29)</f>
        <v>0.24799354026007625</v>
      </c>
      <c r="AB4280" s="111"/>
      <c r="AC4280" s="28"/>
      <c r="AD4280" s="96">
        <f ca="1">1-AD4279/(3*F_GAMMA*AD$29)</f>
        <v>0.39304303754618675</v>
      </c>
      <c r="AE4280" s="111"/>
      <c r="AF4280" s="28"/>
      <c r="AG4280" s="96">
        <f ca="1">1-AG4279/(3*F_GAMMA*AG$29)</f>
        <v>0.39107930348504949</v>
      </c>
      <c r="AH4280" s="111"/>
      <c r="AI4280" s="28"/>
      <c r="AJ4280" s="96">
        <f ca="1">1-AJ4279/(3*F_GAMMA*AJ$29)</f>
        <v>0.35777752589810119</v>
      </c>
      <c r="AK4280" s="111"/>
      <c r="AL4280" s="28"/>
      <c r="AM4280" s="96">
        <f ca="1">1-AM4279/(3*F_GAMMA*AM$29)</f>
        <v>0.28775727970533505</v>
      </c>
      <c r="AN4280" s="111"/>
      <c r="AO4280" s="28"/>
      <c r="AP4280" s="96">
        <f ca="1">1-AP4279/(3*F_GAMMA*AP$29)</f>
        <v>0.42873540573046087</v>
      </c>
      <c r="AQ4280" s="111"/>
      <c r="AR4280" s="28"/>
      <c r="AS4280" s="96">
        <f ca="1">1-AS4279/(3*F_GAMMA*AS$29)</f>
        <v>0.10737127984666994</v>
      </c>
      <c r="AT4280" s="111"/>
      <c r="AU4280" s="28"/>
    </row>
    <row r="4281" spans="15:47" x14ac:dyDescent="0.25">
      <c r="O4281" s="2" t="s">
        <v>57</v>
      </c>
      <c r="P4281" s="143">
        <v>7</v>
      </c>
      <c r="Q4281" s="2"/>
      <c r="R4281" s="96">
        <f ca="1">(R4274/(N_9*R$27*R4276*R4280))*SQRT(M*'Valve Sizing'!$W$6*'Valve Sizing'!$G$8/R4279)</f>
        <v>54.866244476615414</v>
      </c>
      <c r="S4281" s="107"/>
      <c r="T4281" s="22"/>
      <c r="U4281" s="96">
        <f ca="1">(U4274/(N_9*U$27*U4276*U4280))*SQRT(M*'Valve Sizing'!$W$6*'Valve Sizing'!$G$8/U4279)</f>
        <v>120.06850232456934</v>
      </c>
      <c r="V4281" s="111"/>
      <c r="W4281" s="28"/>
      <c r="X4281" s="96" t="e">
        <f ca="1">(X4274/(N_9*X$27*X4276*X4280))*SQRT(M*'Valve Sizing'!$W$6*'Valve Sizing'!$G$8/X4279)</f>
        <v>#NUM!</v>
      </c>
      <c r="Y4281" s="111"/>
      <c r="Z4281" s="28"/>
      <c r="AA4281" s="96">
        <f ca="1">(AA4274/(N_9*AA$27*AA4276*AA4280))*SQRT(M*'Valve Sizing'!$W$6*'Valve Sizing'!$G$8/AA4279)</f>
        <v>-464.45525085830826</v>
      </c>
      <c r="AB4281" s="111"/>
      <c r="AC4281" s="28"/>
      <c r="AD4281" s="96">
        <f ca="1">(AD4274/(N_9*AD$27*AD4276*AD4280))*SQRT(M*'Valve Sizing'!$W$6*'Valve Sizing'!$G$8/AD4279)</f>
        <v>-142.96366772204851</v>
      </c>
      <c r="AE4281" s="111"/>
      <c r="AF4281" s="28"/>
      <c r="AG4281" s="96">
        <f ca="1">(AG4274/(N_9*AG$27*AG4276*AG4280))*SQRT(M*'Valve Sizing'!$W$6*'Valve Sizing'!$G$8/AG4279)</f>
        <v>-95.517001177562591</v>
      </c>
      <c r="AH4281" s="111"/>
      <c r="AI4281" s="28"/>
      <c r="AJ4281" s="96">
        <f ca="1">(AJ4274/(N_9*AJ$27*AJ4276*AJ4280))*SQRT(M*'Valve Sizing'!$W$6*'Valve Sizing'!$G$8/AJ4279)</f>
        <v>-79.504743681897693</v>
      </c>
      <c r="AK4281" s="111"/>
      <c r="AL4281" s="28"/>
      <c r="AM4281" s="96">
        <f ca="1">(AM4274/(N_9*AM$27*AM4276*AM4280))*SQRT(M*'Valve Sizing'!$W$6*'Valve Sizing'!$G$8/AM4279)</f>
        <v>-85.267182133690397</v>
      </c>
      <c r="AN4281" s="111"/>
      <c r="AO4281" s="28"/>
      <c r="AP4281" s="96">
        <f ca="1">(AP4274/(N_9*AP$27*AP4276*AP4280))*SQRT(M*'Valve Sizing'!$W$6*'Valve Sizing'!$G$8/AP4279)</f>
        <v>-55.871058606945205</v>
      </c>
      <c r="AQ4281" s="111"/>
      <c r="AR4281" s="28"/>
      <c r="AS4281" s="96">
        <f ca="1">(AS4274/(N_9*AS$27*AS4276*AS4280))*SQRT(M*'Valve Sizing'!$W$6*'Valve Sizing'!$G$8/AS4279)</f>
        <v>-253.99603469115988</v>
      </c>
      <c r="AT4281" s="111"/>
      <c r="AU4281" s="28"/>
    </row>
    <row r="4282" spans="15:47" x14ac:dyDescent="0.25">
      <c r="O4282" s="2" t="s">
        <v>59</v>
      </c>
      <c r="P4282" s="143">
        <v>7</v>
      </c>
      <c r="Q4282" s="2"/>
      <c r="R4282" s="96">
        <f ca="1">(R4274/(N_9*R$27*R4276*0.667))*SQRT(M*'Valve Sizing'!$W$6*'Valve Sizing'!$G$8/R4283)</f>
        <v>48.086222182698528</v>
      </c>
      <c r="S4282" s="107"/>
      <c r="T4282" s="22"/>
      <c r="U4282" s="96">
        <f ca="1">(U4274/(N_9*U$27*U4276*0.667))*SQRT(M*'Valve Sizing'!$W$6*'Valve Sizing'!$G$8/U4283)</f>
        <v>97.587778161071242</v>
      </c>
      <c r="V4282" s="111"/>
      <c r="W4282" s="28"/>
      <c r="X4282" s="96">
        <f ca="1">(X4274/(N_9*X$27*X4276*0.667))*SQRT(M*'Valve Sizing'!$W$6*'Valve Sizing'!$G$8/X4283)</f>
        <v>688.08697151014235</v>
      </c>
      <c r="Y4282" s="111"/>
      <c r="Z4282" s="28"/>
      <c r="AA4282" s="96">
        <f ca="1">(AA4274/(N_9*AA$27*AA4276*0.667))*SQRT(M*'Valve Sizing'!$W$6*'Valve Sizing'!$G$8/AA4283)</f>
        <v>-259.37602161172151</v>
      </c>
      <c r="AB4282" s="111"/>
      <c r="AC4282" s="28"/>
      <c r="AD4282" s="96">
        <f ca="1">(AD4274/(N_9*AD$27*AD4276*0.667))*SQRT(M*'Valve Sizing'!$W$6*'Valve Sizing'!$G$8/AD4283)</f>
        <v>-113.6788132618413</v>
      </c>
      <c r="AE4282" s="111"/>
      <c r="AF4282" s="28"/>
      <c r="AG4282" s="96">
        <f ca="1">(AG4274/(N_9*AG$27*AG4276*0.667))*SQRT(M*'Valve Sizing'!$W$6*'Valve Sizing'!$G$8/AG4283)</f>
        <v>-75.693863596584066</v>
      </c>
      <c r="AH4282" s="111"/>
      <c r="AI4282" s="28"/>
      <c r="AJ4282" s="96">
        <f ca="1">(AJ4274/(N_9*AJ$27*AJ4276*0.667))*SQRT(M*'Valve Sizing'!$W$6*'Valve Sizing'!$G$8/AJ4283)</f>
        <v>-59.194811425999717</v>
      </c>
      <c r="AK4282" s="111"/>
      <c r="AL4282" s="28"/>
      <c r="AM4282" s="96">
        <f ca="1">(AM4274/(N_9*AM$27*AM4276*0.667))*SQRT(M*'Valve Sizing'!$W$6*'Valve Sizing'!$G$8/AM4283)</f>
        <v>-53.772104395631359</v>
      </c>
      <c r="AN4282" s="111"/>
      <c r="AO4282" s="28"/>
      <c r="AP4282" s="96">
        <f ca="1">(AP4274/(N_9*AP$27*AP4276*0.667))*SQRT(M*'Valve Sizing'!$W$6*'Valve Sizing'!$G$8/AP4283)</f>
        <v>-47.014270045038131</v>
      </c>
      <c r="AQ4282" s="111"/>
      <c r="AR4282" s="28"/>
      <c r="AS4282" s="96">
        <f ca="1">(AS4274/(N_9*AS$27*AS4276*0.667))*SQRT(M*'Valve Sizing'!$W$6*'Valve Sizing'!$G$8/AS4283)</f>
        <v>-66.909115367019268</v>
      </c>
      <c r="AT4282" s="111"/>
      <c r="AU4282" s="28"/>
    </row>
    <row r="4283" spans="15:47" ht="15.6" x14ac:dyDescent="0.35">
      <c r="O4283" s="2" t="s">
        <v>68</v>
      </c>
      <c r="P4283" s="143">
        <v>10</v>
      </c>
      <c r="Q4283" s="2"/>
      <c r="R4283" s="96">
        <f ca="1">F_GAMMA*R$29</f>
        <v>0.64002969751372984</v>
      </c>
      <c r="S4283" s="107"/>
      <c r="T4283" s="1"/>
      <c r="U4283" s="96">
        <f ca="1">F_GAMMA*U$29</f>
        <v>0.64017842058782071</v>
      </c>
      <c r="V4283" s="111"/>
      <c r="W4283" s="28"/>
      <c r="X4283" s="96">
        <f ca="1">F_GAMMA*X$29</f>
        <v>0.63413873724904268</v>
      </c>
      <c r="Y4283" s="111"/>
      <c r="Z4283" s="28"/>
      <c r="AA4283" s="96">
        <f ca="1">F_GAMMA*AA$29</f>
        <v>0.62532411750377137</v>
      </c>
      <c r="AB4283" s="111"/>
      <c r="AC4283" s="28"/>
      <c r="AD4283" s="96">
        <f ca="1">F_GAMMA*AD$29</f>
        <v>0.60651359509139569</v>
      </c>
      <c r="AE4283" s="111"/>
      <c r="AF4283" s="28"/>
      <c r="AG4283" s="96">
        <f ca="1">F_GAMMA*AG$29</f>
        <v>0.57217930198481592</v>
      </c>
      <c r="AH4283" s="111"/>
      <c r="AI4283" s="28"/>
      <c r="AJ4283" s="96">
        <f ca="1">F_GAMMA*AJ$29</f>
        <v>0.53183282018848232</v>
      </c>
      <c r="AK4283" s="111"/>
      <c r="AL4283" s="28"/>
      <c r="AM4283" s="96">
        <f ca="1">F_GAMMA*AM$29</f>
        <v>0.47566512503094399</v>
      </c>
      <c r="AN4283" s="111"/>
      <c r="AO4283" s="28"/>
      <c r="AP4283" s="96">
        <f ca="1">F_GAMMA*AP$29</f>
        <v>0.59054158265645496</v>
      </c>
      <c r="AQ4283" s="111"/>
      <c r="AR4283" s="28"/>
      <c r="AS4283" s="96">
        <f ca="1">F_GAMMA*AS$29</f>
        <v>0.3766899554102966</v>
      </c>
      <c r="AT4283" s="111"/>
      <c r="AU4283" s="28"/>
    </row>
    <row r="4284" spans="15:47" x14ac:dyDescent="0.25">
      <c r="O4284" s="2" t="s">
        <v>145</v>
      </c>
      <c r="P4284" s="12"/>
      <c r="Q4284" s="2"/>
      <c r="R4284" s="96">
        <f ca="1">IF(R4279&lt;R4283,R4281,R4282)</f>
        <v>54.866244476615414</v>
      </c>
      <c r="S4284" s="116"/>
      <c r="T4284" s="1"/>
      <c r="U4284" s="96">
        <f ca="1">IF(U4279&lt;U4283,U4281,U4282)</f>
        <v>120.06850232456934</v>
      </c>
      <c r="V4284" s="111"/>
      <c r="W4284" s="28"/>
      <c r="X4284" s="96" t="e">
        <f ca="1">IF(X4279&lt;X4283,X4281,X4282)</f>
        <v>#NUM!</v>
      </c>
      <c r="Y4284" s="111"/>
      <c r="Z4284" s="28"/>
      <c r="AA4284" s="96">
        <f ca="1">IF(AA4279&lt;AA4283,AA4281,AA4282)</f>
        <v>-259.37602161172151</v>
      </c>
      <c r="AB4284" s="111"/>
      <c r="AC4284" s="28"/>
      <c r="AD4284" s="96">
        <f ca="1">IF(AD4279&lt;AD4283,AD4281,AD4282)</f>
        <v>-113.6788132618413</v>
      </c>
      <c r="AE4284" s="111"/>
      <c r="AF4284" s="28"/>
      <c r="AG4284" s="96">
        <f ca="1">IF(AG4279&lt;AG4283,AG4281,AG4282)</f>
        <v>-75.693863596584066</v>
      </c>
      <c r="AH4284" s="111"/>
      <c r="AI4284" s="28"/>
      <c r="AJ4284" s="96">
        <f ca="1">IF(AJ4279&lt;AJ4283,AJ4281,AJ4282)</f>
        <v>-59.194811425999717</v>
      </c>
      <c r="AK4284" s="111"/>
      <c r="AL4284" s="28"/>
      <c r="AM4284" s="96">
        <f ca="1">IF(AM4279&lt;AM4283,AM4281,AM4282)</f>
        <v>-53.772104395631359</v>
      </c>
      <c r="AN4284" s="111"/>
      <c r="AO4284" s="28"/>
      <c r="AP4284" s="96">
        <f ca="1">IF(AP4279&lt;AP4283,AP4281,AP4282)</f>
        <v>-47.014270045038131</v>
      </c>
      <c r="AQ4284" s="111"/>
      <c r="AR4284" s="28"/>
      <c r="AS4284" s="96">
        <f ca="1">IF(AS4279&lt;AS4283,AS4281,AS4282)</f>
        <v>-66.909115367019268</v>
      </c>
      <c r="AT4284" s="111"/>
      <c r="AU4284" s="28"/>
    </row>
    <row r="4285" spans="15:47" x14ac:dyDescent="0.25">
      <c r="O4285" s="13" t="s">
        <v>143</v>
      </c>
      <c r="P4285" s="1"/>
      <c r="Q4285" s="1"/>
      <c r="R4285" s="113"/>
      <c r="S4285" s="106">
        <f ca="1">IF(R4278&lt;=0,Q_max,ABS(R$23-R4284))</f>
        <v>50.136244476615417</v>
      </c>
      <c r="T4285" s="7">
        <f>R4274</f>
        <v>128569.72276040069</v>
      </c>
      <c r="U4285" s="98"/>
      <c r="V4285" s="106">
        <f ca="1">IF(U4278&lt;=0,Q_max,ABS(U$23-U4284))</f>
        <v>108.46850232456934</v>
      </c>
      <c r="W4285" s="9">
        <f ca="1">U4274</f>
        <v>238722.95427822467</v>
      </c>
      <c r="X4285" s="98"/>
      <c r="Y4285" s="106">
        <f ca="1">IF(X4278&lt;=0,Q_max,ABS(X$23-X4284))</f>
        <v>236393</v>
      </c>
      <c r="Z4285" s="9">
        <f ca="1">X4274</f>
        <v>584544.82603427616</v>
      </c>
      <c r="AA4285" s="98"/>
      <c r="AB4285" s="106">
        <f ca="1">IF(AA4278&lt;=0,Q_max,ABS(AA$23-AA4284))</f>
        <v>236393</v>
      </c>
      <c r="AC4285" s="9">
        <f ca="1">AA4274</f>
        <v>1138544.11872903</v>
      </c>
      <c r="AD4285" s="98"/>
      <c r="AE4285" s="106">
        <f ca="1">IF(AD4278&lt;=0,Q_max,ABS(AD$23-AD4284))</f>
        <v>236393</v>
      </c>
      <c r="AF4285" s="9">
        <f ca="1">AD4274</f>
        <v>1910122.8545884851</v>
      </c>
      <c r="AG4285" s="98"/>
      <c r="AH4285" s="106">
        <f ca="1">IF(AG4278&lt;=0,Q_max,ABS(AG$23-AG4284))</f>
        <v>236393</v>
      </c>
      <c r="AI4285" s="9">
        <f ca="1">AG4274</f>
        <v>2787876.3306487617</v>
      </c>
      <c r="AJ4285" s="98"/>
      <c r="AK4285" s="106">
        <f ca="1">IF(AJ4278&lt;=0,Q_max,ABS(AJ$23-AJ4284))</f>
        <v>236393</v>
      </c>
      <c r="AL4285" s="9">
        <f ca="1">AJ4274</f>
        <v>3720431.7706408077</v>
      </c>
      <c r="AM4285" s="98"/>
      <c r="AN4285" s="106">
        <f ca="1">IF(AM4278&lt;=0,Q_max,ABS(AM$23-AM4284))</f>
        <v>236393</v>
      </c>
      <c r="AO4285" s="9">
        <f ca="1">AM4274</f>
        <v>4539633.7908418924</v>
      </c>
      <c r="AP4285" s="98"/>
      <c r="AQ4285" s="106">
        <f ca="1">IF(AP4278&lt;=0,Q_max,ABS(AP$23-AP4284))</f>
        <v>236393</v>
      </c>
      <c r="AR4285" s="9">
        <f ca="1">AP4274</f>
        <v>5270373.8999160612</v>
      </c>
      <c r="AS4285" s="98"/>
      <c r="AT4285" s="106">
        <f ca="1">IF(AS4278&lt;=0,Q_max,ABS(AS$23-AS4284))</f>
        <v>236393</v>
      </c>
      <c r="AU4285" s="9">
        <f ca="1">AS4274</f>
        <v>6179927.885804805</v>
      </c>
    </row>
    <row r="4286" spans="15:47" x14ac:dyDescent="0.25">
      <c r="O4286" s="21"/>
      <c r="P4286" s="14"/>
      <c r="Q4286" s="21"/>
      <c r="R4286" s="97"/>
      <c r="S4286" s="106"/>
      <c r="T4286" s="28"/>
      <c r="U4286" s="97"/>
      <c r="V4286" s="111"/>
      <c r="W4286" s="28"/>
      <c r="X4286" s="97"/>
      <c r="Y4286" s="111"/>
      <c r="Z4286" s="28"/>
      <c r="AA4286" s="97"/>
      <c r="AB4286" s="111"/>
      <c r="AC4286" s="28"/>
      <c r="AD4286" s="97"/>
      <c r="AE4286" s="111"/>
      <c r="AF4286" s="28"/>
      <c r="AG4286" s="97"/>
      <c r="AH4286" s="111"/>
      <c r="AI4286" s="28"/>
      <c r="AJ4286" s="97"/>
      <c r="AK4286" s="111"/>
      <c r="AL4286" s="28"/>
      <c r="AM4286" s="97"/>
      <c r="AN4286" s="111"/>
      <c r="AO4286" s="28"/>
      <c r="AP4286" s="97"/>
      <c r="AQ4286" s="111"/>
      <c r="AR4286" s="28"/>
      <c r="AS4286" s="97"/>
      <c r="AT4286" s="111"/>
      <c r="AU4286" s="28"/>
    </row>
    <row r="4287" spans="15:47" x14ac:dyDescent="0.25">
      <c r="O4287" s="1"/>
      <c r="P4287" s="1"/>
      <c r="Q4287" s="1"/>
      <c r="R4287" s="98"/>
      <c r="S4287" s="108" t="s">
        <v>137</v>
      </c>
      <c r="T4287" s="26" t="s">
        <v>146</v>
      </c>
      <c r="U4287" s="98"/>
      <c r="V4287" s="108" t="s">
        <v>137</v>
      </c>
      <c r="W4287" s="26" t="s">
        <v>146</v>
      </c>
      <c r="X4287" s="98"/>
      <c r="Y4287" s="108" t="s">
        <v>137</v>
      </c>
      <c r="Z4287" s="26" t="s">
        <v>146</v>
      </c>
      <c r="AA4287" s="98"/>
      <c r="AB4287" s="108" t="s">
        <v>137</v>
      </c>
      <c r="AC4287" s="26" t="s">
        <v>146</v>
      </c>
      <c r="AD4287" s="98"/>
      <c r="AE4287" s="108" t="s">
        <v>137</v>
      </c>
      <c r="AF4287" s="26" t="s">
        <v>146</v>
      </c>
      <c r="AG4287" s="98"/>
      <c r="AH4287" s="108" t="s">
        <v>137</v>
      </c>
      <c r="AI4287" s="26" t="s">
        <v>146</v>
      </c>
      <c r="AJ4287" s="98"/>
      <c r="AK4287" s="108" t="s">
        <v>137</v>
      </c>
      <c r="AL4287" s="26" t="s">
        <v>146</v>
      </c>
      <c r="AM4287" s="98"/>
      <c r="AN4287" s="108" t="s">
        <v>137</v>
      </c>
      <c r="AO4287" s="26" t="s">
        <v>146</v>
      </c>
      <c r="AP4287" s="98"/>
      <c r="AQ4287" s="108" t="s">
        <v>137</v>
      </c>
      <c r="AR4287" s="26" t="s">
        <v>146</v>
      </c>
      <c r="AS4287" s="98"/>
      <c r="AT4287" s="108" t="s">
        <v>137</v>
      </c>
      <c r="AU4287" s="26" t="s">
        <v>146</v>
      </c>
    </row>
    <row r="4288" spans="15:47" ht="13.8" x14ac:dyDescent="0.25">
      <c r="O4288" s="20" t="s">
        <v>136</v>
      </c>
      <c r="P4288" s="1"/>
      <c r="Q4288" s="1"/>
      <c r="R4288" s="96">
        <f>R4274*1.02</f>
        <v>131141.11721560871</v>
      </c>
      <c r="S4288" s="109" t="s">
        <v>144</v>
      </c>
      <c r="T4288" s="23" t="s">
        <v>147</v>
      </c>
      <c r="U4288" s="96">
        <f ca="1">U4274*1.01</f>
        <v>241110.18382100691</v>
      </c>
      <c r="V4288" s="109" t="s">
        <v>144</v>
      </c>
      <c r="W4288" s="23" t="s">
        <v>147</v>
      </c>
      <c r="X4288" s="96">
        <f ca="1">X4274*1.01</f>
        <v>590390.27429461898</v>
      </c>
      <c r="Y4288" s="109" t="s">
        <v>144</v>
      </c>
      <c r="Z4288" s="23" t="s">
        <v>147</v>
      </c>
      <c r="AA4288" s="96">
        <f ca="1">AA4274*1.01</f>
        <v>1149929.5599163203</v>
      </c>
      <c r="AB4288" s="109" t="s">
        <v>144</v>
      </c>
      <c r="AC4288" s="23" t="s">
        <v>147</v>
      </c>
      <c r="AD4288" s="96">
        <f ca="1">AD4274*1.01</f>
        <v>1929224.0831343699</v>
      </c>
      <c r="AE4288" s="109" t="s">
        <v>144</v>
      </c>
      <c r="AF4288" s="23" t="s">
        <v>147</v>
      </c>
      <c r="AG4288" s="96">
        <f ca="1">AG4274*1.01</f>
        <v>2815755.0939552495</v>
      </c>
      <c r="AH4288" s="109" t="s">
        <v>144</v>
      </c>
      <c r="AI4288" s="23" t="s">
        <v>147</v>
      </c>
      <c r="AJ4288" s="96">
        <f ca="1">AJ4274*1.01</f>
        <v>3757636.0883472157</v>
      </c>
      <c r="AK4288" s="109" t="s">
        <v>144</v>
      </c>
      <c r="AL4288" s="23" t="s">
        <v>147</v>
      </c>
      <c r="AM4288" s="96">
        <f ca="1">AM4274*1.01</f>
        <v>4585030.1287503112</v>
      </c>
      <c r="AN4288" s="109" t="s">
        <v>144</v>
      </c>
      <c r="AO4288" s="23" t="s">
        <v>147</v>
      </c>
      <c r="AP4288" s="96">
        <f ca="1">AP4274*1.01</f>
        <v>5323077.6389152221</v>
      </c>
      <c r="AQ4288" s="109" t="s">
        <v>144</v>
      </c>
      <c r="AR4288" s="23" t="s">
        <v>147</v>
      </c>
      <c r="AS4288" s="96">
        <f ca="1">AS4274*1.01</f>
        <v>6241727.1646628529</v>
      </c>
      <c r="AT4288" s="109" t="s">
        <v>144</v>
      </c>
      <c r="AU4288" s="23" t="s">
        <v>147</v>
      </c>
    </row>
    <row r="4289" spans="15:47" x14ac:dyDescent="0.25">
      <c r="O4289" s="1"/>
      <c r="P4289" s="1"/>
      <c r="Q4289" s="1"/>
      <c r="R4289" s="98"/>
      <c r="S4289" s="107"/>
      <c r="T4289" s="1"/>
      <c r="U4289" s="47"/>
      <c r="V4289" s="107"/>
      <c r="W4289" s="1"/>
      <c r="X4289" s="47"/>
      <c r="Y4289" s="107"/>
      <c r="Z4289" s="1"/>
      <c r="AA4289" s="47"/>
      <c r="AB4289" s="107"/>
      <c r="AC4289" s="1"/>
      <c r="AD4289" s="47"/>
      <c r="AE4289" s="107"/>
      <c r="AF4289" s="1"/>
      <c r="AG4289" s="47"/>
      <c r="AH4289" s="107"/>
      <c r="AI4289" s="1"/>
      <c r="AJ4289" s="47"/>
      <c r="AK4289" s="107"/>
      <c r="AL4289" s="1"/>
      <c r="AM4289" s="47"/>
      <c r="AN4289" s="107"/>
      <c r="AO4289" s="1"/>
      <c r="AP4289" s="47"/>
      <c r="AQ4289" s="107"/>
      <c r="AR4289" s="1"/>
      <c r="AS4289" s="47"/>
      <c r="AT4289" s="107"/>
      <c r="AU4289" s="1"/>
    </row>
    <row r="4290" spans="15:47" x14ac:dyDescent="0.25">
      <c r="O4290" s="8" t="s">
        <v>132</v>
      </c>
      <c r="P4290" s="8"/>
      <c r="Q4290" s="8"/>
      <c r="R4290" s="96">
        <f>P_1_minQ-(R4288^2*R_up)+dpup_minQ</f>
        <v>87.050518723673974</v>
      </c>
      <c r="S4290" s="106"/>
      <c r="T4290" s="22"/>
      <c r="U4290" s="96">
        <f ca="1">P_1_minQ-(U4288^2*R_up)+dpup_minQ</f>
        <v>79.589462711908027</v>
      </c>
      <c r="V4290" s="107"/>
      <c r="W4290" s="1"/>
      <c r="X4290" s="96">
        <f ca="1">P_1_minQ-(X4288^2*R_up)+dpup_minQ</f>
        <v>26.656054116967454</v>
      </c>
      <c r="Y4290" s="107"/>
      <c r="Z4290" s="1"/>
      <c r="AA4290" s="96">
        <f ca="1">P_1_minQ-(AA4288^2*R_up)+dpup_minQ</f>
        <v>-150.82548694770526</v>
      </c>
      <c r="AB4290" s="107"/>
      <c r="AC4290" s="1"/>
      <c r="AD4290" s="96">
        <f ca="1">P_1_minQ-(AD4288^2*R_up)+dpup_minQ</f>
        <v>-588.17285877662505</v>
      </c>
      <c r="AE4290" s="107"/>
      <c r="AF4290" s="1"/>
      <c r="AG4290" s="96">
        <f ca="1">P_1_minQ-(AG4288^2*R_up)+dpup_minQ</f>
        <v>-1354.866356203735</v>
      </c>
      <c r="AH4290" s="107"/>
      <c r="AI4290" s="1"/>
      <c r="AJ4290" s="96">
        <f ca="1">P_1_minQ-(AJ4288^2*R_up)+dpup_minQ</f>
        <v>-2483.3078539919175</v>
      </c>
      <c r="AK4290" s="107"/>
      <c r="AL4290" s="1"/>
      <c r="AM4290" s="96">
        <f ca="1">P_1_minQ-(AM4288^2*R_up)+dpup_minQ</f>
        <v>-3741.3951987707846</v>
      </c>
      <c r="AN4290" s="107"/>
      <c r="AO4290" s="1"/>
      <c r="AP4290" s="96">
        <f ca="1">P_1_minQ-(AP4288^2*R_up)+dpup_minQ</f>
        <v>-5074.206229022654</v>
      </c>
      <c r="AQ4290" s="107"/>
      <c r="AR4290" s="1"/>
      <c r="AS4290" s="96">
        <f ca="1">P_1_minQ-(AS4288^2*R_up)+dpup_minQ</f>
        <v>-7010.5465958288987</v>
      </c>
      <c r="AT4290" s="107"/>
      <c r="AU4290" s="1"/>
    </row>
    <row r="4291" spans="15:47" x14ac:dyDescent="0.25">
      <c r="O4291" s="8" t="s">
        <v>134</v>
      </c>
      <c r="P4291" s="1"/>
      <c r="Q4291" s="8"/>
      <c r="R4291" s="97">
        <f>P_2_minQ+(R4288^2*R_dn)-dpdn_minQ</f>
        <v>60</v>
      </c>
      <c r="S4291" s="106"/>
      <c r="T4291" s="22"/>
      <c r="U4291" s="97">
        <f ca="1">P_2_minQ+(U4288^2*R_dn)-dpdn_minQ</f>
        <v>60</v>
      </c>
      <c r="V4291" s="107"/>
      <c r="W4291" s="1"/>
      <c r="X4291" s="97">
        <f ca="1">P_2_minQ+(X4288^2*R_dn)-dpdn_minQ</f>
        <v>60</v>
      </c>
      <c r="Y4291" s="107"/>
      <c r="Z4291" s="1"/>
      <c r="AA4291" s="97">
        <f ca="1">P_2_minQ+(AA4288^2*R_dn)-dpdn_minQ</f>
        <v>60</v>
      </c>
      <c r="AB4291" s="107"/>
      <c r="AC4291" s="1"/>
      <c r="AD4291" s="97">
        <f ca="1">P_2_minQ+(AD4288^2*R_dn)-dpdn_minQ</f>
        <v>60</v>
      </c>
      <c r="AE4291" s="107"/>
      <c r="AF4291" s="1"/>
      <c r="AG4291" s="97">
        <f ca="1">P_2_minQ+(AG4288^2*R_dn)-dpdn_minQ</f>
        <v>60</v>
      </c>
      <c r="AH4291" s="107"/>
      <c r="AI4291" s="1"/>
      <c r="AJ4291" s="97">
        <f ca="1">P_2_minQ+(AJ4288^2*R_dn)-dpdn_minQ</f>
        <v>60</v>
      </c>
      <c r="AK4291" s="107"/>
      <c r="AL4291" s="1"/>
      <c r="AM4291" s="97">
        <f ca="1">P_2_minQ+(AM4288^2*R_dn)-dpdn_minQ</f>
        <v>60</v>
      </c>
      <c r="AN4291" s="107"/>
      <c r="AO4291" s="1"/>
      <c r="AP4291" s="97">
        <f ca="1">P_2_minQ+(AP4288^2*R_dn)-dpdn_minQ</f>
        <v>60</v>
      </c>
      <c r="AQ4291" s="107"/>
      <c r="AR4291" s="1"/>
      <c r="AS4291" s="97">
        <f ca="1">P_2_minQ+(AS4288^2*R_dn)-dpdn_minQ</f>
        <v>60</v>
      </c>
      <c r="AT4291" s="107"/>
      <c r="AU4291" s="1"/>
    </row>
    <row r="4292" spans="15:47" x14ac:dyDescent="0.25">
      <c r="O4292" s="8" t="s">
        <v>138</v>
      </c>
      <c r="P4292" s="1"/>
      <c r="Q4292" s="8"/>
      <c r="R4292" s="97">
        <f>R4290-R4291</f>
        <v>27.050518723673974</v>
      </c>
      <c r="S4292" s="106"/>
      <c r="T4292" s="22"/>
      <c r="U4292" s="97">
        <f ca="1">U4290-U4291</f>
        <v>19.589462711908027</v>
      </c>
      <c r="V4292" s="110"/>
      <c r="W4292" s="25"/>
      <c r="X4292" s="97">
        <f ca="1">X4290-X4291</f>
        <v>-33.343945883032546</v>
      </c>
      <c r="Y4292" s="110"/>
      <c r="Z4292" s="25"/>
      <c r="AA4292" s="97">
        <f ca="1">AA4290-AA4291</f>
        <v>-210.82548694770526</v>
      </c>
      <c r="AB4292" s="110"/>
      <c r="AC4292" s="25"/>
      <c r="AD4292" s="97">
        <f ca="1">AD4290-AD4291</f>
        <v>-648.17285877662505</v>
      </c>
      <c r="AE4292" s="110"/>
      <c r="AF4292" s="25"/>
      <c r="AG4292" s="97">
        <f ca="1">AG4290-AG4291</f>
        <v>-1414.866356203735</v>
      </c>
      <c r="AH4292" s="110"/>
      <c r="AI4292" s="25"/>
      <c r="AJ4292" s="97">
        <f ca="1">AJ4290-AJ4291</f>
        <v>-2543.3078539919175</v>
      </c>
      <c r="AK4292" s="110"/>
      <c r="AL4292" s="25"/>
      <c r="AM4292" s="97">
        <f ca="1">AM4290-AM4291</f>
        <v>-3801.3951987707846</v>
      </c>
      <c r="AN4292" s="110"/>
      <c r="AO4292" s="25"/>
      <c r="AP4292" s="97">
        <f ca="1">AP4290-AP4291</f>
        <v>-5134.206229022654</v>
      </c>
      <c r="AQ4292" s="110"/>
      <c r="AR4292" s="25"/>
      <c r="AS4292" s="97">
        <f ca="1">AS4290-AS4291</f>
        <v>-7070.5465958288987</v>
      </c>
      <c r="AT4292" s="110"/>
      <c r="AU4292" s="25"/>
    </row>
    <row r="4293" spans="15:47" ht="14.4" x14ac:dyDescent="0.3">
      <c r="O4293" s="2" t="s">
        <v>140</v>
      </c>
      <c r="P4293" s="11"/>
      <c r="Q4293" s="2"/>
      <c r="R4293" s="96">
        <f>R4292/R4290</f>
        <v>0.31074506068758673</v>
      </c>
      <c r="S4293" s="106"/>
      <c r="T4293" s="22"/>
      <c r="U4293" s="96">
        <f ca="1">U4292/U4290</f>
        <v>0.24613136016279563</v>
      </c>
      <c r="V4293" s="111"/>
      <c r="W4293" s="28"/>
      <c r="X4293" s="96">
        <f ca="1">X4292/X4290</f>
        <v>-1.250895790379118</v>
      </c>
      <c r="Y4293" s="111"/>
      <c r="Z4293" s="28"/>
      <c r="AA4293" s="96">
        <f ca="1">AA4292/AA4290</f>
        <v>1.3978107494577718</v>
      </c>
      <c r="AB4293" s="111"/>
      <c r="AC4293" s="28"/>
      <c r="AD4293" s="96">
        <f ca="1">AD4292/AD4290</f>
        <v>1.1020108274373583</v>
      </c>
      <c r="AE4293" s="111"/>
      <c r="AF4293" s="28"/>
      <c r="AG4293" s="96">
        <f ca="1">AG4292/AG4290</f>
        <v>1.0442848106200797</v>
      </c>
      <c r="AH4293" s="111"/>
      <c r="AI4293" s="28"/>
      <c r="AJ4293" s="96">
        <f ca="1">AJ4292/AJ4290</f>
        <v>1.024161321723986</v>
      </c>
      <c r="AK4293" s="111"/>
      <c r="AL4293" s="28"/>
      <c r="AM4293" s="96">
        <f ca="1">AM4292/AM4290</f>
        <v>1.0160367982563598</v>
      </c>
      <c r="AN4293" s="111"/>
      <c r="AO4293" s="28"/>
      <c r="AP4293" s="96">
        <f ca="1">AP4292/AP4290</f>
        <v>1.0118245095472906</v>
      </c>
      <c r="AQ4293" s="111"/>
      <c r="AR4293" s="28"/>
      <c r="AS4293" s="96">
        <f ca="1">AS4292/AS4290</f>
        <v>1.0085585338004455</v>
      </c>
      <c r="AT4293" s="111"/>
      <c r="AU4293" s="28"/>
    </row>
    <row r="4294" spans="15:47" x14ac:dyDescent="0.25">
      <c r="O4294" s="2" t="s">
        <v>21</v>
      </c>
      <c r="P4294" s="8">
        <v>12</v>
      </c>
      <c r="Q4294" s="2"/>
      <c r="R4294" s="96">
        <f ca="1">1-R4293/(3*F_GAMMA*R$29)</f>
        <v>0.83816112393184661</v>
      </c>
      <c r="S4294" s="106"/>
      <c r="T4294" s="22"/>
      <c r="U4294" s="96">
        <f ca="1">1-U4293/(3*F_GAMMA*U$29)</f>
        <v>0.87184231132689827</v>
      </c>
      <c r="V4294" s="111"/>
      <c r="W4294" s="28"/>
      <c r="X4294" s="96">
        <f ca="1">1-X4293/(3*F_GAMMA*X$29)</f>
        <v>1.6575300308392182</v>
      </c>
      <c r="Y4294" s="111"/>
      <c r="Z4294" s="28"/>
      <c r="AA4294" s="96">
        <f ca="1">1-AA4293/(3*F_GAMMA*AA$29)</f>
        <v>0.25488734011108427</v>
      </c>
      <c r="AB4294" s="111"/>
      <c r="AC4294" s="28"/>
      <c r="AD4294" s="96">
        <f ca="1">1-AD4293/(3*F_GAMMA*AD$29)</f>
        <v>0.39434672948466165</v>
      </c>
      <c r="AE4294" s="111"/>
      <c r="AF4294" s="28"/>
      <c r="AG4294" s="96">
        <f ca="1">1-AG4293/(3*F_GAMMA*AG$29)</f>
        <v>0.39163311978279591</v>
      </c>
      <c r="AH4294" s="111"/>
      <c r="AI4294" s="28"/>
      <c r="AJ4294" s="96">
        <f ca="1">1-AJ4293/(3*F_GAMMA*AJ$29)</f>
        <v>0.35809319342055534</v>
      </c>
      <c r="AK4294" s="111"/>
      <c r="AL4294" s="28"/>
      <c r="AM4294" s="96">
        <f ca="1">1-AM4293/(3*F_GAMMA*AM$29)</f>
        <v>0.28798872372640838</v>
      </c>
      <c r="AN4294" s="111"/>
      <c r="AO4294" s="28"/>
      <c r="AP4294" s="96">
        <f ca="1">1-AP4293/(3*F_GAMMA*AP$29)</f>
        <v>0.42887199407942156</v>
      </c>
      <c r="AQ4294" s="111"/>
      <c r="AR4294" s="28"/>
      <c r="AS4294" s="96">
        <f ca="1">1-AS4293/(3*F_GAMMA*AS$29)</f>
        <v>0.10752550445019815</v>
      </c>
      <c r="AT4294" s="111"/>
      <c r="AU4294" s="28"/>
    </row>
    <row r="4295" spans="15:47" x14ac:dyDescent="0.25">
      <c r="O4295" s="2" t="s">
        <v>57</v>
      </c>
      <c r="P4295" s="143">
        <v>7</v>
      </c>
      <c r="Q4295" s="2"/>
      <c r="R4295" s="96">
        <f ca="1">(R4288/(N_9*R$27*R4290*R4294))*SQRT(M*'Valve Sizing'!$W$6*'Valve Sizing'!$G$8/R4293)</f>
        <v>56.094969943640649</v>
      </c>
      <c r="S4295" s="107"/>
      <c r="T4295" s="22"/>
      <c r="U4295" s="96">
        <f ca="1">(U4288/(N_9*U$27*U4290*U4294))*SQRT(M*'Valve Sizing'!$W$6*'Valve Sizing'!$G$8/U4293)</f>
        <v>121.92968774863326</v>
      </c>
      <c r="V4295" s="111"/>
      <c r="W4295" s="28"/>
      <c r="X4295" s="96" t="e">
        <f ca="1">(X4288/(N_9*X$27*X4290*X4294))*SQRT(M*'Valve Sizing'!$W$6*'Valve Sizing'!$G$8/X4293)</f>
        <v>#NUM!</v>
      </c>
      <c r="Y4295" s="111"/>
      <c r="Z4295" s="28"/>
      <c r="AA4295" s="96">
        <f ca="1">(AA4288/(N_9*AA$27*AA4290*AA4294))*SQRT(M*'Valve Sizing'!$W$6*'Valve Sizing'!$G$8/AA4293)</f>
        <v>-444.08199551229961</v>
      </c>
      <c r="AB4295" s="111"/>
      <c r="AC4295" s="28"/>
      <c r="AD4295" s="96">
        <f ca="1">(AD4288/(N_9*AD$27*AD4290*AD4294))*SQRT(M*'Valve Sizing'!$W$6*'Valve Sizing'!$G$8/AD4293)</f>
        <v>-140.79672290351513</v>
      </c>
      <c r="AE4295" s="111"/>
      <c r="AF4295" s="28"/>
      <c r="AG4295" s="96">
        <f ca="1">(AG4288/(N_9*AG$27*AG4290*AG4294))*SQRT(M*'Valve Sizing'!$W$6*'Valve Sizing'!$G$8/AG4293)</f>
        <v>-94.354119607989077</v>
      </c>
      <c r="AH4295" s="111"/>
      <c r="AI4295" s="28"/>
      <c r="AJ4295" s="96">
        <f ca="1">(AJ4288/(N_9*AJ$27*AJ4290*AJ4294))*SQRT(M*'Valve Sizing'!$W$6*'Valve Sizing'!$G$8/AJ4293)</f>
        <v>-78.610088210825921</v>
      </c>
      <c r="AK4295" s="111"/>
      <c r="AL4295" s="28"/>
      <c r="AM4295" s="96">
        <f ca="1">(AM4288/(N_9*AM$27*AM4290*AM4294))*SQRT(M*'Valve Sizing'!$W$6*'Valve Sizing'!$G$8/AM4293)</f>
        <v>-84.327937539491217</v>
      </c>
      <c r="AN4295" s="111"/>
      <c r="AO4295" s="28"/>
      <c r="AP4295" s="96">
        <f ca="1">(AP4288/(N_9*AP$27*AP4290*AP4294))*SQRT(M*'Valve Sizing'!$W$6*'Valve Sizing'!$G$8/AP4293)</f>
        <v>-55.287116363647783</v>
      </c>
      <c r="AQ4295" s="111"/>
      <c r="AR4295" s="28"/>
      <c r="AS4295" s="96">
        <f ca="1">(AS4288/(N_9*AS$27*AS4290*AS4294))*SQRT(M*'Valve Sizing'!$W$6*'Valve Sizing'!$G$8/AS4293)</f>
        <v>-251.07727979811997</v>
      </c>
      <c r="AT4295" s="111"/>
      <c r="AU4295" s="28"/>
    </row>
    <row r="4296" spans="15:47" x14ac:dyDescent="0.25">
      <c r="O4296" s="2" t="s">
        <v>59</v>
      </c>
      <c r="P4296" s="143">
        <v>7</v>
      </c>
      <c r="Q4296" s="2"/>
      <c r="R4296" s="96">
        <f ca="1">(R4288/(N_9*R$27*R4290*0.667))*SQRT(M*'Valve Sizing'!$W$6*'Valve Sizing'!$G$8/R4297)</f>
        <v>49.116527305926027</v>
      </c>
      <c r="S4296" s="107"/>
      <c r="T4296" s="22"/>
      <c r="U4296" s="96">
        <f ca="1">(U4288/(N_9*U$27*U4290*0.667))*SQRT(M*'Valve Sizing'!$W$6*'Valve Sizing'!$G$8/U4297)</f>
        <v>98.822202754318468</v>
      </c>
      <c r="V4296" s="111"/>
      <c r="W4296" s="28"/>
      <c r="X4296" s="96">
        <f ca="1">(X4288/(N_9*X$27*X4290*0.667))*SQRT(M*'Valve Sizing'!$W$6*'Valve Sizing'!$G$8/X4297)</f>
        <v>727.60362772770497</v>
      </c>
      <c r="Y4296" s="111"/>
      <c r="Z4296" s="28"/>
      <c r="AA4296" s="96">
        <f ca="1">(AA4288/(N_9*AA$27*AA4290*0.667))*SQRT(M*'Valve Sizing'!$W$6*'Valve Sizing'!$G$8/AA4297)</f>
        <v>-253.72145643475653</v>
      </c>
      <c r="AB4296" s="111"/>
      <c r="AC4296" s="28"/>
      <c r="AD4296" s="96">
        <f ca="1">(AD4288/(N_9*AD$27*AD4290*0.667))*SQRT(M*'Valve Sizing'!$W$6*'Valve Sizing'!$G$8/AD4297)</f>
        <v>-112.2063968798159</v>
      </c>
      <c r="AE4296" s="111"/>
      <c r="AF4296" s="28"/>
      <c r="AG4296" s="96">
        <f ca="1">(AG4288/(N_9*AG$27*AG4290*0.667))*SQRT(M*'Valve Sizing'!$W$6*'Valve Sizing'!$G$8/AG4297)</f>
        <v>-74.844148851182823</v>
      </c>
      <c r="AH4296" s="111"/>
      <c r="AI4296" s="28"/>
      <c r="AJ4296" s="96">
        <f ca="1">(AJ4288/(N_9*AJ$27*AJ4290*0.667))*SQRT(M*'Valve Sizing'!$W$6*'Valve Sizing'!$G$8/AJ4297)</f>
        <v>-58.5659420674885</v>
      </c>
      <c r="AK4296" s="111"/>
      <c r="AL4296" s="28"/>
      <c r="AM4296" s="96">
        <f ca="1">(AM4288/(N_9*AM$27*AM4290*0.667))*SQRT(M*'Valve Sizing'!$W$6*'Valve Sizing'!$G$8/AM4297)</f>
        <v>-53.213912494370483</v>
      </c>
      <c r="AN4296" s="111"/>
      <c r="AO4296" s="28"/>
      <c r="AP4296" s="96">
        <f ca="1">(AP4288/(N_9*AP$27*AP4290*0.667))*SQRT(M*'Valve Sizing'!$W$6*'Valve Sizing'!$G$8/AP4297)</f>
        <v>-46.53215304520063</v>
      </c>
      <c r="AQ4296" s="111"/>
      <c r="AR4296" s="28"/>
      <c r="AS4296" s="96">
        <f ca="1">(AS4288/(N_9*AS$27*AS4290*0.667))*SQRT(M*'Valve Sizing'!$W$6*'Valve Sizing'!$G$8/AS4297)</f>
        <v>-66.229519460678446</v>
      </c>
      <c r="AT4296" s="111"/>
      <c r="AU4296" s="28"/>
    </row>
    <row r="4297" spans="15:47" ht="15.6" x14ac:dyDescent="0.35">
      <c r="O4297" s="2" t="s">
        <v>68</v>
      </c>
      <c r="P4297" s="143">
        <v>10</v>
      </c>
      <c r="Q4297" s="2"/>
      <c r="R4297" s="96">
        <f ca="1">F_GAMMA*R$29</f>
        <v>0.64002969751372984</v>
      </c>
      <c r="S4297" s="107"/>
      <c r="T4297" s="1"/>
      <c r="U4297" s="96">
        <f ca="1">F_GAMMA*U$29</f>
        <v>0.64017842058782071</v>
      </c>
      <c r="V4297" s="111"/>
      <c r="W4297" s="28"/>
      <c r="X4297" s="96">
        <f ca="1">F_GAMMA*X$29</f>
        <v>0.63413873724904268</v>
      </c>
      <c r="Y4297" s="111"/>
      <c r="Z4297" s="28"/>
      <c r="AA4297" s="96">
        <f ca="1">F_GAMMA*AA$29</f>
        <v>0.62532411750377137</v>
      </c>
      <c r="AB4297" s="111"/>
      <c r="AC4297" s="28"/>
      <c r="AD4297" s="96">
        <f ca="1">F_GAMMA*AD$29</f>
        <v>0.60651359509139569</v>
      </c>
      <c r="AE4297" s="111"/>
      <c r="AF4297" s="28"/>
      <c r="AG4297" s="96">
        <f ca="1">F_GAMMA*AG$29</f>
        <v>0.57217930198481592</v>
      </c>
      <c r="AH4297" s="111"/>
      <c r="AI4297" s="28"/>
      <c r="AJ4297" s="96">
        <f ca="1">F_GAMMA*AJ$29</f>
        <v>0.53183282018848232</v>
      </c>
      <c r="AK4297" s="111"/>
      <c r="AL4297" s="28"/>
      <c r="AM4297" s="96">
        <f ca="1">F_GAMMA*AM$29</f>
        <v>0.47566512503094399</v>
      </c>
      <c r="AN4297" s="111"/>
      <c r="AO4297" s="28"/>
      <c r="AP4297" s="96">
        <f ca="1">F_GAMMA*AP$29</f>
        <v>0.59054158265645496</v>
      </c>
      <c r="AQ4297" s="111"/>
      <c r="AR4297" s="28"/>
      <c r="AS4297" s="96">
        <f ca="1">F_GAMMA*AS$29</f>
        <v>0.3766899554102966</v>
      </c>
      <c r="AT4297" s="111"/>
      <c r="AU4297" s="28"/>
    </row>
    <row r="4298" spans="15:47" x14ac:dyDescent="0.25">
      <c r="O4298" s="2" t="s">
        <v>145</v>
      </c>
      <c r="P4298" s="12"/>
      <c r="Q4298" s="2"/>
      <c r="R4298" s="96">
        <f ca="1">IF(R4293&lt;R4297,R4295,R4296)</f>
        <v>56.094969943640649</v>
      </c>
      <c r="S4298" s="116"/>
      <c r="T4298" s="1"/>
      <c r="U4298" s="96">
        <f ca="1">IF(U4293&lt;U4297,U4295,U4296)</f>
        <v>121.92968774863326</v>
      </c>
      <c r="V4298" s="111"/>
      <c r="W4298" s="28"/>
      <c r="X4298" s="96" t="e">
        <f ca="1">IF(X4293&lt;X4297,X4295,X4296)</f>
        <v>#NUM!</v>
      </c>
      <c r="Y4298" s="111"/>
      <c r="Z4298" s="28"/>
      <c r="AA4298" s="96">
        <f ca="1">IF(AA4293&lt;AA4297,AA4295,AA4296)</f>
        <v>-253.72145643475653</v>
      </c>
      <c r="AB4298" s="111"/>
      <c r="AC4298" s="28"/>
      <c r="AD4298" s="96">
        <f ca="1">IF(AD4293&lt;AD4297,AD4295,AD4296)</f>
        <v>-112.2063968798159</v>
      </c>
      <c r="AE4298" s="111"/>
      <c r="AF4298" s="28"/>
      <c r="AG4298" s="96">
        <f ca="1">IF(AG4293&lt;AG4297,AG4295,AG4296)</f>
        <v>-74.844148851182823</v>
      </c>
      <c r="AH4298" s="111"/>
      <c r="AI4298" s="28"/>
      <c r="AJ4298" s="96">
        <f ca="1">IF(AJ4293&lt;AJ4297,AJ4295,AJ4296)</f>
        <v>-58.5659420674885</v>
      </c>
      <c r="AK4298" s="111"/>
      <c r="AL4298" s="28"/>
      <c r="AM4298" s="96">
        <f ca="1">IF(AM4293&lt;AM4297,AM4295,AM4296)</f>
        <v>-53.213912494370483</v>
      </c>
      <c r="AN4298" s="111"/>
      <c r="AO4298" s="28"/>
      <c r="AP4298" s="96">
        <f ca="1">IF(AP4293&lt;AP4297,AP4295,AP4296)</f>
        <v>-46.53215304520063</v>
      </c>
      <c r="AQ4298" s="111"/>
      <c r="AR4298" s="28"/>
      <c r="AS4298" s="96">
        <f ca="1">IF(AS4293&lt;AS4297,AS4295,AS4296)</f>
        <v>-66.229519460678446</v>
      </c>
      <c r="AT4298" s="111"/>
      <c r="AU4298" s="28"/>
    </row>
    <row r="4299" spans="15:47" x14ac:dyDescent="0.25">
      <c r="O4299" s="13" t="s">
        <v>143</v>
      </c>
      <c r="P4299" s="1"/>
      <c r="Q4299" s="1"/>
      <c r="R4299" s="113"/>
      <c r="S4299" s="106">
        <f ca="1">IF(R4292&lt;=0,Q_max,ABS(R$23-R4298))</f>
        <v>51.364969943640645</v>
      </c>
      <c r="T4299" s="7">
        <f>R4288</f>
        <v>131141.11721560871</v>
      </c>
      <c r="U4299" s="98"/>
      <c r="V4299" s="106">
        <f ca="1">IF(U4292&lt;=0,Q_max,ABS(U$23-U4298))</f>
        <v>110.32968774863326</v>
      </c>
      <c r="W4299" s="9">
        <f ca="1">U4288</f>
        <v>241110.18382100691</v>
      </c>
      <c r="X4299" s="98"/>
      <c r="Y4299" s="106">
        <f ca="1">IF(X4292&lt;=0,Q_max,ABS(X$23-X4298))</f>
        <v>236393</v>
      </c>
      <c r="Z4299" s="9">
        <f ca="1">X4288</f>
        <v>590390.27429461898</v>
      </c>
      <c r="AA4299" s="98"/>
      <c r="AB4299" s="106">
        <f ca="1">IF(AA4292&lt;=0,Q_max,ABS(AA$23-AA4298))</f>
        <v>236393</v>
      </c>
      <c r="AC4299" s="9">
        <f ca="1">AA4288</f>
        <v>1149929.5599163203</v>
      </c>
      <c r="AD4299" s="98"/>
      <c r="AE4299" s="106">
        <f ca="1">IF(AD4292&lt;=0,Q_max,ABS(AD$23-AD4298))</f>
        <v>236393</v>
      </c>
      <c r="AF4299" s="9">
        <f ca="1">AD4288</f>
        <v>1929224.0831343699</v>
      </c>
      <c r="AG4299" s="98"/>
      <c r="AH4299" s="106">
        <f ca="1">IF(AG4292&lt;=0,Q_max,ABS(AG$23-AG4298))</f>
        <v>236393</v>
      </c>
      <c r="AI4299" s="9">
        <f ca="1">AG4288</f>
        <v>2815755.0939552495</v>
      </c>
      <c r="AJ4299" s="98"/>
      <c r="AK4299" s="106">
        <f ca="1">IF(AJ4292&lt;=0,Q_max,ABS(AJ$23-AJ4298))</f>
        <v>236393</v>
      </c>
      <c r="AL4299" s="9">
        <f ca="1">AJ4288</f>
        <v>3757636.0883472157</v>
      </c>
      <c r="AM4299" s="98"/>
      <c r="AN4299" s="106">
        <f ca="1">IF(AM4292&lt;=0,Q_max,ABS(AM$23-AM4298))</f>
        <v>236393</v>
      </c>
      <c r="AO4299" s="9">
        <f ca="1">AM4288</f>
        <v>4585030.1287503112</v>
      </c>
      <c r="AP4299" s="98"/>
      <c r="AQ4299" s="106">
        <f ca="1">IF(AP4292&lt;=0,Q_max,ABS(AP$23-AP4298))</f>
        <v>236393</v>
      </c>
      <c r="AR4299" s="9">
        <f ca="1">AP4288</f>
        <v>5323077.6389152221</v>
      </c>
      <c r="AS4299" s="98"/>
      <c r="AT4299" s="106">
        <f ca="1">IF(AS4292&lt;=0,Q_max,ABS(AS$23-AS4298))</f>
        <v>236393</v>
      </c>
      <c r="AU4299" s="9">
        <f ca="1">AS4288</f>
        <v>6241727.1646628529</v>
      </c>
    </row>
    <row r="4300" spans="15:47" x14ac:dyDescent="0.25">
      <c r="O4300" s="21"/>
      <c r="P4300" s="14"/>
      <c r="Q4300" s="21"/>
      <c r="R4300" s="97"/>
      <c r="S4300" s="106"/>
      <c r="T4300" s="28"/>
      <c r="U4300" s="99"/>
      <c r="V4300" s="110"/>
      <c r="W4300" s="25"/>
      <c r="X4300" s="99"/>
      <c r="Y4300" s="110"/>
      <c r="Z4300" s="25"/>
      <c r="AA4300" s="99"/>
      <c r="AB4300" s="110"/>
      <c r="AC4300" s="25"/>
      <c r="AD4300" s="99"/>
      <c r="AE4300" s="110"/>
      <c r="AF4300" s="25"/>
      <c r="AG4300" s="99"/>
      <c r="AH4300" s="110"/>
      <c r="AI4300" s="25"/>
      <c r="AJ4300" s="99"/>
      <c r="AK4300" s="110"/>
      <c r="AL4300" s="25"/>
      <c r="AM4300" s="99"/>
      <c r="AN4300" s="110"/>
      <c r="AO4300" s="25"/>
      <c r="AP4300" s="99"/>
      <c r="AQ4300" s="110"/>
      <c r="AR4300" s="25"/>
      <c r="AS4300" s="99"/>
      <c r="AT4300" s="110"/>
      <c r="AU4300" s="25"/>
    </row>
    <row r="4301" spans="15:47" x14ac:dyDescent="0.25">
      <c r="O4301" s="1"/>
      <c r="P4301" s="1"/>
      <c r="Q4301" s="1"/>
      <c r="R4301" s="98"/>
      <c r="S4301" s="108" t="s">
        <v>137</v>
      </c>
      <c r="T4301" s="26" t="s">
        <v>146</v>
      </c>
      <c r="U4301" s="98"/>
      <c r="V4301" s="108" t="s">
        <v>137</v>
      </c>
      <c r="W4301" s="26" t="s">
        <v>146</v>
      </c>
      <c r="X4301" s="98"/>
      <c r="Y4301" s="108" t="s">
        <v>137</v>
      </c>
      <c r="Z4301" s="26" t="s">
        <v>146</v>
      </c>
      <c r="AA4301" s="98"/>
      <c r="AB4301" s="108" t="s">
        <v>137</v>
      </c>
      <c r="AC4301" s="26" t="s">
        <v>146</v>
      </c>
      <c r="AD4301" s="98"/>
      <c r="AE4301" s="108" t="s">
        <v>137</v>
      </c>
      <c r="AF4301" s="26" t="s">
        <v>146</v>
      </c>
      <c r="AG4301" s="98"/>
      <c r="AH4301" s="108" t="s">
        <v>137</v>
      </c>
      <c r="AI4301" s="26" t="s">
        <v>146</v>
      </c>
      <c r="AJ4301" s="98"/>
      <c r="AK4301" s="108" t="s">
        <v>137</v>
      </c>
      <c r="AL4301" s="26" t="s">
        <v>146</v>
      </c>
      <c r="AM4301" s="98"/>
      <c r="AN4301" s="108" t="s">
        <v>137</v>
      </c>
      <c r="AO4301" s="26" t="s">
        <v>146</v>
      </c>
      <c r="AP4301" s="98"/>
      <c r="AQ4301" s="108" t="s">
        <v>137</v>
      </c>
      <c r="AR4301" s="26" t="s">
        <v>146</v>
      </c>
      <c r="AS4301" s="98"/>
      <c r="AT4301" s="108" t="s">
        <v>137</v>
      </c>
      <c r="AU4301" s="26" t="s">
        <v>146</v>
      </c>
    </row>
    <row r="4302" spans="15:47" ht="13.8" x14ac:dyDescent="0.25">
      <c r="O4302" s="20" t="s">
        <v>136</v>
      </c>
      <c r="P4302" s="1"/>
      <c r="Q4302" s="1"/>
      <c r="R4302" s="96">
        <f>R4288*1.02</f>
        <v>133763.93955992089</v>
      </c>
      <c r="S4302" s="109" t="s">
        <v>144</v>
      </c>
      <c r="T4302" s="23" t="s">
        <v>147</v>
      </c>
      <c r="U4302" s="96">
        <f ca="1">U4288*1.01</f>
        <v>243521.28565921698</v>
      </c>
      <c r="V4302" s="109" t="s">
        <v>144</v>
      </c>
      <c r="W4302" s="23" t="s">
        <v>147</v>
      </c>
      <c r="X4302" s="96">
        <f ca="1">X4288*1.01</f>
        <v>596294.17703756515</v>
      </c>
      <c r="Y4302" s="109" t="s">
        <v>144</v>
      </c>
      <c r="Z4302" s="23" t="s">
        <v>147</v>
      </c>
      <c r="AA4302" s="96">
        <f ca="1">AA4288*1.01</f>
        <v>1161428.8555154835</v>
      </c>
      <c r="AB4302" s="109" t="s">
        <v>144</v>
      </c>
      <c r="AC4302" s="23" t="s">
        <v>147</v>
      </c>
      <c r="AD4302" s="96">
        <f ca="1">AD4288*1.01</f>
        <v>1948516.3239657136</v>
      </c>
      <c r="AE4302" s="109" t="s">
        <v>144</v>
      </c>
      <c r="AF4302" s="23" t="s">
        <v>147</v>
      </c>
      <c r="AG4302" s="96">
        <f ca="1">AG4288*1.01</f>
        <v>2843912.644894802</v>
      </c>
      <c r="AH4302" s="109" t="s">
        <v>144</v>
      </c>
      <c r="AI4302" s="23" t="s">
        <v>147</v>
      </c>
      <c r="AJ4302" s="96">
        <f ca="1">AJ4288*1.01</f>
        <v>3795212.4492306877</v>
      </c>
      <c r="AK4302" s="109" t="s">
        <v>144</v>
      </c>
      <c r="AL4302" s="23" t="s">
        <v>147</v>
      </c>
      <c r="AM4302" s="96">
        <f ca="1">AM4288*1.01</f>
        <v>4630880.4300378142</v>
      </c>
      <c r="AN4302" s="109" t="s">
        <v>144</v>
      </c>
      <c r="AO4302" s="23" t="s">
        <v>147</v>
      </c>
      <c r="AP4302" s="96">
        <f ca="1">AP4288*1.01</f>
        <v>5376308.4153043739</v>
      </c>
      <c r="AQ4302" s="109" t="s">
        <v>144</v>
      </c>
      <c r="AR4302" s="23" t="s">
        <v>147</v>
      </c>
      <c r="AS4302" s="96">
        <f ca="1">AS4288*1.01</f>
        <v>6304144.436309481</v>
      </c>
      <c r="AT4302" s="109" t="s">
        <v>144</v>
      </c>
      <c r="AU4302" s="23" t="s">
        <v>147</v>
      </c>
    </row>
    <row r="4303" spans="15:47" x14ac:dyDescent="0.25">
      <c r="O4303" s="1"/>
      <c r="P4303" s="1"/>
      <c r="Q4303" s="1"/>
      <c r="R4303" s="98"/>
      <c r="S4303" s="107"/>
      <c r="T4303" s="1"/>
      <c r="U4303" s="47"/>
      <c r="V4303" s="107"/>
      <c r="W4303" s="1"/>
      <c r="X4303" s="47"/>
      <c r="Y4303" s="107"/>
      <c r="Z4303" s="1"/>
      <c r="AA4303" s="47"/>
      <c r="AB4303" s="107"/>
      <c r="AC4303" s="1"/>
      <c r="AD4303" s="47"/>
      <c r="AE4303" s="107"/>
      <c r="AF4303" s="1"/>
      <c r="AG4303" s="47"/>
      <c r="AH4303" s="107"/>
      <c r="AI4303" s="1"/>
      <c r="AJ4303" s="47"/>
      <c r="AK4303" s="107"/>
      <c r="AL4303" s="1"/>
      <c r="AM4303" s="47"/>
      <c r="AN4303" s="107"/>
      <c r="AO4303" s="1"/>
      <c r="AP4303" s="47"/>
      <c r="AQ4303" s="107"/>
      <c r="AR4303" s="1"/>
      <c r="AS4303" s="47"/>
      <c r="AT4303" s="107"/>
      <c r="AU4303" s="1"/>
    </row>
    <row r="4304" spans="15:47" x14ac:dyDescent="0.25">
      <c r="O4304" s="8" t="s">
        <v>132</v>
      </c>
      <c r="P4304" s="8"/>
      <c r="Q4304" s="8"/>
      <c r="R4304" s="96">
        <f>P_1_minQ-(R4302^2*R_up)+dpup_minQ</f>
        <v>86.923884042688073</v>
      </c>
      <c r="S4304" s="106"/>
      <c r="T4304" s="22"/>
      <c r="U4304" s="96">
        <f ca="1">P_1_minQ-(U4302^2*R_up)+dpup_minQ</f>
        <v>79.376491597759241</v>
      </c>
      <c r="V4304" s="107"/>
      <c r="W4304" s="1"/>
      <c r="X4304" s="96">
        <f ca="1">P_1_minQ-(X4302^2*R_up)+dpup_minQ</f>
        <v>25.379121490060371</v>
      </c>
      <c r="Y4304" s="107"/>
      <c r="Z4304" s="1"/>
      <c r="AA4304" s="96">
        <f ca="1">P_1_minQ-(AA4302^2*R_up)+dpup_minQ</f>
        <v>-155.66979855001227</v>
      </c>
      <c r="AB4304" s="107"/>
      <c r="AC4304" s="1"/>
      <c r="AD4304" s="96">
        <f ca="1">P_1_minQ-(AD4302^2*R_up)+dpup_minQ</f>
        <v>-601.80785255269336</v>
      </c>
      <c r="AE4304" s="107"/>
      <c r="AF4304" s="1"/>
      <c r="AG4304" s="96">
        <f ca="1">P_1_minQ-(AG4302^2*R_up)+dpup_minQ</f>
        <v>-1383.911889278088</v>
      </c>
      <c r="AH4304" s="107"/>
      <c r="AI4304" s="1"/>
      <c r="AJ4304" s="96">
        <f ca="1">P_1_minQ-(AJ4302^2*R_up)+dpup_minQ</f>
        <v>-2535.0350611718131</v>
      </c>
      <c r="AK4304" s="107"/>
      <c r="AL4304" s="1"/>
      <c r="AM4304" s="96">
        <f ca="1">P_1_minQ-(AM4302^2*R_up)+dpup_minQ</f>
        <v>-3818.4099615807359</v>
      </c>
      <c r="AN4304" s="107"/>
      <c r="AO4304" s="1"/>
      <c r="AP4304" s="96">
        <f ca="1">P_1_minQ-(AP4302^2*R_up)+dpup_minQ</f>
        <v>-5178.0104935406671</v>
      </c>
      <c r="AQ4304" s="107"/>
      <c r="AR4304" s="1"/>
      <c r="AS4304" s="96">
        <f ca="1">P_1_minQ-(AS4302^2*R_up)+dpup_minQ</f>
        <v>-7153.2713017197157</v>
      </c>
      <c r="AT4304" s="107"/>
      <c r="AU4304" s="1"/>
    </row>
    <row r="4305" spans="15:47" x14ac:dyDescent="0.25">
      <c r="O4305" s="8" t="s">
        <v>134</v>
      </c>
      <c r="P4305" s="1"/>
      <c r="Q4305" s="8"/>
      <c r="R4305" s="97">
        <f>P_2_minQ+(R4302^2*R_dn)-dpdn_minQ</f>
        <v>60</v>
      </c>
      <c r="S4305" s="106"/>
      <c r="T4305" s="22"/>
      <c r="U4305" s="97">
        <f ca="1">P_2_minQ+(U4302^2*R_dn)-dpdn_minQ</f>
        <v>60</v>
      </c>
      <c r="V4305" s="107"/>
      <c r="W4305" s="1"/>
      <c r="X4305" s="97">
        <f ca="1">P_2_minQ+(X4302^2*R_dn)-dpdn_minQ</f>
        <v>60</v>
      </c>
      <c r="Y4305" s="107"/>
      <c r="Z4305" s="1"/>
      <c r="AA4305" s="97">
        <f ca="1">P_2_minQ+(AA4302^2*R_dn)-dpdn_minQ</f>
        <v>60</v>
      </c>
      <c r="AB4305" s="107"/>
      <c r="AC4305" s="1"/>
      <c r="AD4305" s="97">
        <f ca="1">P_2_minQ+(AD4302^2*R_dn)-dpdn_minQ</f>
        <v>60</v>
      </c>
      <c r="AE4305" s="107"/>
      <c r="AF4305" s="1"/>
      <c r="AG4305" s="97">
        <f ca="1">P_2_minQ+(AG4302^2*R_dn)-dpdn_minQ</f>
        <v>60</v>
      </c>
      <c r="AH4305" s="107"/>
      <c r="AI4305" s="1"/>
      <c r="AJ4305" s="97">
        <f ca="1">P_2_minQ+(AJ4302^2*R_dn)-dpdn_minQ</f>
        <v>60</v>
      </c>
      <c r="AK4305" s="107"/>
      <c r="AL4305" s="1"/>
      <c r="AM4305" s="97">
        <f ca="1">P_2_minQ+(AM4302^2*R_dn)-dpdn_minQ</f>
        <v>60</v>
      </c>
      <c r="AN4305" s="107"/>
      <c r="AO4305" s="1"/>
      <c r="AP4305" s="97">
        <f ca="1">P_2_minQ+(AP4302^2*R_dn)-dpdn_minQ</f>
        <v>60</v>
      </c>
      <c r="AQ4305" s="107"/>
      <c r="AR4305" s="1"/>
      <c r="AS4305" s="97">
        <f ca="1">P_2_minQ+(AS4302^2*R_dn)-dpdn_minQ</f>
        <v>60</v>
      </c>
      <c r="AT4305" s="107"/>
      <c r="AU4305" s="1"/>
    </row>
    <row r="4306" spans="15:47" x14ac:dyDescent="0.25">
      <c r="O4306" s="8" t="s">
        <v>138</v>
      </c>
      <c r="P4306" s="1"/>
      <c r="Q4306" s="8"/>
      <c r="R4306" s="97">
        <f>R4304-R4305</f>
        <v>26.923884042688073</v>
      </c>
      <c r="S4306" s="106"/>
      <c r="T4306" s="22"/>
      <c r="U4306" s="97">
        <f ca="1">U4304-U4305</f>
        <v>19.376491597759241</v>
      </c>
      <c r="V4306" s="110"/>
      <c r="W4306" s="25"/>
      <c r="X4306" s="97">
        <f ca="1">X4304-X4305</f>
        <v>-34.620878509939629</v>
      </c>
      <c r="Y4306" s="110"/>
      <c r="Z4306" s="25"/>
      <c r="AA4306" s="97">
        <f ca="1">AA4304-AA4305</f>
        <v>-215.66979855001227</v>
      </c>
      <c r="AB4306" s="110"/>
      <c r="AC4306" s="25"/>
      <c r="AD4306" s="97">
        <f ca="1">AD4304-AD4305</f>
        <v>-661.80785255269336</v>
      </c>
      <c r="AE4306" s="110"/>
      <c r="AF4306" s="25"/>
      <c r="AG4306" s="97">
        <f ca="1">AG4304-AG4305</f>
        <v>-1443.911889278088</v>
      </c>
      <c r="AH4306" s="110"/>
      <c r="AI4306" s="25"/>
      <c r="AJ4306" s="97">
        <f ca="1">AJ4304-AJ4305</f>
        <v>-2595.0350611718131</v>
      </c>
      <c r="AK4306" s="110"/>
      <c r="AL4306" s="25"/>
      <c r="AM4306" s="97">
        <f ca="1">AM4304-AM4305</f>
        <v>-3878.4099615807359</v>
      </c>
      <c r="AN4306" s="110"/>
      <c r="AO4306" s="25"/>
      <c r="AP4306" s="97">
        <f ca="1">AP4304-AP4305</f>
        <v>-5238.0104935406671</v>
      </c>
      <c r="AQ4306" s="110"/>
      <c r="AR4306" s="25"/>
      <c r="AS4306" s="97">
        <f ca="1">AS4304-AS4305</f>
        <v>-7213.2713017197157</v>
      </c>
      <c r="AT4306" s="110"/>
      <c r="AU4306" s="25"/>
    </row>
    <row r="4307" spans="15:47" ht="14.4" x14ac:dyDescent="0.3">
      <c r="O4307" s="2" t="s">
        <v>140</v>
      </c>
      <c r="P4307" s="11"/>
      <c r="Q4307" s="2"/>
      <c r="R4307" s="96">
        <f>R4306/R4304</f>
        <v>0.3097409226383146</v>
      </c>
      <c r="S4307" s="106"/>
      <c r="T4307" s="22"/>
      <c r="U4307" s="96">
        <f ca="1">U4306/U4304</f>
        <v>0.24410869273423808</v>
      </c>
      <c r="V4307" s="111"/>
      <c r="W4307" s="28"/>
      <c r="X4307" s="96">
        <f ca="1">X4306/X4304</f>
        <v>-1.3641480270898563</v>
      </c>
      <c r="Y4307" s="111"/>
      <c r="Z4307" s="28"/>
      <c r="AA4307" s="96">
        <f ca="1">AA4306/AA4304</f>
        <v>1.3854312176084926</v>
      </c>
      <c r="AB4307" s="111"/>
      <c r="AC4307" s="28"/>
      <c r="AD4307" s="96">
        <f ca="1">AD4306/AD4304</f>
        <v>1.0996995963836256</v>
      </c>
      <c r="AE4307" s="111"/>
      <c r="AF4307" s="28"/>
      <c r="AG4307" s="96">
        <f ca="1">AG4306/AG4304</f>
        <v>1.0433553613238331</v>
      </c>
      <c r="AH4307" s="111"/>
      <c r="AI4307" s="28"/>
      <c r="AJ4307" s="96">
        <f ca="1">AJ4306/AJ4304</f>
        <v>1.0236683117006931</v>
      </c>
      <c r="AK4307" s="111"/>
      <c r="AL4307" s="28"/>
      <c r="AM4307" s="96">
        <f ca="1">AM4306/AM4304</f>
        <v>1.0157133468128607</v>
      </c>
      <c r="AN4307" s="111"/>
      <c r="AO4307" s="28"/>
      <c r="AP4307" s="96">
        <f ca="1">AP4306/AP4304</f>
        <v>1.011587462032927</v>
      </c>
      <c r="AQ4307" s="111"/>
      <c r="AR4307" s="28"/>
      <c r="AS4307" s="96">
        <f ca="1">AS4306/AS4304</f>
        <v>1.0083877707791644</v>
      </c>
      <c r="AT4307" s="111"/>
      <c r="AU4307" s="28"/>
    </row>
    <row r="4308" spans="15:47" x14ac:dyDescent="0.25">
      <c r="O4308" s="2" t="s">
        <v>21</v>
      </c>
      <c r="P4308" s="8">
        <v>12</v>
      </c>
      <c r="Q4308" s="2"/>
      <c r="R4308" s="96">
        <f ca="1">1-R4307/(3*F_GAMMA*R$29)</f>
        <v>0.83868408823239537</v>
      </c>
      <c r="S4308" s="106"/>
      <c r="T4308" s="22"/>
      <c r="U4308" s="96">
        <f ca="1">1-U4307/(3*F_GAMMA*U$29)</f>
        <v>0.87289549033841007</v>
      </c>
      <c r="V4308" s="111"/>
      <c r="W4308" s="28"/>
      <c r="X4308" s="96">
        <f ca="1">1-X4307/(3*F_GAMMA*X$29)</f>
        <v>1.7170607665485877</v>
      </c>
      <c r="Y4308" s="111"/>
      <c r="Z4308" s="28"/>
      <c r="AA4308" s="96">
        <f ca="1">1-AA4307/(3*F_GAMMA*AA$29)</f>
        <v>0.26148633493779749</v>
      </c>
      <c r="AB4308" s="111"/>
      <c r="AC4308" s="28"/>
      <c r="AD4308" s="96">
        <f ca="1">1-AD4307/(3*F_GAMMA*AD$29)</f>
        <v>0.39561695715553213</v>
      </c>
      <c r="AE4308" s="111"/>
      <c r="AF4308" s="28"/>
      <c r="AG4308" s="96">
        <f ca="1">1-AG4307/(3*F_GAMMA*AG$29)</f>
        <v>0.3921745871707415</v>
      </c>
      <c r="AH4308" s="111"/>
      <c r="AI4308" s="28"/>
      <c r="AJ4308" s="96">
        <f ca="1">1-AJ4307/(3*F_GAMMA*AJ$29)</f>
        <v>0.35840219404667839</v>
      </c>
      <c r="AK4308" s="111"/>
      <c r="AL4308" s="28"/>
      <c r="AM4308" s="96">
        <f ca="1">1-AM4307/(3*F_GAMMA*AM$29)</f>
        <v>0.28821538980335915</v>
      </c>
      <c r="AN4308" s="111"/>
      <c r="AO4308" s="28"/>
      <c r="AP4308" s="96">
        <f ca="1">1-AP4307/(3*F_GAMMA*AP$29)</f>
        <v>0.42900579640671199</v>
      </c>
      <c r="AQ4308" s="111"/>
      <c r="AR4308" s="28"/>
      <c r="AS4308" s="96">
        <f ca="1">1-AS4307/(3*F_GAMMA*AS$29)</f>
        <v>0.10767661282533836</v>
      </c>
      <c r="AT4308" s="111"/>
      <c r="AU4308" s="28"/>
    </row>
    <row r="4309" spans="15:47" x14ac:dyDescent="0.25">
      <c r="O4309" s="2" t="s">
        <v>57</v>
      </c>
      <c r="P4309" s="143">
        <v>7</v>
      </c>
      <c r="Q4309" s="2"/>
      <c r="R4309" s="96">
        <f ca="1">(R4302/(N_9*R$27*R4304*R4308))*SQRT(M*'Valve Sizing'!$W$6*'Valve Sizing'!$G$8/R4307)</f>
        <v>57.357242495207537</v>
      </c>
      <c r="S4309" s="107"/>
      <c r="T4309" s="22"/>
      <c r="U4309" s="96">
        <f ca="1">(U4302/(N_9*U$27*U4304*U4308))*SQRT(M*'Valve Sizing'!$W$6*'Valve Sizing'!$G$8/U4307)</f>
        <v>123.84031681852203</v>
      </c>
      <c r="V4309" s="111"/>
      <c r="W4309" s="28"/>
      <c r="X4309" s="96" t="e">
        <f ca="1">(X4302/(N_9*X$27*X4304*X4308))*SQRT(M*'Valve Sizing'!$W$6*'Valve Sizing'!$G$8/X4307)</f>
        <v>#NUM!</v>
      </c>
      <c r="Y4309" s="111"/>
      <c r="Z4309" s="28"/>
      <c r="AA4309" s="96">
        <f ca="1">(AA4302/(N_9*AA$27*AA4304*AA4308))*SQRT(M*'Valve Sizing'!$W$6*'Valve Sizing'!$G$8/AA4307)</f>
        <v>-425.48659586000713</v>
      </c>
      <c r="AB4309" s="111"/>
      <c r="AC4309" s="28"/>
      <c r="AD4309" s="96">
        <f ca="1">(AD4302/(N_9*AD$27*AD4304*AD4308))*SQRT(M*'Valve Sizing'!$W$6*'Valve Sizing'!$G$8/AD4307)</f>
        <v>-138.68206291859357</v>
      </c>
      <c r="AE4309" s="111"/>
      <c r="AF4309" s="28"/>
      <c r="AG4309" s="96">
        <f ca="1">(AG4302/(N_9*AG$27*AG4304*AG4308))*SQRT(M*'Valve Sizing'!$W$6*'Valve Sizing'!$G$8/AG4307)</f>
        <v>-93.210229533979856</v>
      </c>
      <c r="AH4309" s="111"/>
      <c r="AI4309" s="28"/>
      <c r="AJ4309" s="96">
        <f ca="1">(AJ4302/(N_9*AJ$27*AJ4304*AJ4308))*SQRT(M*'Valve Sizing'!$W$6*'Valve Sizing'!$G$8/AJ4307)</f>
        <v>-77.727770530100329</v>
      </c>
      <c r="AK4309" s="111"/>
      <c r="AL4309" s="28"/>
      <c r="AM4309" s="96">
        <f ca="1">(AM4302/(N_9*AM$27*AM4304*AM4308))*SQRT(M*'Valve Sizing'!$W$6*'Valve Sizing'!$G$8/AM4307)</f>
        <v>-83.401015324340761</v>
      </c>
      <c r="AN4309" s="111"/>
      <c r="AO4309" s="28"/>
      <c r="AP4309" s="96">
        <f ca="1">(AP4302/(N_9*AP$27*AP4304*AP4308))*SQRT(M*'Valve Sizing'!$W$6*'Valve Sizing'!$G$8/AP4307)</f>
        <v>-54.709898138125958</v>
      </c>
      <c r="AQ4309" s="111"/>
      <c r="AR4309" s="28"/>
      <c r="AS4309" s="96">
        <f ca="1">(AS4302/(N_9*AS$27*AS4304*AS4308))*SQRT(M*'Valve Sizing'!$W$6*'Valve Sizing'!$G$8/AS4307)</f>
        <v>-248.20060988007367</v>
      </c>
      <c r="AT4309" s="111"/>
      <c r="AU4309" s="28"/>
    </row>
    <row r="4310" spans="15:47" x14ac:dyDescent="0.25">
      <c r="O4310" s="2" t="s">
        <v>59</v>
      </c>
      <c r="P4310" s="143">
        <v>7</v>
      </c>
      <c r="Q4310" s="2"/>
      <c r="R4310" s="96">
        <f ca="1">(R4302/(N_9*R$27*R4304*0.667))*SQRT(M*'Valve Sizing'!$W$6*'Valve Sizing'!$G$8/R4311)</f>
        <v>50.171844154390818</v>
      </c>
      <c r="S4310" s="107"/>
      <c r="T4310" s="22"/>
      <c r="U4310" s="96">
        <f ca="1">(U4302/(N_9*U$27*U4304*0.667))*SQRT(M*'Valve Sizing'!$W$6*'Valve Sizing'!$G$8/U4311)</f>
        <v>100.07822116516837</v>
      </c>
      <c r="V4310" s="111"/>
      <c r="W4310" s="28"/>
      <c r="X4310" s="96">
        <f ca="1">(X4302/(N_9*X$27*X4304*0.667))*SQRT(M*'Valve Sizing'!$W$6*'Valve Sizing'!$G$8/X4311)</f>
        <v>771.85461682933374</v>
      </c>
      <c r="Y4310" s="111"/>
      <c r="Z4310" s="28"/>
      <c r="AA4310" s="96">
        <f ca="1">(AA4302/(N_9*AA$27*AA4304*0.667))*SQRT(M*'Valve Sizing'!$W$6*'Valve Sizing'!$G$8/AA4311)</f>
        <v>-248.28411932192759</v>
      </c>
      <c r="AB4310" s="111"/>
      <c r="AC4310" s="28"/>
      <c r="AD4310" s="96">
        <f ca="1">(AD4302/(N_9*AD$27*AD4304*0.667))*SQRT(M*'Valve Sizing'!$W$6*'Valve Sizing'!$G$8/AD4311)</f>
        <v>-110.76080931038999</v>
      </c>
      <c r="AE4310" s="111"/>
      <c r="AF4310" s="28"/>
      <c r="AG4310" s="96">
        <f ca="1">(AG4302/(N_9*AG$27*AG4304*0.667))*SQRT(M*'Valve Sizing'!$W$6*'Valve Sizing'!$G$8/AG4311)</f>
        <v>-74.006053581178207</v>
      </c>
      <c r="AH4310" s="111"/>
      <c r="AI4310" s="28"/>
      <c r="AJ4310" s="96">
        <f ca="1">(AJ4302/(N_9*AJ$27*AJ4304*0.667))*SQRT(M*'Valve Sizing'!$W$6*'Valve Sizing'!$G$8/AJ4311)</f>
        <v>-57.944617335531376</v>
      </c>
      <c r="AK4310" s="111"/>
      <c r="AL4310" s="28"/>
      <c r="AM4310" s="96">
        <f ca="1">(AM4302/(N_9*AM$27*AM4304*0.667))*SQRT(M*'Valve Sizing'!$W$6*'Valve Sizing'!$G$8/AM4311)</f>
        <v>-52.662029877521071</v>
      </c>
      <c r="AN4310" s="111"/>
      <c r="AO4310" s="28"/>
      <c r="AP4310" s="96">
        <f ca="1">(AP4302/(N_9*AP$27*AP4304*0.667))*SQRT(M*'Valve Sizing'!$W$6*'Valve Sizing'!$G$8/AP4311)</f>
        <v>-46.055309956902761</v>
      </c>
      <c r="AQ4310" s="111"/>
      <c r="AR4310" s="28"/>
      <c r="AS4310" s="96">
        <f ca="1">(AS4302/(N_9*AS$27*AS4304*0.667))*SQRT(M*'Valve Sizing'!$W$6*'Valve Sizing'!$G$8/AS4311)</f>
        <v>-65.557164511247848</v>
      </c>
      <c r="AT4310" s="111"/>
      <c r="AU4310" s="28"/>
    </row>
    <row r="4311" spans="15:47" ht="15.6" x14ac:dyDescent="0.35">
      <c r="O4311" s="2" t="s">
        <v>68</v>
      </c>
      <c r="P4311" s="143">
        <v>10</v>
      </c>
      <c r="Q4311" s="2"/>
      <c r="R4311" s="96">
        <f ca="1">F_GAMMA*R$29</f>
        <v>0.64002969751372984</v>
      </c>
      <c r="S4311" s="107"/>
      <c r="T4311" s="1"/>
      <c r="U4311" s="96">
        <f ca="1">F_GAMMA*U$29</f>
        <v>0.64017842058782071</v>
      </c>
      <c r="V4311" s="111"/>
      <c r="W4311" s="28"/>
      <c r="X4311" s="96">
        <f ca="1">F_GAMMA*X$29</f>
        <v>0.63413873724904268</v>
      </c>
      <c r="Y4311" s="111"/>
      <c r="Z4311" s="28"/>
      <c r="AA4311" s="96">
        <f ca="1">F_GAMMA*AA$29</f>
        <v>0.62532411750377137</v>
      </c>
      <c r="AB4311" s="111"/>
      <c r="AC4311" s="28"/>
      <c r="AD4311" s="96">
        <f ca="1">F_GAMMA*AD$29</f>
        <v>0.60651359509139569</v>
      </c>
      <c r="AE4311" s="111"/>
      <c r="AF4311" s="28"/>
      <c r="AG4311" s="96">
        <f ca="1">F_GAMMA*AG$29</f>
        <v>0.57217930198481592</v>
      </c>
      <c r="AH4311" s="111"/>
      <c r="AI4311" s="28"/>
      <c r="AJ4311" s="96">
        <f ca="1">F_GAMMA*AJ$29</f>
        <v>0.53183282018848232</v>
      </c>
      <c r="AK4311" s="111"/>
      <c r="AL4311" s="28"/>
      <c r="AM4311" s="96">
        <f ca="1">F_GAMMA*AM$29</f>
        <v>0.47566512503094399</v>
      </c>
      <c r="AN4311" s="111"/>
      <c r="AO4311" s="28"/>
      <c r="AP4311" s="96">
        <f ca="1">F_GAMMA*AP$29</f>
        <v>0.59054158265645496</v>
      </c>
      <c r="AQ4311" s="111"/>
      <c r="AR4311" s="28"/>
      <c r="AS4311" s="96">
        <f ca="1">F_GAMMA*AS$29</f>
        <v>0.3766899554102966</v>
      </c>
      <c r="AT4311" s="111"/>
      <c r="AU4311" s="28"/>
    </row>
    <row r="4312" spans="15:47" x14ac:dyDescent="0.25">
      <c r="O4312" s="2" t="s">
        <v>145</v>
      </c>
      <c r="P4312" s="12"/>
      <c r="Q4312" s="2"/>
      <c r="R4312" s="96">
        <f ca="1">IF(R4307&lt;R4311,R4309,R4310)</f>
        <v>57.357242495207537</v>
      </c>
      <c r="S4312" s="116"/>
      <c r="T4312" s="1"/>
      <c r="U4312" s="96">
        <f ca="1">IF(U4307&lt;U4311,U4309,U4310)</f>
        <v>123.84031681852203</v>
      </c>
      <c r="V4312" s="111"/>
      <c r="W4312" s="28"/>
      <c r="X4312" s="96" t="e">
        <f ca="1">IF(X4307&lt;X4311,X4309,X4310)</f>
        <v>#NUM!</v>
      </c>
      <c r="Y4312" s="111"/>
      <c r="Z4312" s="28"/>
      <c r="AA4312" s="96">
        <f ca="1">IF(AA4307&lt;AA4311,AA4309,AA4310)</f>
        <v>-248.28411932192759</v>
      </c>
      <c r="AB4312" s="111"/>
      <c r="AC4312" s="28"/>
      <c r="AD4312" s="96">
        <f ca="1">IF(AD4307&lt;AD4311,AD4309,AD4310)</f>
        <v>-110.76080931038999</v>
      </c>
      <c r="AE4312" s="111"/>
      <c r="AF4312" s="28"/>
      <c r="AG4312" s="96">
        <f ca="1">IF(AG4307&lt;AG4311,AG4309,AG4310)</f>
        <v>-74.006053581178207</v>
      </c>
      <c r="AH4312" s="111"/>
      <c r="AI4312" s="28"/>
      <c r="AJ4312" s="96">
        <f ca="1">IF(AJ4307&lt;AJ4311,AJ4309,AJ4310)</f>
        <v>-57.944617335531376</v>
      </c>
      <c r="AK4312" s="111"/>
      <c r="AL4312" s="28"/>
      <c r="AM4312" s="96">
        <f ca="1">IF(AM4307&lt;AM4311,AM4309,AM4310)</f>
        <v>-52.662029877521071</v>
      </c>
      <c r="AN4312" s="111"/>
      <c r="AO4312" s="28"/>
      <c r="AP4312" s="96">
        <f ca="1">IF(AP4307&lt;AP4311,AP4309,AP4310)</f>
        <v>-46.055309956902761</v>
      </c>
      <c r="AQ4312" s="111"/>
      <c r="AR4312" s="28"/>
      <c r="AS4312" s="96">
        <f ca="1">IF(AS4307&lt;AS4311,AS4309,AS4310)</f>
        <v>-65.557164511247848</v>
      </c>
      <c r="AT4312" s="111"/>
      <c r="AU4312" s="28"/>
    </row>
    <row r="4313" spans="15:47" x14ac:dyDescent="0.25">
      <c r="O4313" s="13" t="s">
        <v>143</v>
      </c>
      <c r="P4313" s="1"/>
      <c r="Q4313" s="1"/>
      <c r="R4313" s="113"/>
      <c r="S4313" s="106">
        <f ca="1">IF(R4306&lt;=0,Q_max,ABS(R$23-R4312))</f>
        <v>52.62724249520754</v>
      </c>
      <c r="T4313" s="7">
        <f>R4302</f>
        <v>133763.93955992089</v>
      </c>
      <c r="U4313" s="98"/>
      <c r="V4313" s="106">
        <f ca="1">IF(U4306&lt;=0,Q_max,ABS(U$23-U4312))</f>
        <v>112.24031681852203</v>
      </c>
      <c r="W4313" s="9">
        <f ca="1">U4302</f>
        <v>243521.28565921698</v>
      </c>
      <c r="X4313" s="98"/>
      <c r="Y4313" s="106">
        <f ca="1">IF(X4306&lt;=0,Q_max,ABS(X$23-X4312))</f>
        <v>236393</v>
      </c>
      <c r="Z4313" s="9">
        <f ca="1">X4302</f>
        <v>596294.17703756515</v>
      </c>
      <c r="AA4313" s="98"/>
      <c r="AB4313" s="106">
        <f ca="1">IF(AA4306&lt;=0,Q_max,ABS(AA$23-AA4312))</f>
        <v>236393</v>
      </c>
      <c r="AC4313" s="9">
        <f ca="1">AA4302</f>
        <v>1161428.8555154835</v>
      </c>
      <c r="AD4313" s="98"/>
      <c r="AE4313" s="106">
        <f ca="1">IF(AD4306&lt;=0,Q_max,ABS(AD$23-AD4312))</f>
        <v>236393</v>
      </c>
      <c r="AF4313" s="9">
        <f ca="1">AD4302</f>
        <v>1948516.3239657136</v>
      </c>
      <c r="AG4313" s="98"/>
      <c r="AH4313" s="106">
        <f ca="1">IF(AG4306&lt;=0,Q_max,ABS(AG$23-AG4312))</f>
        <v>236393</v>
      </c>
      <c r="AI4313" s="9">
        <f ca="1">AG4302</f>
        <v>2843912.644894802</v>
      </c>
      <c r="AJ4313" s="98"/>
      <c r="AK4313" s="106">
        <f ca="1">IF(AJ4306&lt;=0,Q_max,ABS(AJ$23-AJ4312))</f>
        <v>236393</v>
      </c>
      <c r="AL4313" s="9">
        <f ca="1">AJ4302</f>
        <v>3795212.4492306877</v>
      </c>
      <c r="AM4313" s="98"/>
      <c r="AN4313" s="106">
        <f ca="1">IF(AM4306&lt;=0,Q_max,ABS(AM$23-AM4312))</f>
        <v>236393</v>
      </c>
      <c r="AO4313" s="9">
        <f ca="1">AM4302</f>
        <v>4630880.4300378142</v>
      </c>
      <c r="AP4313" s="98"/>
      <c r="AQ4313" s="106">
        <f ca="1">IF(AP4306&lt;=0,Q_max,ABS(AP$23-AP4312))</f>
        <v>236393</v>
      </c>
      <c r="AR4313" s="9">
        <f ca="1">AP4302</f>
        <v>5376308.4153043739</v>
      </c>
      <c r="AS4313" s="98"/>
      <c r="AT4313" s="106">
        <f ca="1">IF(AS4306&lt;=0,Q_max,ABS(AS$23-AS4312))</f>
        <v>236393</v>
      </c>
      <c r="AU4313" s="9">
        <f ca="1">AS4302</f>
        <v>6304144.436309481</v>
      </c>
    </row>
    <row r="4314" spans="15:47" x14ac:dyDescent="0.25">
      <c r="O4314" s="21"/>
      <c r="P4314" s="14"/>
      <c r="Q4314" s="21"/>
      <c r="R4314" s="97"/>
      <c r="S4314" s="106"/>
      <c r="T4314" s="28"/>
      <c r="U4314" s="97"/>
      <c r="V4314" s="111"/>
      <c r="W4314" s="28"/>
      <c r="X4314" s="97"/>
      <c r="Y4314" s="111"/>
      <c r="Z4314" s="28"/>
      <c r="AA4314" s="97"/>
      <c r="AB4314" s="111"/>
      <c r="AC4314" s="28"/>
      <c r="AD4314" s="97"/>
      <c r="AE4314" s="111"/>
      <c r="AF4314" s="28"/>
      <c r="AG4314" s="97"/>
      <c r="AH4314" s="111"/>
      <c r="AI4314" s="28"/>
      <c r="AJ4314" s="97"/>
      <c r="AK4314" s="111"/>
      <c r="AL4314" s="28"/>
      <c r="AM4314" s="97"/>
      <c r="AN4314" s="111"/>
      <c r="AO4314" s="28"/>
      <c r="AP4314" s="97"/>
      <c r="AQ4314" s="111"/>
      <c r="AR4314" s="28"/>
      <c r="AS4314" s="97"/>
      <c r="AT4314" s="111"/>
      <c r="AU4314" s="28"/>
    </row>
    <row r="4315" spans="15:47" x14ac:dyDescent="0.25">
      <c r="O4315" s="1"/>
      <c r="P4315" s="1"/>
      <c r="Q4315" s="1"/>
      <c r="R4315" s="98"/>
      <c r="S4315" s="108" t="s">
        <v>137</v>
      </c>
      <c r="T4315" s="26" t="s">
        <v>146</v>
      </c>
      <c r="U4315" s="98"/>
      <c r="V4315" s="108" t="s">
        <v>137</v>
      </c>
      <c r="W4315" s="26" t="s">
        <v>146</v>
      </c>
      <c r="X4315" s="98"/>
      <c r="Y4315" s="108" t="s">
        <v>137</v>
      </c>
      <c r="Z4315" s="26" t="s">
        <v>146</v>
      </c>
      <c r="AA4315" s="98"/>
      <c r="AB4315" s="108" t="s">
        <v>137</v>
      </c>
      <c r="AC4315" s="26" t="s">
        <v>146</v>
      </c>
      <c r="AD4315" s="98"/>
      <c r="AE4315" s="108" t="s">
        <v>137</v>
      </c>
      <c r="AF4315" s="26" t="s">
        <v>146</v>
      </c>
      <c r="AG4315" s="98"/>
      <c r="AH4315" s="108" t="s">
        <v>137</v>
      </c>
      <c r="AI4315" s="26" t="s">
        <v>146</v>
      </c>
      <c r="AJ4315" s="98"/>
      <c r="AK4315" s="108" t="s">
        <v>137</v>
      </c>
      <c r="AL4315" s="26" t="s">
        <v>146</v>
      </c>
      <c r="AM4315" s="98"/>
      <c r="AN4315" s="108" t="s">
        <v>137</v>
      </c>
      <c r="AO4315" s="26" t="s">
        <v>146</v>
      </c>
      <c r="AP4315" s="98"/>
      <c r="AQ4315" s="108" t="s">
        <v>137</v>
      </c>
      <c r="AR4315" s="26" t="s">
        <v>146</v>
      </c>
      <c r="AS4315" s="98"/>
      <c r="AT4315" s="108" t="s">
        <v>137</v>
      </c>
      <c r="AU4315" s="26" t="s">
        <v>146</v>
      </c>
    </row>
    <row r="4316" spans="15:47" ht="13.8" x14ac:dyDescent="0.25">
      <c r="O4316" s="20" t="s">
        <v>136</v>
      </c>
      <c r="P4316" s="1"/>
      <c r="Q4316" s="1"/>
      <c r="R4316" s="96">
        <f>R4302*1.02</f>
        <v>136439.21835111931</v>
      </c>
      <c r="S4316" s="109" t="s">
        <v>144</v>
      </c>
      <c r="T4316" s="23" t="s">
        <v>147</v>
      </c>
      <c r="U4316" s="96">
        <f ca="1">U4302*1.01</f>
        <v>245956.49851580916</v>
      </c>
      <c r="V4316" s="109" t="s">
        <v>144</v>
      </c>
      <c r="W4316" s="23" t="s">
        <v>147</v>
      </c>
      <c r="X4316" s="96">
        <f ca="1">X4302*1.01</f>
        <v>602257.11880794086</v>
      </c>
      <c r="Y4316" s="109" t="s">
        <v>144</v>
      </c>
      <c r="Z4316" s="23" t="s">
        <v>147</v>
      </c>
      <c r="AA4316" s="96">
        <f ca="1">AA4302*1.01</f>
        <v>1173043.1440706383</v>
      </c>
      <c r="AB4316" s="109" t="s">
        <v>144</v>
      </c>
      <c r="AC4316" s="23" t="s">
        <v>147</v>
      </c>
      <c r="AD4316" s="96">
        <f ca="1">AD4302*1.01</f>
        <v>1968001.4872053708</v>
      </c>
      <c r="AE4316" s="109" t="s">
        <v>144</v>
      </c>
      <c r="AF4316" s="23" t="s">
        <v>147</v>
      </c>
      <c r="AG4316" s="96">
        <f ca="1">AG4302*1.01</f>
        <v>2872351.7713437499</v>
      </c>
      <c r="AH4316" s="109" t="s">
        <v>144</v>
      </c>
      <c r="AI4316" s="23" t="s">
        <v>147</v>
      </c>
      <c r="AJ4316" s="96">
        <f ca="1">AJ4302*1.01</f>
        <v>3833164.5737229944</v>
      </c>
      <c r="AK4316" s="109" t="s">
        <v>144</v>
      </c>
      <c r="AL4316" s="23" t="s">
        <v>147</v>
      </c>
      <c r="AM4316" s="96">
        <f ca="1">AM4302*1.01</f>
        <v>4677189.2343381923</v>
      </c>
      <c r="AN4316" s="109" t="s">
        <v>144</v>
      </c>
      <c r="AO4316" s="23" t="s">
        <v>147</v>
      </c>
      <c r="AP4316" s="96">
        <f ca="1">AP4302*1.01</f>
        <v>5430071.499457418</v>
      </c>
      <c r="AQ4316" s="109" t="s">
        <v>144</v>
      </c>
      <c r="AR4316" s="23" t="s">
        <v>147</v>
      </c>
      <c r="AS4316" s="96">
        <f ca="1">AS4302*1.01</f>
        <v>6367185.8806725759</v>
      </c>
      <c r="AT4316" s="109" t="s">
        <v>144</v>
      </c>
      <c r="AU4316" s="23" t="s">
        <v>147</v>
      </c>
    </row>
    <row r="4317" spans="15:47" x14ac:dyDescent="0.25">
      <c r="O4317" s="1"/>
      <c r="P4317" s="1"/>
      <c r="Q4317" s="1"/>
      <c r="R4317" s="98"/>
      <c r="S4317" s="107"/>
      <c r="T4317" s="1"/>
      <c r="U4317" s="47"/>
      <c r="V4317" s="107"/>
      <c r="W4317" s="1"/>
      <c r="X4317" s="47"/>
      <c r="Y4317" s="107"/>
      <c r="Z4317" s="1"/>
      <c r="AA4317" s="47"/>
      <c r="AB4317" s="107"/>
      <c r="AC4317" s="1"/>
      <c r="AD4317" s="47"/>
      <c r="AE4317" s="107"/>
      <c r="AF4317" s="1"/>
      <c r="AG4317" s="47"/>
      <c r="AH4317" s="107"/>
      <c r="AI4317" s="1"/>
      <c r="AJ4317" s="47"/>
      <c r="AK4317" s="107"/>
      <c r="AL4317" s="1"/>
      <c r="AM4317" s="47"/>
      <c r="AN4317" s="107"/>
      <c r="AO4317" s="1"/>
      <c r="AP4317" s="47"/>
      <c r="AQ4317" s="107"/>
      <c r="AR4317" s="1"/>
      <c r="AS4317" s="47"/>
      <c r="AT4317" s="107"/>
      <c r="AU4317" s="1"/>
    </row>
    <row r="4318" spans="15:47" x14ac:dyDescent="0.25">
      <c r="O4318" s="8" t="s">
        <v>132</v>
      </c>
      <c r="P4318" s="8"/>
      <c r="Q4318" s="8"/>
      <c r="R4318" s="96">
        <f>P_1_minQ-(R4316^2*R_up)+dpup_minQ</f>
        <v>86.792133320590352</v>
      </c>
      <c r="S4318" s="106"/>
      <c r="T4318" s="22"/>
      <c r="U4318" s="96">
        <f ca="1">P_1_minQ-(U4316^2*R_up)+dpup_minQ</f>
        <v>79.159239764216068</v>
      </c>
      <c r="V4318" s="107"/>
      <c r="W4318" s="1"/>
      <c r="X4318" s="96">
        <f ca="1">P_1_minQ-(X4316^2*R_up)+dpup_minQ</f>
        <v>24.07652251735243</v>
      </c>
      <c r="Y4318" s="107"/>
      <c r="Z4318" s="1"/>
      <c r="AA4318" s="96">
        <f ca="1">P_1_minQ-(AA4316^2*R_up)+dpup_minQ</f>
        <v>-160.61148081552568</v>
      </c>
      <c r="AB4318" s="107"/>
      <c r="AC4318" s="1"/>
      <c r="AD4318" s="96">
        <f ca="1">P_1_minQ-(AD4316^2*R_up)+dpup_minQ</f>
        <v>-615.71690970366069</v>
      </c>
      <c r="AE4318" s="107"/>
      <c r="AF4318" s="1"/>
      <c r="AG4318" s="96">
        <f ca="1">P_1_minQ-(AG4316^2*R_up)+dpup_minQ</f>
        <v>-1413.5412375672356</v>
      </c>
      <c r="AH4318" s="107"/>
      <c r="AI4318" s="1"/>
      <c r="AJ4318" s="96">
        <f ca="1">P_1_minQ-(AJ4316^2*R_up)+dpup_minQ</f>
        <v>-2587.8019852160246</v>
      </c>
      <c r="AK4318" s="107"/>
      <c r="AL4318" s="1"/>
      <c r="AM4318" s="96">
        <f ca="1">P_1_minQ-(AM4316^2*R_up)+dpup_minQ</f>
        <v>-3896.9727211231666</v>
      </c>
      <c r="AN4318" s="107"/>
      <c r="AO4318" s="1"/>
      <c r="AP4318" s="96">
        <f ca="1">P_1_minQ-(AP4316^2*R_up)+dpup_minQ</f>
        <v>-5283.9012237754923</v>
      </c>
      <c r="AQ4318" s="107"/>
      <c r="AR4318" s="1"/>
      <c r="AS4318" s="96">
        <f ca="1">P_1_minQ-(AS4316^2*R_up)+dpup_minQ</f>
        <v>-7298.8647741989407</v>
      </c>
      <c r="AT4318" s="107"/>
      <c r="AU4318" s="1"/>
    </row>
    <row r="4319" spans="15:47" x14ac:dyDescent="0.25">
      <c r="O4319" s="8" t="s">
        <v>134</v>
      </c>
      <c r="P4319" s="1"/>
      <c r="Q4319" s="8"/>
      <c r="R4319" s="97">
        <f>P_2_minQ+(R4316^2*R_dn)-dpdn_minQ</f>
        <v>60</v>
      </c>
      <c r="S4319" s="106"/>
      <c r="T4319" s="22"/>
      <c r="U4319" s="97">
        <f ca="1">P_2_minQ+(U4316^2*R_dn)-dpdn_minQ</f>
        <v>60</v>
      </c>
      <c r="V4319" s="107"/>
      <c r="W4319" s="1"/>
      <c r="X4319" s="97">
        <f ca="1">P_2_minQ+(X4316^2*R_dn)-dpdn_minQ</f>
        <v>60</v>
      </c>
      <c r="Y4319" s="107"/>
      <c r="Z4319" s="1"/>
      <c r="AA4319" s="97">
        <f ca="1">P_2_minQ+(AA4316^2*R_dn)-dpdn_minQ</f>
        <v>60</v>
      </c>
      <c r="AB4319" s="107"/>
      <c r="AC4319" s="1"/>
      <c r="AD4319" s="97">
        <f ca="1">P_2_minQ+(AD4316^2*R_dn)-dpdn_minQ</f>
        <v>60</v>
      </c>
      <c r="AE4319" s="107"/>
      <c r="AF4319" s="1"/>
      <c r="AG4319" s="97">
        <f ca="1">P_2_minQ+(AG4316^2*R_dn)-dpdn_minQ</f>
        <v>60</v>
      </c>
      <c r="AH4319" s="107"/>
      <c r="AI4319" s="1"/>
      <c r="AJ4319" s="97">
        <f ca="1">P_2_minQ+(AJ4316^2*R_dn)-dpdn_minQ</f>
        <v>60</v>
      </c>
      <c r="AK4319" s="107"/>
      <c r="AL4319" s="1"/>
      <c r="AM4319" s="97">
        <f ca="1">P_2_minQ+(AM4316^2*R_dn)-dpdn_minQ</f>
        <v>60</v>
      </c>
      <c r="AN4319" s="107"/>
      <c r="AO4319" s="1"/>
      <c r="AP4319" s="97">
        <f ca="1">P_2_minQ+(AP4316^2*R_dn)-dpdn_minQ</f>
        <v>60</v>
      </c>
      <c r="AQ4319" s="107"/>
      <c r="AR4319" s="1"/>
      <c r="AS4319" s="97">
        <f ca="1">P_2_minQ+(AS4316^2*R_dn)-dpdn_minQ</f>
        <v>60</v>
      </c>
      <c r="AT4319" s="107"/>
      <c r="AU4319" s="1"/>
    </row>
    <row r="4320" spans="15:47" x14ac:dyDescent="0.25">
      <c r="O4320" s="8" t="s">
        <v>138</v>
      </c>
      <c r="P4320" s="1"/>
      <c r="Q4320" s="8"/>
      <c r="R4320" s="97">
        <f>R4318-R4319</f>
        <v>26.792133320590352</v>
      </c>
      <c r="S4320" s="106"/>
      <c r="T4320" s="22"/>
      <c r="U4320" s="97">
        <f ca="1">U4318-U4319</f>
        <v>19.159239764216068</v>
      </c>
      <c r="V4320" s="110"/>
      <c r="W4320" s="25"/>
      <c r="X4320" s="97">
        <f ca="1">X4318-X4319</f>
        <v>-35.92347748264757</v>
      </c>
      <c r="Y4320" s="110"/>
      <c r="Z4320" s="25"/>
      <c r="AA4320" s="97">
        <f ca="1">AA4318-AA4319</f>
        <v>-220.61148081552568</v>
      </c>
      <c r="AB4320" s="110"/>
      <c r="AC4320" s="25"/>
      <c r="AD4320" s="97">
        <f ca="1">AD4318-AD4319</f>
        <v>-675.71690970366069</v>
      </c>
      <c r="AE4320" s="110"/>
      <c r="AF4320" s="25"/>
      <c r="AG4320" s="97">
        <f ca="1">AG4318-AG4319</f>
        <v>-1473.5412375672356</v>
      </c>
      <c r="AH4320" s="110"/>
      <c r="AI4320" s="25"/>
      <c r="AJ4320" s="97">
        <f ca="1">AJ4318-AJ4319</f>
        <v>-2647.8019852160246</v>
      </c>
      <c r="AK4320" s="110"/>
      <c r="AL4320" s="25"/>
      <c r="AM4320" s="97">
        <f ca="1">AM4318-AM4319</f>
        <v>-3956.9727211231666</v>
      </c>
      <c r="AN4320" s="110"/>
      <c r="AO4320" s="25"/>
      <c r="AP4320" s="97">
        <f ca="1">AP4318-AP4319</f>
        <v>-5343.9012237754923</v>
      </c>
      <c r="AQ4320" s="110"/>
      <c r="AR4320" s="25"/>
      <c r="AS4320" s="97">
        <f ca="1">AS4318-AS4319</f>
        <v>-7358.8647741989407</v>
      </c>
      <c r="AT4320" s="110"/>
      <c r="AU4320" s="25"/>
    </row>
    <row r="4321" spans="15:47" ht="14.4" x14ac:dyDescent="0.3">
      <c r="O4321" s="2" t="s">
        <v>140</v>
      </c>
      <c r="P4321" s="11"/>
      <c r="Q4321" s="2"/>
      <c r="R4321" s="96">
        <f>R4320/R4318</f>
        <v>0.30869310726153393</v>
      </c>
      <c r="S4321" s="106"/>
      <c r="T4321" s="22"/>
      <c r="U4321" s="96">
        <f ca="1">U4320/U4318</f>
        <v>0.2420341557256466</v>
      </c>
      <c r="V4321" s="111"/>
      <c r="W4321" s="28"/>
      <c r="X4321" s="96">
        <f ca="1">X4320/X4318</f>
        <v>-1.4920542390105052</v>
      </c>
      <c r="Y4321" s="111"/>
      <c r="Z4321" s="28"/>
      <c r="AA4321" s="96">
        <f ca="1">AA4320/AA4318</f>
        <v>1.3735722981653753</v>
      </c>
      <c r="AB4321" s="111"/>
      <c r="AC4321" s="28"/>
      <c r="AD4321" s="96">
        <f ca="1">AD4320/AD4318</f>
        <v>1.0974473805321954</v>
      </c>
      <c r="AE4321" s="111"/>
      <c r="AF4321" s="28"/>
      <c r="AG4321" s="96">
        <f ca="1">AG4320/AG4318</f>
        <v>1.0424465862087353</v>
      </c>
      <c r="AH4321" s="111"/>
      <c r="AI4321" s="28"/>
      <c r="AJ4321" s="96">
        <f ca="1">AJ4320/AJ4318</f>
        <v>1.0231856998111821</v>
      </c>
      <c r="AK4321" s="111"/>
      <c r="AL4321" s="28"/>
      <c r="AM4321" s="96">
        <f ca="1">AM4320/AM4318</f>
        <v>1.0153965665899523</v>
      </c>
      <c r="AN4321" s="111"/>
      <c r="AO4321" s="28"/>
      <c r="AP4321" s="96">
        <f ca="1">AP4320/AP4318</f>
        <v>1.0113552463339064</v>
      </c>
      <c r="AQ4321" s="111"/>
      <c r="AR4321" s="28"/>
      <c r="AS4321" s="96">
        <f ca="1">AS4320/AS4318</f>
        <v>1.0082204564485284</v>
      </c>
      <c r="AT4321" s="111"/>
      <c r="AU4321" s="28"/>
    </row>
    <row r="4322" spans="15:47" x14ac:dyDescent="0.25">
      <c r="O4322" s="2" t="s">
        <v>21</v>
      </c>
      <c r="P4322" s="8">
        <v>12</v>
      </c>
      <c r="Q4322" s="2"/>
      <c r="R4322" s="96">
        <f ca="1">1-R4321/(3*F_GAMMA*R$29)</f>
        <v>0.8392298000854812</v>
      </c>
      <c r="S4322" s="106"/>
      <c r="T4322" s="22"/>
      <c r="U4322" s="96">
        <f ca="1">1-U4321/(3*F_GAMMA*U$29)</f>
        <v>0.87397567722687497</v>
      </c>
      <c r="V4322" s="111"/>
      <c r="W4322" s="28"/>
      <c r="X4322" s="96">
        <f ca="1">1-X4321/(3*F_GAMMA*X$29)</f>
        <v>1.7842943251835741</v>
      </c>
      <c r="Y4322" s="111"/>
      <c r="Z4322" s="28"/>
      <c r="AA4322" s="96">
        <f ca="1">1-AA4321/(3*F_GAMMA*AA$29)</f>
        <v>0.26780781373104423</v>
      </c>
      <c r="AB4322" s="111"/>
      <c r="AC4322" s="28"/>
      <c r="AD4322" s="96">
        <f ca="1">1-AD4321/(3*F_GAMMA*AD$29)</f>
        <v>0.39685475070743148</v>
      </c>
      <c r="AE4322" s="111"/>
      <c r="AF4322" s="28"/>
      <c r="AG4322" s="96">
        <f ca="1">1-AG4321/(3*F_GAMMA*AG$29)</f>
        <v>0.39270401044298342</v>
      </c>
      <c r="AH4322" s="111"/>
      <c r="AI4322" s="28"/>
      <c r="AJ4322" s="96">
        <f ca="1">1-AJ4321/(3*F_GAMMA*AJ$29)</f>
        <v>0.35870467750337809</v>
      </c>
      <c r="AK4322" s="111"/>
      <c r="AL4322" s="28"/>
      <c r="AM4322" s="96">
        <f ca="1">1-AM4321/(3*F_GAMMA*AM$29)</f>
        <v>0.28843738086824811</v>
      </c>
      <c r="AN4322" s="111"/>
      <c r="AO4322" s="28"/>
      <c r="AP4322" s="96">
        <f ca="1">1-AP4321/(3*F_GAMMA*AP$29)</f>
        <v>0.42913687139834711</v>
      </c>
      <c r="AQ4322" s="111"/>
      <c r="AR4322" s="28"/>
      <c r="AS4322" s="96">
        <f ca="1">1-AS4321/(3*F_GAMMA*AS$29)</f>
        <v>0.10782466945053981</v>
      </c>
      <c r="AT4322" s="111"/>
      <c r="AU4322" s="28"/>
    </row>
    <row r="4323" spans="15:47" x14ac:dyDescent="0.25">
      <c r="O4323" s="2" t="s">
        <v>57</v>
      </c>
      <c r="P4323" s="143">
        <v>7</v>
      </c>
      <c r="Q4323" s="2"/>
      <c r="R4323" s="96">
        <f ca="1">(R4316/(N_9*R$27*R4318*R4322))*SQRT(M*'Valve Sizing'!$W$6*'Valve Sizing'!$G$8/R4321)</f>
        <v>58.654391104885072</v>
      </c>
      <c r="S4323" s="107"/>
      <c r="T4323" s="22"/>
      <c r="U4323" s="96">
        <f ca="1">(U4316/(N_9*U$27*U4318*U4322))*SQRT(M*'Valve Sizing'!$W$6*'Valve Sizing'!$G$8/U4321)</f>
        <v>125.80268489484894</v>
      </c>
      <c r="V4323" s="111"/>
      <c r="W4323" s="28"/>
      <c r="X4323" s="96" t="e">
        <f ca="1">(X4316/(N_9*X$27*X4318*X4322))*SQRT(M*'Valve Sizing'!$W$6*'Valve Sizing'!$G$8/X4321)</f>
        <v>#NUM!</v>
      </c>
      <c r="Y4323" s="111"/>
      <c r="Z4323" s="28"/>
      <c r="AA4323" s="96">
        <f ca="1">(AA4316/(N_9*AA$27*AA4318*AA4322))*SQRT(M*'Valve Sizing'!$W$6*'Valve Sizing'!$G$8/AA4321)</f>
        <v>-408.43928818166097</v>
      </c>
      <c r="AB4323" s="111"/>
      <c r="AC4323" s="28"/>
      <c r="AD4323" s="96">
        <f ca="1">(AD4316/(N_9*AD$27*AD4318*AD4322))*SQRT(M*'Valve Sizing'!$W$6*'Valve Sizing'!$G$8/AD4321)</f>
        <v>-136.6176877742636</v>
      </c>
      <c r="AE4323" s="111"/>
      <c r="AF4323" s="28"/>
      <c r="AG4323" s="96">
        <f ca="1">(AG4316/(N_9*AG$27*AG4318*AG4322))*SQRT(M*'Valve Sizing'!$W$6*'Valve Sizing'!$G$8/AG4321)</f>
        <v>-92.084861811422485</v>
      </c>
      <c r="AH4323" s="111"/>
      <c r="AI4323" s="28"/>
      <c r="AJ4323" s="96">
        <f ca="1">(AJ4316/(N_9*AJ$27*AJ4318*AJ4322))*SQRT(M*'Valve Sizing'!$W$6*'Valve Sizing'!$G$8/AJ4321)</f>
        <v>-76.857549249516069</v>
      </c>
      <c r="AK4323" s="111"/>
      <c r="AL4323" s="28"/>
      <c r="AM4323" s="96">
        <f ca="1">(AM4316/(N_9*AM$27*AM4318*AM4322))*SQRT(M*'Valve Sizing'!$W$6*'Valve Sizing'!$G$8/AM4321)</f>
        <v>-82.486192671329661</v>
      </c>
      <c r="AN4323" s="111"/>
      <c r="AO4323" s="28"/>
      <c r="AP4323" s="96">
        <f ca="1">(AP4316/(N_9*AP$27*AP4318*AP4322))*SQRT(M*'Valve Sizing'!$W$6*'Valve Sizing'!$G$8/AP4321)</f>
        <v>-54.139307741950432</v>
      </c>
      <c r="AQ4323" s="111"/>
      <c r="AR4323" s="28"/>
      <c r="AS4323" s="96">
        <f ca="1">(AS4316/(N_9*AS$27*AS4318*AS4322))*SQRT(M*'Valve Sizing'!$W$6*'Valve Sizing'!$G$8/AS4321)</f>
        <v>-245.36515086682155</v>
      </c>
      <c r="AT4323" s="111"/>
      <c r="AU4323" s="28"/>
    </row>
    <row r="4324" spans="15:47" x14ac:dyDescent="0.25">
      <c r="O4324" s="2" t="s">
        <v>59</v>
      </c>
      <c r="P4324" s="143">
        <v>7</v>
      </c>
      <c r="Q4324" s="2"/>
      <c r="R4324" s="96">
        <f ca="1">(R4316/(N_9*R$27*R4318*0.667))*SQRT(M*'Valve Sizing'!$W$6*'Valve Sizing'!$G$8/R4325)</f>
        <v>51.252965269589133</v>
      </c>
      <c r="S4324" s="107"/>
      <c r="T4324" s="22"/>
      <c r="U4324" s="96">
        <f ca="1">(U4316/(N_9*U$27*U4318*0.667))*SQRT(M*'Valve Sizing'!$W$6*'Valve Sizing'!$G$8/U4325)</f>
        <v>101.35641380776582</v>
      </c>
      <c r="V4324" s="111"/>
      <c r="W4324" s="28"/>
      <c r="X4324" s="96">
        <f ca="1">(X4316/(N_9*X$27*X4318*0.667))*SQRT(M*'Valve Sizing'!$W$6*'Valve Sizing'!$G$8/X4325)</f>
        <v>821.74998485965136</v>
      </c>
      <c r="Y4324" s="111"/>
      <c r="Z4324" s="28"/>
      <c r="AA4324" s="96">
        <f ca="1">(AA4316/(N_9*AA$27*AA4318*0.667))*SQRT(M*'Valve Sizing'!$W$6*'Valve Sizing'!$G$8/AA4325)</f>
        <v>-243.05138106053906</v>
      </c>
      <c r="AB4324" s="111"/>
      <c r="AC4324" s="28"/>
      <c r="AD4324" s="96">
        <f ca="1">(AD4316/(N_9*AD$27*AD4318*0.667))*SQRT(M*'Valve Sizing'!$W$6*'Valve Sizing'!$G$8/AD4325)</f>
        <v>-109.34130764488363</v>
      </c>
      <c r="AE4324" s="111"/>
      <c r="AF4324" s="28"/>
      <c r="AG4324" s="96">
        <f ca="1">(AG4316/(N_9*AG$27*AG4318*0.667))*SQRT(M*'Valve Sizing'!$W$6*'Valve Sizing'!$G$8/AG4325)</f>
        <v>-73.179354980734274</v>
      </c>
      <c r="AH4324" s="111"/>
      <c r="AI4324" s="28"/>
      <c r="AJ4324" s="96">
        <f ca="1">(AJ4316/(N_9*AJ$27*AJ4318*0.667))*SQRT(M*'Valve Sizing'!$W$6*'Valve Sizing'!$G$8/AJ4325)</f>
        <v>-57.330720729348549</v>
      </c>
      <c r="AK4324" s="111"/>
      <c r="AL4324" s="28"/>
      <c r="AM4324" s="96">
        <f ca="1">(AM4316/(N_9*AM$27*AM4318*0.667))*SQRT(M*'Valve Sizing'!$W$6*'Valve Sizing'!$G$8/AM4325)</f>
        <v>-52.116369862005953</v>
      </c>
      <c r="AN4324" s="111"/>
      <c r="AO4324" s="28"/>
      <c r="AP4324" s="96">
        <f ca="1">(AP4316/(N_9*AP$27*AP4318*0.667))*SQRT(M*'Valve Sizing'!$W$6*'Valve Sizing'!$G$8/AP4325)</f>
        <v>-45.583673278890458</v>
      </c>
      <c r="AQ4324" s="111"/>
      <c r="AR4324" s="28"/>
      <c r="AS4324" s="96">
        <f ca="1">(AS4316/(N_9*AS$27*AS4318*0.667))*SQRT(M*'Valve Sizing'!$W$6*'Valve Sizing'!$G$8/AS4325)</f>
        <v>-64.891963340643485</v>
      </c>
      <c r="AT4324" s="111"/>
      <c r="AU4324" s="28"/>
    </row>
    <row r="4325" spans="15:47" ht="15.6" x14ac:dyDescent="0.35">
      <c r="O4325" s="2" t="s">
        <v>68</v>
      </c>
      <c r="P4325" s="143">
        <v>10</v>
      </c>
      <c r="Q4325" s="2"/>
      <c r="R4325" s="96">
        <f ca="1">F_GAMMA*R$29</f>
        <v>0.64002969751372984</v>
      </c>
      <c r="S4325" s="107"/>
      <c r="T4325" s="1"/>
      <c r="U4325" s="96">
        <f ca="1">F_GAMMA*U$29</f>
        <v>0.64017842058782071</v>
      </c>
      <c r="V4325" s="111"/>
      <c r="W4325" s="28"/>
      <c r="X4325" s="96">
        <f ca="1">F_GAMMA*X$29</f>
        <v>0.63413873724904268</v>
      </c>
      <c r="Y4325" s="111"/>
      <c r="Z4325" s="28"/>
      <c r="AA4325" s="96">
        <f ca="1">F_GAMMA*AA$29</f>
        <v>0.62532411750377137</v>
      </c>
      <c r="AB4325" s="111"/>
      <c r="AC4325" s="28"/>
      <c r="AD4325" s="96">
        <f ca="1">F_GAMMA*AD$29</f>
        <v>0.60651359509139569</v>
      </c>
      <c r="AE4325" s="111"/>
      <c r="AF4325" s="28"/>
      <c r="AG4325" s="96">
        <f ca="1">F_GAMMA*AG$29</f>
        <v>0.57217930198481592</v>
      </c>
      <c r="AH4325" s="111"/>
      <c r="AI4325" s="28"/>
      <c r="AJ4325" s="96">
        <f ca="1">F_GAMMA*AJ$29</f>
        <v>0.53183282018848232</v>
      </c>
      <c r="AK4325" s="111"/>
      <c r="AL4325" s="28"/>
      <c r="AM4325" s="96">
        <f ca="1">F_GAMMA*AM$29</f>
        <v>0.47566512503094399</v>
      </c>
      <c r="AN4325" s="111"/>
      <c r="AO4325" s="28"/>
      <c r="AP4325" s="96">
        <f ca="1">F_GAMMA*AP$29</f>
        <v>0.59054158265645496</v>
      </c>
      <c r="AQ4325" s="111"/>
      <c r="AR4325" s="28"/>
      <c r="AS4325" s="96">
        <f ca="1">F_GAMMA*AS$29</f>
        <v>0.3766899554102966</v>
      </c>
      <c r="AT4325" s="111"/>
      <c r="AU4325" s="28"/>
    </row>
    <row r="4326" spans="15:47" x14ac:dyDescent="0.25">
      <c r="O4326" s="2" t="s">
        <v>145</v>
      </c>
      <c r="P4326" s="12"/>
      <c r="Q4326" s="2"/>
      <c r="R4326" s="96">
        <f ca="1">IF(R4321&lt;R4325,R4323,R4324)</f>
        <v>58.654391104885072</v>
      </c>
      <c r="S4326" s="116"/>
      <c r="T4326" s="1"/>
      <c r="U4326" s="96">
        <f ca="1">IF(U4321&lt;U4325,U4323,U4324)</f>
        <v>125.80268489484894</v>
      </c>
      <c r="V4326" s="111"/>
      <c r="W4326" s="28"/>
      <c r="X4326" s="96" t="e">
        <f ca="1">IF(X4321&lt;X4325,X4323,X4324)</f>
        <v>#NUM!</v>
      </c>
      <c r="Y4326" s="111"/>
      <c r="Z4326" s="28"/>
      <c r="AA4326" s="96">
        <f ca="1">IF(AA4321&lt;AA4325,AA4323,AA4324)</f>
        <v>-243.05138106053906</v>
      </c>
      <c r="AB4326" s="111"/>
      <c r="AC4326" s="28"/>
      <c r="AD4326" s="96">
        <f ca="1">IF(AD4321&lt;AD4325,AD4323,AD4324)</f>
        <v>-109.34130764488363</v>
      </c>
      <c r="AE4326" s="111"/>
      <c r="AF4326" s="28"/>
      <c r="AG4326" s="96">
        <f ca="1">IF(AG4321&lt;AG4325,AG4323,AG4324)</f>
        <v>-73.179354980734274</v>
      </c>
      <c r="AH4326" s="111"/>
      <c r="AI4326" s="28"/>
      <c r="AJ4326" s="96">
        <f ca="1">IF(AJ4321&lt;AJ4325,AJ4323,AJ4324)</f>
        <v>-57.330720729348549</v>
      </c>
      <c r="AK4326" s="111"/>
      <c r="AL4326" s="28"/>
      <c r="AM4326" s="96">
        <f ca="1">IF(AM4321&lt;AM4325,AM4323,AM4324)</f>
        <v>-52.116369862005953</v>
      </c>
      <c r="AN4326" s="111"/>
      <c r="AO4326" s="28"/>
      <c r="AP4326" s="96">
        <f ca="1">IF(AP4321&lt;AP4325,AP4323,AP4324)</f>
        <v>-45.583673278890458</v>
      </c>
      <c r="AQ4326" s="111"/>
      <c r="AR4326" s="28"/>
      <c r="AS4326" s="96">
        <f ca="1">IF(AS4321&lt;AS4325,AS4323,AS4324)</f>
        <v>-64.891963340643485</v>
      </c>
      <c r="AT4326" s="111"/>
      <c r="AU4326" s="28"/>
    </row>
    <row r="4327" spans="15:47" x14ac:dyDescent="0.25">
      <c r="O4327" s="13" t="s">
        <v>143</v>
      </c>
      <c r="P4327" s="1"/>
      <c r="Q4327" s="1"/>
      <c r="R4327" s="113"/>
      <c r="S4327" s="106">
        <f ca="1">IF(R4320&lt;=0,Q_max,ABS(R$23-R4326))</f>
        <v>53.924391104885075</v>
      </c>
      <c r="T4327" s="7">
        <f>R4316</f>
        <v>136439.21835111931</v>
      </c>
      <c r="U4327" s="98"/>
      <c r="V4327" s="106">
        <f ca="1">IF(U4320&lt;=0,Q_max,ABS(U$23-U4326))</f>
        <v>114.20268489484894</v>
      </c>
      <c r="W4327" s="9">
        <f ca="1">U4316</f>
        <v>245956.49851580916</v>
      </c>
      <c r="X4327" s="98"/>
      <c r="Y4327" s="106">
        <f ca="1">IF(X4320&lt;=0,Q_max,ABS(X$23-X4326))</f>
        <v>236393</v>
      </c>
      <c r="Z4327" s="9">
        <f ca="1">X4316</f>
        <v>602257.11880794086</v>
      </c>
      <c r="AA4327" s="98"/>
      <c r="AB4327" s="106">
        <f ca="1">IF(AA4320&lt;=0,Q_max,ABS(AA$23-AA4326))</f>
        <v>236393</v>
      </c>
      <c r="AC4327" s="9">
        <f ca="1">AA4316</f>
        <v>1173043.1440706383</v>
      </c>
      <c r="AD4327" s="98"/>
      <c r="AE4327" s="106">
        <f ca="1">IF(AD4320&lt;=0,Q_max,ABS(AD$23-AD4326))</f>
        <v>236393</v>
      </c>
      <c r="AF4327" s="9">
        <f ca="1">AD4316</f>
        <v>1968001.4872053708</v>
      </c>
      <c r="AG4327" s="98"/>
      <c r="AH4327" s="106">
        <f ca="1">IF(AG4320&lt;=0,Q_max,ABS(AG$23-AG4326))</f>
        <v>236393</v>
      </c>
      <c r="AI4327" s="9">
        <f ca="1">AG4316</f>
        <v>2872351.7713437499</v>
      </c>
      <c r="AJ4327" s="98"/>
      <c r="AK4327" s="106">
        <f ca="1">IF(AJ4320&lt;=0,Q_max,ABS(AJ$23-AJ4326))</f>
        <v>236393</v>
      </c>
      <c r="AL4327" s="9">
        <f ca="1">AJ4316</f>
        <v>3833164.5737229944</v>
      </c>
      <c r="AM4327" s="98"/>
      <c r="AN4327" s="106">
        <f ca="1">IF(AM4320&lt;=0,Q_max,ABS(AM$23-AM4326))</f>
        <v>236393</v>
      </c>
      <c r="AO4327" s="9">
        <f ca="1">AM4316</f>
        <v>4677189.2343381923</v>
      </c>
      <c r="AP4327" s="98"/>
      <c r="AQ4327" s="106">
        <f ca="1">IF(AP4320&lt;=0,Q_max,ABS(AP$23-AP4326))</f>
        <v>236393</v>
      </c>
      <c r="AR4327" s="9">
        <f ca="1">AP4316</f>
        <v>5430071.499457418</v>
      </c>
      <c r="AS4327" s="98"/>
      <c r="AT4327" s="106">
        <f ca="1">IF(AS4320&lt;=0,Q_max,ABS(AS$23-AS4326))</f>
        <v>236393</v>
      </c>
      <c r="AU4327" s="9">
        <f ca="1">AS4316</f>
        <v>6367185.8806725759</v>
      </c>
    </row>
    <row r="4328" spans="15:47" x14ac:dyDescent="0.25">
      <c r="O4328" s="21"/>
      <c r="P4328" s="14"/>
      <c r="Q4328" s="21"/>
      <c r="R4328" s="97"/>
      <c r="S4328" s="106"/>
      <c r="T4328" s="28"/>
      <c r="U4328" s="97"/>
      <c r="V4328" s="111"/>
      <c r="W4328" s="28"/>
      <c r="X4328" s="97"/>
      <c r="Y4328" s="111"/>
      <c r="Z4328" s="28"/>
      <c r="AA4328" s="97"/>
      <c r="AB4328" s="111"/>
      <c r="AC4328" s="28"/>
      <c r="AD4328" s="97"/>
      <c r="AE4328" s="111"/>
      <c r="AF4328" s="28"/>
      <c r="AG4328" s="97"/>
      <c r="AH4328" s="111"/>
      <c r="AI4328" s="28"/>
      <c r="AJ4328" s="97"/>
      <c r="AK4328" s="111"/>
      <c r="AL4328" s="28"/>
      <c r="AM4328" s="97"/>
      <c r="AN4328" s="111"/>
      <c r="AO4328" s="28"/>
      <c r="AP4328" s="97"/>
      <c r="AQ4328" s="111"/>
      <c r="AR4328" s="28"/>
      <c r="AS4328" s="97"/>
      <c r="AT4328" s="111"/>
      <c r="AU4328" s="28"/>
    </row>
    <row r="4329" spans="15:47" x14ac:dyDescent="0.25">
      <c r="O4329" s="1"/>
      <c r="P4329" s="1"/>
      <c r="Q4329" s="1"/>
      <c r="R4329" s="98"/>
      <c r="S4329" s="108" t="s">
        <v>137</v>
      </c>
      <c r="T4329" s="26" t="s">
        <v>146</v>
      </c>
      <c r="U4329" s="98"/>
      <c r="V4329" s="108" t="s">
        <v>137</v>
      </c>
      <c r="W4329" s="26" t="s">
        <v>146</v>
      </c>
      <c r="X4329" s="98"/>
      <c r="Y4329" s="108" t="s">
        <v>137</v>
      </c>
      <c r="Z4329" s="26" t="s">
        <v>146</v>
      </c>
      <c r="AA4329" s="98"/>
      <c r="AB4329" s="108" t="s">
        <v>137</v>
      </c>
      <c r="AC4329" s="26" t="s">
        <v>146</v>
      </c>
      <c r="AD4329" s="98"/>
      <c r="AE4329" s="108" t="s">
        <v>137</v>
      </c>
      <c r="AF4329" s="26" t="s">
        <v>146</v>
      </c>
      <c r="AG4329" s="98"/>
      <c r="AH4329" s="108" t="s">
        <v>137</v>
      </c>
      <c r="AI4329" s="26" t="s">
        <v>146</v>
      </c>
      <c r="AJ4329" s="98"/>
      <c r="AK4329" s="108" t="s">
        <v>137</v>
      </c>
      <c r="AL4329" s="26" t="s">
        <v>146</v>
      </c>
      <c r="AM4329" s="98"/>
      <c r="AN4329" s="108" t="s">
        <v>137</v>
      </c>
      <c r="AO4329" s="26" t="s">
        <v>146</v>
      </c>
      <c r="AP4329" s="98"/>
      <c r="AQ4329" s="108" t="s">
        <v>137</v>
      </c>
      <c r="AR4329" s="26" t="s">
        <v>146</v>
      </c>
      <c r="AS4329" s="98"/>
      <c r="AT4329" s="108" t="s">
        <v>137</v>
      </c>
      <c r="AU4329" s="26" t="s">
        <v>146</v>
      </c>
    </row>
    <row r="4330" spans="15:47" ht="13.8" x14ac:dyDescent="0.25">
      <c r="O4330" s="20" t="s">
        <v>136</v>
      </c>
      <c r="P4330" s="1"/>
      <c r="Q4330" s="1"/>
      <c r="R4330" s="96">
        <f>R4316*1.02</f>
        <v>139168.00271814171</v>
      </c>
      <c r="S4330" s="109" t="s">
        <v>144</v>
      </c>
      <c r="T4330" s="23" t="s">
        <v>147</v>
      </c>
      <c r="U4330" s="96">
        <f ca="1">U4316*1.01</f>
        <v>248416.06350096726</v>
      </c>
      <c r="V4330" s="109" t="s">
        <v>144</v>
      </c>
      <c r="W4330" s="23" t="s">
        <v>147</v>
      </c>
      <c r="X4330" s="96">
        <f ca="1">X4316*1.01</f>
        <v>608279.68999602029</v>
      </c>
      <c r="Y4330" s="109" t="s">
        <v>144</v>
      </c>
      <c r="Z4330" s="23" t="s">
        <v>147</v>
      </c>
      <c r="AA4330" s="96">
        <f ca="1">AA4316*1.01</f>
        <v>1184773.5755113447</v>
      </c>
      <c r="AB4330" s="109" t="s">
        <v>144</v>
      </c>
      <c r="AC4330" s="23" t="s">
        <v>147</v>
      </c>
      <c r="AD4330" s="96">
        <f ca="1">AD4316*1.01</f>
        <v>1987681.5020774244</v>
      </c>
      <c r="AE4330" s="109" t="s">
        <v>144</v>
      </c>
      <c r="AF4330" s="23" t="s">
        <v>147</v>
      </c>
      <c r="AG4330" s="96">
        <f ca="1">AG4316*1.01</f>
        <v>2901075.2890571873</v>
      </c>
      <c r="AH4330" s="109" t="s">
        <v>144</v>
      </c>
      <c r="AI4330" s="23" t="s">
        <v>147</v>
      </c>
      <c r="AJ4330" s="96">
        <f ca="1">AJ4316*1.01</f>
        <v>3871496.2194602243</v>
      </c>
      <c r="AK4330" s="109" t="s">
        <v>144</v>
      </c>
      <c r="AL4330" s="23" t="s">
        <v>147</v>
      </c>
      <c r="AM4330" s="96">
        <f ca="1">AM4316*1.01</f>
        <v>4723961.1266815746</v>
      </c>
      <c r="AN4330" s="109" t="s">
        <v>144</v>
      </c>
      <c r="AO4330" s="23" t="s">
        <v>147</v>
      </c>
      <c r="AP4330" s="96">
        <f ca="1">AP4316*1.01</f>
        <v>5484372.214451992</v>
      </c>
      <c r="AQ4330" s="109" t="s">
        <v>144</v>
      </c>
      <c r="AR4330" s="23" t="s">
        <v>147</v>
      </c>
      <c r="AS4330" s="96">
        <f ca="1">AS4316*1.01</f>
        <v>6430857.7394793015</v>
      </c>
      <c r="AT4330" s="109" t="s">
        <v>144</v>
      </c>
      <c r="AU4330" s="23" t="s">
        <v>147</v>
      </c>
    </row>
    <row r="4331" spans="15:47" x14ac:dyDescent="0.25">
      <c r="O4331" s="1"/>
      <c r="P4331" s="1"/>
      <c r="Q4331" s="1"/>
      <c r="R4331" s="98"/>
      <c r="S4331" s="107"/>
      <c r="T4331" s="1"/>
      <c r="U4331" s="47"/>
      <c r="V4331" s="107"/>
      <c r="W4331" s="1"/>
      <c r="X4331" s="47"/>
      <c r="Y4331" s="107"/>
      <c r="Z4331" s="1"/>
      <c r="AA4331" s="47"/>
      <c r="AB4331" s="107"/>
      <c r="AC4331" s="1"/>
      <c r="AD4331" s="47"/>
      <c r="AE4331" s="107"/>
      <c r="AF4331" s="1"/>
      <c r="AG4331" s="47"/>
      <c r="AH4331" s="107"/>
      <c r="AI4331" s="1"/>
      <c r="AJ4331" s="47"/>
      <c r="AK4331" s="107"/>
      <c r="AL4331" s="1"/>
      <c r="AM4331" s="47"/>
      <c r="AN4331" s="107"/>
      <c r="AO4331" s="1"/>
      <c r="AP4331" s="47"/>
      <c r="AQ4331" s="107"/>
      <c r="AR4331" s="1"/>
      <c r="AS4331" s="47"/>
      <c r="AT4331" s="107"/>
      <c r="AU4331" s="1"/>
    </row>
    <row r="4332" spans="15:47" x14ac:dyDescent="0.25">
      <c r="O4332" s="8" t="s">
        <v>132</v>
      </c>
      <c r="P4332" s="8"/>
      <c r="Q4332" s="8"/>
      <c r="R4332" s="96">
        <f>P_1_minQ-(R4330^2*R_up)+dpup_minQ</f>
        <v>86.655059869319885</v>
      </c>
      <c r="S4332" s="106"/>
      <c r="T4332" s="22"/>
      <c r="U4332" s="96">
        <f ca="1">P_1_minQ-(U4330^2*R_up)+dpup_minQ</f>
        <v>78.93762116881868</v>
      </c>
      <c r="V4332" s="107"/>
      <c r="W4332" s="1"/>
      <c r="X4332" s="96">
        <f ca="1">P_1_minQ-(X4330^2*R_up)+dpup_minQ</f>
        <v>22.747741305293076</v>
      </c>
      <c r="Y4332" s="107"/>
      <c r="Z4332" s="1"/>
      <c r="AA4332" s="96">
        <f ca="1">P_1_minQ-(AA4330^2*R_up)+dpup_minQ</f>
        <v>-165.65249089457586</v>
      </c>
      <c r="AB4332" s="107"/>
      <c r="AC4332" s="1"/>
      <c r="AD4332" s="96">
        <f ca="1">P_1_minQ-(AD4330^2*R_up)+dpup_minQ</f>
        <v>-629.9055389033623</v>
      </c>
      <c r="AE4332" s="107"/>
      <c r="AF4332" s="1"/>
      <c r="AG4332" s="96">
        <f ca="1">P_1_minQ-(AG4330^2*R_up)+dpup_minQ</f>
        <v>-1443.766135756995</v>
      </c>
      <c r="AH4332" s="107"/>
      <c r="AI4332" s="1"/>
      <c r="AJ4332" s="96">
        <f ca="1">P_1_minQ-(AJ4330^2*R_up)+dpup_minQ</f>
        <v>-2641.6295244335242</v>
      </c>
      <c r="AK4332" s="107"/>
      <c r="AL4332" s="1"/>
      <c r="AM4332" s="96">
        <f ca="1">P_1_minQ-(AM4330^2*R_up)+dpup_minQ</f>
        <v>-3977.1145921324014</v>
      </c>
      <c r="AN4332" s="107"/>
      <c r="AO4332" s="1"/>
      <c r="AP4332" s="96">
        <f ca="1">P_1_minQ-(AP4330^2*R_up)+dpup_minQ</f>
        <v>-5391.9203576880382</v>
      </c>
      <c r="AQ4332" s="107"/>
      <c r="AR4332" s="1"/>
      <c r="AS4332" s="96">
        <f ca="1">P_1_minQ-(AS4330^2*R_up)+dpup_minQ</f>
        <v>-7447.3846754749966</v>
      </c>
      <c r="AT4332" s="107"/>
      <c r="AU4332" s="1"/>
    </row>
    <row r="4333" spans="15:47" x14ac:dyDescent="0.25">
      <c r="O4333" s="8" t="s">
        <v>134</v>
      </c>
      <c r="P4333" s="1"/>
      <c r="Q4333" s="8"/>
      <c r="R4333" s="97">
        <f>P_2_minQ+(R4330^2*R_dn)-dpdn_minQ</f>
        <v>60</v>
      </c>
      <c r="S4333" s="106"/>
      <c r="T4333" s="22"/>
      <c r="U4333" s="97">
        <f ca="1">P_2_minQ+(U4330^2*R_dn)-dpdn_minQ</f>
        <v>60</v>
      </c>
      <c r="V4333" s="107"/>
      <c r="W4333" s="1"/>
      <c r="X4333" s="97">
        <f ca="1">P_2_minQ+(X4330^2*R_dn)-dpdn_minQ</f>
        <v>60</v>
      </c>
      <c r="Y4333" s="107"/>
      <c r="Z4333" s="1"/>
      <c r="AA4333" s="97">
        <f ca="1">P_2_minQ+(AA4330^2*R_dn)-dpdn_minQ</f>
        <v>60</v>
      </c>
      <c r="AB4333" s="107"/>
      <c r="AC4333" s="1"/>
      <c r="AD4333" s="97">
        <f ca="1">P_2_minQ+(AD4330^2*R_dn)-dpdn_minQ</f>
        <v>60</v>
      </c>
      <c r="AE4333" s="107"/>
      <c r="AF4333" s="1"/>
      <c r="AG4333" s="97">
        <f ca="1">P_2_minQ+(AG4330^2*R_dn)-dpdn_minQ</f>
        <v>60</v>
      </c>
      <c r="AH4333" s="107"/>
      <c r="AI4333" s="1"/>
      <c r="AJ4333" s="97">
        <f ca="1">P_2_minQ+(AJ4330^2*R_dn)-dpdn_minQ</f>
        <v>60</v>
      </c>
      <c r="AK4333" s="107"/>
      <c r="AL4333" s="1"/>
      <c r="AM4333" s="97">
        <f ca="1">P_2_minQ+(AM4330^2*R_dn)-dpdn_minQ</f>
        <v>60</v>
      </c>
      <c r="AN4333" s="107"/>
      <c r="AO4333" s="1"/>
      <c r="AP4333" s="97">
        <f ca="1">P_2_minQ+(AP4330^2*R_dn)-dpdn_minQ</f>
        <v>60</v>
      </c>
      <c r="AQ4333" s="107"/>
      <c r="AR4333" s="1"/>
      <c r="AS4333" s="97">
        <f ca="1">P_2_minQ+(AS4330^2*R_dn)-dpdn_minQ</f>
        <v>60</v>
      </c>
      <c r="AT4333" s="107"/>
      <c r="AU4333" s="1"/>
    </row>
    <row r="4334" spans="15:47" x14ac:dyDescent="0.25">
      <c r="O4334" s="8" t="s">
        <v>138</v>
      </c>
      <c r="P4334" s="1"/>
      <c r="Q4334" s="8"/>
      <c r="R4334" s="97">
        <f>R4332-R4333</f>
        <v>26.655059869319885</v>
      </c>
      <c r="S4334" s="106"/>
      <c r="T4334" s="22"/>
      <c r="U4334" s="97">
        <f ca="1">U4332-U4333</f>
        <v>18.93762116881868</v>
      </c>
      <c r="V4334" s="110"/>
      <c r="W4334" s="25"/>
      <c r="X4334" s="97">
        <f ca="1">X4332-X4333</f>
        <v>-37.252258694706924</v>
      </c>
      <c r="Y4334" s="110"/>
      <c r="Z4334" s="25"/>
      <c r="AA4334" s="97">
        <f ca="1">AA4332-AA4333</f>
        <v>-225.65249089457586</v>
      </c>
      <c r="AB4334" s="110"/>
      <c r="AC4334" s="25"/>
      <c r="AD4334" s="97">
        <f ca="1">AD4332-AD4333</f>
        <v>-689.9055389033623</v>
      </c>
      <c r="AE4334" s="110"/>
      <c r="AF4334" s="25"/>
      <c r="AG4334" s="97">
        <f ca="1">AG4332-AG4333</f>
        <v>-1503.766135756995</v>
      </c>
      <c r="AH4334" s="110"/>
      <c r="AI4334" s="25"/>
      <c r="AJ4334" s="97">
        <f ca="1">AJ4332-AJ4333</f>
        <v>-2701.6295244335242</v>
      </c>
      <c r="AK4334" s="110"/>
      <c r="AL4334" s="25"/>
      <c r="AM4334" s="97">
        <f ca="1">AM4332-AM4333</f>
        <v>-4037.1145921324014</v>
      </c>
      <c r="AN4334" s="110"/>
      <c r="AO4334" s="25"/>
      <c r="AP4334" s="97">
        <f ca="1">AP4332-AP4333</f>
        <v>-5451.9203576880382</v>
      </c>
      <c r="AQ4334" s="110"/>
      <c r="AR4334" s="25"/>
      <c r="AS4334" s="97">
        <f ca="1">AS4332-AS4333</f>
        <v>-7507.3846754749966</v>
      </c>
      <c r="AT4334" s="110"/>
      <c r="AU4334" s="25"/>
    </row>
    <row r="4335" spans="15:47" ht="14.4" x14ac:dyDescent="0.3">
      <c r="O4335" s="2" t="s">
        <v>140</v>
      </c>
      <c r="P4335" s="11"/>
      <c r="Q4335" s="2"/>
      <c r="R4335" s="96">
        <f>R4334/R4332</f>
        <v>0.30759957825333029</v>
      </c>
      <c r="S4335" s="106"/>
      <c r="T4335" s="22"/>
      <c r="U4335" s="96">
        <f ca="1">U4334/U4332</f>
        <v>0.23990615486521996</v>
      </c>
      <c r="V4335" s="111"/>
      <c r="W4335" s="28"/>
      <c r="X4335" s="96">
        <f ca="1">X4334/X4332</f>
        <v>-1.6376245093854156</v>
      </c>
      <c r="Y4335" s="111"/>
      <c r="Z4335" s="28"/>
      <c r="AA4335" s="96">
        <f ca="1">AA4334/AA4332</f>
        <v>1.3622040313187023</v>
      </c>
      <c r="AB4335" s="111"/>
      <c r="AC4335" s="28"/>
      <c r="AD4335" s="96">
        <f ca="1">AD4334/AD4332</f>
        <v>1.0952523772127125</v>
      </c>
      <c r="AE4335" s="111"/>
      <c r="AF4335" s="28"/>
      <c r="AG4335" s="96">
        <f ca="1">AG4334/AG4332</f>
        <v>1.0415579770947743</v>
      </c>
      <c r="AH4335" s="111"/>
      <c r="AI4335" s="28"/>
      <c r="AJ4335" s="96">
        <f ca="1">AJ4334/AJ4332</f>
        <v>1.0227132531057195</v>
      </c>
      <c r="AK4335" s="111"/>
      <c r="AL4335" s="28"/>
      <c r="AM4335" s="96">
        <f ca="1">AM4334/AM4332</f>
        <v>1.0150863141129232</v>
      </c>
      <c r="AN4335" s="111"/>
      <c r="AO4335" s="28"/>
      <c r="AP4335" s="96">
        <f ca="1">AP4334/AP4332</f>
        <v>1.0111277608012976</v>
      </c>
      <c r="AQ4335" s="111"/>
      <c r="AR4335" s="28"/>
      <c r="AS4335" s="96">
        <f ca="1">AS4334/AS4332</f>
        <v>1.0080565195185347</v>
      </c>
      <c r="AT4335" s="111"/>
      <c r="AU4335" s="28"/>
    </row>
    <row r="4336" spans="15:47" x14ac:dyDescent="0.25">
      <c r="O4336" s="2" t="s">
        <v>21</v>
      </c>
      <c r="P4336" s="8">
        <v>12</v>
      </c>
      <c r="Q4336" s="2"/>
      <c r="R4336" s="96">
        <f ca="1">1-R4335/(3*F_GAMMA*R$29)</f>
        <v>0.83979932001684876</v>
      </c>
      <c r="S4336" s="106"/>
      <c r="T4336" s="22"/>
      <c r="U4336" s="96">
        <f ca="1">1-U4335/(3*F_GAMMA*U$29)</f>
        <v>0.87508370211076736</v>
      </c>
      <c r="V4336" s="111"/>
      <c r="W4336" s="28"/>
      <c r="X4336" s="96">
        <f ca="1">1-X4335/(3*F_GAMMA*X$29)</f>
        <v>1.8608129489610821</v>
      </c>
      <c r="Y4336" s="111"/>
      <c r="Z4336" s="28"/>
      <c r="AA4336" s="96">
        <f ca="1">1-AA4335/(3*F_GAMMA*AA$29)</f>
        <v>0.27386774677400971</v>
      </c>
      <c r="AB4336" s="111"/>
      <c r="AC4336" s="28"/>
      <c r="AD4336" s="96">
        <f ca="1">1-AD4335/(3*F_GAMMA*AD$29)</f>
        <v>0.39806110086855306</v>
      </c>
      <c r="AE4336" s="111"/>
      <c r="AF4336" s="28"/>
      <c r="AG4336" s="96">
        <f ca="1">1-AG4335/(3*F_GAMMA*AG$29)</f>
        <v>0.39322168564891891</v>
      </c>
      <c r="AH4336" s="111"/>
      <c r="AI4336" s="28"/>
      <c r="AJ4336" s="96">
        <f ca="1">1-AJ4335/(3*F_GAMMA*AJ$29)</f>
        <v>0.35900078979501593</v>
      </c>
      <c r="AK4336" s="111"/>
      <c r="AL4336" s="28"/>
      <c r="AM4336" s="96">
        <f ca="1">1-AM4335/(3*F_GAMMA*AM$29)</f>
        <v>0.28865479746429623</v>
      </c>
      <c r="AN4336" s="111"/>
      <c r="AO4336" s="28"/>
      <c r="AP4336" s="96">
        <f ca="1">1-AP4335/(3*F_GAMMA*AP$29)</f>
        <v>0.42926527643043388</v>
      </c>
      <c r="AQ4336" s="111"/>
      <c r="AR4336" s="28"/>
      <c r="AS4336" s="96">
        <f ca="1">1-AS4335/(3*F_GAMMA*AS$29)</f>
        <v>0.10796973741040017</v>
      </c>
      <c r="AT4336" s="111"/>
      <c r="AU4336" s="28"/>
    </row>
    <row r="4337" spans="15:47" x14ac:dyDescent="0.25">
      <c r="O4337" s="2" t="s">
        <v>57</v>
      </c>
      <c r="P4337" s="143">
        <v>7</v>
      </c>
      <c r="Q4337" s="2"/>
      <c r="R4337" s="96">
        <f ca="1">(R4330/(N_9*R$27*R4332*R4336))*SQRT(M*'Valve Sizing'!$W$6*'Valve Sizing'!$G$8/R4335)</f>
        <v>59.987824959513418</v>
      </c>
      <c r="S4337" s="107"/>
      <c r="T4337" s="22"/>
      <c r="U4337" s="96">
        <f ca="1">(U4330/(N_9*U$27*U4332*U4336))*SQRT(M*'Valve Sizing'!$W$6*'Valve Sizing'!$G$8/U4335)</f>
        <v>127.81924519216992</v>
      </c>
      <c r="V4337" s="111"/>
      <c r="W4337" s="28"/>
      <c r="X4337" s="96" t="e">
        <f ca="1">(X4330/(N_9*X$27*X4332*X4336))*SQRT(M*'Valve Sizing'!$W$6*'Valve Sizing'!$G$8/X4335)</f>
        <v>#NUM!</v>
      </c>
      <c r="Y4337" s="111"/>
      <c r="Z4337" s="28"/>
      <c r="AA4337" s="96">
        <f ca="1">(AA4330/(N_9*AA$27*AA4332*AA4336))*SQRT(M*'Valve Sizing'!$W$6*'Valve Sizing'!$G$8/AA4335)</f>
        <v>-392.74850137223763</v>
      </c>
      <c r="AB4337" s="111"/>
      <c r="AC4337" s="28"/>
      <c r="AD4337" s="96">
        <f ca="1">(AD4330/(N_9*AD$27*AD4332*AD4336))*SQRT(M*'Valve Sizing'!$W$6*'Valve Sizing'!$G$8/AD4335)</f>
        <v>-134.60170246723868</v>
      </c>
      <c r="AE4337" s="111"/>
      <c r="AF4337" s="28"/>
      <c r="AG4337" s="96">
        <f ca="1">(AG4330/(N_9*AG$27*AG4332*AG4336))*SQRT(M*'Valve Sizing'!$W$6*'Valve Sizing'!$G$8/AG4335)</f>
        <v>-90.977563813897532</v>
      </c>
      <c r="AH4337" s="111"/>
      <c r="AI4337" s="28"/>
      <c r="AJ4337" s="96">
        <f ca="1">(AJ4330/(N_9*AJ$27*AJ4332*AJ4336))*SQRT(M*'Valve Sizing'!$W$6*'Valve Sizing'!$G$8/AJ4335)</f>
        <v>-75.999189799013905</v>
      </c>
      <c r="AK4337" s="111"/>
      <c r="AL4337" s="28"/>
      <c r="AM4337" s="96">
        <f ca="1">(AM4330/(N_9*AM$27*AM4332*AM4336))*SQRT(M*'Valve Sizing'!$W$6*'Valve Sizing'!$G$8/AM4335)</f>
        <v>-81.583252571316848</v>
      </c>
      <c r="AN4337" s="111"/>
      <c r="AO4337" s="28"/>
      <c r="AP4337" s="96">
        <f ca="1">(AP4330/(N_9*AP$27*AP4332*AP4336))*SQRT(M*'Valve Sizing'!$W$6*'Valve Sizing'!$G$8/AP4335)</f>
        <v>-53.575250906975413</v>
      </c>
      <c r="AQ4337" s="111"/>
      <c r="AR4337" s="28"/>
      <c r="AS4337" s="96">
        <f ca="1">(AS4330/(N_9*AS$27*AS4332*AS4336))*SQRT(M*'Valve Sizing'!$W$6*'Valve Sizing'!$G$8/AS4335)</f>
        <v>-242.57005462335206</v>
      </c>
      <c r="AT4337" s="111"/>
      <c r="AU4337" s="28"/>
    </row>
    <row r="4338" spans="15:47" x14ac:dyDescent="0.25">
      <c r="O4338" s="2" t="s">
        <v>59</v>
      </c>
      <c r="P4338" s="143">
        <v>7</v>
      </c>
      <c r="Q4338" s="2"/>
      <c r="R4338" s="96">
        <f ca="1">(R4330/(N_9*R$27*R4332*0.667))*SQRT(M*'Valve Sizing'!$W$6*'Valve Sizing'!$G$8/R4339)</f>
        <v>52.360719448943286</v>
      </c>
      <c r="S4338" s="107"/>
      <c r="T4338" s="22"/>
      <c r="U4338" s="96">
        <f ca="1">(U4330/(N_9*U$27*U4332*0.667))*SQRT(M*'Valve Sizing'!$W$6*'Valve Sizing'!$G$8/U4339)</f>
        <v>102.65738324622237</v>
      </c>
      <c r="V4338" s="111"/>
      <c r="W4338" s="28"/>
      <c r="X4338" s="96">
        <f ca="1">(X4330/(N_9*X$27*X4332*0.667))*SQRT(M*'Valve Sizing'!$W$6*'Valve Sizing'!$G$8/X4339)</f>
        <v>878.44901021442467</v>
      </c>
      <c r="Y4338" s="111"/>
      <c r="Z4338" s="28"/>
      <c r="AA4338" s="96">
        <f ca="1">(AA4330/(N_9*AA$27*AA4332*0.667))*SQRT(M*'Valve Sizing'!$W$6*'Valve Sizing'!$G$8/AA4339)</f>
        <v>-238.01157734324605</v>
      </c>
      <c r="AB4338" s="111"/>
      <c r="AC4338" s="28"/>
      <c r="AD4338" s="96">
        <f ca="1">(AD4330/(N_9*AD$27*AD4332*0.667))*SQRT(M*'Valve Sizing'!$W$6*'Valve Sizing'!$G$8/AD4339)</f>
        <v>-107.9471774210854</v>
      </c>
      <c r="AE4338" s="111"/>
      <c r="AF4338" s="28"/>
      <c r="AG4338" s="96">
        <f ca="1">(AG4330/(N_9*AG$27*AG4332*0.667))*SQRT(M*'Valve Sizing'!$W$6*'Valve Sizing'!$G$8/AG4339)</f>
        <v>-72.363836341886852</v>
      </c>
      <c r="AH4338" s="111"/>
      <c r="AI4338" s="28"/>
      <c r="AJ4338" s="96">
        <f ca="1">(AJ4330/(N_9*AJ$27*AJ4332*0.667))*SQRT(M*'Valve Sizing'!$W$6*'Valve Sizing'!$G$8/AJ4339)</f>
        <v>-56.724138286794499</v>
      </c>
      <c r="AK4338" s="111"/>
      <c r="AL4338" s="28"/>
      <c r="AM4338" s="96">
        <f ca="1">(AM4330/(N_9*AM$27*AM4332*0.667))*SQRT(M*'Valve Sizing'!$W$6*'Valve Sizing'!$G$8/AM4339)</f>
        <v>-51.576847395534109</v>
      </c>
      <c r="AN4338" s="111"/>
      <c r="AO4338" s="28"/>
      <c r="AP4338" s="96">
        <f ca="1">(AP4330/(N_9*AP$27*AP4332*0.667))*SQRT(M*'Valve Sizing'!$W$6*'Valve Sizing'!$G$8/AP4339)</f>
        <v>-45.117176655970823</v>
      </c>
      <c r="AQ4338" s="111"/>
      <c r="AR4338" s="28"/>
      <c r="AS4338" s="96">
        <f ca="1">(AS4330/(N_9*AS$27*AS4332*0.667))*SQRT(M*'Valve Sizing'!$W$6*'Valve Sizing'!$G$8/AS4339)</f>
        <v>-64.233830110122142</v>
      </c>
      <c r="AT4338" s="111"/>
      <c r="AU4338" s="28"/>
    </row>
    <row r="4339" spans="15:47" ht="15.6" x14ac:dyDescent="0.35">
      <c r="O4339" s="2" t="s">
        <v>68</v>
      </c>
      <c r="P4339" s="143">
        <v>10</v>
      </c>
      <c r="Q4339" s="2"/>
      <c r="R4339" s="96">
        <f ca="1">F_GAMMA*R$29</f>
        <v>0.64002969751372984</v>
      </c>
      <c r="S4339" s="107"/>
      <c r="T4339" s="1"/>
      <c r="U4339" s="96">
        <f ca="1">F_GAMMA*U$29</f>
        <v>0.64017842058782071</v>
      </c>
      <c r="V4339" s="111"/>
      <c r="W4339" s="28"/>
      <c r="X4339" s="96">
        <f ca="1">F_GAMMA*X$29</f>
        <v>0.63413873724904268</v>
      </c>
      <c r="Y4339" s="111"/>
      <c r="Z4339" s="28"/>
      <c r="AA4339" s="96">
        <f ca="1">F_GAMMA*AA$29</f>
        <v>0.62532411750377137</v>
      </c>
      <c r="AB4339" s="111"/>
      <c r="AC4339" s="28"/>
      <c r="AD4339" s="96">
        <f ca="1">F_GAMMA*AD$29</f>
        <v>0.60651359509139569</v>
      </c>
      <c r="AE4339" s="111"/>
      <c r="AF4339" s="28"/>
      <c r="AG4339" s="96">
        <f ca="1">F_GAMMA*AG$29</f>
        <v>0.57217930198481592</v>
      </c>
      <c r="AH4339" s="111"/>
      <c r="AI4339" s="28"/>
      <c r="AJ4339" s="96">
        <f ca="1">F_GAMMA*AJ$29</f>
        <v>0.53183282018848232</v>
      </c>
      <c r="AK4339" s="111"/>
      <c r="AL4339" s="28"/>
      <c r="AM4339" s="96">
        <f ca="1">F_GAMMA*AM$29</f>
        <v>0.47566512503094399</v>
      </c>
      <c r="AN4339" s="111"/>
      <c r="AO4339" s="28"/>
      <c r="AP4339" s="96">
        <f ca="1">F_GAMMA*AP$29</f>
        <v>0.59054158265645496</v>
      </c>
      <c r="AQ4339" s="111"/>
      <c r="AR4339" s="28"/>
      <c r="AS4339" s="96">
        <f ca="1">F_GAMMA*AS$29</f>
        <v>0.3766899554102966</v>
      </c>
      <c r="AT4339" s="111"/>
      <c r="AU4339" s="28"/>
    </row>
    <row r="4340" spans="15:47" x14ac:dyDescent="0.25">
      <c r="O4340" s="2" t="s">
        <v>145</v>
      </c>
      <c r="P4340" s="12"/>
      <c r="Q4340" s="2"/>
      <c r="R4340" s="96">
        <f ca="1">IF(R4335&lt;R4339,R4337,R4338)</f>
        <v>59.987824959513418</v>
      </c>
      <c r="S4340" s="116"/>
      <c r="T4340" s="1"/>
      <c r="U4340" s="96">
        <f ca="1">IF(U4335&lt;U4339,U4337,U4338)</f>
        <v>127.81924519216992</v>
      </c>
      <c r="V4340" s="111"/>
      <c r="W4340" s="28"/>
      <c r="X4340" s="96" t="e">
        <f ca="1">IF(X4335&lt;X4339,X4337,X4338)</f>
        <v>#NUM!</v>
      </c>
      <c r="Y4340" s="111"/>
      <c r="Z4340" s="28"/>
      <c r="AA4340" s="96">
        <f ca="1">IF(AA4335&lt;AA4339,AA4337,AA4338)</f>
        <v>-238.01157734324605</v>
      </c>
      <c r="AB4340" s="111"/>
      <c r="AC4340" s="28"/>
      <c r="AD4340" s="96">
        <f ca="1">IF(AD4335&lt;AD4339,AD4337,AD4338)</f>
        <v>-107.9471774210854</v>
      </c>
      <c r="AE4340" s="111"/>
      <c r="AF4340" s="28"/>
      <c r="AG4340" s="96">
        <f ca="1">IF(AG4335&lt;AG4339,AG4337,AG4338)</f>
        <v>-72.363836341886852</v>
      </c>
      <c r="AH4340" s="111"/>
      <c r="AI4340" s="28"/>
      <c r="AJ4340" s="96">
        <f ca="1">IF(AJ4335&lt;AJ4339,AJ4337,AJ4338)</f>
        <v>-56.724138286794499</v>
      </c>
      <c r="AK4340" s="111"/>
      <c r="AL4340" s="28"/>
      <c r="AM4340" s="96">
        <f ca="1">IF(AM4335&lt;AM4339,AM4337,AM4338)</f>
        <v>-51.576847395534109</v>
      </c>
      <c r="AN4340" s="111"/>
      <c r="AO4340" s="28"/>
      <c r="AP4340" s="96">
        <f ca="1">IF(AP4335&lt;AP4339,AP4337,AP4338)</f>
        <v>-45.117176655970823</v>
      </c>
      <c r="AQ4340" s="111"/>
      <c r="AR4340" s="28"/>
      <c r="AS4340" s="96">
        <f ca="1">IF(AS4335&lt;AS4339,AS4337,AS4338)</f>
        <v>-64.233830110122142</v>
      </c>
      <c r="AT4340" s="111"/>
      <c r="AU4340" s="28"/>
    </row>
    <row r="4341" spans="15:47" x14ac:dyDescent="0.25">
      <c r="O4341" s="13" t="s">
        <v>143</v>
      </c>
      <c r="P4341" s="1"/>
      <c r="Q4341" s="1"/>
      <c r="R4341" s="113"/>
      <c r="S4341" s="106">
        <f ca="1">IF(R4334&lt;=0,Q_max,ABS(R$23-R4340))</f>
        <v>55.257824959513414</v>
      </c>
      <c r="T4341" s="7">
        <f>R4330</f>
        <v>139168.00271814171</v>
      </c>
      <c r="U4341" s="98"/>
      <c r="V4341" s="106">
        <f ca="1">IF(U4334&lt;=0,Q_max,ABS(U$23-U4340))</f>
        <v>116.21924519216992</v>
      </c>
      <c r="W4341" s="9">
        <f ca="1">U4330</f>
        <v>248416.06350096726</v>
      </c>
      <c r="X4341" s="98"/>
      <c r="Y4341" s="106">
        <f ca="1">IF(X4334&lt;=0,Q_max,ABS(X$23-X4340))</f>
        <v>236393</v>
      </c>
      <c r="Z4341" s="9">
        <f ca="1">X4330</f>
        <v>608279.68999602029</v>
      </c>
      <c r="AA4341" s="98"/>
      <c r="AB4341" s="106">
        <f ca="1">IF(AA4334&lt;=0,Q_max,ABS(AA$23-AA4340))</f>
        <v>236393</v>
      </c>
      <c r="AC4341" s="9">
        <f ca="1">AA4330</f>
        <v>1184773.5755113447</v>
      </c>
      <c r="AD4341" s="98"/>
      <c r="AE4341" s="106">
        <f ca="1">IF(AD4334&lt;=0,Q_max,ABS(AD$23-AD4340))</f>
        <v>236393</v>
      </c>
      <c r="AF4341" s="9">
        <f ca="1">AD4330</f>
        <v>1987681.5020774244</v>
      </c>
      <c r="AG4341" s="98"/>
      <c r="AH4341" s="106">
        <f ca="1">IF(AG4334&lt;=0,Q_max,ABS(AG$23-AG4340))</f>
        <v>236393</v>
      </c>
      <c r="AI4341" s="9">
        <f ca="1">AG4330</f>
        <v>2901075.2890571873</v>
      </c>
      <c r="AJ4341" s="98"/>
      <c r="AK4341" s="106">
        <f ca="1">IF(AJ4334&lt;=0,Q_max,ABS(AJ$23-AJ4340))</f>
        <v>236393</v>
      </c>
      <c r="AL4341" s="9">
        <f ca="1">AJ4330</f>
        <v>3871496.2194602243</v>
      </c>
      <c r="AM4341" s="98"/>
      <c r="AN4341" s="106">
        <f ca="1">IF(AM4334&lt;=0,Q_max,ABS(AM$23-AM4340))</f>
        <v>236393</v>
      </c>
      <c r="AO4341" s="9">
        <f ca="1">AM4330</f>
        <v>4723961.1266815746</v>
      </c>
      <c r="AP4341" s="98"/>
      <c r="AQ4341" s="106">
        <f ca="1">IF(AP4334&lt;=0,Q_max,ABS(AP$23-AP4340))</f>
        <v>236393</v>
      </c>
      <c r="AR4341" s="9">
        <f ca="1">AP4330</f>
        <v>5484372.214451992</v>
      </c>
      <c r="AS4341" s="98"/>
      <c r="AT4341" s="106">
        <f ca="1">IF(AS4334&lt;=0,Q_max,ABS(AS$23-AS4340))</f>
        <v>236393</v>
      </c>
      <c r="AU4341" s="9">
        <f ca="1">AS4330</f>
        <v>6430857.7394793015</v>
      </c>
    </row>
    <row r="4342" spans="15:47" x14ac:dyDescent="0.25">
      <c r="O4342" s="21"/>
      <c r="P4342" s="14"/>
      <c r="Q4342" s="21"/>
      <c r="R4342" s="97"/>
      <c r="S4342" s="106"/>
      <c r="T4342" s="28"/>
      <c r="U4342" s="97"/>
      <c r="V4342" s="111"/>
      <c r="W4342" s="28"/>
      <c r="X4342" s="97"/>
      <c r="Y4342" s="111"/>
      <c r="Z4342" s="28"/>
      <c r="AA4342" s="97"/>
      <c r="AB4342" s="111"/>
      <c r="AC4342" s="28"/>
      <c r="AD4342" s="97"/>
      <c r="AE4342" s="111"/>
      <c r="AF4342" s="28"/>
      <c r="AG4342" s="97"/>
      <c r="AH4342" s="111"/>
      <c r="AI4342" s="28"/>
      <c r="AJ4342" s="97"/>
      <c r="AK4342" s="111"/>
      <c r="AL4342" s="28"/>
      <c r="AM4342" s="97"/>
      <c r="AN4342" s="111"/>
      <c r="AO4342" s="28"/>
      <c r="AP4342" s="97"/>
      <c r="AQ4342" s="111"/>
      <c r="AR4342" s="28"/>
      <c r="AS4342" s="97"/>
      <c r="AT4342" s="111"/>
      <c r="AU4342" s="28"/>
    </row>
    <row r="4343" spans="15:47" x14ac:dyDescent="0.25">
      <c r="O4343" s="1"/>
      <c r="P4343" s="1"/>
      <c r="Q4343" s="1"/>
      <c r="R4343" s="98"/>
      <c r="S4343" s="108" t="s">
        <v>137</v>
      </c>
      <c r="T4343" s="26" t="s">
        <v>146</v>
      </c>
      <c r="U4343" s="98"/>
      <c r="V4343" s="108" t="s">
        <v>137</v>
      </c>
      <c r="W4343" s="26" t="s">
        <v>146</v>
      </c>
      <c r="X4343" s="98"/>
      <c r="Y4343" s="108" t="s">
        <v>137</v>
      </c>
      <c r="Z4343" s="26" t="s">
        <v>146</v>
      </c>
      <c r="AA4343" s="98"/>
      <c r="AB4343" s="108" t="s">
        <v>137</v>
      </c>
      <c r="AC4343" s="26" t="s">
        <v>146</v>
      </c>
      <c r="AD4343" s="98"/>
      <c r="AE4343" s="108" t="s">
        <v>137</v>
      </c>
      <c r="AF4343" s="26" t="s">
        <v>146</v>
      </c>
      <c r="AG4343" s="98"/>
      <c r="AH4343" s="108" t="s">
        <v>137</v>
      </c>
      <c r="AI4343" s="26" t="s">
        <v>146</v>
      </c>
      <c r="AJ4343" s="98"/>
      <c r="AK4343" s="108" t="s">
        <v>137</v>
      </c>
      <c r="AL4343" s="26" t="s">
        <v>146</v>
      </c>
      <c r="AM4343" s="98"/>
      <c r="AN4343" s="108" t="s">
        <v>137</v>
      </c>
      <c r="AO4343" s="26" t="s">
        <v>146</v>
      </c>
      <c r="AP4343" s="98"/>
      <c r="AQ4343" s="108" t="s">
        <v>137</v>
      </c>
      <c r="AR4343" s="26" t="s">
        <v>146</v>
      </c>
      <c r="AS4343" s="98"/>
      <c r="AT4343" s="108" t="s">
        <v>137</v>
      </c>
      <c r="AU4343" s="26" t="s">
        <v>146</v>
      </c>
    </row>
    <row r="4344" spans="15:47" ht="13.8" x14ac:dyDescent="0.25">
      <c r="O4344" s="20" t="s">
        <v>136</v>
      </c>
      <c r="P4344" s="1"/>
      <c r="Q4344" s="1"/>
      <c r="R4344" s="96">
        <f>R4330*1.02</f>
        <v>141951.36277250454</v>
      </c>
      <c r="S4344" s="109" t="s">
        <v>144</v>
      </c>
      <c r="T4344" s="23" t="s">
        <v>147</v>
      </c>
      <c r="U4344" s="96">
        <f ca="1">U4330*1.01</f>
        <v>250900.22413597693</v>
      </c>
      <c r="V4344" s="109" t="s">
        <v>144</v>
      </c>
      <c r="W4344" s="23" t="s">
        <v>147</v>
      </c>
      <c r="X4344" s="96">
        <f ca="1">X4330*1.01</f>
        <v>614362.48689598055</v>
      </c>
      <c r="Y4344" s="109" t="s">
        <v>144</v>
      </c>
      <c r="Z4344" s="23" t="s">
        <v>147</v>
      </c>
      <c r="AA4344" s="96">
        <f ca="1">AA4330*1.01</f>
        <v>1196621.3112664581</v>
      </c>
      <c r="AB4344" s="109" t="s">
        <v>144</v>
      </c>
      <c r="AC4344" s="23" t="s">
        <v>147</v>
      </c>
      <c r="AD4344" s="96">
        <f ca="1">AD4330*1.01</f>
        <v>2007558.3170981987</v>
      </c>
      <c r="AE4344" s="109" t="s">
        <v>144</v>
      </c>
      <c r="AF4344" s="23" t="s">
        <v>147</v>
      </c>
      <c r="AG4344" s="96">
        <f ca="1">AG4330*1.01</f>
        <v>2930086.0419477592</v>
      </c>
      <c r="AH4344" s="109" t="s">
        <v>144</v>
      </c>
      <c r="AI4344" s="23" t="s">
        <v>147</v>
      </c>
      <c r="AJ4344" s="96">
        <f ca="1">AJ4330*1.01</f>
        <v>3910211.1816548267</v>
      </c>
      <c r="AK4344" s="109" t="s">
        <v>144</v>
      </c>
      <c r="AL4344" s="23" t="s">
        <v>147</v>
      </c>
      <c r="AM4344" s="96">
        <f ca="1">AM4330*1.01</f>
        <v>4771200.7379483907</v>
      </c>
      <c r="AN4344" s="109" t="s">
        <v>144</v>
      </c>
      <c r="AO4344" s="23" t="s">
        <v>147</v>
      </c>
      <c r="AP4344" s="96">
        <f ca="1">AP4330*1.01</f>
        <v>5539215.9365965119</v>
      </c>
      <c r="AQ4344" s="109" t="s">
        <v>144</v>
      </c>
      <c r="AR4344" s="23" t="s">
        <v>147</v>
      </c>
      <c r="AS4344" s="96">
        <f ca="1">AS4330*1.01</f>
        <v>6495166.3168740943</v>
      </c>
      <c r="AT4344" s="109" t="s">
        <v>144</v>
      </c>
      <c r="AU4344" s="23" t="s">
        <v>147</v>
      </c>
    </row>
    <row r="4345" spans="15:47" x14ac:dyDescent="0.25">
      <c r="O4345" s="1"/>
      <c r="P4345" s="1"/>
      <c r="Q4345" s="1"/>
      <c r="R4345" s="98"/>
      <c r="S4345" s="107"/>
      <c r="T4345" s="1"/>
      <c r="U4345" s="47"/>
      <c r="V4345" s="107"/>
      <c r="W4345" s="1"/>
      <c r="X4345" s="47"/>
      <c r="Y4345" s="107"/>
      <c r="Z4345" s="1"/>
      <c r="AA4345" s="47"/>
      <c r="AB4345" s="107"/>
      <c r="AC4345" s="1"/>
      <c r="AD4345" s="47"/>
      <c r="AE4345" s="107"/>
      <c r="AF4345" s="1"/>
      <c r="AG4345" s="47"/>
      <c r="AH4345" s="107"/>
      <c r="AI4345" s="1"/>
      <c r="AJ4345" s="47"/>
      <c r="AK4345" s="107"/>
      <c r="AL4345" s="1"/>
      <c r="AM4345" s="47"/>
      <c r="AN4345" s="107"/>
      <c r="AO4345" s="1"/>
      <c r="AP4345" s="47"/>
      <c r="AQ4345" s="107"/>
      <c r="AR4345" s="1"/>
      <c r="AS4345" s="47"/>
      <c r="AT4345" s="107"/>
      <c r="AU4345" s="1"/>
    </row>
    <row r="4346" spans="15:47" x14ac:dyDescent="0.25">
      <c r="O4346" s="8" t="s">
        <v>132</v>
      </c>
      <c r="P4346" s="8"/>
      <c r="Q4346" s="8"/>
      <c r="R4346" s="96">
        <f>P_1_minQ-(R4344^2*R_up)+dpup_minQ</f>
        <v>86.512448650618083</v>
      </c>
      <c r="S4346" s="106"/>
      <c r="T4346" s="22"/>
      <c r="U4346" s="96">
        <f ca="1">P_1_minQ-(U4344^2*R_up)+dpup_minQ</f>
        <v>78.711548039653792</v>
      </c>
      <c r="V4346" s="107"/>
      <c r="W4346" s="1"/>
      <c r="X4346" s="96">
        <f ca="1">P_1_minQ-(X4344^2*R_up)+dpup_minQ</f>
        <v>21.392251590871311</v>
      </c>
      <c r="Y4346" s="107"/>
      <c r="Z4346" s="1"/>
      <c r="AA4346" s="96">
        <f ca="1">P_1_minQ-(AA4344^2*R_up)+dpup_minQ</f>
        <v>-170.79482527621497</v>
      </c>
      <c r="AB4346" s="107"/>
      <c r="AC4346" s="1"/>
      <c r="AD4346" s="96">
        <f ca="1">P_1_minQ-(AD4344^2*R_up)+dpup_minQ</f>
        <v>-644.37935954997806</v>
      </c>
      <c r="AE4346" s="107"/>
      <c r="AF4346" s="1"/>
      <c r="AG4346" s="96">
        <f ca="1">P_1_minQ-(AG4344^2*R_up)+dpup_minQ</f>
        <v>-1474.5985544003688</v>
      </c>
      <c r="AH4346" s="107"/>
      <c r="AI4346" s="1"/>
      <c r="AJ4346" s="96">
        <f ca="1">P_1_minQ-(AJ4344^2*R_up)+dpup_minQ</f>
        <v>-2696.5389971892964</v>
      </c>
      <c r="AK4346" s="107"/>
      <c r="AL4346" s="1"/>
      <c r="AM4346" s="96">
        <f ca="1">P_1_minQ-(AM4344^2*R_up)+dpup_minQ</f>
        <v>-4058.8673147489208</v>
      </c>
      <c r="AN4346" s="107"/>
      <c r="AO4346" s="1"/>
      <c r="AP4346" s="96">
        <f ca="1">P_1_minQ-(AP4344^2*R_up)+dpup_minQ</f>
        <v>-5502.1106761922256</v>
      </c>
      <c r="AQ4346" s="107"/>
      <c r="AR4346" s="1"/>
      <c r="AS4346" s="96">
        <f ca="1">P_1_minQ-(AS4344^2*R_up)+dpup_minQ</f>
        <v>-7598.8898267667028</v>
      </c>
      <c r="AT4346" s="107"/>
      <c r="AU4346" s="1"/>
    </row>
    <row r="4347" spans="15:47" x14ac:dyDescent="0.25">
      <c r="O4347" s="8" t="s">
        <v>134</v>
      </c>
      <c r="P4347" s="1"/>
      <c r="Q4347" s="8"/>
      <c r="R4347" s="97">
        <f>P_2_minQ+(R4344^2*R_dn)-dpdn_minQ</f>
        <v>60</v>
      </c>
      <c r="S4347" s="106"/>
      <c r="T4347" s="22"/>
      <c r="U4347" s="97">
        <f ca="1">P_2_minQ+(U4344^2*R_dn)-dpdn_minQ</f>
        <v>60</v>
      </c>
      <c r="V4347" s="107"/>
      <c r="W4347" s="1"/>
      <c r="X4347" s="97">
        <f ca="1">P_2_minQ+(X4344^2*R_dn)-dpdn_minQ</f>
        <v>60</v>
      </c>
      <c r="Y4347" s="107"/>
      <c r="Z4347" s="1"/>
      <c r="AA4347" s="97">
        <f ca="1">P_2_minQ+(AA4344^2*R_dn)-dpdn_minQ</f>
        <v>60</v>
      </c>
      <c r="AB4347" s="107"/>
      <c r="AC4347" s="1"/>
      <c r="AD4347" s="97">
        <f ca="1">P_2_minQ+(AD4344^2*R_dn)-dpdn_minQ</f>
        <v>60</v>
      </c>
      <c r="AE4347" s="107"/>
      <c r="AF4347" s="1"/>
      <c r="AG4347" s="97">
        <f ca="1">P_2_minQ+(AG4344^2*R_dn)-dpdn_minQ</f>
        <v>60</v>
      </c>
      <c r="AH4347" s="107"/>
      <c r="AI4347" s="1"/>
      <c r="AJ4347" s="97">
        <f ca="1">P_2_minQ+(AJ4344^2*R_dn)-dpdn_minQ</f>
        <v>60</v>
      </c>
      <c r="AK4347" s="107"/>
      <c r="AL4347" s="1"/>
      <c r="AM4347" s="97">
        <f ca="1">P_2_minQ+(AM4344^2*R_dn)-dpdn_minQ</f>
        <v>60</v>
      </c>
      <c r="AN4347" s="107"/>
      <c r="AO4347" s="1"/>
      <c r="AP4347" s="97">
        <f ca="1">P_2_minQ+(AP4344^2*R_dn)-dpdn_minQ</f>
        <v>60</v>
      </c>
      <c r="AQ4347" s="107"/>
      <c r="AR4347" s="1"/>
      <c r="AS4347" s="97">
        <f ca="1">P_2_minQ+(AS4344^2*R_dn)-dpdn_minQ</f>
        <v>60</v>
      </c>
      <c r="AT4347" s="107"/>
      <c r="AU4347" s="1"/>
    </row>
    <row r="4348" spans="15:47" x14ac:dyDescent="0.25">
      <c r="O4348" s="8" t="s">
        <v>138</v>
      </c>
      <c r="P4348" s="1"/>
      <c r="Q4348" s="8"/>
      <c r="R4348" s="97">
        <f>R4346-R4347</f>
        <v>26.512448650618083</v>
      </c>
      <c r="S4348" s="106"/>
      <c r="T4348" s="22"/>
      <c r="U4348" s="97">
        <f ca="1">U4346-U4347</f>
        <v>18.711548039653792</v>
      </c>
      <c r="V4348" s="110"/>
      <c r="W4348" s="25"/>
      <c r="X4348" s="97">
        <f ca="1">X4346-X4347</f>
        <v>-38.607748409128689</v>
      </c>
      <c r="Y4348" s="110"/>
      <c r="Z4348" s="25"/>
      <c r="AA4348" s="97">
        <f ca="1">AA4346-AA4347</f>
        <v>-230.79482527621497</v>
      </c>
      <c r="AB4348" s="110"/>
      <c r="AC4348" s="25"/>
      <c r="AD4348" s="97">
        <f ca="1">AD4346-AD4347</f>
        <v>-704.37935954997806</v>
      </c>
      <c r="AE4348" s="110"/>
      <c r="AF4348" s="25"/>
      <c r="AG4348" s="97">
        <f ca="1">AG4346-AG4347</f>
        <v>-1534.5985544003688</v>
      </c>
      <c r="AH4348" s="110"/>
      <c r="AI4348" s="25"/>
      <c r="AJ4348" s="97">
        <f ca="1">AJ4346-AJ4347</f>
        <v>-2756.5389971892964</v>
      </c>
      <c r="AK4348" s="110"/>
      <c r="AL4348" s="25"/>
      <c r="AM4348" s="97">
        <f ca="1">AM4346-AM4347</f>
        <v>-4118.8673147489208</v>
      </c>
      <c r="AN4348" s="110"/>
      <c r="AO4348" s="25"/>
      <c r="AP4348" s="97">
        <f ca="1">AP4346-AP4347</f>
        <v>-5562.1106761922256</v>
      </c>
      <c r="AQ4348" s="110"/>
      <c r="AR4348" s="25"/>
      <c r="AS4348" s="97">
        <f ca="1">AS4346-AS4347</f>
        <v>-7658.8898267667028</v>
      </c>
      <c r="AT4348" s="110"/>
      <c r="AU4348" s="25"/>
    </row>
    <row r="4349" spans="15:47" ht="14.4" x14ac:dyDescent="0.3">
      <c r="O4349" s="2" t="s">
        <v>140</v>
      </c>
      <c r="P4349" s="11"/>
      <c r="Q4349" s="2"/>
      <c r="R4349" s="96">
        <f>R4348/R4346</f>
        <v>0.30645819259710283</v>
      </c>
      <c r="S4349" s="106"/>
      <c r="T4349" s="22"/>
      <c r="U4349" s="96">
        <f ca="1">U4348/U4346</f>
        <v>0.23772303436628095</v>
      </c>
      <c r="V4349" s="111"/>
      <c r="W4349" s="28"/>
      <c r="X4349" s="96">
        <f ca="1">X4348/X4346</f>
        <v>-1.8047538495482041</v>
      </c>
      <c r="Y4349" s="111"/>
      <c r="Z4349" s="28"/>
      <c r="AA4349" s="96">
        <f ca="1">AA4348/AA4346</f>
        <v>1.351298699494941</v>
      </c>
      <c r="AB4349" s="111"/>
      <c r="AC4349" s="28"/>
      <c r="AD4349" s="96">
        <f ca="1">AD4348/AD4346</f>
        <v>1.0931128520967879</v>
      </c>
      <c r="AE4349" s="111"/>
      <c r="AF4349" s="28"/>
      <c r="AG4349" s="96">
        <f ca="1">AG4348/AG4346</f>
        <v>1.0406890402957152</v>
      </c>
      <c r="AH4349" s="111"/>
      <c r="AI4349" s="28"/>
      <c r="AJ4349" s="96">
        <f ca="1">AJ4348/AJ4346</f>
        <v>1.0222507444033038</v>
      </c>
      <c r="AK4349" s="111"/>
      <c r="AL4349" s="28"/>
      <c r="AM4349" s="96">
        <f ca="1">AM4348/AM4346</f>
        <v>1.0147824492271464</v>
      </c>
      <c r="AN4349" s="111"/>
      <c r="AO4349" s="28"/>
      <c r="AP4349" s="96">
        <f ca="1">AP4348/AP4346</f>
        <v>1.0109049060498949</v>
      </c>
      <c r="AQ4349" s="111"/>
      <c r="AR4349" s="28"/>
      <c r="AS4349" s="96">
        <f ca="1">AS4348/AS4346</f>
        <v>1.0078958902376309</v>
      </c>
      <c r="AT4349" s="111"/>
      <c r="AU4349" s="28"/>
    </row>
    <row r="4350" spans="15:47" x14ac:dyDescent="0.25">
      <c r="O4350" s="2" t="s">
        <v>21</v>
      </c>
      <c r="P4350" s="8">
        <v>12</v>
      </c>
      <c r="Q4350" s="2"/>
      <c r="R4350" s="96">
        <f ca="1">1-R4349/(3*F_GAMMA*R$29)</f>
        <v>0.84039376412918787</v>
      </c>
      <c r="S4350" s="106"/>
      <c r="T4350" s="22"/>
      <c r="U4350" s="96">
        <f ca="1">1-U4349/(3*F_GAMMA*U$29)</f>
        <v>0.87622042713862991</v>
      </c>
      <c r="V4350" s="111"/>
      <c r="W4350" s="28"/>
      <c r="X4350" s="96">
        <f ca="1">1-X4349/(3*F_GAMMA*X$29)</f>
        <v>1.9486640401843331</v>
      </c>
      <c r="Y4350" s="111"/>
      <c r="Z4350" s="28"/>
      <c r="AA4350" s="96">
        <f ca="1">1-AA4349/(3*F_GAMMA*AA$29)</f>
        <v>0.27968090911041765</v>
      </c>
      <c r="AB4350" s="111"/>
      <c r="AC4350" s="28"/>
      <c r="AD4350" s="96">
        <f ca="1">1-AD4349/(3*F_GAMMA*AD$29)</f>
        <v>0.39923696080708271</v>
      </c>
      <c r="AE4350" s="111"/>
      <c r="AF4350" s="28"/>
      <c r="AG4350" s="96">
        <f ca="1">1-AG4349/(3*F_GAMMA*AG$29)</f>
        <v>0.39372790039433458</v>
      </c>
      <c r="AH4350" s="111"/>
      <c r="AI4350" s="28"/>
      <c r="AJ4350" s="96">
        <f ca="1">1-AJ4349/(3*F_GAMMA*AJ$29)</f>
        <v>0.35929067331032294</v>
      </c>
      <c r="AK4350" s="111"/>
      <c r="AL4350" s="28"/>
      <c r="AM4350" s="96">
        <f ca="1">1-AM4349/(3*F_GAMMA*AM$29)</f>
        <v>0.2888677378080986</v>
      </c>
      <c r="AN4350" s="111"/>
      <c r="AO4350" s="28"/>
      <c r="AP4350" s="96">
        <f ca="1">1-AP4349/(3*F_GAMMA*AP$29)</f>
        <v>0.4293910676013114</v>
      </c>
      <c r="AQ4350" s="111"/>
      <c r="AR4350" s="28"/>
      <c r="AS4350" s="96">
        <f ca="1">1-AS4349/(3*F_GAMMA*AS$29)</f>
        <v>0.10811187842814052</v>
      </c>
      <c r="AT4350" s="111"/>
      <c r="AU4350" s="28"/>
    </row>
    <row r="4351" spans="15:47" x14ac:dyDescent="0.25">
      <c r="O4351" s="2" t="s">
        <v>57</v>
      </c>
      <c r="P4351" s="143">
        <v>7</v>
      </c>
      <c r="Q4351" s="2"/>
      <c r="R4351" s="96">
        <f ca="1">(R4344/(N_9*R$27*R4346*R4350))*SQRT(M*'Valve Sizing'!$W$6*'Valve Sizing'!$G$8/R4349)</f>
        <v>61.359040090391296</v>
      </c>
      <c r="S4351" s="107"/>
      <c r="T4351" s="22"/>
      <c r="U4351" s="96">
        <f ca="1">(U4344/(N_9*U$27*U4346*U4350))*SQRT(M*'Valve Sizing'!$W$6*'Valve Sizing'!$G$8/U4349)</f>
        <v>129.89262316950982</v>
      </c>
      <c r="V4351" s="111"/>
      <c r="W4351" s="28"/>
      <c r="X4351" s="96" t="e">
        <f ca="1">(X4344/(N_9*X$27*X4346*X4350))*SQRT(M*'Valve Sizing'!$W$6*'Valve Sizing'!$G$8/X4349)</f>
        <v>#NUM!</v>
      </c>
      <c r="Y4351" s="111"/>
      <c r="Z4351" s="28"/>
      <c r="AA4351" s="96">
        <f ca="1">(AA4344/(N_9*AA$27*AA4346*AA4350))*SQRT(M*'Valve Sizing'!$W$6*'Valve Sizing'!$G$8/AA4349)</f>
        <v>-378.25322536720864</v>
      </c>
      <c r="AB4351" s="111"/>
      <c r="AC4351" s="28"/>
      <c r="AD4351" s="96">
        <f ca="1">(AD4344/(N_9*AD$27*AD4346*AD4350))*SQRT(M*'Valve Sizing'!$W$6*'Valve Sizing'!$G$8/AD4349)</f>
        <v>-132.63231011370755</v>
      </c>
      <c r="AE4351" s="111"/>
      <c r="AF4351" s="28"/>
      <c r="AG4351" s="96">
        <f ca="1">(AG4344/(N_9*AG$27*AG4346*AG4350))*SQRT(M*'Valve Sizing'!$W$6*'Valve Sizing'!$G$8/AG4349)</f>
        <v>-89.887898694299594</v>
      </c>
      <c r="AH4351" s="111"/>
      <c r="AI4351" s="28"/>
      <c r="AJ4351" s="96">
        <f ca="1">(AJ4344/(N_9*AJ$27*AJ4346*AJ4350))*SQRT(M*'Valve Sizing'!$W$6*'Valve Sizing'!$G$8/AJ4349)</f>
        <v>-75.152464178311732</v>
      </c>
      <c r="AK4351" s="111"/>
      <c r="AL4351" s="28"/>
      <c r="AM4351" s="96">
        <f ca="1">(AM4344/(N_9*AM$27*AM4346*AM4350))*SQRT(M*'Valve Sizing'!$W$6*'Valve Sizing'!$G$8/AM4349)</f>
        <v>-80.691983624299226</v>
      </c>
      <c r="AN4351" s="111"/>
      <c r="AO4351" s="28"/>
      <c r="AP4351" s="96">
        <f ca="1">(AP4344/(N_9*AP$27*AP4346*AP4350))*SQRT(M*'Valve Sizing'!$W$6*'Valve Sizing'!$G$8/AP4349)</f>
        <v>-53.017635232809923</v>
      </c>
      <c r="AQ4351" s="111"/>
      <c r="AR4351" s="28"/>
      <c r="AS4351" s="96">
        <f ca="1">(AS4344/(N_9*AS$27*AS4346*AS4350))*SQRT(M*'Valve Sizing'!$W$6*'Valve Sizing'!$G$8/AS4349)</f>
        <v>-239.81449796502804</v>
      </c>
      <c r="AT4351" s="111"/>
      <c r="AU4351" s="28"/>
    </row>
    <row r="4352" spans="15:47" x14ac:dyDescent="0.25">
      <c r="O4352" s="2" t="s">
        <v>59</v>
      </c>
      <c r="P4352" s="143">
        <v>7</v>
      </c>
      <c r="Q4352" s="2"/>
      <c r="R4352" s="96">
        <f ca="1">(R4344/(N_9*R$27*R4346*0.667))*SQRT(M*'Valve Sizing'!$W$6*'Valve Sizing'!$G$8/R4353)</f>
        <v>53.495974006149623</v>
      </c>
      <c r="S4352" s="107"/>
      <c r="T4352" s="22"/>
      <c r="U4352" s="96">
        <f ca="1">(U4344/(N_9*U$27*U4346*0.667))*SQRT(M*'Valve Sizing'!$W$6*'Valve Sizing'!$G$8/U4353)</f>
        <v>103.98175526973488</v>
      </c>
      <c r="V4352" s="111"/>
      <c r="W4352" s="28"/>
      <c r="X4352" s="96">
        <f ca="1">(X4344/(N_9*X$27*X4346*0.667))*SQRT(M*'Valve Sizing'!$W$6*'Valve Sizing'!$G$8/X4353)</f>
        <v>943.45179406937496</v>
      </c>
      <c r="Y4352" s="111"/>
      <c r="Z4352" s="28"/>
      <c r="AA4352" s="96">
        <f ca="1">(AA4344/(N_9*AA$27*AA4346*0.667))*SQRT(M*'Valve Sizing'!$W$6*'Valve Sizing'!$G$8/AA4353)</f>
        <v>-233.15391839736168</v>
      </c>
      <c r="AB4352" s="111"/>
      <c r="AC4352" s="28"/>
      <c r="AD4352" s="96">
        <f ca="1">(AD4344/(N_9*AD$27*AD4346*0.667))*SQRT(M*'Valve Sizing'!$W$6*'Valve Sizing'!$G$8/AD4353)</f>
        <v>-106.57773126711137</v>
      </c>
      <c r="AE4352" s="111"/>
      <c r="AF4352" s="28"/>
      <c r="AG4352" s="96">
        <f ca="1">(AG4344/(N_9*AG$27*AG4346*0.667))*SQRT(M*'Valve Sizing'!$W$6*'Valve Sizing'!$G$8/AG4353)</f>
        <v>-71.559286839546331</v>
      </c>
      <c r="AH4352" s="111"/>
      <c r="AI4352" s="28"/>
      <c r="AJ4352" s="96">
        <f ca="1">(AJ4344/(N_9*AJ$27*AJ4346*0.667))*SQRT(M*'Valve Sizing'!$W$6*'Valve Sizing'!$G$8/AJ4353)</f>
        <v>-56.124758510320426</v>
      </c>
      <c r="AK4352" s="111"/>
      <c r="AL4352" s="28"/>
      <c r="AM4352" s="96">
        <f ca="1">(AM4344/(N_9*AM$27*AM4346*0.667))*SQRT(M*'Valve Sizing'!$W$6*'Valve Sizing'!$G$8/AM4353)</f>
        <v>-51.043379014647677</v>
      </c>
      <c r="AN4352" s="111"/>
      <c r="AO4352" s="28"/>
      <c r="AP4352" s="96">
        <f ca="1">(AP4344/(N_9*AP$27*AP4346*0.667))*SQRT(M*'Valve Sizing'!$W$6*'Valve Sizing'!$G$8/AP4353)</f>
        <v>-44.655754852191201</v>
      </c>
      <c r="AQ4352" s="111"/>
      <c r="AR4352" s="28"/>
      <c r="AS4352" s="96">
        <f ca="1">(AS4344/(N_9*AS$27*AS4346*0.667))*SQRT(M*'Valve Sizing'!$W$6*'Valve Sizing'!$G$8/AS4353)</f>
        <v>-63.582680291979123</v>
      </c>
      <c r="AT4352" s="111"/>
      <c r="AU4352" s="28"/>
    </row>
    <row r="4353" spans="15:47" ht="15.6" x14ac:dyDescent="0.35">
      <c r="O4353" s="2" t="s">
        <v>68</v>
      </c>
      <c r="P4353" s="143">
        <v>10</v>
      </c>
      <c r="Q4353" s="2"/>
      <c r="R4353" s="96">
        <f ca="1">F_GAMMA*R$29</f>
        <v>0.64002969751372984</v>
      </c>
      <c r="S4353" s="107"/>
      <c r="T4353" s="1"/>
      <c r="U4353" s="96">
        <f ca="1">F_GAMMA*U$29</f>
        <v>0.64017842058782071</v>
      </c>
      <c r="V4353" s="111"/>
      <c r="W4353" s="28"/>
      <c r="X4353" s="96">
        <f ca="1">F_GAMMA*X$29</f>
        <v>0.63413873724904268</v>
      </c>
      <c r="Y4353" s="111"/>
      <c r="Z4353" s="28"/>
      <c r="AA4353" s="96">
        <f ca="1">F_GAMMA*AA$29</f>
        <v>0.62532411750377137</v>
      </c>
      <c r="AB4353" s="111"/>
      <c r="AC4353" s="28"/>
      <c r="AD4353" s="96">
        <f ca="1">F_GAMMA*AD$29</f>
        <v>0.60651359509139569</v>
      </c>
      <c r="AE4353" s="111"/>
      <c r="AF4353" s="28"/>
      <c r="AG4353" s="96">
        <f ca="1">F_GAMMA*AG$29</f>
        <v>0.57217930198481592</v>
      </c>
      <c r="AH4353" s="111"/>
      <c r="AI4353" s="28"/>
      <c r="AJ4353" s="96">
        <f ca="1">F_GAMMA*AJ$29</f>
        <v>0.53183282018848232</v>
      </c>
      <c r="AK4353" s="111"/>
      <c r="AL4353" s="28"/>
      <c r="AM4353" s="96">
        <f ca="1">F_GAMMA*AM$29</f>
        <v>0.47566512503094399</v>
      </c>
      <c r="AN4353" s="111"/>
      <c r="AO4353" s="28"/>
      <c r="AP4353" s="96">
        <f ca="1">F_GAMMA*AP$29</f>
        <v>0.59054158265645496</v>
      </c>
      <c r="AQ4353" s="111"/>
      <c r="AR4353" s="28"/>
      <c r="AS4353" s="96">
        <f ca="1">F_GAMMA*AS$29</f>
        <v>0.3766899554102966</v>
      </c>
      <c r="AT4353" s="111"/>
      <c r="AU4353" s="28"/>
    </row>
    <row r="4354" spans="15:47" x14ac:dyDescent="0.25">
      <c r="O4354" s="2" t="s">
        <v>145</v>
      </c>
      <c r="P4354" s="12"/>
      <c r="Q4354" s="2"/>
      <c r="R4354" s="96">
        <f ca="1">IF(R4349&lt;R4353,R4351,R4352)</f>
        <v>61.359040090391296</v>
      </c>
      <c r="S4354" s="116"/>
      <c r="T4354" s="1"/>
      <c r="U4354" s="96">
        <f ca="1">IF(U4349&lt;U4353,U4351,U4352)</f>
        <v>129.89262316950982</v>
      </c>
      <c r="V4354" s="111"/>
      <c r="W4354" s="28"/>
      <c r="X4354" s="96" t="e">
        <f ca="1">IF(X4349&lt;X4353,X4351,X4352)</f>
        <v>#NUM!</v>
      </c>
      <c r="Y4354" s="111"/>
      <c r="Z4354" s="28"/>
      <c r="AA4354" s="96">
        <f ca="1">IF(AA4349&lt;AA4353,AA4351,AA4352)</f>
        <v>-233.15391839736168</v>
      </c>
      <c r="AB4354" s="111"/>
      <c r="AC4354" s="28"/>
      <c r="AD4354" s="96">
        <f ca="1">IF(AD4349&lt;AD4353,AD4351,AD4352)</f>
        <v>-106.57773126711137</v>
      </c>
      <c r="AE4354" s="111"/>
      <c r="AF4354" s="28"/>
      <c r="AG4354" s="96">
        <f ca="1">IF(AG4349&lt;AG4353,AG4351,AG4352)</f>
        <v>-71.559286839546331</v>
      </c>
      <c r="AH4354" s="111"/>
      <c r="AI4354" s="28"/>
      <c r="AJ4354" s="96">
        <f ca="1">IF(AJ4349&lt;AJ4353,AJ4351,AJ4352)</f>
        <v>-56.124758510320426</v>
      </c>
      <c r="AK4354" s="111"/>
      <c r="AL4354" s="28"/>
      <c r="AM4354" s="96">
        <f ca="1">IF(AM4349&lt;AM4353,AM4351,AM4352)</f>
        <v>-51.043379014647677</v>
      </c>
      <c r="AN4354" s="111"/>
      <c r="AO4354" s="28"/>
      <c r="AP4354" s="96">
        <f ca="1">IF(AP4349&lt;AP4353,AP4351,AP4352)</f>
        <v>-44.655754852191201</v>
      </c>
      <c r="AQ4354" s="111"/>
      <c r="AR4354" s="28"/>
      <c r="AS4354" s="96">
        <f ca="1">IF(AS4349&lt;AS4353,AS4351,AS4352)</f>
        <v>-63.582680291979123</v>
      </c>
      <c r="AT4354" s="111"/>
      <c r="AU4354" s="28"/>
    </row>
    <row r="4355" spans="15:47" x14ac:dyDescent="0.25">
      <c r="O4355" s="13" t="s">
        <v>143</v>
      </c>
      <c r="P4355" s="1"/>
      <c r="Q4355" s="1"/>
      <c r="R4355" s="113"/>
      <c r="S4355" s="106">
        <f ca="1">IF(R4348&lt;=0,Q_max,ABS(R$23-R4354))</f>
        <v>56.6290400903913</v>
      </c>
      <c r="T4355" s="7">
        <f>R4344</f>
        <v>141951.36277250454</v>
      </c>
      <c r="U4355" s="98"/>
      <c r="V4355" s="106">
        <f ca="1">IF(U4348&lt;=0,Q_max,ABS(U$23-U4354))</f>
        <v>118.29262316950982</v>
      </c>
      <c r="W4355" s="9">
        <f ca="1">U4344</f>
        <v>250900.22413597693</v>
      </c>
      <c r="X4355" s="98"/>
      <c r="Y4355" s="106">
        <f ca="1">IF(X4348&lt;=0,Q_max,ABS(X$23-X4354))</f>
        <v>236393</v>
      </c>
      <c r="Z4355" s="9">
        <f ca="1">X4344</f>
        <v>614362.48689598055</v>
      </c>
      <c r="AA4355" s="98"/>
      <c r="AB4355" s="106">
        <f ca="1">IF(AA4348&lt;=0,Q_max,ABS(AA$23-AA4354))</f>
        <v>236393</v>
      </c>
      <c r="AC4355" s="9">
        <f ca="1">AA4344</f>
        <v>1196621.3112664581</v>
      </c>
      <c r="AD4355" s="98"/>
      <c r="AE4355" s="106">
        <f ca="1">IF(AD4348&lt;=0,Q_max,ABS(AD$23-AD4354))</f>
        <v>236393</v>
      </c>
      <c r="AF4355" s="9">
        <f ca="1">AD4344</f>
        <v>2007558.3170981987</v>
      </c>
      <c r="AG4355" s="98"/>
      <c r="AH4355" s="106">
        <f ca="1">IF(AG4348&lt;=0,Q_max,ABS(AG$23-AG4354))</f>
        <v>236393</v>
      </c>
      <c r="AI4355" s="9">
        <f ca="1">AG4344</f>
        <v>2930086.0419477592</v>
      </c>
      <c r="AJ4355" s="98"/>
      <c r="AK4355" s="106">
        <f ca="1">IF(AJ4348&lt;=0,Q_max,ABS(AJ$23-AJ4354))</f>
        <v>236393</v>
      </c>
      <c r="AL4355" s="9">
        <f ca="1">AJ4344</f>
        <v>3910211.1816548267</v>
      </c>
      <c r="AM4355" s="98"/>
      <c r="AN4355" s="106">
        <f ca="1">IF(AM4348&lt;=0,Q_max,ABS(AM$23-AM4354))</f>
        <v>236393</v>
      </c>
      <c r="AO4355" s="9">
        <f ca="1">AM4344</f>
        <v>4771200.7379483907</v>
      </c>
      <c r="AP4355" s="98"/>
      <c r="AQ4355" s="106">
        <f ca="1">IF(AP4348&lt;=0,Q_max,ABS(AP$23-AP4354))</f>
        <v>236393</v>
      </c>
      <c r="AR4355" s="9">
        <f ca="1">AP4344</f>
        <v>5539215.9365965119</v>
      </c>
      <c r="AS4355" s="98"/>
      <c r="AT4355" s="106">
        <f ca="1">IF(AS4348&lt;=0,Q_max,ABS(AS$23-AS4354))</f>
        <v>236393</v>
      </c>
      <c r="AU4355" s="9">
        <f ca="1">AS4344</f>
        <v>6495166.3168740943</v>
      </c>
    </row>
    <row r="4356" spans="15:47" ht="13.8" x14ac:dyDescent="0.25">
      <c r="O4356" s="21"/>
      <c r="P4356" s="21"/>
      <c r="Q4356" s="21"/>
      <c r="R4356" s="114"/>
      <c r="S4356" s="117"/>
      <c r="T4356" s="25"/>
      <c r="U4356" s="97"/>
      <c r="V4356" s="111"/>
      <c r="W4356" s="28"/>
      <c r="X4356" s="97"/>
      <c r="Y4356" s="111"/>
      <c r="Z4356" s="28"/>
      <c r="AA4356" s="97"/>
      <c r="AB4356" s="111"/>
      <c r="AC4356" s="28"/>
      <c r="AD4356" s="97"/>
      <c r="AE4356" s="111"/>
      <c r="AF4356" s="28"/>
      <c r="AG4356" s="97"/>
      <c r="AH4356" s="111"/>
      <c r="AI4356" s="28"/>
      <c r="AJ4356" s="97"/>
      <c r="AK4356" s="111"/>
      <c r="AL4356" s="28"/>
      <c r="AM4356" s="97"/>
      <c r="AN4356" s="111"/>
      <c r="AO4356" s="28"/>
      <c r="AP4356" s="97"/>
      <c r="AQ4356" s="111"/>
      <c r="AR4356" s="28"/>
      <c r="AS4356" s="97"/>
      <c r="AT4356" s="111"/>
      <c r="AU4356" s="28"/>
    </row>
    <row r="4357" spans="15:47" x14ac:dyDescent="0.25">
      <c r="O4357" s="1"/>
      <c r="P4357" s="1"/>
      <c r="Q4357" s="1"/>
      <c r="R4357" s="98"/>
      <c r="S4357" s="108" t="s">
        <v>137</v>
      </c>
      <c r="T4357" s="26" t="s">
        <v>146</v>
      </c>
      <c r="U4357" s="98"/>
      <c r="V4357" s="108" t="s">
        <v>137</v>
      </c>
      <c r="W4357" s="26" t="s">
        <v>146</v>
      </c>
      <c r="X4357" s="98"/>
      <c r="Y4357" s="108" t="s">
        <v>137</v>
      </c>
      <c r="Z4357" s="26" t="s">
        <v>146</v>
      </c>
      <c r="AA4357" s="98"/>
      <c r="AB4357" s="108" t="s">
        <v>137</v>
      </c>
      <c r="AC4357" s="26" t="s">
        <v>146</v>
      </c>
      <c r="AD4357" s="98"/>
      <c r="AE4357" s="108" t="s">
        <v>137</v>
      </c>
      <c r="AF4357" s="26" t="s">
        <v>146</v>
      </c>
      <c r="AG4357" s="98"/>
      <c r="AH4357" s="108" t="s">
        <v>137</v>
      </c>
      <c r="AI4357" s="26" t="s">
        <v>146</v>
      </c>
      <c r="AJ4357" s="98"/>
      <c r="AK4357" s="108" t="s">
        <v>137</v>
      </c>
      <c r="AL4357" s="26" t="s">
        <v>146</v>
      </c>
      <c r="AM4357" s="98"/>
      <c r="AN4357" s="108" t="s">
        <v>137</v>
      </c>
      <c r="AO4357" s="26" t="s">
        <v>146</v>
      </c>
      <c r="AP4357" s="98"/>
      <c r="AQ4357" s="108" t="s">
        <v>137</v>
      </c>
      <c r="AR4357" s="26" t="s">
        <v>146</v>
      </c>
      <c r="AS4357" s="98"/>
      <c r="AT4357" s="108" t="s">
        <v>137</v>
      </c>
      <c r="AU4357" s="26" t="s">
        <v>146</v>
      </c>
    </row>
    <row r="4358" spans="15:47" ht="13.8" x14ac:dyDescent="0.25">
      <c r="O4358" s="20" t="s">
        <v>136</v>
      </c>
      <c r="P4358" s="1"/>
      <c r="Q4358" s="1"/>
      <c r="R4358" s="96">
        <f>R4344*1.02</f>
        <v>144790.39002795462</v>
      </c>
      <c r="S4358" s="109" t="s">
        <v>144</v>
      </c>
      <c r="T4358" s="23" t="s">
        <v>147</v>
      </c>
      <c r="U4358" s="96">
        <f ca="1">U4344*1.01</f>
        <v>253409.22637733669</v>
      </c>
      <c r="V4358" s="109" t="s">
        <v>144</v>
      </c>
      <c r="W4358" s="23" t="s">
        <v>147</v>
      </c>
      <c r="X4358" s="96">
        <f ca="1">X4344*1.01</f>
        <v>620506.11176494032</v>
      </c>
      <c r="Y4358" s="109" t="s">
        <v>144</v>
      </c>
      <c r="Z4358" s="23" t="s">
        <v>147</v>
      </c>
      <c r="AA4358" s="96">
        <f ca="1">AA4344*1.01</f>
        <v>1208587.5243791228</v>
      </c>
      <c r="AB4358" s="109" t="s">
        <v>144</v>
      </c>
      <c r="AC4358" s="23" t="s">
        <v>147</v>
      </c>
      <c r="AD4358" s="96">
        <f ca="1">AD4344*1.01</f>
        <v>2027633.9002691808</v>
      </c>
      <c r="AE4358" s="109" t="s">
        <v>144</v>
      </c>
      <c r="AF4358" s="23" t="s">
        <v>147</v>
      </c>
      <c r="AG4358" s="96">
        <f ca="1">AG4344*1.01</f>
        <v>2959386.902367237</v>
      </c>
      <c r="AH4358" s="109" t="s">
        <v>144</v>
      </c>
      <c r="AI4358" s="23" t="s">
        <v>147</v>
      </c>
      <c r="AJ4358" s="96">
        <f ca="1">AJ4344*1.01</f>
        <v>3949313.293471375</v>
      </c>
      <c r="AK4358" s="109" t="s">
        <v>144</v>
      </c>
      <c r="AL4358" s="23" t="s">
        <v>147</v>
      </c>
      <c r="AM4358" s="96">
        <f ca="1">AM4344*1.01</f>
        <v>4818912.745327875</v>
      </c>
      <c r="AN4358" s="109" t="s">
        <v>144</v>
      </c>
      <c r="AO4358" s="23" t="s">
        <v>147</v>
      </c>
      <c r="AP4358" s="96">
        <f ca="1">AP4344*1.01</f>
        <v>5594608.0959624769</v>
      </c>
      <c r="AQ4358" s="109" t="s">
        <v>144</v>
      </c>
      <c r="AR4358" s="23" t="s">
        <v>147</v>
      </c>
      <c r="AS4358" s="96">
        <f ca="1">AS4344*1.01</f>
        <v>6560117.9800428357</v>
      </c>
      <c r="AT4358" s="109" t="s">
        <v>144</v>
      </c>
      <c r="AU4358" s="23" t="s">
        <v>147</v>
      </c>
    </row>
    <row r="4359" spans="15:47" x14ac:dyDescent="0.25">
      <c r="O4359" s="1"/>
      <c r="P4359" s="1"/>
      <c r="Q4359" s="1"/>
      <c r="R4359" s="98"/>
      <c r="S4359" s="107"/>
      <c r="T4359" s="1"/>
      <c r="U4359" s="47"/>
      <c r="V4359" s="107"/>
      <c r="W4359" s="1"/>
      <c r="X4359" s="47"/>
      <c r="Y4359" s="107"/>
      <c r="Z4359" s="1"/>
      <c r="AA4359" s="47"/>
      <c r="AB4359" s="107"/>
      <c r="AC4359" s="1"/>
      <c r="AD4359" s="47"/>
      <c r="AE4359" s="107"/>
      <c r="AF4359" s="1"/>
      <c r="AG4359" s="47"/>
      <c r="AH4359" s="107"/>
      <c r="AI4359" s="1"/>
      <c r="AJ4359" s="47"/>
      <c r="AK4359" s="107"/>
      <c r="AL4359" s="1"/>
      <c r="AM4359" s="47"/>
      <c r="AN4359" s="107"/>
      <c r="AO4359" s="1"/>
      <c r="AP4359" s="47"/>
      <c r="AQ4359" s="107"/>
      <c r="AR4359" s="1"/>
      <c r="AS4359" s="47"/>
      <c r="AT4359" s="107"/>
      <c r="AU4359" s="1"/>
    </row>
    <row r="4360" spans="15:47" x14ac:dyDescent="0.25">
      <c r="O4360" s="8" t="s">
        <v>132</v>
      </c>
      <c r="P4360" s="8"/>
      <c r="Q4360" s="8"/>
      <c r="R4360" s="96">
        <f>P_1_minQ-(R4358^2*R_up)+dpup_minQ</f>
        <v>86.364075938680728</v>
      </c>
      <c r="S4360" s="106"/>
      <c r="T4360" s="22"/>
      <c r="U4360" s="96">
        <f ca="1">P_1_minQ-(U4358^2*R_up)+dpup_minQ</f>
        <v>78.480930840592691</v>
      </c>
      <c r="V4360" s="107"/>
      <c r="W4360" s="1"/>
      <c r="X4360" s="96">
        <f ca="1">P_1_minQ-(X4358^2*R_up)+dpup_minQ</f>
        <v>20.009516533189696</v>
      </c>
      <c r="Y4360" s="107"/>
      <c r="Z4360" s="1"/>
      <c r="AA4360" s="96">
        <f ca="1">P_1_minQ-(AA4358^2*R_up)+dpup_minQ</f>
        <v>-176.04052057892505</v>
      </c>
      <c r="AB4360" s="107"/>
      <c r="AC4360" s="1"/>
      <c r="AD4360" s="96">
        <f ca="1">P_1_minQ-(AD4358^2*R_up)+dpup_minQ</f>
        <v>-659.14410399159078</v>
      </c>
      <c r="AE4360" s="107"/>
      <c r="AF4360" s="1"/>
      <c r="AG4360" s="96">
        <f ca="1">P_1_minQ-(AG4358^2*R_up)+dpup_minQ</f>
        <v>-1506.0507046584746</v>
      </c>
      <c r="AH4360" s="107"/>
      <c r="AI4360" s="1"/>
      <c r="AJ4360" s="96">
        <f ca="1">P_1_minQ-(AJ4358^2*R_up)+dpup_minQ</f>
        <v>-2752.5521503474597</v>
      </c>
      <c r="AK4360" s="107"/>
      <c r="AL4360" s="1"/>
      <c r="AM4360" s="96">
        <f ca="1">P_1_minQ-(AM4358^2*R_up)+dpup_minQ</f>
        <v>-4142.263267090033</v>
      </c>
      <c r="AN4360" s="107"/>
      <c r="AO4360" s="1"/>
      <c r="AP4360" s="96">
        <f ca="1">P_1_minQ-(AP4358^2*R_up)+dpup_minQ</f>
        <v>-5614.5158200983469</v>
      </c>
      <c r="AQ4360" s="107"/>
      <c r="AR4360" s="1"/>
      <c r="AS4360" s="96">
        <f ca="1">P_1_minQ-(AS4358^2*R_up)+dpup_minQ</f>
        <v>-7753.440231599373</v>
      </c>
      <c r="AT4360" s="107"/>
      <c r="AU4360" s="1"/>
    </row>
    <row r="4361" spans="15:47" x14ac:dyDescent="0.25">
      <c r="O4361" s="8" t="s">
        <v>134</v>
      </c>
      <c r="P4361" s="1"/>
      <c r="Q4361" s="8"/>
      <c r="R4361" s="97">
        <f>P_2_minQ+(R4358^2*R_dn)-dpdn_minQ</f>
        <v>60</v>
      </c>
      <c r="S4361" s="106"/>
      <c r="T4361" s="22"/>
      <c r="U4361" s="97">
        <f ca="1">P_2_minQ+(U4358^2*R_dn)-dpdn_minQ</f>
        <v>60</v>
      </c>
      <c r="V4361" s="107"/>
      <c r="W4361" s="1"/>
      <c r="X4361" s="97">
        <f ca="1">P_2_minQ+(X4358^2*R_dn)-dpdn_minQ</f>
        <v>60</v>
      </c>
      <c r="Y4361" s="107"/>
      <c r="Z4361" s="1"/>
      <c r="AA4361" s="97">
        <f ca="1">P_2_minQ+(AA4358^2*R_dn)-dpdn_minQ</f>
        <v>60</v>
      </c>
      <c r="AB4361" s="107"/>
      <c r="AC4361" s="1"/>
      <c r="AD4361" s="97">
        <f ca="1">P_2_minQ+(AD4358^2*R_dn)-dpdn_minQ</f>
        <v>60</v>
      </c>
      <c r="AE4361" s="107"/>
      <c r="AF4361" s="1"/>
      <c r="AG4361" s="97">
        <f ca="1">P_2_minQ+(AG4358^2*R_dn)-dpdn_minQ</f>
        <v>60</v>
      </c>
      <c r="AH4361" s="107"/>
      <c r="AI4361" s="1"/>
      <c r="AJ4361" s="97">
        <f ca="1">P_2_minQ+(AJ4358^2*R_dn)-dpdn_minQ</f>
        <v>60</v>
      </c>
      <c r="AK4361" s="107"/>
      <c r="AL4361" s="1"/>
      <c r="AM4361" s="97">
        <f ca="1">P_2_minQ+(AM4358^2*R_dn)-dpdn_minQ</f>
        <v>60</v>
      </c>
      <c r="AN4361" s="107"/>
      <c r="AO4361" s="1"/>
      <c r="AP4361" s="97">
        <f ca="1">P_2_minQ+(AP4358^2*R_dn)-dpdn_minQ</f>
        <v>60</v>
      </c>
      <c r="AQ4361" s="107"/>
      <c r="AR4361" s="1"/>
      <c r="AS4361" s="97">
        <f ca="1">P_2_minQ+(AS4358^2*R_dn)-dpdn_minQ</f>
        <v>60</v>
      </c>
      <c r="AT4361" s="107"/>
      <c r="AU4361" s="1"/>
    </row>
    <row r="4362" spans="15:47" x14ac:dyDescent="0.25">
      <c r="O4362" s="8" t="s">
        <v>138</v>
      </c>
      <c r="P4362" s="1"/>
      <c r="Q4362" s="8"/>
      <c r="R4362" s="97">
        <f>R4360-R4361</f>
        <v>26.364075938680728</v>
      </c>
      <c r="S4362" s="106"/>
      <c r="T4362" s="22"/>
      <c r="U4362" s="97">
        <f ca="1">U4360-U4361</f>
        <v>18.480930840592691</v>
      </c>
      <c r="V4362" s="110"/>
      <c r="W4362" s="25"/>
      <c r="X4362" s="97">
        <f ca="1">X4360-X4361</f>
        <v>-39.990483466810304</v>
      </c>
      <c r="Y4362" s="110"/>
      <c r="Z4362" s="25"/>
      <c r="AA4362" s="97">
        <f ca="1">AA4360-AA4361</f>
        <v>-236.04052057892505</v>
      </c>
      <c r="AB4362" s="110"/>
      <c r="AC4362" s="25"/>
      <c r="AD4362" s="97">
        <f ca="1">AD4360-AD4361</f>
        <v>-719.14410399159078</v>
      </c>
      <c r="AE4362" s="110"/>
      <c r="AF4362" s="25"/>
      <c r="AG4362" s="97">
        <f ca="1">AG4360-AG4361</f>
        <v>-1566.0507046584746</v>
      </c>
      <c r="AH4362" s="110"/>
      <c r="AI4362" s="25"/>
      <c r="AJ4362" s="97">
        <f ca="1">AJ4360-AJ4361</f>
        <v>-2812.5521503474597</v>
      </c>
      <c r="AK4362" s="110"/>
      <c r="AL4362" s="25"/>
      <c r="AM4362" s="97">
        <f ca="1">AM4360-AM4361</f>
        <v>-4202.263267090033</v>
      </c>
      <c r="AN4362" s="110"/>
      <c r="AO4362" s="25"/>
      <c r="AP4362" s="97">
        <f ca="1">AP4360-AP4361</f>
        <v>-5674.5158200983469</v>
      </c>
      <c r="AQ4362" s="110"/>
      <c r="AR4362" s="25"/>
      <c r="AS4362" s="97">
        <f ca="1">AS4360-AS4361</f>
        <v>-7813.440231599373</v>
      </c>
      <c r="AT4362" s="110"/>
      <c r="AU4362" s="25"/>
    </row>
    <row r="4363" spans="15:47" ht="14.4" x14ac:dyDescent="0.3">
      <c r="O4363" s="2" t="s">
        <v>140</v>
      </c>
      <c r="P4363" s="11"/>
      <c r="Q4363" s="2"/>
      <c r="R4363" s="96">
        <f>R4362/R4360</f>
        <v>0.30526669395964429</v>
      </c>
      <c r="S4363" s="106"/>
      <c r="T4363" s="22"/>
      <c r="U4363" s="96">
        <f ca="1">U4362/U4360</f>
        <v>0.2354830739473569</v>
      </c>
      <c r="V4363" s="111"/>
      <c r="W4363" s="28"/>
      <c r="X4363" s="96">
        <f ca="1">X4362/X4360</f>
        <v>-1.9985731989315316</v>
      </c>
      <c r="Y4363" s="111"/>
      <c r="Z4363" s="28"/>
      <c r="AA4363" s="96">
        <f ca="1">AA4362/AA4360</f>
        <v>1.3408306212835808</v>
      </c>
      <c r="AB4363" s="111"/>
      <c r="AC4363" s="28"/>
      <c r="AD4363" s="96">
        <f ca="1">AD4362/AD4360</f>
        <v>1.0910271360035795</v>
      </c>
      <c r="AE4363" s="111"/>
      <c r="AF4363" s="28"/>
      <c r="AG4363" s="96">
        <f ca="1">AG4362/AG4360</f>
        <v>1.0398392961235698</v>
      </c>
      <c r="AH4363" s="111"/>
      <c r="AI4363" s="28"/>
      <c r="AJ4363" s="96">
        <f ca="1">AJ4362/AJ4360</f>
        <v>1.0217979521268747</v>
      </c>
      <c r="AK4363" s="111"/>
      <c r="AL4363" s="28"/>
      <c r="AM4363" s="96">
        <f ca="1">AM4362/AM4360</f>
        <v>1.0144848350119837</v>
      </c>
      <c r="AN4363" s="111"/>
      <c r="AO4363" s="28"/>
      <c r="AP4363" s="96">
        <f ca="1">AP4362/AP4360</f>
        <v>1.0106865849028721</v>
      </c>
      <c r="AQ4363" s="111"/>
      <c r="AR4363" s="28"/>
      <c r="AS4363" s="96">
        <f ca="1">AS4362/AS4360</f>
        <v>1.007738500356973</v>
      </c>
      <c r="AT4363" s="111"/>
      <c r="AU4363" s="28"/>
    </row>
    <row r="4364" spans="15:47" x14ac:dyDescent="0.25">
      <c r="O4364" s="2" t="s">
        <v>21</v>
      </c>
      <c r="P4364" s="8">
        <v>12</v>
      </c>
      <c r="Q4364" s="2"/>
      <c r="R4364" s="96">
        <f ca="1">1-R4363/(3*F_GAMMA*R$29)</f>
        <v>0.8410143075415154</v>
      </c>
      <c r="S4364" s="106"/>
      <c r="T4364" s="22"/>
      <c r="U4364" s="96">
        <f ca="1">1-U4363/(3*F_GAMMA*U$29)</f>
        <v>0.87738674804068262</v>
      </c>
      <c r="V4364" s="111"/>
      <c r="W4364" s="28"/>
      <c r="X4364" s="96">
        <f ca="1">1-X4363/(3*F_GAMMA*X$29)</f>
        <v>2.050544663460419</v>
      </c>
      <c r="Y4364" s="111"/>
      <c r="Z4364" s="28"/>
      <c r="AA4364" s="96">
        <f ca="1">1-AA4363/(3*F_GAMMA*AA$29)</f>
        <v>0.28526099039325037</v>
      </c>
      <c r="AB4364" s="111"/>
      <c r="AC4364" s="28"/>
      <c r="AD4364" s="96">
        <f ca="1">1-AD4363/(3*F_GAMMA*AD$29)</f>
        <v>0.40038324788681645</v>
      </c>
      <c r="AE4364" s="111"/>
      <c r="AF4364" s="28"/>
      <c r="AG4364" s="96">
        <f ca="1">1-AG4363/(3*F_GAMMA*AG$29)</f>
        <v>0.39422293413008702</v>
      </c>
      <c r="AH4364" s="111"/>
      <c r="AI4364" s="28"/>
      <c r="AJ4364" s="96">
        <f ca="1">1-AJ4363/(3*F_GAMMA*AJ$29)</f>
        <v>0.3595744669256854</v>
      </c>
      <c r="AK4364" s="111"/>
      <c r="AL4364" s="28"/>
      <c r="AM4364" s="96">
        <f ca="1">1-AM4363/(3*F_GAMMA*AM$29)</f>
        <v>0.28907629784995814</v>
      </c>
      <c r="AN4364" s="111"/>
      <c r="AO4364" s="28"/>
      <c r="AP4364" s="96">
        <f ca="1">1-AP4363/(3*F_GAMMA*AP$29)</f>
        <v>0.42951429976279087</v>
      </c>
      <c r="AQ4364" s="111"/>
      <c r="AR4364" s="28"/>
      <c r="AS4364" s="96">
        <f ca="1">1-AS4363/(3*F_GAMMA*AS$29)</f>
        <v>0.10825115289723408</v>
      </c>
      <c r="AT4364" s="111"/>
      <c r="AU4364" s="28"/>
    </row>
    <row r="4365" spans="15:47" x14ac:dyDescent="0.25">
      <c r="O4365" s="2" t="s">
        <v>57</v>
      </c>
      <c r="P4365" s="143">
        <v>7</v>
      </c>
      <c r="Q4365" s="2"/>
      <c r="R4365" s="96">
        <f ca="1">(R4358/(N_9*R$27*R4360*R4364))*SQRT(M*'Valve Sizing'!$W$6*'Valve Sizing'!$G$8/R4363)</f>
        <v>62.769626690863788</v>
      </c>
      <c r="S4365" s="107"/>
      <c r="T4365" s="22"/>
      <c r="U4365" s="96">
        <f ca="1">(U4358/(N_9*U$27*U4360*U4364))*SQRT(M*'Valve Sizing'!$W$6*'Valve Sizing'!$G$8/U4363)</f>
        <v>132.02563256526199</v>
      </c>
      <c r="V4365" s="111"/>
      <c r="W4365" s="28"/>
      <c r="X4365" s="96" t="e">
        <f ca="1">(X4358/(N_9*X$27*X4360*X4364))*SQRT(M*'Valve Sizing'!$W$6*'Valve Sizing'!$G$8/X4363)</f>
        <v>#NUM!</v>
      </c>
      <c r="Y4365" s="111"/>
      <c r="Z4365" s="28"/>
      <c r="AA4365" s="96">
        <f ca="1">(AA4358/(N_9*AA$27*AA4360*AA4364))*SQRT(M*'Valve Sizing'!$W$6*'Valve Sizing'!$G$8/AA4363)</f>
        <v>-364.81714007162918</v>
      </c>
      <c r="AB4365" s="111"/>
      <c r="AC4365" s="28"/>
      <c r="AD4365" s="96">
        <f ca="1">(AD4358/(N_9*AD$27*AD4360*AD4364))*SQRT(M*'Valve Sizing'!$W$6*'Valve Sizing'!$G$8/AD4363)</f>
        <v>-130.70780561382588</v>
      </c>
      <c r="AE4365" s="111"/>
      <c r="AF4365" s="28"/>
      <c r="AG4365" s="96">
        <f ca="1">(AG4358/(N_9*AG$27*AG4360*AG4364))*SQRT(M*'Valve Sizing'!$W$6*'Valve Sizing'!$G$8/AG4363)</f>
        <v>-88.815444685829576</v>
      </c>
      <c r="AH4365" s="111"/>
      <c r="AI4365" s="28"/>
      <c r="AJ4365" s="96">
        <f ca="1">(AJ4358/(N_9*AJ$27*AJ4360*AJ4364))*SQRT(M*'Valve Sizing'!$W$6*'Valve Sizing'!$G$8/AJ4363)</f>
        <v>-74.317150717534389</v>
      </c>
      <c r="AK4365" s="111"/>
      <c r="AL4365" s="28"/>
      <c r="AM4365" s="96">
        <f ca="1">(AM4358/(N_9*AM$27*AM4360*AM4364))*SQRT(M*'Valve Sizing'!$W$6*'Valve Sizing'!$G$8/AM4363)</f>
        <v>-79.812179848927798</v>
      </c>
      <c r="AN4365" s="111"/>
      <c r="AO4365" s="28"/>
      <c r="AP4365" s="96">
        <f ca="1">(AP4358/(N_9*AP$27*AP4360*AP4364))*SQRT(M*'Valve Sizing'!$W$6*'Valve Sizing'!$G$8/AP4363)</f>
        <v>-52.466370136064199</v>
      </c>
      <c r="AQ4365" s="111"/>
      <c r="AR4365" s="28"/>
      <c r="AS4365" s="96">
        <f ca="1">(AS4358/(N_9*AS$27*AS4360*AS4364))*SQRT(M*'Valve Sizing'!$W$6*'Valve Sizing'!$G$8/AS4363)</f>
        <v>-237.09768171721686</v>
      </c>
      <c r="AT4365" s="111"/>
      <c r="AU4365" s="28"/>
    </row>
    <row r="4366" spans="15:47" x14ac:dyDescent="0.25">
      <c r="O4366" s="2" t="s">
        <v>59</v>
      </c>
      <c r="P4366" s="143">
        <v>7</v>
      </c>
      <c r="Q4366" s="2"/>
      <c r="R4366" s="96">
        <f ca="1">(R4358/(N_9*R$27*R4360*0.667))*SQRT(M*'Valve Sizing'!$W$6*'Valve Sizing'!$G$8/R4367)</f>
        <v>54.659637204454597</v>
      </c>
      <c r="S4366" s="107"/>
      <c r="T4366" s="22"/>
      <c r="U4366" s="96">
        <f ca="1">(U4358/(N_9*U$27*U4360*0.667))*SQRT(M*'Valve Sizing'!$W$6*'Valve Sizing'!$G$8/U4367)</f>
        <v>105.33018003065321</v>
      </c>
      <c r="V4366" s="111"/>
      <c r="W4366" s="28"/>
      <c r="X4366" s="96">
        <f ca="1">(X4358/(N_9*X$27*X4360*0.667))*SQRT(M*'Valve Sizing'!$W$6*'Valve Sizing'!$G$8/X4367)</f>
        <v>1018.7344451928861</v>
      </c>
      <c r="Y4366" s="111"/>
      <c r="Z4366" s="28"/>
      <c r="AA4366" s="96">
        <f ca="1">(AA4358/(N_9*AA$27*AA4360*0.667))*SQRT(M*'Valve Sizing'!$W$6*'Valve Sizing'!$G$8/AA4367)</f>
        <v>-228.46840858245363</v>
      </c>
      <c r="AB4366" s="111"/>
      <c r="AC4366" s="28"/>
      <c r="AD4366" s="96">
        <f ca="1">(AD4358/(N_9*AD$27*AD4360*0.667))*SQRT(M*'Valve Sizing'!$W$6*'Valve Sizing'!$G$8/AD4367)</f>
        <v>-105.23230762182125</v>
      </c>
      <c r="AE4366" s="111"/>
      <c r="AF4366" s="28"/>
      <c r="AG4366" s="96">
        <f ca="1">(AG4358/(N_9*AG$27*AG4360*0.667))*SQRT(M*'Valve Sizing'!$W$6*'Valve Sizing'!$G$8/AG4367)</f>
        <v>-70.765501325507984</v>
      </c>
      <c r="AH4366" s="111"/>
      <c r="AI4366" s="28"/>
      <c r="AJ4366" s="96">
        <f ca="1">(AJ4358/(N_9*AJ$27*AJ4360*0.667))*SQRT(M*'Valve Sizing'!$W$6*'Valve Sizing'!$G$8/AJ4367)</f>
        <v>-55.532472295547485</v>
      </c>
      <c r="AK4366" s="111"/>
      <c r="AL4366" s="28"/>
      <c r="AM4366" s="96">
        <f ca="1">(AM4358/(N_9*AM$27*AM4360*0.667))*SQRT(M*'Valve Sizing'!$W$6*'Valve Sizing'!$G$8/AM4367)</f>
        <v>-50.515882804103597</v>
      </c>
      <c r="AN4366" s="111"/>
      <c r="AO4366" s="28"/>
      <c r="AP4366" s="96">
        <f ca="1">(AP4358/(N_9*AP$27*AP4360*0.667))*SQRT(M*'Valve Sizing'!$W$6*'Valve Sizing'!$G$8/AP4367)</f>
        <v>-44.199343724811833</v>
      </c>
      <c r="AQ4366" s="111"/>
      <c r="AR4366" s="28"/>
      <c r="AS4366" s="96">
        <f ca="1">(AS4358/(N_9*AS$27*AS4360*0.667))*SQRT(M*'Valve Sizing'!$W$6*'Valve Sizing'!$G$8/AS4367)</f>
        <v>-62.938430642021046</v>
      </c>
      <c r="AT4366" s="111"/>
      <c r="AU4366" s="28"/>
    </row>
    <row r="4367" spans="15:47" ht="15.6" x14ac:dyDescent="0.35">
      <c r="O4367" s="2" t="s">
        <v>68</v>
      </c>
      <c r="P4367" s="143">
        <v>10</v>
      </c>
      <c r="Q4367" s="2"/>
      <c r="R4367" s="96">
        <f ca="1">F_GAMMA*R$29</f>
        <v>0.64002969751372984</v>
      </c>
      <c r="S4367" s="107"/>
      <c r="T4367" s="1"/>
      <c r="U4367" s="96">
        <f ca="1">F_GAMMA*U$29</f>
        <v>0.64017842058782071</v>
      </c>
      <c r="V4367" s="111"/>
      <c r="W4367" s="28"/>
      <c r="X4367" s="96">
        <f ca="1">F_GAMMA*X$29</f>
        <v>0.63413873724904268</v>
      </c>
      <c r="Y4367" s="111"/>
      <c r="Z4367" s="28"/>
      <c r="AA4367" s="96">
        <f ca="1">F_GAMMA*AA$29</f>
        <v>0.62532411750377137</v>
      </c>
      <c r="AB4367" s="111"/>
      <c r="AC4367" s="28"/>
      <c r="AD4367" s="96">
        <f ca="1">F_GAMMA*AD$29</f>
        <v>0.60651359509139569</v>
      </c>
      <c r="AE4367" s="111"/>
      <c r="AF4367" s="28"/>
      <c r="AG4367" s="96">
        <f ca="1">F_GAMMA*AG$29</f>
        <v>0.57217930198481592</v>
      </c>
      <c r="AH4367" s="111"/>
      <c r="AI4367" s="28"/>
      <c r="AJ4367" s="96">
        <f ca="1">F_GAMMA*AJ$29</f>
        <v>0.53183282018848232</v>
      </c>
      <c r="AK4367" s="111"/>
      <c r="AL4367" s="28"/>
      <c r="AM4367" s="96">
        <f ca="1">F_GAMMA*AM$29</f>
        <v>0.47566512503094399</v>
      </c>
      <c r="AN4367" s="111"/>
      <c r="AO4367" s="28"/>
      <c r="AP4367" s="96">
        <f ca="1">F_GAMMA*AP$29</f>
        <v>0.59054158265645496</v>
      </c>
      <c r="AQ4367" s="111"/>
      <c r="AR4367" s="28"/>
      <c r="AS4367" s="96">
        <f ca="1">F_GAMMA*AS$29</f>
        <v>0.3766899554102966</v>
      </c>
      <c r="AT4367" s="111"/>
      <c r="AU4367" s="28"/>
    </row>
    <row r="4368" spans="15:47" x14ac:dyDescent="0.25">
      <c r="O4368" s="2" t="s">
        <v>145</v>
      </c>
      <c r="P4368" s="12"/>
      <c r="Q4368" s="2"/>
      <c r="R4368" s="96">
        <f ca="1">IF(R4363&lt;R4367,R4365,R4366)</f>
        <v>62.769626690863788</v>
      </c>
      <c r="S4368" s="116"/>
      <c r="T4368" s="1"/>
      <c r="U4368" s="96">
        <f ca="1">IF(U4363&lt;U4367,U4365,U4366)</f>
        <v>132.02563256526199</v>
      </c>
      <c r="V4368" s="111"/>
      <c r="W4368" s="28"/>
      <c r="X4368" s="96" t="e">
        <f ca="1">IF(X4363&lt;X4367,X4365,X4366)</f>
        <v>#NUM!</v>
      </c>
      <c r="Y4368" s="111"/>
      <c r="Z4368" s="28"/>
      <c r="AA4368" s="96">
        <f ca="1">IF(AA4363&lt;AA4367,AA4365,AA4366)</f>
        <v>-228.46840858245363</v>
      </c>
      <c r="AB4368" s="111"/>
      <c r="AC4368" s="28"/>
      <c r="AD4368" s="96">
        <f ca="1">IF(AD4363&lt;AD4367,AD4365,AD4366)</f>
        <v>-105.23230762182125</v>
      </c>
      <c r="AE4368" s="111"/>
      <c r="AF4368" s="28"/>
      <c r="AG4368" s="96">
        <f ca="1">IF(AG4363&lt;AG4367,AG4365,AG4366)</f>
        <v>-70.765501325507984</v>
      </c>
      <c r="AH4368" s="111"/>
      <c r="AI4368" s="28"/>
      <c r="AJ4368" s="96">
        <f ca="1">IF(AJ4363&lt;AJ4367,AJ4365,AJ4366)</f>
        <v>-55.532472295547485</v>
      </c>
      <c r="AK4368" s="111"/>
      <c r="AL4368" s="28"/>
      <c r="AM4368" s="96">
        <f ca="1">IF(AM4363&lt;AM4367,AM4365,AM4366)</f>
        <v>-50.515882804103597</v>
      </c>
      <c r="AN4368" s="111"/>
      <c r="AO4368" s="28"/>
      <c r="AP4368" s="96">
        <f ca="1">IF(AP4363&lt;AP4367,AP4365,AP4366)</f>
        <v>-44.199343724811833</v>
      </c>
      <c r="AQ4368" s="111"/>
      <c r="AR4368" s="28"/>
      <c r="AS4368" s="96">
        <f ca="1">IF(AS4363&lt;AS4367,AS4365,AS4366)</f>
        <v>-62.938430642021046</v>
      </c>
      <c r="AT4368" s="111"/>
      <c r="AU4368" s="28"/>
    </row>
    <row r="4369" spans="15:47" x14ac:dyDescent="0.25">
      <c r="O4369" s="13" t="s">
        <v>143</v>
      </c>
      <c r="P4369" s="1"/>
      <c r="Q4369" s="1"/>
      <c r="R4369" s="113"/>
      <c r="S4369" s="106">
        <f ca="1">IF(R4362&lt;=0,Q_max,ABS(R$23-R4368))</f>
        <v>58.039626690863784</v>
      </c>
      <c r="T4369" s="7">
        <f>R4358</f>
        <v>144790.39002795462</v>
      </c>
      <c r="U4369" s="98"/>
      <c r="V4369" s="106">
        <f ca="1">IF(U4362&lt;=0,Q_max,ABS(U$23-U4368))</f>
        <v>120.42563256526199</v>
      </c>
      <c r="W4369" s="9">
        <f ca="1">U4358</f>
        <v>253409.22637733669</v>
      </c>
      <c r="X4369" s="98"/>
      <c r="Y4369" s="106">
        <f ca="1">IF(X4362&lt;=0,Q_max,ABS(X$23-X4368))</f>
        <v>236393</v>
      </c>
      <c r="Z4369" s="9">
        <f ca="1">X4358</f>
        <v>620506.11176494032</v>
      </c>
      <c r="AA4369" s="98"/>
      <c r="AB4369" s="106">
        <f ca="1">IF(AA4362&lt;=0,Q_max,ABS(AA$23-AA4368))</f>
        <v>236393</v>
      </c>
      <c r="AC4369" s="9">
        <f ca="1">AA4358</f>
        <v>1208587.5243791228</v>
      </c>
      <c r="AD4369" s="98"/>
      <c r="AE4369" s="106">
        <f ca="1">IF(AD4362&lt;=0,Q_max,ABS(AD$23-AD4368))</f>
        <v>236393</v>
      </c>
      <c r="AF4369" s="9">
        <f ca="1">AD4358</f>
        <v>2027633.9002691808</v>
      </c>
      <c r="AG4369" s="98"/>
      <c r="AH4369" s="106">
        <f ca="1">IF(AG4362&lt;=0,Q_max,ABS(AG$23-AG4368))</f>
        <v>236393</v>
      </c>
      <c r="AI4369" s="9">
        <f ca="1">AG4358</f>
        <v>2959386.902367237</v>
      </c>
      <c r="AJ4369" s="98"/>
      <c r="AK4369" s="106">
        <f ca="1">IF(AJ4362&lt;=0,Q_max,ABS(AJ$23-AJ4368))</f>
        <v>236393</v>
      </c>
      <c r="AL4369" s="9">
        <f ca="1">AJ4358</f>
        <v>3949313.293471375</v>
      </c>
      <c r="AM4369" s="98"/>
      <c r="AN4369" s="106">
        <f ca="1">IF(AM4362&lt;=0,Q_max,ABS(AM$23-AM4368))</f>
        <v>236393</v>
      </c>
      <c r="AO4369" s="9">
        <f ca="1">AM4358</f>
        <v>4818912.745327875</v>
      </c>
      <c r="AP4369" s="98"/>
      <c r="AQ4369" s="106">
        <f ca="1">IF(AP4362&lt;=0,Q_max,ABS(AP$23-AP4368))</f>
        <v>236393</v>
      </c>
      <c r="AR4369" s="9">
        <f ca="1">AP4358</f>
        <v>5594608.0959624769</v>
      </c>
      <c r="AS4369" s="98"/>
      <c r="AT4369" s="106">
        <f ca="1">IF(AS4362&lt;=0,Q_max,ABS(AS$23-AS4368))</f>
        <v>236393</v>
      </c>
      <c r="AU4369" s="9">
        <f ca="1">AS4358</f>
        <v>6560117.9800428357</v>
      </c>
    </row>
    <row r="4370" spans="15:47" x14ac:dyDescent="0.25">
      <c r="O4370" s="21"/>
      <c r="P4370" s="14"/>
      <c r="Q4370" s="21"/>
      <c r="R4370" s="97"/>
      <c r="S4370" s="106"/>
      <c r="T4370" s="28"/>
      <c r="U4370" s="97"/>
      <c r="V4370" s="111"/>
      <c r="W4370" s="28"/>
      <c r="X4370" s="97"/>
      <c r="Y4370" s="111"/>
      <c r="Z4370" s="28"/>
      <c r="AA4370" s="97"/>
      <c r="AB4370" s="111"/>
      <c r="AC4370" s="28"/>
      <c r="AD4370" s="97"/>
      <c r="AE4370" s="111"/>
      <c r="AF4370" s="28"/>
      <c r="AG4370" s="97"/>
      <c r="AH4370" s="111"/>
      <c r="AI4370" s="28"/>
      <c r="AJ4370" s="97"/>
      <c r="AK4370" s="111"/>
      <c r="AL4370" s="28"/>
      <c r="AM4370" s="97"/>
      <c r="AN4370" s="111"/>
      <c r="AO4370" s="28"/>
      <c r="AP4370" s="97"/>
      <c r="AQ4370" s="111"/>
      <c r="AR4370" s="28"/>
      <c r="AS4370" s="97"/>
      <c r="AT4370" s="111"/>
      <c r="AU4370" s="28"/>
    </row>
    <row r="4371" spans="15:47" x14ac:dyDescent="0.25">
      <c r="O4371" s="1"/>
      <c r="P4371" s="1"/>
      <c r="Q4371" s="1"/>
      <c r="R4371" s="98"/>
      <c r="S4371" s="108" t="s">
        <v>137</v>
      </c>
      <c r="T4371" s="26" t="s">
        <v>146</v>
      </c>
      <c r="U4371" s="98"/>
      <c r="V4371" s="108" t="s">
        <v>137</v>
      </c>
      <c r="W4371" s="26" t="s">
        <v>146</v>
      </c>
      <c r="X4371" s="98"/>
      <c r="Y4371" s="108" t="s">
        <v>137</v>
      </c>
      <c r="Z4371" s="26" t="s">
        <v>146</v>
      </c>
      <c r="AA4371" s="98"/>
      <c r="AB4371" s="108" t="s">
        <v>137</v>
      </c>
      <c r="AC4371" s="26" t="s">
        <v>146</v>
      </c>
      <c r="AD4371" s="98"/>
      <c r="AE4371" s="108" t="s">
        <v>137</v>
      </c>
      <c r="AF4371" s="26" t="s">
        <v>146</v>
      </c>
      <c r="AG4371" s="98"/>
      <c r="AH4371" s="108" t="s">
        <v>137</v>
      </c>
      <c r="AI4371" s="26" t="s">
        <v>146</v>
      </c>
      <c r="AJ4371" s="98"/>
      <c r="AK4371" s="108" t="s">
        <v>137</v>
      </c>
      <c r="AL4371" s="26" t="s">
        <v>146</v>
      </c>
      <c r="AM4371" s="98"/>
      <c r="AN4371" s="108" t="s">
        <v>137</v>
      </c>
      <c r="AO4371" s="26" t="s">
        <v>146</v>
      </c>
      <c r="AP4371" s="98"/>
      <c r="AQ4371" s="108" t="s">
        <v>137</v>
      </c>
      <c r="AR4371" s="26" t="s">
        <v>146</v>
      </c>
      <c r="AS4371" s="98"/>
      <c r="AT4371" s="108" t="s">
        <v>137</v>
      </c>
      <c r="AU4371" s="26" t="s">
        <v>146</v>
      </c>
    </row>
    <row r="4372" spans="15:47" ht="13.8" x14ac:dyDescent="0.25">
      <c r="O4372" s="20" t="s">
        <v>136</v>
      </c>
      <c r="P4372" s="1"/>
      <c r="Q4372" s="1"/>
      <c r="R4372" s="96">
        <f>R4358*1.02</f>
        <v>147686.19782851372</v>
      </c>
      <c r="S4372" s="109" t="s">
        <v>144</v>
      </c>
      <c r="T4372" s="23" t="s">
        <v>147</v>
      </c>
      <c r="U4372" s="96">
        <f ca="1">U4358*1.01</f>
        <v>255943.31864111006</v>
      </c>
      <c r="V4372" s="109" t="s">
        <v>144</v>
      </c>
      <c r="W4372" s="23" t="s">
        <v>147</v>
      </c>
      <c r="X4372" s="96">
        <f ca="1">X4358*1.01</f>
        <v>626711.17288258974</v>
      </c>
      <c r="Y4372" s="109" t="s">
        <v>144</v>
      </c>
      <c r="Z4372" s="23" t="s">
        <v>147</v>
      </c>
      <c r="AA4372" s="96">
        <f ca="1">AA4358*1.01</f>
        <v>1220673.3996229139</v>
      </c>
      <c r="AB4372" s="109" t="s">
        <v>144</v>
      </c>
      <c r="AC4372" s="23" t="s">
        <v>147</v>
      </c>
      <c r="AD4372" s="96">
        <f ca="1">AD4358*1.01</f>
        <v>2047910.2392718727</v>
      </c>
      <c r="AE4372" s="109" t="s">
        <v>144</v>
      </c>
      <c r="AF4372" s="23" t="s">
        <v>147</v>
      </c>
      <c r="AG4372" s="96">
        <f ca="1">AG4358*1.01</f>
        <v>2988980.7713909093</v>
      </c>
      <c r="AH4372" s="109" t="s">
        <v>144</v>
      </c>
      <c r="AI4372" s="23" t="s">
        <v>147</v>
      </c>
      <c r="AJ4372" s="96">
        <f ca="1">AJ4358*1.01</f>
        <v>3988806.4264060888</v>
      </c>
      <c r="AK4372" s="109" t="s">
        <v>144</v>
      </c>
      <c r="AL4372" s="23" t="s">
        <v>147</v>
      </c>
      <c r="AM4372" s="96">
        <f ca="1">AM4358*1.01</f>
        <v>4867101.8727811538</v>
      </c>
      <c r="AN4372" s="109" t="s">
        <v>144</v>
      </c>
      <c r="AO4372" s="23" t="s">
        <v>147</v>
      </c>
      <c r="AP4372" s="96">
        <f ca="1">AP4358*1.01</f>
        <v>5650554.1769221015</v>
      </c>
      <c r="AQ4372" s="109" t="s">
        <v>144</v>
      </c>
      <c r="AR4372" s="23" t="s">
        <v>147</v>
      </c>
      <c r="AS4372" s="96">
        <f ca="1">AS4358*1.01</f>
        <v>6625719.1598432641</v>
      </c>
      <c r="AT4372" s="109" t="s">
        <v>144</v>
      </c>
      <c r="AU4372" s="23" t="s">
        <v>147</v>
      </c>
    </row>
    <row r="4373" spans="15:47" x14ac:dyDescent="0.25">
      <c r="O4373" s="1"/>
      <c r="P4373" s="1"/>
      <c r="Q4373" s="1"/>
      <c r="R4373" s="98"/>
      <c r="S4373" s="107"/>
      <c r="T4373" s="1"/>
      <c r="U4373" s="47"/>
      <c r="V4373" s="107"/>
      <c r="W4373" s="1"/>
      <c r="X4373" s="47"/>
      <c r="Y4373" s="107"/>
      <c r="Z4373" s="1"/>
      <c r="AA4373" s="47"/>
      <c r="AB4373" s="107"/>
      <c r="AC4373" s="1"/>
      <c r="AD4373" s="47"/>
      <c r="AE4373" s="107"/>
      <c r="AF4373" s="1"/>
      <c r="AG4373" s="47"/>
      <c r="AH4373" s="107"/>
      <c r="AI4373" s="1"/>
      <c r="AJ4373" s="47"/>
      <c r="AK4373" s="107"/>
      <c r="AL4373" s="1"/>
      <c r="AM4373" s="47"/>
      <c r="AN4373" s="107"/>
      <c r="AO4373" s="1"/>
      <c r="AP4373" s="47"/>
      <c r="AQ4373" s="107"/>
      <c r="AR4373" s="1"/>
      <c r="AS4373" s="47"/>
      <c r="AT4373" s="107"/>
      <c r="AU4373" s="1"/>
    </row>
    <row r="4374" spans="15:47" x14ac:dyDescent="0.25">
      <c r="O4374" s="8" t="s">
        <v>132</v>
      </c>
      <c r="P4374" s="8"/>
      <c r="Q4374" s="8"/>
      <c r="R4374" s="96">
        <f>P_1_minQ-(R4372^2*R_up)+dpup_minQ</f>
        <v>86.209708969181108</v>
      </c>
      <c r="S4374" s="106"/>
      <c r="T4374" s="22"/>
      <c r="U4374" s="96">
        <f ca="1">P_1_minQ-(U4372^2*R_up)+dpup_minQ</f>
        <v>78.245678235830468</v>
      </c>
      <c r="V4374" s="107"/>
      <c r="W4374" s="1"/>
      <c r="X4374" s="96">
        <f ca="1">P_1_minQ-(X4372^2*R_up)+dpup_minQ</f>
        <v>18.598988500848677</v>
      </c>
      <c r="Y4374" s="107"/>
      <c r="Z4374" s="1"/>
      <c r="AA4374" s="96">
        <f ca="1">P_1_minQ-(AA4372^2*R_up)+dpup_minQ</f>
        <v>-181.39165435721952</v>
      </c>
      <c r="AB4374" s="107"/>
      <c r="AC4374" s="1"/>
      <c r="AD4374" s="96">
        <f ca="1">P_1_minQ-(AD4372^2*R_up)+dpup_minQ</f>
        <v>-674.20561979647994</v>
      </c>
      <c r="AE4374" s="107"/>
      <c r="AF4374" s="1"/>
      <c r="AG4374" s="96">
        <f ca="1">P_1_minQ-(AG4372^2*R_up)+dpup_minQ</f>
        <v>-1538.135043136768</v>
      </c>
      <c r="AH4374" s="107"/>
      <c r="AI4374" s="1"/>
      <c r="AJ4374" s="96">
        <f ca="1">P_1_minQ-(AJ4372^2*R_up)+dpup_minQ</f>
        <v>-2809.6911678841016</v>
      </c>
      <c r="AK4374" s="107"/>
      <c r="AL4374" s="1"/>
      <c r="AM4374" s="96">
        <f ca="1">P_1_minQ-(AM4372^2*R_up)+dpup_minQ</f>
        <v>-4227.3354780732006</v>
      </c>
      <c r="AN4374" s="107"/>
      <c r="AO4374" s="1"/>
      <c r="AP4374" s="96">
        <f ca="1">P_1_minQ-(AP4372^2*R_up)+dpup_minQ</f>
        <v>-5729.1803073969822</v>
      </c>
      <c r="AQ4374" s="107"/>
      <c r="AR4374" s="1"/>
      <c r="AS4374" s="96">
        <f ca="1">P_1_minQ-(AS4372^2*R_up)+dpup_minQ</f>
        <v>-7911.0970995691787</v>
      </c>
      <c r="AT4374" s="107"/>
      <c r="AU4374" s="1"/>
    </row>
    <row r="4375" spans="15:47" x14ac:dyDescent="0.25">
      <c r="O4375" s="8" t="s">
        <v>134</v>
      </c>
      <c r="P4375" s="1"/>
      <c r="Q4375" s="8"/>
      <c r="R4375" s="97">
        <f>P_2_minQ+(R4372^2*R_dn)-dpdn_minQ</f>
        <v>60</v>
      </c>
      <c r="S4375" s="106"/>
      <c r="T4375" s="22"/>
      <c r="U4375" s="97">
        <f ca="1">P_2_minQ+(U4372^2*R_dn)-dpdn_minQ</f>
        <v>60</v>
      </c>
      <c r="V4375" s="107"/>
      <c r="W4375" s="1"/>
      <c r="X4375" s="97">
        <f ca="1">P_2_minQ+(X4372^2*R_dn)-dpdn_minQ</f>
        <v>60</v>
      </c>
      <c r="Y4375" s="107"/>
      <c r="Z4375" s="1"/>
      <c r="AA4375" s="97">
        <f ca="1">P_2_minQ+(AA4372^2*R_dn)-dpdn_minQ</f>
        <v>60</v>
      </c>
      <c r="AB4375" s="107"/>
      <c r="AC4375" s="1"/>
      <c r="AD4375" s="97">
        <f ca="1">P_2_minQ+(AD4372^2*R_dn)-dpdn_minQ</f>
        <v>60</v>
      </c>
      <c r="AE4375" s="107"/>
      <c r="AF4375" s="1"/>
      <c r="AG4375" s="97">
        <f ca="1">P_2_minQ+(AG4372^2*R_dn)-dpdn_minQ</f>
        <v>60</v>
      </c>
      <c r="AH4375" s="107"/>
      <c r="AI4375" s="1"/>
      <c r="AJ4375" s="97">
        <f ca="1">P_2_minQ+(AJ4372^2*R_dn)-dpdn_minQ</f>
        <v>60</v>
      </c>
      <c r="AK4375" s="107"/>
      <c r="AL4375" s="1"/>
      <c r="AM4375" s="97">
        <f ca="1">P_2_minQ+(AM4372^2*R_dn)-dpdn_minQ</f>
        <v>60</v>
      </c>
      <c r="AN4375" s="107"/>
      <c r="AO4375" s="1"/>
      <c r="AP4375" s="97">
        <f ca="1">P_2_minQ+(AP4372^2*R_dn)-dpdn_minQ</f>
        <v>60</v>
      </c>
      <c r="AQ4375" s="107"/>
      <c r="AR4375" s="1"/>
      <c r="AS4375" s="97">
        <f ca="1">P_2_minQ+(AS4372^2*R_dn)-dpdn_minQ</f>
        <v>60</v>
      </c>
      <c r="AT4375" s="107"/>
      <c r="AU4375" s="1"/>
    </row>
    <row r="4376" spans="15:47" x14ac:dyDescent="0.25">
      <c r="O4376" s="8" t="s">
        <v>138</v>
      </c>
      <c r="P4376" s="1"/>
      <c r="Q4376" s="8"/>
      <c r="R4376" s="97">
        <f>R4374-R4375</f>
        <v>26.209708969181108</v>
      </c>
      <c r="S4376" s="106"/>
      <c r="T4376" s="22"/>
      <c r="U4376" s="97">
        <f ca="1">U4374-U4375</f>
        <v>18.245678235830468</v>
      </c>
      <c r="V4376" s="110"/>
      <c r="W4376" s="25"/>
      <c r="X4376" s="97">
        <f ca="1">X4374-X4375</f>
        <v>-41.401011499151323</v>
      </c>
      <c r="Y4376" s="110"/>
      <c r="Z4376" s="25"/>
      <c r="AA4376" s="97">
        <f ca="1">AA4374-AA4375</f>
        <v>-241.39165435721952</v>
      </c>
      <c r="AB4376" s="110"/>
      <c r="AC4376" s="25"/>
      <c r="AD4376" s="97">
        <f ca="1">AD4374-AD4375</f>
        <v>-734.20561979647994</v>
      </c>
      <c r="AE4376" s="110"/>
      <c r="AF4376" s="25"/>
      <c r="AG4376" s="97">
        <f ca="1">AG4374-AG4375</f>
        <v>-1598.135043136768</v>
      </c>
      <c r="AH4376" s="110"/>
      <c r="AI4376" s="25"/>
      <c r="AJ4376" s="97">
        <f ca="1">AJ4374-AJ4375</f>
        <v>-2869.6911678841016</v>
      </c>
      <c r="AK4376" s="110"/>
      <c r="AL4376" s="25"/>
      <c r="AM4376" s="97">
        <f ca="1">AM4374-AM4375</f>
        <v>-4287.3354780732006</v>
      </c>
      <c r="AN4376" s="110"/>
      <c r="AO4376" s="25"/>
      <c r="AP4376" s="97">
        <f ca="1">AP4374-AP4375</f>
        <v>-5789.1803073969822</v>
      </c>
      <c r="AQ4376" s="110"/>
      <c r="AR4376" s="25"/>
      <c r="AS4376" s="97">
        <f ca="1">AS4374-AS4375</f>
        <v>-7971.0970995691787</v>
      </c>
      <c r="AT4376" s="110"/>
      <c r="AU4376" s="25"/>
    </row>
    <row r="4377" spans="15:47" ht="14.4" x14ac:dyDescent="0.3">
      <c r="O4377" s="2" t="s">
        <v>140</v>
      </c>
      <c r="P4377" s="11"/>
      <c r="Q4377" s="2"/>
      <c r="R4377" s="96">
        <f>R4376/R4374</f>
        <v>0.30402270559283234</v>
      </c>
      <c r="S4377" s="106"/>
      <c r="T4377" s="22"/>
      <c r="U4377" s="96">
        <f ca="1">U4376/U4374</f>
        <v>0.23318448567649272</v>
      </c>
      <c r="V4377" s="111"/>
      <c r="W4377" s="28"/>
      <c r="X4377" s="96">
        <f ca="1">X4376/X4374</f>
        <v>-2.2259818859107412</v>
      </c>
      <c r="Y4377" s="111"/>
      <c r="Z4377" s="28"/>
      <c r="AA4377" s="96">
        <f ca="1">AA4376/AA4374</f>
        <v>1.3307759676850424</v>
      </c>
      <c r="AB4377" s="111"/>
      <c r="AC4377" s="28"/>
      <c r="AD4377" s="96">
        <f ca="1">AD4376/AD4374</f>
        <v>1.0889936218836502</v>
      </c>
      <c r="AE4377" s="111"/>
      <c r="AF4377" s="28"/>
      <c r="AG4377" s="96">
        <f ca="1">AG4376/AG4374</f>
        <v>1.0390082784133441</v>
      </c>
      <c r="AH4377" s="111"/>
      <c r="AI4377" s="28"/>
      <c r="AJ4377" s="96">
        <f ca="1">AJ4376/AJ4374</f>
        <v>1.0213546601440842</v>
      </c>
      <c r="AK4377" s="111"/>
      <c r="AL4377" s="28"/>
      <c r="AM4377" s="96">
        <f ca="1">AM4376/AM4374</f>
        <v>1.0141933376972834</v>
      </c>
      <c r="AN4377" s="111"/>
      <c r="AO4377" s="28"/>
      <c r="AP4377" s="96">
        <f ca="1">AP4376/AP4374</f>
        <v>1.0104727023379825</v>
      </c>
      <c r="AQ4377" s="111"/>
      <c r="AR4377" s="28"/>
      <c r="AS4377" s="96">
        <f ca="1">AS4376/AS4374</f>
        <v>1.007584283095611</v>
      </c>
      <c r="AT4377" s="111"/>
      <c r="AU4377" s="28"/>
    </row>
    <row r="4378" spans="15:47" x14ac:dyDescent="0.25">
      <c r="O4378" s="2" t="s">
        <v>21</v>
      </c>
      <c r="P4378" s="8">
        <v>12</v>
      </c>
      <c r="Q4378" s="2"/>
      <c r="R4378" s="96">
        <f ca="1">1-R4377/(3*F_GAMMA*R$29)</f>
        <v>0.84166218808604032</v>
      </c>
      <c r="S4378" s="106"/>
      <c r="T4378" s="22"/>
      <c r="U4378" s="96">
        <f ca="1">1-U4377/(3*F_GAMMA*U$29)</f>
        <v>0.87858359577195189</v>
      </c>
      <c r="V4378" s="111"/>
      <c r="W4378" s="28"/>
      <c r="X4378" s="96">
        <f ca="1">1-X4377/(3*F_GAMMA*X$29)</f>
        <v>2.1700814323204591</v>
      </c>
      <c r="Y4378" s="111"/>
      <c r="Z4378" s="28"/>
      <c r="AA4378" s="96">
        <f ca="1">1-AA4377/(3*F_GAMMA*AA$29)</f>
        <v>0.29062069283506864</v>
      </c>
      <c r="AB4378" s="111"/>
      <c r="AC4378" s="28"/>
      <c r="AD4378" s="96">
        <f ca="1">1-AD4377/(3*F_GAMMA*AD$29)</f>
        <v>0.40150084532480013</v>
      </c>
      <c r="AE4378" s="111"/>
      <c r="AF4378" s="28"/>
      <c r="AG4378" s="96">
        <f ca="1">1-AG4377/(3*F_GAMMA*AG$29)</f>
        <v>0.3947070584289698</v>
      </c>
      <c r="AH4378" s="111"/>
      <c r="AI4378" s="28"/>
      <c r="AJ4378" s="96">
        <f ca="1">1-AJ4377/(3*F_GAMMA*AJ$29)</f>
        <v>0.35985230610494312</v>
      </c>
      <c r="AK4378" s="111"/>
      <c r="AL4378" s="28"/>
      <c r="AM4378" s="96">
        <f ca="1">1-AM4377/(3*F_GAMMA*AM$29)</f>
        <v>0.28928057133240115</v>
      </c>
      <c r="AN4378" s="111"/>
      <c r="AO4378" s="28"/>
      <c r="AP4378" s="96">
        <f ca="1">1-AP4377/(3*F_GAMMA*AP$29)</f>
        <v>0.42963502655052332</v>
      </c>
      <c r="AQ4378" s="111"/>
      <c r="AR4378" s="28"/>
      <c r="AS4378" s="96">
        <f ca="1">1-AS4377/(3*F_GAMMA*AS$29)</f>
        <v>0.1083876199122128</v>
      </c>
      <c r="AT4378" s="111"/>
      <c r="AU4378" s="28"/>
    </row>
    <row r="4379" spans="15:47" x14ac:dyDescent="0.25">
      <c r="O4379" s="2" t="s">
        <v>57</v>
      </c>
      <c r="P4379" s="143">
        <v>7</v>
      </c>
      <c r="Q4379" s="2"/>
      <c r="R4379" s="96">
        <f ca="1">(R4372/(N_9*R$27*R4374*R4378))*SQRT(M*'Valve Sizing'!$W$6*'Valve Sizing'!$G$8/R4377)</f>
        <v>64.221277205976818</v>
      </c>
      <c r="S4379" s="107"/>
      <c r="T4379" s="22"/>
      <c r="U4379" s="96">
        <f ca="1">(U4372/(N_9*U$27*U4374*U4378))*SQRT(M*'Valve Sizing'!$W$6*'Valve Sizing'!$G$8/U4377)</f>
        <v>134.22129330381929</v>
      </c>
      <c r="V4379" s="111"/>
      <c r="W4379" s="28"/>
      <c r="X4379" s="96" t="e">
        <f ca="1">(X4372/(N_9*X$27*X4374*X4378))*SQRT(M*'Valve Sizing'!$W$6*'Valve Sizing'!$G$8/X4377)</f>
        <v>#NUM!</v>
      </c>
      <c r="Y4379" s="111"/>
      <c r="Z4379" s="28"/>
      <c r="AA4379" s="96">
        <f ca="1">(AA4372/(N_9*AA$27*AA4374*AA4378))*SQRT(M*'Valve Sizing'!$W$6*'Valve Sizing'!$G$8/AA4377)</f>
        <v>-352.32404844370308</v>
      </c>
      <c r="AB4379" s="111"/>
      <c r="AC4379" s="28"/>
      <c r="AD4379" s="96">
        <f ca="1">(AD4372/(N_9*AD$27*AD4374*AD4378))*SQRT(M*'Valve Sizing'!$W$6*'Valve Sizing'!$G$8/AD4377)</f>
        <v>-128.82656980288061</v>
      </c>
      <c r="AE4379" s="111"/>
      <c r="AF4379" s="28"/>
      <c r="AG4379" s="96">
        <f ca="1">(AG4372/(N_9*AG$27*AG4374*AG4378))*SQRT(M*'Valve Sizing'!$W$6*'Valve Sizing'!$G$8/AG4377)</f>
        <v>-87.759794439925102</v>
      </c>
      <c r="AH4379" s="111"/>
      <c r="AI4379" s="28"/>
      <c r="AJ4379" s="96">
        <f ca="1">(AJ4372/(N_9*AJ$27*AJ4374*AJ4378))*SQRT(M*'Valve Sizing'!$W$6*'Valve Sizing'!$G$8/AJ4377)</f>
        <v>-73.493033848283773</v>
      </c>
      <c r="AK4379" s="111"/>
      <c r="AL4379" s="28"/>
      <c r="AM4379" s="96">
        <f ca="1">(AM4372/(N_9*AM$27*AM4374*AM4378))*SQRT(M*'Valve Sizing'!$W$6*'Valve Sizing'!$G$8/AM4377)</f>
        <v>-78.943640499785786</v>
      </c>
      <c r="AN4379" s="111"/>
      <c r="AO4379" s="28"/>
      <c r="AP4379" s="96">
        <f ca="1">(AP4372/(N_9*AP$27*AP4374*AP4378))*SQRT(M*'Valve Sizing'!$W$6*'Valve Sizing'!$G$8/AP4377)</f>
        <v>-51.921366801302277</v>
      </c>
      <c r="AQ4379" s="111"/>
      <c r="AR4379" s="28"/>
      <c r="AS4379" s="96">
        <f ca="1">(AS4372/(N_9*AS$27*AS4374*AS4378))*SQRT(M*'Valve Sizing'!$W$6*'Valve Sizing'!$G$8/AS4377)</f>
        <v>-234.41882981705228</v>
      </c>
      <c r="AT4379" s="111"/>
      <c r="AU4379" s="28"/>
    </row>
    <row r="4380" spans="15:47" x14ac:dyDescent="0.25">
      <c r="O4380" s="2" t="s">
        <v>59</v>
      </c>
      <c r="P4380" s="143">
        <v>7</v>
      </c>
      <c r="Q4380" s="2"/>
      <c r="R4380" s="96">
        <f ca="1">(R4372/(N_9*R$27*R4374*0.667))*SQRT(M*'Valve Sizing'!$W$6*'Valve Sizing'!$G$8/R4381)</f>
        <v>55.85266087829735</v>
      </c>
      <c r="S4380" s="107"/>
      <c r="T4380" s="22"/>
      <c r="U4380" s="96">
        <f ca="1">(U4372/(N_9*U$27*U4374*0.667))*SQRT(M*'Valve Sizing'!$W$6*'Valve Sizing'!$G$8/U4381)</f>
        <v>106.70333324983272</v>
      </c>
      <c r="V4380" s="111"/>
      <c r="W4380" s="28"/>
      <c r="X4380" s="96">
        <f ca="1">(X4372/(N_9*X$27*X4374*0.667))*SQRT(M*'Valve Sizing'!$W$6*'Valve Sizing'!$G$8/X4381)</f>
        <v>1106.9541529270589</v>
      </c>
      <c r="Y4380" s="111"/>
      <c r="Z4380" s="28"/>
      <c r="AA4380" s="96">
        <f ca="1">(AA4372/(N_9*AA$27*AA4374*0.667))*SQRT(M*'Valve Sizing'!$W$6*'Valve Sizing'!$G$8/AA4381)</f>
        <v>-223.94577469657352</v>
      </c>
      <c r="AB4380" s="111"/>
      <c r="AC4380" s="28"/>
      <c r="AD4380" s="96">
        <f ca="1">(AD4372/(N_9*AD$27*AD4374*0.667))*SQRT(M*'Valve Sizing'!$W$6*'Valve Sizing'!$G$8/AD4381)</f>
        <v>-103.9102695268013</v>
      </c>
      <c r="AE4380" s="111"/>
      <c r="AF4380" s="28"/>
      <c r="AG4380" s="96">
        <f ca="1">(AG4372/(N_9*AG$27*AG4374*0.667))*SQRT(M*'Valve Sizing'!$W$6*'Valve Sizing'!$G$8/AG4381)</f>
        <v>-69.982280131035353</v>
      </c>
      <c r="AH4380" s="111"/>
      <c r="AI4380" s="28"/>
      <c r="AJ4380" s="96">
        <f ca="1">(AJ4372/(N_9*AJ$27*AJ4374*0.667))*SQRT(M*'Valve Sizing'!$W$6*'Valve Sizing'!$G$8/AJ4381)</f>
        <v>-54.947172862345155</v>
      </c>
      <c r="AK4380" s="111"/>
      <c r="AL4380" s="28"/>
      <c r="AM4380" s="96">
        <f ca="1">(AM4372/(N_9*AM$27*AM4374*0.667))*SQRT(M*'Valve Sizing'!$W$6*'Valve Sizing'!$G$8/AM4381)</f>
        <v>-49.994278357541887</v>
      </c>
      <c r="AN4380" s="111"/>
      <c r="AO4380" s="28"/>
      <c r="AP4380" s="96">
        <f ca="1">(AP4372/(N_9*AP$27*AP4374*0.667))*SQRT(M*'Valve Sizing'!$W$6*'Valve Sizing'!$G$8/AP4381)</f>
        <v>-43.747880199044793</v>
      </c>
      <c r="AQ4380" s="111"/>
      <c r="AR4380" s="28"/>
      <c r="AS4380" s="96">
        <f ca="1">(AS4372/(N_9*AS$27*AS4374*0.667))*SQRT(M*'Valve Sizing'!$W$6*'Valve Sizing'!$G$8/AS4381)</f>
        <v>-62.300999172788437</v>
      </c>
      <c r="AT4380" s="111"/>
      <c r="AU4380" s="28"/>
    </row>
    <row r="4381" spans="15:47" ht="15.6" x14ac:dyDescent="0.35">
      <c r="O4381" s="2" t="s">
        <v>68</v>
      </c>
      <c r="P4381" s="143">
        <v>10</v>
      </c>
      <c r="Q4381" s="2"/>
      <c r="R4381" s="96">
        <f ca="1">F_GAMMA*R$29</f>
        <v>0.64002969751372984</v>
      </c>
      <c r="S4381" s="107"/>
      <c r="T4381" s="1"/>
      <c r="U4381" s="96">
        <f ca="1">F_GAMMA*U$29</f>
        <v>0.64017842058782071</v>
      </c>
      <c r="V4381" s="111"/>
      <c r="W4381" s="28"/>
      <c r="X4381" s="96">
        <f ca="1">F_GAMMA*X$29</f>
        <v>0.63413873724904268</v>
      </c>
      <c r="Y4381" s="111"/>
      <c r="Z4381" s="28"/>
      <c r="AA4381" s="96">
        <f ca="1">F_GAMMA*AA$29</f>
        <v>0.62532411750377137</v>
      </c>
      <c r="AB4381" s="111"/>
      <c r="AC4381" s="28"/>
      <c r="AD4381" s="96">
        <f ca="1">F_GAMMA*AD$29</f>
        <v>0.60651359509139569</v>
      </c>
      <c r="AE4381" s="111"/>
      <c r="AF4381" s="28"/>
      <c r="AG4381" s="96">
        <f ca="1">F_GAMMA*AG$29</f>
        <v>0.57217930198481592</v>
      </c>
      <c r="AH4381" s="111"/>
      <c r="AI4381" s="28"/>
      <c r="AJ4381" s="96">
        <f ca="1">F_GAMMA*AJ$29</f>
        <v>0.53183282018848232</v>
      </c>
      <c r="AK4381" s="111"/>
      <c r="AL4381" s="28"/>
      <c r="AM4381" s="96">
        <f ca="1">F_GAMMA*AM$29</f>
        <v>0.47566512503094399</v>
      </c>
      <c r="AN4381" s="111"/>
      <c r="AO4381" s="28"/>
      <c r="AP4381" s="96">
        <f ca="1">F_GAMMA*AP$29</f>
        <v>0.59054158265645496</v>
      </c>
      <c r="AQ4381" s="111"/>
      <c r="AR4381" s="28"/>
      <c r="AS4381" s="96">
        <f ca="1">F_GAMMA*AS$29</f>
        <v>0.3766899554102966</v>
      </c>
      <c r="AT4381" s="111"/>
      <c r="AU4381" s="28"/>
    </row>
    <row r="4382" spans="15:47" x14ac:dyDescent="0.25">
      <c r="O4382" s="2" t="s">
        <v>145</v>
      </c>
      <c r="P4382" s="12"/>
      <c r="Q4382" s="2"/>
      <c r="R4382" s="96">
        <f ca="1">IF(R4377&lt;R4381,R4379,R4380)</f>
        <v>64.221277205976818</v>
      </c>
      <c r="S4382" s="116"/>
      <c r="T4382" s="1"/>
      <c r="U4382" s="96">
        <f ca="1">IF(U4377&lt;U4381,U4379,U4380)</f>
        <v>134.22129330381929</v>
      </c>
      <c r="V4382" s="111"/>
      <c r="W4382" s="28"/>
      <c r="X4382" s="96" t="e">
        <f ca="1">IF(X4377&lt;X4381,X4379,X4380)</f>
        <v>#NUM!</v>
      </c>
      <c r="Y4382" s="111"/>
      <c r="Z4382" s="28"/>
      <c r="AA4382" s="96">
        <f ca="1">IF(AA4377&lt;AA4381,AA4379,AA4380)</f>
        <v>-223.94577469657352</v>
      </c>
      <c r="AB4382" s="111"/>
      <c r="AC4382" s="28"/>
      <c r="AD4382" s="96">
        <f ca="1">IF(AD4377&lt;AD4381,AD4379,AD4380)</f>
        <v>-103.9102695268013</v>
      </c>
      <c r="AE4382" s="111"/>
      <c r="AF4382" s="28"/>
      <c r="AG4382" s="96">
        <f ca="1">IF(AG4377&lt;AG4381,AG4379,AG4380)</f>
        <v>-69.982280131035353</v>
      </c>
      <c r="AH4382" s="111"/>
      <c r="AI4382" s="28"/>
      <c r="AJ4382" s="96">
        <f ca="1">IF(AJ4377&lt;AJ4381,AJ4379,AJ4380)</f>
        <v>-54.947172862345155</v>
      </c>
      <c r="AK4382" s="111"/>
      <c r="AL4382" s="28"/>
      <c r="AM4382" s="96">
        <f ca="1">IF(AM4377&lt;AM4381,AM4379,AM4380)</f>
        <v>-49.994278357541887</v>
      </c>
      <c r="AN4382" s="111"/>
      <c r="AO4382" s="28"/>
      <c r="AP4382" s="96">
        <f ca="1">IF(AP4377&lt;AP4381,AP4379,AP4380)</f>
        <v>-43.747880199044793</v>
      </c>
      <c r="AQ4382" s="111"/>
      <c r="AR4382" s="28"/>
      <c r="AS4382" s="96">
        <f ca="1">IF(AS4377&lt;AS4381,AS4379,AS4380)</f>
        <v>-62.300999172788437</v>
      </c>
      <c r="AT4382" s="111"/>
      <c r="AU4382" s="28"/>
    </row>
    <row r="4383" spans="15:47" x14ac:dyDescent="0.25">
      <c r="O4383" s="13" t="s">
        <v>143</v>
      </c>
      <c r="P4383" s="1"/>
      <c r="Q4383" s="1"/>
      <c r="R4383" s="113"/>
      <c r="S4383" s="106">
        <f ca="1">IF(R4376&lt;=0,Q_max,ABS(R$23-R4382))</f>
        <v>59.491277205976814</v>
      </c>
      <c r="T4383" s="7">
        <f>R4372</f>
        <v>147686.19782851372</v>
      </c>
      <c r="U4383" s="98"/>
      <c r="V4383" s="106">
        <f ca="1">IF(U4376&lt;=0,Q_max,ABS(U$23-U4382))</f>
        <v>122.6212933038193</v>
      </c>
      <c r="W4383" s="9">
        <f ca="1">U4372</f>
        <v>255943.31864111006</v>
      </c>
      <c r="X4383" s="98"/>
      <c r="Y4383" s="106">
        <f ca="1">IF(X4376&lt;=0,Q_max,ABS(X$23-X4382))</f>
        <v>236393</v>
      </c>
      <c r="Z4383" s="9">
        <f ca="1">X4372</f>
        <v>626711.17288258974</v>
      </c>
      <c r="AA4383" s="98"/>
      <c r="AB4383" s="106">
        <f ca="1">IF(AA4376&lt;=0,Q_max,ABS(AA$23-AA4382))</f>
        <v>236393</v>
      </c>
      <c r="AC4383" s="9">
        <f ca="1">AA4372</f>
        <v>1220673.3996229139</v>
      </c>
      <c r="AD4383" s="98"/>
      <c r="AE4383" s="106">
        <f ca="1">IF(AD4376&lt;=0,Q_max,ABS(AD$23-AD4382))</f>
        <v>236393</v>
      </c>
      <c r="AF4383" s="9">
        <f ca="1">AD4372</f>
        <v>2047910.2392718727</v>
      </c>
      <c r="AG4383" s="98"/>
      <c r="AH4383" s="106">
        <f ca="1">IF(AG4376&lt;=0,Q_max,ABS(AG$23-AG4382))</f>
        <v>236393</v>
      </c>
      <c r="AI4383" s="9">
        <f ca="1">AG4372</f>
        <v>2988980.7713909093</v>
      </c>
      <c r="AJ4383" s="98"/>
      <c r="AK4383" s="106">
        <f ca="1">IF(AJ4376&lt;=0,Q_max,ABS(AJ$23-AJ4382))</f>
        <v>236393</v>
      </c>
      <c r="AL4383" s="9">
        <f ca="1">AJ4372</f>
        <v>3988806.4264060888</v>
      </c>
      <c r="AM4383" s="98"/>
      <c r="AN4383" s="106">
        <f ca="1">IF(AM4376&lt;=0,Q_max,ABS(AM$23-AM4382))</f>
        <v>236393</v>
      </c>
      <c r="AO4383" s="9">
        <f ca="1">AM4372</f>
        <v>4867101.8727811538</v>
      </c>
      <c r="AP4383" s="98"/>
      <c r="AQ4383" s="106">
        <f ca="1">IF(AP4376&lt;=0,Q_max,ABS(AP$23-AP4382))</f>
        <v>236393</v>
      </c>
      <c r="AR4383" s="9">
        <f ca="1">AP4372</f>
        <v>5650554.1769221015</v>
      </c>
      <c r="AS4383" s="98"/>
      <c r="AT4383" s="106">
        <f ca="1">IF(AS4376&lt;=0,Q_max,ABS(AS$23-AS4382))</f>
        <v>236393</v>
      </c>
      <c r="AU4383" s="9">
        <f ca="1">AS4372</f>
        <v>6625719.1598432641</v>
      </c>
    </row>
    <row r="4384" spans="15:47" x14ac:dyDescent="0.25">
      <c r="O4384" s="21"/>
      <c r="P4384" s="14"/>
      <c r="Q4384" s="21"/>
      <c r="R4384" s="97"/>
      <c r="S4384" s="106"/>
      <c r="T4384" s="28"/>
      <c r="U4384" s="97"/>
      <c r="V4384" s="111"/>
      <c r="W4384" s="28"/>
      <c r="X4384" s="97"/>
      <c r="Y4384" s="111"/>
      <c r="Z4384" s="28"/>
      <c r="AA4384" s="97"/>
      <c r="AB4384" s="111"/>
      <c r="AC4384" s="28"/>
      <c r="AD4384" s="97"/>
      <c r="AE4384" s="111"/>
      <c r="AF4384" s="28"/>
      <c r="AG4384" s="97"/>
      <c r="AH4384" s="111"/>
      <c r="AI4384" s="28"/>
      <c r="AJ4384" s="97"/>
      <c r="AK4384" s="111"/>
      <c r="AL4384" s="28"/>
      <c r="AM4384" s="97"/>
      <c r="AN4384" s="111"/>
      <c r="AO4384" s="28"/>
      <c r="AP4384" s="97"/>
      <c r="AQ4384" s="111"/>
      <c r="AR4384" s="28"/>
      <c r="AS4384" s="97"/>
      <c r="AT4384" s="111"/>
      <c r="AU4384" s="28"/>
    </row>
    <row r="4385" spans="15:47" x14ac:dyDescent="0.25">
      <c r="O4385" s="1"/>
      <c r="P4385" s="1"/>
      <c r="Q4385" s="1"/>
      <c r="R4385" s="98"/>
      <c r="S4385" s="108" t="s">
        <v>137</v>
      </c>
      <c r="T4385" s="26" t="s">
        <v>146</v>
      </c>
      <c r="U4385" s="98"/>
      <c r="V4385" s="108" t="s">
        <v>137</v>
      </c>
      <c r="W4385" s="26" t="s">
        <v>146</v>
      </c>
      <c r="X4385" s="98"/>
      <c r="Y4385" s="108" t="s">
        <v>137</v>
      </c>
      <c r="Z4385" s="26" t="s">
        <v>146</v>
      </c>
      <c r="AA4385" s="98"/>
      <c r="AB4385" s="108" t="s">
        <v>137</v>
      </c>
      <c r="AC4385" s="26" t="s">
        <v>146</v>
      </c>
      <c r="AD4385" s="98"/>
      <c r="AE4385" s="108" t="s">
        <v>137</v>
      </c>
      <c r="AF4385" s="26" t="s">
        <v>146</v>
      </c>
      <c r="AG4385" s="98"/>
      <c r="AH4385" s="108" t="s">
        <v>137</v>
      </c>
      <c r="AI4385" s="26" t="s">
        <v>146</v>
      </c>
      <c r="AJ4385" s="98"/>
      <c r="AK4385" s="108" t="s">
        <v>137</v>
      </c>
      <c r="AL4385" s="26" t="s">
        <v>146</v>
      </c>
      <c r="AM4385" s="98"/>
      <c r="AN4385" s="108" t="s">
        <v>137</v>
      </c>
      <c r="AO4385" s="26" t="s">
        <v>146</v>
      </c>
      <c r="AP4385" s="98"/>
      <c r="AQ4385" s="108" t="s">
        <v>137</v>
      </c>
      <c r="AR4385" s="26" t="s">
        <v>146</v>
      </c>
      <c r="AS4385" s="98"/>
      <c r="AT4385" s="108" t="s">
        <v>137</v>
      </c>
      <c r="AU4385" s="26" t="s">
        <v>146</v>
      </c>
    </row>
    <row r="4386" spans="15:47" ht="13.8" x14ac:dyDescent="0.25">
      <c r="O4386" s="20" t="s">
        <v>136</v>
      </c>
      <c r="P4386" s="1"/>
      <c r="Q4386" s="1"/>
      <c r="R4386" s="96">
        <f>R4372*1.02</f>
        <v>150639.92178508401</v>
      </c>
      <c r="S4386" s="109" t="s">
        <v>144</v>
      </c>
      <c r="T4386" s="23" t="s">
        <v>147</v>
      </c>
      <c r="U4386" s="96">
        <f ca="1">U4372*1.01</f>
        <v>258502.75182752116</v>
      </c>
      <c r="V4386" s="109" t="s">
        <v>144</v>
      </c>
      <c r="W4386" s="23" t="s">
        <v>147</v>
      </c>
      <c r="X4386" s="96">
        <f ca="1">X4372*1.01</f>
        <v>632978.2846114157</v>
      </c>
      <c r="Y4386" s="109" t="s">
        <v>144</v>
      </c>
      <c r="Z4386" s="23" t="s">
        <v>147</v>
      </c>
      <c r="AA4386" s="96">
        <f ca="1">AA4372*1.01</f>
        <v>1232880.1336191432</v>
      </c>
      <c r="AB4386" s="109" t="s">
        <v>144</v>
      </c>
      <c r="AC4386" s="23" t="s">
        <v>147</v>
      </c>
      <c r="AD4386" s="96">
        <f ca="1">AD4372*1.01</f>
        <v>2068389.3416645913</v>
      </c>
      <c r="AE4386" s="109" t="s">
        <v>144</v>
      </c>
      <c r="AF4386" s="23" t="s">
        <v>147</v>
      </c>
      <c r="AG4386" s="96">
        <f ca="1">AG4372*1.01</f>
        <v>3018870.5791048184</v>
      </c>
      <c r="AH4386" s="109" t="s">
        <v>144</v>
      </c>
      <c r="AI4386" s="23" t="s">
        <v>147</v>
      </c>
      <c r="AJ4386" s="96">
        <f ca="1">AJ4372*1.01</f>
        <v>4028694.4906701497</v>
      </c>
      <c r="AK4386" s="109" t="s">
        <v>144</v>
      </c>
      <c r="AL4386" s="23" t="s">
        <v>147</v>
      </c>
      <c r="AM4386" s="96">
        <f ca="1">AM4372*1.01</f>
        <v>4915772.8915089658</v>
      </c>
      <c r="AN4386" s="109" t="s">
        <v>144</v>
      </c>
      <c r="AO4386" s="23" t="s">
        <v>147</v>
      </c>
      <c r="AP4386" s="96">
        <f ca="1">AP4372*1.01</f>
        <v>5707059.718691323</v>
      </c>
      <c r="AQ4386" s="109" t="s">
        <v>144</v>
      </c>
      <c r="AR4386" s="23" t="s">
        <v>147</v>
      </c>
      <c r="AS4386" s="96">
        <f ca="1">AS4372*1.01</f>
        <v>6691976.3514416972</v>
      </c>
      <c r="AT4386" s="109" t="s">
        <v>144</v>
      </c>
      <c r="AU4386" s="23" t="s">
        <v>147</v>
      </c>
    </row>
    <row r="4387" spans="15:47" x14ac:dyDescent="0.25">
      <c r="O4387" s="1"/>
      <c r="P4387" s="1"/>
      <c r="Q4387" s="1"/>
      <c r="R4387" s="98"/>
      <c r="S4387" s="107"/>
      <c r="T4387" s="1"/>
      <c r="U4387" s="47"/>
      <c r="V4387" s="107"/>
      <c r="W4387" s="1"/>
      <c r="X4387" s="47"/>
      <c r="Y4387" s="107"/>
      <c r="Z4387" s="1"/>
      <c r="AA4387" s="47"/>
      <c r="AB4387" s="107"/>
      <c r="AC4387" s="1"/>
      <c r="AD4387" s="47"/>
      <c r="AE4387" s="107"/>
      <c r="AF4387" s="1"/>
      <c r="AG4387" s="47"/>
      <c r="AH4387" s="107"/>
      <c r="AI4387" s="1"/>
      <c r="AJ4387" s="47"/>
      <c r="AK4387" s="107"/>
      <c r="AL4387" s="1"/>
      <c r="AM4387" s="47"/>
      <c r="AN4387" s="107"/>
      <c r="AO4387" s="1"/>
      <c r="AP4387" s="47"/>
      <c r="AQ4387" s="107"/>
      <c r="AR4387" s="1"/>
      <c r="AS4387" s="47"/>
      <c r="AT4387" s="107"/>
      <c r="AU4387" s="1"/>
    </row>
    <row r="4388" spans="15:47" x14ac:dyDescent="0.25">
      <c r="O4388" s="8" t="s">
        <v>132</v>
      </c>
      <c r="P4388" s="8"/>
      <c r="Q4388" s="8"/>
      <c r="R4388" s="96">
        <f>P_1_minQ-(R4386^2*R_up)+dpup_minQ</f>
        <v>86.049105574113696</v>
      </c>
      <c r="S4388" s="106"/>
      <c r="T4388" s="22"/>
      <c r="U4388" s="96">
        <f ca="1">P_1_minQ-(U4386^2*R_up)+dpup_minQ</f>
        <v>78.005697053712538</v>
      </c>
      <c r="V4388" s="107"/>
      <c r="W4388" s="1"/>
      <c r="X4388" s="96">
        <f ca="1">P_1_minQ-(X4386^2*R_up)+dpup_minQ</f>
        <v>17.160108855057587</v>
      </c>
      <c r="Y4388" s="107"/>
      <c r="Z4388" s="1"/>
      <c r="AA4388" s="96">
        <f ca="1">P_1_minQ-(AA4386^2*R_up)+dpup_minQ</f>
        <v>-186.85034592445783</v>
      </c>
      <c r="AB4388" s="107"/>
      <c r="AC4388" s="1"/>
      <c r="AD4388" s="96">
        <f ca="1">P_1_minQ-(AD4386^2*R_up)+dpup_minQ</f>
        <v>-689.56987206904728</v>
      </c>
      <c r="AE4388" s="107"/>
      <c r="AF4388" s="1"/>
      <c r="AG4388" s="96">
        <f ca="1">P_1_minQ-(AG4386^2*R_up)+dpup_minQ</f>
        <v>-1570.8642768184752</v>
      </c>
      <c r="AH4388" s="107"/>
      <c r="AI4388" s="1"/>
      <c r="AJ4388" s="96">
        <f ca="1">P_1_minQ-(AJ4386^2*R_up)+dpup_minQ</f>
        <v>-2867.9786796732305</v>
      </c>
      <c r="AK4388" s="107"/>
      <c r="AL4388" s="1"/>
      <c r="AM4388" s="96">
        <f ca="1">P_1_minQ-(AM4386^2*R_up)+dpup_minQ</f>
        <v>-4314.1176404971311</v>
      </c>
      <c r="AN4388" s="107"/>
      <c r="AO4388" s="1"/>
      <c r="AP4388" s="96">
        <f ca="1">P_1_minQ-(AP4386^2*R_up)+dpup_minQ</f>
        <v>-5846.1495508903199</v>
      </c>
      <c r="AQ4388" s="107"/>
      <c r="AR4388" s="1"/>
      <c r="AS4388" s="96">
        <f ca="1">P_1_minQ-(AS4386^2*R_up)+dpup_minQ</f>
        <v>-8071.9228705851774</v>
      </c>
      <c r="AT4388" s="107"/>
      <c r="AU4388" s="1"/>
    </row>
    <row r="4389" spans="15:47" x14ac:dyDescent="0.25">
      <c r="O4389" s="8" t="s">
        <v>134</v>
      </c>
      <c r="P4389" s="1"/>
      <c r="Q4389" s="8"/>
      <c r="R4389" s="97">
        <f>P_2_minQ+(R4386^2*R_dn)-dpdn_minQ</f>
        <v>60</v>
      </c>
      <c r="S4389" s="106"/>
      <c r="T4389" s="22"/>
      <c r="U4389" s="97">
        <f ca="1">P_2_minQ+(U4386^2*R_dn)-dpdn_minQ</f>
        <v>60</v>
      </c>
      <c r="V4389" s="107"/>
      <c r="W4389" s="1"/>
      <c r="X4389" s="97">
        <f ca="1">P_2_minQ+(X4386^2*R_dn)-dpdn_minQ</f>
        <v>60</v>
      </c>
      <c r="Y4389" s="107"/>
      <c r="Z4389" s="1"/>
      <c r="AA4389" s="97">
        <f ca="1">P_2_minQ+(AA4386^2*R_dn)-dpdn_minQ</f>
        <v>60</v>
      </c>
      <c r="AB4389" s="107"/>
      <c r="AC4389" s="1"/>
      <c r="AD4389" s="97">
        <f ca="1">P_2_minQ+(AD4386^2*R_dn)-dpdn_minQ</f>
        <v>60</v>
      </c>
      <c r="AE4389" s="107"/>
      <c r="AF4389" s="1"/>
      <c r="AG4389" s="97">
        <f ca="1">P_2_minQ+(AG4386^2*R_dn)-dpdn_minQ</f>
        <v>60</v>
      </c>
      <c r="AH4389" s="107"/>
      <c r="AI4389" s="1"/>
      <c r="AJ4389" s="97">
        <f ca="1">P_2_minQ+(AJ4386^2*R_dn)-dpdn_minQ</f>
        <v>60</v>
      </c>
      <c r="AK4389" s="107"/>
      <c r="AL4389" s="1"/>
      <c r="AM4389" s="97">
        <f ca="1">P_2_minQ+(AM4386^2*R_dn)-dpdn_minQ</f>
        <v>60</v>
      </c>
      <c r="AN4389" s="107"/>
      <c r="AO4389" s="1"/>
      <c r="AP4389" s="97">
        <f ca="1">P_2_minQ+(AP4386^2*R_dn)-dpdn_minQ</f>
        <v>60</v>
      </c>
      <c r="AQ4389" s="107"/>
      <c r="AR4389" s="1"/>
      <c r="AS4389" s="97">
        <f ca="1">P_2_minQ+(AS4386^2*R_dn)-dpdn_minQ</f>
        <v>60</v>
      </c>
      <c r="AT4389" s="107"/>
      <c r="AU4389" s="1"/>
    </row>
    <row r="4390" spans="15:47" x14ac:dyDescent="0.25">
      <c r="O4390" s="8" t="s">
        <v>138</v>
      </c>
      <c r="P4390" s="1"/>
      <c r="Q4390" s="8"/>
      <c r="R4390" s="97">
        <f>R4388-R4389</f>
        <v>26.049105574113696</v>
      </c>
      <c r="S4390" s="106"/>
      <c r="T4390" s="22"/>
      <c r="U4390" s="97">
        <f ca="1">U4388-U4389</f>
        <v>18.005697053712538</v>
      </c>
      <c r="V4390" s="110"/>
      <c r="W4390" s="25"/>
      <c r="X4390" s="97">
        <f ca="1">X4388-X4389</f>
        <v>-42.839891144942413</v>
      </c>
      <c r="Y4390" s="110"/>
      <c r="Z4390" s="25"/>
      <c r="AA4390" s="97">
        <f ca="1">AA4388-AA4389</f>
        <v>-246.85034592445783</v>
      </c>
      <c r="AB4390" s="110"/>
      <c r="AC4390" s="25"/>
      <c r="AD4390" s="97">
        <f ca="1">AD4388-AD4389</f>
        <v>-749.56987206904728</v>
      </c>
      <c r="AE4390" s="110"/>
      <c r="AF4390" s="25"/>
      <c r="AG4390" s="97">
        <f ca="1">AG4388-AG4389</f>
        <v>-1630.8642768184752</v>
      </c>
      <c r="AH4390" s="110"/>
      <c r="AI4390" s="25"/>
      <c r="AJ4390" s="97">
        <f ca="1">AJ4388-AJ4389</f>
        <v>-2927.9786796732305</v>
      </c>
      <c r="AK4390" s="110"/>
      <c r="AL4390" s="25"/>
      <c r="AM4390" s="97">
        <f ca="1">AM4388-AM4389</f>
        <v>-4374.1176404971311</v>
      </c>
      <c r="AN4390" s="110"/>
      <c r="AO4390" s="25"/>
      <c r="AP4390" s="97">
        <f ca="1">AP4388-AP4389</f>
        <v>-5906.1495508903199</v>
      </c>
      <c r="AQ4390" s="110"/>
      <c r="AR4390" s="25"/>
      <c r="AS4390" s="97">
        <f ca="1">AS4388-AS4389</f>
        <v>-8131.9228705851774</v>
      </c>
      <c r="AT4390" s="110"/>
      <c r="AU4390" s="25"/>
    </row>
    <row r="4391" spans="15:47" ht="14.4" x14ac:dyDescent="0.3">
      <c r="O4391" s="2" t="s">
        <v>140</v>
      </c>
      <c r="P4391" s="11"/>
      <c r="Q4391" s="2"/>
      <c r="R4391" s="96">
        <f>R4390/R4388</f>
        <v>0.30272372269666092</v>
      </c>
      <c r="S4391" s="106"/>
      <c r="T4391" s="22"/>
      <c r="U4391" s="96">
        <f ca="1">U4390/U4388</f>
        <v>0.23082541062756376</v>
      </c>
      <c r="V4391" s="111"/>
      <c r="W4391" s="28"/>
      <c r="X4391" s="96">
        <f ca="1">X4390/X4388</f>
        <v>-2.4964813164525026</v>
      </c>
      <c r="Y4391" s="111"/>
      <c r="Z4391" s="28"/>
      <c r="AA4391" s="96">
        <f ca="1">AA4390/AA4388</f>
        <v>1.3211125979090108</v>
      </c>
      <c r="AB4391" s="111"/>
      <c r="AC4391" s="28"/>
      <c r="AD4391" s="96">
        <f ca="1">AD4390/AD4388</f>
        <v>1.0870107619695892</v>
      </c>
      <c r="AE4391" s="111"/>
      <c r="AF4391" s="28"/>
      <c r="AG4391" s="96">
        <f ca="1">AG4390/AG4388</f>
        <v>1.0381955340670934</v>
      </c>
      <c r="AH4391" s="111"/>
      <c r="AI4391" s="28"/>
      <c r="AJ4391" s="96">
        <f ca="1">AJ4390/AJ4388</f>
        <v>1.0209206576134089</v>
      </c>
      <c r="AK4391" s="111"/>
      <c r="AL4391" s="28"/>
      <c r="AM4391" s="96">
        <f ca="1">AM4390/AM4388</f>
        <v>1.0139078265823753</v>
      </c>
      <c r="AN4391" s="111"/>
      <c r="AO4391" s="28"/>
      <c r="AP4391" s="96">
        <f ca="1">AP4390/AP4388</f>
        <v>1.0102631654352501</v>
      </c>
      <c r="AQ4391" s="111"/>
      <c r="AR4391" s="28"/>
      <c r="AS4391" s="96">
        <f ca="1">AS4390/AS4388</f>
        <v>1.0074331731065773</v>
      </c>
      <c r="AT4391" s="111"/>
      <c r="AU4391" s="28"/>
    </row>
    <row r="4392" spans="15:47" x14ac:dyDescent="0.25">
      <c r="O4392" s="2" t="s">
        <v>21</v>
      </c>
      <c r="P4392" s="8">
        <v>12</v>
      </c>
      <c r="Q4392" s="2"/>
      <c r="R4392" s="96">
        <f ca="1">1-R4391/(3*F_GAMMA*R$29)</f>
        <v>0.84233871028556617</v>
      </c>
      <c r="S4392" s="106"/>
      <c r="T4392" s="22"/>
      <c r="U4392" s="96">
        <f ca="1">1-U4391/(3*F_GAMMA*U$29)</f>
        <v>0.87981193825328852</v>
      </c>
      <c r="V4392" s="111"/>
      <c r="W4392" s="28"/>
      <c r="X4392" s="96">
        <f ca="1">1-X4391/(3*F_GAMMA*X$29)</f>
        <v>2.3122687354308242</v>
      </c>
      <c r="Y4392" s="111"/>
      <c r="Z4392" s="28"/>
      <c r="AA4392" s="96">
        <f ca="1">1-AA4391/(3*F_GAMMA*AA$29)</f>
        <v>0.29577181873684188</v>
      </c>
      <c r="AB4392" s="111"/>
      <c r="AC4392" s="28"/>
      <c r="AD4392" s="96">
        <f ca="1">1-AD4391/(3*F_GAMMA*AD$29)</f>
        <v>0.40259060375731703</v>
      </c>
      <c r="AE4392" s="111"/>
      <c r="AF4392" s="28"/>
      <c r="AG4392" s="96">
        <f ca="1">1-AG4391/(3*F_GAMMA*AG$29)</f>
        <v>0.39518053725133151</v>
      </c>
      <c r="AH4392" s="111"/>
      <c r="AI4392" s="28"/>
      <c r="AJ4392" s="96">
        <f ca="1">1-AJ4391/(3*F_GAMMA*AJ$29)</f>
        <v>0.36012432299584096</v>
      </c>
      <c r="AK4392" s="111"/>
      <c r="AL4392" s="28"/>
      <c r="AM4392" s="96">
        <f ca="1">1-AM4391/(3*F_GAMMA*AM$29)</f>
        <v>0.28948064984694399</v>
      </c>
      <c r="AN4392" s="111"/>
      <c r="AO4392" s="28"/>
      <c r="AP4392" s="96">
        <f ca="1">1-AP4391/(3*F_GAMMA*AP$29)</f>
        <v>0.42975330041352544</v>
      </c>
      <c r="AQ4392" s="111"/>
      <c r="AR4392" s="28"/>
      <c r="AS4392" s="96">
        <f ca="1">1-AS4391/(3*F_GAMMA*AS$29)</f>
        <v>0.10852133729867641</v>
      </c>
      <c r="AT4392" s="111"/>
      <c r="AU4392" s="28"/>
    </row>
    <row r="4393" spans="15:47" x14ac:dyDescent="0.25">
      <c r="O4393" s="2" t="s">
        <v>57</v>
      </c>
      <c r="P4393" s="143">
        <v>7</v>
      </c>
      <c r="Q4393" s="2"/>
      <c r="R4393" s="96">
        <f ca="1">(R4386/(N_9*R$27*R4388*R4392))*SQRT(M*'Valve Sizing'!$W$6*'Valve Sizing'!$G$8/R4391)</f>
        <v>65.715795292489858</v>
      </c>
      <c r="S4393" s="107"/>
      <c r="T4393" s="22"/>
      <c r="U4393" s="96">
        <f ca="1">(U4386/(N_9*U$27*U4388*U4392))*SQRT(M*'Valve Sizing'!$W$6*'Valve Sizing'!$G$8/U4391)</f>
        <v>136.48285153840339</v>
      </c>
      <c r="V4393" s="111"/>
      <c r="W4393" s="28"/>
      <c r="X4393" s="96" t="e">
        <f ca="1">(X4386/(N_9*X$27*X4388*X4392))*SQRT(M*'Valve Sizing'!$W$6*'Valve Sizing'!$G$8/X4391)</f>
        <v>#NUM!</v>
      </c>
      <c r="Y4393" s="111"/>
      <c r="Z4393" s="28"/>
      <c r="AA4393" s="96">
        <f ca="1">(AA4386/(N_9*AA$27*AA4388*AA4392))*SQRT(M*'Valve Sizing'!$W$6*'Valve Sizing'!$G$8/AA4391)</f>
        <v>-340.67428775587393</v>
      </c>
      <c r="AB4393" s="111"/>
      <c r="AC4393" s="28"/>
      <c r="AD4393" s="96">
        <f ca="1">(AD4386/(N_9*AD$27*AD4388*AD4392))*SQRT(M*'Valve Sizing'!$W$6*'Valve Sizing'!$G$8/AD4391)</f>
        <v>-126.98706404594093</v>
      </c>
      <c r="AE4393" s="111"/>
      <c r="AF4393" s="28"/>
      <c r="AG4393" s="96">
        <f ca="1">(AG4386/(N_9*AG$27*AG4388*AG4392))*SQRT(M*'Valve Sizing'!$W$6*'Valve Sizing'!$G$8/AG4391)</f>
        <v>-86.720554398868387</v>
      </c>
      <c r="AH4393" s="111"/>
      <c r="AI4393" s="28"/>
      <c r="AJ4393" s="96">
        <f ca="1">(AJ4386/(N_9*AJ$27*AJ4388*AJ4392))*SQRT(M*'Valve Sizing'!$W$6*'Valve Sizing'!$G$8/AJ4391)</f>
        <v>-72.679903884622377</v>
      </c>
      <c r="AK4393" s="111"/>
      <c r="AL4393" s="28"/>
      <c r="AM4393" s="96">
        <f ca="1">(AM4386/(N_9*AM$27*AM4388*AM4392))*SQRT(M*'Valve Sizing'!$W$6*'Valve Sizing'!$G$8/AM4391)</f>
        <v>-78.086169892062884</v>
      </c>
      <c r="AN4393" s="111"/>
      <c r="AO4393" s="28"/>
      <c r="AP4393" s="96">
        <f ca="1">(AP4386/(N_9*AP$27*AP4388*AP4392))*SQRT(M*'Valve Sizing'!$W$6*'Valve Sizing'!$G$8/AP4391)</f>
        <v>-51.382538133634078</v>
      </c>
      <c r="AQ4393" s="111"/>
      <c r="AR4393" s="28"/>
      <c r="AS4393" s="96">
        <f ca="1">(AS4386/(N_9*AS$27*AS4388*AS4392))*SQRT(M*'Valve Sizing'!$W$6*'Valve Sizing'!$G$8/AS4391)</f>
        <v>-231.77718845515241</v>
      </c>
      <c r="AT4393" s="111"/>
      <c r="AU4393" s="28"/>
    </row>
    <row r="4394" spans="15:47" x14ac:dyDescent="0.25">
      <c r="O4394" s="2" t="s">
        <v>59</v>
      </c>
      <c r="P4394" s="143">
        <v>7</v>
      </c>
      <c r="Q4394" s="2"/>
      <c r="R4394" s="96">
        <f ca="1">(R4386/(N_9*R$27*R4388*0.667))*SQRT(M*'Valve Sizing'!$W$6*'Valve Sizing'!$G$8/R4395)</f>
        <v>57.076043260341763</v>
      </c>
      <c r="S4394" s="107"/>
      <c r="T4394" s="22"/>
      <c r="U4394" s="96">
        <f ca="1">(U4386/(N_9*U$27*U4388*0.667))*SQRT(M*'Valve Sizing'!$W$6*'Valve Sizing'!$G$8/U4395)</f>
        <v>108.10191749395103</v>
      </c>
      <c r="V4394" s="111"/>
      <c r="W4394" s="28"/>
      <c r="X4394" s="96">
        <f ca="1">(X4386/(N_9*X$27*X4388*0.667))*SQRT(M*'Valve Sizing'!$W$6*'Valve Sizing'!$G$8/X4395)</f>
        <v>1211.7702756145977</v>
      </c>
      <c r="Y4394" s="111"/>
      <c r="Z4394" s="28"/>
      <c r="AA4394" s="96">
        <f ca="1">(AA4386/(N_9*AA$27*AA4388*0.667))*SQRT(M*'Valve Sizing'!$W$6*'Valve Sizing'!$G$8/AA4395)</f>
        <v>-219.57740191015316</v>
      </c>
      <c r="AB4394" s="111"/>
      <c r="AC4394" s="28"/>
      <c r="AD4394" s="96">
        <f ca="1">(AD4386/(N_9*AD$27*AD4388*0.667))*SQRT(M*'Valve Sizing'!$W$6*'Valve Sizing'!$G$8/AD4395)</f>
        <v>-102.61100348529538</v>
      </c>
      <c r="AE4394" s="111"/>
      <c r="AF4394" s="28"/>
      <c r="AG4394" s="96">
        <f ca="1">(AG4386/(N_9*AG$27*AG4388*0.667))*SQRT(M*'Valve Sizing'!$W$6*'Valve Sizing'!$G$8/AG4395)</f>
        <v>-69.209428877606499</v>
      </c>
      <c r="AH4394" s="111"/>
      <c r="AI4394" s="28"/>
      <c r="AJ4394" s="96">
        <f ca="1">(AJ4386/(N_9*AJ$27*AJ4388*0.667))*SQRT(M*'Valve Sizing'!$W$6*'Valve Sizing'!$G$8/AJ4395)</f>
        <v>-54.368755688314089</v>
      </c>
      <c r="AK4394" s="111"/>
      <c r="AL4394" s="28"/>
      <c r="AM4394" s="96">
        <f ca="1">(AM4386/(N_9*AM$27*AM4388*0.667))*SQRT(M*'Valve Sizing'!$W$6*'Valve Sizing'!$G$8/AM4395)</f>
        <v>-49.478486739393077</v>
      </c>
      <c r="AN4394" s="111"/>
      <c r="AO4394" s="28"/>
      <c r="AP4394" s="96">
        <f ca="1">(AP4386/(N_9*AP$27*AP4388*0.667))*SQRT(M*'Valve Sizing'!$W$6*'Valve Sizing'!$G$8/AP4395)</f>
        <v>-43.301302243533122</v>
      </c>
      <c r="AQ4394" s="111"/>
      <c r="AR4394" s="28"/>
      <c r="AS4394" s="96">
        <f ca="1">(AS4386/(N_9*AS$27*AS4388*0.667))*SQRT(M*'Valve Sizing'!$W$6*'Valve Sizing'!$G$8/AS4395)</f>
        <v>-61.670305127504456</v>
      </c>
      <c r="AT4394" s="111"/>
      <c r="AU4394" s="28"/>
    </row>
    <row r="4395" spans="15:47" ht="15.6" x14ac:dyDescent="0.35">
      <c r="O4395" s="2" t="s">
        <v>68</v>
      </c>
      <c r="P4395" s="143">
        <v>10</v>
      </c>
      <c r="Q4395" s="2"/>
      <c r="R4395" s="96">
        <f ca="1">F_GAMMA*R$29</f>
        <v>0.64002969751372984</v>
      </c>
      <c r="S4395" s="107"/>
      <c r="T4395" s="1"/>
      <c r="U4395" s="96">
        <f ca="1">F_GAMMA*U$29</f>
        <v>0.64017842058782071</v>
      </c>
      <c r="V4395" s="111"/>
      <c r="W4395" s="28"/>
      <c r="X4395" s="96">
        <f ca="1">F_GAMMA*X$29</f>
        <v>0.63413873724904268</v>
      </c>
      <c r="Y4395" s="111"/>
      <c r="Z4395" s="28"/>
      <c r="AA4395" s="96">
        <f ca="1">F_GAMMA*AA$29</f>
        <v>0.62532411750377137</v>
      </c>
      <c r="AB4395" s="111"/>
      <c r="AC4395" s="28"/>
      <c r="AD4395" s="96">
        <f ca="1">F_GAMMA*AD$29</f>
        <v>0.60651359509139569</v>
      </c>
      <c r="AE4395" s="111"/>
      <c r="AF4395" s="28"/>
      <c r="AG4395" s="96">
        <f ca="1">F_GAMMA*AG$29</f>
        <v>0.57217930198481592</v>
      </c>
      <c r="AH4395" s="111"/>
      <c r="AI4395" s="28"/>
      <c r="AJ4395" s="96">
        <f ca="1">F_GAMMA*AJ$29</f>
        <v>0.53183282018848232</v>
      </c>
      <c r="AK4395" s="111"/>
      <c r="AL4395" s="28"/>
      <c r="AM4395" s="96">
        <f ca="1">F_GAMMA*AM$29</f>
        <v>0.47566512503094399</v>
      </c>
      <c r="AN4395" s="111"/>
      <c r="AO4395" s="28"/>
      <c r="AP4395" s="96">
        <f ca="1">F_GAMMA*AP$29</f>
        <v>0.59054158265645496</v>
      </c>
      <c r="AQ4395" s="111"/>
      <c r="AR4395" s="28"/>
      <c r="AS4395" s="96">
        <f ca="1">F_GAMMA*AS$29</f>
        <v>0.3766899554102966</v>
      </c>
      <c r="AT4395" s="111"/>
      <c r="AU4395" s="28"/>
    </row>
    <row r="4396" spans="15:47" x14ac:dyDescent="0.25">
      <c r="O4396" s="2" t="s">
        <v>145</v>
      </c>
      <c r="P4396" s="12"/>
      <c r="Q4396" s="2"/>
      <c r="R4396" s="96">
        <f ca="1">IF(R4391&lt;R4395,R4393,R4394)</f>
        <v>65.715795292489858</v>
      </c>
      <c r="S4396" s="116"/>
      <c r="T4396" s="1"/>
      <c r="U4396" s="96">
        <f ca="1">IF(U4391&lt;U4395,U4393,U4394)</f>
        <v>136.48285153840339</v>
      </c>
      <c r="V4396" s="111"/>
      <c r="W4396" s="28"/>
      <c r="X4396" s="96" t="e">
        <f ca="1">IF(X4391&lt;X4395,X4393,X4394)</f>
        <v>#NUM!</v>
      </c>
      <c r="Y4396" s="111"/>
      <c r="Z4396" s="28"/>
      <c r="AA4396" s="96">
        <f ca="1">IF(AA4391&lt;AA4395,AA4393,AA4394)</f>
        <v>-219.57740191015316</v>
      </c>
      <c r="AB4396" s="111"/>
      <c r="AC4396" s="28"/>
      <c r="AD4396" s="96">
        <f ca="1">IF(AD4391&lt;AD4395,AD4393,AD4394)</f>
        <v>-102.61100348529538</v>
      </c>
      <c r="AE4396" s="111"/>
      <c r="AF4396" s="28"/>
      <c r="AG4396" s="96">
        <f ca="1">IF(AG4391&lt;AG4395,AG4393,AG4394)</f>
        <v>-69.209428877606499</v>
      </c>
      <c r="AH4396" s="111"/>
      <c r="AI4396" s="28"/>
      <c r="AJ4396" s="96">
        <f ca="1">IF(AJ4391&lt;AJ4395,AJ4393,AJ4394)</f>
        <v>-54.368755688314089</v>
      </c>
      <c r="AK4396" s="111"/>
      <c r="AL4396" s="28"/>
      <c r="AM4396" s="96">
        <f ca="1">IF(AM4391&lt;AM4395,AM4393,AM4394)</f>
        <v>-49.478486739393077</v>
      </c>
      <c r="AN4396" s="111"/>
      <c r="AO4396" s="28"/>
      <c r="AP4396" s="96">
        <f ca="1">IF(AP4391&lt;AP4395,AP4393,AP4394)</f>
        <v>-43.301302243533122</v>
      </c>
      <c r="AQ4396" s="111"/>
      <c r="AR4396" s="28"/>
      <c r="AS4396" s="96">
        <f ca="1">IF(AS4391&lt;AS4395,AS4393,AS4394)</f>
        <v>-61.670305127504456</v>
      </c>
      <c r="AT4396" s="111"/>
      <c r="AU4396" s="28"/>
    </row>
    <row r="4397" spans="15:47" x14ac:dyDescent="0.25">
      <c r="O4397" s="13" t="s">
        <v>143</v>
      </c>
      <c r="P4397" s="1"/>
      <c r="Q4397" s="1"/>
      <c r="R4397" s="113"/>
      <c r="S4397" s="106">
        <f ca="1">IF(R4390&lt;=0,Q_max,ABS(R$23-R4396))</f>
        <v>60.985795292489854</v>
      </c>
      <c r="T4397" s="7">
        <f>R4386</f>
        <v>150639.92178508401</v>
      </c>
      <c r="U4397" s="98"/>
      <c r="V4397" s="106">
        <f ca="1">IF(U4390&lt;=0,Q_max,ABS(U$23-U4396))</f>
        <v>124.8828515384034</v>
      </c>
      <c r="W4397" s="9">
        <f ca="1">U4386</f>
        <v>258502.75182752116</v>
      </c>
      <c r="X4397" s="98"/>
      <c r="Y4397" s="106">
        <f ca="1">IF(X4390&lt;=0,Q_max,ABS(X$23-X4396))</f>
        <v>236393</v>
      </c>
      <c r="Z4397" s="9">
        <f ca="1">X4386</f>
        <v>632978.2846114157</v>
      </c>
      <c r="AA4397" s="98"/>
      <c r="AB4397" s="106">
        <f ca="1">IF(AA4390&lt;=0,Q_max,ABS(AA$23-AA4396))</f>
        <v>236393</v>
      </c>
      <c r="AC4397" s="9">
        <f ca="1">AA4386</f>
        <v>1232880.1336191432</v>
      </c>
      <c r="AD4397" s="98"/>
      <c r="AE4397" s="106">
        <f ca="1">IF(AD4390&lt;=0,Q_max,ABS(AD$23-AD4396))</f>
        <v>236393</v>
      </c>
      <c r="AF4397" s="9">
        <f ca="1">AD4386</f>
        <v>2068389.3416645913</v>
      </c>
      <c r="AG4397" s="98"/>
      <c r="AH4397" s="106">
        <f ca="1">IF(AG4390&lt;=0,Q_max,ABS(AG$23-AG4396))</f>
        <v>236393</v>
      </c>
      <c r="AI4397" s="9">
        <f ca="1">AG4386</f>
        <v>3018870.5791048184</v>
      </c>
      <c r="AJ4397" s="98"/>
      <c r="AK4397" s="106">
        <f ca="1">IF(AJ4390&lt;=0,Q_max,ABS(AJ$23-AJ4396))</f>
        <v>236393</v>
      </c>
      <c r="AL4397" s="9">
        <f ca="1">AJ4386</f>
        <v>4028694.4906701497</v>
      </c>
      <c r="AM4397" s="98"/>
      <c r="AN4397" s="106">
        <f ca="1">IF(AM4390&lt;=0,Q_max,ABS(AM$23-AM4396))</f>
        <v>236393</v>
      </c>
      <c r="AO4397" s="9">
        <f ca="1">AM4386</f>
        <v>4915772.8915089658</v>
      </c>
      <c r="AP4397" s="98"/>
      <c r="AQ4397" s="106">
        <f ca="1">IF(AP4390&lt;=0,Q_max,ABS(AP$23-AP4396))</f>
        <v>236393</v>
      </c>
      <c r="AR4397" s="9">
        <f ca="1">AP4386</f>
        <v>5707059.718691323</v>
      </c>
      <c r="AS4397" s="98"/>
      <c r="AT4397" s="106">
        <f ca="1">IF(AS4390&lt;=0,Q_max,ABS(AS$23-AS4396))</f>
        <v>236393</v>
      </c>
      <c r="AU4397" s="9">
        <f ca="1">AS4386</f>
        <v>6691976.3514416972</v>
      </c>
    </row>
    <row r="4398" spans="15:47" x14ac:dyDescent="0.25">
      <c r="O4398" s="21"/>
      <c r="P4398" s="14"/>
      <c r="Q4398" s="21"/>
      <c r="R4398" s="97"/>
      <c r="S4398" s="106"/>
      <c r="T4398" s="28"/>
      <c r="U4398" s="97"/>
      <c r="V4398" s="111"/>
      <c r="W4398" s="28"/>
      <c r="X4398" s="97"/>
      <c r="Y4398" s="111"/>
      <c r="Z4398" s="28"/>
      <c r="AA4398" s="97"/>
      <c r="AB4398" s="111"/>
      <c r="AC4398" s="28"/>
      <c r="AD4398" s="97"/>
      <c r="AE4398" s="111"/>
      <c r="AF4398" s="28"/>
      <c r="AG4398" s="97"/>
      <c r="AH4398" s="111"/>
      <c r="AI4398" s="28"/>
      <c r="AJ4398" s="97"/>
      <c r="AK4398" s="111"/>
      <c r="AL4398" s="28"/>
      <c r="AM4398" s="97"/>
      <c r="AN4398" s="111"/>
      <c r="AO4398" s="28"/>
      <c r="AP4398" s="97"/>
      <c r="AQ4398" s="111"/>
      <c r="AR4398" s="28"/>
      <c r="AS4398" s="97"/>
      <c r="AT4398" s="111"/>
      <c r="AU4398" s="28"/>
    </row>
    <row r="4399" spans="15:47" x14ac:dyDescent="0.25">
      <c r="O4399" s="1"/>
      <c r="P4399" s="1"/>
      <c r="Q4399" s="1"/>
      <c r="R4399" s="98"/>
      <c r="S4399" s="108" t="s">
        <v>137</v>
      </c>
      <c r="T4399" s="26" t="s">
        <v>146</v>
      </c>
      <c r="U4399" s="98"/>
      <c r="V4399" s="108" t="s">
        <v>137</v>
      </c>
      <c r="W4399" s="26" t="s">
        <v>146</v>
      </c>
      <c r="X4399" s="98"/>
      <c r="Y4399" s="108" t="s">
        <v>137</v>
      </c>
      <c r="Z4399" s="26" t="s">
        <v>146</v>
      </c>
      <c r="AA4399" s="98"/>
      <c r="AB4399" s="108" t="s">
        <v>137</v>
      </c>
      <c r="AC4399" s="26" t="s">
        <v>146</v>
      </c>
      <c r="AD4399" s="98"/>
      <c r="AE4399" s="108" t="s">
        <v>137</v>
      </c>
      <c r="AF4399" s="26" t="s">
        <v>146</v>
      </c>
      <c r="AG4399" s="98"/>
      <c r="AH4399" s="108" t="s">
        <v>137</v>
      </c>
      <c r="AI4399" s="26" t="s">
        <v>146</v>
      </c>
      <c r="AJ4399" s="98"/>
      <c r="AK4399" s="108" t="s">
        <v>137</v>
      </c>
      <c r="AL4399" s="26" t="s">
        <v>146</v>
      </c>
      <c r="AM4399" s="98"/>
      <c r="AN4399" s="108" t="s">
        <v>137</v>
      </c>
      <c r="AO4399" s="26" t="s">
        <v>146</v>
      </c>
      <c r="AP4399" s="98"/>
      <c r="AQ4399" s="108" t="s">
        <v>137</v>
      </c>
      <c r="AR4399" s="26" t="s">
        <v>146</v>
      </c>
      <c r="AS4399" s="98"/>
      <c r="AT4399" s="108" t="s">
        <v>137</v>
      </c>
      <c r="AU4399" s="26" t="s">
        <v>146</v>
      </c>
    </row>
    <row r="4400" spans="15:47" ht="13.8" x14ac:dyDescent="0.25">
      <c r="O4400" s="20" t="s">
        <v>136</v>
      </c>
      <c r="P4400" s="1"/>
      <c r="Q4400" s="1"/>
      <c r="R4400" s="96">
        <f>R4386*1.02</f>
        <v>153652.72022078568</v>
      </c>
      <c r="S4400" s="109" t="s">
        <v>144</v>
      </c>
      <c r="T4400" s="23" t="s">
        <v>147</v>
      </c>
      <c r="U4400" s="96">
        <f ca="1">U4386*1.01</f>
        <v>261087.77934579639</v>
      </c>
      <c r="V4400" s="109" t="s">
        <v>144</v>
      </c>
      <c r="W4400" s="23" t="s">
        <v>147</v>
      </c>
      <c r="X4400" s="96">
        <f ca="1">X4386*1.01</f>
        <v>639308.06745752983</v>
      </c>
      <c r="Y4400" s="109" t="s">
        <v>144</v>
      </c>
      <c r="Z4400" s="23" t="s">
        <v>147</v>
      </c>
      <c r="AA4400" s="96">
        <f ca="1">AA4386*1.01</f>
        <v>1245208.9349553345</v>
      </c>
      <c r="AB4400" s="109" t="s">
        <v>144</v>
      </c>
      <c r="AC4400" s="23" t="s">
        <v>147</v>
      </c>
      <c r="AD4400" s="96">
        <f ca="1">AD4386*1.01</f>
        <v>2089073.2350812373</v>
      </c>
      <c r="AE4400" s="109" t="s">
        <v>144</v>
      </c>
      <c r="AF4400" s="23" t="s">
        <v>147</v>
      </c>
      <c r="AG4400" s="96">
        <f ca="1">AG4386*1.01</f>
        <v>3049059.2848958666</v>
      </c>
      <c r="AH4400" s="109" t="s">
        <v>144</v>
      </c>
      <c r="AI4400" s="23" t="s">
        <v>147</v>
      </c>
      <c r="AJ4400" s="96">
        <f ca="1">AJ4386*1.01</f>
        <v>4068981.435576851</v>
      </c>
      <c r="AK4400" s="109" t="s">
        <v>144</v>
      </c>
      <c r="AL4400" s="23" t="s">
        <v>147</v>
      </c>
      <c r="AM4400" s="96">
        <f ca="1">AM4386*1.01</f>
        <v>4964930.6204240555</v>
      </c>
      <c r="AN4400" s="109" t="s">
        <v>144</v>
      </c>
      <c r="AO4400" s="23" t="s">
        <v>147</v>
      </c>
      <c r="AP4400" s="96">
        <f ca="1">AP4386*1.01</f>
        <v>5764130.3158782367</v>
      </c>
      <c r="AQ4400" s="109" t="s">
        <v>144</v>
      </c>
      <c r="AR4400" s="23" t="s">
        <v>147</v>
      </c>
      <c r="AS4400" s="96">
        <f ca="1">AS4386*1.01</f>
        <v>6758896.1149561144</v>
      </c>
      <c r="AT4400" s="109" t="s">
        <v>144</v>
      </c>
      <c r="AU4400" s="23" t="s">
        <v>147</v>
      </c>
    </row>
    <row r="4401" spans="15:47" x14ac:dyDescent="0.25">
      <c r="O4401" s="1"/>
      <c r="P4401" s="1"/>
      <c r="Q4401" s="1"/>
      <c r="R4401" s="98"/>
      <c r="S4401" s="107"/>
      <c r="T4401" s="1"/>
      <c r="U4401" s="47"/>
      <c r="V4401" s="107"/>
      <c r="W4401" s="1"/>
      <c r="X4401" s="47"/>
      <c r="Y4401" s="107"/>
      <c r="Z4401" s="1"/>
      <c r="AA4401" s="47"/>
      <c r="AB4401" s="107"/>
      <c r="AC4401" s="1"/>
      <c r="AD4401" s="47"/>
      <c r="AE4401" s="107"/>
      <c r="AF4401" s="1"/>
      <c r="AG4401" s="47"/>
      <c r="AH4401" s="107"/>
      <c r="AI4401" s="1"/>
      <c r="AJ4401" s="47"/>
      <c r="AK4401" s="107"/>
      <c r="AL4401" s="1"/>
      <c r="AM4401" s="47"/>
      <c r="AN4401" s="107"/>
      <c r="AO4401" s="1"/>
      <c r="AP4401" s="47"/>
      <c r="AQ4401" s="107"/>
      <c r="AR4401" s="1"/>
      <c r="AS4401" s="47"/>
      <c r="AT4401" s="107"/>
      <c r="AU4401" s="1"/>
    </row>
    <row r="4402" spans="15:47" x14ac:dyDescent="0.25">
      <c r="O4402" s="8" t="s">
        <v>132</v>
      </c>
      <c r="P4402" s="8"/>
      <c r="Q4402" s="8"/>
      <c r="R4402" s="96">
        <f>P_1_minQ-(R4400^2*R_up)+dpup_minQ</f>
        <v>85.882013801885563</v>
      </c>
      <c r="S4402" s="106"/>
      <c r="T4402" s="22"/>
      <c r="U4402" s="96">
        <f ca="1">P_1_minQ-(U4400^2*R_up)+dpup_minQ</f>
        <v>77.760892249834015</v>
      </c>
      <c r="V4402" s="107"/>
      <c r="W4402" s="1"/>
      <c r="X4402" s="96">
        <f ca="1">P_1_minQ-(X4400^2*R_up)+dpup_minQ</f>
        <v>15.69230772838611</v>
      </c>
      <c r="Y4402" s="107"/>
      <c r="Z4402" s="1"/>
      <c r="AA4402" s="96">
        <f ca="1">P_1_minQ-(AA4400^2*R_up)+dpup_minQ</f>
        <v>-192.41875719219757</v>
      </c>
      <c r="AB4402" s="107"/>
      <c r="AC4402" s="1"/>
      <c r="AD4402" s="96">
        <f ca="1">P_1_minQ-(AD4400^2*R_up)+dpup_minQ</f>
        <v>-705.24294581229333</v>
      </c>
      <c r="AE4402" s="107"/>
      <c r="AF4402" s="1"/>
      <c r="AG4402" s="96">
        <f ca="1">P_1_minQ-(AG4400^2*R_up)+dpup_minQ</f>
        <v>-1604.2513680971847</v>
      </c>
      <c r="AH4402" s="107"/>
      <c r="AI4402" s="1"/>
      <c r="AJ4402" s="96">
        <f ca="1">P_1_minQ-(AJ4400^2*R_up)+dpup_minQ</f>
        <v>-2927.4377704493204</v>
      </c>
      <c r="AK4402" s="107"/>
      <c r="AL4402" s="1"/>
      <c r="AM4402" s="96">
        <f ca="1">P_1_minQ-(AM4400^2*R_up)+dpup_minQ</f>
        <v>-4402.6441243857826</v>
      </c>
      <c r="AN4402" s="107"/>
      <c r="AO4402" s="1"/>
      <c r="AP4402" s="96">
        <f ca="1">P_1_minQ-(AP4400^2*R_up)+dpup_minQ</f>
        <v>-5965.4698761778745</v>
      </c>
      <c r="AQ4402" s="107"/>
      <c r="AR4402" s="1"/>
      <c r="AS4402" s="96">
        <f ca="1">P_1_minQ-(AS4400^2*R_up)+dpup_minQ</f>
        <v>-8235.9812395985991</v>
      </c>
      <c r="AT4402" s="107"/>
      <c r="AU4402" s="1"/>
    </row>
    <row r="4403" spans="15:47" x14ac:dyDescent="0.25">
      <c r="O4403" s="8" t="s">
        <v>134</v>
      </c>
      <c r="P4403" s="1"/>
      <c r="Q4403" s="8"/>
      <c r="R4403" s="97">
        <f>P_2_minQ+(R4400^2*R_dn)-dpdn_minQ</f>
        <v>60</v>
      </c>
      <c r="S4403" s="106"/>
      <c r="T4403" s="22"/>
      <c r="U4403" s="97">
        <f ca="1">P_2_minQ+(U4400^2*R_dn)-dpdn_minQ</f>
        <v>60</v>
      </c>
      <c r="V4403" s="107"/>
      <c r="W4403" s="1"/>
      <c r="X4403" s="97">
        <f ca="1">P_2_minQ+(X4400^2*R_dn)-dpdn_minQ</f>
        <v>60</v>
      </c>
      <c r="Y4403" s="107"/>
      <c r="Z4403" s="1"/>
      <c r="AA4403" s="97">
        <f ca="1">P_2_minQ+(AA4400^2*R_dn)-dpdn_minQ</f>
        <v>60</v>
      </c>
      <c r="AB4403" s="107"/>
      <c r="AC4403" s="1"/>
      <c r="AD4403" s="97">
        <f ca="1">P_2_minQ+(AD4400^2*R_dn)-dpdn_minQ</f>
        <v>60</v>
      </c>
      <c r="AE4403" s="107"/>
      <c r="AF4403" s="1"/>
      <c r="AG4403" s="97">
        <f ca="1">P_2_minQ+(AG4400^2*R_dn)-dpdn_minQ</f>
        <v>60</v>
      </c>
      <c r="AH4403" s="107"/>
      <c r="AI4403" s="1"/>
      <c r="AJ4403" s="97">
        <f ca="1">P_2_minQ+(AJ4400^2*R_dn)-dpdn_minQ</f>
        <v>60</v>
      </c>
      <c r="AK4403" s="107"/>
      <c r="AL4403" s="1"/>
      <c r="AM4403" s="97">
        <f ca="1">P_2_minQ+(AM4400^2*R_dn)-dpdn_minQ</f>
        <v>60</v>
      </c>
      <c r="AN4403" s="107"/>
      <c r="AO4403" s="1"/>
      <c r="AP4403" s="97">
        <f ca="1">P_2_minQ+(AP4400^2*R_dn)-dpdn_minQ</f>
        <v>60</v>
      </c>
      <c r="AQ4403" s="107"/>
      <c r="AR4403" s="1"/>
      <c r="AS4403" s="97">
        <f ca="1">P_2_minQ+(AS4400^2*R_dn)-dpdn_minQ</f>
        <v>60</v>
      </c>
      <c r="AT4403" s="107"/>
      <c r="AU4403" s="1"/>
    </row>
    <row r="4404" spans="15:47" x14ac:dyDescent="0.25">
      <c r="O4404" s="8" t="s">
        <v>138</v>
      </c>
      <c r="P4404" s="1"/>
      <c r="Q4404" s="8"/>
      <c r="R4404" s="97">
        <f>R4402-R4403</f>
        <v>25.882013801885563</v>
      </c>
      <c r="S4404" s="106"/>
      <c r="T4404" s="22"/>
      <c r="U4404" s="97">
        <f ca="1">U4402-U4403</f>
        <v>17.760892249834015</v>
      </c>
      <c r="V4404" s="110"/>
      <c r="W4404" s="25"/>
      <c r="X4404" s="97">
        <f ca="1">X4402-X4403</f>
        <v>-44.307692271613888</v>
      </c>
      <c r="Y4404" s="110"/>
      <c r="Z4404" s="25"/>
      <c r="AA4404" s="97">
        <f ca="1">AA4402-AA4403</f>
        <v>-252.41875719219757</v>
      </c>
      <c r="AB4404" s="110"/>
      <c r="AC4404" s="25"/>
      <c r="AD4404" s="97">
        <f ca="1">AD4402-AD4403</f>
        <v>-765.24294581229333</v>
      </c>
      <c r="AE4404" s="110"/>
      <c r="AF4404" s="25"/>
      <c r="AG4404" s="97">
        <f ca="1">AG4402-AG4403</f>
        <v>-1664.2513680971847</v>
      </c>
      <c r="AH4404" s="110"/>
      <c r="AI4404" s="25"/>
      <c r="AJ4404" s="97">
        <f ca="1">AJ4402-AJ4403</f>
        <v>-2987.4377704493204</v>
      </c>
      <c r="AK4404" s="110"/>
      <c r="AL4404" s="25"/>
      <c r="AM4404" s="97">
        <f ca="1">AM4402-AM4403</f>
        <v>-4462.6441243857826</v>
      </c>
      <c r="AN4404" s="110"/>
      <c r="AO4404" s="25"/>
      <c r="AP4404" s="97">
        <f ca="1">AP4402-AP4403</f>
        <v>-6025.4698761778745</v>
      </c>
      <c r="AQ4404" s="110"/>
      <c r="AR4404" s="25"/>
      <c r="AS4404" s="97">
        <f ca="1">AS4402-AS4403</f>
        <v>-8295.9812395985991</v>
      </c>
      <c r="AT4404" s="110"/>
      <c r="AU4404" s="25"/>
    </row>
    <row r="4405" spans="15:47" ht="14.4" x14ac:dyDescent="0.3">
      <c r="O4405" s="2" t="s">
        <v>140</v>
      </c>
      <c r="P4405" s="11"/>
      <c r="Q4405" s="2"/>
      <c r="R4405" s="96">
        <f>R4404/R4402</f>
        <v>0.3013671041947239</v>
      </c>
      <c r="S4405" s="106"/>
      <c r="T4405" s="22"/>
      <c r="U4405" s="96">
        <f ca="1">U4404/U4402</f>
        <v>0.22840391533537124</v>
      </c>
      <c r="V4405" s="111"/>
      <c r="W4405" s="28"/>
      <c r="X4405" s="96">
        <f ca="1">X4404/X4402</f>
        <v>-2.8235294029739726</v>
      </c>
      <c r="Y4405" s="111"/>
      <c r="Z4405" s="28"/>
      <c r="AA4405" s="96">
        <f ca="1">AA4404/AA4402</f>
        <v>1.3118199123387382</v>
      </c>
      <c r="AB4405" s="111"/>
      <c r="AC4405" s="28"/>
      <c r="AD4405" s="96">
        <f ca="1">AD4404/AD4402</f>
        <v>1.0850770650827177</v>
      </c>
      <c r="AE4405" s="111"/>
      <c r="AF4405" s="28"/>
      <c r="AG4405" s="96">
        <f ca="1">AG4404/AG4402</f>
        <v>1.0374006226163712</v>
      </c>
      <c r="AH4405" s="111"/>
      <c r="AI4405" s="28"/>
      <c r="AJ4405" s="96">
        <f ca="1">AJ4404/AJ4402</f>
        <v>1.0204957388353948</v>
      </c>
      <c r="AK4405" s="111"/>
      <c r="AL4405" s="28"/>
      <c r="AM4405" s="96">
        <f ca="1">AM4404/AM4402</f>
        <v>1.0136281739574784</v>
      </c>
      <c r="AN4405" s="111"/>
      <c r="AO4405" s="28"/>
      <c r="AP4405" s="96">
        <f ca="1">AP4404/AP4402</f>
        <v>1.0100578833261065</v>
      </c>
      <c r="AQ4405" s="111"/>
      <c r="AR4405" s="28"/>
      <c r="AS4405" s="96">
        <f ca="1">AS4404/AS4402</f>
        <v>1.0072851064438466</v>
      </c>
      <c r="AT4405" s="111"/>
      <c r="AU4405" s="28"/>
    </row>
    <row r="4406" spans="15:47" x14ac:dyDescent="0.25">
      <c r="O4406" s="2" t="s">
        <v>21</v>
      </c>
      <c r="P4406" s="8">
        <v>12</v>
      </c>
      <c r="Q4406" s="2"/>
      <c r="R4406" s="96">
        <f ca="1">1-R4405/(3*F_GAMMA*R$29)</f>
        <v>0.84304524963689464</v>
      </c>
      <c r="S4406" s="106"/>
      <c r="T4406" s="22"/>
      <c r="U4406" s="96">
        <f ca="1">1-U4405/(3*F_GAMMA*U$29)</f>
        <v>0.88107278221715779</v>
      </c>
      <c r="V4406" s="111"/>
      <c r="W4406" s="28"/>
      <c r="X4406" s="96">
        <f ca="1">1-X4405/(3*F_GAMMA*X$29)</f>
        <v>2.4841806885050244</v>
      </c>
      <c r="Y4406" s="111"/>
      <c r="Z4406" s="28"/>
      <c r="AA4406" s="96">
        <f ca="1">1-AA4405/(3*F_GAMMA*AA$29)</f>
        <v>0.30072534886634128</v>
      </c>
      <c r="AB4406" s="111"/>
      <c r="AC4406" s="28"/>
      <c r="AD4406" s="96">
        <f ca="1">1-AD4405/(3*F_GAMMA*AD$29)</f>
        <v>0.40365334272009334</v>
      </c>
      <c r="AE4406" s="111"/>
      <c r="AF4406" s="28"/>
      <c r="AG4406" s="96">
        <f ca="1">1-AG4405/(3*F_GAMMA*AG$29)</f>
        <v>0.39564362719998036</v>
      </c>
      <c r="AH4406" s="111"/>
      <c r="AI4406" s="28"/>
      <c r="AJ4406" s="96">
        <f ca="1">1-AJ4405/(3*F_GAMMA*AJ$29)</f>
        <v>0.36039064652326291</v>
      </c>
      <c r="AK4406" s="111"/>
      <c r="AL4406" s="28"/>
      <c r="AM4406" s="96">
        <f ca="1">1-AM4405/(3*F_GAMMA*AM$29)</f>
        <v>0.28967662288916829</v>
      </c>
      <c r="AN4406" s="111"/>
      <c r="AO4406" s="28"/>
      <c r="AP4406" s="96">
        <f ca="1">1-AP4405/(3*F_GAMMA*AP$29)</f>
        <v>0.42986917264288937</v>
      </c>
      <c r="AQ4406" s="111"/>
      <c r="AR4406" s="28"/>
      <c r="AS4406" s="96">
        <f ca="1">1-AS4405/(3*F_GAMMA*AS$29)</f>
        <v>0.10865236164252923</v>
      </c>
      <c r="AT4406" s="111"/>
      <c r="AU4406" s="28"/>
    </row>
    <row r="4407" spans="15:47" x14ac:dyDescent="0.25">
      <c r="O4407" s="2" t="s">
        <v>57</v>
      </c>
      <c r="P4407" s="143">
        <v>7</v>
      </c>
      <c r="Q4407" s="2"/>
      <c r="R4407" s="96">
        <f ca="1">(R4400/(N_9*R$27*R4402*R4406))*SQRT(M*'Valve Sizing'!$W$6*'Valve Sizing'!$G$8/R4405)</f>
        <v>67.255105762319701</v>
      </c>
      <c r="S4407" s="107"/>
      <c r="T4407" s="22"/>
      <c r="U4407" s="96">
        <f ca="1">(U4400/(N_9*U$27*U4402*U4406))*SQRT(M*'Valve Sizing'!$W$6*'Valve Sizing'!$G$8/U4405)</f>
        <v>138.81380213868772</v>
      </c>
      <c r="V4407" s="111"/>
      <c r="W4407" s="28"/>
      <c r="X4407" s="96" t="e">
        <f ca="1">(X4400/(N_9*X$27*X4402*X4406))*SQRT(M*'Valve Sizing'!$W$6*'Valve Sizing'!$G$8/X4405)</f>
        <v>#NUM!</v>
      </c>
      <c r="Y4407" s="111"/>
      <c r="Z4407" s="28"/>
      <c r="AA4407" s="96">
        <f ca="1">(AA4400/(N_9*AA$27*AA4402*AA4406))*SQRT(M*'Valve Sizing'!$W$6*'Valve Sizing'!$G$8/AA4405)</f>
        <v>-329.78188297126235</v>
      </c>
      <c r="AB4407" s="111"/>
      <c r="AC4407" s="28"/>
      <c r="AD4407" s="96">
        <f ca="1">(AD4400/(N_9*AD$27*AD4402*AD4406))*SQRT(M*'Valve Sizing'!$W$6*'Valve Sizing'!$G$8/AD4405)</f>
        <v>-125.1878252371381</v>
      </c>
      <c r="AE4407" s="111"/>
      <c r="AF4407" s="28"/>
      <c r="AG4407" s="96">
        <f ca="1">(AG4400/(N_9*AG$27*AG4402*AG4406))*SQRT(M*'Valve Sizing'!$W$6*'Valve Sizing'!$G$8/AG4405)</f>
        <v>-85.697344200966015</v>
      </c>
      <c r="AH4407" s="111"/>
      <c r="AI4407" s="28"/>
      <c r="AJ4407" s="96">
        <f ca="1">(AJ4400/(N_9*AJ$27*AJ4402*AJ4406))*SQRT(M*'Valve Sizing'!$W$6*'Valve Sizing'!$G$8/AJ4405)</f>
        <v>-71.877556813474399</v>
      </c>
      <c r="AK4407" s="111"/>
      <c r="AL4407" s="28"/>
      <c r="AM4407" s="96">
        <f ca="1">(AM4400/(N_9*AM$27*AM4402*AM4406))*SQRT(M*'Valve Sizing'!$W$6*'Valve Sizing'!$G$8/AM4405)</f>
        <v>-77.239577233280983</v>
      </c>
      <c r="AN4407" s="111"/>
      <c r="AO4407" s="28"/>
      <c r="AP4407" s="96">
        <f ca="1">(AP4400/(N_9*AP$27*AP4402*AP4406))*SQRT(M*'Valve Sizing'!$W$6*'Valve Sizing'!$G$8/AP4405)</f>
        <v>-50.84979871288381</v>
      </c>
      <c r="AQ4407" s="111"/>
      <c r="AR4407" s="28"/>
      <c r="AS4407" s="96">
        <f ca="1">(AS4400/(N_9*AS$27*AS4402*AS4406))*SQRT(M*'Valve Sizing'!$W$6*'Valve Sizing'!$G$8/AS4405)</f>
        <v>-229.17202525524209</v>
      </c>
      <c r="AT4407" s="111"/>
      <c r="AU4407" s="28"/>
    </row>
    <row r="4408" spans="15:47" x14ac:dyDescent="0.25">
      <c r="O4408" s="2" t="s">
        <v>59</v>
      </c>
      <c r="P4408" s="143">
        <v>7</v>
      </c>
      <c r="Q4408" s="2"/>
      <c r="R4408" s="96">
        <f ca="1">(R4400/(N_9*R$27*R4402*0.667))*SQRT(M*'Valve Sizing'!$W$6*'Valve Sizing'!$G$8/R4409)</f>
        <v>58.330832032691326</v>
      </c>
      <c r="S4408" s="107"/>
      <c r="T4408" s="22"/>
      <c r="U4408" s="96">
        <f ca="1">(U4400/(N_9*U$27*U4402*0.667))*SQRT(M*'Valve Sizing'!$W$6*'Valve Sizing'!$G$8/U4409)</f>
        <v>109.52666352984572</v>
      </c>
      <c r="V4408" s="111"/>
      <c r="W4408" s="28"/>
      <c r="X4408" s="96">
        <f ca="1">(X4400/(N_9*X$27*X4402*0.667))*SQRT(M*'Valve Sizing'!$W$6*'Valve Sizing'!$G$8/X4409)</f>
        <v>1338.3659878940127</v>
      </c>
      <c r="Y4408" s="111"/>
      <c r="Z4408" s="28"/>
      <c r="AA4408" s="96">
        <f ca="1">(AA4400/(N_9*AA$27*AA4402*0.667))*SQRT(M*'Valve Sizing'!$W$6*'Valve Sizing'!$G$8/AA4409)</f>
        <v>-215.35527639728039</v>
      </c>
      <c r="AB4408" s="111"/>
      <c r="AC4408" s="28"/>
      <c r="AD4408" s="96">
        <f ca="1">(AD4400/(N_9*AD$27*AD4402*0.667))*SQRT(M*'Valve Sizing'!$W$6*'Valve Sizing'!$G$8/AD4409)</f>
        <v>-101.33391838380057</v>
      </c>
      <c r="AE4408" s="111"/>
      <c r="AF4408" s="28"/>
      <c r="AG4408" s="96">
        <f ca="1">(AG4400/(N_9*AG$27*AG4402*0.667))*SQRT(M*'Valve Sizing'!$W$6*'Valve Sizing'!$G$8/AG4409)</f>
        <v>-68.446758295435316</v>
      </c>
      <c r="AH4408" s="111"/>
      <c r="AI4408" s="28"/>
      <c r="AJ4408" s="96">
        <f ca="1">(AJ4400/(N_9*AJ$27*AJ4402*0.667))*SQRT(M*'Valve Sizing'!$W$6*'Valve Sizing'!$G$8/AJ4409)</f>
        <v>-53.797118444577499</v>
      </c>
      <c r="AK4408" s="111"/>
      <c r="AL4408" s="28"/>
      <c r="AM4408" s="96">
        <f ca="1">(AM4400/(N_9*AM$27*AM4402*0.667))*SQRT(M*'Valve Sizing'!$W$6*'Valve Sizing'!$G$8/AM4409)</f>
        <v>-48.968430447980282</v>
      </c>
      <c r="AN4408" s="111"/>
      <c r="AO4408" s="28"/>
      <c r="AP4408" s="96">
        <f ca="1">(AP4400/(N_9*AP$27*AP4402*0.667))*SQRT(M*'Valve Sizing'!$W$6*'Valve Sizing'!$G$8/AP4409)</f>
        <v>-42.859548846544797</v>
      </c>
      <c r="AQ4408" s="111"/>
      <c r="AR4408" s="28"/>
      <c r="AS4408" s="96">
        <f ca="1">(AS4400/(N_9*AS$27*AS4402*0.667))*SQRT(M*'Valve Sizing'!$W$6*'Valve Sizing'!$G$8/AS4409)</f>
        <v>-61.046268954726315</v>
      </c>
      <c r="AT4408" s="111"/>
      <c r="AU4408" s="28"/>
    </row>
    <row r="4409" spans="15:47" ht="15.6" x14ac:dyDescent="0.35">
      <c r="O4409" s="2" t="s">
        <v>68</v>
      </c>
      <c r="P4409" s="143">
        <v>10</v>
      </c>
      <c r="Q4409" s="2"/>
      <c r="R4409" s="96">
        <f ca="1">F_GAMMA*R$29</f>
        <v>0.64002969751372984</v>
      </c>
      <c r="S4409" s="107"/>
      <c r="T4409" s="1"/>
      <c r="U4409" s="96">
        <f ca="1">F_GAMMA*U$29</f>
        <v>0.64017842058782071</v>
      </c>
      <c r="V4409" s="111"/>
      <c r="W4409" s="28"/>
      <c r="X4409" s="96">
        <f ca="1">F_GAMMA*X$29</f>
        <v>0.63413873724904268</v>
      </c>
      <c r="Y4409" s="111"/>
      <c r="Z4409" s="28"/>
      <c r="AA4409" s="96">
        <f ca="1">F_GAMMA*AA$29</f>
        <v>0.62532411750377137</v>
      </c>
      <c r="AB4409" s="111"/>
      <c r="AC4409" s="28"/>
      <c r="AD4409" s="96">
        <f ca="1">F_GAMMA*AD$29</f>
        <v>0.60651359509139569</v>
      </c>
      <c r="AE4409" s="111"/>
      <c r="AF4409" s="28"/>
      <c r="AG4409" s="96">
        <f ca="1">F_GAMMA*AG$29</f>
        <v>0.57217930198481592</v>
      </c>
      <c r="AH4409" s="111"/>
      <c r="AI4409" s="28"/>
      <c r="AJ4409" s="96">
        <f ca="1">F_GAMMA*AJ$29</f>
        <v>0.53183282018848232</v>
      </c>
      <c r="AK4409" s="111"/>
      <c r="AL4409" s="28"/>
      <c r="AM4409" s="96">
        <f ca="1">F_GAMMA*AM$29</f>
        <v>0.47566512503094399</v>
      </c>
      <c r="AN4409" s="111"/>
      <c r="AO4409" s="28"/>
      <c r="AP4409" s="96">
        <f ca="1">F_GAMMA*AP$29</f>
        <v>0.59054158265645496</v>
      </c>
      <c r="AQ4409" s="111"/>
      <c r="AR4409" s="28"/>
      <c r="AS4409" s="96">
        <f ca="1">F_GAMMA*AS$29</f>
        <v>0.3766899554102966</v>
      </c>
      <c r="AT4409" s="111"/>
      <c r="AU4409" s="28"/>
    </row>
    <row r="4410" spans="15:47" x14ac:dyDescent="0.25">
      <c r="O4410" s="2" t="s">
        <v>145</v>
      </c>
      <c r="P4410" s="12"/>
      <c r="Q4410" s="2"/>
      <c r="R4410" s="96">
        <f ca="1">IF(R4405&lt;R4409,R4407,R4408)</f>
        <v>67.255105762319701</v>
      </c>
      <c r="S4410" s="116"/>
      <c r="T4410" s="1"/>
      <c r="U4410" s="96">
        <f ca="1">IF(U4405&lt;U4409,U4407,U4408)</f>
        <v>138.81380213868772</v>
      </c>
      <c r="V4410" s="111"/>
      <c r="W4410" s="28"/>
      <c r="X4410" s="96" t="e">
        <f ca="1">IF(X4405&lt;X4409,X4407,X4408)</f>
        <v>#NUM!</v>
      </c>
      <c r="Y4410" s="111"/>
      <c r="Z4410" s="28"/>
      <c r="AA4410" s="96">
        <f ca="1">IF(AA4405&lt;AA4409,AA4407,AA4408)</f>
        <v>-215.35527639728039</v>
      </c>
      <c r="AB4410" s="111"/>
      <c r="AC4410" s="28"/>
      <c r="AD4410" s="96">
        <f ca="1">IF(AD4405&lt;AD4409,AD4407,AD4408)</f>
        <v>-101.33391838380057</v>
      </c>
      <c r="AE4410" s="111"/>
      <c r="AF4410" s="28"/>
      <c r="AG4410" s="96">
        <f ca="1">IF(AG4405&lt;AG4409,AG4407,AG4408)</f>
        <v>-68.446758295435316</v>
      </c>
      <c r="AH4410" s="111"/>
      <c r="AI4410" s="28"/>
      <c r="AJ4410" s="96">
        <f ca="1">IF(AJ4405&lt;AJ4409,AJ4407,AJ4408)</f>
        <v>-53.797118444577499</v>
      </c>
      <c r="AK4410" s="111"/>
      <c r="AL4410" s="28"/>
      <c r="AM4410" s="96">
        <f ca="1">IF(AM4405&lt;AM4409,AM4407,AM4408)</f>
        <v>-48.968430447980282</v>
      </c>
      <c r="AN4410" s="111"/>
      <c r="AO4410" s="28"/>
      <c r="AP4410" s="96">
        <f ca="1">IF(AP4405&lt;AP4409,AP4407,AP4408)</f>
        <v>-42.859548846544797</v>
      </c>
      <c r="AQ4410" s="111"/>
      <c r="AR4410" s="28"/>
      <c r="AS4410" s="96">
        <f ca="1">IF(AS4405&lt;AS4409,AS4407,AS4408)</f>
        <v>-61.046268954726315</v>
      </c>
      <c r="AT4410" s="111"/>
      <c r="AU4410" s="28"/>
    </row>
    <row r="4411" spans="15:47" x14ac:dyDescent="0.25">
      <c r="O4411" s="13" t="s">
        <v>143</v>
      </c>
      <c r="P4411" s="1"/>
      <c r="Q4411" s="1"/>
      <c r="R4411" s="113"/>
      <c r="S4411" s="106">
        <f ca="1">IF(R4404&lt;=0,Q_max,ABS(R$23-R4410))</f>
        <v>62.525105762319697</v>
      </c>
      <c r="T4411" s="7">
        <f>R4400</f>
        <v>153652.72022078568</v>
      </c>
      <c r="U4411" s="98"/>
      <c r="V4411" s="106">
        <f ca="1">IF(U4404&lt;=0,Q_max,ABS(U$23-U4410))</f>
        <v>127.21380213868773</v>
      </c>
      <c r="W4411" s="9">
        <f ca="1">U4400</f>
        <v>261087.77934579639</v>
      </c>
      <c r="X4411" s="98"/>
      <c r="Y4411" s="106">
        <f ca="1">IF(X4404&lt;=0,Q_max,ABS(X$23-X4410))</f>
        <v>236393</v>
      </c>
      <c r="Z4411" s="9">
        <f ca="1">X4400</f>
        <v>639308.06745752983</v>
      </c>
      <c r="AA4411" s="98"/>
      <c r="AB4411" s="106">
        <f ca="1">IF(AA4404&lt;=0,Q_max,ABS(AA$23-AA4410))</f>
        <v>236393</v>
      </c>
      <c r="AC4411" s="9">
        <f ca="1">AA4400</f>
        <v>1245208.9349553345</v>
      </c>
      <c r="AD4411" s="98"/>
      <c r="AE4411" s="106">
        <f ca="1">IF(AD4404&lt;=0,Q_max,ABS(AD$23-AD4410))</f>
        <v>236393</v>
      </c>
      <c r="AF4411" s="9">
        <f ca="1">AD4400</f>
        <v>2089073.2350812373</v>
      </c>
      <c r="AG4411" s="98"/>
      <c r="AH4411" s="106">
        <f ca="1">IF(AG4404&lt;=0,Q_max,ABS(AG$23-AG4410))</f>
        <v>236393</v>
      </c>
      <c r="AI4411" s="9">
        <f ca="1">AG4400</f>
        <v>3049059.2848958666</v>
      </c>
      <c r="AJ4411" s="98"/>
      <c r="AK4411" s="106">
        <f ca="1">IF(AJ4404&lt;=0,Q_max,ABS(AJ$23-AJ4410))</f>
        <v>236393</v>
      </c>
      <c r="AL4411" s="9">
        <f ca="1">AJ4400</f>
        <v>4068981.435576851</v>
      </c>
      <c r="AM4411" s="98"/>
      <c r="AN4411" s="106">
        <f ca="1">IF(AM4404&lt;=0,Q_max,ABS(AM$23-AM4410))</f>
        <v>236393</v>
      </c>
      <c r="AO4411" s="9">
        <f ca="1">AM4400</f>
        <v>4964930.6204240555</v>
      </c>
      <c r="AP4411" s="98"/>
      <c r="AQ4411" s="106">
        <f ca="1">IF(AP4404&lt;=0,Q_max,ABS(AP$23-AP4410))</f>
        <v>236393</v>
      </c>
      <c r="AR4411" s="9">
        <f ca="1">AP4400</f>
        <v>5764130.3158782367</v>
      </c>
      <c r="AS4411" s="98"/>
      <c r="AT4411" s="106">
        <f ca="1">IF(AS4404&lt;=0,Q_max,ABS(AS$23-AS4410))</f>
        <v>236393</v>
      </c>
      <c r="AU4411" s="9">
        <f ca="1">AS4400</f>
        <v>6758896.1149561144</v>
      </c>
    </row>
    <row r="4412" spans="15:47" x14ac:dyDescent="0.25">
      <c r="O4412" s="21"/>
      <c r="P4412" s="14"/>
      <c r="Q4412" s="21"/>
      <c r="R4412" s="97"/>
      <c r="S4412" s="106"/>
      <c r="T4412" s="28"/>
      <c r="U4412" s="97"/>
      <c r="V4412" s="111"/>
      <c r="W4412" s="28"/>
      <c r="X4412" s="97"/>
      <c r="Y4412" s="111"/>
      <c r="Z4412" s="28"/>
      <c r="AA4412" s="97"/>
      <c r="AB4412" s="111"/>
      <c r="AC4412" s="28"/>
      <c r="AD4412" s="97"/>
      <c r="AE4412" s="111"/>
      <c r="AF4412" s="28"/>
      <c r="AG4412" s="97"/>
      <c r="AH4412" s="111"/>
      <c r="AI4412" s="28"/>
      <c r="AJ4412" s="97"/>
      <c r="AK4412" s="111"/>
      <c r="AL4412" s="28"/>
      <c r="AM4412" s="97"/>
      <c r="AN4412" s="111"/>
      <c r="AO4412" s="28"/>
      <c r="AP4412" s="97"/>
      <c r="AQ4412" s="111"/>
      <c r="AR4412" s="28"/>
      <c r="AS4412" s="97"/>
      <c r="AT4412" s="111"/>
      <c r="AU4412" s="28"/>
    </row>
    <row r="4413" spans="15:47" x14ac:dyDescent="0.25">
      <c r="O4413" s="1"/>
      <c r="P4413" s="1"/>
      <c r="Q4413" s="1"/>
      <c r="R4413" s="98"/>
      <c r="S4413" s="108" t="s">
        <v>137</v>
      </c>
      <c r="T4413" s="26" t="s">
        <v>146</v>
      </c>
      <c r="U4413" s="98"/>
      <c r="V4413" s="108" t="s">
        <v>137</v>
      </c>
      <c r="W4413" s="26" t="s">
        <v>146</v>
      </c>
      <c r="X4413" s="98"/>
      <c r="Y4413" s="108" t="s">
        <v>137</v>
      </c>
      <c r="Z4413" s="26" t="s">
        <v>146</v>
      </c>
      <c r="AA4413" s="98"/>
      <c r="AB4413" s="108" t="s">
        <v>137</v>
      </c>
      <c r="AC4413" s="26" t="s">
        <v>146</v>
      </c>
      <c r="AD4413" s="98"/>
      <c r="AE4413" s="108" t="s">
        <v>137</v>
      </c>
      <c r="AF4413" s="26" t="s">
        <v>146</v>
      </c>
      <c r="AG4413" s="98"/>
      <c r="AH4413" s="108" t="s">
        <v>137</v>
      </c>
      <c r="AI4413" s="26" t="s">
        <v>146</v>
      </c>
      <c r="AJ4413" s="98"/>
      <c r="AK4413" s="108" t="s">
        <v>137</v>
      </c>
      <c r="AL4413" s="26" t="s">
        <v>146</v>
      </c>
      <c r="AM4413" s="98"/>
      <c r="AN4413" s="108" t="s">
        <v>137</v>
      </c>
      <c r="AO4413" s="26" t="s">
        <v>146</v>
      </c>
      <c r="AP4413" s="98"/>
      <c r="AQ4413" s="108" t="s">
        <v>137</v>
      </c>
      <c r="AR4413" s="26" t="s">
        <v>146</v>
      </c>
      <c r="AS4413" s="98"/>
      <c r="AT4413" s="108" t="s">
        <v>137</v>
      </c>
      <c r="AU4413" s="26" t="s">
        <v>146</v>
      </c>
    </row>
    <row r="4414" spans="15:47" ht="13.8" x14ac:dyDescent="0.25">
      <c r="O4414" s="20" t="s">
        <v>136</v>
      </c>
      <c r="P4414" s="1"/>
      <c r="Q4414" s="1"/>
      <c r="R4414" s="96">
        <f>R4400*1.02</f>
        <v>156725.77462520139</v>
      </c>
      <c r="S4414" s="109" t="s">
        <v>144</v>
      </c>
      <c r="T4414" s="23" t="s">
        <v>147</v>
      </c>
      <c r="U4414" s="96">
        <f ca="1">U4400*1.01</f>
        <v>263698.65713925433</v>
      </c>
      <c r="V4414" s="109" t="s">
        <v>144</v>
      </c>
      <c r="W4414" s="23" t="s">
        <v>147</v>
      </c>
      <c r="X4414" s="96">
        <f ca="1">X4400*1.01</f>
        <v>645701.14813210513</v>
      </c>
      <c r="Y4414" s="109" t="s">
        <v>144</v>
      </c>
      <c r="Z4414" s="23" t="s">
        <v>147</v>
      </c>
      <c r="AA4414" s="96">
        <f ca="1">AA4400*1.01</f>
        <v>1257661.024304888</v>
      </c>
      <c r="AB4414" s="109" t="s">
        <v>144</v>
      </c>
      <c r="AC4414" s="23" t="s">
        <v>147</v>
      </c>
      <c r="AD4414" s="96">
        <f ca="1">AD4400*1.01</f>
        <v>2109963.9674320496</v>
      </c>
      <c r="AE4414" s="109" t="s">
        <v>144</v>
      </c>
      <c r="AF4414" s="23" t="s">
        <v>147</v>
      </c>
      <c r="AG4414" s="96">
        <f ca="1">AG4400*1.01</f>
        <v>3079549.8777448256</v>
      </c>
      <c r="AH4414" s="109" t="s">
        <v>144</v>
      </c>
      <c r="AI4414" s="23" t="s">
        <v>147</v>
      </c>
      <c r="AJ4414" s="96">
        <f ca="1">AJ4400*1.01</f>
        <v>4109671.2499326197</v>
      </c>
      <c r="AK4414" s="109" t="s">
        <v>144</v>
      </c>
      <c r="AL4414" s="23" t="s">
        <v>147</v>
      </c>
      <c r="AM4414" s="96">
        <f ca="1">AM4400*1.01</f>
        <v>5014579.9266282963</v>
      </c>
      <c r="AN4414" s="109" t="s">
        <v>144</v>
      </c>
      <c r="AO4414" s="23" t="s">
        <v>147</v>
      </c>
      <c r="AP4414" s="96">
        <f ca="1">AP4400*1.01</f>
        <v>5821771.6190370191</v>
      </c>
      <c r="AQ4414" s="109" t="s">
        <v>144</v>
      </c>
      <c r="AR4414" s="23" t="s">
        <v>147</v>
      </c>
      <c r="AS4414" s="96">
        <f ca="1">AS4400*1.01</f>
        <v>6826485.0761056757</v>
      </c>
      <c r="AT4414" s="109" t="s">
        <v>144</v>
      </c>
      <c r="AU4414" s="23" t="s">
        <v>147</v>
      </c>
    </row>
    <row r="4415" spans="15:47" x14ac:dyDescent="0.25">
      <c r="O4415" s="1"/>
      <c r="P4415" s="1"/>
      <c r="Q4415" s="1"/>
      <c r="R4415" s="98"/>
      <c r="S4415" s="107"/>
      <c r="T4415" s="1"/>
      <c r="U4415" s="47"/>
      <c r="V4415" s="107"/>
      <c r="W4415" s="1"/>
      <c r="X4415" s="47"/>
      <c r="Y4415" s="107"/>
      <c r="Z4415" s="1"/>
      <c r="AA4415" s="47"/>
      <c r="AB4415" s="107"/>
      <c r="AC4415" s="1"/>
      <c r="AD4415" s="47"/>
      <c r="AE4415" s="107"/>
      <c r="AF4415" s="1"/>
      <c r="AG4415" s="47"/>
      <c r="AH4415" s="107"/>
      <c r="AI4415" s="1"/>
      <c r="AJ4415" s="47"/>
      <c r="AK4415" s="107"/>
      <c r="AL4415" s="1"/>
      <c r="AM4415" s="47"/>
      <c r="AN4415" s="107"/>
      <c r="AO4415" s="1"/>
      <c r="AP4415" s="47"/>
      <c r="AQ4415" s="107"/>
      <c r="AR4415" s="1"/>
      <c r="AS4415" s="47"/>
      <c r="AT4415" s="107"/>
      <c r="AU4415" s="1"/>
    </row>
    <row r="4416" spans="15:47" x14ac:dyDescent="0.25">
      <c r="O4416" s="8" t="s">
        <v>132</v>
      </c>
      <c r="P4416" s="8"/>
      <c r="Q4416" s="8"/>
      <c r="R4416" s="96">
        <f>P_1_minQ-(R4414^2*R_up)+dpup_minQ</f>
        <v>85.708171522059416</v>
      </c>
      <c r="S4416" s="106"/>
      <c r="T4416" s="22"/>
      <c r="U4416" s="96">
        <f ca="1">P_1_minQ-(U4414^2*R_up)+dpup_minQ</f>
        <v>77.511166869397542</v>
      </c>
      <c r="V4416" s="107"/>
      <c r="W4416" s="1"/>
      <c r="X4416" s="96">
        <f ca="1">P_1_minQ-(X4414^2*R_up)+dpup_minQ</f>
        <v>14.195003799068528</v>
      </c>
      <c r="Y4416" s="107"/>
      <c r="Z4416" s="1"/>
      <c r="AA4416" s="96">
        <f ca="1">P_1_minQ-(AA4414^2*R_up)+dpup_minQ</f>
        <v>-198.09909352641893</v>
      </c>
      <c r="AB4416" s="107"/>
      <c r="AC4416" s="1"/>
      <c r="AD4416" s="96">
        <f ca="1">P_1_minQ-(AD4414^2*R_up)+dpup_minQ</f>
        <v>-721.23104833777836</v>
      </c>
      <c r="AE4416" s="107"/>
      <c r="AF4416" s="1"/>
      <c r="AG4416" s="96">
        <f ca="1">P_1_minQ-(AG4414^2*R_up)+dpup_minQ</f>
        <v>-1638.3095399105966</v>
      </c>
      <c r="AH4416" s="107"/>
      <c r="AI4416" s="1"/>
      <c r="AJ4416" s="96">
        <f ca="1">P_1_minQ-(AJ4414^2*R_up)+dpup_minQ</f>
        <v>-2988.0919889500101</v>
      </c>
      <c r="AK4416" s="107"/>
      <c r="AL4416" s="1"/>
      <c r="AM4416" s="96">
        <f ca="1">P_1_minQ-(AM4414^2*R_up)+dpup_minQ</f>
        <v>-4492.9499906005949</v>
      </c>
      <c r="AN4416" s="107"/>
      <c r="AO4416" s="1"/>
      <c r="AP4416" s="96">
        <f ca="1">P_1_minQ-(AP4414^2*R_up)+dpup_minQ</f>
        <v>-6087.1885400037081</v>
      </c>
      <c r="AQ4416" s="107"/>
      <c r="AR4416" s="1"/>
      <c r="AS4416" s="96">
        <f ca="1">P_1_minQ-(AS4414^2*R_up)+dpup_minQ</f>
        <v>-8403.3371818291889</v>
      </c>
      <c r="AT4416" s="107"/>
      <c r="AU4416" s="1"/>
    </row>
    <row r="4417" spans="15:47" x14ac:dyDescent="0.25">
      <c r="O4417" s="8" t="s">
        <v>134</v>
      </c>
      <c r="P4417" s="1"/>
      <c r="Q4417" s="8"/>
      <c r="R4417" s="97">
        <f>P_2_minQ+(R4414^2*R_dn)-dpdn_minQ</f>
        <v>60</v>
      </c>
      <c r="S4417" s="106"/>
      <c r="T4417" s="22"/>
      <c r="U4417" s="97">
        <f ca="1">P_2_minQ+(U4414^2*R_dn)-dpdn_minQ</f>
        <v>60</v>
      </c>
      <c r="V4417" s="107"/>
      <c r="W4417" s="1"/>
      <c r="X4417" s="97">
        <f ca="1">P_2_minQ+(X4414^2*R_dn)-dpdn_minQ</f>
        <v>60</v>
      </c>
      <c r="Y4417" s="107"/>
      <c r="Z4417" s="1"/>
      <c r="AA4417" s="97">
        <f ca="1">P_2_minQ+(AA4414^2*R_dn)-dpdn_minQ</f>
        <v>60</v>
      </c>
      <c r="AB4417" s="107"/>
      <c r="AC4417" s="1"/>
      <c r="AD4417" s="97">
        <f ca="1">P_2_minQ+(AD4414^2*R_dn)-dpdn_minQ</f>
        <v>60</v>
      </c>
      <c r="AE4417" s="107"/>
      <c r="AF4417" s="1"/>
      <c r="AG4417" s="97">
        <f ca="1">P_2_minQ+(AG4414^2*R_dn)-dpdn_minQ</f>
        <v>60</v>
      </c>
      <c r="AH4417" s="107"/>
      <c r="AI4417" s="1"/>
      <c r="AJ4417" s="97">
        <f ca="1">P_2_minQ+(AJ4414^2*R_dn)-dpdn_minQ</f>
        <v>60</v>
      </c>
      <c r="AK4417" s="107"/>
      <c r="AL4417" s="1"/>
      <c r="AM4417" s="97">
        <f ca="1">P_2_minQ+(AM4414^2*R_dn)-dpdn_minQ</f>
        <v>60</v>
      </c>
      <c r="AN4417" s="107"/>
      <c r="AO4417" s="1"/>
      <c r="AP4417" s="97">
        <f ca="1">P_2_minQ+(AP4414^2*R_dn)-dpdn_minQ</f>
        <v>60</v>
      </c>
      <c r="AQ4417" s="107"/>
      <c r="AR4417" s="1"/>
      <c r="AS4417" s="97">
        <f ca="1">P_2_minQ+(AS4414^2*R_dn)-dpdn_minQ</f>
        <v>60</v>
      </c>
      <c r="AT4417" s="107"/>
      <c r="AU4417" s="1"/>
    </row>
    <row r="4418" spans="15:47" x14ac:dyDescent="0.25">
      <c r="O4418" s="8" t="s">
        <v>138</v>
      </c>
      <c r="P4418" s="1"/>
      <c r="Q4418" s="8"/>
      <c r="R4418" s="97">
        <f>R4416-R4417</f>
        <v>25.708171522059416</v>
      </c>
      <c r="S4418" s="106"/>
      <c r="T4418" s="22"/>
      <c r="U4418" s="97">
        <f ca="1">U4416-U4417</f>
        <v>17.511166869397542</v>
      </c>
      <c r="V4418" s="110"/>
      <c r="W4418" s="25"/>
      <c r="X4418" s="97">
        <f ca="1">X4416-X4417</f>
        <v>-45.80499620093147</v>
      </c>
      <c r="Y4418" s="110"/>
      <c r="Z4418" s="25"/>
      <c r="AA4418" s="97">
        <f ca="1">AA4416-AA4417</f>
        <v>-258.09909352641893</v>
      </c>
      <c r="AB4418" s="110"/>
      <c r="AC4418" s="25"/>
      <c r="AD4418" s="97">
        <f ca="1">AD4416-AD4417</f>
        <v>-781.23104833777836</v>
      </c>
      <c r="AE4418" s="110"/>
      <c r="AF4418" s="25"/>
      <c r="AG4418" s="97">
        <f ca="1">AG4416-AG4417</f>
        <v>-1698.3095399105966</v>
      </c>
      <c r="AH4418" s="110"/>
      <c r="AI4418" s="25"/>
      <c r="AJ4418" s="97">
        <f ca="1">AJ4416-AJ4417</f>
        <v>-3048.0919889500101</v>
      </c>
      <c r="AK4418" s="110"/>
      <c r="AL4418" s="25"/>
      <c r="AM4418" s="97">
        <f ca="1">AM4416-AM4417</f>
        <v>-4552.9499906005949</v>
      </c>
      <c r="AN4418" s="110"/>
      <c r="AO4418" s="25"/>
      <c r="AP4418" s="97">
        <f ca="1">AP4416-AP4417</f>
        <v>-6147.1885400037081</v>
      </c>
      <c r="AQ4418" s="110"/>
      <c r="AR4418" s="25"/>
      <c r="AS4418" s="97">
        <f ca="1">AS4416-AS4417</f>
        <v>-8463.3371818291889</v>
      </c>
      <c r="AT4418" s="110"/>
      <c r="AU4418" s="25"/>
    </row>
    <row r="4419" spans="15:47" ht="14.4" x14ac:dyDescent="0.3">
      <c r="O4419" s="2" t="s">
        <v>140</v>
      </c>
      <c r="P4419" s="11"/>
      <c r="Q4419" s="2"/>
      <c r="R4419" s="96">
        <f>R4418/R4416</f>
        <v>0.29995006386809564</v>
      </c>
      <c r="S4419" s="106"/>
      <c r="T4419" s="22"/>
      <c r="U4419" s="96">
        <f ca="1">U4418/U4416</f>
        <v>0.2259179880352335</v>
      </c>
      <c r="V4419" s="111"/>
      <c r="W4419" s="28"/>
      <c r="X4419" s="96">
        <f ca="1">X4418/X4416</f>
        <v>-3.2268393055264402</v>
      </c>
      <c r="Y4419" s="111"/>
      <c r="Z4419" s="28"/>
      <c r="AA4419" s="96">
        <f ca="1">AA4418/AA4416</f>
        <v>1.3028787206035259</v>
      </c>
      <c r="AB4419" s="111"/>
      <c r="AC4419" s="28"/>
      <c r="AD4419" s="96">
        <f ca="1">AD4418/AD4416</f>
        <v>1.0831910940859826</v>
      </c>
      <c r="AE4419" s="111"/>
      <c r="AF4419" s="28"/>
      <c r="AG4419" s="96">
        <f ca="1">AG4418/AG4416</f>
        <v>1.0366231158022032</v>
      </c>
      <c r="AH4419" s="111"/>
      <c r="AI4419" s="28"/>
      <c r="AJ4419" s="96">
        <f ca="1">AJ4418/AJ4416</f>
        <v>1.0200797031088336</v>
      </c>
      <c r="AK4419" s="111"/>
      <c r="AL4419" s="28"/>
      <c r="AM4419" s="96">
        <f ca="1">AM4418/AM4416</f>
        <v>1.0133542550274368</v>
      </c>
      <c r="AN4419" s="111"/>
      <c r="AO4419" s="28"/>
      <c r="AP4419" s="96">
        <f ca="1">AP4418/AP4416</f>
        <v>1.0098567671439274</v>
      </c>
      <c r="AQ4419" s="111"/>
      <c r="AR4419" s="28"/>
      <c r="AS4419" s="96">
        <f ca="1">AS4418/AS4416</f>
        <v>1.007140020530146</v>
      </c>
      <c r="AT4419" s="111"/>
      <c r="AU4419" s="28"/>
    </row>
    <row r="4420" spans="15:47" x14ac:dyDescent="0.25">
      <c r="O4420" s="2" t="s">
        <v>21</v>
      </c>
      <c r="P4420" s="8">
        <v>12</v>
      </c>
      <c r="Q4420" s="2"/>
      <c r="R4420" s="96">
        <f ca="1">1-R4419/(3*F_GAMMA*R$29)</f>
        <v>0.84378325722838243</v>
      </c>
      <c r="S4420" s="106"/>
      <c r="T4420" s="22"/>
      <c r="U4420" s="96">
        <f ca="1">1-U4419/(3*F_GAMMA*U$29)</f>
        <v>0.88236717516563978</v>
      </c>
      <c r="V4420" s="111"/>
      <c r="W4420" s="28"/>
      <c r="X4420" s="96">
        <f ca="1">1-X4419/(3*F_GAMMA*X$29)</f>
        <v>2.6961794614665302</v>
      </c>
      <c r="Y4420" s="111"/>
      <c r="Z4420" s="28"/>
      <c r="AA4420" s="96">
        <f ca="1">1-AA4419/(3*F_GAMMA*AA$29)</f>
        <v>0.30549151278301256</v>
      </c>
      <c r="AB4420" s="111"/>
      <c r="AC4420" s="28"/>
      <c r="AD4420" s="96">
        <f ca="1">1-AD4419/(3*F_GAMMA*AD$29)</f>
        <v>0.40468985204816044</v>
      </c>
      <c r="AE4420" s="111"/>
      <c r="AF4420" s="28"/>
      <c r="AG4420" s="96">
        <f ca="1">1-AG4419/(3*F_GAMMA*AG$29)</f>
        <v>0.39609657776487672</v>
      </c>
      <c r="AH4420" s="111"/>
      <c r="AI4420" s="28"/>
      <c r="AJ4420" s="96">
        <f ca="1">1-AJ4419/(3*F_GAMMA*AJ$29)</f>
        <v>0.36065140247937577</v>
      </c>
      <c r="AK4420" s="111"/>
      <c r="AL4420" s="28"/>
      <c r="AM4420" s="96">
        <f ca="1">1-AM4419/(3*F_GAMMA*AM$29)</f>
        <v>0.28986857791216458</v>
      </c>
      <c r="AN4420" s="111"/>
      <c r="AO4420" s="28"/>
      <c r="AP4420" s="96">
        <f ca="1">1-AP4419/(3*F_GAMMA*AP$29)</f>
        <v>0.42998269339970296</v>
      </c>
      <c r="AQ4420" s="111"/>
      <c r="AR4420" s="28"/>
      <c r="AS4420" s="96">
        <f ca="1">1-AS4419/(3*F_GAMMA*AS$29)</f>
        <v>0.10878074831846507</v>
      </c>
      <c r="AT4420" s="111"/>
      <c r="AU4420" s="28"/>
    </row>
    <row r="4421" spans="15:47" x14ac:dyDescent="0.25">
      <c r="O4421" s="2" t="s">
        <v>57</v>
      </c>
      <c r="P4421" s="143">
        <v>7</v>
      </c>
      <c r="Q4421" s="2"/>
      <c r="R4421" s="96">
        <f ca="1">(R4414/(N_9*R$27*R4416*R4420))*SQRT(M*'Valve Sizing'!$W$6*'Valve Sizing'!$G$8/R4419)</f>
        <v>68.841265639851272</v>
      </c>
      <c r="S4421" s="107"/>
      <c r="T4421" s="22"/>
      <c r="U4421" s="96">
        <f ca="1">(U4414/(N_9*U$27*U4416*U4420))*SQRT(M*'Valve Sizing'!$W$6*'Valve Sizing'!$G$8/U4419)</f>
        <v>141.2179139844782</v>
      </c>
      <c r="V4421" s="111"/>
      <c r="W4421" s="28"/>
      <c r="X4421" s="96" t="e">
        <f ca="1">(X4414/(N_9*X$27*X4416*X4420))*SQRT(M*'Valve Sizing'!$W$6*'Valve Sizing'!$G$8/X4419)</f>
        <v>#NUM!</v>
      </c>
      <c r="Y4421" s="111"/>
      <c r="Z4421" s="28"/>
      <c r="AA4421" s="96">
        <f ca="1">(AA4414/(N_9*AA$27*AA4416*AA4420))*SQRT(M*'Valve Sizing'!$W$6*'Valve Sizing'!$G$8/AA4419)</f>
        <v>-319.57226911573821</v>
      </c>
      <c r="AB4421" s="111"/>
      <c r="AC4421" s="28"/>
      <c r="AD4421" s="96">
        <f ca="1">(AD4414/(N_9*AD$27*AD4416*AD4420))*SQRT(M*'Valve Sizing'!$W$6*'Valve Sizing'!$G$8/AD4419)</f>
        <v>-123.4274611685686</v>
      </c>
      <c r="AE4421" s="111"/>
      <c r="AF4421" s="28"/>
      <c r="AG4421" s="96">
        <f ca="1">(AG4414/(N_9*AG$27*AG4416*AG4420))*SQRT(M*'Valve Sizing'!$W$6*'Valve Sizing'!$G$8/AG4419)</f>
        <v>-84.689796116342194</v>
      </c>
      <c r="AH4421" s="111"/>
      <c r="AI4421" s="28"/>
      <c r="AJ4421" s="96">
        <f ca="1">(AJ4414/(N_9*AJ$27*AJ4416*AJ4420))*SQRT(M*'Valve Sizing'!$W$6*'Valve Sizing'!$G$8/AJ4419)</f>
        <v>-71.08579409397592</v>
      </c>
      <c r="AK4421" s="111"/>
      <c r="AL4421" s="28"/>
      <c r="AM4421" s="96">
        <f ca="1">(AM4414/(N_9*AM$27*AM4416*AM4420))*SQRT(M*'Valve Sizing'!$W$6*'Valve Sizing'!$G$8/AM4419)</f>
        <v>-76.403676461744055</v>
      </c>
      <c r="AN4421" s="111"/>
      <c r="AO4421" s="28"/>
      <c r="AP4421" s="96">
        <f ca="1">(AP4414/(N_9*AP$27*AP4416*AP4420))*SQRT(M*'Valve Sizing'!$W$6*'Valve Sizing'!$G$8/AP4419)</f>
        <v>-50.323064749274053</v>
      </c>
      <c r="AQ4421" s="111"/>
      <c r="AR4421" s="28"/>
      <c r="AS4421" s="96">
        <f ca="1">(AS4414/(N_9*AS$27*AS4416*AS4420))*SQRT(M*'Valve Sizing'!$W$6*'Valve Sizing'!$G$8/AS4419)</f>
        <v>-226.60262848975418</v>
      </c>
      <c r="AT4421" s="111"/>
      <c r="AU4421" s="28"/>
    </row>
    <row r="4422" spans="15:47" x14ac:dyDescent="0.25">
      <c r="O4422" s="2" t="s">
        <v>59</v>
      </c>
      <c r="P4422" s="143">
        <v>7</v>
      </c>
      <c r="Q4422" s="2"/>
      <c r="R4422" s="96">
        <f ca="1">(R4414/(N_9*R$27*R4416*0.667))*SQRT(M*'Valve Sizing'!$W$6*'Valve Sizing'!$G$8/R4423)</f>
        <v>59.618127623059429</v>
      </c>
      <c r="S4422" s="107"/>
      <c r="T4422" s="22"/>
      <c r="U4422" s="96">
        <f ca="1">(U4414/(N_9*U$27*U4416*0.667))*SQRT(M*'Valve Sizing'!$W$6*'Valve Sizing'!$G$8/U4423)</f>
        <v>110.9783317613381</v>
      </c>
      <c r="V4422" s="111"/>
      <c r="W4422" s="28"/>
      <c r="X4422" s="96">
        <f ca="1">(X4414/(N_9*X$27*X4416*0.667))*SQRT(M*'Valve Sizing'!$W$6*'Valve Sizing'!$G$8/X4423)</f>
        <v>1494.3336222271837</v>
      </c>
      <c r="Y4422" s="111"/>
      <c r="Z4422" s="28"/>
      <c r="AA4422" s="96">
        <f ca="1">(AA4414/(N_9*AA$27*AA4416*0.667))*SQRT(M*'Valve Sizing'!$W$6*'Valve Sizing'!$G$8/AA4423)</f>
        <v>-211.2719338615085</v>
      </c>
      <c r="AB4422" s="111"/>
      <c r="AC4422" s="28"/>
      <c r="AD4422" s="96">
        <f ca="1">(AD4414/(N_9*AD$27*AD4416*0.667))*SQRT(M*'Valve Sizing'!$W$6*'Valve Sizing'!$G$8/AD4423)</f>
        <v>-100.07844447235532</v>
      </c>
      <c r="AE4422" s="111"/>
      <c r="AF4422" s="28"/>
      <c r="AG4422" s="96">
        <f ca="1">(AG4414/(N_9*AG$27*AG4416*0.667))*SQRT(M*'Valve Sizing'!$W$6*'Valve Sizing'!$G$8/AG4423)</f>
        <v>-67.694084049400217</v>
      </c>
      <c r="AH4422" s="111"/>
      <c r="AI4422" s="28"/>
      <c r="AJ4422" s="96">
        <f ca="1">(AJ4414/(N_9*AJ$27*AJ4416*0.667))*SQRT(M*'Valve Sizing'!$W$6*'Valve Sizing'!$G$8/AJ4423)</f>
        <v>-53.232160933788769</v>
      </c>
      <c r="AK4422" s="111"/>
      <c r="AL4422" s="28"/>
      <c r="AM4422" s="96">
        <f ca="1">(AM4414/(N_9*AM$27*AM4416*0.667))*SQRT(M*'Valve Sizing'!$W$6*'Valve Sizing'!$G$8/AM4423)</f>
        <v>-48.464033379772602</v>
      </c>
      <c r="AN4422" s="111"/>
      <c r="AO4422" s="28"/>
      <c r="AP4422" s="96">
        <f ca="1">(AP4414/(N_9*AP$27*AP4416*0.667))*SQRT(M*'Valve Sizing'!$W$6*'Valve Sizing'!$G$8/AP4423)</f>
        <v>-42.422559992857749</v>
      </c>
      <c r="AQ4422" s="111"/>
      <c r="AR4422" s="28"/>
      <c r="AS4422" s="96">
        <f ca="1">(AS4414/(N_9*AS$27*AS4416*0.667))*SQRT(M*'Valve Sizing'!$W$6*'Valve Sizing'!$G$8/AS4423)</f>
        <v>-60.428812283677367</v>
      </c>
      <c r="AT4422" s="111"/>
      <c r="AU4422" s="28"/>
    </row>
    <row r="4423" spans="15:47" ht="15.6" x14ac:dyDescent="0.35">
      <c r="O4423" s="2" t="s">
        <v>68</v>
      </c>
      <c r="P4423" s="143">
        <v>10</v>
      </c>
      <c r="Q4423" s="2"/>
      <c r="R4423" s="96">
        <f ca="1">F_GAMMA*R$29</f>
        <v>0.64002969751372984</v>
      </c>
      <c r="S4423" s="107"/>
      <c r="T4423" s="1"/>
      <c r="U4423" s="96">
        <f ca="1">F_GAMMA*U$29</f>
        <v>0.64017842058782071</v>
      </c>
      <c r="V4423" s="111"/>
      <c r="W4423" s="28"/>
      <c r="X4423" s="96">
        <f ca="1">F_GAMMA*X$29</f>
        <v>0.63413873724904268</v>
      </c>
      <c r="Y4423" s="111"/>
      <c r="Z4423" s="28"/>
      <c r="AA4423" s="96">
        <f ca="1">F_GAMMA*AA$29</f>
        <v>0.62532411750377137</v>
      </c>
      <c r="AB4423" s="111"/>
      <c r="AC4423" s="28"/>
      <c r="AD4423" s="96">
        <f ca="1">F_GAMMA*AD$29</f>
        <v>0.60651359509139569</v>
      </c>
      <c r="AE4423" s="111"/>
      <c r="AF4423" s="28"/>
      <c r="AG4423" s="96">
        <f ca="1">F_GAMMA*AG$29</f>
        <v>0.57217930198481592</v>
      </c>
      <c r="AH4423" s="111"/>
      <c r="AI4423" s="28"/>
      <c r="AJ4423" s="96">
        <f ca="1">F_GAMMA*AJ$29</f>
        <v>0.53183282018848232</v>
      </c>
      <c r="AK4423" s="111"/>
      <c r="AL4423" s="28"/>
      <c r="AM4423" s="96">
        <f ca="1">F_GAMMA*AM$29</f>
        <v>0.47566512503094399</v>
      </c>
      <c r="AN4423" s="111"/>
      <c r="AO4423" s="28"/>
      <c r="AP4423" s="96">
        <f ca="1">F_GAMMA*AP$29</f>
        <v>0.59054158265645496</v>
      </c>
      <c r="AQ4423" s="111"/>
      <c r="AR4423" s="28"/>
      <c r="AS4423" s="96">
        <f ca="1">F_GAMMA*AS$29</f>
        <v>0.3766899554102966</v>
      </c>
      <c r="AT4423" s="111"/>
      <c r="AU4423" s="28"/>
    </row>
    <row r="4424" spans="15:47" x14ac:dyDescent="0.25">
      <c r="O4424" s="2" t="s">
        <v>145</v>
      </c>
      <c r="P4424" s="12"/>
      <c r="Q4424" s="2"/>
      <c r="R4424" s="96">
        <f ca="1">IF(R4419&lt;R4423,R4421,R4422)</f>
        <v>68.841265639851272</v>
      </c>
      <c r="S4424" s="116"/>
      <c r="T4424" s="1"/>
      <c r="U4424" s="96">
        <f ca="1">IF(U4419&lt;U4423,U4421,U4422)</f>
        <v>141.2179139844782</v>
      </c>
      <c r="V4424" s="111"/>
      <c r="W4424" s="28"/>
      <c r="X4424" s="96" t="e">
        <f ca="1">IF(X4419&lt;X4423,X4421,X4422)</f>
        <v>#NUM!</v>
      </c>
      <c r="Y4424" s="111"/>
      <c r="Z4424" s="28"/>
      <c r="AA4424" s="96">
        <f ca="1">IF(AA4419&lt;AA4423,AA4421,AA4422)</f>
        <v>-211.2719338615085</v>
      </c>
      <c r="AB4424" s="111"/>
      <c r="AC4424" s="28"/>
      <c r="AD4424" s="96">
        <f ca="1">IF(AD4419&lt;AD4423,AD4421,AD4422)</f>
        <v>-100.07844447235532</v>
      </c>
      <c r="AE4424" s="111"/>
      <c r="AF4424" s="28"/>
      <c r="AG4424" s="96">
        <f ca="1">IF(AG4419&lt;AG4423,AG4421,AG4422)</f>
        <v>-67.694084049400217</v>
      </c>
      <c r="AH4424" s="111"/>
      <c r="AI4424" s="28"/>
      <c r="AJ4424" s="96">
        <f ca="1">IF(AJ4419&lt;AJ4423,AJ4421,AJ4422)</f>
        <v>-53.232160933788769</v>
      </c>
      <c r="AK4424" s="111"/>
      <c r="AL4424" s="28"/>
      <c r="AM4424" s="96">
        <f ca="1">IF(AM4419&lt;AM4423,AM4421,AM4422)</f>
        <v>-48.464033379772602</v>
      </c>
      <c r="AN4424" s="111"/>
      <c r="AO4424" s="28"/>
      <c r="AP4424" s="96">
        <f ca="1">IF(AP4419&lt;AP4423,AP4421,AP4422)</f>
        <v>-42.422559992857749</v>
      </c>
      <c r="AQ4424" s="111"/>
      <c r="AR4424" s="28"/>
      <c r="AS4424" s="96">
        <f ca="1">IF(AS4419&lt;AS4423,AS4421,AS4422)</f>
        <v>-60.428812283677367</v>
      </c>
      <c r="AT4424" s="111"/>
      <c r="AU4424" s="28"/>
    </row>
    <row r="4425" spans="15:47" x14ac:dyDescent="0.25">
      <c r="O4425" s="13" t="s">
        <v>143</v>
      </c>
      <c r="P4425" s="1"/>
      <c r="Q4425" s="1"/>
      <c r="R4425" s="113"/>
      <c r="S4425" s="106">
        <f ca="1">IF(R4418&lt;=0,Q_max,ABS(R$23-R4424))</f>
        <v>64.111265639851268</v>
      </c>
      <c r="T4425" s="7">
        <f>R4414</f>
        <v>156725.77462520139</v>
      </c>
      <c r="U4425" s="98"/>
      <c r="V4425" s="106">
        <f ca="1">IF(U4418&lt;=0,Q_max,ABS(U$23-U4424))</f>
        <v>129.61791398447821</v>
      </c>
      <c r="W4425" s="9">
        <f ca="1">U4414</f>
        <v>263698.65713925433</v>
      </c>
      <c r="X4425" s="98"/>
      <c r="Y4425" s="106">
        <f ca="1">IF(X4418&lt;=0,Q_max,ABS(X$23-X4424))</f>
        <v>236393</v>
      </c>
      <c r="Z4425" s="9">
        <f ca="1">X4414</f>
        <v>645701.14813210513</v>
      </c>
      <c r="AA4425" s="98"/>
      <c r="AB4425" s="106">
        <f ca="1">IF(AA4418&lt;=0,Q_max,ABS(AA$23-AA4424))</f>
        <v>236393</v>
      </c>
      <c r="AC4425" s="9">
        <f ca="1">AA4414</f>
        <v>1257661.024304888</v>
      </c>
      <c r="AD4425" s="98"/>
      <c r="AE4425" s="106">
        <f ca="1">IF(AD4418&lt;=0,Q_max,ABS(AD$23-AD4424))</f>
        <v>236393</v>
      </c>
      <c r="AF4425" s="9">
        <f ca="1">AD4414</f>
        <v>2109963.9674320496</v>
      </c>
      <c r="AG4425" s="98"/>
      <c r="AH4425" s="106">
        <f ca="1">IF(AG4418&lt;=0,Q_max,ABS(AG$23-AG4424))</f>
        <v>236393</v>
      </c>
      <c r="AI4425" s="9">
        <f ca="1">AG4414</f>
        <v>3079549.8777448256</v>
      </c>
      <c r="AJ4425" s="98"/>
      <c r="AK4425" s="106">
        <f ca="1">IF(AJ4418&lt;=0,Q_max,ABS(AJ$23-AJ4424))</f>
        <v>236393</v>
      </c>
      <c r="AL4425" s="9">
        <f ca="1">AJ4414</f>
        <v>4109671.2499326197</v>
      </c>
      <c r="AM4425" s="98"/>
      <c r="AN4425" s="106">
        <f ca="1">IF(AM4418&lt;=0,Q_max,ABS(AM$23-AM4424))</f>
        <v>236393</v>
      </c>
      <c r="AO4425" s="9">
        <f ca="1">AM4414</f>
        <v>5014579.9266282963</v>
      </c>
      <c r="AP4425" s="98"/>
      <c r="AQ4425" s="106">
        <f ca="1">IF(AP4418&lt;=0,Q_max,ABS(AP$23-AP4424))</f>
        <v>236393</v>
      </c>
      <c r="AR4425" s="9">
        <f ca="1">AP4414</f>
        <v>5821771.6190370191</v>
      </c>
      <c r="AS4425" s="98"/>
      <c r="AT4425" s="106">
        <f ca="1">IF(AS4418&lt;=0,Q_max,ABS(AS$23-AS4424))</f>
        <v>236393</v>
      </c>
      <c r="AU4425" s="9">
        <f ca="1">AS4414</f>
        <v>6826485.0761056757</v>
      </c>
    </row>
    <row r="4426" spans="15:47" x14ac:dyDescent="0.25">
      <c r="O4426" s="21"/>
      <c r="P4426" s="14"/>
      <c r="Q4426" s="21"/>
      <c r="R4426" s="97"/>
      <c r="S4426" s="106"/>
      <c r="T4426" s="28"/>
      <c r="U4426" s="99"/>
      <c r="V4426" s="110"/>
      <c r="W4426" s="25"/>
      <c r="X4426" s="99"/>
      <c r="Y4426" s="110"/>
      <c r="Z4426" s="25"/>
      <c r="AA4426" s="99"/>
      <c r="AB4426" s="110"/>
      <c r="AC4426" s="25"/>
      <c r="AD4426" s="99"/>
      <c r="AE4426" s="110"/>
      <c r="AF4426" s="25"/>
      <c r="AG4426" s="99"/>
      <c r="AH4426" s="110"/>
      <c r="AI4426" s="25"/>
      <c r="AJ4426" s="99"/>
      <c r="AK4426" s="110"/>
      <c r="AL4426" s="25"/>
      <c r="AM4426" s="99"/>
      <c r="AN4426" s="110"/>
      <c r="AO4426" s="25"/>
      <c r="AP4426" s="99"/>
      <c r="AQ4426" s="110"/>
      <c r="AR4426" s="25"/>
      <c r="AS4426" s="99"/>
      <c r="AT4426" s="110"/>
      <c r="AU4426" s="25"/>
    </row>
    <row r="4427" spans="15:47" x14ac:dyDescent="0.25">
      <c r="O4427" s="1"/>
      <c r="P4427" s="1"/>
      <c r="Q4427" s="1"/>
      <c r="R4427" s="98"/>
      <c r="S4427" s="108" t="s">
        <v>137</v>
      </c>
      <c r="T4427" s="26" t="s">
        <v>146</v>
      </c>
      <c r="U4427" s="98"/>
      <c r="V4427" s="108" t="s">
        <v>137</v>
      </c>
      <c r="W4427" s="26" t="s">
        <v>146</v>
      </c>
      <c r="X4427" s="98"/>
      <c r="Y4427" s="108" t="s">
        <v>137</v>
      </c>
      <c r="Z4427" s="26" t="s">
        <v>146</v>
      </c>
      <c r="AA4427" s="98"/>
      <c r="AB4427" s="108" t="s">
        <v>137</v>
      </c>
      <c r="AC4427" s="26" t="s">
        <v>146</v>
      </c>
      <c r="AD4427" s="98"/>
      <c r="AE4427" s="108" t="s">
        <v>137</v>
      </c>
      <c r="AF4427" s="26" t="s">
        <v>146</v>
      </c>
      <c r="AG4427" s="98"/>
      <c r="AH4427" s="108" t="s">
        <v>137</v>
      </c>
      <c r="AI4427" s="26" t="s">
        <v>146</v>
      </c>
      <c r="AJ4427" s="98"/>
      <c r="AK4427" s="108" t="s">
        <v>137</v>
      </c>
      <c r="AL4427" s="26" t="s">
        <v>146</v>
      </c>
      <c r="AM4427" s="98"/>
      <c r="AN4427" s="108" t="s">
        <v>137</v>
      </c>
      <c r="AO4427" s="26" t="s">
        <v>146</v>
      </c>
      <c r="AP4427" s="98"/>
      <c r="AQ4427" s="108" t="s">
        <v>137</v>
      </c>
      <c r="AR4427" s="26" t="s">
        <v>146</v>
      </c>
      <c r="AS4427" s="98"/>
      <c r="AT4427" s="108" t="s">
        <v>137</v>
      </c>
      <c r="AU4427" s="26" t="s">
        <v>146</v>
      </c>
    </row>
    <row r="4428" spans="15:47" ht="13.8" x14ac:dyDescent="0.25">
      <c r="O4428" s="20" t="s">
        <v>136</v>
      </c>
      <c r="P4428" s="1"/>
      <c r="Q4428" s="1"/>
      <c r="R4428" s="96">
        <f>R4414*1.02</f>
        <v>159860.29011770542</v>
      </c>
      <c r="S4428" s="109" t="s">
        <v>144</v>
      </c>
      <c r="T4428" s="23" t="s">
        <v>147</v>
      </c>
      <c r="U4428" s="96">
        <f ca="1">U4414*1.01</f>
        <v>266335.64371064689</v>
      </c>
      <c r="V4428" s="109" t="s">
        <v>144</v>
      </c>
      <c r="W4428" s="23" t="s">
        <v>147</v>
      </c>
      <c r="X4428" s="96">
        <f ca="1">X4414*1.01</f>
        <v>652158.15961342619</v>
      </c>
      <c r="Y4428" s="109" t="s">
        <v>144</v>
      </c>
      <c r="Z4428" s="23" t="s">
        <v>147</v>
      </c>
      <c r="AA4428" s="96">
        <f ca="1">AA4414*1.01</f>
        <v>1270237.634547937</v>
      </c>
      <c r="AB4428" s="109" t="s">
        <v>144</v>
      </c>
      <c r="AC4428" s="23" t="s">
        <v>147</v>
      </c>
      <c r="AD4428" s="96">
        <f ca="1">AD4414*1.01</f>
        <v>2131063.6071063699</v>
      </c>
      <c r="AE4428" s="109" t="s">
        <v>144</v>
      </c>
      <c r="AF4428" s="23" t="s">
        <v>147</v>
      </c>
      <c r="AG4428" s="96">
        <f ca="1">AG4414*1.01</f>
        <v>3110345.3765222738</v>
      </c>
      <c r="AH4428" s="109" t="s">
        <v>144</v>
      </c>
      <c r="AI4428" s="23" t="s">
        <v>147</v>
      </c>
      <c r="AJ4428" s="96">
        <f ca="1">AJ4414*1.01</f>
        <v>4150767.9624319458</v>
      </c>
      <c r="AK4428" s="109" t="s">
        <v>144</v>
      </c>
      <c r="AL4428" s="23" t="s">
        <v>147</v>
      </c>
      <c r="AM4428" s="96">
        <f ca="1">AM4414*1.01</f>
        <v>5064725.7258945797</v>
      </c>
      <c r="AN4428" s="109" t="s">
        <v>144</v>
      </c>
      <c r="AO4428" s="23" t="s">
        <v>147</v>
      </c>
      <c r="AP4428" s="96">
        <f ca="1">AP4414*1.01</f>
        <v>5879989.3352273889</v>
      </c>
      <c r="AQ4428" s="109" t="s">
        <v>144</v>
      </c>
      <c r="AR4428" s="23" t="s">
        <v>147</v>
      </c>
      <c r="AS4428" s="96">
        <f ca="1">AS4414*1.01</f>
        <v>6894749.9268667325</v>
      </c>
      <c r="AT4428" s="109" t="s">
        <v>144</v>
      </c>
      <c r="AU4428" s="23" t="s">
        <v>147</v>
      </c>
    </row>
    <row r="4429" spans="15:47" x14ac:dyDescent="0.25">
      <c r="O4429" s="1"/>
      <c r="P4429" s="1"/>
      <c r="Q4429" s="1"/>
      <c r="R4429" s="98"/>
      <c r="S4429" s="107"/>
      <c r="T4429" s="1"/>
      <c r="U4429" s="47"/>
      <c r="V4429" s="107"/>
      <c r="W4429" s="1"/>
      <c r="X4429" s="47"/>
      <c r="Y4429" s="107"/>
      <c r="Z4429" s="1"/>
      <c r="AA4429" s="47"/>
      <c r="AB4429" s="107"/>
      <c r="AC4429" s="1"/>
      <c r="AD4429" s="47"/>
      <c r="AE4429" s="107"/>
      <c r="AF4429" s="1"/>
      <c r="AG4429" s="47"/>
      <c r="AH4429" s="107"/>
      <c r="AI4429" s="1"/>
      <c r="AJ4429" s="47"/>
      <c r="AK4429" s="107"/>
      <c r="AL4429" s="1"/>
      <c r="AM4429" s="47"/>
      <c r="AN4429" s="107"/>
      <c r="AO4429" s="1"/>
      <c r="AP4429" s="47"/>
      <c r="AQ4429" s="107"/>
      <c r="AR4429" s="1"/>
      <c r="AS4429" s="47"/>
      <c r="AT4429" s="107"/>
      <c r="AU4429" s="1"/>
    </row>
    <row r="4430" spans="15:47" x14ac:dyDescent="0.25">
      <c r="O4430" s="8" t="s">
        <v>132</v>
      </c>
      <c r="P4430" s="8"/>
      <c r="Q4430" s="8"/>
      <c r="R4430" s="96">
        <f>P_1_minQ-(R4428^2*R_up)+dpup_minQ</f>
        <v>85.5273060141283</v>
      </c>
      <c r="S4430" s="106"/>
      <c r="T4430" s="22"/>
      <c r="U4430" s="96">
        <f ca="1">P_1_minQ-(U4428^2*R_up)+dpup_minQ</f>
        <v>77.256422008814297</v>
      </c>
      <c r="V4430" s="107"/>
      <c r="W4430" s="1"/>
      <c r="X4430" s="96">
        <f ca="1">P_1_minQ-(X4428^2*R_up)+dpup_minQ</f>
        <v>12.667604060771664</v>
      </c>
      <c r="Y4430" s="107"/>
      <c r="Z4430" s="1"/>
      <c r="AA4430" s="96">
        <f ca="1">P_1_minQ-(AA4428^2*R_up)+dpup_minQ</f>
        <v>-203.89360462095811</v>
      </c>
      <c r="AB4430" s="107"/>
      <c r="AC4430" s="1"/>
      <c r="AD4430" s="96">
        <f ca="1">P_1_minQ-(AD4428^2*R_up)+dpup_minQ</f>
        <v>-737.54051172402592</v>
      </c>
      <c r="AE4430" s="107"/>
      <c r="AF4430" s="1"/>
      <c r="AG4430" s="96">
        <f ca="1">P_1_minQ-(AG4428^2*R_up)+dpup_minQ</f>
        <v>-1673.0522809774575</v>
      </c>
      <c r="AH4430" s="107"/>
      <c r="AI4430" s="1"/>
      <c r="AJ4430" s="96">
        <f ca="1">P_1_minQ-(AJ4428^2*R_up)+dpup_minQ</f>
        <v>-3049.9653572425632</v>
      </c>
      <c r="AK4430" s="107"/>
      <c r="AL4430" s="1"/>
      <c r="AM4430" s="96">
        <f ca="1">P_1_minQ-(AM4428^2*R_up)+dpup_minQ</f>
        <v>-4585.0710047263256</v>
      </c>
      <c r="AN4430" s="107"/>
      <c r="AO4430" s="1"/>
      <c r="AP4430" s="96">
        <f ca="1">P_1_minQ-(AP4428^2*R_up)+dpup_minQ</f>
        <v>-6211.3537489724404</v>
      </c>
      <c r="AQ4430" s="107"/>
      <c r="AR4430" s="1"/>
      <c r="AS4430" s="96">
        <f ca="1">P_1_minQ-(AS4428^2*R_up)+dpup_minQ</f>
        <v>-8574.0569784986146</v>
      </c>
      <c r="AT4430" s="107"/>
      <c r="AU4430" s="1"/>
    </row>
    <row r="4431" spans="15:47" x14ac:dyDescent="0.25">
      <c r="O4431" s="8" t="s">
        <v>134</v>
      </c>
      <c r="P4431" s="1"/>
      <c r="Q4431" s="8"/>
      <c r="R4431" s="97">
        <f>P_2_minQ+(R4428^2*R_dn)-dpdn_minQ</f>
        <v>60</v>
      </c>
      <c r="S4431" s="106"/>
      <c r="T4431" s="22"/>
      <c r="U4431" s="97">
        <f ca="1">P_2_minQ+(U4428^2*R_dn)-dpdn_minQ</f>
        <v>60</v>
      </c>
      <c r="V4431" s="107"/>
      <c r="W4431" s="1"/>
      <c r="X4431" s="97">
        <f ca="1">P_2_minQ+(X4428^2*R_dn)-dpdn_minQ</f>
        <v>60</v>
      </c>
      <c r="Y4431" s="107"/>
      <c r="Z4431" s="1"/>
      <c r="AA4431" s="97">
        <f ca="1">P_2_minQ+(AA4428^2*R_dn)-dpdn_minQ</f>
        <v>60</v>
      </c>
      <c r="AB4431" s="107"/>
      <c r="AC4431" s="1"/>
      <c r="AD4431" s="97">
        <f ca="1">P_2_minQ+(AD4428^2*R_dn)-dpdn_minQ</f>
        <v>60</v>
      </c>
      <c r="AE4431" s="107"/>
      <c r="AF4431" s="1"/>
      <c r="AG4431" s="97">
        <f ca="1">P_2_minQ+(AG4428^2*R_dn)-dpdn_minQ</f>
        <v>60</v>
      </c>
      <c r="AH4431" s="107"/>
      <c r="AI4431" s="1"/>
      <c r="AJ4431" s="97">
        <f ca="1">P_2_minQ+(AJ4428^2*R_dn)-dpdn_minQ</f>
        <v>60</v>
      </c>
      <c r="AK4431" s="107"/>
      <c r="AL4431" s="1"/>
      <c r="AM4431" s="97">
        <f ca="1">P_2_minQ+(AM4428^2*R_dn)-dpdn_minQ</f>
        <v>60</v>
      </c>
      <c r="AN4431" s="107"/>
      <c r="AO4431" s="1"/>
      <c r="AP4431" s="97">
        <f ca="1">P_2_minQ+(AP4428^2*R_dn)-dpdn_minQ</f>
        <v>60</v>
      </c>
      <c r="AQ4431" s="107"/>
      <c r="AR4431" s="1"/>
      <c r="AS4431" s="97">
        <f ca="1">P_2_minQ+(AS4428^2*R_dn)-dpdn_minQ</f>
        <v>60</v>
      </c>
      <c r="AT4431" s="107"/>
      <c r="AU4431" s="1"/>
    </row>
    <row r="4432" spans="15:47" x14ac:dyDescent="0.25">
      <c r="O4432" s="8" t="s">
        <v>138</v>
      </c>
      <c r="P4432" s="1"/>
      <c r="Q4432" s="8"/>
      <c r="R4432" s="97">
        <f>R4430-R4431</f>
        <v>25.5273060141283</v>
      </c>
      <c r="S4432" s="106"/>
      <c r="T4432" s="22"/>
      <c r="U4432" s="97">
        <f ca="1">U4430-U4431</f>
        <v>17.256422008814297</v>
      </c>
      <c r="V4432" s="110"/>
      <c r="W4432" s="25"/>
      <c r="X4432" s="97">
        <f ca="1">X4430-X4431</f>
        <v>-47.332395939228334</v>
      </c>
      <c r="Y4432" s="110"/>
      <c r="Z4432" s="25"/>
      <c r="AA4432" s="97">
        <f ca="1">AA4430-AA4431</f>
        <v>-263.89360462095811</v>
      </c>
      <c r="AB4432" s="110"/>
      <c r="AC4432" s="25"/>
      <c r="AD4432" s="97">
        <f ca="1">AD4430-AD4431</f>
        <v>-797.54051172402592</v>
      </c>
      <c r="AE4432" s="110"/>
      <c r="AF4432" s="25"/>
      <c r="AG4432" s="97">
        <f ca="1">AG4430-AG4431</f>
        <v>-1733.0522809774575</v>
      </c>
      <c r="AH4432" s="110"/>
      <c r="AI4432" s="25"/>
      <c r="AJ4432" s="97">
        <f ca="1">AJ4430-AJ4431</f>
        <v>-3109.9653572425632</v>
      </c>
      <c r="AK4432" s="110"/>
      <c r="AL4432" s="25"/>
      <c r="AM4432" s="97">
        <f ca="1">AM4430-AM4431</f>
        <v>-4645.0710047263256</v>
      </c>
      <c r="AN4432" s="110"/>
      <c r="AO4432" s="25"/>
      <c r="AP4432" s="97">
        <f ca="1">AP4430-AP4431</f>
        <v>-6271.3537489724404</v>
      </c>
      <c r="AQ4432" s="110"/>
      <c r="AR4432" s="25"/>
      <c r="AS4432" s="97">
        <f ca="1">AS4430-AS4431</f>
        <v>-8634.0569784986146</v>
      </c>
      <c r="AT4432" s="110"/>
      <c r="AU4432" s="25"/>
    </row>
    <row r="4433" spans="15:47" ht="14.4" x14ac:dyDescent="0.3">
      <c r="O4433" s="2" t="s">
        <v>140</v>
      </c>
      <c r="P4433" s="11"/>
      <c r="Q4433" s="2"/>
      <c r="R4433" s="96">
        <f>R4432/R4430</f>
        <v>0.2984696607877656</v>
      </c>
      <c r="S4433" s="106"/>
      <c r="T4433" s="22"/>
      <c r="U4433" s="96">
        <f ca="1">U4432/U4430</f>
        <v>0.22336553467160941</v>
      </c>
      <c r="V4433" s="111"/>
      <c r="W4433" s="28"/>
      <c r="X4433" s="96">
        <f ca="1">X4432/X4430</f>
        <v>-3.7364915821615141</v>
      </c>
      <c r="Y4433" s="111"/>
      <c r="Z4433" s="28"/>
      <c r="AA4433" s="96">
        <f ca="1">AA4432/AA4430</f>
        <v>1.2942711229787764</v>
      </c>
      <c r="AB4433" s="111"/>
      <c r="AC4433" s="28"/>
      <c r="AD4433" s="96">
        <f ca="1">AD4432/AD4430</f>
        <v>1.0813514634738477</v>
      </c>
      <c r="AE4433" s="111"/>
      <c r="AF4433" s="28"/>
      <c r="AG4433" s="96">
        <f ca="1">AG4432/AG4430</f>
        <v>1.0358625971717668</v>
      </c>
      <c r="AH4433" s="111"/>
      <c r="AI4433" s="28"/>
      <c r="AJ4433" s="96">
        <f ca="1">AJ4432/AJ4430</f>
        <v>1.0196723545916748</v>
      </c>
      <c r="AK4433" s="111"/>
      <c r="AL4433" s="28"/>
      <c r="AM4433" s="96">
        <f ca="1">AM4432/AM4430</f>
        <v>1.0130859478377001</v>
      </c>
      <c r="AN4433" s="111"/>
      <c r="AO4433" s="28"/>
      <c r="AP4433" s="96">
        <f ca="1">AP4432/AP4430</f>
        <v>1.0096597299759213</v>
      </c>
      <c r="AQ4433" s="111"/>
      <c r="AR4433" s="28"/>
      <c r="AS4433" s="96">
        <f ca="1">AS4432/AS4430</f>
        <v>1.0069978541255864</v>
      </c>
      <c r="AT4433" s="111"/>
      <c r="AU4433" s="28"/>
    </row>
    <row r="4434" spans="15:47" x14ac:dyDescent="0.25">
      <c r="O4434" s="2" t="s">
        <v>21</v>
      </c>
      <c r="P4434" s="8">
        <v>12</v>
      </c>
      <c r="Q4434" s="2"/>
      <c r="R4434" s="96">
        <f ca="1">1-R4433/(3*F_GAMMA*R$29)</f>
        <v>0.84455426472281636</v>
      </c>
      <c r="S4434" s="106"/>
      <c r="T4434" s="22"/>
      <c r="U4434" s="96">
        <f ca="1">1-U4433/(3*F_GAMMA*U$29)</f>
        <v>0.88369620744869215</v>
      </c>
      <c r="V4434" s="111"/>
      <c r="W4434" s="28"/>
      <c r="X4434" s="96">
        <f ca="1">1-X4433/(3*F_GAMMA*X$29)</f>
        <v>2.9640768193044469</v>
      </c>
      <c r="Y4434" s="111"/>
      <c r="Z4434" s="28"/>
      <c r="AA4434" s="96">
        <f ca="1">1-AA4433/(3*F_GAMMA*AA$29)</f>
        <v>0.31007985205849631</v>
      </c>
      <c r="AB4434" s="111"/>
      <c r="AC4434" s="28"/>
      <c r="AD4434" s="96">
        <f ca="1">1-AD4433/(3*F_GAMMA*AD$29)</f>
        <v>0.40570089320042435</v>
      </c>
      <c r="AE4434" s="111"/>
      <c r="AF4434" s="28"/>
      <c r="AG4434" s="96">
        <f ca="1">1-AG4433/(3*F_GAMMA*AG$29)</f>
        <v>0.39653963155809513</v>
      </c>
      <c r="AH4434" s="111"/>
      <c r="AI4434" s="28"/>
      <c r="AJ4434" s="96">
        <f ca="1">1-AJ4433/(3*F_GAMMA*AJ$29)</f>
        <v>0.36090671361080384</v>
      </c>
      <c r="AK4434" s="111"/>
      <c r="AL4434" s="28"/>
      <c r="AM4434" s="96">
        <f ca="1">1-AM4433/(3*F_GAMMA*AM$29)</f>
        <v>0.29005660037840364</v>
      </c>
      <c r="AN4434" s="111"/>
      <c r="AO4434" s="28"/>
      <c r="AP4434" s="96">
        <f ca="1">1-AP4433/(3*F_GAMMA*AP$29)</f>
        <v>0.43009391174220568</v>
      </c>
      <c r="AQ4434" s="111"/>
      <c r="AR4434" s="28"/>
      <c r="AS4434" s="96">
        <f ca="1">1-AS4433/(3*F_GAMMA*AS$29)</f>
        <v>0.10890655151772544</v>
      </c>
      <c r="AT4434" s="111"/>
      <c r="AU4434" s="28"/>
    </row>
    <row r="4435" spans="15:47" x14ac:dyDescent="0.25">
      <c r="O4435" s="2" t="s">
        <v>57</v>
      </c>
      <c r="P4435" s="143">
        <v>7</v>
      </c>
      <c r="Q4435" s="2"/>
      <c r="R4435" s="96">
        <f ca="1">(R4428/(N_9*R$27*R4430*R4434))*SQRT(M*'Valve Sizing'!$W$6*'Valve Sizing'!$G$8/R4433)</f>
        <v>70.476476484008131</v>
      </c>
      <c r="S4435" s="107"/>
      <c r="T4435" s="22"/>
      <c r="U4435" s="96">
        <f ca="1">(U4428/(N_9*U$27*U4430*U4434))*SQRT(M*'Valve Sizing'!$W$6*'Valve Sizing'!$G$8/U4433)</f>
        <v>143.69925848981978</v>
      </c>
      <c r="V4435" s="111"/>
      <c r="W4435" s="28"/>
      <c r="X4435" s="96" t="e">
        <f ca="1">(X4428/(N_9*X$27*X4430*X4434))*SQRT(M*'Valve Sizing'!$W$6*'Valve Sizing'!$G$8/X4433)</f>
        <v>#NUM!</v>
      </c>
      <c r="Y4435" s="111"/>
      <c r="Z4435" s="28"/>
      <c r="AA4435" s="96">
        <f ca="1">(AA4428/(N_9*AA$27*AA4430*AA4434))*SQRT(M*'Valve Sizing'!$W$6*'Valve Sizing'!$G$8/AA4433)</f>
        <v>-309.98045419625936</v>
      </c>
      <c r="AB4435" s="111"/>
      <c r="AC4435" s="28"/>
      <c r="AD4435" s="96">
        <f ca="1">(AD4428/(N_9*AD$27*AD4430*AD4434))*SQRT(M*'Valve Sizing'!$W$6*'Valve Sizing'!$G$8/AD4433)</f>
        <v>-121.70464623723957</v>
      </c>
      <c r="AE4435" s="111"/>
      <c r="AF4435" s="28"/>
      <c r="AG4435" s="96">
        <f ca="1">(AG4428/(N_9*AG$27*AG4430*AG4434))*SQRT(M*'Valve Sizing'!$W$6*'Valve Sizing'!$G$8/AG4433)</f>
        <v>-83.697554511519414</v>
      </c>
      <c r="AH4435" s="111"/>
      <c r="AI4435" s="28"/>
      <c r="AJ4435" s="96">
        <f ca="1">(AJ4428/(N_9*AJ$27*AJ4430*AJ4434))*SQRT(M*'Valve Sizing'!$W$6*'Valve Sizing'!$G$8/AJ4433)</f>
        <v>-70.304422465332905</v>
      </c>
      <c r="AK4435" s="111"/>
      <c r="AL4435" s="28"/>
      <c r="AM4435" s="96">
        <f ca="1">(AM4428/(N_9*AM$27*AM4430*AM4434))*SQRT(M*'Valve Sizing'!$W$6*'Valve Sizing'!$G$8/AM4433)</f>
        <v>-75.578286091401807</v>
      </c>
      <c r="AN4435" s="111"/>
      <c r="AO4435" s="28"/>
      <c r="AP4435" s="96">
        <f ca="1">(AP4428/(N_9*AP$27*AP4430*AP4434))*SQRT(M*'Valve Sizing'!$W$6*'Valve Sizing'!$G$8/AP4433)</f>
        <v>-49.802254040567654</v>
      </c>
      <c r="AQ4435" s="111"/>
      <c r="AR4435" s="28"/>
      <c r="AS4435" s="96">
        <f ca="1">(AS4428/(N_9*AS$27*AS4430*AS4434))*SQRT(M*'Valve Sizing'!$W$6*'Valve Sizing'!$G$8/AS4433)</f>
        <v>-224.06830632958608</v>
      </c>
      <c r="AT4435" s="111"/>
      <c r="AU4435" s="28"/>
    </row>
    <row r="4436" spans="15:47" x14ac:dyDescent="0.25">
      <c r="O4436" s="2" t="s">
        <v>59</v>
      </c>
      <c r="P4436" s="143">
        <v>7</v>
      </c>
      <c r="Q4436" s="2"/>
      <c r="R4436" s="96">
        <f ca="1">(R4428/(N_9*R$27*R4430*0.667))*SQRT(M*'Valve Sizing'!$W$6*'Valve Sizing'!$G$8/R4437)</f>
        <v>60.939086768886007</v>
      </c>
      <c r="S4436" s="107"/>
      <c r="T4436" s="22"/>
      <c r="U4436" s="96">
        <f ca="1">(U4428/(N_9*U$27*U4430*0.667))*SQRT(M*'Valve Sizing'!$W$6*'Valve Sizing'!$G$8/U4437)</f>
        <v>112.45771375445794</v>
      </c>
      <c r="V4436" s="111"/>
      <c r="W4436" s="28"/>
      <c r="X4436" s="96">
        <f ca="1">(X4428/(N_9*X$27*X4430*0.667))*SQRT(M*'Valve Sizing'!$W$6*'Valve Sizing'!$G$8/X4437)</f>
        <v>1691.2584302647942</v>
      </c>
      <c r="Y4436" s="111"/>
      <c r="Z4436" s="28"/>
      <c r="AA4436" s="96">
        <f ca="1">(AA4428/(N_9*AA$27*AA4430*0.667))*SQRT(M*'Valve Sizing'!$W$6*'Valve Sizing'!$G$8/AA4437)</f>
        <v>-207.32041326149914</v>
      </c>
      <c r="AB4436" s="111"/>
      <c r="AC4436" s="28"/>
      <c r="AD4436" s="96">
        <f ca="1">(AD4428/(N_9*AD$27*AD4430*0.667))*SQRT(M*'Valve Sizing'!$W$6*'Valve Sizing'!$G$8/AD4437)</f>
        <v>-98.844032399833054</v>
      </c>
      <c r="AE4436" s="111"/>
      <c r="AF4436" s="28"/>
      <c r="AG4436" s="96">
        <f ca="1">(AG4428/(N_9*AG$27*AG4430*0.667))*SQRT(M*'Valve Sizing'!$W$6*'Valve Sizing'!$G$8/AG4437)</f>
        <v>-66.951226572033107</v>
      </c>
      <c r="AH4436" s="111"/>
      <c r="AI4436" s="28"/>
      <c r="AJ4436" s="96">
        <f ca="1">(AJ4428/(N_9*AJ$27*AJ4430*0.667))*SQRT(M*'Valve Sizing'!$W$6*'Valve Sizing'!$G$8/AJ4437)</f>
        <v>-52.673785030268029</v>
      </c>
      <c r="AK4436" s="111"/>
      <c r="AL4436" s="28"/>
      <c r="AM4436" s="96">
        <f ca="1">(AM4428/(N_9*AM$27*AM4430*0.667))*SQRT(M*'Valve Sizing'!$W$6*'Valve Sizing'!$G$8/AM4437)</f>
        <v>-47.965220794748475</v>
      </c>
      <c r="AN4436" s="111"/>
      <c r="AO4436" s="28"/>
      <c r="AP4436" s="96">
        <f ca="1">(AP4428/(N_9*AP$27*AP4430*0.667))*SQRT(M*'Valve Sizing'!$W$6*'Valve Sizing'!$G$8/AP4437)</f>
        <v>-41.990276641312292</v>
      </c>
      <c r="AQ4436" s="111"/>
      <c r="AR4436" s="28"/>
      <c r="AS4436" s="96">
        <f ca="1">(AS4428/(N_9*AS$27*AS4430*0.667))*SQRT(M*'Valve Sizing'!$W$6*'Valve Sizing'!$G$8/AS4437)</f>
        <v>-59.817857900238046</v>
      </c>
      <c r="AT4436" s="111"/>
      <c r="AU4436" s="28"/>
    </row>
    <row r="4437" spans="15:47" ht="15.6" x14ac:dyDescent="0.35">
      <c r="O4437" s="2" t="s">
        <v>68</v>
      </c>
      <c r="P4437" s="143">
        <v>10</v>
      </c>
      <c r="Q4437" s="2"/>
      <c r="R4437" s="96">
        <f ca="1">F_GAMMA*R$29</f>
        <v>0.64002969751372984</v>
      </c>
      <c r="S4437" s="107"/>
      <c r="T4437" s="1"/>
      <c r="U4437" s="96">
        <f ca="1">F_GAMMA*U$29</f>
        <v>0.64017842058782071</v>
      </c>
      <c r="V4437" s="111"/>
      <c r="W4437" s="28"/>
      <c r="X4437" s="96">
        <f ca="1">F_GAMMA*X$29</f>
        <v>0.63413873724904268</v>
      </c>
      <c r="Y4437" s="111"/>
      <c r="Z4437" s="28"/>
      <c r="AA4437" s="96">
        <f ca="1">F_GAMMA*AA$29</f>
        <v>0.62532411750377137</v>
      </c>
      <c r="AB4437" s="111"/>
      <c r="AC4437" s="28"/>
      <c r="AD4437" s="96">
        <f ca="1">F_GAMMA*AD$29</f>
        <v>0.60651359509139569</v>
      </c>
      <c r="AE4437" s="111"/>
      <c r="AF4437" s="28"/>
      <c r="AG4437" s="96">
        <f ca="1">F_GAMMA*AG$29</f>
        <v>0.57217930198481592</v>
      </c>
      <c r="AH4437" s="111"/>
      <c r="AI4437" s="28"/>
      <c r="AJ4437" s="96">
        <f ca="1">F_GAMMA*AJ$29</f>
        <v>0.53183282018848232</v>
      </c>
      <c r="AK4437" s="111"/>
      <c r="AL4437" s="28"/>
      <c r="AM4437" s="96">
        <f ca="1">F_GAMMA*AM$29</f>
        <v>0.47566512503094399</v>
      </c>
      <c r="AN4437" s="111"/>
      <c r="AO4437" s="28"/>
      <c r="AP4437" s="96">
        <f ca="1">F_GAMMA*AP$29</f>
        <v>0.59054158265645496</v>
      </c>
      <c r="AQ4437" s="111"/>
      <c r="AR4437" s="28"/>
      <c r="AS4437" s="96">
        <f ca="1">F_GAMMA*AS$29</f>
        <v>0.3766899554102966</v>
      </c>
      <c r="AT4437" s="111"/>
      <c r="AU4437" s="28"/>
    </row>
    <row r="4438" spans="15:47" x14ac:dyDescent="0.25">
      <c r="O4438" s="2" t="s">
        <v>145</v>
      </c>
      <c r="P4438" s="12"/>
      <c r="Q4438" s="2"/>
      <c r="R4438" s="96">
        <f ca="1">IF(R4433&lt;R4437,R4435,R4436)</f>
        <v>70.476476484008131</v>
      </c>
      <c r="S4438" s="116"/>
      <c r="T4438" s="1"/>
      <c r="U4438" s="96">
        <f ca="1">IF(U4433&lt;U4437,U4435,U4436)</f>
        <v>143.69925848981978</v>
      </c>
      <c r="V4438" s="111"/>
      <c r="W4438" s="28"/>
      <c r="X4438" s="96" t="e">
        <f ca="1">IF(X4433&lt;X4437,X4435,X4436)</f>
        <v>#NUM!</v>
      </c>
      <c r="Y4438" s="111"/>
      <c r="Z4438" s="28"/>
      <c r="AA4438" s="96">
        <f ca="1">IF(AA4433&lt;AA4437,AA4435,AA4436)</f>
        <v>-207.32041326149914</v>
      </c>
      <c r="AB4438" s="111"/>
      <c r="AC4438" s="28"/>
      <c r="AD4438" s="96">
        <f ca="1">IF(AD4433&lt;AD4437,AD4435,AD4436)</f>
        <v>-98.844032399833054</v>
      </c>
      <c r="AE4438" s="111"/>
      <c r="AF4438" s="28"/>
      <c r="AG4438" s="96">
        <f ca="1">IF(AG4433&lt;AG4437,AG4435,AG4436)</f>
        <v>-66.951226572033107</v>
      </c>
      <c r="AH4438" s="111"/>
      <c r="AI4438" s="28"/>
      <c r="AJ4438" s="96">
        <f ca="1">IF(AJ4433&lt;AJ4437,AJ4435,AJ4436)</f>
        <v>-52.673785030268029</v>
      </c>
      <c r="AK4438" s="111"/>
      <c r="AL4438" s="28"/>
      <c r="AM4438" s="96">
        <f ca="1">IF(AM4433&lt;AM4437,AM4435,AM4436)</f>
        <v>-47.965220794748475</v>
      </c>
      <c r="AN4438" s="111"/>
      <c r="AO4438" s="28"/>
      <c r="AP4438" s="96">
        <f ca="1">IF(AP4433&lt;AP4437,AP4435,AP4436)</f>
        <v>-41.990276641312292</v>
      </c>
      <c r="AQ4438" s="111"/>
      <c r="AR4438" s="28"/>
      <c r="AS4438" s="96">
        <f ca="1">IF(AS4433&lt;AS4437,AS4435,AS4436)</f>
        <v>-59.817857900238046</v>
      </c>
      <c r="AT4438" s="111"/>
      <c r="AU4438" s="28"/>
    </row>
    <row r="4439" spans="15:47" x14ac:dyDescent="0.25">
      <c r="O4439" s="13" t="s">
        <v>143</v>
      </c>
      <c r="P4439" s="1"/>
      <c r="Q4439" s="1"/>
      <c r="R4439" s="113"/>
      <c r="S4439" s="106">
        <f ca="1">IF(R4432&lt;=0,Q_max,ABS(R$23-R4438))</f>
        <v>65.746476484008127</v>
      </c>
      <c r="T4439" s="7">
        <f>R4428</f>
        <v>159860.29011770542</v>
      </c>
      <c r="U4439" s="98"/>
      <c r="V4439" s="106">
        <f ca="1">IF(U4432&lt;=0,Q_max,ABS(U$23-U4438))</f>
        <v>132.09925848981979</v>
      </c>
      <c r="W4439" s="9">
        <f ca="1">U4428</f>
        <v>266335.64371064689</v>
      </c>
      <c r="X4439" s="98"/>
      <c r="Y4439" s="106">
        <f ca="1">IF(X4432&lt;=0,Q_max,ABS(X$23-X4438))</f>
        <v>236393</v>
      </c>
      <c r="Z4439" s="9">
        <f ca="1">X4428</f>
        <v>652158.15961342619</v>
      </c>
      <c r="AA4439" s="98"/>
      <c r="AB4439" s="106">
        <f ca="1">IF(AA4432&lt;=0,Q_max,ABS(AA$23-AA4438))</f>
        <v>236393</v>
      </c>
      <c r="AC4439" s="9">
        <f ca="1">AA4428</f>
        <v>1270237.634547937</v>
      </c>
      <c r="AD4439" s="98"/>
      <c r="AE4439" s="106">
        <f ca="1">IF(AD4432&lt;=0,Q_max,ABS(AD$23-AD4438))</f>
        <v>236393</v>
      </c>
      <c r="AF4439" s="9">
        <f ca="1">AD4428</f>
        <v>2131063.6071063699</v>
      </c>
      <c r="AG4439" s="98"/>
      <c r="AH4439" s="106">
        <f ca="1">IF(AG4432&lt;=0,Q_max,ABS(AG$23-AG4438))</f>
        <v>236393</v>
      </c>
      <c r="AI4439" s="9">
        <f ca="1">AG4428</f>
        <v>3110345.3765222738</v>
      </c>
      <c r="AJ4439" s="98"/>
      <c r="AK4439" s="106">
        <f ca="1">IF(AJ4432&lt;=0,Q_max,ABS(AJ$23-AJ4438))</f>
        <v>236393</v>
      </c>
      <c r="AL4439" s="9">
        <f ca="1">AJ4428</f>
        <v>4150767.9624319458</v>
      </c>
      <c r="AM4439" s="98"/>
      <c r="AN4439" s="106">
        <f ca="1">IF(AM4432&lt;=0,Q_max,ABS(AM$23-AM4438))</f>
        <v>236393</v>
      </c>
      <c r="AO4439" s="9">
        <f ca="1">AM4428</f>
        <v>5064725.7258945797</v>
      </c>
      <c r="AP4439" s="98"/>
      <c r="AQ4439" s="106">
        <f ca="1">IF(AP4432&lt;=0,Q_max,ABS(AP$23-AP4438))</f>
        <v>236393</v>
      </c>
      <c r="AR4439" s="9">
        <f ca="1">AP4428</f>
        <v>5879989.3352273889</v>
      </c>
      <c r="AS4439" s="98"/>
      <c r="AT4439" s="106">
        <f ca="1">IF(AS4432&lt;=0,Q_max,ABS(AS$23-AS4438))</f>
        <v>236393</v>
      </c>
      <c r="AU4439" s="9">
        <f ca="1">AS4428</f>
        <v>6894749.9268667325</v>
      </c>
    </row>
    <row r="4440" spans="15:47" x14ac:dyDescent="0.25">
      <c r="O4440" s="21"/>
      <c r="P4440" s="14"/>
      <c r="Q4440" s="21"/>
      <c r="R4440" s="97"/>
      <c r="S4440" s="106"/>
      <c r="T4440" s="28"/>
      <c r="U4440" s="97"/>
      <c r="V4440" s="111"/>
      <c r="W4440" s="28"/>
      <c r="X4440" s="97"/>
      <c r="Y4440" s="111"/>
      <c r="Z4440" s="28"/>
      <c r="AA4440" s="97"/>
      <c r="AB4440" s="111"/>
      <c r="AC4440" s="28"/>
      <c r="AD4440" s="97"/>
      <c r="AE4440" s="111"/>
      <c r="AF4440" s="28"/>
      <c r="AG4440" s="97"/>
      <c r="AH4440" s="111"/>
      <c r="AI4440" s="28"/>
      <c r="AJ4440" s="97"/>
      <c r="AK4440" s="111"/>
      <c r="AL4440" s="28"/>
      <c r="AM4440" s="97"/>
      <c r="AN4440" s="111"/>
      <c r="AO4440" s="28"/>
      <c r="AP4440" s="97"/>
      <c r="AQ4440" s="111"/>
      <c r="AR4440" s="28"/>
      <c r="AS4440" s="97"/>
      <c r="AT4440" s="111"/>
      <c r="AU4440" s="28"/>
    </row>
    <row r="4441" spans="15:47" x14ac:dyDescent="0.25">
      <c r="O4441" s="1"/>
      <c r="P4441" s="1"/>
      <c r="Q4441" s="1"/>
      <c r="R4441" s="98"/>
      <c r="S4441" s="108" t="s">
        <v>137</v>
      </c>
      <c r="T4441" s="26" t="s">
        <v>146</v>
      </c>
      <c r="U4441" s="98"/>
      <c r="V4441" s="108" t="s">
        <v>137</v>
      </c>
      <c r="W4441" s="26" t="s">
        <v>146</v>
      </c>
      <c r="X4441" s="98"/>
      <c r="Y4441" s="108" t="s">
        <v>137</v>
      </c>
      <c r="Z4441" s="26" t="s">
        <v>146</v>
      </c>
      <c r="AA4441" s="98"/>
      <c r="AB4441" s="108" t="s">
        <v>137</v>
      </c>
      <c r="AC4441" s="26" t="s">
        <v>146</v>
      </c>
      <c r="AD4441" s="98"/>
      <c r="AE4441" s="108" t="s">
        <v>137</v>
      </c>
      <c r="AF4441" s="26" t="s">
        <v>146</v>
      </c>
      <c r="AG4441" s="98"/>
      <c r="AH4441" s="108" t="s">
        <v>137</v>
      </c>
      <c r="AI4441" s="26" t="s">
        <v>146</v>
      </c>
      <c r="AJ4441" s="98"/>
      <c r="AK4441" s="108" t="s">
        <v>137</v>
      </c>
      <c r="AL4441" s="26" t="s">
        <v>146</v>
      </c>
      <c r="AM4441" s="98"/>
      <c r="AN4441" s="108" t="s">
        <v>137</v>
      </c>
      <c r="AO4441" s="26" t="s">
        <v>146</v>
      </c>
      <c r="AP4441" s="98"/>
      <c r="AQ4441" s="108" t="s">
        <v>137</v>
      </c>
      <c r="AR4441" s="26" t="s">
        <v>146</v>
      </c>
      <c r="AS4441" s="98"/>
      <c r="AT4441" s="108" t="s">
        <v>137</v>
      </c>
      <c r="AU4441" s="26" t="s">
        <v>146</v>
      </c>
    </row>
    <row r="4442" spans="15:47" ht="13.8" x14ac:dyDescent="0.25">
      <c r="O4442" s="20" t="s">
        <v>136</v>
      </c>
      <c r="P4442" s="1"/>
      <c r="Q4442" s="1"/>
      <c r="R4442" s="96">
        <f>R4428*1.02</f>
        <v>163057.49592005953</v>
      </c>
      <c r="S4442" s="109" t="s">
        <v>144</v>
      </c>
      <c r="T4442" s="23" t="s">
        <v>147</v>
      </c>
      <c r="U4442" s="96">
        <f ca="1">U4428*1.01</f>
        <v>268999.0001477534</v>
      </c>
      <c r="V4442" s="109" t="s">
        <v>144</v>
      </c>
      <c r="W4442" s="23" t="s">
        <v>147</v>
      </c>
      <c r="X4442" s="96">
        <f ca="1">X4428*1.01</f>
        <v>658679.74120956042</v>
      </c>
      <c r="Y4442" s="109" t="s">
        <v>144</v>
      </c>
      <c r="Z4442" s="23" t="s">
        <v>147</v>
      </c>
      <c r="AA4442" s="96">
        <f ca="1">AA4428*1.01</f>
        <v>1282940.0108934164</v>
      </c>
      <c r="AB4442" s="109" t="s">
        <v>144</v>
      </c>
      <c r="AC4442" s="23" t="s">
        <v>147</v>
      </c>
      <c r="AD4442" s="96">
        <f ca="1">AD4428*1.01</f>
        <v>2152374.2431774335</v>
      </c>
      <c r="AE4442" s="109" t="s">
        <v>144</v>
      </c>
      <c r="AF4442" s="23" t="s">
        <v>147</v>
      </c>
      <c r="AG4442" s="96">
        <f ca="1">AG4428*1.01</f>
        <v>3141448.8302874966</v>
      </c>
      <c r="AH4442" s="109" t="s">
        <v>144</v>
      </c>
      <c r="AI4442" s="23" t="s">
        <v>147</v>
      </c>
      <c r="AJ4442" s="96">
        <f ca="1">AJ4428*1.01</f>
        <v>4192275.6420562654</v>
      </c>
      <c r="AK4442" s="109" t="s">
        <v>144</v>
      </c>
      <c r="AL4442" s="23" t="s">
        <v>147</v>
      </c>
      <c r="AM4442" s="96">
        <f ca="1">AM4428*1.01</f>
        <v>5115372.9831535257</v>
      </c>
      <c r="AN4442" s="109" t="s">
        <v>144</v>
      </c>
      <c r="AO4442" s="23" t="s">
        <v>147</v>
      </c>
      <c r="AP4442" s="96">
        <f ca="1">AP4428*1.01</f>
        <v>5938789.2285796627</v>
      </c>
      <c r="AQ4442" s="109" t="s">
        <v>144</v>
      </c>
      <c r="AR4442" s="23" t="s">
        <v>147</v>
      </c>
      <c r="AS4442" s="96">
        <f ca="1">AS4428*1.01</f>
        <v>6963697.4261354003</v>
      </c>
      <c r="AT4442" s="109" t="s">
        <v>144</v>
      </c>
      <c r="AU4442" s="23" t="s">
        <v>147</v>
      </c>
    </row>
    <row r="4443" spans="15:47" x14ac:dyDescent="0.25">
      <c r="O4443" s="1"/>
      <c r="P4443" s="1"/>
      <c r="Q4443" s="1"/>
      <c r="R4443" s="98"/>
      <c r="S4443" s="107"/>
      <c r="T4443" s="1"/>
      <c r="U4443" s="47"/>
      <c r="V4443" s="107"/>
      <c r="W4443" s="1"/>
      <c r="X4443" s="47"/>
      <c r="Y4443" s="107"/>
      <c r="Z4443" s="1"/>
      <c r="AA4443" s="47"/>
      <c r="AB4443" s="107"/>
      <c r="AC4443" s="1"/>
      <c r="AD4443" s="47"/>
      <c r="AE4443" s="107"/>
      <c r="AF4443" s="1"/>
      <c r="AG4443" s="47"/>
      <c r="AH4443" s="107"/>
      <c r="AI4443" s="1"/>
      <c r="AJ4443" s="47"/>
      <c r="AK4443" s="107"/>
      <c r="AL4443" s="1"/>
      <c r="AM4443" s="47"/>
      <c r="AN4443" s="107"/>
      <c r="AO4443" s="1"/>
      <c r="AP4443" s="47"/>
      <c r="AQ4443" s="107"/>
      <c r="AR4443" s="1"/>
      <c r="AS4443" s="47"/>
      <c r="AT4443" s="107"/>
      <c r="AU4443" s="1"/>
    </row>
    <row r="4444" spans="15:47" x14ac:dyDescent="0.25">
      <c r="O4444" s="8" t="s">
        <v>132</v>
      </c>
      <c r="P4444" s="8"/>
      <c r="Q4444" s="8"/>
      <c r="R4444" s="96">
        <f>P_1_minQ-(R4442^2*R_up)+dpup_minQ</f>
        <v>85.339133539676752</v>
      </c>
      <c r="S4444" s="106"/>
      <c r="T4444" s="22"/>
      <c r="U4444" s="96">
        <f ca="1">P_1_minQ-(U4442^2*R_up)+dpup_minQ</f>
        <v>76.996556776533325</v>
      </c>
      <c r="V4444" s="107"/>
      <c r="W4444" s="1"/>
      <c r="X4444" s="96">
        <f ca="1">P_1_minQ-(X4442^2*R_up)+dpup_minQ</f>
        <v>11.109503587735047</v>
      </c>
      <c r="Y4444" s="107"/>
      <c r="Z4444" s="1"/>
      <c r="AA4444" s="96">
        <f ca="1">P_1_minQ-(AA4442^2*R_up)+dpup_minQ</f>
        <v>-209.80458538849751</v>
      </c>
      <c r="AB4444" s="107"/>
      <c r="AC4444" s="1"/>
      <c r="AD4444" s="96">
        <f ca="1">P_1_minQ-(AD4442^2*R_up)+dpup_minQ</f>
        <v>-754.1777953243369</v>
      </c>
      <c r="AE4444" s="107"/>
      <c r="AF4444" s="1"/>
      <c r="AG4444" s="96">
        <f ca="1">P_1_minQ-(AG4442^2*R_up)+dpup_minQ</f>
        <v>-1708.4933511397626</v>
      </c>
      <c r="AH4444" s="107"/>
      <c r="AI4444" s="1"/>
      <c r="AJ4444" s="96">
        <f ca="1">P_1_minQ-(AJ4442^2*R_up)+dpup_minQ</f>
        <v>-3113.0823802377968</v>
      </c>
      <c r="AK4444" s="107"/>
      <c r="AL4444" s="1"/>
      <c r="AM4444" s="96">
        <f ca="1">P_1_minQ-(AM4442^2*R_up)+dpup_minQ</f>
        <v>-4679.0436512359829</v>
      </c>
      <c r="AN4444" s="107"/>
      <c r="AO4444" s="1"/>
      <c r="AP4444" s="96">
        <f ca="1">P_1_minQ-(AP4442^2*R_up)+dpup_minQ</f>
        <v>-6338.0146786414443</v>
      </c>
      <c r="AQ4444" s="107"/>
      <c r="AR4444" s="1"/>
      <c r="AS4444" s="96">
        <f ca="1">P_1_minQ-(AS4442^2*R_up)+dpup_minQ</f>
        <v>-8748.2082430810951</v>
      </c>
      <c r="AT4444" s="107"/>
      <c r="AU4444" s="1"/>
    </row>
    <row r="4445" spans="15:47" x14ac:dyDescent="0.25">
      <c r="O4445" s="8" t="s">
        <v>134</v>
      </c>
      <c r="P4445" s="1"/>
      <c r="Q4445" s="8"/>
      <c r="R4445" s="97">
        <f>P_2_minQ+(R4442^2*R_dn)-dpdn_minQ</f>
        <v>60</v>
      </c>
      <c r="S4445" s="106"/>
      <c r="T4445" s="22"/>
      <c r="U4445" s="97">
        <f ca="1">P_2_minQ+(U4442^2*R_dn)-dpdn_minQ</f>
        <v>60</v>
      </c>
      <c r="V4445" s="107"/>
      <c r="W4445" s="1"/>
      <c r="X4445" s="97">
        <f ca="1">P_2_minQ+(X4442^2*R_dn)-dpdn_minQ</f>
        <v>60</v>
      </c>
      <c r="Y4445" s="107"/>
      <c r="Z4445" s="1"/>
      <c r="AA4445" s="97">
        <f ca="1">P_2_minQ+(AA4442^2*R_dn)-dpdn_minQ</f>
        <v>60</v>
      </c>
      <c r="AB4445" s="107"/>
      <c r="AC4445" s="1"/>
      <c r="AD4445" s="97">
        <f ca="1">P_2_minQ+(AD4442^2*R_dn)-dpdn_minQ</f>
        <v>60</v>
      </c>
      <c r="AE4445" s="107"/>
      <c r="AF4445" s="1"/>
      <c r="AG4445" s="97">
        <f ca="1">P_2_minQ+(AG4442^2*R_dn)-dpdn_minQ</f>
        <v>60</v>
      </c>
      <c r="AH4445" s="107"/>
      <c r="AI4445" s="1"/>
      <c r="AJ4445" s="97">
        <f ca="1">P_2_minQ+(AJ4442^2*R_dn)-dpdn_minQ</f>
        <v>60</v>
      </c>
      <c r="AK4445" s="107"/>
      <c r="AL4445" s="1"/>
      <c r="AM4445" s="97">
        <f ca="1">P_2_minQ+(AM4442^2*R_dn)-dpdn_minQ</f>
        <v>60</v>
      </c>
      <c r="AN4445" s="107"/>
      <c r="AO4445" s="1"/>
      <c r="AP4445" s="97">
        <f ca="1">P_2_minQ+(AP4442^2*R_dn)-dpdn_minQ</f>
        <v>60</v>
      </c>
      <c r="AQ4445" s="107"/>
      <c r="AR4445" s="1"/>
      <c r="AS4445" s="97">
        <f ca="1">P_2_minQ+(AS4442^2*R_dn)-dpdn_minQ</f>
        <v>60</v>
      </c>
      <c r="AT4445" s="107"/>
      <c r="AU4445" s="1"/>
    </row>
    <row r="4446" spans="15:47" x14ac:dyDescent="0.25">
      <c r="O4446" s="8" t="s">
        <v>138</v>
      </c>
      <c r="P4446" s="1"/>
      <c r="Q4446" s="8"/>
      <c r="R4446" s="97">
        <f>R4444-R4445</f>
        <v>25.339133539676752</v>
      </c>
      <c r="S4446" s="106"/>
      <c r="T4446" s="22"/>
      <c r="U4446" s="97">
        <f ca="1">U4444-U4445</f>
        <v>16.996556776533325</v>
      </c>
      <c r="V4446" s="110"/>
      <c r="W4446" s="25"/>
      <c r="X4446" s="97">
        <f ca="1">X4444-X4445</f>
        <v>-48.890496412264952</v>
      </c>
      <c r="Y4446" s="110"/>
      <c r="Z4446" s="25"/>
      <c r="AA4446" s="97">
        <f ca="1">AA4444-AA4445</f>
        <v>-269.80458538849751</v>
      </c>
      <c r="AB4446" s="110"/>
      <c r="AC4446" s="25"/>
      <c r="AD4446" s="97">
        <f ca="1">AD4444-AD4445</f>
        <v>-814.1777953243369</v>
      </c>
      <c r="AE4446" s="110"/>
      <c r="AF4446" s="25"/>
      <c r="AG4446" s="97">
        <f ca="1">AG4444-AG4445</f>
        <v>-1768.4933511397626</v>
      </c>
      <c r="AH4446" s="110"/>
      <c r="AI4446" s="25"/>
      <c r="AJ4446" s="97">
        <f ca="1">AJ4444-AJ4445</f>
        <v>-3173.0823802377968</v>
      </c>
      <c r="AK4446" s="110"/>
      <c r="AL4446" s="25"/>
      <c r="AM4446" s="97">
        <f ca="1">AM4444-AM4445</f>
        <v>-4739.0436512359829</v>
      </c>
      <c r="AN4446" s="110"/>
      <c r="AO4446" s="25"/>
      <c r="AP4446" s="97">
        <f ca="1">AP4444-AP4445</f>
        <v>-6398.0146786414443</v>
      </c>
      <c r="AQ4446" s="110"/>
      <c r="AR4446" s="25"/>
      <c r="AS4446" s="97">
        <f ca="1">AS4444-AS4445</f>
        <v>-8808.2082430810951</v>
      </c>
      <c r="AT4446" s="110"/>
      <c r="AU4446" s="25"/>
    </row>
    <row r="4447" spans="15:47" ht="14.4" x14ac:dyDescent="0.3">
      <c r="O4447" s="2" t="s">
        <v>140</v>
      </c>
      <c r="P4447" s="11"/>
      <c r="Q4447" s="2"/>
      <c r="R4447" s="96">
        <f>R4446/R4444</f>
        <v>0.29692278897928837</v>
      </c>
      <c r="S4447" s="106"/>
      <c r="T4447" s="22"/>
      <c r="U4447" s="96">
        <f ca="1">U4446/U4444</f>
        <v>0.22074437465901672</v>
      </c>
      <c r="V4447" s="111"/>
      <c r="W4447" s="28"/>
      <c r="X4447" s="96">
        <f ca="1">X4446/X4444</f>
        <v>-4.4007813694070297</v>
      </c>
      <c r="Y4447" s="111"/>
      <c r="Z4447" s="28"/>
      <c r="AA4447" s="96">
        <f ca="1">AA4446/AA4444</f>
        <v>1.2859804035688607</v>
      </c>
      <c r="AB4447" s="111"/>
      <c r="AC4447" s="28"/>
      <c r="AD4447" s="96">
        <f ca="1">AD4446/AD4444</f>
        <v>1.079556837090645</v>
      </c>
      <c r="AE4447" s="111"/>
      <c r="AF4447" s="28"/>
      <c r="AG4447" s="96">
        <f ca="1">AG4446/AG4444</f>
        <v>1.035118661691</v>
      </c>
      <c r="AH4447" s="111"/>
      <c r="AI4447" s="28"/>
      <c r="AJ4447" s="96">
        <f ca="1">AJ4446/AJ4444</f>
        <v>1.019273502166498</v>
      </c>
      <c r="AK4447" s="111"/>
      <c r="AL4447" s="28"/>
      <c r="AM4447" s="96">
        <f ca="1">AM4446/AM4444</f>
        <v>1.0128231332024762</v>
      </c>
      <c r="AN4447" s="111"/>
      <c r="AO4447" s="28"/>
      <c r="AP4447" s="96">
        <f ca="1">AP4446/AP4444</f>
        <v>1.0094666868163298</v>
      </c>
      <c r="AQ4447" s="111"/>
      <c r="AR4447" s="28"/>
      <c r="AS4447" s="96">
        <f ca="1">AS4446/AS4444</f>
        <v>1.0068585472970941</v>
      </c>
      <c r="AT4447" s="111"/>
      <c r="AU4447" s="28"/>
    </row>
    <row r="4448" spans="15:47" x14ac:dyDescent="0.25">
      <c r="O4448" s="2" t="s">
        <v>21</v>
      </c>
      <c r="P4448" s="8">
        <v>12</v>
      </c>
      <c r="Q4448" s="2"/>
      <c r="R4448" s="96">
        <f ca="1">1-R4447/(3*F_GAMMA*R$29)</f>
        <v>0.84535988974015863</v>
      </c>
      <c r="S4448" s="106"/>
      <c r="T4448" s="22"/>
      <c r="U4448" s="96">
        <f ca="1">1-U4447/(3*F_GAMMA*U$29)</f>
        <v>0.88506101447138952</v>
      </c>
      <c r="V4448" s="111"/>
      <c r="W4448" s="28"/>
      <c r="X4448" s="96">
        <f ca="1">1-X4447/(3*F_GAMMA*X$29)</f>
        <v>3.3132589715294061</v>
      </c>
      <c r="Y4448" s="111"/>
      <c r="Z4448" s="28"/>
      <c r="AA4448" s="96">
        <f ca="1">1-AA4447/(3*F_GAMMA*AA$29)</f>
        <v>0.31449927721623772</v>
      </c>
      <c r="AB4448" s="111"/>
      <c r="AC4448" s="28"/>
      <c r="AD4448" s="96">
        <f ca="1">1-AD4447/(3*F_GAMMA*AD$29)</f>
        <v>0.40668720051363605</v>
      </c>
      <c r="AE4448" s="111"/>
      <c r="AF4448" s="28"/>
      <c r="AG4448" s="96">
        <f ca="1">1-AG4447/(3*F_GAMMA*AG$29)</f>
        <v>0.39697302453950634</v>
      </c>
      <c r="AH4448" s="111"/>
      <c r="AI4448" s="28"/>
      <c r="AJ4448" s="96">
        <f ca="1">1-AJ4447/(3*F_GAMMA*AJ$29)</f>
        <v>0.36115669970294673</v>
      </c>
      <c r="AK4448" s="111"/>
      <c r="AL4448" s="28"/>
      <c r="AM4448" s="96">
        <f ca="1">1-AM4447/(3*F_GAMMA*AM$29)</f>
        <v>0.29024077381008484</v>
      </c>
      <c r="AN4448" s="111"/>
      <c r="AO4448" s="28"/>
      <c r="AP4448" s="96">
        <f ca="1">1-AP4447/(3*F_GAMMA*AP$29)</f>
        <v>0.43020287565220572</v>
      </c>
      <c r="AQ4448" s="111"/>
      <c r="AR4448" s="28"/>
      <c r="AS4448" s="96">
        <f ca="1">1-AS4447/(3*F_GAMMA*AS$29)</f>
        <v>0.10902982427514962</v>
      </c>
      <c r="AT4448" s="111"/>
      <c r="AU4448" s="28"/>
    </row>
    <row r="4449" spans="15:47" x14ac:dyDescent="0.25">
      <c r="O4449" s="2" t="s">
        <v>57</v>
      </c>
      <c r="P4449" s="143">
        <v>7</v>
      </c>
      <c r="Q4449" s="2"/>
      <c r="R4449" s="96">
        <f ca="1">(R4442/(N_9*R$27*R4444*R4448))*SQRT(M*'Valve Sizing'!$W$6*'Valve Sizing'!$G$8/R4447)</f>
        <v>72.163098150157992</v>
      </c>
      <c r="S4449" s="107"/>
      <c r="T4449" s="22"/>
      <c r="U4449" s="96">
        <f ca="1">(U4442/(N_9*U$27*U4444*U4448))*SQRT(M*'Valve Sizing'!$W$6*'Valve Sizing'!$G$8/U4447)</f>
        <v>146.26224185779057</v>
      </c>
      <c r="V4449" s="111"/>
      <c r="W4449" s="28"/>
      <c r="X4449" s="96" t="e">
        <f ca="1">(X4442/(N_9*X$27*X4444*X4448))*SQRT(M*'Valve Sizing'!$W$6*'Valve Sizing'!$G$8/X4447)</f>
        <v>#NUM!</v>
      </c>
      <c r="Y4449" s="111"/>
      <c r="Z4449" s="28"/>
      <c r="AA4449" s="96">
        <f ca="1">(AA4442/(N_9*AA$27*AA4444*AA4448))*SQRT(M*'Valve Sizing'!$W$6*'Valve Sizing'!$G$8/AA4447)</f>
        <v>-300.94952632397872</v>
      </c>
      <c r="AB4449" s="111"/>
      <c r="AC4449" s="28"/>
      <c r="AD4449" s="96">
        <f ca="1">(AD4442/(N_9*AD$27*AD4444*AD4448))*SQRT(M*'Valve Sizing'!$W$6*'Valve Sizing'!$G$8/AD4447)</f>
        <v>-120.01811746152816</v>
      </c>
      <c r="AE4449" s="111"/>
      <c r="AF4449" s="28"/>
      <c r="AG4449" s="96">
        <f ca="1">(AG4442/(N_9*AG$27*AG4444*AG4448))*SQRT(M*'Valve Sizing'!$W$6*'Valve Sizing'!$G$8/AG4447)</f>
        <v>-82.720275341084573</v>
      </c>
      <c r="AH4449" s="111"/>
      <c r="AI4449" s="28"/>
      <c r="AJ4449" s="96">
        <f ca="1">(AJ4442/(N_9*AJ$27*AJ4444*AJ4448))*SQRT(M*'Valve Sizing'!$W$6*'Valve Sizing'!$G$8/AJ4447)</f>
        <v>-69.533253762769945</v>
      </c>
      <c r="AK4449" s="111"/>
      <c r="AL4449" s="28"/>
      <c r="AM4449" s="96">
        <f ca="1">(AM4442/(N_9*AM$27*AM4444*AM4448))*SQRT(M*'Valve Sizing'!$W$6*'Valve Sizing'!$G$8/AM4447)</f>
        <v>-74.763229062834455</v>
      </c>
      <c r="AN4449" s="111"/>
      <c r="AO4449" s="28"/>
      <c r="AP4449" s="96">
        <f ca="1">(AP4442/(N_9*AP$27*AP4444*AP4448))*SQRT(M*'Valve Sizing'!$W$6*'Valve Sizing'!$G$8/AP4447)</f>
        <v>-49.28728593061166</v>
      </c>
      <c r="AQ4449" s="111"/>
      <c r="AR4449" s="28"/>
      <c r="AS4449" s="96">
        <f ca="1">(AS4442/(N_9*AS$27*AS4444*AS4448))*SQRT(M*'Valve Sizing'!$W$6*'Valve Sizing'!$G$8/AS4447)</f>
        <v>-221.56838612630236</v>
      </c>
      <c r="AT4449" s="111"/>
      <c r="AU4449" s="28"/>
    </row>
    <row r="4450" spans="15:47" x14ac:dyDescent="0.25">
      <c r="O4450" s="2" t="s">
        <v>59</v>
      </c>
      <c r="P4450" s="143">
        <v>7</v>
      </c>
      <c r="Q4450" s="2"/>
      <c r="R4450" s="96">
        <f ca="1">(R4442/(N_9*R$27*R4444*0.667))*SQRT(M*'Valve Sizing'!$W$6*'Valve Sizing'!$G$8/R4451)</f>
        <v>62.294926374878784</v>
      </c>
      <c r="S4450" s="107"/>
      <c r="T4450" s="22"/>
      <c r="U4450" s="96">
        <f ca="1">(U4442/(N_9*U$27*U4444*0.667))*SQRT(M*'Valve Sizing'!$W$6*'Valve Sizing'!$G$8/U4451)</f>
        <v>113.96563385747203</v>
      </c>
      <c r="V4450" s="111"/>
      <c r="W4450" s="28"/>
      <c r="X4450" s="96">
        <f ca="1">(X4442/(N_9*X$27*X4444*0.667))*SQRT(M*'Valve Sizing'!$W$6*'Valve Sizing'!$G$8/X4451)</f>
        <v>1947.7408607632055</v>
      </c>
      <c r="Y4450" s="111"/>
      <c r="Z4450" s="28"/>
      <c r="AA4450" s="96">
        <f ca="1">(AA4442/(N_9*AA$27*AA4444*0.667))*SQRT(M*'Valve Sizing'!$W$6*'Valve Sizing'!$G$8/AA4451)</f>
        <v>-203.49421513381458</v>
      </c>
      <c r="AB4450" s="111"/>
      <c r="AC4450" s="28"/>
      <c r="AD4450" s="96">
        <f ca="1">(AD4442/(N_9*AD$27*AD4444*0.667))*SQRT(M*'Valve Sizing'!$W$6*'Valve Sizing'!$G$8/AD4451)</f>
        <v>-97.630152300817059</v>
      </c>
      <c r="AE4450" s="111"/>
      <c r="AF4450" s="28"/>
      <c r="AG4450" s="96">
        <f ca="1">(AG4442/(N_9*AG$27*AG4444*0.667))*SQRT(M*'Valve Sizing'!$W$6*'Valve Sizing'!$G$8/AG4451)</f>
        <v>-66.218010903239133</v>
      </c>
      <c r="AH4450" s="111"/>
      <c r="AI4450" s="28"/>
      <c r="AJ4450" s="96">
        <f ca="1">(AJ4442/(N_9*AJ$27*AJ4444*0.667))*SQRT(M*'Valve Sizing'!$W$6*'Valve Sizing'!$G$8/AJ4451)</f>
        <v>-52.121894622183618</v>
      </c>
      <c r="AK4450" s="111"/>
      <c r="AL4450" s="28"/>
      <c r="AM4450" s="96">
        <f ca="1">(AM4442/(N_9*AM$27*AM4444*0.667))*SQRT(M*'Valve Sizing'!$W$6*'Valve Sizing'!$G$8/AM4451)</f>
        <v>-47.471919282829496</v>
      </c>
      <c r="AN4450" s="111"/>
      <c r="AO4450" s="28"/>
      <c r="AP4450" s="96">
        <f ca="1">(AP4442/(N_9*AP$27*AP4444*0.667))*SQRT(M*'Valve Sizing'!$W$6*'Valve Sizing'!$G$8/AP4451)</f>
        <v>-41.562640703008626</v>
      </c>
      <c r="AQ4450" s="111"/>
      <c r="AR4450" s="28"/>
      <c r="AS4450" s="96">
        <f ca="1">(AS4442/(N_9*AS$27*AS4444*0.667))*SQRT(M*'Valve Sizing'!$W$6*'Valve Sizing'!$G$8/AS4451)</f>
        <v>-59.213329723575065</v>
      </c>
      <c r="AT4450" s="111"/>
      <c r="AU4450" s="28"/>
    </row>
    <row r="4451" spans="15:47" ht="15.6" x14ac:dyDescent="0.35">
      <c r="O4451" s="2" t="s">
        <v>68</v>
      </c>
      <c r="P4451" s="143">
        <v>10</v>
      </c>
      <c r="Q4451" s="2"/>
      <c r="R4451" s="96">
        <f ca="1">F_GAMMA*R$29</f>
        <v>0.64002969751372984</v>
      </c>
      <c r="S4451" s="107"/>
      <c r="T4451" s="1"/>
      <c r="U4451" s="96">
        <f ca="1">F_GAMMA*U$29</f>
        <v>0.64017842058782071</v>
      </c>
      <c r="V4451" s="111"/>
      <c r="W4451" s="28"/>
      <c r="X4451" s="96">
        <f ca="1">F_GAMMA*X$29</f>
        <v>0.63413873724904268</v>
      </c>
      <c r="Y4451" s="111"/>
      <c r="Z4451" s="28"/>
      <c r="AA4451" s="96">
        <f ca="1">F_GAMMA*AA$29</f>
        <v>0.62532411750377137</v>
      </c>
      <c r="AB4451" s="111"/>
      <c r="AC4451" s="28"/>
      <c r="AD4451" s="96">
        <f ca="1">F_GAMMA*AD$29</f>
        <v>0.60651359509139569</v>
      </c>
      <c r="AE4451" s="111"/>
      <c r="AF4451" s="28"/>
      <c r="AG4451" s="96">
        <f ca="1">F_GAMMA*AG$29</f>
        <v>0.57217930198481592</v>
      </c>
      <c r="AH4451" s="111"/>
      <c r="AI4451" s="28"/>
      <c r="AJ4451" s="96">
        <f ca="1">F_GAMMA*AJ$29</f>
        <v>0.53183282018848232</v>
      </c>
      <c r="AK4451" s="111"/>
      <c r="AL4451" s="28"/>
      <c r="AM4451" s="96">
        <f ca="1">F_GAMMA*AM$29</f>
        <v>0.47566512503094399</v>
      </c>
      <c r="AN4451" s="111"/>
      <c r="AO4451" s="28"/>
      <c r="AP4451" s="96">
        <f ca="1">F_GAMMA*AP$29</f>
        <v>0.59054158265645496</v>
      </c>
      <c r="AQ4451" s="111"/>
      <c r="AR4451" s="28"/>
      <c r="AS4451" s="96">
        <f ca="1">F_GAMMA*AS$29</f>
        <v>0.3766899554102966</v>
      </c>
      <c r="AT4451" s="111"/>
      <c r="AU4451" s="28"/>
    </row>
    <row r="4452" spans="15:47" x14ac:dyDescent="0.25">
      <c r="O4452" s="2" t="s">
        <v>145</v>
      </c>
      <c r="P4452" s="12"/>
      <c r="Q4452" s="2"/>
      <c r="R4452" s="96">
        <f ca="1">IF(R4447&lt;R4451,R4449,R4450)</f>
        <v>72.163098150157992</v>
      </c>
      <c r="S4452" s="116"/>
      <c r="T4452" s="1"/>
      <c r="U4452" s="96">
        <f ca="1">IF(U4447&lt;U4451,U4449,U4450)</f>
        <v>146.26224185779057</v>
      </c>
      <c r="V4452" s="111"/>
      <c r="W4452" s="28"/>
      <c r="X4452" s="96" t="e">
        <f ca="1">IF(X4447&lt;X4451,X4449,X4450)</f>
        <v>#NUM!</v>
      </c>
      <c r="Y4452" s="111"/>
      <c r="Z4452" s="28"/>
      <c r="AA4452" s="96">
        <f ca="1">IF(AA4447&lt;AA4451,AA4449,AA4450)</f>
        <v>-203.49421513381458</v>
      </c>
      <c r="AB4452" s="111"/>
      <c r="AC4452" s="28"/>
      <c r="AD4452" s="96">
        <f ca="1">IF(AD4447&lt;AD4451,AD4449,AD4450)</f>
        <v>-97.630152300817059</v>
      </c>
      <c r="AE4452" s="111"/>
      <c r="AF4452" s="28"/>
      <c r="AG4452" s="96">
        <f ca="1">IF(AG4447&lt;AG4451,AG4449,AG4450)</f>
        <v>-66.218010903239133</v>
      </c>
      <c r="AH4452" s="111"/>
      <c r="AI4452" s="28"/>
      <c r="AJ4452" s="96">
        <f ca="1">IF(AJ4447&lt;AJ4451,AJ4449,AJ4450)</f>
        <v>-52.121894622183618</v>
      </c>
      <c r="AK4452" s="111"/>
      <c r="AL4452" s="28"/>
      <c r="AM4452" s="96">
        <f ca="1">IF(AM4447&lt;AM4451,AM4449,AM4450)</f>
        <v>-47.471919282829496</v>
      </c>
      <c r="AN4452" s="111"/>
      <c r="AO4452" s="28"/>
      <c r="AP4452" s="96">
        <f ca="1">IF(AP4447&lt;AP4451,AP4449,AP4450)</f>
        <v>-41.562640703008626</v>
      </c>
      <c r="AQ4452" s="111"/>
      <c r="AR4452" s="28"/>
      <c r="AS4452" s="96">
        <f ca="1">IF(AS4447&lt;AS4451,AS4449,AS4450)</f>
        <v>-59.213329723575065</v>
      </c>
      <c r="AT4452" s="111"/>
      <c r="AU4452" s="28"/>
    </row>
    <row r="4453" spans="15:47" x14ac:dyDescent="0.25">
      <c r="O4453" s="13" t="s">
        <v>143</v>
      </c>
      <c r="P4453" s="1"/>
      <c r="Q4453" s="1"/>
      <c r="R4453" s="113"/>
      <c r="S4453" s="106">
        <f ca="1">IF(R4446&lt;=0,Q_max,ABS(R$23-R4452))</f>
        <v>67.433098150157988</v>
      </c>
      <c r="T4453" s="7">
        <f>R4442</f>
        <v>163057.49592005953</v>
      </c>
      <c r="U4453" s="98"/>
      <c r="V4453" s="106">
        <f ca="1">IF(U4446&lt;=0,Q_max,ABS(U$23-U4452))</f>
        <v>134.66224185779058</v>
      </c>
      <c r="W4453" s="9">
        <f ca="1">U4442</f>
        <v>268999.0001477534</v>
      </c>
      <c r="X4453" s="98"/>
      <c r="Y4453" s="106">
        <f ca="1">IF(X4446&lt;=0,Q_max,ABS(X$23-X4452))</f>
        <v>236393</v>
      </c>
      <c r="Z4453" s="9">
        <f ca="1">X4442</f>
        <v>658679.74120956042</v>
      </c>
      <c r="AA4453" s="98"/>
      <c r="AB4453" s="106">
        <f ca="1">IF(AA4446&lt;=0,Q_max,ABS(AA$23-AA4452))</f>
        <v>236393</v>
      </c>
      <c r="AC4453" s="9">
        <f ca="1">AA4442</f>
        <v>1282940.0108934164</v>
      </c>
      <c r="AD4453" s="98"/>
      <c r="AE4453" s="106">
        <f ca="1">IF(AD4446&lt;=0,Q_max,ABS(AD$23-AD4452))</f>
        <v>236393</v>
      </c>
      <c r="AF4453" s="9">
        <f ca="1">AD4442</f>
        <v>2152374.2431774335</v>
      </c>
      <c r="AG4453" s="98"/>
      <c r="AH4453" s="106">
        <f ca="1">IF(AG4446&lt;=0,Q_max,ABS(AG$23-AG4452))</f>
        <v>236393</v>
      </c>
      <c r="AI4453" s="9">
        <f ca="1">AG4442</f>
        <v>3141448.8302874966</v>
      </c>
      <c r="AJ4453" s="98"/>
      <c r="AK4453" s="106">
        <f ca="1">IF(AJ4446&lt;=0,Q_max,ABS(AJ$23-AJ4452))</f>
        <v>236393</v>
      </c>
      <c r="AL4453" s="9">
        <f ca="1">AJ4442</f>
        <v>4192275.6420562654</v>
      </c>
      <c r="AM4453" s="98"/>
      <c r="AN4453" s="106">
        <f ca="1">IF(AM4446&lt;=0,Q_max,ABS(AM$23-AM4452))</f>
        <v>236393</v>
      </c>
      <c r="AO4453" s="9">
        <f ca="1">AM4442</f>
        <v>5115372.9831535257</v>
      </c>
      <c r="AP4453" s="98"/>
      <c r="AQ4453" s="106">
        <f ca="1">IF(AP4446&lt;=0,Q_max,ABS(AP$23-AP4452))</f>
        <v>236393</v>
      </c>
      <c r="AR4453" s="9">
        <f ca="1">AP4442</f>
        <v>5938789.2285796627</v>
      </c>
      <c r="AS4453" s="98"/>
      <c r="AT4453" s="106">
        <f ca="1">IF(AS4446&lt;=0,Q_max,ABS(AS$23-AS4452))</f>
        <v>236393</v>
      </c>
      <c r="AU4453" s="9">
        <f ca="1">AS4442</f>
        <v>6963697.4261354003</v>
      </c>
    </row>
    <row r="4454" spans="15:47" x14ac:dyDescent="0.25">
      <c r="O4454" s="21"/>
      <c r="P4454" s="14"/>
      <c r="Q4454" s="21"/>
      <c r="R4454" s="97"/>
      <c r="S4454" s="106"/>
      <c r="T4454" s="28"/>
      <c r="U4454" s="97"/>
      <c r="V4454" s="111"/>
      <c r="W4454" s="28"/>
      <c r="X4454" s="97"/>
      <c r="Y4454" s="111"/>
      <c r="Z4454" s="28"/>
      <c r="AA4454" s="97"/>
      <c r="AB4454" s="111"/>
      <c r="AC4454" s="28"/>
      <c r="AD4454" s="97"/>
      <c r="AE4454" s="111"/>
      <c r="AF4454" s="28"/>
      <c r="AG4454" s="97"/>
      <c r="AH4454" s="111"/>
      <c r="AI4454" s="28"/>
      <c r="AJ4454" s="97"/>
      <c r="AK4454" s="111"/>
      <c r="AL4454" s="28"/>
      <c r="AM4454" s="97"/>
      <c r="AN4454" s="111"/>
      <c r="AO4454" s="28"/>
      <c r="AP4454" s="97"/>
      <c r="AQ4454" s="111"/>
      <c r="AR4454" s="28"/>
      <c r="AS4454" s="97"/>
      <c r="AT4454" s="111"/>
      <c r="AU4454" s="28"/>
    </row>
    <row r="4455" spans="15:47" x14ac:dyDescent="0.25">
      <c r="O4455" s="1"/>
      <c r="P4455" s="1"/>
      <c r="Q4455" s="1"/>
      <c r="R4455" s="98"/>
      <c r="S4455" s="108" t="s">
        <v>137</v>
      </c>
      <c r="T4455" s="26" t="s">
        <v>146</v>
      </c>
      <c r="U4455" s="98"/>
      <c r="V4455" s="108" t="s">
        <v>137</v>
      </c>
      <c r="W4455" s="26" t="s">
        <v>146</v>
      </c>
      <c r="X4455" s="98"/>
      <c r="Y4455" s="108" t="s">
        <v>137</v>
      </c>
      <c r="Z4455" s="26" t="s">
        <v>146</v>
      </c>
      <c r="AA4455" s="98"/>
      <c r="AB4455" s="108" t="s">
        <v>137</v>
      </c>
      <c r="AC4455" s="26" t="s">
        <v>146</v>
      </c>
      <c r="AD4455" s="98"/>
      <c r="AE4455" s="108" t="s">
        <v>137</v>
      </c>
      <c r="AF4455" s="26" t="s">
        <v>146</v>
      </c>
      <c r="AG4455" s="98"/>
      <c r="AH4455" s="108" t="s">
        <v>137</v>
      </c>
      <c r="AI4455" s="26" t="s">
        <v>146</v>
      </c>
      <c r="AJ4455" s="98"/>
      <c r="AK4455" s="108" t="s">
        <v>137</v>
      </c>
      <c r="AL4455" s="26" t="s">
        <v>146</v>
      </c>
      <c r="AM4455" s="98"/>
      <c r="AN4455" s="108" t="s">
        <v>137</v>
      </c>
      <c r="AO4455" s="26" t="s">
        <v>146</v>
      </c>
      <c r="AP4455" s="98"/>
      <c r="AQ4455" s="108" t="s">
        <v>137</v>
      </c>
      <c r="AR4455" s="26" t="s">
        <v>146</v>
      </c>
      <c r="AS4455" s="98"/>
      <c r="AT4455" s="108" t="s">
        <v>137</v>
      </c>
      <c r="AU4455" s="26" t="s">
        <v>146</v>
      </c>
    </row>
    <row r="4456" spans="15:47" ht="13.8" x14ac:dyDescent="0.25">
      <c r="O4456" s="20" t="s">
        <v>136</v>
      </c>
      <c r="P4456" s="1"/>
      <c r="Q4456" s="1"/>
      <c r="R4456" s="96">
        <f>R4442*1.02</f>
        <v>166318.64583846074</v>
      </c>
      <c r="S4456" s="109" t="s">
        <v>144</v>
      </c>
      <c r="T4456" s="23" t="s">
        <v>147</v>
      </c>
      <c r="U4456" s="96">
        <f ca="1">U4442*1.01</f>
        <v>271688.99014923093</v>
      </c>
      <c r="V4456" s="109" t="s">
        <v>144</v>
      </c>
      <c r="W4456" s="23" t="s">
        <v>147</v>
      </c>
      <c r="X4456" s="96">
        <f ca="1">X4442*1.01</f>
        <v>665266.53862165601</v>
      </c>
      <c r="Y4456" s="109" t="s">
        <v>144</v>
      </c>
      <c r="Z4456" s="23" t="s">
        <v>147</v>
      </c>
      <c r="AA4456" s="96">
        <f ca="1">AA4442*1.01</f>
        <v>1295769.4110023505</v>
      </c>
      <c r="AB4456" s="109" t="s">
        <v>144</v>
      </c>
      <c r="AC4456" s="23" t="s">
        <v>147</v>
      </c>
      <c r="AD4456" s="96">
        <f ca="1">AD4442*1.01</f>
        <v>2173897.9856092078</v>
      </c>
      <c r="AE4456" s="109" t="s">
        <v>144</v>
      </c>
      <c r="AF4456" s="23" t="s">
        <v>147</v>
      </c>
      <c r="AG4456" s="96">
        <f ca="1">AG4442*1.01</f>
        <v>3172863.3185903714</v>
      </c>
      <c r="AH4456" s="109" t="s">
        <v>144</v>
      </c>
      <c r="AI4456" s="23" t="s">
        <v>147</v>
      </c>
      <c r="AJ4456" s="96">
        <f ca="1">AJ4442*1.01</f>
        <v>4234198.3984768279</v>
      </c>
      <c r="AK4456" s="109" t="s">
        <v>144</v>
      </c>
      <c r="AL4456" s="23" t="s">
        <v>147</v>
      </c>
      <c r="AM4456" s="96">
        <f ca="1">AM4442*1.01</f>
        <v>5166526.7129850611</v>
      </c>
      <c r="AN4456" s="109" t="s">
        <v>144</v>
      </c>
      <c r="AO4456" s="23" t="s">
        <v>147</v>
      </c>
      <c r="AP4456" s="96">
        <f ca="1">AP4442*1.01</f>
        <v>5998177.1208654596</v>
      </c>
      <c r="AQ4456" s="109" t="s">
        <v>144</v>
      </c>
      <c r="AR4456" s="23" t="s">
        <v>147</v>
      </c>
      <c r="AS4456" s="96">
        <f ca="1">AS4442*1.01</f>
        <v>7033334.400396754</v>
      </c>
      <c r="AT4456" s="109" t="s">
        <v>144</v>
      </c>
      <c r="AU4456" s="23" t="s">
        <v>147</v>
      </c>
    </row>
    <row r="4457" spans="15:47" x14ac:dyDescent="0.25">
      <c r="O4457" s="1"/>
      <c r="P4457" s="1"/>
      <c r="Q4457" s="1"/>
      <c r="R4457" s="98"/>
      <c r="S4457" s="107"/>
      <c r="T4457" s="1"/>
      <c r="U4457" s="47"/>
      <c r="V4457" s="107"/>
      <c r="W4457" s="1"/>
      <c r="X4457" s="47"/>
      <c r="Y4457" s="107"/>
      <c r="Z4457" s="1"/>
      <c r="AA4457" s="47"/>
      <c r="AB4457" s="107"/>
      <c r="AC4457" s="1"/>
      <c r="AD4457" s="47"/>
      <c r="AE4457" s="107"/>
      <c r="AF4457" s="1"/>
      <c r="AG4457" s="47"/>
      <c r="AH4457" s="107"/>
      <c r="AI4457" s="1"/>
      <c r="AJ4457" s="47"/>
      <c r="AK4457" s="107"/>
      <c r="AL4457" s="1"/>
      <c r="AM4457" s="47"/>
      <c r="AN4457" s="107"/>
      <c r="AO4457" s="1"/>
      <c r="AP4457" s="47"/>
      <c r="AQ4457" s="107"/>
      <c r="AR4457" s="1"/>
      <c r="AS4457" s="47"/>
      <c r="AT4457" s="107"/>
      <c r="AU4457" s="1"/>
    </row>
    <row r="4458" spans="15:47" x14ac:dyDescent="0.25">
      <c r="O4458" s="8" t="s">
        <v>132</v>
      </c>
      <c r="P4458" s="8"/>
      <c r="Q4458" s="8"/>
      <c r="R4458" s="96">
        <f>P_1_minQ-(R4456^2*R_up)+dpup_minQ</f>
        <v>85.143358897257372</v>
      </c>
      <c r="S4458" s="106"/>
      <c r="T4458" s="22"/>
      <c r="U4458" s="96">
        <f ca="1">P_1_minQ-(U4456^2*R_up)+dpup_minQ</f>
        <v>76.731468253083506</v>
      </c>
      <c r="V4458" s="107"/>
      <c r="W4458" s="1"/>
      <c r="X4458" s="96">
        <f ca="1">P_1_minQ-(X4456^2*R_up)+dpup_minQ</f>
        <v>9.5200852951903823</v>
      </c>
      <c r="Y4458" s="107"/>
      <c r="Z4458" s="1"/>
      <c r="AA4458" s="96">
        <f ca="1">P_1_minQ-(AA4456^2*R_up)+dpup_minQ</f>
        <v>-215.83437686946445</v>
      </c>
      <c r="AB4458" s="107"/>
      <c r="AC4458" s="1"/>
      <c r="AD4458" s="96">
        <f ca="1">P_1_minQ-(AD4456^2*R_up)+dpup_minQ</f>
        <v>-771.14948832501409</v>
      </c>
      <c r="AE4458" s="107"/>
      <c r="AF4458" s="1"/>
      <c r="AG4458" s="96">
        <f ca="1">P_1_minQ-(AG4456^2*R_up)+dpup_minQ</f>
        <v>-1744.64678681233</v>
      </c>
      <c r="AH4458" s="107"/>
      <c r="AI4458" s="1"/>
      <c r="AJ4458" s="96">
        <f ca="1">P_1_minQ-(AJ4456^2*R_up)+dpup_minQ</f>
        <v>-3177.4680553952348</v>
      </c>
      <c r="AK4458" s="107"/>
      <c r="AL4458" s="1"/>
      <c r="AM4458" s="96">
        <f ca="1">P_1_minQ-(AM4456^2*R_up)+dpup_minQ</f>
        <v>-4774.9051479404852</v>
      </c>
      <c r="AN4458" s="107"/>
      <c r="AO4458" s="1"/>
      <c r="AP4458" s="96">
        <f ca="1">P_1_minQ-(AP4456^2*R_up)+dpup_minQ</f>
        <v>-6467.2214929967959</v>
      </c>
      <c r="AQ4458" s="107"/>
      <c r="AR4458" s="1"/>
      <c r="AS4458" s="96">
        <f ca="1">P_1_minQ-(AS4456^2*R_up)+dpup_minQ</f>
        <v>-8925.8599480816829</v>
      </c>
      <c r="AT4458" s="107"/>
      <c r="AU4458" s="1"/>
    </row>
    <row r="4459" spans="15:47" x14ac:dyDescent="0.25">
      <c r="O4459" s="8" t="s">
        <v>134</v>
      </c>
      <c r="P4459" s="1"/>
      <c r="Q4459" s="8"/>
      <c r="R4459" s="97">
        <f>P_2_minQ+(R4456^2*R_dn)-dpdn_minQ</f>
        <v>60</v>
      </c>
      <c r="S4459" s="106"/>
      <c r="T4459" s="22"/>
      <c r="U4459" s="97">
        <f ca="1">P_2_minQ+(U4456^2*R_dn)-dpdn_minQ</f>
        <v>60</v>
      </c>
      <c r="V4459" s="107"/>
      <c r="W4459" s="1"/>
      <c r="X4459" s="97">
        <f ca="1">P_2_minQ+(X4456^2*R_dn)-dpdn_minQ</f>
        <v>60</v>
      </c>
      <c r="Y4459" s="107"/>
      <c r="Z4459" s="1"/>
      <c r="AA4459" s="97">
        <f ca="1">P_2_minQ+(AA4456^2*R_dn)-dpdn_minQ</f>
        <v>60</v>
      </c>
      <c r="AB4459" s="107"/>
      <c r="AC4459" s="1"/>
      <c r="AD4459" s="97">
        <f ca="1">P_2_minQ+(AD4456^2*R_dn)-dpdn_minQ</f>
        <v>60</v>
      </c>
      <c r="AE4459" s="107"/>
      <c r="AF4459" s="1"/>
      <c r="AG4459" s="97">
        <f ca="1">P_2_minQ+(AG4456^2*R_dn)-dpdn_minQ</f>
        <v>60</v>
      </c>
      <c r="AH4459" s="107"/>
      <c r="AI4459" s="1"/>
      <c r="AJ4459" s="97">
        <f ca="1">P_2_minQ+(AJ4456^2*R_dn)-dpdn_minQ</f>
        <v>60</v>
      </c>
      <c r="AK4459" s="107"/>
      <c r="AL4459" s="1"/>
      <c r="AM4459" s="97">
        <f ca="1">P_2_minQ+(AM4456^2*R_dn)-dpdn_minQ</f>
        <v>60</v>
      </c>
      <c r="AN4459" s="107"/>
      <c r="AO4459" s="1"/>
      <c r="AP4459" s="97">
        <f ca="1">P_2_minQ+(AP4456^2*R_dn)-dpdn_minQ</f>
        <v>60</v>
      </c>
      <c r="AQ4459" s="107"/>
      <c r="AR4459" s="1"/>
      <c r="AS4459" s="97">
        <f ca="1">P_2_minQ+(AS4456^2*R_dn)-dpdn_minQ</f>
        <v>60</v>
      </c>
      <c r="AT4459" s="107"/>
      <c r="AU4459" s="1"/>
    </row>
    <row r="4460" spans="15:47" x14ac:dyDescent="0.25">
      <c r="O4460" s="8" t="s">
        <v>138</v>
      </c>
      <c r="P4460" s="1"/>
      <c r="Q4460" s="8"/>
      <c r="R4460" s="97">
        <f>R4458-R4459</f>
        <v>25.143358897257372</v>
      </c>
      <c r="S4460" s="106"/>
      <c r="T4460" s="22"/>
      <c r="U4460" s="97">
        <f ca="1">U4458-U4459</f>
        <v>16.731468253083506</v>
      </c>
      <c r="V4460" s="110"/>
      <c r="W4460" s="25"/>
      <c r="X4460" s="97">
        <f ca="1">X4458-X4459</f>
        <v>-50.479914704809616</v>
      </c>
      <c r="Y4460" s="110"/>
      <c r="Z4460" s="25"/>
      <c r="AA4460" s="97">
        <f ca="1">AA4458-AA4459</f>
        <v>-275.83437686946445</v>
      </c>
      <c r="AB4460" s="110"/>
      <c r="AC4460" s="25"/>
      <c r="AD4460" s="97">
        <f ca="1">AD4458-AD4459</f>
        <v>-831.14948832501409</v>
      </c>
      <c r="AE4460" s="110"/>
      <c r="AF4460" s="25"/>
      <c r="AG4460" s="97">
        <f ca="1">AG4458-AG4459</f>
        <v>-1804.64678681233</v>
      </c>
      <c r="AH4460" s="110"/>
      <c r="AI4460" s="25"/>
      <c r="AJ4460" s="97">
        <f ca="1">AJ4458-AJ4459</f>
        <v>-3237.4680553952348</v>
      </c>
      <c r="AK4460" s="110"/>
      <c r="AL4460" s="25"/>
      <c r="AM4460" s="97">
        <f ca="1">AM4458-AM4459</f>
        <v>-4834.9051479404852</v>
      </c>
      <c r="AN4460" s="110"/>
      <c r="AO4460" s="25"/>
      <c r="AP4460" s="97">
        <f ca="1">AP4458-AP4459</f>
        <v>-6527.2214929967959</v>
      </c>
      <c r="AQ4460" s="110"/>
      <c r="AR4460" s="25"/>
      <c r="AS4460" s="97">
        <f ca="1">AS4458-AS4459</f>
        <v>-8985.8599480816829</v>
      </c>
      <c r="AT4460" s="110"/>
      <c r="AU4460" s="25"/>
    </row>
    <row r="4461" spans="15:47" ht="14.4" x14ac:dyDescent="0.3">
      <c r="O4461" s="2" t="s">
        <v>140</v>
      </c>
      <c r="P4461" s="11"/>
      <c r="Q4461" s="2"/>
      <c r="R4461" s="96">
        <f>R4460/R4458</f>
        <v>0.29530616624601225</v>
      </c>
      <c r="S4461" s="106"/>
      <c r="T4461" s="22"/>
      <c r="U4461" s="96">
        <f ca="1">U4460/U4458</f>
        <v>0.21805223637710255</v>
      </c>
      <c r="V4461" s="111"/>
      <c r="W4461" s="28"/>
      <c r="X4461" s="96">
        <f ca="1">X4460/X4458</f>
        <v>-5.3024645409755351</v>
      </c>
      <c r="Y4461" s="111"/>
      <c r="Z4461" s="28"/>
      <c r="AA4461" s="96">
        <f ca="1">AA4460/AA4458</f>
        <v>1.277990933929342</v>
      </c>
      <c r="AB4461" s="111"/>
      <c r="AC4461" s="28"/>
      <c r="AD4461" s="96">
        <f ca="1">AD4460/AD4458</f>
        <v>1.0778059259694561</v>
      </c>
      <c r="AE4461" s="111"/>
      <c r="AF4461" s="28"/>
      <c r="AG4461" s="96">
        <f ca="1">AG4460/AG4458</f>
        <v>1.0343909153724042</v>
      </c>
      <c r="AH4461" s="111"/>
      <c r="AI4461" s="28"/>
      <c r="AJ4461" s="96">
        <f ca="1">AJ4460/AJ4458</f>
        <v>1.018882959310361</v>
      </c>
      <c r="AK4461" s="111"/>
      <c r="AL4461" s="28"/>
      <c r="AM4461" s="96">
        <f ca="1">AM4460/AM4458</f>
        <v>1.012565694634977</v>
      </c>
      <c r="AN4461" s="111"/>
      <c r="AO4461" s="28"/>
      <c r="AP4461" s="96">
        <f ca="1">AP4460/AP4458</f>
        <v>1.0092775545208978</v>
      </c>
      <c r="AQ4461" s="111"/>
      <c r="AR4461" s="28"/>
      <c r="AS4461" s="96">
        <f ca="1">AS4460/AS4458</f>
        <v>1.0067220413886167</v>
      </c>
      <c r="AT4461" s="111"/>
      <c r="AU4461" s="28"/>
    </row>
    <row r="4462" spans="15:47" x14ac:dyDescent="0.25">
      <c r="O4462" s="2" t="s">
        <v>21</v>
      </c>
      <c r="P4462" s="8">
        <v>12</v>
      </c>
      <c r="Q4462" s="2"/>
      <c r="R4462" s="96">
        <f ca="1">1-R4461/(3*F_GAMMA*R$29)</f>
        <v>0.84620184167851198</v>
      </c>
      <c r="S4462" s="106"/>
      <c r="T4462" s="22"/>
      <c r="U4462" s="96">
        <f ca="1">1-U4461/(3*F_GAMMA*U$29)</f>
        <v>0.88646277903958715</v>
      </c>
      <c r="V4462" s="111"/>
      <c r="W4462" s="28"/>
      <c r="X4462" s="96">
        <f ca="1">1-X4461/(3*F_GAMMA*X$29)</f>
        <v>3.7872263221021933</v>
      </c>
      <c r="Y4462" s="111"/>
      <c r="Z4462" s="28"/>
      <c r="AA4462" s="96">
        <f ca="1">1-AA4461/(3*F_GAMMA*AA$29)</f>
        <v>0.3187581191063239</v>
      </c>
      <c r="AB4462" s="111"/>
      <c r="AC4462" s="28"/>
      <c r="AD4462" s="96">
        <f ca="1">1-AD4461/(3*F_GAMMA*AD$29)</f>
        <v>0.40764948239011778</v>
      </c>
      <c r="AE4462" s="111"/>
      <c r="AF4462" s="28"/>
      <c r="AG4462" s="96">
        <f ca="1">1-AG4461/(3*F_GAMMA*AG$29)</f>
        <v>0.39739698623360653</v>
      </c>
      <c r="AH4462" s="111"/>
      <c r="AI4462" s="28"/>
      <c r="AJ4462" s="96">
        <f ca="1">1-AJ4461/(3*F_GAMMA*AJ$29)</f>
        <v>0.36140147766155328</v>
      </c>
      <c r="AK4462" s="111"/>
      <c r="AL4462" s="28"/>
      <c r="AM4462" s="96">
        <f ca="1">1-AM4461/(3*F_GAMMA*AM$29)</f>
        <v>0.29042117983801774</v>
      </c>
      <c r="AN4462" s="111"/>
      <c r="AO4462" s="28"/>
      <c r="AP4462" s="96">
        <f ca="1">1-AP4461/(3*F_GAMMA*AP$29)</f>
        <v>0.43030963206077855</v>
      </c>
      <c r="AQ4462" s="111"/>
      <c r="AR4462" s="28"/>
      <c r="AS4462" s="96">
        <f ca="1">1-AS4461/(3*F_GAMMA*AS$29)</f>
        <v>0.10915061849553953</v>
      </c>
      <c r="AT4462" s="111"/>
      <c r="AU4462" s="28"/>
    </row>
    <row r="4463" spans="15:47" x14ac:dyDescent="0.25">
      <c r="O4463" s="2" t="s">
        <v>57</v>
      </c>
      <c r="P4463" s="143">
        <v>7</v>
      </c>
      <c r="Q4463" s="2"/>
      <c r="R4463" s="96">
        <f ca="1">(R4456/(N_9*R$27*R4458*R4462))*SQRT(M*'Valve Sizing'!$W$6*'Valve Sizing'!$G$8/R4461)</f>
        <v>73.903664195613445</v>
      </c>
      <c r="S4463" s="107"/>
      <c r="T4463" s="22"/>
      <c r="U4463" s="96">
        <f ca="1">(U4456/(N_9*U$27*U4458*U4462))*SQRT(M*'Valve Sizing'!$W$6*'Valve Sizing'!$G$8/U4461)</f>
        <v>148.91164165791579</v>
      </c>
      <c r="V4463" s="111"/>
      <c r="W4463" s="28"/>
      <c r="X4463" s="96" t="e">
        <f ca="1">(X4456/(N_9*X$27*X4458*X4462))*SQRT(M*'Valve Sizing'!$W$6*'Valve Sizing'!$G$8/X4461)</f>
        <v>#NUM!</v>
      </c>
      <c r="Y4463" s="111"/>
      <c r="Z4463" s="28"/>
      <c r="AA4463" s="96">
        <f ca="1">(AA4456/(N_9*AA$27*AA4458*AA4462))*SQRT(M*'Valve Sizing'!$W$6*'Valve Sizing'!$G$8/AA4461)</f>
        <v>-292.42943205259178</v>
      </c>
      <c r="AB4463" s="111"/>
      <c r="AC4463" s="28"/>
      <c r="AD4463" s="96">
        <f ca="1">(AD4456/(N_9*AD$27*AD4458*AD4462))*SQRT(M*'Valve Sizing'!$W$6*'Valve Sizing'!$G$8/AD4461)</f>
        <v>-118.36667078135082</v>
      </c>
      <c r="AE4463" s="111"/>
      <c r="AF4463" s="28"/>
      <c r="AG4463" s="96">
        <f ca="1">(AG4456/(N_9*AG$27*AG4458*AG4462))*SQRT(M*'Valve Sizing'!$W$6*'Valve Sizing'!$G$8/AG4461)</f>
        <v>-81.757625664854146</v>
      </c>
      <c r="AH4463" s="111"/>
      <c r="AI4463" s="28"/>
      <c r="AJ4463" s="96">
        <f ca="1">(AJ4456/(N_9*AJ$27*AJ4458*AJ4462))*SQRT(M*'Valve Sizing'!$W$6*'Valve Sizing'!$G$8/AJ4461)</f>
        <v>-68.772104741176207</v>
      </c>
      <c r="AK4463" s="111"/>
      <c r="AL4463" s="28"/>
      <c r="AM4463" s="96">
        <f ca="1">(AM4456/(N_9*AM$27*AM4458*AM4462))*SQRT(M*'Valve Sizing'!$W$6*'Valve Sizing'!$G$8/AM4461)</f>
        <v>-73.958332600079245</v>
      </c>
      <c r="AN4463" s="111"/>
      <c r="AO4463" s="28"/>
      <c r="AP4463" s="96">
        <f ca="1">(AP4456/(N_9*AP$27*AP4458*AP4462))*SQRT(M*'Valve Sizing'!$W$6*'Valve Sizing'!$G$8/AP4461)</f>
        <v>-48.778081269230704</v>
      </c>
      <c r="AQ4463" s="111"/>
      <c r="AR4463" s="28"/>
      <c r="AS4463" s="96">
        <f ca="1">(AS4456/(N_9*AS$27*AS4458*AS4462))*SQRT(M*'Valve Sizing'!$W$6*'Valve Sizing'!$G$8/AS4461)</f>
        <v>-219.10221372516273</v>
      </c>
      <c r="AT4463" s="111"/>
      <c r="AU4463" s="28"/>
    </row>
    <row r="4464" spans="15:47" x14ac:dyDescent="0.25">
      <c r="O4464" s="2" t="s">
        <v>59</v>
      </c>
      <c r="P4464" s="143">
        <v>7</v>
      </c>
      <c r="Q4464" s="2"/>
      <c r="R4464" s="96">
        <f ca="1">(R4456/(N_9*R$27*R4458*0.667))*SQRT(M*'Valve Sizing'!$W$6*'Valve Sizing'!$G$8/R4465)</f>
        <v>63.686927692252269</v>
      </c>
      <c r="S4464" s="107"/>
      <c r="T4464" s="22"/>
      <c r="U4464" s="96">
        <f ca="1">(U4456/(N_9*U$27*U4458*0.667))*SQRT(M*'Valve Sizing'!$W$6*'Valve Sizing'!$G$8/U4465)</f>
        <v>115.50295092265624</v>
      </c>
      <c r="V4464" s="111"/>
      <c r="W4464" s="28"/>
      <c r="X4464" s="96">
        <f ca="1">(X4456/(N_9*X$27*X4458*0.667))*SQRT(M*'Valve Sizing'!$W$6*'Valve Sizing'!$G$8/X4465)</f>
        <v>2295.6536358423664</v>
      </c>
      <c r="Y4464" s="111"/>
      <c r="Z4464" s="28"/>
      <c r="AA4464" s="96">
        <f ca="1">(AA4456/(N_9*AA$27*AA4458*0.667))*SQRT(M*'Valve Sizing'!$W$6*'Valve Sizing'!$G$8/AA4465)</f>
        <v>-199.7872639887116</v>
      </c>
      <c r="AB4464" s="111"/>
      <c r="AC4464" s="28"/>
      <c r="AD4464" s="96">
        <f ca="1">(AD4456/(N_9*AD$27*AD4458*0.667))*SQRT(M*'Valve Sizing'!$W$6*'Valve Sizing'!$G$8/AD4465)</f>
        <v>-96.436292930872568</v>
      </c>
      <c r="AE4464" s="111"/>
      <c r="AF4464" s="28"/>
      <c r="AG4464" s="96">
        <f ca="1">(AG4456/(N_9*AG$27*AG4458*0.667))*SQRT(M*'Valve Sizing'!$W$6*'Valve Sizing'!$G$8/AG4465)</f>
        <v>-65.494266536435887</v>
      </c>
      <c r="AH4464" s="111"/>
      <c r="AI4464" s="28"/>
      <c r="AJ4464" s="96">
        <f ca="1">(AJ4456/(N_9*AJ$27*AJ4458*0.667))*SQRT(M*'Valve Sizing'!$W$6*'Valve Sizing'!$G$8/AJ4465)</f>
        <v>-51.576395555698362</v>
      </c>
      <c r="AK4464" s="111"/>
      <c r="AL4464" s="28"/>
      <c r="AM4464" s="96">
        <f ca="1">(AM4456/(N_9*AM$27*AM4458*0.667))*SQRT(M*'Valve Sizing'!$W$6*'Valve Sizing'!$G$8/AM4465)</f>
        <v>-46.984056731346357</v>
      </c>
      <c r="AN4464" s="111"/>
      <c r="AO4464" s="28"/>
      <c r="AP4464" s="96">
        <f ca="1">(AP4456/(N_9*AP$27*AP4458*0.667))*SQRT(M*'Valve Sizing'!$W$6*'Valve Sizing'!$G$8/AP4465)</f>
        <v>-41.139595020128148</v>
      </c>
      <c r="AQ4464" s="111"/>
      <c r="AR4464" s="28"/>
      <c r="AS4464" s="96">
        <f ca="1">(AS4456/(N_9*AS$27*AS4458*0.667))*SQRT(M*'Valve Sizing'!$W$6*'Valve Sizing'!$G$8/AS4465)</f>
        <v>-58.615152783388822</v>
      </c>
      <c r="AT4464" s="111"/>
      <c r="AU4464" s="28"/>
    </row>
    <row r="4465" spans="15:47" ht="15.6" x14ac:dyDescent="0.35">
      <c r="O4465" s="2" t="s">
        <v>68</v>
      </c>
      <c r="P4465" s="143">
        <v>10</v>
      </c>
      <c r="Q4465" s="2"/>
      <c r="R4465" s="96">
        <f ca="1">F_GAMMA*R$29</f>
        <v>0.64002969751372984</v>
      </c>
      <c r="S4465" s="107"/>
      <c r="T4465" s="1"/>
      <c r="U4465" s="96">
        <f ca="1">F_GAMMA*U$29</f>
        <v>0.64017842058782071</v>
      </c>
      <c r="V4465" s="111"/>
      <c r="W4465" s="28"/>
      <c r="X4465" s="96">
        <f ca="1">F_GAMMA*X$29</f>
        <v>0.63413873724904268</v>
      </c>
      <c r="Y4465" s="111"/>
      <c r="Z4465" s="28"/>
      <c r="AA4465" s="96">
        <f ca="1">F_GAMMA*AA$29</f>
        <v>0.62532411750377137</v>
      </c>
      <c r="AB4465" s="111"/>
      <c r="AC4465" s="28"/>
      <c r="AD4465" s="96">
        <f ca="1">F_GAMMA*AD$29</f>
        <v>0.60651359509139569</v>
      </c>
      <c r="AE4465" s="111"/>
      <c r="AF4465" s="28"/>
      <c r="AG4465" s="96">
        <f ca="1">F_GAMMA*AG$29</f>
        <v>0.57217930198481592</v>
      </c>
      <c r="AH4465" s="111"/>
      <c r="AI4465" s="28"/>
      <c r="AJ4465" s="96">
        <f ca="1">F_GAMMA*AJ$29</f>
        <v>0.53183282018848232</v>
      </c>
      <c r="AK4465" s="111"/>
      <c r="AL4465" s="28"/>
      <c r="AM4465" s="96">
        <f ca="1">F_GAMMA*AM$29</f>
        <v>0.47566512503094399</v>
      </c>
      <c r="AN4465" s="111"/>
      <c r="AO4465" s="28"/>
      <c r="AP4465" s="96">
        <f ca="1">F_GAMMA*AP$29</f>
        <v>0.59054158265645496</v>
      </c>
      <c r="AQ4465" s="111"/>
      <c r="AR4465" s="28"/>
      <c r="AS4465" s="96">
        <f ca="1">F_GAMMA*AS$29</f>
        <v>0.3766899554102966</v>
      </c>
      <c r="AT4465" s="111"/>
      <c r="AU4465" s="28"/>
    </row>
    <row r="4466" spans="15:47" x14ac:dyDescent="0.25">
      <c r="O4466" s="2" t="s">
        <v>145</v>
      </c>
      <c r="P4466" s="12"/>
      <c r="Q4466" s="2"/>
      <c r="R4466" s="96">
        <f ca="1">IF(R4461&lt;R4465,R4463,R4464)</f>
        <v>73.903664195613445</v>
      </c>
      <c r="S4466" s="116"/>
      <c r="T4466" s="1"/>
      <c r="U4466" s="96">
        <f ca="1">IF(U4461&lt;U4465,U4463,U4464)</f>
        <v>148.91164165791579</v>
      </c>
      <c r="V4466" s="111"/>
      <c r="W4466" s="28"/>
      <c r="X4466" s="96" t="e">
        <f ca="1">IF(X4461&lt;X4465,X4463,X4464)</f>
        <v>#NUM!</v>
      </c>
      <c r="Y4466" s="111"/>
      <c r="Z4466" s="28"/>
      <c r="AA4466" s="96">
        <f ca="1">IF(AA4461&lt;AA4465,AA4463,AA4464)</f>
        <v>-199.7872639887116</v>
      </c>
      <c r="AB4466" s="111"/>
      <c r="AC4466" s="28"/>
      <c r="AD4466" s="96">
        <f ca="1">IF(AD4461&lt;AD4465,AD4463,AD4464)</f>
        <v>-96.436292930872568</v>
      </c>
      <c r="AE4466" s="111"/>
      <c r="AF4466" s="28"/>
      <c r="AG4466" s="96">
        <f ca="1">IF(AG4461&lt;AG4465,AG4463,AG4464)</f>
        <v>-65.494266536435887</v>
      </c>
      <c r="AH4466" s="111"/>
      <c r="AI4466" s="28"/>
      <c r="AJ4466" s="96">
        <f ca="1">IF(AJ4461&lt;AJ4465,AJ4463,AJ4464)</f>
        <v>-51.576395555698362</v>
      </c>
      <c r="AK4466" s="111"/>
      <c r="AL4466" s="28"/>
      <c r="AM4466" s="96">
        <f ca="1">IF(AM4461&lt;AM4465,AM4463,AM4464)</f>
        <v>-46.984056731346357</v>
      </c>
      <c r="AN4466" s="111"/>
      <c r="AO4466" s="28"/>
      <c r="AP4466" s="96">
        <f ca="1">IF(AP4461&lt;AP4465,AP4463,AP4464)</f>
        <v>-41.139595020128148</v>
      </c>
      <c r="AQ4466" s="111"/>
      <c r="AR4466" s="28"/>
      <c r="AS4466" s="96">
        <f ca="1">IF(AS4461&lt;AS4465,AS4463,AS4464)</f>
        <v>-58.615152783388822</v>
      </c>
      <c r="AT4466" s="111"/>
      <c r="AU4466" s="28"/>
    </row>
    <row r="4467" spans="15:47" x14ac:dyDescent="0.25">
      <c r="O4467" s="13" t="s">
        <v>143</v>
      </c>
      <c r="P4467" s="1"/>
      <c r="Q4467" s="1"/>
      <c r="R4467" s="113"/>
      <c r="S4467" s="106">
        <f ca="1">IF(R4460&lt;=0,Q_max,ABS(R$23-R4466))</f>
        <v>69.173664195613441</v>
      </c>
      <c r="T4467" s="7">
        <f>R4456</f>
        <v>166318.64583846074</v>
      </c>
      <c r="U4467" s="98"/>
      <c r="V4467" s="106">
        <f ca="1">IF(U4460&lt;=0,Q_max,ABS(U$23-U4466))</f>
        <v>137.3116416579158</v>
      </c>
      <c r="W4467" s="9">
        <f ca="1">U4456</f>
        <v>271688.99014923093</v>
      </c>
      <c r="X4467" s="98"/>
      <c r="Y4467" s="106">
        <f ca="1">IF(X4460&lt;=0,Q_max,ABS(X$23-X4466))</f>
        <v>236393</v>
      </c>
      <c r="Z4467" s="9">
        <f ca="1">X4456</f>
        <v>665266.53862165601</v>
      </c>
      <c r="AA4467" s="98"/>
      <c r="AB4467" s="106">
        <f ca="1">IF(AA4460&lt;=0,Q_max,ABS(AA$23-AA4466))</f>
        <v>236393</v>
      </c>
      <c r="AC4467" s="9">
        <f ca="1">AA4456</f>
        <v>1295769.4110023505</v>
      </c>
      <c r="AD4467" s="98"/>
      <c r="AE4467" s="106">
        <f ca="1">IF(AD4460&lt;=0,Q_max,ABS(AD$23-AD4466))</f>
        <v>236393</v>
      </c>
      <c r="AF4467" s="9">
        <f ca="1">AD4456</f>
        <v>2173897.9856092078</v>
      </c>
      <c r="AG4467" s="98"/>
      <c r="AH4467" s="106">
        <f ca="1">IF(AG4460&lt;=0,Q_max,ABS(AG$23-AG4466))</f>
        <v>236393</v>
      </c>
      <c r="AI4467" s="9">
        <f ca="1">AG4456</f>
        <v>3172863.3185903714</v>
      </c>
      <c r="AJ4467" s="98"/>
      <c r="AK4467" s="106">
        <f ca="1">IF(AJ4460&lt;=0,Q_max,ABS(AJ$23-AJ4466))</f>
        <v>236393</v>
      </c>
      <c r="AL4467" s="9">
        <f ca="1">AJ4456</f>
        <v>4234198.3984768279</v>
      </c>
      <c r="AM4467" s="98"/>
      <c r="AN4467" s="106">
        <f ca="1">IF(AM4460&lt;=0,Q_max,ABS(AM$23-AM4466))</f>
        <v>236393</v>
      </c>
      <c r="AO4467" s="9">
        <f ca="1">AM4456</f>
        <v>5166526.7129850611</v>
      </c>
      <c r="AP4467" s="98"/>
      <c r="AQ4467" s="106">
        <f ca="1">IF(AP4460&lt;=0,Q_max,ABS(AP$23-AP4466))</f>
        <v>236393</v>
      </c>
      <c r="AR4467" s="9">
        <f ca="1">AP4456</f>
        <v>5998177.1208654596</v>
      </c>
      <c r="AS4467" s="98"/>
      <c r="AT4467" s="106">
        <f ca="1">IF(AS4460&lt;=0,Q_max,ABS(AS$23-AS4466))</f>
        <v>236393</v>
      </c>
      <c r="AU4467" s="9">
        <f ca="1">AS4456</f>
        <v>7033334.400396754</v>
      </c>
    </row>
    <row r="4468" spans="15:47" x14ac:dyDescent="0.25">
      <c r="O4468" s="21"/>
      <c r="P4468" s="14"/>
      <c r="Q4468" s="21"/>
      <c r="R4468" s="97"/>
      <c r="S4468" s="106"/>
      <c r="T4468" s="28"/>
      <c r="U4468" s="97"/>
      <c r="V4468" s="111"/>
      <c r="W4468" s="28"/>
      <c r="X4468" s="97"/>
      <c r="Y4468" s="111"/>
      <c r="Z4468" s="28"/>
      <c r="AA4468" s="97"/>
      <c r="AB4468" s="111"/>
      <c r="AC4468" s="28"/>
      <c r="AD4468" s="97"/>
      <c r="AE4468" s="111"/>
      <c r="AF4468" s="28"/>
      <c r="AG4468" s="97"/>
      <c r="AH4468" s="111"/>
      <c r="AI4468" s="28"/>
      <c r="AJ4468" s="97"/>
      <c r="AK4468" s="111"/>
      <c r="AL4468" s="28"/>
      <c r="AM4468" s="97"/>
      <c r="AN4468" s="111"/>
      <c r="AO4468" s="28"/>
      <c r="AP4468" s="97"/>
      <c r="AQ4468" s="111"/>
      <c r="AR4468" s="28"/>
      <c r="AS4468" s="97"/>
      <c r="AT4468" s="111"/>
      <c r="AU4468" s="28"/>
    </row>
    <row r="4469" spans="15:47" x14ac:dyDescent="0.25">
      <c r="O4469" s="1"/>
      <c r="P4469" s="1"/>
      <c r="Q4469" s="1"/>
      <c r="R4469" s="98"/>
      <c r="S4469" s="108" t="s">
        <v>137</v>
      </c>
      <c r="T4469" s="26" t="s">
        <v>146</v>
      </c>
      <c r="U4469" s="98"/>
      <c r="V4469" s="108" t="s">
        <v>137</v>
      </c>
      <c r="W4469" s="26" t="s">
        <v>146</v>
      </c>
      <c r="X4469" s="98"/>
      <c r="Y4469" s="108" t="s">
        <v>137</v>
      </c>
      <c r="Z4469" s="26" t="s">
        <v>146</v>
      </c>
      <c r="AA4469" s="98"/>
      <c r="AB4469" s="108" t="s">
        <v>137</v>
      </c>
      <c r="AC4469" s="26" t="s">
        <v>146</v>
      </c>
      <c r="AD4469" s="98"/>
      <c r="AE4469" s="108" t="s">
        <v>137</v>
      </c>
      <c r="AF4469" s="26" t="s">
        <v>146</v>
      </c>
      <c r="AG4469" s="98"/>
      <c r="AH4469" s="108" t="s">
        <v>137</v>
      </c>
      <c r="AI4469" s="26" t="s">
        <v>146</v>
      </c>
      <c r="AJ4469" s="98"/>
      <c r="AK4469" s="108" t="s">
        <v>137</v>
      </c>
      <c r="AL4469" s="26" t="s">
        <v>146</v>
      </c>
      <c r="AM4469" s="98"/>
      <c r="AN4469" s="108" t="s">
        <v>137</v>
      </c>
      <c r="AO4469" s="26" t="s">
        <v>146</v>
      </c>
      <c r="AP4469" s="98"/>
      <c r="AQ4469" s="108" t="s">
        <v>137</v>
      </c>
      <c r="AR4469" s="26" t="s">
        <v>146</v>
      </c>
      <c r="AS4469" s="98"/>
      <c r="AT4469" s="108" t="s">
        <v>137</v>
      </c>
      <c r="AU4469" s="26" t="s">
        <v>146</v>
      </c>
    </row>
    <row r="4470" spans="15:47" ht="13.8" x14ac:dyDescent="0.25">
      <c r="O4470" s="20" t="s">
        <v>136</v>
      </c>
      <c r="P4470" s="1"/>
      <c r="Q4470" s="1"/>
      <c r="R4470" s="96">
        <f>R4456*1.02</f>
        <v>169645.01875522995</v>
      </c>
      <c r="S4470" s="109" t="s">
        <v>144</v>
      </c>
      <c r="T4470" s="23" t="s">
        <v>147</v>
      </c>
      <c r="U4470" s="96">
        <f ca="1">U4456*1.01</f>
        <v>274405.88005072327</v>
      </c>
      <c r="V4470" s="109" t="s">
        <v>144</v>
      </c>
      <c r="W4470" s="23" t="s">
        <v>147</v>
      </c>
      <c r="X4470" s="96">
        <f ca="1">X4456*1.01</f>
        <v>671919.20400787261</v>
      </c>
      <c r="Y4470" s="109" t="s">
        <v>144</v>
      </c>
      <c r="Z4470" s="23" t="s">
        <v>147</v>
      </c>
      <c r="AA4470" s="96">
        <f ca="1">AA4456*1.01</f>
        <v>1308727.1051123741</v>
      </c>
      <c r="AB4470" s="109" t="s">
        <v>144</v>
      </c>
      <c r="AC4470" s="23" t="s">
        <v>147</v>
      </c>
      <c r="AD4470" s="96">
        <f ca="1">AD4456*1.01</f>
        <v>2195636.9654652998</v>
      </c>
      <c r="AE4470" s="109" t="s">
        <v>144</v>
      </c>
      <c r="AF4470" s="23" t="s">
        <v>147</v>
      </c>
      <c r="AG4470" s="96">
        <f ca="1">AG4456*1.01</f>
        <v>3204591.9517762749</v>
      </c>
      <c r="AH4470" s="109" t="s">
        <v>144</v>
      </c>
      <c r="AI4470" s="23" t="s">
        <v>147</v>
      </c>
      <c r="AJ4470" s="96">
        <f ca="1">AJ4456*1.01</f>
        <v>4276540.3824615963</v>
      </c>
      <c r="AK4470" s="109" t="s">
        <v>144</v>
      </c>
      <c r="AL4470" s="23" t="s">
        <v>147</v>
      </c>
      <c r="AM4470" s="96">
        <f ca="1">AM4456*1.01</f>
        <v>5218191.9801149117</v>
      </c>
      <c r="AN4470" s="109" t="s">
        <v>144</v>
      </c>
      <c r="AO4470" s="23" t="s">
        <v>147</v>
      </c>
      <c r="AP4470" s="96">
        <f ca="1">AP4456*1.01</f>
        <v>6058158.8920741146</v>
      </c>
      <c r="AQ4470" s="109" t="s">
        <v>144</v>
      </c>
      <c r="AR4470" s="23" t="s">
        <v>147</v>
      </c>
      <c r="AS4470" s="96">
        <f ca="1">AS4456*1.01</f>
        <v>7103667.744400722</v>
      </c>
      <c r="AT4470" s="109" t="s">
        <v>144</v>
      </c>
      <c r="AU4470" s="23" t="s">
        <v>147</v>
      </c>
    </row>
    <row r="4471" spans="15:47" x14ac:dyDescent="0.25">
      <c r="O4471" s="1"/>
      <c r="P4471" s="1"/>
      <c r="Q4471" s="1"/>
      <c r="R4471" s="98"/>
      <c r="S4471" s="107"/>
      <c r="T4471" s="1"/>
      <c r="U4471" s="47"/>
      <c r="V4471" s="107"/>
      <c r="W4471" s="1"/>
      <c r="X4471" s="47"/>
      <c r="Y4471" s="107"/>
      <c r="Z4471" s="1"/>
      <c r="AA4471" s="47"/>
      <c r="AB4471" s="107"/>
      <c r="AC4471" s="1"/>
      <c r="AD4471" s="47"/>
      <c r="AE4471" s="107"/>
      <c r="AF4471" s="1"/>
      <c r="AG4471" s="47"/>
      <c r="AH4471" s="107"/>
      <c r="AI4471" s="1"/>
      <c r="AJ4471" s="47"/>
      <c r="AK4471" s="107"/>
      <c r="AL4471" s="1"/>
      <c r="AM4471" s="47"/>
      <c r="AN4471" s="107"/>
      <c r="AO4471" s="1"/>
      <c r="AP4471" s="47"/>
      <c r="AQ4471" s="107"/>
      <c r="AR4471" s="1"/>
      <c r="AS4471" s="47"/>
      <c r="AT4471" s="107"/>
      <c r="AU4471" s="1"/>
    </row>
    <row r="4472" spans="15:47" x14ac:dyDescent="0.25">
      <c r="O4472" s="8" t="s">
        <v>132</v>
      </c>
      <c r="P4472" s="8"/>
      <c r="Q4472" s="8"/>
      <c r="R4472" s="96">
        <f>P_1_minQ-(R4470^2*R_up)+dpup_minQ</f>
        <v>84.939674959284247</v>
      </c>
      <c r="S4472" s="106"/>
      <c r="T4472" s="22"/>
      <c r="U4472" s="96">
        <f ca="1">P_1_minQ-(U4470^2*R_up)+dpup_minQ</f>
        <v>76.46105145031234</v>
      </c>
      <c r="V4472" s="107"/>
      <c r="W4472" s="1"/>
      <c r="X4472" s="96">
        <f ca="1">P_1_minQ-(X4470^2*R_up)+dpup_minQ</f>
        <v>7.8987196949655774</v>
      </c>
      <c r="Y4472" s="107"/>
      <c r="Z4472" s="1"/>
      <c r="AA4472" s="96">
        <f ca="1">P_1_minQ-(AA4470^2*R_up)+dpup_minQ</f>
        <v>-221.9853671591988</v>
      </c>
      <c r="AB4472" s="107"/>
      <c r="AC4472" s="1"/>
      <c r="AD4472" s="96">
        <f ca="1">P_1_minQ-(AD4470^2*R_up)+dpup_minQ</f>
        <v>-788.46231235500488</v>
      </c>
      <c r="AE4472" s="107"/>
      <c r="AF4472" s="1"/>
      <c r="AG4472" s="96">
        <f ca="1">P_1_minQ-(AG4470^2*R_up)+dpup_minQ</f>
        <v>-1781.5269065419157</v>
      </c>
      <c r="AH4472" s="107"/>
      <c r="AI4472" s="1"/>
      <c r="AJ4472" s="96">
        <f ca="1">P_1_minQ-(AJ4470^2*R_up)+dpup_minQ</f>
        <v>-3243.1478826233374</v>
      </c>
      <c r="AK4472" s="107"/>
      <c r="AL4472" s="1"/>
      <c r="AM4472" s="96">
        <f ca="1">P_1_minQ-(AM4470^2*R_up)+dpup_minQ</f>
        <v>-4872.6934607287467</v>
      </c>
      <c r="AN4472" s="107"/>
      <c r="AO4472" s="1"/>
      <c r="AP4472" s="96">
        <f ca="1">P_1_minQ-(AP4470^2*R_up)+dpup_minQ</f>
        <v>-6599.0253643206906</v>
      </c>
      <c r="AQ4472" s="107"/>
      <c r="AR4472" s="1"/>
      <c r="AS4472" s="96">
        <f ca="1">P_1_minQ-(AS4470^2*R_up)+dpup_minQ</f>
        <v>-9107.0824523527845</v>
      </c>
      <c r="AT4472" s="107"/>
      <c r="AU4472" s="1"/>
    </row>
    <row r="4473" spans="15:47" x14ac:dyDescent="0.25">
      <c r="O4473" s="8" t="s">
        <v>134</v>
      </c>
      <c r="P4473" s="1"/>
      <c r="Q4473" s="8"/>
      <c r="R4473" s="97">
        <f>P_2_minQ+(R4470^2*R_dn)-dpdn_minQ</f>
        <v>60</v>
      </c>
      <c r="S4473" s="106"/>
      <c r="T4473" s="22"/>
      <c r="U4473" s="97">
        <f ca="1">P_2_minQ+(U4470^2*R_dn)-dpdn_minQ</f>
        <v>60</v>
      </c>
      <c r="V4473" s="107"/>
      <c r="W4473" s="1"/>
      <c r="X4473" s="97">
        <f ca="1">P_2_minQ+(X4470^2*R_dn)-dpdn_minQ</f>
        <v>60</v>
      </c>
      <c r="Y4473" s="107"/>
      <c r="Z4473" s="1"/>
      <c r="AA4473" s="97">
        <f ca="1">P_2_minQ+(AA4470^2*R_dn)-dpdn_minQ</f>
        <v>60</v>
      </c>
      <c r="AB4473" s="107"/>
      <c r="AC4473" s="1"/>
      <c r="AD4473" s="97">
        <f ca="1">P_2_minQ+(AD4470^2*R_dn)-dpdn_minQ</f>
        <v>60</v>
      </c>
      <c r="AE4473" s="107"/>
      <c r="AF4473" s="1"/>
      <c r="AG4473" s="97">
        <f ca="1">P_2_minQ+(AG4470^2*R_dn)-dpdn_minQ</f>
        <v>60</v>
      </c>
      <c r="AH4473" s="107"/>
      <c r="AI4473" s="1"/>
      <c r="AJ4473" s="97">
        <f ca="1">P_2_minQ+(AJ4470^2*R_dn)-dpdn_minQ</f>
        <v>60</v>
      </c>
      <c r="AK4473" s="107"/>
      <c r="AL4473" s="1"/>
      <c r="AM4473" s="97">
        <f ca="1">P_2_minQ+(AM4470^2*R_dn)-dpdn_minQ</f>
        <v>60</v>
      </c>
      <c r="AN4473" s="107"/>
      <c r="AO4473" s="1"/>
      <c r="AP4473" s="97">
        <f ca="1">P_2_minQ+(AP4470^2*R_dn)-dpdn_minQ</f>
        <v>60</v>
      </c>
      <c r="AQ4473" s="107"/>
      <c r="AR4473" s="1"/>
      <c r="AS4473" s="97">
        <f ca="1">P_2_minQ+(AS4470^2*R_dn)-dpdn_minQ</f>
        <v>60</v>
      </c>
      <c r="AT4473" s="107"/>
      <c r="AU4473" s="1"/>
    </row>
    <row r="4474" spans="15:47" x14ac:dyDescent="0.25">
      <c r="O4474" s="8" t="s">
        <v>138</v>
      </c>
      <c r="P4474" s="1"/>
      <c r="Q4474" s="8"/>
      <c r="R4474" s="97">
        <f>R4472-R4473</f>
        <v>24.939674959284247</v>
      </c>
      <c r="S4474" s="106"/>
      <c r="T4474" s="22"/>
      <c r="U4474" s="97">
        <f ca="1">U4472-U4473</f>
        <v>16.46105145031234</v>
      </c>
      <c r="V4474" s="110"/>
      <c r="W4474" s="25"/>
      <c r="X4474" s="97">
        <f ca="1">X4472-X4473</f>
        <v>-52.101280305034422</v>
      </c>
      <c r="Y4474" s="110"/>
      <c r="Z4474" s="25"/>
      <c r="AA4474" s="97">
        <f ca="1">AA4472-AA4473</f>
        <v>-281.9853671591988</v>
      </c>
      <c r="AB4474" s="110"/>
      <c r="AC4474" s="25"/>
      <c r="AD4474" s="97">
        <f ca="1">AD4472-AD4473</f>
        <v>-848.46231235500488</v>
      </c>
      <c r="AE4474" s="110"/>
      <c r="AF4474" s="25"/>
      <c r="AG4474" s="97">
        <f ca="1">AG4472-AG4473</f>
        <v>-1841.5269065419157</v>
      </c>
      <c r="AH4474" s="110"/>
      <c r="AI4474" s="25"/>
      <c r="AJ4474" s="97">
        <f ca="1">AJ4472-AJ4473</f>
        <v>-3303.1478826233374</v>
      </c>
      <c r="AK4474" s="110"/>
      <c r="AL4474" s="25"/>
      <c r="AM4474" s="97">
        <f ca="1">AM4472-AM4473</f>
        <v>-4932.6934607287467</v>
      </c>
      <c r="AN4474" s="110"/>
      <c r="AO4474" s="25"/>
      <c r="AP4474" s="97">
        <f ca="1">AP4472-AP4473</f>
        <v>-6659.0253643206906</v>
      </c>
      <c r="AQ4474" s="110"/>
      <c r="AR4474" s="25"/>
      <c r="AS4474" s="97">
        <f ca="1">AS4472-AS4473</f>
        <v>-9167.0824523527845</v>
      </c>
      <c r="AT4474" s="110"/>
      <c r="AU4474" s="25"/>
    </row>
    <row r="4475" spans="15:47" ht="14.4" x14ac:dyDescent="0.3">
      <c r="O4475" s="2" t="s">
        <v>140</v>
      </c>
      <c r="P4475" s="11"/>
      <c r="Q4475" s="2"/>
      <c r="R4475" s="96">
        <f>R4474/R4472</f>
        <v>0.29361632206903376</v>
      </c>
      <c r="S4475" s="106"/>
      <c r="T4475" s="22"/>
      <c r="U4475" s="96">
        <f ca="1">U4474/U4472</f>
        <v>0.21528675238018974</v>
      </c>
      <c r="V4475" s="111"/>
      <c r="W4475" s="28"/>
      <c r="X4475" s="96">
        <f ca="1">X4474/X4472</f>
        <v>-6.5961677736510032</v>
      </c>
      <c r="Y4475" s="111"/>
      <c r="Z4475" s="28"/>
      <c r="AA4475" s="96">
        <f ca="1">AA4474/AA4472</f>
        <v>1.2702880859573527</v>
      </c>
      <c r="AB4475" s="111"/>
      <c r="AC4475" s="28"/>
      <c r="AD4475" s="96">
        <f ca="1">AD4474/AD4472</f>
        <v>1.0760974862841448</v>
      </c>
      <c r="AE4475" s="111"/>
      <c r="AF4475" s="28"/>
      <c r="AG4475" s="96">
        <f ca="1">AG4474/AG4472</f>
        <v>1.0336789749173447</v>
      </c>
      <c r="AH4475" s="111"/>
      <c r="AI4475" s="28"/>
      <c r="AJ4475" s="96">
        <f ca="1">AJ4474/AJ4472</f>
        <v>1.0185005439688637</v>
      </c>
      <c r="AK4475" s="111"/>
      <c r="AL4475" s="28"/>
      <c r="AM4475" s="96">
        <f ca="1">AM4474/AM4472</f>
        <v>1.0123135182796881</v>
      </c>
      <c r="AN4475" s="111"/>
      <c r="AO4475" s="28"/>
      <c r="AP4475" s="96">
        <f ca="1">AP4474/AP4472</f>
        <v>1.0090922517625718</v>
      </c>
      <c r="AQ4475" s="111"/>
      <c r="AR4475" s="28"/>
      <c r="AS4475" s="96">
        <f ca="1">AS4474/AS4472</f>
        <v>1.0065882789920826</v>
      </c>
      <c r="AT4475" s="111"/>
      <c r="AU4475" s="28"/>
    </row>
    <row r="4476" spans="15:47" x14ac:dyDescent="0.25">
      <c r="O4476" s="2" t="s">
        <v>21</v>
      </c>
      <c r="P4476" s="8">
        <v>12</v>
      </c>
      <c r="Q4476" s="2"/>
      <c r="R4476" s="96">
        <f ca="1">1-R4475/(3*F_GAMMA*R$29)</f>
        <v>0.84708192801593385</v>
      </c>
      <c r="S4476" s="106"/>
      <c r="T4476" s="22"/>
      <c r="U4476" s="96">
        <f ca="1">1-U4475/(3*F_GAMMA*U$29)</f>
        <v>0.88790273385425356</v>
      </c>
      <c r="V4476" s="111"/>
      <c r="W4476" s="28"/>
      <c r="X4476" s="96">
        <f ca="1">1-X4475/(3*F_GAMMA*X$29)</f>
        <v>4.4672579706379079</v>
      </c>
      <c r="Y4476" s="111"/>
      <c r="Z4476" s="28"/>
      <c r="AA4476" s="96">
        <f ca="1">1-AA4475/(3*F_GAMMA*AA$29)</f>
        <v>0.32286417533987011</v>
      </c>
      <c r="AB4476" s="111"/>
      <c r="AC4476" s="28"/>
      <c r="AD4476" s="96">
        <f ca="1">1-AD4475/(3*F_GAMMA*AD$29)</f>
        <v>0.40858842242330529</v>
      </c>
      <c r="AE4476" s="111"/>
      <c r="AF4476" s="28"/>
      <c r="AG4476" s="96">
        <f ca="1">1-AG4475/(3*F_GAMMA*AG$29)</f>
        <v>0.39781173993790275</v>
      </c>
      <c r="AH4476" s="111"/>
      <c r="AI4476" s="28"/>
      <c r="AJ4476" s="96">
        <f ca="1">1-AJ4475/(3*F_GAMMA*AJ$29)</f>
        <v>0.36164116159165349</v>
      </c>
      <c r="AK4476" s="111"/>
      <c r="AL4476" s="28"/>
      <c r="AM4476" s="96">
        <f ca="1">1-AM4475/(3*F_GAMMA*AM$29)</f>
        <v>0.29059789824908655</v>
      </c>
      <c r="AN4476" s="111"/>
      <c r="AO4476" s="28"/>
      <c r="AP4476" s="96">
        <f ca="1">1-AP4475/(3*F_GAMMA*AP$29)</f>
        <v>0.43041422687327402</v>
      </c>
      <c r="AQ4476" s="111"/>
      <c r="AR4476" s="28"/>
      <c r="AS4476" s="96">
        <f ca="1">1-AS4475/(3*F_GAMMA*AS$29)</f>
        <v>0.10926898497935722</v>
      </c>
      <c r="AT4476" s="111"/>
      <c r="AU4476" s="28"/>
    </row>
    <row r="4477" spans="15:47" x14ac:dyDescent="0.25">
      <c r="O4477" s="2" t="s">
        <v>57</v>
      </c>
      <c r="P4477" s="143">
        <v>7</v>
      </c>
      <c r="Q4477" s="2"/>
      <c r="R4477" s="96">
        <f ca="1">(R4470/(N_9*R$27*R4472*R4476))*SQRT(M*'Valve Sizing'!$W$6*'Valve Sizing'!$G$8/R4475)</f>
        <v>75.700899166635807</v>
      </c>
      <c r="S4477" s="107"/>
      <c r="T4477" s="22"/>
      <c r="U4477" s="96">
        <f ca="1">(U4470/(N_9*U$27*U4472*U4476))*SQRT(M*'Valve Sizing'!$W$6*'Valve Sizing'!$G$8/U4475)</f>
        <v>151.65264842932353</v>
      </c>
      <c r="V4477" s="111"/>
      <c r="W4477" s="28"/>
      <c r="X4477" s="96" t="e">
        <f ca="1">(X4470/(N_9*X$27*X4472*X4476))*SQRT(M*'Valve Sizing'!$W$6*'Valve Sizing'!$G$8/X4475)</f>
        <v>#NUM!</v>
      </c>
      <c r="Y4477" s="111"/>
      <c r="Z4477" s="28"/>
      <c r="AA4477" s="96">
        <f ca="1">(AA4470/(N_9*AA$27*AA4472*AA4476))*SQRT(M*'Valve Sizing'!$W$6*'Valve Sizing'!$G$8/AA4475)</f>
        <v>-284.37597011354364</v>
      </c>
      <c r="AB4477" s="111"/>
      <c r="AC4477" s="28"/>
      <c r="AD4477" s="96">
        <f ca="1">(AD4470/(N_9*AD$27*AD4472*AD4476))*SQRT(M*'Valve Sizing'!$W$6*'Valve Sizing'!$G$8/AD4475)</f>
        <v>-116.7491576186717</v>
      </c>
      <c r="AE4477" s="111"/>
      <c r="AF4477" s="28"/>
      <c r="AG4477" s="96">
        <f ca="1">(AG4470/(N_9*AG$27*AG4472*AG4476))*SQRT(M*'Valve Sizing'!$W$6*'Valve Sizing'!$G$8/AG4475)</f>
        <v>-80.80928318905535</v>
      </c>
      <c r="AH4477" s="111"/>
      <c r="AI4477" s="28"/>
      <c r="AJ4477" s="96">
        <f ca="1">(AJ4470/(N_9*AJ$27*AJ4472*AJ4476))*SQRT(M*'Valve Sizing'!$W$6*'Valve Sizing'!$G$8/AJ4475)</f>
        <v>-68.020796906076626</v>
      </c>
      <c r="AK4477" s="111"/>
      <c r="AL4477" s="28"/>
      <c r="AM4477" s="96">
        <f ca="1">(AM4470/(N_9*AM$27*AM4472*AM4476))*SQRT(M*'Valve Sizing'!$W$6*'Valve Sizing'!$G$8/AM4475)</f>
        <v>-73.163428073034851</v>
      </c>
      <c r="AN4477" s="111"/>
      <c r="AO4477" s="28"/>
      <c r="AP4477" s="96">
        <f ca="1">(AP4470/(N_9*AP$27*AP4472*AP4476))*SQRT(M*'Valve Sizing'!$W$6*'Valve Sizing'!$G$8/AP4475)</f>
        <v>-48.274562373418391</v>
      </c>
      <c r="AQ4477" s="111"/>
      <c r="AR4477" s="28"/>
      <c r="AS4477" s="96">
        <f ca="1">(AS4470/(N_9*AS$27*AS4472*AS4476))*SQRT(M*'Valve Sizing'!$W$6*'Valve Sizing'!$G$8/AS4475)</f>
        <v>-216.66915280745391</v>
      </c>
      <c r="AT4477" s="111"/>
      <c r="AU4477" s="28"/>
    </row>
    <row r="4478" spans="15:47" x14ac:dyDescent="0.25">
      <c r="O4478" s="2" t="s">
        <v>59</v>
      </c>
      <c r="P4478" s="143">
        <v>7</v>
      </c>
      <c r="Q4478" s="2"/>
      <c r="R4478" s="96">
        <f ca="1">(R4470/(N_9*R$27*R4472*0.667))*SQRT(M*'Valve Sizing'!$W$6*'Valve Sizing'!$G$8/R4479)</f>
        <v>65.116440851082615</v>
      </c>
      <c r="S4478" s="107"/>
      <c r="T4478" s="22"/>
      <c r="U4478" s="96">
        <f ca="1">(U4470/(N_9*U$27*U4472*0.667))*SQRT(M*'Valve Sizing'!$W$6*'Valve Sizing'!$G$8/U4479)</f>
        <v>117.07056013733755</v>
      </c>
      <c r="V4478" s="111"/>
      <c r="W4478" s="28"/>
      <c r="X4478" s="96">
        <f ca="1">(X4470/(N_9*X$27*X4472*0.667))*SQRT(M*'Valve Sizing'!$W$6*'Valve Sizing'!$G$8/X4479)</f>
        <v>2794.5499344300733</v>
      </c>
      <c r="Y4478" s="111"/>
      <c r="Z4478" s="28"/>
      <c r="AA4478" s="96">
        <f ca="1">(AA4470/(N_9*AA$27*AA4472*0.667))*SQRT(M*'Valve Sizing'!$W$6*'Valve Sizing'!$G$8/AA4479)</f>
        <v>-196.19387432199318</v>
      </c>
      <c r="AB4478" s="111"/>
      <c r="AC4478" s="28"/>
      <c r="AD4478" s="96">
        <f ca="1">(AD4470/(N_9*AD$27*AD4472*0.667))*SQRT(M*'Valve Sizing'!$W$6*'Valve Sizing'!$G$8/AD4479)</f>
        <v>-95.261960847256219</v>
      </c>
      <c r="AE4478" s="111"/>
      <c r="AF4478" s="28"/>
      <c r="AG4478" s="96">
        <f ca="1">(AG4470/(N_9*AG$27*AG4472*0.667))*SQRT(M*'Valve Sizing'!$W$6*'Valve Sizing'!$G$8/AG4479)</f>
        <v>-64.77982727081654</v>
      </c>
      <c r="AH4478" s="111"/>
      <c r="AI4478" s="28"/>
      <c r="AJ4478" s="96">
        <f ca="1">(AJ4470/(N_9*AJ$27*AJ4472*0.667))*SQRT(M*'Valve Sizing'!$W$6*'Valve Sizing'!$G$8/AJ4479)</f>
        <v>-51.037195581004205</v>
      </c>
      <c r="AK4478" s="111"/>
      <c r="AL4478" s="28"/>
      <c r="AM4478" s="96">
        <f ca="1">(AM4470/(N_9*AM$27*AM4472*0.667))*SQRT(M*'Valve Sizing'!$W$6*'Valve Sizing'!$G$8/AM4479)</f>
        <v>-46.501562293500399</v>
      </c>
      <c r="AN4478" s="111"/>
      <c r="AO4478" s="28"/>
      <c r="AP4478" s="96">
        <f ca="1">(AP4470/(N_9*AP$27*AP4472*0.667))*SQRT(M*'Valve Sizing'!$W$6*'Valve Sizing'!$G$8/AP4479)</f>
        <v>-40.721083345357393</v>
      </c>
      <c r="AQ4478" s="111"/>
      <c r="AR4478" s="28"/>
      <c r="AS4478" s="96">
        <f ca="1">(AS4470/(N_9*AS$27*AS4472*0.667))*SQRT(M*'Valve Sizing'!$W$6*'Valve Sizing'!$G$8/AS4479)</f>
        <v>-58.023253197759516</v>
      </c>
      <c r="AT4478" s="111"/>
      <c r="AU4478" s="28"/>
    </row>
    <row r="4479" spans="15:47" ht="15.6" x14ac:dyDescent="0.35">
      <c r="O4479" s="2" t="s">
        <v>68</v>
      </c>
      <c r="P4479" s="143">
        <v>10</v>
      </c>
      <c r="Q4479" s="2"/>
      <c r="R4479" s="96">
        <f ca="1">F_GAMMA*R$29</f>
        <v>0.64002969751372984</v>
      </c>
      <c r="S4479" s="107"/>
      <c r="T4479" s="1"/>
      <c r="U4479" s="96">
        <f ca="1">F_GAMMA*U$29</f>
        <v>0.64017842058782071</v>
      </c>
      <c r="V4479" s="111"/>
      <c r="W4479" s="28"/>
      <c r="X4479" s="96">
        <f ca="1">F_GAMMA*X$29</f>
        <v>0.63413873724904268</v>
      </c>
      <c r="Y4479" s="111"/>
      <c r="Z4479" s="28"/>
      <c r="AA4479" s="96">
        <f ca="1">F_GAMMA*AA$29</f>
        <v>0.62532411750377137</v>
      </c>
      <c r="AB4479" s="111"/>
      <c r="AC4479" s="28"/>
      <c r="AD4479" s="96">
        <f ca="1">F_GAMMA*AD$29</f>
        <v>0.60651359509139569</v>
      </c>
      <c r="AE4479" s="111"/>
      <c r="AF4479" s="28"/>
      <c r="AG4479" s="96">
        <f ca="1">F_GAMMA*AG$29</f>
        <v>0.57217930198481592</v>
      </c>
      <c r="AH4479" s="111"/>
      <c r="AI4479" s="28"/>
      <c r="AJ4479" s="96">
        <f ca="1">F_GAMMA*AJ$29</f>
        <v>0.53183282018848232</v>
      </c>
      <c r="AK4479" s="111"/>
      <c r="AL4479" s="28"/>
      <c r="AM4479" s="96">
        <f ca="1">F_GAMMA*AM$29</f>
        <v>0.47566512503094399</v>
      </c>
      <c r="AN4479" s="111"/>
      <c r="AO4479" s="28"/>
      <c r="AP4479" s="96">
        <f ca="1">F_GAMMA*AP$29</f>
        <v>0.59054158265645496</v>
      </c>
      <c r="AQ4479" s="111"/>
      <c r="AR4479" s="28"/>
      <c r="AS4479" s="96">
        <f ca="1">F_GAMMA*AS$29</f>
        <v>0.3766899554102966</v>
      </c>
      <c r="AT4479" s="111"/>
      <c r="AU4479" s="28"/>
    </row>
    <row r="4480" spans="15:47" x14ac:dyDescent="0.25">
      <c r="O4480" s="2" t="s">
        <v>145</v>
      </c>
      <c r="P4480" s="12"/>
      <c r="Q4480" s="2"/>
      <c r="R4480" s="96">
        <f ca="1">IF(R4475&lt;R4479,R4477,R4478)</f>
        <v>75.700899166635807</v>
      </c>
      <c r="S4480" s="116"/>
      <c r="T4480" s="1"/>
      <c r="U4480" s="96">
        <f ca="1">IF(U4475&lt;U4479,U4477,U4478)</f>
        <v>151.65264842932353</v>
      </c>
      <c r="V4480" s="111"/>
      <c r="W4480" s="28"/>
      <c r="X4480" s="96" t="e">
        <f ca="1">IF(X4475&lt;X4479,X4477,X4478)</f>
        <v>#NUM!</v>
      </c>
      <c r="Y4480" s="111"/>
      <c r="Z4480" s="28"/>
      <c r="AA4480" s="96">
        <f ca="1">IF(AA4475&lt;AA4479,AA4477,AA4478)</f>
        <v>-196.19387432199318</v>
      </c>
      <c r="AB4480" s="111"/>
      <c r="AC4480" s="28"/>
      <c r="AD4480" s="96">
        <f ca="1">IF(AD4475&lt;AD4479,AD4477,AD4478)</f>
        <v>-95.261960847256219</v>
      </c>
      <c r="AE4480" s="111"/>
      <c r="AF4480" s="28"/>
      <c r="AG4480" s="96">
        <f ca="1">IF(AG4475&lt;AG4479,AG4477,AG4478)</f>
        <v>-64.77982727081654</v>
      </c>
      <c r="AH4480" s="111"/>
      <c r="AI4480" s="28"/>
      <c r="AJ4480" s="96">
        <f ca="1">IF(AJ4475&lt;AJ4479,AJ4477,AJ4478)</f>
        <v>-51.037195581004205</v>
      </c>
      <c r="AK4480" s="111"/>
      <c r="AL4480" s="28"/>
      <c r="AM4480" s="96">
        <f ca="1">IF(AM4475&lt;AM4479,AM4477,AM4478)</f>
        <v>-46.501562293500399</v>
      </c>
      <c r="AN4480" s="111"/>
      <c r="AO4480" s="28"/>
      <c r="AP4480" s="96">
        <f ca="1">IF(AP4475&lt;AP4479,AP4477,AP4478)</f>
        <v>-40.721083345357393</v>
      </c>
      <c r="AQ4480" s="111"/>
      <c r="AR4480" s="28"/>
      <c r="AS4480" s="96">
        <f ca="1">IF(AS4475&lt;AS4479,AS4477,AS4478)</f>
        <v>-58.023253197759516</v>
      </c>
      <c r="AT4480" s="111"/>
      <c r="AU4480" s="28"/>
    </row>
    <row r="4481" spans="15:47" x14ac:dyDescent="0.25">
      <c r="O4481" s="13" t="s">
        <v>143</v>
      </c>
      <c r="P4481" s="1"/>
      <c r="Q4481" s="1"/>
      <c r="R4481" s="113"/>
      <c r="S4481" s="106">
        <f ca="1">IF(R4474&lt;=0,Q_max,ABS(R$23-R4480))</f>
        <v>70.970899166635803</v>
      </c>
      <c r="T4481" s="7">
        <f>R4470</f>
        <v>169645.01875522995</v>
      </c>
      <c r="U4481" s="98"/>
      <c r="V4481" s="106">
        <f ca="1">IF(U4474&lt;=0,Q_max,ABS(U$23-U4480))</f>
        <v>140.05264842932354</v>
      </c>
      <c r="W4481" s="9">
        <f ca="1">U4470</f>
        <v>274405.88005072327</v>
      </c>
      <c r="X4481" s="98"/>
      <c r="Y4481" s="106">
        <f ca="1">IF(X4474&lt;=0,Q_max,ABS(X$23-X4480))</f>
        <v>236393</v>
      </c>
      <c r="Z4481" s="9">
        <f ca="1">X4470</f>
        <v>671919.20400787261</v>
      </c>
      <c r="AA4481" s="98"/>
      <c r="AB4481" s="106">
        <f ca="1">IF(AA4474&lt;=0,Q_max,ABS(AA$23-AA4480))</f>
        <v>236393</v>
      </c>
      <c r="AC4481" s="9">
        <f ca="1">AA4470</f>
        <v>1308727.1051123741</v>
      </c>
      <c r="AD4481" s="98"/>
      <c r="AE4481" s="106">
        <f ca="1">IF(AD4474&lt;=0,Q_max,ABS(AD$23-AD4480))</f>
        <v>236393</v>
      </c>
      <c r="AF4481" s="9">
        <f ca="1">AD4470</f>
        <v>2195636.9654652998</v>
      </c>
      <c r="AG4481" s="98"/>
      <c r="AH4481" s="106">
        <f ca="1">IF(AG4474&lt;=0,Q_max,ABS(AG$23-AG4480))</f>
        <v>236393</v>
      </c>
      <c r="AI4481" s="9">
        <f ca="1">AG4470</f>
        <v>3204591.9517762749</v>
      </c>
      <c r="AJ4481" s="98"/>
      <c r="AK4481" s="106">
        <f ca="1">IF(AJ4474&lt;=0,Q_max,ABS(AJ$23-AJ4480))</f>
        <v>236393</v>
      </c>
      <c r="AL4481" s="9">
        <f ca="1">AJ4470</f>
        <v>4276540.3824615963</v>
      </c>
      <c r="AM4481" s="98"/>
      <c r="AN4481" s="106">
        <f ca="1">IF(AM4474&lt;=0,Q_max,ABS(AM$23-AM4480))</f>
        <v>236393</v>
      </c>
      <c r="AO4481" s="9">
        <f ca="1">AM4470</f>
        <v>5218191.9801149117</v>
      </c>
      <c r="AP4481" s="98"/>
      <c r="AQ4481" s="106">
        <f ca="1">IF(AP4474&lt;=0,Q_max,ABS(AP$23-AP4480))</f>
        <v>236393</v>
      </c>
      <c r="AR4481" s="9">
        <f ca="1">AP4470</f>
        <v>6058158.8920741146</v>
      </c>
      <c r="AS4481" s="98"/>
      <c r="AT4481" s="106">
        <f ca="1">IF(AS4474&lt;=0,Q_max,ABS(AS$23-AS4480))</f>
        <v>236393</v>
      </c>
      <c r="AU4481" s="9">
        <f ca="1">AS4470</f>
        <v>7103667.744400722</v>
      </c>
    </row>
    <row r="4482" spans="15:47" x14ac:dyDescent="0.25">
      <c r="O4482" s="21"/>
      <c r="P4482" s="14"/>
      <c r="Q4482" s="21"/>
      <c r="R4482" s="97"/>
      <c r="S4482" s="106"/>
      <c r="T4482" s="28"/>
      <c r="U4482" s="99"/>
      <c r="V4482" s="111"/>
      <c r="W4482" s="28"/>
      <c r="X4482" s="99"/>
      <c r="Y4482" s="111"/>
      <c r="Z4482" s="28"/>
      <c r="AA4482" s="99"/>
      <c r="AB4482" s="111"/>
      <c r="AC4482" s="28"/>
      <c r="AD4482" s="99"/>
      <c r="AE4482" s="111"/>
      <c r="AF4482" s="28"/>
      <c r="AG4482" s="99"/>
      <c r="AH4482" s="111"/>
      <c r="AI4482" s="28"/>
      <c r="AJ4482" s="99"/>
      <c r="AK4482" s="111"/>
      <c r="AL4482" s="28"/>
      <c r="AM4482" s="99"/>
      <c r="AN4482" s="111"/>
      <c r="AO4482" s="28"/>
      <c r="AP4482" s="99"/>
      <c r="AQ4482" s="111"/>
      <c r="AR4482" s="28"/>
      <c r="AS4482" s="99"/>
      <c r="AT4482" s="111"/>
      <c r="AU4482" s="28"/>
    </row>
    <row r="4483" spans="15:47" x14ac:dyDescent="0.25">
      <c r="O4483" s="1"/>
      <c r="P4483" s="1"/>
      <c r="Q4483" s="1"/>
      <c r="R4483" s="98"/>
      <c r="S4483" s="108" t="s">
        <v>137</v>
      </c>
      <c r="T4483" s="26" t="s">
        <v>146</v>
      </c>
      <c r="U4483" s="98"/>
      <c r="V4483" s="108" t="s">
        <v>137</v>
      </c>
      <c r="W4483" s="26" t="s">
        <v>146</v>
      </c>
      <c r="X4483" s="98"/>
      <c r="Y4483" s="108" t="s">
        <v>137</v>
      </c>
      <c r="Z4483" s="26" t="s">
        <v>146</v>
      </c>
      <c r="AA4483" s="98"/>
      <c r="AB4483" s="108" t="s">
        <v>137</v>
      </c>
      <c r="AC4483" s="26" t="s">
        <v>146</v>
      </c>
      <c r="AD4483" s="98"/>
      <c r="AE4483" s="108" t="s">
        <v>137</v>
      </c>
      <c r="AF4483" s="26" t="s">
        <v>146</v>
      </c>
      <c r="AG4483" s="98"/>
      <c r="AH4483" s="108" t="s">
        <v>137</v>
      </c>
      <c r="AI4483" s="26" t="s">
        <v>146</v>
      </c>
      <c r="AJ4483" s="98"/>
      <c r="AK4483" s="108" t="s">
        <v>137</v>
      </c>
      <c r="AL4483" s="26" t="s">
        <v>146</v>
      </c>
      <c r="AM4483" s="98"/>
      <c r="AN4483" s="108" t="s">
        <v>137</v>
      </c>
      <c r="AO4483" s="26" t="s">
        <v>146</v>
      </c>
      <c r="AP4483" s="98"/>
      <c r="AQ4483" s="108" t="s">
        <v>137</v>
      </c>
      <c r="AR4483" s="26" t="s">
        <v>146</v>
      </c>
      <c r="AS4483" s="98"/>
      <c r="AT4483" s="108" t="s">
        <v>137</v>
      </c>
      <c r="AU4483" s="26" t="s">
        <v>146</v>
      </c>
    </row>
    <row r="4484" spans="15:47" ht="13.8" x14ac:dyDescent="0.25">
      <c r="O4484" s="20" t="s">
        <v>136</v>
      </c>
      <c r="P4484" s="1"/>
      <c r="Q4484" s="1"/>
      <c r="R4484" s="96">
        <f>R4470*1.02</f>
        <v>173037.91913033454</v>
      </c>
      <c r="S4484" s="109" t="s">
        <v>144</v>
      </c>
      <c r="T4484" s="23" t="s">
        <v>147</v>
      </c>
      <c r="U4484" s="96">
        <f ca="1">U4470*1.01</f>
        <v>277149.93885123049</v>
      </c>
      <c r="V4484" s="109" t="s">
        <v>144</v>
      </c>
      <c r="W4484" s="23" t="s">
        <v>147</v>
      </c>
      <c r="X4484" s="96">
        <f ca="1">X4470*1.01</f>
        <v>678638.3960479513</v>
      </c>
      <c r="Y4484" s="109" t="s">
        <v>144</v>
      </c>
      <c r="Z4484" s="23" t="s">
        <v>147</v>
      </c>
      <c r="AA4484" s="96">
        <f ca="1">AA4470*1.01</f>
        <v>1321814.3761634978</v>
      </c>
      <c r="AB4484" s="109" t="s">
        <v>144</v>
      </c>
      <c r="AC4484" s="23" t="s">
        <v>147</v>
      </c>
      <c r="AD4484" s="96">
        <f ca="1">AD4470*1.01</f>
        <v>2217593.3351199529</v>
      </c>
      <c r="AE4484" s="109" t="s">
        <v>144</v>
      </c>
      <c r="AF4484" s="23" t="s">
        <v>147</v>
      </c>
      <c r="AG4484" s="96">
        <f ca="1">AG4470*1.01</f>
        <v>3236637.8712940379</v>
      </c>
      <c r="AH4484" s="109" t="s">
        <v>144</v>
      </c>
      <c r="AI4484" s="23" t="s">
        <v>147</v>
      </c>
      <c r="AJ4484" s="96">
        <f ca="1">AJ4470*1.01</f>
        <v>4319305.7862862125</v>
      </c>
      <c r="AK4484" s="109" t="s">
        <v>144</v>
      </c>
      <c r="AL4484" s="23" t="s">
        <v>147</v>
      </c>
      <c r="AM4484" s="96">
        <f ca="1">AM4470*1.01</f>
        <v>5270373.8999160612</v>
      </c>
      <c r="AN4484" s="109" t="s">
        <v>144</v>
      </c>
      <c r="AO4484" s="23" t="s">
        <v>147</v>
      </c>
      <c r="AP4484" s="96">
        <f ca="1">AP4470*1.01</f>
        <v>6118740.480994856</v>
      </c>
      <c r="AQ4484" s="109" t="s">
        <v>144</v>
      </c>
      <c r="AR4484" s="23" t="s">
        <v>147</v>
      </c>
      <c r="AS4484" s="96">
        <f ca="1">AS4470*1.01</f>
        <v>7174704.4218447292</v>
      </c>
      <c r="AT4484" s="109" t="s">
        <v>144</v>
      </c>
      <c r="AU4484" s="23" t="s">
        <v>147</v>
      </c>
    </row>
    <row r="4485" spans="15:47" x14ac:dyDescent="0.25">
      <c r="O4485" s="1"/>
      <c r="P4485" s="1"/>
      <c r="Q4485" s="1"/>
      <c r="R4485" s="98"/>
      <c r="S4485" s="107"/>
      <c r="T4485" s="1"/>
      <c r="U4485" s="47"/>
      <c r="V4485" s="107"/>
      <c r="W4485" s="1"/>
      <c r="X4485" s="47"/>
      <c r="Y4485" s="107"/>
      <c r="Z4485" s="1"/>
      <c r="AA4485" s="47"/>
      <c r="AB4485" s="107"/>
      <c r="AC4485" s="1"/>
      <c r="AD4485" s="47"/>
      <c r="AE4485" s="107"/>
      <c r="AF4485" s="1"/>
      <c r="AG4485" s="47"/>
      <c r="AH4485" s="107"/>
      <c r="AI4485" s="1"/>
      <c r="AJ4485" s="47"/>
      <c r="AK4485" s="107"/>
      <c r="AL4485" s="1"/>
      <c r="AM4485" s="47"/>
      <c r="AN4485" s="107"/>
      <c r="AO4485" s="1"/>
      <c r="AP4485" s="47"/>
      <c r="AQ4485" s="107"/>
      <c r="AR4485" s="1"/>
      <c r="AS4485" s="47"/>
      <c r="AT4485" s="107"/>
      <c r="AU4485" s="1"/>
    </row>
    <row r="4486" spans="15:47" x14ac:dyDescent="0.25">
      <c r="O4486" s="8" t="s">
        <v>132</v>
      </c>
      <c r="P4486" s="8"/>
      <c r="Q4486" s="8"/>
      <c r="R4486" s="96">
        <f>P_1_minQ-(R4484^2*R_up)+dpup_minQ</f>
        <v>84.727762190216993</v>
      </c>
      <c r="S4486" s="106"/>
      <c r="T4486" s="22"/>
      <c r="U4486" s="96">
        <f ca="1">P_1_minQ-(U4484^2*R_up)+dpup_minQ</f>
        <v>76.185199269805494</v>
      </c>
      <c r="V4486" s="107"/>
      <c r="W4486" s="1"/>
      <c r="X4486" s="96">
        <f ca="1">P_1_minQ-(X4484^2*R_up)+dpup_minQ</f>
        <v>6.2447646461762494</v>
      </c>
      <c r="Y4486" s="107"/>
      <c r="Z4486" s="1"/>
      <c r="AA4486" s="96">
        <f ca="1">P_1_minQ-(AA4484^2*R_up)+dpup_minQ</f>
        <v>-228.25999235375684</v>
      </c>
      <c r="AB4486" s="107"/>
      <c r="AC4486" s="1"/>
      <c r="AD4486" s="96">
        <f ca="1">P_1_minQ-(AD4484^2*R_up)+dpup_minQ</f>
        <v>-806.12312414799874</v>
      </c>
      <c r="AE4486" s="107"/>
      <c r="AF4486" s="1"/>
      <c r="AG4486" s="96">
        <f ca="1">P_1_minQ-(AG4484^2*R_up)+dpup_minQ</f>
        <v>-1819.1483166780665</v>
      </c>
      <c r="AH4486" s="107"/>
      <c r="AI4486" s="1"/>
      <c r="AJ4486" s="96">
        <f ca="1">P_1_minQ-(AJ4484^2*R_up)+dpup_minQ</f>
        <v>-3310.1478743787247</v>
      </c>
      <c r="AK4486" s="107"/>
      <c r="AL4486" s="1"/>
      <c r="AM4486" s="96">
        <f ca="1">P_1_minQ-(AM4484^2*R_up)+dpup_minQ</f>
        <v>-4972.4473186040541</v>
      </c>
      <c r="AN4486" s="107"/>
      <c r="AO4486" s="1"/>
      <c r="AP4486" s="96">
        <f ca="1">P_1_minQ-(AP4484^2*R_up)+dpup_minQ</f>
        <v>-6733.4784934581958</v>
      </c>
      <c r="AQ4486" s="107"/>
      <c r="AR4486" s="1"/>
      <c r="AS4486" s="96">
        <f ca="1">P_1_minQ-(AS4484^2*R_up)+dpup_minQ</f>
        <v>-9291.947528959734</v>
      </c>
      <c r="AT4486" s="107"/>
      <c r="AU4486" s="1"/>
    </row>
    <row r="4487" spans="15:47" x14ac:dyDescent="0.25">
      <c r="O4487" s="8" t="s">
        <v>134</v>
      </c>
      <c r="P4487" s="1"/>
      <c r="Q4487" s="8"/>
      <c r="R4487" s="97">
        <f>P_2_minQ+(R4484^2*R_dn)-dpdn_minQ</f>
        <v>60</v>
      </c>
      <c r="S4487" s="106"/>
      <c r="T4487" s="22"/>
      <c r="U4487" s="97">
        <f ca="1">P_2_minQ+(U4484^2*R_dn)-dpdn_minQ</f>
        <v>60</v>
      </c>
      <c r="V4487" s="107"/>
      <c r="W4487" s="1"/>
      <c r="X4487" s="97">
        <f ca="1">P_2_minQ+(X4484^2*R_dn)-dpdn_minQ</f>
        <v>60</v>
      </c>
      <c r="Y4487" s="107"/>
      <c r="Z4487" s="1"/>
      <c r="AA4487" s="97">
        <f ca="1">P_2_minQ+(AA4484^2*R_dn)-dpdn_minQ</f>
        <v>60</v>
      </c>
      <c r="AB4487" s="107"/>
      <c r="AC4487" s="1"/>
      <c r="AD4487" s="97">
        <f ca="1">P_2_minQ+(AD4484^2*R_dn)-dpdn_minQ</f>
        <v>60</v>
      </c>
      <c r="AE4487" s="107"/>
      <c r="AF4487" s="1"/>
      <c r="AG4487" s="97">
        <f ca="1">P_2_minQ+(AG4484^2*R_dn)-dpdn_minQ</f>
        <v>60</v>
      </c>
      <c r="AH4487" s="107"/>
      <c r="AI4487" s="1"/>
      <c r="AJ4487" s="97">
        <f ca="1">P_2_minQ+(AJ4484^2*R_dn)-dpdn_minQ</f>
        <v>60</v>
      </c>
      <c r="AK4487" s="107"/>
      <c r="AL4487" s="1"/>
      <c r="AM4487" s="97">
        <f ca="1">P_2_minQ+(AM4484^2*R_dn)-dpdn_minQ</f>
        <v>60</v>
      </c>
      <c r="AN4487" s="107"/>
      <c r="AO4487" s="1"/>
      <c r="AP4487" s="97">
        <f ca="1">P_2_minQ+(AP4484^2*R_dn)-dpdn_minQ</f>
        <v>60</v>
      </c>
      <c r="AQ4487" s="107"/>
      <c r="AR4487" s="1"/>
      <c r="AS4487" s="97">
        <f ca="1">P_2_minQ+(AS4484^2*R_dn)-dpdn_minQ</f>
        <v>60</v>
      </c>
      <c r="AT4487" s="107"/>
      <c r="AU4487" s="1"/>
    </row>
    <row r="4488" spans="15:47" x14ac:dyDescent="0.25">
      <c r="O4488" s="8" t="s">
        <v>138</v>
      </c>
      <c r="P4488" s="1"/>
      <c r="Q4488" s="8"/>
      <c r="R4488" s="97">
        <f>R4486-R4487</f>
        <v>24.727762190216993</v>
      </c>
      <c r="S4488" s="106"/>
      <c r="T4488" s="22"/>
      <c r="U4488" s="97">
        <f ca="1">U4486-U4487</f>
        <v>16.185199269805494</v>
      </c>
      <c r="V4488" s="110"/>
      <c r="W4488" s="25"/>
      <c r="X4488" s="97">
        <f ca="1">X4486-X4487</f>
        <v>-53.75523535382375</v>
      </c>
      <c r="Y4488" s="110"/>
      <c r="Z4488" s="25"/>
      <c r="AA4488" s="97">
        <f ca="1">AA4486-AA4487</f>
        <v>-288.25999235375684</v>
      </c>
      <c r="AB4488" s="110"/>
      <c r="AC4488" s="25"/>
      <c r="AD4488" s="97">
        <f ca="1">AD4486-AD4487</f>
        <v>-866.12312414799874</v>
      </c>
      <c r="AE4488" s="110"/>
      <c r="AF4488" s="25"/>
      <c r="AG4488" s="97">
        <f ca="1">AG4486-AG4487</f>
        <v>-1879.1483166780665</v>
      </c>
      <c r="AH4488" s="110"/>
      <c r="AI4488" s="25"/>
      <c r="AJ4488" s="97">
        <f ca="1">AJ4486-AJ4487</f>
        <v>-3370.1478743787247</v>
      </c>
      <c r="AK4488" s="110"/>
      <c r="AL4488" s="25"/>
      <c r="AM4488" s="97">
        <f ca="1">AM4486-AM4487</f>
        <v>-5032.4473186040541</v>
      </c>
      <c r="AN4488" s="110"/>
      <c r="AO4488" s="25"/>
      <c r="AP4488" s="97">
        <f ca="1">AP4486-AP4487</f>
        <v>-6793.4784934581958</v>
      </c>
      <c r="AQ4488" s="110"/>
      <c r="AR4488" s="25"/>
      <c r="AS4488" s="97">
        <f ca="1">AS4486-AS4487</f>
        <v>-9351.947528959734</v>
      </c>
      <c r="AT4488" s="110"/>
      <c r="AU4488" s="25"/>
    </row>
    <row r="4489" spans="15:47" ht="14.4" x14ac:dyDescent="0.3">
      <c r="O4489" s="2" t="s">
        <v>140</v>
      </c>
      <c r="P4489" s="11"/>
      <c r="Q4489" s="2"/>
      <c r="R4489" s="96">
        <f>R4488/R4486</f>
        <v>0.29184958449276921</v>
      </c>
      <c r="S4489" s="106"/>
      <c r="T4489" s="22"/>
      <c r="U4489" s="96">
        <f ca="1">U4488/U4486</f>
        <v>0.21244545429994274</v>
      </c>
      <c r="V4489" s="111"/>
      <c r="W4489" s="28"/>
      <c r="X4489" s="96">
        <f ca="1">X4488/X4486</f>
        <v>-8.6080482451390345</v>
      </c>
      <c r="Y4489" s="111"/>
      <c r="Z4489" s="28"/>
      <c r="AA4489" s="96">
        <f ca="1">AA4488/AA4486</f>
        <v>1.2628581530267122</v>
      </c>
      <c r="AB4489" s="111"/>
      <c r="AC4489" s="28"/>
      <c r="AD4489" s="96">
        <f ca="1">AD4488/AD4486</f>
        <v>1.0744303174076724</v>
      </c>
      <c r="AE4489" s="111"/>
      <c r="AF4489" s="28"/>
      <c r="AG4489" s="96">
        <f ca="1">AG4488/AG4486</f>
        <v>1.0329824673721852</v>
      </c>
      <c r="AH4489" s="111"/>
      <c r="AI4489" s="28"/>
      <c r="AJ4489" s="96">
        <f ca="1">AJ4488/AJ4486</f>
        <v>1.0181260784342636</v>
      </c>
      <c r="AK4489" s="111"/>
      <c r="AL4489" s="28"/>
      <c r="AM4489" s="96">
        <f ca="1">AM4488/AM4486</f>
        <v>1.0120664928465937</v>
      </c>
      <c r="AN4489" s="111"/>
      <c r="AO4489" s="28"/>
      <c r="AP4489" s="96">
        <f ca="1">AP4488/AP4486</f>
        <v>1.0089106989883894</v>
      </c>
      <c r="AQ4489" s="111"/>
      <c r="AR4489" s="28"/>
      <c r="AS4489" s="96">
        <f ca="1">AS4488/AS4486</f>
        <v>1.0064572039190924</v>
      </c>
      <c r="AT4489" s="111"/>
      <c r="AU4489" s="28"/>
    </row>
    <row r="4490" spans="15:47" x14ac:dyDescent="0.25">
      <c r="O4490" s="2" t="s">
        <v>21</v>
      </c>
      <c r="P4490" s="8">
        <v>12</v>
      </c>
      <c r="Q4490" s="2"/>
      <c r="R4490" s="96">
        <f ca="1">1-R4489/(3*F_GAMMA*R$29)</f>
        <v>0.84800206114055177</v>
      </c>
      <c r="S4490" s="106"/>
      <c r="T4490" s="22"/>
      <c r="U4490" s="96">
        <f ca="1">1-U4489/(3*F_GAMMA*U$29)</f>
        <v>0.8893821641655919</v>
      </c>
      <c r="V4490" s="111"/>
      <c r="W4490" s="28"/>
      <c r="X4490" s="96">
        <f ca="1">1-X4489/(3*F_GAMMA*X$29)</f>
        <v>5.5247975663714692</v>
      </c>
      <c r="Y4490" s="111"/>
      <c r="Z4490" s="28"/>
      <c r="AA4490" s="96">
        <f ca="1">1-AA4489/(3*F_GAMMA*AA$29)</f>
        <v>0.3268247523284884</v>
      </c>
      <c r="AB4490" s="111"/>
      <c r="AC4490" s="28"/>
      <c r="AD4490" s="96">
        <f ca="1">1-AD4489/(3*F_GAMMA*AD$29)</f>
        <v>0.40950468046487554</v>
      </c>
      <c r="AE4490" s="111"/>
      <c r="AF4490" s="28"/>
      <c r="AG4490" s="96">
        <f ca="1">1-AG4489/(3*F_GAMMA*AG$29)</f>
        <v>0.39821750292323699</v>
      </c>
      <c r="AH4490" s="111"/>
      <c r="AI4490" s="28"/>
      <c r="AJ4490" s="96">
        <f ca="1">1-AJ4489/(3*F_GAMMA*AJ$29)</f>
        <v>0.36187586287395213</v>
      </c>
      <c r="AK4490" s="111"/>
      <c r="AL4490" s="28"/>
      <c r="AM4490" s="96">
        <f ca="1">1-AM4489/(3*F_GAMMA*AM$29)</f>
        <v>0.2907710070323426</v>
      </c>
      <c r="AN4490" s="111"/>
      <c r="AO4490" s="28"/>
      <c r="AP4490" s="96">
        <f ca="1">1-AP4489/(3*F_GAMMA*AP$29)</f>
        <v>0.43051670499364936</v>
      </c>
      <c r="AQ4490" s="111"/>
      <c r="AR4490" s="28"/>
      <c r="AS4490" s="96">
        <f ca="1">1-AS4489/(3*F_GAMMA*AS$29)</f>
        <v>0.10938497344777587</v>
      </c>
      <c r="AT4490" s="111"/>
      <c r="AU4490" s="28"/>
    </row>
    <row r="4491" spans="15:47" x14ac:dyDescent="0.25">
      <c r="O4491" s="2" t="s">
        <v>57</v>
      </c>
      <c r="P4491" s="143">
        <v>7</v>
      </c>
      <c r="Q4491" s="2"/>
      <c r="R4491" s="96">
        <f ca="1">(R4484/(N_9*R$27*R4486*R4490))*SQRT(M*'Valve Sizing'!$W$6*'Valve Sizing'!$G$8/R4489)</f>
        <v>77.557738045647383</v>
      </c>
      <c r="S4491" s="107"/>
      <c r="T4491" s="22"/>
      <c r="U4491" s="96">
        <f ca="1">(U4484/(N_9*U$27*U4486*U4490))*SQRT(M*'Valve Sizing'!$W$6*'Valve Sizing'!$G$8/U4489)</f>
        <v>154.4909131482483</v>
      </c>
      <c r="V4491" s="111"/>
      <c r="W4491" s="28"/>
      <c r="X4491" s="96" t="e">
        <f ca="1">(X4484/(N_9*X$27*X4486*X4490))*SQRT(M*'Valve Sizing'!$W$6*'Valve Sizing'!$G$8/X4489)</f>
        <v>#NUM!</v>
      </c>
      <c r="Y4491" s="111"/>
      <c r="Z4491" s="28"/>
      <c r="AA4491" s="96">
        <f ca="1">(AA4484/(N_9*AA$27*AA4486*AA4490))*SQRT(M*'Valve Sizing'!$W$6*'Valve Sizing'!$G$8/AA4489)</f>
        <v>-276.74995748586753</v>
      </c>
      <c r="AB4491" s="111"/>
      <c r="AC4491" s="28"/>
      <c r="AD4491" s="96">
        <f ca="1">(AD4484/(N_9*AD$27*AD4486*AD4490))*SQRT(M*'Valve Sizing'!$W$6*'Valve Sizing'!$G$8/AD4489)</f>
        <v>-115.16448167716132</v>
      </c>
      <c r="AE4491" s="111"/>
      <c r="AF4491" s="28"/>
      <c r="AG4491" s="96">
        <f ca="1">(AG4484/(N_9*AG$27*AG4486*AG4490))*SQRT(M*'Valve Sizing'!$W$6*'Valve Sizing'!$G$8/AG4489)</f>
        <v>-79.87493583014006</v>
      </c>
      <c r="AH4491" s="111"/>
      <c r="AI4491" s="28"/>
      <c r="AJ4491" s="96">
        <f ca="1">(AJ4484/(N_9*AJ$27*AJ4486*AJ4490))*SQRT(M*'Valve Sizing'!$W$6*'Valve Sizing'!$G$8/AJ4489)</f>
        <v>-67.279156351576688</v>
      </c>
      <c r="AK4491" s="111"/>
      <c r="AL4491" s="28"/>
      <c r="AM4491" s="96">
        <f ca="1">(AM4484/(N_9*AM$27*AM4486*AM4490))*SQRT(M*'Valve Sizing'!$W$6*'Valve Sizing'!$G$8/AM4489)</f>
        <v>-72.378350865193582</v>
      </c>
      <c r="AN4491" s="111"/>
      <c r="AO4491" s="28"/>
      <c r="AP4491" s="96">
        <f ca="1">(AP4484/(N_9*AP$27*AP4486*AP4490))*SQRT(M*'Valve Sizing'!$W$6*'Valve Sizing'!$G$8/AP4489)</f>
        <v>-47.776652989778675</v>
      </c>
      <c r="AQ4491" s="111"/>
      <c r="AR4491" s="28"/>
      <c r="AS4491" s="96">
        <f ca="1">(AS4484/(N_9*AS$27*AS4486*AS4490))*SQRT(M*'Valve Sizing'!$W$6*'Valve Sizing'!$G$8/AS4489)</f>
        <v>-214.2685842606827</v>
      </c>
      <c r="AT4491" s="111"/>
      <c r="AU4491" s="28"/>
    </row>
    <row r="4492" spans="15:47" x14ac:dyDescent="0.25">
      <c r="O4492" s="2" t="s">
        <v>59</v>
      </c>
      <c r="P4492" s="143">
        <v>7</v>
      </c>
      <c r="Q4492" s="2"/>
      <c r="R4492" s="96">
        <f ca="1">(R4484/(N_9*R$27*R4486*0.667))*SQRT(M*'Valve Sizing'!$W$6*'Valve Sizing'!$G$8/R4493)</f>
        <v>66.584889780739957</v>
      </c>
      <c r="S4492" s="107"/>
      <c r="T4492" s="22"/>
      <c r="U4492" s="96">
        <f ca="1">(U4484/(N_9*U$27*U4486*0.667))*SQRT(M*'Valve Sizing'!$W$6*'Valve Sizing'!$G$8/U4493)</f>
        <v>118.66939497237482</v>
      </c>
      <c r="V4492" s="111"/>
      <c r="W4492" s="28"/>
      <c r="X4492" s="96">
        <f ca="1">(X4484/(N_9*X$27*X4486*0.667))*SQRT(M*'Valve Sizing'!$W$6*'Valve Sizing'!$G$8/X4493)</f>
        <v>3570.0465165416649</v>
      </c>
      <c r="Y4492" s="111"/>
      <c r="Z4492" s="28"/>
      <c r="AA4492" s="96">
        <f ca="1">(AA4484/(N_9*AA$27*AA4486*0.667))*SQRT(M*'Valve Sizing'!$W$6*'Valve Sizing'!$G$8/AA4493)</f>
        <v>-192.70871984363714</v>
      </c>
      <c r="AB4492" s="111"/>
      <c r="AC4492" s="28"/>
      <c r="AD4492" s="96">
        <f ca="1">(AD4484/(N_9*AD$27*AD4486*0.667))*SQRT(M*'Valve Sizing'!$W$6*'Valve Sizing'!$G$8/AD4493)</f>
        <v>-94.106679632307518</v>
      </c>
      <c r="AE4492" s="111"/>
      <c r="AF4492" s="28"/>
      <c r="AG4492" s="96">
        <f ca="1">(AG4484/(N_9*AG$27*AG4486*0.667))*SQRT(M*'Valve Sizing'!$W$6*'Valve Sizing'!$G$8/AG4493)</f>
        <v>-64.074531069456569</v>
      </c>
      <c r="AH4492" s="111"/>
      <c r="AI4492" s="28"/>
      <c r="AJ4492" s="96">
        <f ca="1">(AJ4484/(N_9*AJ$27*AJ4486*0.667))*SQRT(M*'Valve Sizing'!$W$6*'Valve Sizing'!$G$8/AJ4493)</f>
        <v>-50.504204300171814</v>
      </c>
      <c r="AK4492" s="111"/>
      <c r="AL4492" s="28"/>
      <c r="AM4492" s="96">
        <f ca="1">(AM4484/(N_9*AM$27*AM4486*0.667))*SQRT(M*'Valve Sizing'!$W$6*'Valve Sizing'!$G$8/AM4493)</f>
        <v>-46.024366357785667</v>
      </c>
      <c r="AN4492" s="111"/>
      <c r="AO4492" s="28"/>
      <c r="AP4492" s="96">
        <f ca="1">(AP4484/(N_9*AP$27*AP4486*0.667))*SQRT(M*'Valve Sizing'!$W$6*'Valve Sizing'!$G$8/AP4493)</f>
        <v>-40.307050321894906</v>
      </c>
      <c r="AQ4492" s="111"/>
      <c r="AR4492" s="28"/>
      <c r="AS4492" s="96">
        <f ca="1">(AS4484/(N_9*AS$27*AS4486*0.667))*SQRT(M*'Valve Sizing'!$W$6*'Valve Sizing'!$G$8/AS4493)</f>
        <v>-57.437558151573633</v>
      </c>
      <c r="AT4492" s="111"/>
      <c r="AU4492" s="28"/>
    </row>
    <row r="4493" spans="15:47" ht="15.6" x14ac:dyDescent="0.35">
      <c r="O4493" s="2" t="s">
        <v>68</v>
      </c>
      <c r="P4493" s="143">
        <v>10</v>
      </c>
      <c r="Q4493" s="2"/>
      <c r="R4493" s="96">
        <f ca="1">F_GAMMA*R$29</f>
        <v>0.64002969751372984</v>
      </c>
      <c r="S4493" s="107"/>
      <c r="T4493" s="1"/>
      <c r="U4493" s="96">
        <f ca="1">F_GAMMA*U$29</f>
        <v>0.64017842058782071</v>
      </c>
      <c r="V4493" s="111"/>
      <c r="W4493" s="28"/>
      <c r="X4493" s="96">
        <f ca="1">F_GAMMA*X$29</f>
        <v>0.63413873724904268</v>
      </c>
      <c r="Y4493" s="111"/>
      <c r="Z4493" s="28"/>
      <c r="AA4493" s="96">
        <f ca="1">F_GAMMA*AA$29</f>
        <v>0.62532411750377137</v>
      </c>
      <c r="AB4493" s="111"/>
      <c r="AC4493" s="28"/>
      <c r="AD4493" s="96">
        <f ca="1">F_GAMMA*AD$29</f>
        <v>0.60651359509139569</v>
      </c>
      <c r="AE4493" s="111"/>
      <c r="AF4493" s="28"/>
      <c r="AG4493" s="96">
        <f ca="1">F_GAMMA*AG$29</f>
        <v>0.57217930198481592</v>
      </c>
      <c r="AH4493" s="111"/>
      <c r="AI4493" s="28"/>
      <c r="AJ4493" s="96">
        <f ca="1">F_GAMMA*AJ$29</f>
        <v>0.53183282018848232</v>
      </c>
      <c r="AK4493" s="111"/>
      <c r="AL4493" s="28"/>
      <c r="AM4493" s="96">
        <f ca="1">F_GAMMA*AM$29</f>
        <v>0.47566512503094399</v>
      </c>
      <c r="AN4493" s="111"/>
      <c r="AO4493" s="28"/>
      <c r="AP4493" s="96">
        <f ca="1">F_GAMMA*AP$29</f>
        <v>0.59054158265645496</v>
      </c>
      <c r="AQ4493" s="111"/>
      <c r="AR4493" s="28"/>
      <c r="AS4493" s="96">
        <f ca="1">F_GAMMA*AS$29</f>
        <v>0.3766899554102966</v>
      </c>
      <c r="AT4493" s="111"/>
      <c r="AU4493" s="28"/>
    </row>
    <row r="4494" spans="15:47" x14ac:dyDescent="0.25">
      <c r="O4494" s="2" t="s">
        <v>145</v>
      </c>
      <c r="P4494" s="12"/>
      <c r="Q4494" s="2"/>
      <c r="R4494" s="96">
        <f ca="1">IF(R4489&lt;R4493,R4491,R4492)</f>
        <v>77.557738045647383</v>
      </c>
      <c r="S4494" s="116"/>
      <c r="T4494" s="1"/>
      <c r="U4494" s="96">
        <f ca="1">IF(U4489&lt;U4493,U4491,U4492)</f>
        <v>154.4909131482483</v>
      </c>
      <c r="V4494" s="111"/>
      <c r="W4494" s="28"/>
      <c r="X4494" s="96" t="e">
        <f ca="1">IF(X4489&lt;X4493,X4491,X4492)</f>
        <v>#NUM!</v>
      </c>
      <c r="Y4494" s="111"/>
      <c r="Z4494" s="28"/>
      <c r="AA4494" s="96">
        <f ca="1">IF(AA4489&lt;AA4493,AA4491,AA4492)</f>
        <v>-192.70871984363714</v>
      </c>
      <c r="AB4494" s="111"/>
      <c r="AC4494" s="28"/>
      <c r="AD4494" s="96">
        <f ca="1">IF(AD4489&lt;AD4493,AD4491,AD4492)</f>
        <v>-94.106679632307518</v>
      </c>
      <c r="AE4494" s="111"/>
      <c r="AF4494" s="28"/>
      <c r="AG4494" s="96">
        <f ca="1">IF(AG4489&lt;AG4493,AG4491,AG4492)</f>
        <v>-64.074531069456569</v>
      </c>
      <c r="AH4494" s="111"/>
      <c r="AI4494" s="28"/>
      <c r="AJ4494" s="96">
        <f ca="1">IF(AJ4489&lt;AJ4493,AJ4491,AJ4492)</f>
        <v>-50.504204300171814</v>
      </c>
      <c r="AK4494" s="111"/>
      <c r="AL4494" s="28"/>
      <c r="AM4494" s="96">
        <f ca="1">IF(AM4489&lt;AM4493,AM4491,AM4492)</f>
        <v>-46.024366357785667</v>
      </c>
      <c r="AN4494" s="111"/>
      <c r="AO4494" s="28"/>
      <c r="AP4494" s="96">
        <f ca="1">IF(AP4489&lt;AP4493,AP4491,AP4492)</f>
        <v>-40.307050321894906</v>
      </c>
      <c r="AQ4494" s="111"/>
      <c r="AR4494" s="28"/>
      <c r="AS4494" s="96">
        <f ca="1">IF(AS4489&lt;AS4493,AS4491,AS4492)</f>
        <v>-57.437558151573633</v>
      </c>
      <c r="AT4494" s="111"/>
      <c r="AU4494" s="28"/>
    </row>
    <row r="4495" spans="15:47" x14ac:dyDescent="0.25">
      <c r="O4495" s="13" t="s">
        <v>143</v>
      </c>
      <c r="P4495" s="1"/>
      <c r="Q4495" s="1"/>
      <c r="R4495" s="113"/>
      <c r="S4495" s="106">
        <f ca="1">IF(R4488&lt;=0,Q_max,ABS(R$23-R4494))</f>
        <v>72.827738045647379</v>
      </c>
      <c r="T4495" s="7">
        <f>R4484</f>
        <v>173037.91913033454</v>
      </c>
      <c r="U4495" s="98"/>
      <c r="V4495" s="106">
        <f ca="1">IF(U4488&lt;=0,Q_max,ABS(U$23-U4494))</f>
        <v>142.8909131482483</v>
      </c>
      <c r="W4495" s="9">
        <f ca="1">U4484</f>
        <v>277149.93885123049</v>
      </c>
      <c r="X4495" s="98"/>
      <c r="Y4495" s="106">
        <f ca="1">IF(X4488&lt;=0,Q_max,ABS(X$23-X4494))</f>
        <v>236393</v>
      </c>
      <c r="Z4495" s="9">
        <f ca="1">X4484</f>
        <v>678638.3960479513</v>
      </c>
      <c r="AA4495" s="98"/>
      <c r="AB4495" s="106">
        <f ca="1">IF(AA4488&lt;=0,Q_max,ABS(AA$23-AA4494))</f>
        <v>236393</v>
      </c>
      <c r="AC4495" s="9">
        <f ca="1">AA4484</f>
        <v>1321814.3761634978</v>
      </c>
      <c r="AD4495" s="98"/>
      <c r="AE4495" s="106">
        <f ca="1">IF(AD4488&lt;=0,Q_max,ABS(AD$23-AD4494))</f>
        <v>236393</v>
      </c>
      <c r="AF4495" s="9">
        <f ca="1">AD4484</f>
        <v>2217593.3351199529</v>
      </c>
      <c r="AG4495" s="98"/>
      <c r="AH4495" s="106">
        <f ca="1">IF(AG4488&lt;=0,Q_max,ABS(AG$23-AG4494))</f>
        <v>236393</v>
      </c>
      <c r="AI4495" s="9">
        <f ca="1">AG4484</f>
        <v>3236637.8712940379</v>
      </c>
      <c r="AJ4495" s="98"/>
      <c r="AK4495" s="106">
        <f ca="1">IF(AJ4488&lt;=0,Q_max,ABS(AJ$23-AJ4494))</f>
        <v>236393</v>
      </c>
      <c r="AL4495" s="9">
        <f ca="1">AJ4484</f>
        <v>4319305.7862862125</v>
      </c>
      <c r="AM4495" s="98"/>
      <c r="AN4495" s="106">
        <f ca="1">IF(AM4488&lt;=0,Q_max,ABS(AM$23-AM4494))</f>
        <v>236393</v>
      </c>
      <c r="AO4495" s="9">
        <f ca="1">AM4484</f>
        <v>5270373.8999160612</v>
      </c>
      <c r="AP4495" s="98"/>
      <c r="AQ4495" s="106">
        <f ca="1">IF(AP4488&lt;=0,Q_max,ABS(AP$23-AP4494))</f>
        <v>236393</v>
      </c>
      <c r="AR4495" s="9">
        <f ca="1">AP4484</f>
        <v>6118740.480994856</v>
      </c>
      <c r="AS4495" s="98"/>
      <c r="AT4495" s="106">
        <f ca="1">IF(AS4488&lt;=0,Q_max,ABS(AS$23-AS4494))</f>
        <v>236393</v>
      </c>
      <c r="AU4495" s="9">
        <f ca="1">AS4484</f>
        <v>7174704.4218447292</v>
      </c>
    </row>
    <row r="4496" spans="15:47" x14ac:dyDescent="0.25">
      <c r="O4496" s="21"/>
      <c r="P4496" s="14"/>
      <c r="Q4496" s="21"/>
      <c r="R4496" s="97"/>
      <c r="S4496" s="106"/>
      <c r="T4496" s="28"/>
      <c r="U4496" s="97"/>
      <c r="V4496" s="111"/>
      <c r="W4496" s="28"/>
      <c r="X4496" s="97"/>
      <c r="Y4496" s="111"/>
      <c r="Z4496" s="28"/>
      <c r="AA4496" s="97"/>
      <c r="AB4496" s="111"/>
      <c r="AC4496" s="28"/>
      <c r="AD4496" s="97"/>
      <c r="AE4496" s="111"/>
      <c r="AF4496" s="28"/>
      <c r="AG4496" s="97"/>
      <c r="AH4496" s="111"/>
      <c r="AI4496" s="28"/>
      <c r="AJ4496" s="97"/>
      <c r="AK4496" s="111"/>
      <c r="AL4496" s="28"/>
      <c r="AM4496" s="97"/>
      <c r="AN4496" s="111"/>
      <c r="AO4496" s="28"/>
      <c r="AP4496" s="97"/>
      <c r="AQ4496" s="111"/>
      <c r="AR4496" s="28"/>
      <c r="AS4496" s="97"/>
      <c r="AT4496" s="111"/>
      <c r="AU4496" s="28"/>
    </row>
    <row r="4497" spans="15:47" x14ac:dyDescent="0.25">
      <c r="O4497" s="1"/>
      <c r="P4497" s="1"/>
      <c r="Q4497" s="1"/>
      <c r="R4497" s="98"/>
      <c r="S4497" s="108" t="s">
        <v>137</v>
      </c>
      <c r="T4497" s="26" t="s">
        <v>146</v>
      </c>
      <c r="U4497" s="98"/>
      <c r="V4497" s="108" t="s">
        <v>137</v>
      </c>
      <c r="W4497" s="26" t="s">
        <v>146</v>
      </c>
      <c r="X4497" s="98"/>
      <c r="Y4497" s="108" t="s">
        <v>137</v>
      </c>
      <c r="Z4497" s="26" t="s">
        <v>146</v>
      </c>
      <c r="AA4497" s="98"/>
      <c r="AB4497" s="108" t="s">
        <v>137</v>
      </c>
      <c r="AC4497" s="26" t="s">
        <v>146</v>
      </c>
      <c r="AD4497" s="98"/>
      <c r="AE4497" s="108" t="s">
        <v>137</v>
      </c>
      <c r="AF4497" s="26" t="s">
        <v>146</v>
      </c>
      <c r="AG4497" s="98"/>
      <c r="AH4497" s="108" t="s">
        <v>137</v>
      </c>
      <c r="AI4497" s="26" t="s">
        <v>146</v>
      </c>
      <c r="AJ4497" s="98"/>
      <c r="AK4497" s="108" t="s">
        <v>137</v>
      </c>
      <c r="AL4497" s="26" t="s">
        <v>146</v>
      </c>
      <c r="AM4497" s="98"/>
      <c r="AN4497" s="108" t="s">
        <v>137</v>
      </c>
      <c r="AO4497" s="26" t="s">
        <v>146</v>
      </c>
      <c r="AP4497" s="98"/>
      <c r="AQ4497" s="108" t="s">
        <v>137</v>
      </c>
      <c r="AR4497" s="26" t="s">
        <v>146</v>
      </c>
      <c r="AS4497" s="98"/>
      <c r="AT4497" s="108" t="s">
        <v>137</v>
      </c>
      <c r="AU4497" s="26" t="s">
        <v>146</v>
      </c>
    </row>
    <row r="4498" spans="15:47" ht="13.8" x14ac:dyDescent="0.25">
      <c r="O4498" s="20" t="s">
        <v>136</v>
      </c>
      <c r="P4498" s="1"/>
      <c r="Q4498" s="1"/>
      <c r="R4498" s="96">
        <f>R4484*1.02</f>
        <v>176498.67751294124</v>
      </c>
      <c r="S4498" s="109" t="s">
        <v>144</v>
      </c>
      <c r="T4498" s="23" t="s">
        <v>147</v>
      </c>
      <c r="U4498" s="96">
        <f ca="1">U4484*1.01</f>
        <v>279921.43823974277</v>
      </c>
      <c r="V4498" s="109" t="s">
        <v>144</v>
      </c>
      <c r="W4498" s="23" t="s">
        <v>147</v>
      </c>
      <c r="X4498" s="96">
        <f ca="1">X4484*1.01</f>
        <v>685424.78000843083</v>
      </c>
      <c r="Y4498" s="109" t="s">
        <v>144</v>
      </c>
      <c r="Z4498" s="23" t="s">
        <v>147</v>
      </c>
      <c r="AA4498" s="96">
        <f ca="1">AA4484*1.01</f>
        <v>1335032.5199251329</v>
      </c>
      <c r="AB4498" s="109" t="s">
        <v>144</v>
      </c>
      <c r="AC4498" s="23" t="s">
        <v>147</v>
      </c>
      <c r="AD4498" s="96">
        <f ca="1">AD4484*1.01</f>
        <v>2239769.2684711525</v>
      </c>
      <c r="AE4498" s="109" t="s">
        <v>144</v>
      </c>
      <c r="AF4498" s="23" t="s">
        <v>147</v>
      </c>
      <c r="AG4498" s="96">
        <f ca="1">AG4484*1.01</f>
        <v>3269004.2500069784</v>
      </c>
      <c r="AH4498" s="109" t="s">
        <v>144</v>
      </c>
      <c r="AI4498" s="23" t="s">
        <v>147</v>
      </c>
      <c r="AJ4498" s="96">
        <f ca="1">AJ4484*1.01</f>
        <v>4362498.8441490745</v>
      </c>
      <c r="AK4498" s="109" t="s">
        <v>144</v>
      </c>
      <c r="AL4498" s="23" t="s">
        <v>147</v>
      </c>
      <c r="AM4498" s="96">
        <f ca="1">AM4484*1.01</f>
        <v>5323077.6389152221</v>
      </c>
      <c r="AN4498" s="109" t="s">
        <v>144</v>
      </c>
      <c r="AO4498" s="23" t="s">
        <v>147</v>
      </c>
      <c r="AP4498" s="96">
        <f ca="1">AP4484*1.01</f>
        <v>6179927.885804805</v>
      </c>
      <c r="AQ4498" s="109" t="s">
        <v>144</v>
      </c>
      <c r="AR4498" s="23" t="s">
        <v>147</v>
      </c>
      <c r="AS4498" s="96">
        <f ca="1">AS4484*1.01</f>
        <v>7246451.4660631763</v>
      </c>
      <c r="AT4498" s="109" t="s">
        <v>144</v>
      </c>
      <c r="AU4498" s="23" t="s">
        <v>147</v>
      </c>
    </row>
    <row r="4499" spans="15:47" x14ac:dyDescent="0.25">
      <c r="O4499" s="1"/>
      <c r="P4499" s="1"/>
      <c r="Q4499" s="1"/>
      <c r="R4499" s="98"/>
      <c r="S4499" s="107"/>
      <c r="T4499" s="1"/>
      <c r="U4499" s="47"/>
      <c r="V4499" s="107"/>
      <c r="W4499" s="1"/>
      <c r="X4499" s="47"/>
      <c r="Y4499" s="107"/>
      <c r="Z4499" s="1"/>
      <c r="AA4499" s="47"/>
      <c r="AB4499" s="107"/>
      <c r="AC4499" s="1"/>
      <c r="AD4499" s="47"/>
      <c r="AE4499" s="107"/>
      <c r="AF4499" s="1"/>
      <c r="AG4499" s="47"/>
      <c r="AH4499" s="107"/>
      <c r="AI4499" s="1"/>
      <c r="AJ4499" s="47"/>
      <c r="AK4499" s="107"/>
      <c r="AL4499" s="1"/>
      <c r="AM4499" s="47"/>
      <c r="AN4499" s="107"/>
      <c r="AO4499" s="1"/>
      <c r="AP4499" s="47"/>
      <c r="AQ4499" s="107"/>
      <c r="AR4499" s="1"/>
      <c r="AS4499" s="47"/>
      <c r="AT4499" s="107"/>
      <c r="AU4499" s="1"/>
    </row>
    <row r="4500" spans="15:47" x14ac:dyDescent="0.25">
      <c r="O4500" s="8" t="s">
        <v>132</v>
      </c>
      <c r="P4500" s="8"/>
      <c r="Q4500" s="8"/>
      <c r="R4500" s="96">
        <f>P_1_minQ-(R4498^2*R_up)+dpup_minQ</f>
        <v>84.507288145279446</v>
      </c>
      <c r="S4500" s="106"/>
      <c r="T4500" s="22"/>
      <c r="U4500" s="96">
        <f ca="1">P_1_minQ-(U4498^2*R_up)+dpup_minQ</f>
        <v>75.903802460470445</v>
      </c>
      <c r="V4500" s="107"/>
      <c r="W4500" s="1"/>
      <c r="X4500" s="96">
        <f ca="1">P_1_minQ-(X4498^2*R_up)+dpup_minQ</f>
        <v>4.5575651009062588</v>
      </c>
      <c r="Y4500" s="107"/>
      <c r="Z4500" s="1"/>
      <c r="AA4500" s="96">
        <f ca="1">P_1_minQ-(AA4498^2*R_up)+dpup_minQ</f>
        <v>-234.66073751472555</v>
      </c>
      <c r="AB4500" s="107"/>
      <c r="AC4500" s="1"/>
      <c r="AD4500" s="96">
        <f ca="1">P_1_minQ-(AD4498^2*R_up)+dpup_minQ</f>
        <v>-824.13891825803171</v>
      </c>
      <c r="AE4500" s="107"/>
      <c r="AF4500" s="1"/>
      <c r="AG4500" s="96">
        <f ca="1">P_1_minQ-(AG4498^2*R_up)+dpup_minQ</f>
        <v>-1857.5259171579542</v>
      </c>
      <c r="AH4500" s="107"/>
      <c r="AI4500" s="1"/>
      <c r="AJ4500" s="96">
        <f ca="1">P_1_minQ-(AJ4498^2*R_up)+dpup_minQ</f>
        <v>-3378.4945659683954</v>
      </c>
      <c r="AK4500" s="107"/>
      <c r="AL4500" s="1"/>
      <c r="AM4500" s="96">
        <f ca="1">P_1_minQ-(AM4498^2*R_up)+dpup_minQ</f>
        <v>-5074.206229022654</v>
      </c>
      <c r="AN4500" s="107"/>
      <c r="AO4500" s="1"/>
      <c r="AP4500" s="96">
        <f ca="1">P_1_minQ-(AP4498^2*R_up)+dpup_minQ</f>
        <v>-6870.6341304913631</v>
      </c>
      <c r="AQ4500" s="107"/>
      <c r="AR4500" s="1"/>
      <c r="AS4500" s="96">
        <f ca="1">P_1_minQ-(AS4498^2*R_up)+dpup_minQ</f>
        <v>-9480.5283936064807</v>
      </c>
      <c r="AT4500" s="107"/>
      <c r="AU4500" s="1"/>
    </row>
    <row r="4501" spans="15:47" x14ac:dyDescent="0.25">
      <c r="O4501" s="8" t="s">
        <v>134</v>
      </c>
      <c r="P4501" s="1"/>
      <c r="Q4501" s="8"/>
      <c r="R4501" s="97">
        <f>P_2_minQ+(R4498^2*R_dn)-dpdn_minQ</f>
        <v>60</v>
      </c>
      <c r="S4501" s="106"/>
      <c r="T4501" s="22"/>
      <c r="U4501" s="97">
        <f ca="1">P_2_minQ+(U4498^2*R_dn)-dpdn_minQ</f>
        <v>60</v>
      </c>
      <c r="V4501" s="107"/>
      <c r="W4501" s="1"/>
      <c r="X4501" s="97">
        <f ca="1">P_2_minQ+(X4498^2*R_dn)-dpdn_minQ</f>
        <v>60</v>
      </c>
      <c r="Y4501" s="107"/>
      <c r="Z4501" s="1"/>
      <c r="AA4501" s="97">
        <f ca="1">P_2_minQ+(AA4498^2*R_dn)-dpdn_minQ</f>
        <v>60</v>
      </c>
      <c r="AB4501" s="107"/>
      <c r="AC4501" s="1"/>
      <c r="AD4501" s="97">
        <f ca="1">P_2_minQ+(AD4498^2*R_dn)-dpdn_minQ</f>
        <v>60</v>
      </c>
      <c r="AE4501" s="107"/>
      <c r="AF4501" s="1"/>
      <c r="AG4501" s="97">
        <f ca="1">P_2_minQ+(AG4498^2*R_dn)-dpdn_minQ</f>
        <v>60</v>
      </c>
      <c r="AH4501" s="107"/>
      <c r="AI4501" s="1"/>
      <c r="AJ4501" s="97">
        <f ca="1">P_2_minQ+(AJ4498^2*R_dn)-dpdn_minQ</f>
        <v>60</v>
      </c>
      <c r="AK4501" s="107"/>
      <c r="AL4501" s="1"/>
      <c r="AM4501" s="97">
        <f ca="1">P_2_minQ+(AM4498^2*R_dn)-dpdn_minQ</f>
        <v>60</v>
      </c>
      <c r="AN4501" s="107"/>
      <c r="AO4501" s="1"/>
      <c r="AP4501" s="97">
        <f ca="1">P_2_minQ+(AP4498^2*R_dn)-dpdn_minQ</f>
        <v>60</v>
      </c>
      <c r="AQ4501" s="107"/>
      <c r="AR4501" s="1"/>
      <c r="AS4501" s="97">
        <f ca="1">P_2_minQ+(AS4498^2*R_dn)-dpdn_minQ</f>
        <v>60</v>
      </c>
      <c r="AT4501" s="107"/>
      <c r="AU4501" s="1"/>
    </row>
    <row r="4502" spans="15:47" x14ac:dyDescent="0.25">
      <c r="O4502" s="8" t="s">
        <v>138</v>
      </c>
      <c r="P4502" s="1"/>
      <c r="Q4502" s="8"/>
      <c r="R4502" s="97">
        <f>R4500-R4501</f>
        <v>24.507288145279446</v>
      </c>
      <c r="S4502" s="106"/>
      <c r="T4502" s="22"/>
      <c r="U4502" s="97">
        <f ca="1">U4500-U4501</f>
        <v>15.903802460470445</v>
      </c>
      <c r="V4502" s="110"/>
      <c r="W4502" s="25"/>
      <c r="X4502" s="97">
        <f ca="1">X4500-X4501</f>
        <v>-55.44243489909374</v>
      </c>
      <c r="Y4502" s="110"/>
      <c r="Z4502" s="25"/>
      <c r="AA4502" s="97">
        <f ca="1">AA4500-AA4501</f>
        <v>-294.66073751472555</v>
      </c>
      <c r="AB4502" s="110"/>
      <c r="AC4502" s="25"/>
      <c r="AD4502" s="97">
        <f ca="1">AD4500-AD4501</f>
        <v>-884.13891825803171</v>
      </c>
      <c r="AE4502" s="110"/>
      <c r="AF4502" s="25"/>
      <c r="AG4502" s="97">
        <f ca="1">AG4500-AG4501</f>
        <v>-1917.5259171579542</v>
      </c>
      <c r="AH4502" s="110"/>
      <c r="AI4502" s="25"/>
      <c r="AJ4502" s="97">
        <f ca="1">AJ4500-AJ4501</f>
        <v>-3438.4945659683954</v>
      </c>
      <c r="AK4502" s="110"/>
      <c r="AL4502" s="25"/>
      <c r="AM4502" s="97">
        <f ca="1">AM4500-AM4501</f>
        <v>-5134.206229022654</v>
      </c>
      <c r="AN4502" s="110"/>
      <c r="AO4502" s="25"/>
      <c r="AP4502" s="97">
        <f ca="1">AP4500-AP4501</f>
        <v>-6930.6341304913631</v>
      </c>
      <c r="AQ4502" s="110"/>
      <c r="AR4502" s="25"/>
      <c r="AS4502" s="97">
        <f ca="1">AS4500-AS4501</f>
        <v>-9540.5283936064807</v>
      </c>
      <c r="AT4502" s="110"/>
      <c r="AU4502" s="25"/>
    </row>
    <row r="4503" spans="15:47" ht="14.4" x14ac:dyDescent="0.3">
      <c r="O4503" s="2" t="s">
        <v>140</v>
      </c>
      <c r="P4503" s="11"/>
      <c r="Q4503" s="2"/>
      <c r="R4503" s="96">
        <f>R4502/R4500</f>
        <v>0.29000206589457833</v>
      </c>
      <c r="S4503" s="106"/>
      <c r="T4503" s="22"/>
      <c r="U4503" s="96">
        <f ca="1">U4502/U4500</f>
        <v>0.20952576741794859</v>
      </c>
      <c r="V4503" s="111"/>
      <c r="W4503" s="28"/>
      <c r="X4503" s="96">
        <f ca="1">X4502/X4500</f>
        <v>-12.164924399668843</v>
      </c>
      <c r="Y4503" s="111"/>
      <c r="Z4503" s="28"/>
      <c r="AA4503" s="96">
        <f ca="1">AA4502/AA4500</f>
        <v>1.2556882784715311</v>
      </c>
      <c r="AB4503" s="111"/>
      <c r="AC4503" s="28"/>
      <c r="AD4503" s="96">
        <f ca="1">AD4502/AD4500</f>
        <v>1.0728032600703059</v>
      </c>
      <c r="AE4503" s="111"/>
      <c r="AF4503" s="28"/>
      <c r="AG4503" s="96">
        <f ca="1">AG4502/AG4500</f>
        <v>1.0323010297976358</v>
      </c>
      <c r="AH4503" s="111"/>
      <c r="AI4503" s="28"/>
      <c r="AJ4503" s="96">
        <f ca="1">AJ4502/AJ4500</f>
        <v>1.0177593892274921</v>
      </c>
      <c r="AK4503" s="111"/>
      <c r="AL4503" s="28"/>
      <c r="AM4503" s="96">
        <f ca="1">AM4502/AM4500</f>
        <v>1.0118245095472906</v>
      </c>
      <c r="AN4503" s="111"/>
      <c r="AO4503" s="28"/>
      <c r="AP4503" s="96">
        <f ca="1">AP4502/AP4500</f>
        <v>1.0087328183775242</v>
      </c>
      <c r="AQ4503" s="111"/>
      <c r="AR4503" s="28"/>
      <c r="AS4503" s="96">
        <f ca="1">AS4502/AS4500</f>
        <v>1.0063287611733185</v>
      </c>
      <c r="AT4503" s="111"/>
      <c r="AU4503" s="28"/>
    </row>
    <row r="4504" spans="15:47" x14ac:dyDescent="0.25">
      <c r="O4504" s="2" t="s">
        <v>21</v>
      </c>
      <c r="P4504" s="8">
        <v>12</v>
      </c>
      <c r="Q4504" s="2"/>
      <c r="R4504" s="96">
        <f ca="1">1-R4503/(3*F_GAMMA*R$29)</f>
        <v>0.84896426576187256</v>
      </c>
      <c r="S4504" s="106"/>
      <c r="T4504" s="22"/>
      <c r="U4504" s="96">
        <f ca="1">1-U4503/(3*F_GAMMA*U$29)</f>
        <v>0.89090241059903319</v>
      </c>
      <c r="V4504" s="111"/>
      <c r="W4504" s="28"/>
      <c r="X4504" s="96">
        <f ca="1">1-X4503/(3*F_GAMMA*X$29)</f>
        <v>7.3944600159272733</v>
      </c>
      <c r="Y4504" s="111"/>
      <c r="Z4504" s="28"/>
      <c r="AA4504" s="96">
        <f ca="1">1-AA4503/(3*F_GAMMA*AA$29)</f>
        <v>0.33064670340659619</v>
      </c>
      <c r="AB4504" s="111"/>
      <c r="AC4504" s="28"/>
      <c r="AD4504" s="96">
        <f ca="1">1-AD4503/(3*F_GAMMA*AD$29)</f>
        <v>0.41039889363697613</v>
      </c>
      <c r="AE4504" s="111"/>
      <c r="AF4504" s="28"/>
      <c r="AG4504" s="96">
        <f ca="1">1-AG4503/(3*F_GAMMA*AG$29)</f>
        <v>0.39861448662641397</v>
      </c>
      <c r="AH4504" s="111"/>
      <c r="AI4504" s="28"/>
      <c r="AJ4504" s="96">
        <f ca="1">1-AJ4503/(3*F_GAMMA*AJ$29)</f>
        <v>0.36210569023877548</v>
      </c>
      <c r="AK4504" s="111"/>
      <c r="AL4504" s="28"/>
      <c r="AM4504" s="96">
        <f ca="1">1-AM4503/(3*F_GAMMA*AM$29)</f>
        <v>0.29094058242377463</v>
      </c>
      <c r="AN4504" s="111"/>
      <c r="AO4504" s="28"/>
      <c r="AP4504" s="96">
        <f ca="1">1-AP4503/(3*F_GAMMA*AP$29)</f>
        <v>0.43061711034815187</v>
      </c>
      <c r="AQ4504" s="111"/>
      <c r="AR4504" s="28"/>
      <c r="AS4504" s="96">
        <f ca="1">1-AS4503/(3*F_GAMMA*AS$29)</f>
        <v>0.10949863256710302</v>
      </c>
      <c r="AT4504" s="111"/>
      <c r="AU4504" s="28"/>
    </row>
    <row r="4505" spans="15:47" x14ac:dyDescent="0.25">
      <c r="O4505" s="2" t="s">
        <v>57</v>
      </c>
      <c r="P4505" s="143">
        <v>7</v>
      </c>
      <c r="Q4505" s="2"/>
      <c r="R4505" s="96">
        <f ca="1">(R4498/(N_9*R$27*R4500*R4504))*SQRT(M*'Valve Sizing'!$W$6*'Valve Sizing'!$G$8/R4503)</f>
        <v>79.477348186297235</v>
      </c>
      <c r="S4505" s="107"/>
      <c r="T4505" s="22"/>
      <c r="U4505" s="96">
        <f ca="1">(U4498/(N_9*U$27*U4500*U4504))*SQRT(M*'Valve Sizing'!$W$6*'Valve Sizing'!$G$8/U4503)</f>
        <v>157.43260156435593</v>
      </c>
      <c r="V4505" s="111"/>
      <c r="W4505" s="28"/>
      <c r="X4505" s="96" t="e">
        <f ca="1">(X4498/(N_9*X$27*X4500*X4504))*SQRT(M*'Valve Sizing'!$W$6*'Valve Sizing'!$G$8/X4503)</f>
        <v>#NUM!</v>
      </c>
      <c r="Y4505" s="111"/>
      <c r="Z4505" s="28"/>
      <c r="AA4505" s="96">
        <f ca="1">(AA4498/(N_9*AA$27*AA4500*AA4504))*SQRT(M*'Valve Sizing'!$W$6*'Valve Sizing'!$G$8/AA4503)</f>
        <v>-269.51653430589744</v>
      </c>
      <c r="AB4505" s="111"/>
      <c r="AC4505" s="28"/>
      <c r="AD4505" s="96">
        <f ca="1">(AD4498/(N_9*AD$27*AD4500*AD4504))*SQRT(M*'Valve Sizing'!$W$6*'Valve Sizing'!$G$8/AD4503)</f>
        <v>-113.61159596176576</v>
      </c>
      <c r="AE4505" s="111"/>
      <c r="AF4505" s="28"/>
      <c r="AG4505" s="96">
        <f ca="1">(AG4498/(N_9*AG$27*AG4500*AG4504))*SQRT(M*'Valve Sizing'!$W$6*'Valve Sizing'!$G$8/AG4503)</f>
        <v>-78.954281299938302</v>
      </c>
      <c r="AH4505" s="111"/>
      <c r="AI4505" s="28"/>
      <c r="AJ4505" s="96">
        <f ca="1">(AJ4498/(N_9*AJ$27*AJ4500*AJ4504))*SQRT(M*'Valve Sizing'!$W$6*'Valve Sizing'!$G$8/AJ4503)</f>
        <v>-66.547013604949015</v>
      </c>
      <c r="AK4505" s="111"/>
      <c r="AL4505" s="28"/>
      <c r="AM4505" s="96">
        <f ca="1">(AM4498/(N_9*AM$27*AM4500*AM4504))*SQRT(M*'Valve Sizing'!$W$6*'Valve Sizing'!$G$8/AM4503)</f>
        <v>-71.602940246463035</v>
      </c>
      <c r="AN4505" s="111"/>
      <c r="AO4505" s="28"/>
      <c r="AP4505" s="96">
        <f ca="1">(AP4498/(N_9*AP$27*AP4500*AP4504))*SQRT(M*'Valve Sizing'!$W$6*'Valve Sizing'!$G$8/AP4503)</f>
        <v>-47.284278258170062</v>
      </c>
      <c r="AQ4505" s="111"/>
      <c r="AR4505" s="28"/>
      <c r="AS4505" s="96">
        <f ca="1">(AS4498/(N_9*AS$27*AS4500*AS4504))*SQRT(M*'Valve Sizing'!$W$6*'Valve Sizing'!$G$8/AS4503)</f>
        <v>-211.89990557527037</v>
      </c>
      <c r="AT4505" s="111"/>
      <c r="AU4505" s="28"/>
    </row>
    <row r="4506" spans="15:47" x14ac:dyDescent="0.25">
      <c r="O4506" s="2" t="s">
        <v>59</v>
      </c>
      <c r="P4506" s="143">
        <v>7</v>
      </c>
      <c r="Q4506" s="2"/>
      <c r="R4506" s="96">
        <f ca="1">(R4498/(N_9*R$27*R4500*0.667))*SQRT(M*'Valve Sizing'!$W$6*'Valve Sizing'!$G$8/R4507)</f>
        <v>68.093777557360553</v>
      </c>
      <c r="S4506" s="107"/>
      <c r="T4506" s="22"/>
      <c r="U4506" s="96">
        <f ca="1">(U4498/(N_9*U$27*U4500*0.667))*SQRT(M*'Valve Sizing'!$W$6*'Valve Sizing'!$G$8/U4507)</f>
        <v>120.30042925695361</v>
      </c>
      <c r="V4506" s="111"/>
      <c r="W4506" s="28"/>
      <c r="X4506" s="96">
        <f ca="1">(X4498/(N_9*X$27*X4500*0.667))*SQRT(M*'Valve Sizing'!$W$6*'Valve Sizing'!$G$8/X4507)</f>
        <v>4940.5857680329464</v>
      </c>
      <c r="Y4506" s="111"/>
      <c r="Z4506" s="28"/>
      <c r="AA4506" s="96">
        <f ca="1">(AA4498/(N_9*AA$27*AA4500*0.667))*SQRT(M*'Valve Sizing'!$W$6*'Valve Sizing'!$G$8/AA4507)</f>
        <v>-189.32680557352745</v>
      </c>
      <c r="AB4506" s="111"/>
      <c r="AC4506" s="28"/>
      <c r="AD4506" s="96">
        <f ca="1">(AD4498/(N_9*AD$27*AD4500*0.667))*SQRT(M*'Valve Sizing'!$W$6*'Valve Sizing'!$G$8/AD4507)</f>
        <v>-92.969989156955791</v>
      </c>
      <c r="AE4506" s="111"/>
      <c r="AF4506" s="28"/>
      <c r="AG4506" s="96">
        <f ca="1">(AG4498/(N_9*AG$27*AG4500*0.667))*SQRT(M*'Valve Sizing'!$W$6*'Valve Sizing'!$G$8/AG4507)</f>
        <v>-63.3782199229993</v>
      </c>
      <c r="AH4506" s="111"/>
      <c r="AI4506" s="28"/>
      <c r="AJ4506" s="96">
        <f ca="1">(AJ4498/(N_9*AJ$27*AJ4500*0.667))*SQRT(M*'Valve Sizing'!$W$6*'Valve Sizing'!$G$8/AJ4507)</f>
        <v>-49.977333116745385</v>
      </c>
      <c r="AK4506" s="111"/>
      <c r="AL4506" s="28"/>
      <c r="AM4506" s="96">
        <f ca="1">(AM4498/(N_9*AM$27*AM4500*0.667))*SQRT(M*'Valve Sizing'!$W$6*'Valve Sizing'!$G$8/AM4507)</f>
        <v>-45.552400518337748</v>
      </c>
      <c r="AN4506" s="111"/>
      <c r="AO4506" s="28"/>
      <c r="AP4506" s="96">
        <f ca="1">(AP4498/(N_9*AP$27*AP4500*0.667))*SQRT(M*'Valve Sizing'!$W$6*'Valve Sizing'!$G$8/AP4507)</f>
        <v>-39.897441464021696</v>
      </c>
      <c r="AQ4506" s="111"/>
      <c r="AR4506" s="28"/>
      <c r="AS4506" s="96">
        <f ca="1">(AS4498/(N_9*AS$27*AS4500*0.667))*SQRT(M*'Valve Sizing'!$W$6*'Valve Sizing'!$G$8/AS4507)</f>
        <v>-56.857995875512415</v>
      </c>
      <c r="AT4506" s="111"/>
      <c r="AU4506" s="28"/>
    </row>
    <row r="4507" spans="15:47" ht="15.6" x14ac:dyDescent="0.35">
      <c r="O4507" s="2" t="s">
        <v>68</v>
      </c>
      <c r="P4507" s="143">
        <v>10</v>
      </c>
      <c r="Q4507" s="2"/>
      <c r="R4507" s="96">
        <f ca="1">F_GAMMA*R$29</f>
        <v>0.64002969751372984</v>
      </c>
      <c r="S4507" s="107"/>
      <c r="T4507" s="1"/>
      <c r="U4507" s="96">
        <f ca="1">F_GAMMA*U$29</f>
        <v>0.64017842058782071</v>
      </c>
      <c r="V4507" s="111"/>
      <c r="W4507" s="28"/>
      <c r="X4507" s="96">
        <f ca="1">F_GAMMA*X$29</f>
        <v>0.63413873724904268</v>
      </c>
      <c r="Y4507" s="111"/>
      <c r="Z4507" s="28"/>
      <c r="AA4507" s="96">
        <f ca="1">F_GAMMA*AA$29</f>
        <v>0.62532411750377137</v>
      </c>
      <c r="AB4507" s="111"/>
      <c r="AC4507" s="28"/>
      <c r="AD4507" s="96">
        <f ca="1">F_GAMMA*AD$29</f>
        <v>0.60651359509139569</v>
      </c>
      <c r="AE4507" s="111"/>
      <c r="AF4507" s="28"/>
      <c r="AG4507" s="96">
        <f ca="1">F_GAMMA*AG$29</f>
        <v>0.57217930198481592</v>
      </c>
      <c r="AH4507" s="111"/>
      <c r="AI4507" s="28"/>
      <c r="AJ4507" s="96">
        <f ca="1">F_GAMMA*AJ$29</f>
        <v>0.53183282018848232</v>
      </c>
      <c r="AK4507" s="111"/>
      <c r="AL4507" s="28"/>
      <c r="AM4507" s="96">
        <f ca="1">F_GAMMA*AM$29</f>
        <v>0.47566512503094399</v>
      </c>
      <c r="AN4507" s="111"/>
      <c r="AO4507" s="28"/>
      <c r="AP4507" s="96">
        <f ca="1">F_GAMMA*AP$29</f>
        <v>0.59054158265645496</v>
      </c>
      <c r="AQ4507" s="111"/>
      <c r="AR4507" s="28"/>
      <c r="AS4507" s="96">
        <f ca="1">F_GAMMA*AS$29</f>
        <v>0.3766899554102966</v>
      </c>
      <c r="AT4507" s="111"/>
      <c r="AU4507" s="28"/>
    </row>
    <row r="4508" spans="15:47" x14ac:dyDescent="0.25">
      <c r="O4508" s="2" t="s">
        <v>145</v>
      </c>
      <c r="P4508" s="12"/>
      <c r="Q4508" s="2"/>
      <c r="R4508" s="96">
        <f ca="1">IF(R4503&lt;R4507,R4505,R4506)</f>
        <v>79.477348186297235</v>
      </c>
      <c r="S4508" s="116"/>
      <c r="T4508" s="1"/>
      <c r="U4508" s="96">
        <f ca="1">IF(U4503&lt;U4507,U4505,U4506)</f>
        <v>157.43260156435593</v>
      </c>
      <c r="V4508" s="111"/>
      <c r="W4508" s="28"/>
      <c r="X4508" s="96" t="e">
        <f ca="1">IF(X4503&lt;X4507,X4505,X4506)</f>
        <v>#NUM!</v>
      </c>
      <c r="Y4508" s="111"/>
      <c r="Z4508" s="28"/>
      <c r="AA4508" s="96">
        <f ca="1">IF(AA4503&lt;AA4507,AA4505,AA4506)</f>
        <v>-189.32680557352745</v>
      </c>
      <c r="AB4508" s="111"/>
      <c r="AC4508" s="28"/>
      <c r="AD4508" s="96">
        <f ca="1">IF(AD4503&lt;AD4507,AD4505,AD4506)</f>
        <v>-92.969989156955791</v>
      </c>
      <c r="AE4508" s="111"/>
      <c r="AF4508" s="28"/>
      <c r="AG4508" s="96">
        <f ca="1">IF(AG4503&lt;AG4507,AG4505,AG4506)</f>
        <v>-63.3782199229993</v>
      </c>
      <c r="AH4508" s="111"/>
      <c r="AI4508" s="28"/>
      <c r="AJ4508" s="96">
        <f ca="1">IF(AJ4503&lt;AJ4507,AJ4505,AJ4506)</f>
        <v>-49.977333116745385</v>
      </c>
      <c r="AK4508" s="111"/>
      <c r="AL4508" s="28"/>
      <c r="AM4508" s="96">
        <f ca="1">IF(AM4503&lt;AM4507,AM4505,AM4506)</f>
        <v>-45.552400518337748</v>
      </c>
      <c r="AN4508" s="111"/>
      <c r="AO4508" s="28"/>
      <c r="AP4508" s="96">
        <f ca="1">IF(AP4503&lt;AP4507,AP4505,AP4506)</f>
        <v>-39.897441464021696</v>
      </c>
      <c r="AQ4508" s="111"/>
      <c r="AR4508" s="28"/>
      <c r="AS4508" s="96">
        <f ca="1">IF(AS4503&lt;AS4507,AS4505,AS4506)</f>
        <v>-56.857995875512415</v>
      </c>
      <c r="AT4508" s="111"/>
      <c r="AU4508" s="28"/>
    </row>
    <row r="4509" spans="15:47" x14ac:dyDescent="0.25">
      <c r="O4509" s="13" t="s">
        <v>143</v>
      </c>
      <c r="P4509" s="1"/>
      <c r="Q4509" s="1"/>
      <c r="R4509" s="113"/>
      <c r="S4509" s="106">
        <f ca="1">IF(R4502&lt;=0,Q_max,ABS(R$23-R4508))</f>
        <v>74.747348186297231</v>
      </c>
      <c r="T4509" s="7">
        <f>R4498</f>
        <v>176498.67751294124</v>
      </c>
      <c r="U4509" s="98"/>
      <c r="V4509" s="106">
        <f ca="1">IF(U4502&lt;=0,Q_max,ABS(U$23-U4508))</f>
        <v>145.83260156435594</v>
      </c>
      <c r="W4509" s="9">
        <f ca="1">U4498</f>
        <v>279921.43823974277</v>
      </c>
      <c r="X4509" s="98"/>
      <c r="Y4509" s="106">
        <f ca="1">IF(X4502&lt;=0,Q_max,ABS(X$23-X4508))</f>
        <v>236393</v>
      </c>
      <c r="Z4509" s="9">
        <f ca="1">X4498</f>
        <v>685424.78000843083</v>
      </c>
      <c r="AA4509" s="98"/>
      <c r="AB4509" s="106">
        <f ca="1">IF(AA4502&lt;=0,Q_max,ABS(AA$23-AA4508))</f>
        <v>236393</v>
      </c>
      <c r="AC4509" s="9">
        <f ca="1">AA4498</f>
        <v>1335032.5199251329</v>
      </c>
      <c r="AD4509" s="98"/>
      <c r="AE4509" s="106">
        <f ca="1">IF(AD4502&lt;=0,Q_max,ABS(AD$23-AD4508))</f>
        <v>236393</v>
      </c>
      <c r="AF4509" s="9">
        <f ca="1">AD4498</f>
        <v>2239769.2684711525</v>
      </c>
      <c r="AG4509" s="98"/>
      <c r="AH4509" s="106">
        <f ca="1">IF(AG4502&lt;=0,Q_max,ABS(AG$23-AG4508))</f>
        <v>236393</v>
      </c>
      <c r="AI4509" s="9">
        <f ca="1">AG4498</f>
        <v>3269004.2500069784</v>
      </c>
      <c r="AJ4509" s="98"/>
      <c r="AK4509" s="106">
        <f ca="1">IF(AJ4502&lt;=0,Q_max,ABS(AJ$23-AJ4508))</f>
        <v>236393</v>
      </c>
      <c r="AL4509" s="9">
        <f ca="1">AJ4498</f>
        <v>4362498.8441490745</v>
      </c>
      <c r="AM4509" s="98"/>
      <c r="AN4509" s="106">
        <f ca="1">IF(AM4502&lt;=0,Q_max,ABS(AM$23-AM4508))</f>
        <v>236393</v>
      </c>
      <c r="AO4509" s="9">
        <f ca="1">AM4498</f>
        <v>5323077.6389152221</v>
      </c>
      <c r="AP4509" s="98"/>
      <c r="AQ4509" s="106">
        <f ca="1">IF(AP4502&lt;=0,Q_max,ABS(AP$23-AP4508))</f>
        <v>236393</v>
      </c>
      <c r="AR4509" s="9">
        <f ca="1">AP4498</f>
        <v>6179927.885804805</v>
      </c>
      <c r="AS4509" s="98"/>
      <c r="AT4509" s="106">
        <f ca="1">IF(AS4502&lt;=0,Q_max,ABS(AS$23-AS4508))</f>
        <v>236393</v>
      </c>
      <c r="AU4509" s="9">
        <f ca="1">AS4498</f>
        <v>7246451.4660631763</v>
      </c>
    </row>
    <row r="4510" spans="15:47" x14ac:dyDescent="0.25">
      <c r="O4510" s="21"/>
      <c r="P4510" s="14"/>
      <c r="Q4510" s="21"/>
      <c r="R4510" s="97"/>
      <c r="S4510" s="106"/>
      <c r="T4510" s="28"/>
      <c r="U4510" s="97"/>
      <c r="V4510" s="111"/>
      <c r="W4510" s="28"/>
      <c r="X4510" s="97"/>
      <c r="Y4510" s="111"/>
      <c r="Z4510" s="28"/>
      <c r="AA4510" s="97"/>
      <c r="AB4510" s="111"/>
      <c r="AC4510" s="28"/>
      <c r="AD4510" s="97"/>
      <c r="AE4510" s="111"/>
      <c r="AF4510" s="28"/>
      <c r="AG4510" s="97"/>
      <c r="AH4510" s="111"/>
      <c r="AI4510" s="28"/>
      <c r="AJ4510" s="97"/>
      <c r="AK4510" s="111"/>
      <c r="AL4510" s="28"/>
      <c r="AM4510" s="97"/>
      <c r="AN4510" s="111"/>
      <c r="AO4510" s="28"/>
      <c r="AP4510" s="97"/>
      <c r="AQ4510" s="111"/>
      <c r="AR4510" s="28"/>
      <c r="AS4510" s="97"/>
      <c r="AT4510" s="111"/>
      <c r="AU4510" s="28"/>
    </row>
    <row r="4511" spans="15:47" x14ac:dyDescent="0.25">
      <c r="O4511" s="1"/>
      <c r="P4511" s="1"/>
      <c r="Q4511" s="1"/>
      <c r="R4511" s="98"/>
      <c r="S4511" s="108" t="s">
        <v>137</v>
      </c>
      <c r="T4511" s="26" t="s">
        <v>146</v>
      </c>
      <c r="U4511" s="98"/>
      <c r="V4511" s="108" t="s">
        <v>137</v>
      </c>
      <c r="W4511" s="26" t="s">
        <v>146</v>
      </c>
      <c r="X4511" s="98"/>
      <c r="Y4511" s="108" t="s">
        <v>137</v>
      </c>
      <c r="Z4511" s="26" t="s">
        <v>146</v>
      </c>
      <c r="AA4511" s="98"/>
      <c r="AB4511" s="108" t="s">
        <v>137</v>
      </c>
      <c r="AC4511" s="26" t="s">
        <v>146</v>
      </c>
      <c r="AD4511" s="98"/>
      <c r="AE4511" s="108" t="s">
        <v>137</v>
      </c>
      <c r="AF4511" s="26" t="s">
        <v>146</v>
      </c>
      <c r="AG4511" s="98"/>
      <c r="AH4511" s="108" t="s">
        <v>137</v>
      </c>
      <c r="AI4511" s="26" t="s">
        <v>146</v>
      </c>
      <c r="AJ4511" s="98"/>
      <c r="AK4511" s="108" t="s">
        <v>137</v>
      </c>
      <c r="AL4511" s="26" t="s">
        <v>146</v>
      </c>
      <c r="AM4511" s="98"/>
      <c r="AN4511" s="108" t="s">
        <v>137</v>
      </c>
      <c r="AO4511" s="26" t="s">
        <v>146</v>
      </c>
      <c r="AP4511" s="98"/>
      <c r="AQ4511" s="108" t="s">
        <v>137</v>
      </c>
      <c r="AR4511" s="26" t="s">
        <v>146</v>
      </c>
      <c r="AS4511" s="98"/>
      <c r="AT4511" s="108" t="s">
        <v>137</v>
      </c>
      <c r="AU4511" s="26" t="s">
        <v>146</v>
      </c>
    </row>
    <row r="4512" spans="15:47" ht="13.8" x14ac:dyDescent="0.25">
      <c r="O4512" s="20" t="s">
        <v>136</v>
      </c>
      <c r="P4512" s="1"/>
      <c r="Q4512" s="1"/>
      <c r="R4512" s="96">
        <f>R4498*1.02</f>
        <v>180028.65106320006</v>
      </c>
      <c r="S4512" s="109" t="s">
        <v>144</v>
      </c>
      <c r="T4512" s="23" t="s">
        <v>147</v>
      </c>
      <c r="U4512" s="96">
        <f ca="1">U4498*1.01</f>
        <v>282720.65262214019</v>
      </c>
      <c r="V4512" s="109" t="s">
        <v>144</v>
      </c>
      <c r="W4512" s="23" t="s">
        <v>147</v>
      </c>
      <c r="X4512" s="96">
        <f ca="1">X4498*1.01</f>
        <v>692279.02780851512</v>
      </c>
      <c r="Y4512" s="109" t="s">
        <v>144</v>
      </c>
      <c r="Z4512" s="23" t="s">
        <v>147</v>
      </c>
      <c r="AA4512" s="96">
        <f ca="1">AA4498*1.01</f>
        <v>1348382.8451243842</v>
      </c>
      <c r="AB4512" s="109" t="s">
        <v>144</v>
      </c>
      <c r="AC4512" s="23" t="s">
        <v>147</v>
      </c>
      <c r="AD4512" s="96">
        <f ca="1">AD4498*1.01</f>
        <v>2262166.9611558639</v>
      </c>
      <c r="AE4512" s="109" t="s">
        <v>144</v>
      </c>
      <c r="AF4512" s="23" t="s">
        <v>147</v>
      </c>
      <c r="AG4512" s="96">
        <f ca="1">AG4498*1.01</f>
        <v>3301694.2925070482</v>
      </c>
      <c r="AH4512" s="109" t="s">
        <v>144</v>
      </c>
      <c r="AI4512" s="23" t="s">
        <v>147</v>
      </c>
      <c r="AJ4512" s="96">
        <f ca="1">AJ4498*1.01</f>
        <v>4406123.8325905651</v>
      </c>
      <c r="AK4512" s="109" t="s">
        <v>144</v>
      </c>
      <c r="AL4512" s="23" t="s">
        <v>147</v>
      </c>
      <c r="AM4512" s="96">
        <f ca="1">AM4498*1.01</f>
        <v>5376308.4153043739</v>
      </c>
      <c r="AN4512" s="109" t="s">
        <v>144</v>
      </c>
      <c r="AO4512" s="23" t="s">
        <v>147</v>
      </c>
      <c r="AP4512" s="96">
        <f ca="1">AP4498*1.01</f>
        <v>6241727.1646628529</v>
      </c>
      <c r="AQ4512" s="109" t="s">
        <v>144</v>
      </c>
      <c r="AR4512" s="23" t="s">
        <v>147</v>
      </c>
      <c r="AS4512" s="96">
        <f ca="1">AS4498*1.01</f>
        <v>7318915.9807238085</v>
      </c>
      <c r="AT4512" s="109" t="s">
        <v>144</v>
      </c>
      <c r="AU4512" s="23" t="s">
        <v>147</v>
      </c>
    </row>
    <row r="4513" spans="15:47" x14ac:dyDescent="0.25">
      <c r="O4513" s="1"/>
      <c r="P4513" s="1"/>
      <c r="Q4513" s="1"/>
      <c r="R4513" s="98"/>
      <c r="S4513" s="107"/>
      <c r="T4513" s="1"/>
      <c r="U4513" s="47"/>
      <c r="V4513" s="107"/>
      <c r="W4513" s="1"/>
      <c r="X4513" s="47"/>
      <c r="Y4513" s="107"/>
      <c r="Z4513" s="1"/>
      <c r="AA4513" s="47"/>
      <c r="AB4513" s="107"/>
      <c r="AC4513" s="1"/>
      <c r="AD4513" s="47"/>
      <c r="AE4513" s="107"/>
      <c r="AF4513" s="1"/>
      <c r="AG4513" s="47"/>
      <c r="AH4513" s="107"/>
      <c r="AI4513" s="1"/>
      <c r="AJ4513" s="47"/>
      <c r="AK4513" s="107"/>
      <c r="AL4513" s="1"/>
      <c r="AM4513" s="47"/>
      <c r="AN4513" s="107"/>
      <c r="AO4513" s="1"/>
      <c r="AP4513" s="47"/>
      <c r="AQ4513" s="107"/>
      <c r="AR4513" s="1"/>
      <c r="AS4513" s="47"/>
      <c r="AT4513" s="107"/>
      <c r="AU4513" s="1"/>
    </row>
    <row r="4514" spans="15:47" x14ac:dyDescent="0.25">
      <c r="O4514" s="8" t="s">
        <v>132</v>
      </c>
      <c r="P4514" s="8"/>
      <c r="Q4514" s="8"/>
      <c r="R4514" s="96">
        <f>P_1_minQ-(R4512^2*R_up)+dpup_minQ</f>
        <v>84.277906948926415</v>
      </c>
      <c r="S4514" s="106"/>
      <c r="T4514" s="22"/>
      <c r="U4514" s="96">
        <f ca="1">P_1_minQ-(U4512^2*R_up)+dpup_minQ</f>
        <v>75.616749575267761</v>
      </c>
      <c r="V4514" s="107"/>
      <c r="W4514" s="1"/>
      <c r="X4514" s="96">
        <f ca="1">P_1_minQ-(X4512^2*R_up)+dpup_minQ</f>
        <v>2.8364528447763306</v>
      </c>
      <c r="Y4514" s="107"/>
      <c r="Z4514" s="1"/>
      <c r="AA4514" s="96">
        <f ca="1">P_1_minQ-(AA4512^2*R_up)+dpup_minQ</f>
        <v>-241.19013765342964</v>
      </c>
      <c r="AB4514" s="107"/>
      <c r="AC4514" s="1"/>
      <c r="AD4514" s="96">
        <f ca="1">P_1_minQ-(AD4512^2*R_up)+dpup_minQ</f>
        <v>-842.51682982967623</v>
      </c>
      <c r="AE4514" s="107"/>
      <c r="AF4514" s="1"/>
      <c r="AG4514" s="96">
        <f ca="1">P_1_minQ-(AG4512^2*R_up)+dpup_minQ</f>
        <v>-1896.6749074074869</v>
      </c>
      <c r="AH4514" s="107"/>
      <c r="AI4514" s="1"/>
      <c r="AJ4514" s="96">
        <f ca="1">P_1_minQ-(AJ4512^2*R_up)+dpup_minQ</f>
        <v>-3448.2150260590179</v>
      </c>
      <c r="AK4514" s="107"/>
      <c r="AL4514" s="1"/>
      <c r="AM4514" s="96">
        <f ca="1">P_1_minQ-(AM4512^2*R_up)+dpup_minQ</f>
        <v>-5178.0104935406671</v>
      </c>
      <c r="AN4514" s="107"/>
      <c r="AO4514" s="1"/>
      <c r="AP4514" s="96">
        <f ca="1">P_1_minQ-(AP4512^2*R_up)+dpup_minQ</f>
        <v>-7010.5465958288987</v>
      </c>
      <c r="AQ4514" s="107"/>
      <c r="AR4514" s="1"/>
      <c r="AS4514" s="96">
        <f ca="1">P_1_minQ-(AS4512^2*R_up)+dpup_minQ</f>
        <v>-9672.899733632632</v>
      </c>
      <c r="AT4514" s="107"/>
      <c r="AU4514" s="1"/>
    </row>
    <row r="4515" spans="15:47" x14ac:dyDescent="0.25">
      <c r="O4515" s="8" t="s">
        <v>134</v>
      </c>
      <c r="P4515" s="1"/>
      <c r="Q4515" s="8"/>
      <c r="R4515" s="97">
        <f>P_2_minQ+(R4512^2*R_dn)-dpdn_minQ</f>
        <v>60</v>
      </c>
      <c r="S4515" s="106"/>
      <c r="T4515" s="22"/>
      <c r="U4515" s="97">
        <f ca="1">P_2_minQ+(U4512^2*R_dn)-dpdn_minQ</f>
        <v>60</v>
      </c>
      <c r="V4515" s="107"/>
      <c r="W4515" s="1"/>
      <c r="X4515" s="97">
        <f ca="1">P_2_minQ+(X4512^2*R_dn)-dpdn_minQ</f>
        <v>60</v>
      </c>
      <c r="Y4515" s="107"/>
      <c r="Z4515" s="1"/>
      <c r="AA4515" s="97">
        <f ca="1">P_2_minQ+(AA4512^2*R_dn)-dpdn_minQ</f>
        <v>60</v>
      </c>
      <c r="AB4515" s="107"/>
      <c r="AC4515" s="1"/>
      <c r="AD4515" s="97">
        <f ca="1">P_2_minQ+(AD4512^2*R_dn)-dpdn_minQ</f>
        <v>60</v>
      </c>
      <c r="AE4515" s="107"/>
      <c r="AF4515" s="1"/>
      <c r="AG4515" s="97">
        <f ca="1">P_2_minQ+(AG4512^2*R_dn)-dpdn_minQ</f>
        <v>60</v>
      </c>
      <c r="AH4515" s="107"/>
      <c r="AI4515" s="1"/>
      <c r="AJ4515" s="97">
        <f ca="1">P_2_minQ+(AJ4512^2*R_dn)-dpdn_minQ</f>
        <v>60</v>
      </c>
      <c r="AK4515" s="107"/>
      <c r="AL4515" s="1"/>
      <c r="AM4515" s="97">
        <f ca="1">P_2_minQ+(AM4512^2*R_dn)-dpdn_minQ</f>
        <v>60</v>
      </c>
      <c r="AN4515" s="107"/>
      <c r="AO4515" s="1"/>
      <c r="AP4515" s="97">
        <f ca="1">P_2_minQ+(AP4512^2*R_dn)-dpdn_minQ</f>
        <v>60</v>
      </c>
      <c r="AQ4515" s="107"/>
      <c r="AR4515" s="1"/>
      <c r="AS4515" s="97">
        <f ca="1">P_2_minQ+(AS4512^2*R_dn)-dpdn_minQ</f>
        <v>60</v>
      </c>
      <c r="AT4515" s="107"/>
      <c r="AU4515" s="1"/>
    </row>
    <row r="4516" spans="15:47" x14ac:dyDescent="0.25">
      <c r="O4516" s="8" t="s">
        <v>138</v>
      </c>
      <c r="P4516" s="1"/>
      <c r="Q4516" s="8"/>
      <c r="R4516" s="97">
        <f>R4514-R4515</f>
        <v>24.277906948926415</v>
      </c>
      <c r="S4516" s="106"/>
      <c r="T4516" s="22"/>
      <c r="U4516" s="97">
        <f ca="1">U4514-U4515</f>
        <v>15.616749575267761</v>
      </c>
      <c r="V4516" s="110"/>
      <c r="W4516" s="25"/>
      <c r="X4516" s="97">
        <f ca="1">X4514-X4515</f>
        <v>-57.163547155223668</v>
      </c>
      <c r="Y4516" s="110"/>
      <c r="Z4516" s="25"/>
      <c r="AA4516" s="97">
        <f ca="1">AA4514-AA4515</f>
        <v>-301.19013765342964</v>
      </c>
      <c r="AB4516" s="110"/>
      <c r="AC4516" s="25"/>
      <c r="AD4516" s="97">
        <f ca="1">AD4514-AD4515</f>
        <v>-902.51682982967623</v>
      </c>
      <c r="AE4516" s="110"/>
      <c r="AF4516" s="25"/>
      <c r="AG4516" s="97">
        <f ca="1">AG4514-AG4515</f>
        <v>-1956.6749074074869</v>
      </c>
      <c r="AH4516" s="110"/>
      <c r="AI4516" s="25"/>
      <c r="AJ4516" s="97">
        <f ca="1">AJ4514-AJ4515</f>
        <v>-3508.2150260590179</v>
      </c>
      <c r="AK4516" s="110"/>
      <c r="AL4516" s="25"/>
      <c r="AM4516" s="97">
        <f ca="1">AM4514-AM4515</f>
        <v>-5238.0104935406671</v>
      </c>
      <c r="AN4516" s="110"/>
      <c r="AO4516" s="25"/>
      <c r="AP4516" s="97">
        <f ca="1">AP4514-AP4515</f>
        <v>-7070.5465958288987</v>
      </c>
      <c r="AQ4516" s="110"/>
      <c r="AR4516" s="25"/>
      <c r="AS4516" s="97">
        <f ca="1">AS4514-AS4515</f>
        <v>-9732.899733632632</v>
      </c>
      <c r="AT4516" s="110"/>
      <c r="AU4516" s="25"/>
    </row>
    <row r="4517" spans="15:47" ht="14.4" x14ac:dyDescent="0.3">
      <c r="O4517" s="2" t="s">
        <v>140</v>
      </c>
      <c r="P4517" s="11"/>
      <c r="Q4517" s="2"/>
      <c r="R4517" s="96">
        <f>R4516/R4514</f>
        <v>0.2880696475250526</v>
      </c>
      <c r="S4517" s="106"/>
      <c r="T4517" s="22"/>
      <c r="U4517" s="96">
        <f ca="1">U4516/U4514</f>
        <v>0.20652500488298675</v>
      </c>
      <c r="V4517" s="111"/>
      <c r="W4517" s="28"/>
      <c r="X4517" s="96">
        <f ca="1">X4516/X4514</f>
        <v>-20.153180850687232</v>
      </c>
      <c r="Y4517" s="111"/>
      <c r="Z4517" s="28"/>
      <c r="AA4517" s="96">
        <f ca="1">AA4516/AA4514</f>
        <v>1.2487663906316728</v>
      </c>
      <c r="AB4517" s="111"/>
      <c r="AC4517" s="28"/>
      <c r="AD4517" s="96">
        <f ca="1">AD4516/AD4514</f>
        <v>1.0712151946117558</v>
      </c>
      <c r="AE4517" s="111"/>
      <c r="AF4517" s="28"/>
      <c r="AG4517" s="96">
        <f ca="1">AG4516/AG4514</f>
        <v>1.0316343089507165</v>
      </c>
      <c r="AH4517" s="111"/>
      <c r="AI4517" s="28"/>
      <c r="AJ4517" s="96">
        <f ca="1">AJ4516/AJ4514</f>
        <v>1.0174003069839221</v>
      </c>
      <c r="AK4517" s="111"/>
      <c r="AL4517" s="28"/>
      <c r="AM4517" s="96">
        <f ca="1">AM4516/AM4514</f>
        <v>1.011587462032927</v>
      </c>
      <c r="AN4517" s="111"/>
      <c r="AO4517" s="28"/>
      <c r="AP4517" s="96">
        <f ca="1">AP4516/AP4514</f>
        <v>1.0085585338004455</v>
      </c>
      <c r="AQ4517" s="111"/>
      <c r="AR4517" s="28"/>
      <c r="AS4517" s="96">
        <f ca="1">AS4516/AS4514</f>
        <v>1.0062028969235957</v>
      </c>
      <c r="AT4517" s="111"/>
      <c r="AU4517" s="28"/>
    </row>
    <row r="4518" spans="15:47" x14ac:dyDescent="0.25">
      <c r="O4518" s="2" t="s">
        <v>21</v>
      </c>
      <c r="P4518" s="8">
        <v>12</v>
      </c>
      <c r="Q4518" s="2"/>
      <c r="R4518" s="96">
        <f ca="1">1-R4517/(3*F_GAMMA*R$29)</f>
        <v>0.84997068696234312</v>
      </c>
      <c r="S4518" s="106"/>
      <c r="T4518" s="22"/>
      <c r="U4518" s="96">
        <f ca="1">1-U4517/(3*F_GAMMA*U$29)</f>
        <v>0.89246487216623527</v>
      </c>
      <c r="V4518" s="111"/>
      <c r="W4518" s="28"/>
      <c r="X4518" s="96">
        <f ca="1">1-X4517/(3*F_GAMMA*X$29)</f>
        <v>11.593465681297518</v>
      </c>
      <c r="Y4518" s="111"/>
      <c r="Z4518" s="28"/>
      <c r="AA4518" s="96">
        <f ca="1">1-AA4517/(3*F_GAMMA*AA$29)</f>
        <v>0.33433646345588053</v>
      </c>
      <c r="AB4518" s="111"/>
      <c r="AC4518" s="28"/>
      <c r="AD4518" s="96">
        <f ca="1">1-AD4517/(3*F_GAMMA*AD$29)</f>
        <v>0.41127167729283176</v>
      </c>
      <c r="AE4518" s="111"/>
      <c r="AF4518" s="28"/>
      <c r="AG4518" s="96">
        <f ca="1">1-AG4517/(3*F_GAMMA*AG$29)</f>
        <v>0.39900289683547874</v>
      </c>
      <c r="AH4518" s="111"/>
      <c r="AI4518" s="28"/>
      <c r="AJ4518" s="96">
        <f ca="1">1-AJ4517/(3*F_GAMMA*AJ$29)</f>
        <v>0.36233074983766889</v>
      </c>
      <c r="AK4518" s="111"/>
      <c r="AL4518" s="28"/>
      <c r="AM4518" s="96">
        <f ca="1">1-AM4517/(3*F_GAMMA*AM$29)</f>
        <v>0.29110669894979924</v>
      </c>
      <c r="AN4518" s="111"/>
      <c r="AO4518" s="28"/>
      <c r="AP4518" s="96">
        <f ca="1">1-AP4517/(3*F_GAMMA*AP$29)</f>
        <v>0.4307154859083705</v>
      </c>
      <c r="AQ4518" s="111"/>
      <c r="AR4518" s="28"/>
      <c r="AS4518" s="96">
        <f ca="1">1-AS4517/(3*F_GAMMA*AS$29)</f>
        <v>0.10961000997259263</v>
      </c>
      <c r="AT4518" s="111"/>
      <c r="AU4518" s="28"/>
    </row>
    <row r="4519" spans="15:47" x14ac:dyDescent="0.25">
      <c r="O4519" s="2" t="s">
        <v>57</v>
      </c>
      <c r="P4519" s="143">
        <v>7</v>
      </c>
      <c r="Q4519" s="2"/>
      <c r="R4519" s="96">
        <f ca="1">(R4512/(N_9*R$27*R4514*R4518))*SQRT(M*'Valve Sizing'!$W$6*'Valve Sizing'!$G$8/R4517)</f>
        <v>81.463154122960518</v>
      </c>
      <c r="S4519" s="107"/>
      <c r="T4519" s="22"/>
      <c r="U4519" s="96">
        <f ca="1">(U4512/(N_9*U$27*U4514*U4518))*SQRT(M*'Valve Sizing'!$W$6*'Valve Sizing'!$G$8/U4517)</f>
        <v>160.4844566144385</v>
      </c>
      <c r="V4519" s="111"/>
      <c r="W4519" s="28"/>
      <c r="X4519" s="96" t="e">
        <f ca="1">(X4512/(N_9*X$27*X4514*X4518))*SQRT(M*'Valve Sizing'!$W$6*'Valve Sizing'!$G$8/X4517)</f>
        <v>#NUM!</v>
      </c>
      <c r="Y4519" s="111"/>
      <c r="Z4519" s="28"/>
      <c r="AA4519" s="96">
        <f ca="1">(AA4512/(N_9*AA$27*AA4514*AA4518))*SQRT(M*'Valve Sizing'!$W$6*'Valve Sizing'!$G$8/AA4517)</f>
        <v>-262.64458136259998</v>
      </c>
      <c r="AB4519" s="111"/>
      <c r="AC4519" s="28"/>
      <c r="AD4519" s="96">
        <f ca="1">(AD4512/(N_9*AD$27*AD4514*AD4518))*SQRT(M*'Valve Sizing'!$W$6*'Valve Sizing'!$G$8/AD4517)</f>
        <v>-112.08950000070132</v>
      </c>
      <c r="AE4519" s="111"/>
      <c r="AF4519" s="28"/>
      <c r="AG4519" s="96">
        <f ca="1">(AG4512/(N_9*AG$27*AG4514*AG4518))*SQRT(M*'Valve Sizing'!$W$6*'Valve Sizing'!$G$8/AG4517)</f>
        <v>-78.04702671094185</v>
      </c>
      <c r="AH4519" s="111"/>
      <c r="AI4519" s="28"/>
      <c r="AJ4519" s="96">
        <f ca="1">(AJ4512/(N_9*AJ$27*AJ4514*AJ4518))*SQRT(M*'Valve Sizing'!$W$6*'Valve Sizing'!$G$8/AJ4517)</f>
        <v>-65.824203477546391</v>
      </c>
      <c r="AK4519" s="111"/>
      <c r="AL4519" s="28"/>
      <c r="AM4519" s="96">
        <f ca="1">(AM4512/(N_9*AM$27*AM4514*AM4518))*SQRT(M*'Valve Sizing'!$W$6*'Valve Sizing'!$G$8/AM4517)</f>
        <v>-70.837039250851689</v>
      </c>
      <c r="AN4519" s="111"/>
      <c r="AO4519" s="28"/>
      <c r="AP4519" s="96">
        <f ca="1">(AP4512/(N_9*AP$27*AP4514*AP4518))*SQRT(M*'Valve Sizing'!$W$6*'Valve Sizing'!$G$8/AP4517)</f>
        <v>-46.797364676508288</v>
      </c>
      <c r="AQ4519" s="111"/>
      <c r="AR4519" s="28"/>
      <c r="AS4519" s="96">
        <f ca="1">(AS4512/(N_9*AS$27*AS4514*AS4518))*SQRT(M*'Valve Sizing'!$W$6*'Valve Sizing'!$G$8/AS4517)</f>
        <v>-209.56253026646669</v>
      </c>
      <c r="AT4519" s="111"/>
      <c r="AU4519" s="28"/>
    </row>
    <row r="4520" spans="15:47" x14ac:dyDescent="0.25">
      <c r="O4520" s="2" t="s">
        <v>59</v>
      </c>
      <c r="P4520" s="143">
        <v>7</v>
      </c>
      <c r="Q4520" s="2"/>
      <c r="R4520" s="96">
        <f ca="1">(R4512/(N_9*R$27*R4514*0.667))*SQRT(M*'Valve Sizing'!$W$6*'Valve Sizing'!$G$8/R4521)</f>
        <v>69.644692221844622</v>
      </c>
      <c r="S4520" s="107"/>
      <c r="T4520" s="22"/>
      <c r="U4520" s="96">
        <f ca="1">(U4512/(N_9*U$27*U4514*0.667))*SQRT(M*'Valve Sizing'!$W$6*'Valve Sizing'!$G$8/U4521)</f>
        <v>121.96467938934472</v>
      </c>
      <c r="V4520" s="111"/>
      <c r="W4520" s="28"/>
      <c r="X4520" s="96">
        <f ca="1">(X4512/(N_9*X$27*X4514*0.667))*SQRT(M*'Valve Sizing'!$W$6*'Valve Sizing'!$G$8/X4521)</f>
        <v>8017.8352793870108</v>
      </c>
      <c r="Y4520" s="111"/>
      <c r="Z4520" s="28"/>
      <c r="AA4520" s="96">
        <f ca="1">(AA4512/(N_9*AA$27*AA4514*0.667))*SQRT(M*'Valve Sizing'!$W$6*'Valve Sizing'!$G$8/AA4521)</f>
        <v>-186.04344249738787</v>
      </c>
      <c r="AB4520" s="111"/>
      <c r="AC4520" s="28"/>
      <c r="AD4520" s="96">
        <f ca="1">(AD4512/(N_9*AD$27*AD4514*0.667))*SQRT(M*'Valve Sizing'!$W$6*'Valve Sizing'!$G$8/AD4521)</f>
        <v>-91.85144488195175</v>
      </c>
      <c r="AE4520" s="111"/>
      <c r="AF4520" s="28"/>
      <c r="AG4520" s="96">
        <f ca="1">(AG4512/(N_9*AG$27*AG4514*0.667))*SQRT(M*'Valve Sizing'!$W$6*'Valve Sizing'!$G$8/AG4521)</f>
        <v>-62.690739718667658</v>
      </c>
      <c r="AH4520" s="111"/>
      <c r="AI4520" s="28"/>
      <c r="AJ4520" s="96">
        <f ca="1">(AJ4512/(N_9*AJ$27*AJ4514*0.667))*SQRT(M*'Valve Sizing'!$W$6*'Valve Sizing'!$G$8/AJ4521)</f>
        <v>-49.456495187015342</v>
      </c>
      <c r="AK4520" s="111"/>
      <c r="AL4520" s="28"/>
      <c r="AM4520" s="96">
        <f ca="1">(AM4512/(N_9*AM$27*AM4514*0.667))*SQRT(M*'Valve Sizing'!$W$6*'Valve Sizing'!$G$8/AM4521)</f>
        <v>-45.085597546176842</v>
      </c>
      <c r="AN4520" s="111"/>
      <c r="AO4520" s="28"/>
      <c r="AP4520" s="96">
        <f ca="1">(AP4512/(N_9*AP$27*AP4514*0.667))*SQRT(M*'Valve Sizing'!$W$6*'Valve Sizing'!$G$8/AP4521)</f>
        <v>-39.49220313821673</v>
      </c>
      <c r="AQ4520" s="111"/>
      <c r="AR4520" s="28"/>
      <c r="AS4520" s="96">
        <f ca="1">(AS4512/(N_9*AS$27*AS4514*0.667))*SQRT(M*'Valve Sizing'!$W$6*'Valve Sizing'!$G$8/AS4521)</f>
        <v>-56.284495625585102</v>
      </c>
      <c r="AT4520" s="111"/>
      <c r="AU4520" s="28"/>
    </row>
    <row r="4521" spans="15:47" ht="15.6" x14ac:dyDescent="0.35">
      <c r="O4521" s="2" t="s">
        <v>68</v>
      </c>
      <c r="P4521" s="143">
        <v>10</v>
      </c>
      <c r="Q4521" s="2"/>
      <c r="R4521" s="96">
        <f ca="1">F_GAMMA*R$29</f>
        <v>0.64002969751372984</v>
      </c>
      <c r="S4521" s="107"/>
      <c r="T4521" s="1"/>
      <c r="U4521" s="96">
        <f ca="1">F_GAMMA*U$29</f>
        <v>0.64017842058782071</v>
      </c>
      <c r="V4521" s="111"/>
      <c r="W4521" s="28"/>
      <c r="X4521" s="96">
        <f ca="1">F_GAMMA*X$29</f>
        <v>0.63413873724904268</v>
      </c>
      <c r="Y4521" s="111"/>
      <c r="Z4521" s="28"/>
      <c r="AA4521" s="96">
        <f ca="1">F_GAMMA*AA$29</f>
        <v>0.62532411750377137</v>
      </c>
      <c r="AB4521" s="111"/>
      <c r="AC4521" s="28"/>
      <c r="AD4521" s="96">
        <f ca="1">F_GAMMA*AD$29</f>
        <v>0.60651359509139569</v>
      </c>
      <c r="AE4521" s="111"/>
      <c r="AF4521" s="28"/>
      <c r="AG4521" s="96">
        <f ca="1">F_GAMMA*AG$29</f>
        <v>0.57217930198481592</v>
      </c>
      <c r="AH4521" s="111"/>
      <c r="AI4521" s="28"/>
      <c r="AJ4521" s="96">
        <f ca="1">F_GAMMA*AJ$29</f>
        <v>0.53183282018848232</v>
      </c>
      <c r="AK4521" s="111"/>
      <c r="AL4521" s="28"/>
      <c r="AM4521" s="96">
        <f ca="1">F_GAMMA*AM$29</f>
        <v>0.47566512503094399</v>
      </c>
      <c r="AN4521" s="111"/>
      <c r="AO4521" s="28"/>
      <c r="AP4521" s="96">
        <f ca="1">F_GAMMA*AP$29</f>
        <v>0.59054158265645496</v>
      </c>
      <c r="AQ4521" s="111"/>
      <c r="AR4521" s="28"/>
      <c r="AS4521" s="96">
        <f ca="1">F_GAMMA*AS$29</f>
        <v>0.3766899554102966</v>
      </c>
      <c r="AT4521" s="111"/>
      <c r="AU4521" s="28"/>
    </row>
    <row r="4522" spans="15:47" x14ac:dyDescent="0.25">
      <c r="O4522" s="2" t="s">
        <v>145</v>
      </c>
      <c r="P4522" s="12"/>
      <c r="Q4522" s="2"/>
      <c r="R4522" s="96">
        <f ca="1">IF(R4517&lt;R4521,R4519,R4520)</f>
        <v>81.463154122960518</v>
      </c>
      <c r="S4522" s="116"/>
      <c r="T4522" s="1"/>
      <c r="U4522" s="96">
        <f ca="1">IF(U4517&lt;U4521,U4519,U4520)</f>
        <v>160.4844566144385</v>
      </c>
      <c r="V4522" s="111"/>
      <c r="W4522" s="28"/>
      <c r="X4522" s="96" t="e">
        <f ca="1">IF(X4517&lt;X4521,X4519,X4520)</f>
        <v>#NUM!</v>
      </c>
      <c r="Y4522" s="111"/>
      <c r="Z4522" s="28"/>
      <c r="AA4522" s="96">
        <f ca="1">IF(AA4517&lt;AA4521,AA4519,AA4520)</f>
        <v>-186.04344249738787</v>
      </c>
      <c r="AB4522" s="111"/>
      <c r="AC4522" s="28"/>
      <c r="AD4522" s="96">
        <f ca="1">IF(AD4517&lt;AD4521,AD4519,AD4520)</f>
        <v>-91.85144488195175</v>
      </c>
      <c r="AE4522" s="111"/>
      <c r="AF4522" s="28"/>
      <c r="AG4522" s="96">
        <f ca="1">IF(AG4517&lt;AG4521,AG4519,AG4520)</f>
        <v>-62.690739718667658</v>
      </c>
      <c r="AH4522" s="111"/>
      <c r="AI4522" s="28"/>
      <c r="AJ4522" s="96">
        <f ca="1">IF(AJ4517&lt;AJ4521,AJ4519,AJ4520)</f>
        <v>-49.456495187015342</v>
      </c>
      <c r="AK4522" s="111"/>
      <c r="AL4522" s="28"/>
      <c r="AM4522" s="96">
        <f ca="1">IF(AM4517&lt;AM4521,AM4519,AM4520)</f>
        <v>-45.085597546176842</v>
      </c>
      <c r="AN4522" s="111"/>
      <c r="AO4522" s="28"/>
      <c r="AP4522" s="96">
        <f ca="1">IF(AP4517&lt;AP4521,AP4519,AP4520)</f>
        <v>-39.49220313821673</v>
      </c>
      <c r="AQ4522" s="111"/>
      <c r="AR4522" s="28"/>
      <c r="AS4522" s="96">
        <f ca="1">IF(AS4517&lt;AS4521,AS4519,AS4520)</f>
        <v>-56.284495625585102</v>
      </c>
      <c r="AT4522" s="111"/>
      <c r="AU4522" s="28"/>
    </row>
    <row r="4523" spans="15:47" x14ac:dyDescent="0.25">
      <c r="O4523" s="13" t="s">
        <v>143</v>
      </c>
      <c r="P4523" s="1"/>
      <c r="Q4523" s="1"/>
      <c r="R4523" s="113"/>
      <c r="S4523" s="106">
        <f ca="1">IF(R4516&lt;=0,Q_max,ABS(R$23-R4522))</f>
        <v>76.733154122960514</v>
      </c>
      <c r="T4523" s="7">
        <f>R4512</f>
        <v>180028.65106320006</v>
      </c>
      <c r="U4523" s="98"/>
      <c r="V4523" s="106">
        <f ca="1">IF(U4516&lt;=0,Q_max,ABS(U$23-U4522))</f>
        <v>148.88445661443851</v>
      </c>
      <c r="W4523" s="9">
        <f ca="1">U4512</f>
        <v>282720.65262214019</v>
      </c>
      <c r="X4523" s="98"/>
      <c r="Y4523" s="106">
        <f ca="1">IF(X4516&lt;=0,Q_max,ABS(X$23-X4522))</f>
        <v>236393</v>
      </c>
      <c r="Z4523" s="9">
        <f ca="1">X4512</f>
        <v>692279.02780851512</v>
      </c>
      <c r="AA4523" s="98"/>
      <c r="AB4523" s="106">
        <f ca="1">IF(AA4516&lt;=0,Q_max,ABS(AA$23-AA4522))</f>
        <v>236393</v>
      </c>
      <c r="AC4523" s="9">
        <f ca="1">AA4512</f>
        <v>1348382.8451243842</v>
      </c>
      <c r="AD4523" s="98"/>
      <c r="AE4523" s="106">
        <f ca="1">IF(AD4516&lt;=0,Q_max,ABS(AD$23-AD4522))</f>
        <v>236393</v>
      </c>
      <c r="AF4523" s="9">
        <f ca="1">AD4512</f>
        <v>2262166.9611558639</v>
      </c>
      <c r="AG4523" s="98"/>
      <c r="AH4523" s="106">
        <f ca="1">IF(AG4516&lt;=0,Q_max,ABS(AG$23-AG4522))</f>
        <v>236393</v>
      </c>
      <c r="AI4523" s="9">
        <f ca="1">AG4512</f>
        <v>3301694.2925070482</v>
      </c>
      <c r="AJ4523" s="98"/>
      <c r="AK4523" s="106">
        <f ca="1">IF(AJ4516&lt;=0,Q_max,ABS(AJ$23-AJ4522))</f>
        <v>236393</v>
      </c>
      <c r="AL4523" s="9">
        <f ca="1">AJ4512</f>
        <v>4406123.8325905651</v>
      </c>
      <c r="AM4523" s="98"/>
      <c r="AN4523" s="106">
        <f ca="1">IF(AM4516&lt;=0,Q_max,ABS(AM$23-AM4522))</f>
        <v>236393</v>
      </c>
      <c r="AO4523" s="9">
        <f ca="1">AM4512</f>
        <v>5376308.4153043739</v>
      </c>
      <c r="AP4523" s="98"/>
      <c r="AQ4523" s="106">
        <f ca="1">IF(AP4516&lt;=0,Q_max,ABS(AP$23-AP4522))</f>
        <v>236393</v>
      </c>
      <c r="AR4523" s="9">
        <f ca="1">AP4512</f>
        <v>6241727.1646628529</v>
      </c>
      <c r="AS4523" s="98"/>
      <c r="AT4523" s="106">
        <f ca="1">IF(AS4516&lt;=0,Q_max,ABS(AS$23-AS4522))</f>
        <v>236393</v>
      </c>
      <c r="AU4523" s="9">
        <f ca="1">AS4512</f>
        <v>7318915.9807238085</v>
      </c>
    </row>
    <row r="4524" spans="15:47" x14ac:dyDescent="0.25">
      <c r="O4524" s="21"/>
      <c r="P4524" s="14"/>
      <c r="Q4524" s="21"/>
      <c r="R4524" s="97"/>
      <c r="S4524" s="106"/>
      <c r="T4524" s="28"/>
      <c r="U4524" s="97"/>
      <c r="V4524" s="111"/>
      <c r="W4524" s="28"/>
      <c r="X4524" s="97"/>
      <c r="Y4524" s="111"/>
      <c r="Z4524" s="28"/>
      <c r="AA4524" s="97"/>
      <c r="AB4524" s="111"/>
      <c r="AC4524" s="28"/>
      <c r="AD4524" s="97"/>
      <c r="AE4524" s="111"/>
      <c r="AF4524" s="28"/>
      <c r="AG4524" s="97"/>
      <c r="AH4524" s="111"/>
      <c r="AI4524" s="28"/>
      <c r="AJ4524" s="97"/>
      <c r="AK4524" s="111"/>
      <c r="AL4524" s="28"/>
      <c r="AM4524" s="97"/>
      <c r="AN4524" s="111"/>
      <c r="AO4524" s="28"/>
      <c r="AP4524" s="97"/>
      <c r="AQ4524" s="111"/>
      <c r="AR4524" s="28"/>
      <c r="AS4524" s="97"/>
      <c r="AT4524" s="111"/>
      <c r="AU4524" s="28"/>
    </row>
    <row r="4525" spans="15:47" x14ac:dyDescent="0.25">
      <c r="O4525" s="1"/>
      <c r="P4525" s="1"/>
      <c r="Q4525" s="1"/>
      <c r="R4525" s="98"/>
      <c r="S4525" s="108" t="s">
        <v>137</v>
      </c>
      <c r="T4525" s="26" t="s">
        <v>146</v>
      </c>
      <c r="U4525" s="98"/>
      <c r="V4525" s="108" t="s">
        <v>137</v>
      </c>
      <c r="W4525" s="26" t="s">
        <v>146</v>
      </c>
      <c r="X4525" s="98"/>
      <c r="Y4525" s="108" t="s">
        <v>137</v>
      </c>
      <c r="Z4525" s="26" t="s">
        <v>146</v>
      </c>
      <c r="AA4525" s="98"/>
      <c r="AB4525" s="108" t="s">
        <v>137</v>
      </c>
      <c r="AC4525" s="26" t="s">
        <v>146</v>
      </c>
      <c r="AD4525" s="98"/>
      <c r="AE4525" s="108" t="s">
        <v>137</v>
      </c>
      <c r="AF4525" s="26" t="s">
        <v>146</v>
      </c>
      <c r="AG4525" s="98"/>
      <c r="AH4525" s="108" t="s">
        <v>137</v>
      </c>
      <c r="AI4525" s="26" t="s">
        <v>146</v>
      </c>
      <c r="AJ4525" s="98"/>
      <c r="AK4525" s="108" t="s">
        <v>137</v>
      </c>
      <c r="AL4525" s="26" t="s">
        <v>146</v>
      </c>
      <c r="AM4525" s="98"/>
      <c r="AN4525" s="108" t="s">
        <v>137</v>
      </c>
      <c r="AO4525" s="26" t="s">
        <v>146</v>
      </c>
      <c r="AP4525" s="98"/>
      <c r="AQ4525" s="108" t="s">
        <v>137</v>
      </c>
      <c r="AR4525" s="26" t="s">
        <v>146</v>
      </c>
      <c r="AS4525" s="98"/>
      <c r="AT4525" s="108" t="s">
        <v>137</v>
      </c>
      <c r="AU4525" s="26" t="s">
        <v>146</v>
      </c>
    </row>
    <row r="4526" spans="15:47" ht="13.8" x14ac:dyDescent="0.25">
      <c r="O4526" s="20" t="s">
        <v>136</v>
      </c>
      <c r="P4526" s="1"/>
      <c r="Q4526" s="1"/>
      <c r="R4526" s="96">
        <f>R4512*1.02</f>
        <v>183629.22408446405</v>
      </c>
      <c r="S4526" s="109" t="s">
        <v>144</v>
      </c>
      <c r="T4526" s="23" t="s">
        <v>147</v>
      </c>
      <c r="U4526" s="96">
        <f ca="1">U4512*1.01</f>
        <v>285547.8591483616</v>
      </c>
      <c r="V4526" s="109" t="s">
        <v>144</v>
      </c>
      <c r="W4526" s="23" t="s">
        <v>147</v>
      </c>
      <c r="X4526" s="96">
        <f ca="1">X4512*1.01</f>
        <v>699201.81808660028</v>
      </c>
      <c r="Y4526" s="109" t="s">
        <v>144</v>
      </c>
      <c r="Z4526" s="23" t="s">
        <v>147</v>
      </c>
      <c r="AA4526" s="96">
        <f ca="1">AA4512*1.01</f>
        <v>1361866.6735756281</v>
      </c>
      <c r="AB4526" s="109" t="s">
        <v>144</v>
      </c>
      <c r="AC4526" s="23" t="s">
        <v>147</v>
      </c>
      <c r="AD4526" s="96">
        <f ca="1">AD4512*1.01</f>
        <v>2284788.6307674227</v>
      </c>
      <c r="AE4526" s="109" t="s">
        <v>144</v>
      </c>
      <c r="AF4526" s="23" t="s">
        <v>147</v>
      </c>
      <c r="AG4526" s="96">
        <f ca="1">AG4512*1.01</f>
        <v>3334711.2354321186</v>
      </c>
      <c r="AH4526" s="109" t="s">
        <v>144</v>
      </c>
      <c r="AI4526" s="23" t="s">
        <v>147</v>
      </c>
      <c r="AJ4526" s="96">
        <f ca="1">AJ4512*1.01</f>
        <v>4450185.0709164711</v>
      </c>
      <c r="AK4526" s="109" t="s">
        <v>144</v>
      </c>
      <c r="AL4526" s="23" t="s">
        <v>147</v>
      </c>
      <c r="AM4526" s="96">
        <f ca="1">AM4512*1.01</f>
        <v>5430071.499457418</v>
      </c>
      <c r="AN4526" s="109" t="s">
        <v>144</v>
      </c>
      <c r="AO4526" s="23" t="s">
        <v>147</v>
      </c>
      <c r="AP4526" s="96">
        <f ca="1">AP4512*1.01</f>
        <v>6304144.436309481</v>
      </c>
      <c r="AQ4526" s="109" t="s">
        <v>144</v>
      </c>
      <c r="AR4526" s="23" t="s">
        <v>147</v>
      </c>
      <c r="AS4526" s="96">
        <f ca="1">AS4512*1.01</f>
        <v>7392105.1405310463</v>
      </c>
      <c r="AT4526" s="109" t="s">
        <v>144</v>
      </c>
      <c r="AU4526" s="23" t="s">
        <v>147</v>
      </c>
    </row>
    <row r="4527" spans="15:47" x14ac:dyDescent="0.25">
      <c r="O4527" s="1"/>
      <c r="P4527" s="1"/>
      <c r="Q4527" s="1"/>
      <c r="R4527" s="98"/>
      <c r="S4527" s="107"/>
      <c r="T4527" s="1"/>
      <c r="U4527" s="47"/>
      <c r="V4527" s="107"/>
      <c r="W4527" s="1"/>
      <c r="X4527" s="47"/>
      <c r="Y4527" s="107"/>
      <c r="Z4527" s="1"/>
      <c r="AA4527" s="47"/>
      <c r="AB4527" s="107"/>
      <c r="AC4527" s="1"/>
      <c r="AD4527" s="47"/>
      <c r="AE4527" s="107"/>
      <c r="AF4527" s="1"/>
      <c r="AG4527" s="47"/>
      <c r="AH4527" s="107"/>
      <c r="AI4527" s="1"/>
      <c r="AJ4527" s="47"/>
      <c r="AK4527" s="107"/>
      <c r="AL4527" s="1"/>
      <c r="AM4527" s="47"/>
      <c r="AN4527" s="107"/>
      <c r="AO4527" s="1"/>
      <c r="AP4527" s="47"/>
      <c r="AQ4527" s="107"/>
      <c r="AR4527" s="1"/>
      <c r="AS4527" s="47"/>
      <c r="AT4527" s="107"/>
      <c r="AU4527" s="1"/>
    </row>
    <row r="4528" spans="15:47" x14ac:dyDescent="0.25">
      <c r="O4528" s="8" t="s">
        <v>132</v>
      </c>
      <c r="P4528" s="8"/>
      <c r="Q4528" s="8"/>
      <c r="R4528" s="96">
        <f>P_1_minQ-(R4526^2*R_up)+dpup_minQ</f>
        <v>84.039258752240713</v>
      </c>
      <c r="S4528" s="106"/>
      <c r="T4528" s="22"/>
      <c r="U4528" s="96">
        <f ca="1">P_1_minQ-(U4526^2*R_up)+dpup_minQ</f>
        <v>75.323926927072506</v>
      </c>
      <c r="V4528" s="107"/>
      <c r="W4528" s="1"/>
      <c r="X4528" s="96">
        <f ca="1">P_1_minQ-(X4526^2*R_up)+dpup_minQ</f>
        <v>1.0807462322981951</v>
      </c>
      <c r="Y4528" s="107"/>
      <c r="Z4528" s="1"/>
      <c r="AA4528" s="96">
        <f ca="1">P_1_minQ-(AA4526^2*R_up)+dpup_minQ</f>
        <v>-247.85077873492179</v>
      </c>
      <c r="AB4528" s="107"/>
      <c r="AC4528" s="1"/>
      <c r="AD4528" s="96">
        <f ca="1">P_1_minQ-(AD4526^2*R_up)+dpup_minQ</f>
        <v>-861.26413742391094</v>
      </c>
      <c r="AE4528" s="107"/>
      <c r="AF4528" s="1"/>
      <c r="AG4528" s="96">
        <f ca="1">P_1_minQ-(AG4526^2*R_up)+dpup_minQ</f>
        <v>-1936.6107923610357</v>
      </c>
      <c r="AH4528" s="107"/>
      <c r="AI4528" s="1"/>
      <c r="AJ4528" s="96">
        <f ca="1">P_1_minQ-(AJ4526^2*R_up)+dpup_minQ</f>
        <v>-3519.3368673974628</v>
      </c>
      <c r="AK4528" s="107"/>
      <c r="AL4528" s="1"/>
      <c r="AM4528" s="96">
        <f ca="1">P_1_minQ-(AM4526^2*R_up)+dpup_minQ</f>
        <v>-5283.9012237754923</v>
      </c>
      <c r="AN4528" s="107"/>
      <c r="AO4528" s="1"/>
      <c r="AP4528" s="96">
        <f ca="1">P_1_minQ-(AP4526^2*R_up)+dpup_minQ</f>
        <v>-7153.2713017197157</v>
      </c>
      <c r="AQ4528" s="107"/>
      <c r="AR4528" s="1"/>
      <c r="AS4528" s="96">
        <f ca="1">P_1_minQ-(AS4526^2*R_up)+dpup_minQ</f>
        <v>-9869.1377375933043</v>
      </c>
      <c r="AT4528" s="107"/>
      <c r="AU4528" s="1"/>
    </row>
    <row r="4529" spans="15:47" x14ac:dyDescent="0.25">
      <c r="O4529" s="8" t="s">
        <v>134</v>
      </c>
      <c r="P4529" s="1"/>
      <c r="Q4529" s="8"/>
      <c r="R4529" s="97">
        <f>P_2_minQ+(R4526^2*R_dn)-dpdn_minQ</f>
        <v>60</v>
      </c>
      <c r="S4529" s="106"/>
      <c r="T4529" s="22"/>
      <c r="U4529" s="97">
        <f ca="1">P_2_minQ+(U4526^2*R_dn)-dpdn_minQ</f>
        <v>60</v>
      </c>
      <c r="V4529" s="107"/>
      <c r="W4529" s="1"/>
      <c r="X4529" s="97">
        <f ca="1">P_2_minQ+(X4526^2*R_dn)-dpdn_minQ</f>
        <v>60</v>
      </c>
      <c r="Y4529" s="107"/>
      <c r="Z4529" s="1"/>
      <c r="AA4529" s="97">
        <f ca="1">P_2_minQ+(AA4526^2*R_dn)-dpdn_minQ</f>
        <v>60</v>
      </c>
      <c r="AB4529" s="107"/>
      <c r="AC4529" s="1"/>
      <c r="AD4529" s="97">
        <f ca="1">P_2_minQ+(AD4526^2*R_dn)-dpdn_minQ</f>
        <v>60</v>
      </c>
      <c r="AE4529" s="107"/>
      <c r="AF4529" s="1"/>
      <c r="AG4529" s="97">
        <f ca="1">P_2_minQ+(AG4526^2*R_dn)-dpdn_minQ</f>
        <v>60</v>
      </c>
      <c r="AH4529" s="107"/>
      <c r="AI4529" s="1"/>
      <c r="AJ4529" s="97">
        <f ca="1">P_2_minQ+(AJ4526^2*R_dn)-dpdn_minQ</f>
        <v>60</v>
      </c>
      <c r="AK4529" s="107"/>
      <c r="AL4529" s="1"/>
      <c r="AM4529" s="97">
        <f ca="1">P_2_minQ+(AM4526^2*R_dn)-dpdn_minQ</f>
        <v>60</v>
      </c>
      <c r="AN4529" s="107"/>
      <c r="AO4529" s="1"/>
      <c r="AP4529" s="97">
        <f ca="1">P_2_minQ+(AP4526^2*R_dn)-dpdn_minQ</f>
        <v>60</v>
      </c>
      <c r="AQ4529" s="107"/>
      <c r="AR4529" s="1"/>
      <c r="AS4529" s="97">
        <f ca="1">P_2_minQ+(AS4526^2*R_dn)-dpdn_minQ</f>
        <v>60</v>
      </c>
      <c r="AT4529" s="107"/>
      <c r="AU4529" s="1"/>
    </row>
    <row r="4530" spans="15:47" x14ac:dyDescent="0.25">
      <c r="O4530" s="8" t="s">
        <v>138</v>
      </c>
      <c r="P4530" s="1"/>
      <c r="Q4530" s="8"/>
      <c r="R4530" s="97">
        <f>R4528-R4529</f>
        <v>24.039258752240713</v>
      </c>
      <c r="S4530" s="106"/>
      <c r="T4530" s="22"/>
      <c r="U4530" s="97">
        <f ca="1">U4528-U4529</f>
        <v>15.323926927072506</v>
      </c>
      <c r="V4530" s="110"/>
      <c r="W4530" s="25"/>
      <c r="X4530" s="97">
        <f ca="1">X4528-X4529</f>
        <v>-58.919253767701804</v>
      </c>
      <c r="Y4530" s="110"/>
      <c r="Z4530" s="25"/>
      <c r="AA4530" s="97">
        <f ca="1">AA4528-AA4529</f>
        <v>-307.85077873492179</v>
      </c>
      <c r="AB4530" s="110"/>
      <c r="AC4530" s="25"/>
      <c r="AD4530" s="97">
        <f ca="1">AD4528-AD4529</f>
        <v>-921.26413742391094</v>
      </c>
      <c r="AE4530" s="110"/>
      <c r="AF4530" s="25"/>
      <c r="AG4530" s="97">
        <f ca="1">AG4528-AG4529</f>
        <v>-1996.6107923610357</v>
      </c>
      <c r="AH4530" s="110"/>
      <c r="AI4530" s="25"/>
      <c r="AJ4530" s="97">
        <f ca="1">AJ4528-AJ4529</f>
        <v>-3579.3368673974628</v>
      </c>
      <c r="AK4530" s="110"/>
      <c r="AL4530" s="25"/>
      <c r="AM4530" s="97">
        <f ca="1">AM4528-AM4529</f>
        <v>-5343.9012237754923</v>
      </c>
      <c r="AN4530" s="110"/>
      <c r="AO4530" s="25"/>
      <c r="AP4530" s="97">
        <f ca="1">AP4528-AP4529</f>
        <v>-7213.2713017197157</v>
      </c>
      <c r="AQ4530" s="110"/>
      <c r="AR4530" s="25"/>
      <c r="AS4530" s="97">
        <f ca="1">AS4528-AS4529</f>
        <v>-9929.1377375933043</v>
      </c>
      <c r="AT4530" s="110"/>
      <c r="AU4530" s="25"/>
    </row>
    <row r="4531" spans="15:47" ht="14.4" x14ac:dyDescent="0.3">
      <c r="O4531" s="2" t="s">
        <v>140</v>
      </c>
      <c r="P4531" s="11"/>
      <c r="Q4531" s="2"/>
      <c r="R4531" s="96">
        <f>R4530/R4528</f>
        <v>0.28604796269219546</v>
      </c>
      <c r="S4531" s="106"/>
      <c r="T4531" s="22"/>
      <c r="U4531" s="96">
        <f ca="1">U4530/U4528</f>
        <v>0.20344036154552725</v>
      </c>
      <c r="V4531" s="111"/>
      <c r="W4531" s="28"/>
      <c r="X4531" s="96">
        <f ca="1">X4530/X4528</f>
        <v>-54.517195625480603</v>
      </c>
      <c r="Y4531" s="111"/>
      <c r="Z4531" s="28"/>
      <c r="AA4531" s="96">
        <f ca="1">AA4530/AA4528</f>
        <v>1.2420811437682446</v>
      </c>
      <c r="AB4531" s="111"/>
      <c r="AC4531" s="28"/>
      <c r="AD4531" s="96">
        <f ca="1">AD4530/AD4528</f>
        <v>1.0696650393216922</v>
      </c>
      <c r="AE4531" s="111"/>
      <c r="AF4531" s="28"/>
      <c r="AG4531" s="96">
        <f ca="1">AG4530/AG4528</f>
        <v>1.0309819609787729</v>
      </c>
      <c r="AH4531" s="111"/>
      <c r="AI4531" s="28"/>
      <c r="AJ4531" s="96">
        <f ca="1">AJ4530/AJ4528</f>
        <v>1.0170486663427505</v>
      </c>
      <c r="AK4531" s="111"/>
      <c r="AL4531" s="28"/>
      <c r="AM4531" s="96">
        <f ca="1">AM4530/AM4528</f>
        <v>1.0113552463339064</v>
      </c>
      <c r="AN4531" s="111"/>
      <c r="AO4531" s="28"/>
      <c r="AP4531" s="96">
        <f ca="1">AP4530/AP4528</f>
        <v>1.0083877707791644</v>
      </c>
      <c r="AQ4531" s="111"/>
      <c r="AR4531" s="28"/>
      <c r="AS4531" s="96">
        <f ca="1">AS4530/AS4528</f>
        <v>1.0060795584776823</v>
      </c>
      <c r="AT4531" s="111"/>
      <c r="AU4531" s="28"/>
    </row>
    <row r="4532" spans="15:47" x14ac:dyDescent="0.25">
      <c r="O4532" s="2" t="s">
        <v>21</v>
      </c>
      <c r="P4532" s="8">
        <v>12</v>
      </c>
      <c r="Q4532" s="2"/>
      <c r="R4532" s="96">
        <f ca="1">1-R4531/(3*F_GAMMA*R$29)</f>
        <v>0.85102359895518276</v>
      </c>
      <c r="S4532" s="106"/>
      <c r="T4532" s="22"/>
      <c r="U4532" s="96">
        <f ca="1">1-U4531/(3*F_GAMMA*U$29)</f>
        <v>0.89407100947538687</v>
      </c>
      <c r="V4532" s="111"/>
      <c r="W4532" s="28"/>
      <c r="X4532" s="96">
        <f ca="1">1-X4531/(3*F_GAMMA*X$29)</f>
        <v>29.656818255040772</v>
      </c>
      <c r="Y4532" s="111"/>
      <c r="Z4532" s="28"/>
      <c r="AA4532" s="96">
        <f ca="1">1-AA4531/(3*F_GAMMA*AA$29)</f>
        <v>0.3379000804007033</v>
      </c>
      <c r="AB4532" s="111"/>
      <c r="AC4532" s="28"/>
      <c r="AD4532" s="96">
        <f ca="1">1-AD4531/(3*F_GAMMA*AD$29)</f>
        <v>0.41212362592877838</v>
      </c>
      <c r="AE4532" s="111"/>
      <c r="AF4532" s="28"/>
      <c r="AG4532" s="96">
        <f ca="1">1-AG4531/(3*F_GAMMA*AG$29)</f>
        <v>0.39938293386797341</v>
      </c>
      <c r="AH4532" s="111"/>
      <c r="AI4532" s="28"/>
      <c r="AJ4532" s="96">
        <f ca="1">1-AJ4531/(3*F_GAMMA*AJ$29)</f>
        <v>0.36255114531272759</v>
      </c>
      <c r="AK4532" s="111"/>
      <c r="AL4532" s="28"/>
      <c r="AM4532" s="96">
        <f ca="1">1-AM4531/(3*F_GAMMA*AM$29)</f>
        <v>0.29126942946951484</v>
      </c>
      <c r="AN4532" s="111"/>
      <c r="AO4532" s="28"/>
      <c r="AP4532" s="96">
        <f ca="1">1-AP4531/(3*F_GAMMA*AP$29)</f>
        <v>0.43081187371367557</v>
      </c>
      <c r="AQ4532" s="111"/>
      <c r="AR4532" s="28"/>
      <c r="AS4532" s="96">
        <f ca="1">1-AS4531/(3*F_GAMMA*AS$29)</f>
        <v>0.10971915229166418</v>
      </c>
      <c r="AT4532" s="111"/>
      <c r="AU4532" s="28"/>
    </row>
    <row r="4533" spans="15:47" x14ac:dyDescent="0.25">
      <c r="O4533" s="2" t="s">
        <v>57</v>
      </c>
      <c r="P4533" s="143">
        <v>7</v>
      </c>
      <c r="Q4533" s="2"/>
      <c r="R4533" s="96">
        <f ca="1">(R4526/(N_9*R$27*R4528*R4532))*SQRT(M*'Valve Sizing'!$W$6*'Valve Sizing'!$G$8/R4531)</f>
        <v>83.518865712528779</v>
      </c>
      <c r="S4533" s="107"/>
      <c r="T4533" s="22"/>
      <c r="U4533" s="96">
        <f ca="1">(U4526/(N_9*U$27*U4528*U4532))*SQRT(M*'Valve Sizing'!$W$6*'Valve Sizing'!$G$8/U4531)</f>
        <v>163.6538703744254</v>
      </c>
      <c r="V4533" s="111"/>
      <c r="W4533" s="28"/>
      <c r="X4533" s="96" t="e">
        <f ca="1">(X4526/(N_9*X$27*X4528*X4532))*SQRT(M*'Valve Sizing'!$W$6*'Valve Sizing'!$G$8/X4531)</f>
        <v>#NUM!</v>
      </c>
      <c r="Y4533" s="111"/>
      <c r="Z4533" s="28"/>
      <c r="AA4533" s="96">
        <f ca="1">(AA4526/(N_9*AA$27*AA4528*AA4532))*SQRT(M*'Valve Sizing'!$W$6*'Valve Sizing'!$G$8/AA4531)</f>
        <v>-256.10622945015103</v>
      </c>
      <c r="AB4533" s="111"/>
      <c r="AC4533" s="28"/>
      <c r="AD4533" s="96">
        <f ca="1">(AD4526/(N_9*AD$27*AD4528*AD4532))*SQRT(M*'Valve Sizing'!$W$6*'Valve Sizing'!$G$8/AD4531)</f>
        <v>-110.59723725396384</v>
      </c>
      <c r="AE4533" s="111"/>
      <c r="AF4533" s="28"/>
      <c r="AG4533" s="96">
        <f ca="1">(AG4526/(N_9*AG$27*AG4528*AG4532))*SQRT(M*'Valve Sizing'!$W$6*'Valve Sizing'!$G$8/AG4531)</f>
        <v>-77.152888200586276</v>
      </c>
      <c r="AH4533" s="111"/>
      <c r="AI4533" s="28"/>
      <c r="AJ4533" s="96">
        <f ca="1">(AJ4526/(N_9*AJ$27*AJ4528*AJ4532))*SQRT(M*'Valve Sizing'!$W$6*'Valve Sizing'!$G$8/AJ4531)</f>
        <v>-65.110564921744896</v>
      </c>
      <c r="AK4533" s="111"/>
      <c r="AL4533" s="28"/>
      <c r="AM4533" s="96">
        <f ca="1">(AM4526/(N_9*AM$27*AM4528*AM4532))*SQRT(M*'Valve Sizing'!$W$6*'Valve Sizing'!$G$8/AM4531)</f>
        <v>-70.08049455880402</v>
      </c>
      <c r="AN4533" s="111"/>
      <c r="AO4533" s="28"/>
      <c r="AP4533" s="96">
        <f ca="1">(AP4526/(N_9*AP$27*AP4528*AP4532))*SQRT(M*'Valve Sizing'!$W$6*'Valve Sizing'!$G$8/AP4531)</f>
        <v>-46.315840066684792</v>
      </c>
      <c r="AQ4533" s="111"/>
      <c r="AR4533" s="28"/>
      <c r="AS4533" s="96">
        <f ca="1">(AS4526/(N_9*AS$27*AS4528*AS4532))*SQRT(M*'Valve Sizing'!$W$6*'Valve Sizing'!$G$8/AS4531)</f>
        <v>-207.25588732026915</v>
      </c>
      <c r="AT4533" s="111"/>
      <c r="AU4533" s="28"/>
    </row>
    <row r="4534" spans="15:47" x14ac:dyDescent="0.25">
      <c r="O4534" s="2" t="s">
        <v>59</v>
      </c>
      <c r="P4534" s="143">
        <v>7</v>
      </c>
      <c r="Q4534" s="2"/>
      <c r="R4534" s="96">
        <f ca="1">(R4526/(N_9*R$27*R4528*0.667))*SQRT(M*'Valve Sizing'!$W$6*'Valve Sizing'!$G$8/R4535)</f>
        <v>71.239313116987688</v>
      </c>
      <c r="S4534" s="107"/>
      <c r="T4534" s="22"/>
      <c r="U4534" s="96">
        <f ca="1">(U4526/(N_9*U$27*U4528*0.667))*SQRT(M*'Valve Sizing'!$W$6*'Valve Sizing'!$G$8/U4535)</f>
        <v>123.6632066941288</v>
      </c>
      <c r="V4534" s="111"/>
      <c r="W4534" s="28"/>
      <c r="X4534" s="96">
        <f ca="1">(X4526/(N_9*X$27*X4528*0.667))*SQRT(M*'Valve Sizing'!$W$6*'Valve Sizing'!$G$8/X4535)</f>
        <v>21253.494222406203</v>
      </c>
      <c r="Y4534" s="111"/>
      <c r="Z4534" s="28"/>
      <c r="AA4534" s="96">
        <f ca="1">(AA4526/(N_9*AA$27*AA4528*0.667))*SQRT(M*'Valve Sizing'!$W$6*'Valve Sizing'!$G$8/AA4535)</f>
        <v>-182.85422451300104</v>
      </c>
      <c r="AB4534" s="111"/>
      <c r="AC4534" s="28"/>
      <c r="AD4534" s="96">
        <f ca="1">(AD4526/(N_9*AD$27*AD4528*0.667))*SQRT(M*'Valve Sizing'!$W$6*'Valve Sizing'!$G$8/AD4535)</f>
        <v>-90.750617194593843</v>
      </c>
      <c r="AE4534" s="111"/>
      <c r="AF4534" s="28"/>
      <c r="AG4534" s="96">
        <f ca="1">(AG4526/(N_9*AG$27*AG4528*0.667))*SQRT(M*'Valve Sizing'!$W$6*'Valve Sizing'!$G$8/AG4535)</f>
        <v>-62.011940114363703</v>
      </c>
      <c r="AH4534" s="111"/>
      <c r="AI4534" s="28"/>
      <c r="AJ4534" s="96">
        <f ca="1">(AJ4526/(N_9*AJ$27*AJ4528*0.667))*SQRT(M*'Valve Sizing'!$W$6*'Valve Sizing'!$G$8/AJ4535)</f>
        <v>-48.941605372905094</v>
      </c>
      <c r="AK4534" s="111"/>
      <c r="AL4534" s="28"/>
      <c r="AM4534" s="96">
        <f ca="1">(AM4526/(N_9*AM$27*AM4528*0.667))*SQRT(M*'Valve Sizing'!$W$6*'Valve Sizing'!$G$8/AM4535)</f>
        <v>-44.623891361313987</v>
      </c>
      <c r="AN4534" s="111"/>
      <c r="AO4534" s="28"/>
      <c r="AP4534" s="96">
        <f ca="1">(AP4526/(N_9*AP$27*AP4528*0.667))*SQRT(M*'Valve Sizing'!$W$6*'Valve Sizing'!$G$8/AP4535)</f>
        <v>-39.091282544799725</v>
      </c>
      <c r="AQ4534" s="111"/>
      <c r="AR4534" s="28"/>
      <c r="AS4534" s="96">
        <f ca="1">(AS4526/(N_9*AS$27*AS4528*0.667))*SQRT(M*'Valve Sizing'!$W$6*'Valve Sizing'!$G$8/AS4535)</f>
        <v>-55.716987663190388</v>
      </c>
      <c r="AT4534" s="111"/>
      <c r="AU4534" s="28"/>
    </row>
    <row r="4535" spans="15:47" ht="15.6" x14ac:dyDescent="0.35">
      <c r="O4535" s="2" t="s">
        <v>68</v>
      </c>
      <c r="P4535" s="143">
        <v>10</v>
      </c>
      <c r="Q4535" s="2"/>
      <c r="R4535" s="96">
        <f ca="1">F_GAMMA*R$29</f>
        <v>0.64002969751372984</v>
      </c>
      <c r="S4535" s="107"/>
      <c r="T4535" s="1"/>
      <c r="U4535" s="96">
        <f ca="1">F_GAMMA*U$29</f>
        <v>0.64017842058782071</v>
      </c>
      <c r="V4535" s="111"/>
      <c r="W4535" s="28"/>
      <c r="X4535" s="96">
        <f ca="1">F_GAMMA*X$29</f>
        <v>0.63413873724904268</v>
      </c>
      <c r="Y4535" s="111"/>
      <c r="Z4535" s="28"/>
      <c r="AA4535" s="96">
        <f ca="1">F_GAMMA*AA$29</f>
        <v>0.62532411750377137</v>
      </c>
      <c r="AB4535" s="111"/>
      <c r="AC4535" s="28"/>
      <c r="AD4535" s="96">
        <f ca="1">F_GAMMA*AD$29</f>
        <v>0.60651359509139569</v>
      </c>
      <c r="AE4535" s="111"/>
      <c r="AF4535" s="28"/>
      <c r="AG4535" s="96">
        <f ca="1">F_GAMMA*AG$29</f>
        <v>0.57217930198481592</v>
      </c>
      <c r="AH4535" s="111"/>
      <c r="AI4535" s="28"/>
      <c r="AJ4535" s="96">
        <f ca="1">F_GAMMA*AJ$29</f>
        <v>0.53183282018848232</v>
      </c>
      <c r="AK4535" s="111"/>
      <c r="AL4535" s="28"/>
      <c r="AM4535" s="96">
        <f ca="1">F_GAMMA*AM$29</f>
        <v>0.47566512503094399</v>
      </c>
      <c r="AN4535" s="111"/>
      <c r="AO4535" s="28"/>
      <c r="AP4535" s="96">
        <f ca="1">F_GAMMA*AP$29</f>
        <v>0.59054158265645496</v>
      </c>
      <c r="AQ4535" s="111"/>
      <c r="AR4535" s="28"/>
      <c r="AS4535" s="96">
        <f ca="1">F_GAMMA*AS$29</f>
        <v>0.3766899554102966</v>
      </c>
      <c r="AT4535" s="111"/>
      <c r="AU4535" s="28"/>
    </row>
    <row r="4536" spans="15:47" x14ac:dyDescent="0.25">
      <c r="O4536" s="2" t="s">
        <v>145</v>
      </c>
      <c r="P4536" s="12"/>
      <c r="Q4536" s="2"/>
      <c r="R4536" s="96">
        <f ca="1">IF(R4531&lt;R4535,R4533,R4534)</f>
        <v>83.518865712528779</v>
      </c>
      <c r="S4536" s="116"/>
      <c r="T4536" s="1"/>
      <c r="U4536" s="96">
        <f ca="1">IF(U4531&lt;U4535,U4533,U4534)</f>
        <v>163.6538703744254</v>
      </c>
      <c r="V4536" s="111"/>
      <c r="W4536" s="28"/>
      <c r="X4536" s="96" t="e">
        <f ca="1">IF(X4531&lt;X4535,X4533,X4534)</f>
        <v>#NUM!</v>
      </c>
      <c r="Y4536" s="111"/>
      <c r="Z4536" s="28"/>
      <c r="AA4536" s="96">
        <f ca="1">IF(AA4531&lt;AA4535,AA4533,AA4534)</f>
        <v>-182.85422451300104</v>
      </c>
      <c r="AB4536" s="111"/>
      <c r="AC4536" s="28"/>
      <c r="AD4536" s="96">
        <f ca="1">IF(AD4531&lt;AD4535,AD4533,AD4534)</f>
        <v>-90.750617194593843</v>
      </c>
      <c r="AE4536" s="111"/>
      <c r="AF4536" s="28"/>
      <c r="AG4536" s="96">
        <f ca="1">IF(AG4531&lt;AG4535,AG4533,AG4534)</f>
        <v>-62.011940114363703</v>
      </c>
      <c r="AH4536" s="111"/>
      <c r="AI4536" s="28"/>
      <c r="AJ4536" s="96">
        <f ca="1">IF(AJ4531&lt;AJ4535,AJ4533,AJ4534)</f>
        <v>-48.941605372905094</v>
      </c>
      <c r="AK4536" s="111"/>
      <c r="AL4536" s="28"/>
      <c r="AM4536" s="96">
        <f ca="1">IF(AM4531&lt;AM4535,AM4533,AM4534)</f>
        <v>-44.623891361313987</v>
      </c>
      <c r="AN4536" s="111"/>
      <c r="AO4536" s="28"/>
      <c r="AP4536" s="96">
        <f ca="1">IF(AP4531&lt;AP4535,AP4533,AP4534)</f>
        <v>-39.091282544799725</v>
      </c>
      <c r="AQ4536" s="111"/>
      <c r="AR4536" s="28"/>
      <c r="AS4536" s="96">
        <f ca="1">IF(AS4531&lt;AS4535,AS4533,AS4534)</f>
        <v>-55.716987663190388</v>
      </c>
      <c r="AT4536" s="111"/>
      <c r="AU4536" s="28"/>
    </row>
    <row r="4537" spans="15:47" x14ac:dyDescent="0.25">
      <c r="O4537" s="13" t="s">
        <v>143</v>
      </c>
      <c r="P4537" s="1"/>
      <c r="Q4537" s="1"/>
      <c r="R4537" s="113"/>
      <c r="S4537" s="106">
        <f ca="1">IF(R4530&lt;=0,Q_max,ABS(R$23-R4536))</f>
        <v>78.788865712528775</v>
      </c>
      <c r="T4537" s="7">
        <f>R4526</f>
        <v>183629.22408446405</v>
      </c>
      <c r="U4537" s="98"/>
      <c r="V4537" s="106">
        <f ca="1">IF(U4530&lt;=0,Q_max,ABS(U$23-U4536))</f>
        <v>152.0538703744254</v>
      </c>
      <c r="W4537" s="9">
        <f ca="1">U4526</f>
        <v>285547.8591483616</v>
      </c>
      <c r="X4537" s="98"/>
      <c r="Y4537" s="106">
        <f ca="1">IF(X4530&lt;=0,Q_max,ABS(X$23-X4536))</f>
        <v>236393</v>
      </c>
      <c r="Z4537" s="9">
        <f ca="1">X4526</f>
        <v>699201.81808660028</v>
      </c>
      <c r="AA4537" s="98"/>
      <c r="AB4537" s="106">
        <f ca="1">IF(AA4530&lt;=0,Q_max,ABS(AA$23-AA4536))</f>
        <v>236393</v>
      </c>
      <c r="AC4537" s="9">
        <f ca="1">AA4526</f>
        <v>1361866.6735756281</v>
      </c>
      <c r="AD4537" s="98"/>
      <c r="AE4537" s="106">
        <f ca="1">IF(AD4530&lt;=0,Q_max,ABS(AD$23-AD4536))</f>
        <v>236393</v>
      </c>
      <c r="AF4537" s="9">
        <f ca="1">AD4526</f>
        <v>2284788.6307674227</v>
      </c>
      <c r="AG4537" s="98"/>
      <c r="AH4537" s="106">
        <f ca="1">IF(AG4530&lt;=0,Q_max,ABS(AG$23-AG4536))</f>
        <v>236393</v>
      </c>
      <c r="AI4537" s="9">
        <f ca="1">AG4526</f>
        <v>3334711.2354321186</v>
      </c>
      <c r="AJ4537" s="98"/>
      <c r="AK4537" s="106">
        <f ca="1">IF(AJ4530&lt;=0,Q_max,ABS(AJ$23-AJ4536))</f>
        <v>236393</v>
      </c>
      <c r="AL4537" s="9">
        <f ca="1">AJ4526</f>
        <v>4450185.0709164711</v>
      </c>
      <c r="AM4537" s="98"/>
      <c r="AN4537" s="106">
        <f ca="1">IF(AM4530&lt;=0,Q_max,ABS(AM$23-AM4536))</f>
        <v>236393</v>
      </c>
      <c r="AO4537" s="9">
        <f ca="1">AM4526</f>
        <v>5430071.499457418</v>
      </c>
      <c r="AP4537" s="98"/>
      <c r="AQ4537" s="106">
        <f ca="1">IF(AP4530&lt;=0,Q_max,ABS(AP$23-AP4536))</f>
        <v>236393</v>
      </c>
      <c r="AR4537" s="9">
        <f ca="1">AP4526</f>
        <v>6304144.436309481</v>
      </c>
      <c r="AS4537" s="98"/>
      <c r="AT4537" s="106">
        <f ca="1">IF(AS4530&lt;=0,Q_max,ABS(AS$23-AS4536))</f>
        <v>236393</v>
      </c>
      <c r="AU4537" s="9">
        <f ca="1">AS4526</f>
        <v>7392105.1405310463</v>
      </c>
    </row>
    <row r="4538" spans="15:47" x14ac:dyDescent="0.25">
      <c r="O4538" s="21"/>
      <c r="P4538" s="14"/>
      <c r="Q4538" s="21"/>
      <c r="R4538" s="97"/>
      <c r="S4538" s="106"/>
      <c r="T4538" s="28"/>
      <c r="U4538" s="97"/>
      <c r="V4538" s="111"/>
      <c r="W4538" s="28"/>
      <c r="X4538" s="97"/>
      <c r="Y4538" s="111"/>
      <c r="Z4538" s="28"/>
      <c r="AA4538" s="97"/>
      <c r="AB4538" s="111"/>
      <c r="AC4538" s="28"/>
      <c r="AD4538" s="97"/>
      <c r="AE4538" s="111"/>
      <c r="AF4538" s="28"/>
      <c r="AG4538" s="97"/>
      <c r="AH4538" s="111"/>
      <c r="AI4538" s="28"/>
      <c r="AJ4538" s="97"/>
      <c r="AK4538" s="111"/>
      <c r="AL4538" s="28"/>
      <c r="AM4538" s="97"/>
      <c r="AN4538" s="111"/>
      <c r="AO4538" s="28"/>
      <c r="AP4538" s="97"/>
      <c r="AQ4538" s="111"/>
      <c r="AR4538" s="28"/>
      <c r="AS4538" s="97"/>
      <c r="AT4538" s="111"/>
      <c r="AU4538" s="28"/>
    </row>
    <row r="4539" spans="15:47" x14ac:dyDescent="0.25">
      <c r="O4539" s="1"/>
      <c r="P4539" s="1"/>
      <c r="Q4539" s="1"/>
      <c r="R4539" s="98"/>
      <c r="S4539" s="108" t="s">
        <v>137</v>
      </c>
      <c r="T4539" s="26" t="s">
        <v>146</v>
      </c>
      <c r="U4539" s="98"/>
      <c r="V4539" s="108" t="s">
        <v>137</v>
      </c>
      <c r="W4539" s="26" t="s">
        <v>146</v>
      </c>
      <c r="X4539" s="98"/>
      <c r="Y4539" s="108" t="s">
        <v>137</v>
      </c>
      <c r="Z4539" s="26" t="s">
        <v>146</v>
      </c>
      <c r="AA4539" s="98"/>
      <c r="AB4539" s="108" t="s">
        <v>137</v>
      </c>
      <c r="AC4539" s="26" t="s">
        <v>146</v>
      </c>
      <c r="AD4539" s="98"/>
      <c r="AE4539" s="108" t="s">
        <v>137</v>
      </c>
      <c r="AF4539" s="26" t="s">
        <v>146</v>
      </c>
      <c r="AG4539" s="98"/>
      <c r="AH4539" s="108" t="s">
        <v>137</v>
      </c>
      <c r="AI4539" s="26" t="s">
        <v>146</v>
      </c>
      <c r="AJ4539" s="98"/>
      <c r="AK4539" s="108" t="s">
        <v>137</v>
      </c>
      <c r="AL4539" s="26" t="s">
        <v>146</v>
      </c>
      <c r="AM4539" s="98"/>
      <c r="AN4539" s="108" t="s">
        <v>137</v>
      </c>
      <c r="AO4539" s="26" t="s">
        <v>146</v>
      </c>
      <c r="AP4539" s="98"/>
      <c r="AQ4539" s="108" t="s">
        <v>137</v>
      </c>
      <c r="AR4539" s="26" t="s">
        <v>146</v>
      </c>
      <c r="AS4539" s="98"/>
      <c r="AT4539" s="108" t="s">
        <v>137</v>
      </c>
      <c r="AU4539" s="26" t="s">
        <v>146</v>
      </c>
    </row>
    <row r="4540" spans="15:47" ht="13.8" x14ac:dyDescent="0.25">
      <c r="O4540" s="20" t="s">
        <v>136</v>
      </c>
      <c r="P4540" s="1"/>
      <c r="Q4540" s="1"/>
      <c r="R4540" s="96">
        <f>R4526*1.02</f>
        <v>187301.80856615334</v>
      </c>
      <c r="S4540" s="109" t="s">
        <v>144</v>
      </c>
      <c r="T4540" s="23" t="s">
        <v>147</v>
      </c>
      <c r="U4540" s="96">
        <f ca="1">U4526*1.01</f>
        <v>288403.33773984521</v>
      </c>
      <c r="V4540" s="109" t="s">
        <v>144</v>
      </c>
      <c r="W4540" s="23" t="s">
        <v>147</v>
      </c>
      <c r="X4540" s="96">
        <f ca="1">X4526*1.01</f>
        <v>706193.83626746631</v>
      </c>
      <c r="Y4540" s="109" t="s">
        <v>144</v>
      </c>
      <c r="Z4540" s="23" t="s">
        <v>147</v>
      </c>
      <c r="AA4540" s="96">
        <f ca="1">AA4526*1.01</f>
        <v>1375485.3403113843</v>
      </c>
      <c r="AB4540" s="109" t="s">
        <v>144</v>
      </c>
      <c r="AC4540" s="23" t="s">
        <v>147</v>
      </c>
      <c r="AD4540" s="96">
        <f ca="1">AD4526*1.01</f>
        <v>2307636.5170750972</v>
      </c>
      <c r="AE4540" s="109" t="s">
        <v>144</v>
      </c>
      <c r="AF4540" s="23" t="s">
        <v>147</v>
      </c>
      <c r="AG4540" s="96">
        <f ca="1">AG4526*1.01</f>
        <v>3368058.34778644</v>
      </c>
      <c r="AH4540" s="109" t="s">
        <v>144</v>
      </c>
      <c r="AI4540" s="23" t="s">
        <v>147</v>
      </c>
      <c r="AJ4540" s="96">
        <f ca="1">AJ4526*1.01</f>
        <v>4494686.9216256356</v>
      </c>
      <c r="AK4540" s="109" t="s">
        <v>144</v>
      </c>
      <c r="AL4540" s="23" t="s">
        <v>147</v>
      </c>
      <c r="AM4540" s="96">
        <f ca="1">AM4526*1.01</f>
        <v>5484372.214451992</v>
      </c>
      <c r="AN4540" s="109" t="s">
        <v>144</v>
      </c>
      <c r="AO4540" s="23" t="s">
        <v>147</v>
      </c>
      <c r="AP4540" s="96">
        <f ca="1">AP4526*1.01</f>
        <v>6367185.8806725759</v>
      </c>
      <c r="AQ4540" s="109" t="s">
        <v>144</v>
      </c>
      <c r="AR4540" s="23" t="s">
        <v>147</v>
      </c>
      <c r="AS4540" s="96">
        <f ca="1">AS4526*1.01</f>
        <v>7466026.1919363569</v>
      </c>
      <c r="AT4540" s="109" t="s">
        <v>144</v>
      </c>
      <c r="AU4540" s="23" t="s">
        <v>147</v>
      </c>
    </row>
    <row r="4541" spans="15:47" x14ac:dyDescent="0.25">
      <c r="O4541" s="1"/>
      <c r="P4541" s="1"/>
      <c r="Q4541" s="1"/>
      <c r="R4541" s="98"/>
      <c r="S4541" s="107"/>
      <c r="T4541" s="1"/>
      <c r="U4541" s="47"/>
      <c r="V4541" s="107"/>
      <c r="W4541" s="1"/>
      <c r="X4541" s="47"/>
      <c r="Y4541" s="107"/>
      <c r="Z4541" s="1"/>
      <c r="AA4541" s="47"/>
      <c r="AB4541" s="107"/>
      <c r="AC4541" s="1"/>
      <c r="AD4541" s="47"/>
      <c r="AE4541" s="107"/>
      <c r="AF4541" s="1"/>
      <c r="AG4541" s="47"/>
      <c r="AH4541" s="107"/>
      <c r="AI4541" s="1"/>
      <c r="AJ4541" s="47"/>
      <c r="AK4541" s="107"/>
      <c r="AL4541" s="1"/>
      <c r="AM4541" s="47"/>
      <c r="AN4541" s="107"/>
      <c r="AO4541" s="1"/>
      <c r="AP4541" s="47"/>
      <c r="AQ4541" s="107"/>
      <c r="AR4541" s="1"/>
      <c r="AS4541" s="47"/>
      <c r="AT4541" s="107"/>
      <c r="AU4541" s="1"/>
    </row>
    <row r="4542" spans="15:47" x14ac:dyDescent="0.25">
      <c r="O4542" s="8" t="s">
        <v>132</v>
      </c>
      <c r="P4542" s="8"/>
      <c r="Q4542" s="8"/>
      <c r="R4542" s="96">
        <f>P_1_minQ-(R4540^2*R_up)+dpup_minQ</f>
        <v>83.790969168408907</v>
      </c>
      <c r="S4542" s="106"/>
      <c r="T4542" s="22"/>
      <c r="U4542" s="96">
        <f ca="1">P_1_minQ-(U4540^2*R_up)+dpup_minQ</f>
        <v>75.025218543648535</v>
      </c>
      <c r="V4542" s="107"/>
      <c r="W4542" s="1"/>
      <c r="X4542" s="96">
        <f ca="1">P_1_minQ-(X4540^2*R_up)+dpup_minQ</f>
        <v>-0.71025008309074289</v>
      </c>
      <c r="Y4542" s="107"/>
      <c r="Z4542" s="1"/>
      <c r="AA4542" s="96">
        <f ca="1">P_1_minQ-(AA4540^2*R_up)+dpup_minQ</f>
        <v>-254.64529870215182</v>
      </c>
      <c r="AB4542" s="107"/>
      <c r="AC4542" s="1"/>
      <c r="AD4542" s="96">
        <f ca="1">P_1_minQ-(AD4540^2*R_up)+dpup_minQ</f>
        <v>-880.38826590078997</v>
      </c>
      <c r="AE4542" s="107"/>
      <c r="AF4542" s="1"/>
      <c r="AG4542" s="96">
        <f ca="1">P_1_minQ-(AG4540^2*R_up)+dpup_minQ</f>
        <v>-1977.3493886021508</v>
      </c>
      <c r="AH4542" s="107"/>
      <c r="AI4542" s="1"/>
      <c r="AJ4542" s="96">
        <f ca="1">P_1_minQ-(AJ4540^2*R_up)+dpup_minQ</f>
        <v>-3591.8882577468094</v>
      </c>
      <c r="AK4542" s="107"/>
      <c r="AL4542" s="1"/>
      <c r="AM4542" s="96">
        <f ca="1">P_1_minQ-(AM4540^2*R_up)+dpup_minQ</f>
        <v>-5391.9203576880382</v>
      </c>
      <c r="AN4542" s="107"/>
      <c r="AO4542" s="1"/>
      <c r="AP4542" s="96">
        <f ca="1">P_1_minQ-(AP4540^2*R_up)+dpup_minQ</f>
        <v>-7298.8647741989407</v>
      </c>
      <c r="AQ4542" s="107"/>
      <c r="AR4542" s="1"/>
      <c r="AS4542" s="96">
        <f ca="1">P_1_minQ-(AS4540^2*R_up)+dpup_minQ</f>
        <v>-10069.320125433589</v>
      </c>
      <c r="AT4542" s="107"/>
      <c r="AU4542" s="1"/>
    </row>
    <row r="4543" spans="15:47" x14ac:dyDescent="0.25">
      <c r="O4543" s="8" t="s">
        <v>134</v>
      </c>
      <c r="P4543" s="1"/>
      <c r="Q4543" s="8"/>
      <c r="R4543" s="97">
        <f>P_2_minQ+(R4540^2*R_dn)-dpdn_minQ</f>
        <v>60</v>
      </c>
      <c r="S4543" s="106"/>
      <c r="T4543" s="22"/>
      <c r="U4543" s="97">
        <f ca="1">P_2_minQ+(U4540^2*R_dn)-dpdn_minQ</f>
        <v>60</v>
      </c>
      <c r="V4543" s="107"/>
      <c r="W4543" s="1"/>
      <c r="X4543" s="97">
        <f ca="1">P_2_minQ+(X4540^2*R_dn)-dpdn_minQ</f>
        <v>60</v>
      </c>
      <c r="Y4543" s="107"/>
      <c r="Z4543" s="1"/>
      <c r="AA4543" s="97">
        <f ca="1">P_2_minQ+(AA4540^2*R_dn)-dpdn_minQ</f>
        <v>60</v>
      </c>
      <c r="AB4543" s="107"/>
      <c r="AC4543" s="1"/>
      <c r="AD4543" s="97">
        <f ca="1">P_2_minQ+(AD4540^2*R_dn)-dpdn_minQ</f>
        <v>60</v>
      </c>
      <c r="AE4543" s="107"/>
      <c r="AF4543" s="1"/>
      <c r="AG4543" s="97">
        <f ca="1">P_2_minQ+(AG4540^2*R_dn)-dpdn_minQ</f>
        <v>60</v>
      </c>
      <c r="AH4543" s="107"/>
      <c r="AI4543" s="1"/>
      <c r="AJ4543" s="97">
        <f ca="1">P_2_minQ+(AJ4540^2*R_dn)-dpdn_minQ</f>
        <v>60</v>
      </c>
      <c r="AK4543" s="107"/>
      <c r="AL4543" s="1"/>
      <c r="AM4543" s="97">
        <f ca="1">P_2_minQ+(AM4540^2*R_dn)-dpdn_minQ</f>
        <v>60</v>
      </c>
      <c r="AN4543" s="107"/>
      <c r="AO4543" s="1"/>
      <c r="AP4543" s="97">
        <f ca="1">P_2_minQ+(AP4540^2*R_dn)-dpdn_minQ</f>
        <v>60</v>
      </c>
      <c r="AQ4543" s="107"/>
      <c r="AR4543" s="1"/>
      <c r="AS4543" s="97">
        <f ca="1">P_2_minQ+(AS4540^2*R_dn)-dpdn_minQ</f>
        <v>60</v>
      </c>
      <c r="AT4543" s="107"/>
      <c r="AU4543" s="1"/>
    </row>
    <row r="4544" spans="15:47" x14ac:dyDescent="0.25">
      <c r="O4544" s="8" t="s">
        <v>138</v>
      </c>
      <c r="P4544" s="1"/>
      <c r="Q4544" s="8"/>
      <c r="R4544" s="97">
        <f>R4542-R4543</f>
        <v>23.790969168408907</v>
      </c>
      <c r="S4544" s="106"/>
      <c r="T4544" s="22"/>
      <c r="U4544" s="97">
        <f ca="1">U4542-U4543</f>
        <v>15.025218543648535</v>
      </c>
      <c r="V4544" s="110"/>
      <c r="W4544" s="25"/>
      <c r="X4544" s="97">
        <f ca="1">X4542-X4543</f>
        <v>-60.710250083090742</v>
      </c>
      <c r="Y4544" s="110"/>
      <c r="Z4544" s="25"/>
      <c r="AA4544" s="97">
        <f ca="1">AA4542-AA4543</f>
        <v>-314.64529870215182</v>
      </c>
      <c r="AB4544" s="110"/>
      <c r="AC4544" s="25"/>
      <c r="AD4544" s="97">
        <f ca="1">AD4542-AD4543</f>
        <v>-940.38826590078997</v>
      </c>
      <c r="AE4544" s="110"/>
      <c r="AF4544" s="25"/>
      <c r="AG4544" s="97">
        <f ca="1">AG4542-AG4543</f>
        <v>-2037.3493886021508</v>
      </c>
      <c r="AH4544" s="110"/>
      <c r="AI4544" s="25"/>
      <c r="AJ4544" s="97">
        <f ca="1">AJ4542-AJ4543</f>
        <v>-3651.8882577468094</v>
      </c>
      <c r="AK4544" s="110"/>
      <c r="AL4544" s="25"/>
      <c r="AM4544" s="97">
        <f ca="1">AM4542-AM4543</f>
        <v>-5451.9203576880382</v>
      </c>
      <c r="AN4544" s="110"/>
      <c r="AO4544" s="25"/>
      <c r="AP4544" s="97">
        <f ca="1">AP4542-AP4543</f>
        <v>-7358.8647741989407</v>
      </c>
      <c r="AQ4544" s="110"/>
      <c r="AR4544" s="25"/>
      <c r="AS4544" s="97">
        <f ca="1">AS4542-AS4543</f>
        <v>-10129.320125433589</v>
      </c>
      <c r="AT4544" s="110"/>
      <c r="AU4544" s="25"/>
    </row>
    <row r="4545" spans="15:47" ht="14.4" x14ac:dyDescent="0.3">
      <c r="O4545" s="2" t="s">
        <v>140</v>
      </c>
      <c r="P4545" s="11"/>
      <c r="Q4545" s="2"/>
      <c r="R4545" s="96">
        <f>R4544/R4542</f>
        <v>0.28393237844751701</v>
      </c>
      <c r="S4545" s="106"/>
      <c r="T4545" s="22"/>
      <c r="U4545" s="96">
        <f ca="1">U4544/U4542</f>
        <v>0.20026890737955119</v>
      </c>
      <c r="V4545" s="111"/>
      <c r="W4545" s="28"/>
      <c r="X4545" s="96">
        <f ca="1">X4544/X4542</f>
        <v>85.477286843674023</v>
      </c>
      <c r="Y4545" s="111"/>
      <c r="Z4545" s="28"/>
      <c r="AA4545" s="96">
        <f ca="1">AA4544/AA4542</f>
        <v>1.2356218642394006</v>
      </c>
      <c r="AB4545" s="111"/>
      <c r="AC4545" s="28"/>
      <c r="AD4545" s="96">
        <f ca="1">AD4544/AD4542</f>
        <v>1.0681517488634513</v>
      </c>
      <c r="AE4545" s="111"/>
      <c r="AF4545" s="28"/>
      <c r="AG4545" s="96">
        <f ca="1">AG4544/AG4542</f>
        <v>1.0303436511250124</v>
      </c>
      <c r="AH4545" s="111"/>
      <c r="AI4545" s="28"/>
      <c r="AJ4545" s="96">
        <f ca="1">AJ4544/AJ4542</f>
        <v>1.0167043058398588</v>
      </c>
      <c r="AK4545" s="111"/>
      <c r="AL4545" s="28"/>
      <c r="AM4545" s="96">
        <f ca="1">AM4544/AM4542</f>
        <v>1.0111277608012976</v>
      </c>
      <c r="AN4545" s="111"/>
      <c r="AO4545" s="28"/>
      <c r="AP4545" s="96">
        <f ca="1">AP4544/AP4542</f>
        <v>1.0082204564485284</v>
      </c>
      <c r="AQ4545" s="111"/>
      <c r="AR4545" s="28"/>
      <c r="AS4545" s="96">
        <f ca="1">AS4544/AS4542</f>
        <v>1.0059586942566707</v>
      </c>
      <c r="AT4545" s="111"/>
      <c r="AU4545" s="28"/>
    </row>
    <row r="4546" spans="15:47" x14ac:dyDescent="0.25">
      <c r="O4546" s="2" t="s">
        <v>21</v>
      </c>
      <c r="P4546" s="8">
        <v>12</v>
      </c>
      <c r="Q4546" s="2"/>
      <c r="R4546" s="96">
        <f ca="1">1-R4545/(3*F_GAMMA*R$29)</f>
        <v>0.85212541462243307</v>
      </c>
      <c r="S4546" s="106"/>
      <c r="T4546" s="22"/>
      <c r="U4546" s="96">
        <f ca="1">1-U4545/(3*F_GAMMA*U$29)</f>
        <v>0.89572234815638763</v>
      </c>
      <c r="V4546" s="111"/>
      <c r="W4546" s="28"/>
      <c r="X4546" s="96">
        <f ca="1">1-X4545/(3*F_GAMMA*X$29)</f>
        <v>-43.930907503765425</v>
      </c>
      <c r="Y4546" s="111"/>
      <c r="Z4546" s="28"/>
      <c r="AA4546" s="96">
        <f ca="1">1-AA4545/(3*F_GAMMA*AA$29)</f>
        <v>0.34134324389946014</v>
      </c>
      <c r="AB4546" s="111"/>
      <c r="AC4546" s="28"/>
      <c r="AD4546" s="96">
        <f ca="1">1-AD4545/(3*F_GAMMA*AD$29)</f>
        <v>0.41295531405057717</v>
      </c>
      <c r="AE4546" s="111"/>
      <c r="AF4546" s="28"/>
      <c r="AG4546" s="96">
        <f ca="1">1-AG4545/(3*F_GAMMA*AG$29)</f>
        <v>0.3997547927424826</v>
      </c>
      <c r="AH4546" s="111"/>
      <c r="AI4546" s="28"/>
      <c r="AJ4546" s="96">
        <f ca="1">1-AJ4545/(3*F_GAMMA*AJ$29)</f>
        <v>0.36276697786374712</v>
      </c>
      <c r="AK4546" s="111"/>
      <c r="AL4546" s="28"/>
      <c r="AM4546" s="96">
        <f ca="1">1-AM4545/(3*F_GAMMA*AM$29)</f>
        <v>0.29142884521575996</v>
      </c>
      <c r="AN4546" s="111"/>
      <c r="AO4546" s="28"/>
      <c r="AP4546" s="96">
        <f ca="1">1-AP4545/(3*F_GAMMA*AP$29)</f>
        <v>0.4309063148930663</v>
      </c>
      <c r="AQ4546" s="111"/>
      <c r="AR4546" s="28"/>
      <c r="AS4546" s="96">
        <f ca="1">1-AS4545/(3*F_GAMMA*AS$29)</f>
        <v>0.10982610516654678</v>
      </c>
      <c r="AT4546" s="111"/>
      <c r="AU4546" s="28"/>
    </row>
    <row r="4547" spans="15:47" x14ac:dyDescent="0.25">
      <c r="O4547" s="2" t="s">
        <v>57</v>
      </c>
      <c r="P4547" s="143">
        <v>7</v>
      </c>
      <c r="Q4547" s="2"/>
      <c r="R4547" s="96">
        <f ca="1">(R4540/(N_9*R$27*R4542*R4546))*SQRT(M*'Valve Sizing'!$W$6*'Valve Sizing'!$G$8/R4545)</f>
        <v>85.648510152935614</v>
      </c>
      <c r="S4547" s="107"/>
      <c r="T4547" s="22"/>
      <c r="U4547" s="96">
        <f ca="1">(U4540/(N_9*U$27*U4542*U4546))*SQRT(M*'Valve Sizing'!$W$6*'Valve Sizing'!$G$8/U4545)</f>
        <v>166.94896732453486</v>
      </c>
      <c r="V4547" s="111"/>
      <c r="W4547" s="28"/>
      <c r="X4547" s="96">
        <f ca="1">(X4540/(N_9*X$27*X4542*X4546))*SQRT(M*'Valve Sizing'!$W$6*'Valve Sizing'!$G$8/X4545)</f>
        <v>42.715607627682658</v>
      </c>
      <c r="Y4547" s="111"/>
      <c r="Z4547" s="28"/>
      <c r="AA4547" s="96">
        <f ca="1">(AA4540/(N_9*AA$27*AA4542*AA4546))*SQRT(M*'Valve Sizing'!$W$6*'Valve Sizing'!$G$8/AA4545)</f>
        <v>-249.87644410022062</v>
      </c>
      <c r="AB4547" s="111"/>
      <c r="AC4547" s="28"/>
      <c r="AD4547" s="96">
        <f ca="1">(AD4540/(N_9*AD$27*AD4542*AD4546))*SQRT(M*'Valve Sizing'!$W$6*'Valve Sizing'!$G$8/AD4545)</f>
        <v>-109.13389269385745</v>
      </c>
      <c r="AE4547" s="111"/>
      <c r="AF4547" s="28"/>
      <c r="AG4547" s="96">
        <f ca="1">(AG4540/(N_9*AG$27*AG4542*AG4546))*SQRT(M*'Valve Sizing'!$W$6*'Valve Sizing'!$G$8/AG4545)</f>
        <v>-76.271590573472892</v>
      </c>
      <c r="AH4547" s="111"/>
      <c r="AI4547" s="28"/>
      <c r="AJ4547" s="96">
        <f ca="1">(AJ4540/(N_9*AJ$27*AJ4542*AJ4546))*SQRT(M*'Valve Sizing'!$W$6*'Valve Sizing'!$G$8/AJ4545)</f>
        <v>-64.405940893634792</v>
      </c>
      <c r="AK4547" s="111"/>
      <c r="AL4547" s="28"/>
      <c r="AM4547" s="96">
        <f ca="1">(AM4540/(N_9*AM$27*AM4542*AM4546))*SQRT(M*'Valve Sizing'!$W$6*'Valve Sizing'!$G$8/AM4545)</f>
        <v>-69.333156383981361</v>
      </c>
      <c r="AN4547" s="111"/>
      <c r="AO4547" s="28"/>
      <c r="AP4547" s="96">
        <f ca="1">(AP4540/(N_9*AP$27*AP4542*AP4546))*SQRT(M*'Valve Sizing'!$W$6*'Valve Sizing'!$G$8/AP4545)</f>
        <v>-45.839633541559515</v>
      </c>
      <c r="AQ4547" s="111"/>
      <c r="AR4547" s="28"/>
      <c r="AS4547" s="96">
        <f ca="1">(AS4540/(N_9*AS$27*AS4542*AS4546))*SQRT(M*'Valve Sizing'!$W$6*'Valve Sizing'!$G$8/AS4545)</f>
        <v>-204.97942066219528</v>
      </c>
      <c r="AT4547" s="111"/>
      <c r="AU4547" s="28"/>
    </row>
    <row r="4548" spans="15:47" x14ac:dyDescent="0.25">
      <c r="O4548" s="2" t="s">
        <v>59</v>
      </c>
      <c r="P4548" s="143">
        <v>7</v>
      </c>
      <c r="Q4548" s="2"/>
      <c r="R4548" s="96">
        <f ca="1">(R4540/(N_9*R$27*R4542*0.667))*SQRT(M*'Valve Sizing'!$W$6*'Valve Sizing'!$G$8/R4549)</f>
        <v>72.879417798167367</v>
      </c>
      <c r="S4548" s="107"/>
      <c r="T4548" s="22"/>
      <c r="U4548" s="96">
        <f ca="1">(U4540/(N_9*U$27*U4542*0.667))*SQRT(M*'Valve Sizing'!$W$6*'Valve Sizing'!$G$8/U4549)</f>
        <v>125.39711993732587</v>
      </c>
      <c r="V4548" s="111"/>
      <c r="W4548" s="28"/>
      <c r="X4548" s="96">
        <f ca="1">(X4540/(N_9*X$27*X4542*0.667))*SQRT(M*'Valve Sizing'!$W$6*'Valve Sizing'!$G$8/X4549)</f>
        <v>-32663.607783222666</v>
      </c>
      <c r="Y4548" s="111"/>
      <c r="Z4548" s="28"/>
      <c r="AA4548" s="96">
        <f ca="1">(AA4540/(N_9*AA$27*AA4542*0.667))*SQRT(M*'Valve Sizing'!$W$6*'Valve Sizing'!$G$8/AA4549)</f>
        <v>-179.75500742883304</v>
      </c>
      <c r="AB4548" s="111"/>
      <c r="AC4548" s="28"/>
      <c r="AD4548" s="96">
        <f ca="1">(AD4540/(N_9*AD$27*AD4542*0.667))*SQRT(M*'Valve Sizing'!$W$6*'Valve Sizing'!$G$8/AD4549)</f>
        <v>-89.667090778869124</v>
      </c>
      <c r="AE4548" s="111"/>
      <c r="AF4548" s="28"/>
      <c r="AG4548" s="96">
        <f ca="1">(AG4540/(N_9*AG$27*AG4542*0.667))*SQRT(M*'Valve Sizing'!$W$6*'Valve Sizing'!$G$8/AG4549)</f>
        <v>-61.341674417628639</v>
      </c>
      <c r="AH4548" s="111"/>
      <c r="AI4548" s="28"/>
      <c r="AJ4548" s="96">
        <f ca="1">(AJ4540/(N_9*AJ$27*AJ4542*0.667))*SQRT(M*'Valve Sizing'!$W$6*'Valve Sizing'!$G$8/AJ4549)</f>
        <v>-48.43258019641047</v>
      </c>
      <c r="AK4548" s="111"/>
      <c r="AL4548" s="28"/>
      <c r="AM4548" s="96">
        <f ca="1">(AM4540/(N_9*AM$27*AM4542*0.667))*SQRT(M*'Valve Sizing'!$W$6*'Valve Sizing'!$G$8/AM4549)</f>
        <v>-44.167217005690574</v>
      </c>
      <c r="AN4548" s="111"/>
      <c r="AO4548" s="28"/>
      <c r="AP4548" s="96">
        <f ca="1">(AP4540/(N_9*AP$27*AP4542*0.667))*SQRT(M*'Valve Sizing'!$W$6*'Valve Sizing'!$G$8/AP4549)</f>
        <v>-38.694627700083771</v>
      </c>
      <c r="AQ4548" s="111"/>
      <c r="AR4548" s="28"/>
      <c r="AS4548" s="96">
        <f ca="1">(AS4540/(N_9*AS$27*AS4542*0.667))*SQRT(M*'Valve Sizing'!$W$6*'Valve Sizing'!$G$8/AS4549)</f>
        <v>-55.155403235689271</v>
      </c>
      <c r="AT4548" s="111"/>
      <c r="AU4548" s="28"/>
    </row>
    <row r="4549" spans="15:47" ht="15.6" x14ac:dyDescent="0.35">
      <c r="O4549" s="2" t="s">
        <v>68</v>
      </c>
      <c r="P4549" s="143">
        <v>10</v>
      </c>
      <c r="Q4549" s="2"/>
      <c r="R4549" s="96">
        <f ca="1">F_GAMMA*R$29</f>
        <v>0.64002969751372984</v>
      </c>
      <c r="S4549" s="107"/>
      <c r="T4549" s="1"/>
      <c r="U4549" s="96">
        <f ca="1">F_GAMMA*U$29</f>
        <v>0.64017842058782071</v>
      </c>
      <c r="V4549" s="111"/>
      <c r="W4549" s="28"/>
      <c r="X4549" s="96">
        <f ca="1">F_GAMMA*X$29</f>
        <v>0.63413873724904268</v>
      </c>
      <c r="Y4549" s="111"/>
      <c r="Z4549" s="28"/>
      <c r="AA4549" s="96">
        <f ca="1">F_GAMMA*AA$29</f>
        <v>0.62532411750377137</v>
      </c>
      <c r="AB4549" s="111"/>
      <c r="AC4549" s="28"/>
      <c r="AD4549" s="96">
        <f ca="1">F_GAMMA*AD$29</f>
        <v>0.60651359509139569</v>
      </c>
      <c r="AE4549" s="111"/>
      <c r="AF4549" s="28"/>
      <c r="AG4549" s="96">
        <f ca="1">F_GAMMA*AG$29</f>
        <v>0.57217930198481592</v>
      </c>
      <c r="AH4549" s="111"/>
      <c r="AI4549" s="28"/>
      <c r="AJ4549" s="96">
        <f ca="1">F_GAMMA*AJ$29</f>
        <v>0.53183282018848232</v>
      </c>
      <c r="AK4549" s="111"/>
      <c r="AL4549" s="28"/>
      <c r="AM4549" s="96">
        <f ca="1">F_GAMMA*AM$29</f>
        <v>0.47566512503094399</v>
      </c>
      <c r="AN4549" s="111"/>
      <c r="AO4549" s="28"/>
      <c r="AP4549" s="96">
        <f ca="1">F_GAMMA*AP$29</f>
        <v>0.59054158265645496</v>
      </c>
      <c r="AQ4549" s="111"/>
      <c r="AR4549" s="28"/>
      <c r="AS4549" s="96">
        <f ca="1">F_GAMMA*AS$29</f>
        <v>0.3766899554102966</v>
      </c>
      <c r="AT4549" s="111"/>
      <c r="AU4549" s="28"/>
    </row>
    <row r="4550" spans="15:47" x14ac:dyDescent="0.25">
      <c r="O4550" s="2" t="s">
        <v>145</v>
      </c>
      <c r="P4550" s="12"/>
      <c r="Q4550" s="2"/>
      <c r="R4550" s="96">
        <f ca="1">IF(R4545&lt;R4549,R4547,R4548)</f>
        <v>85.648510152935614</v>
      </c>
      <c r="S4550" s="116"/>
      <c r="T4550" s="1"/>
      <c r="U4550" s="96">
        <f ca="1">IF(U4545&lt;U4549,U4547,U4548)</f>
        <v>166.94896732453486</v>
      </c>
      <c r="V4550" s="111"/>
      <c r="W4550" s="28"/>
      <c r="X4550" s="96">
        <f ca="1">IF(X4545&lt;X4549,X4547,X4548)</f>
        <v>-32663.607783222666</v>
      </c>
      <c r="Y4550" s="111"/>
      <c r="Z4550" s="28"/>
      <c r="AA4550" s="96">
        <f ca="1">IF(AA4545&lt;AA4549,AA4547,AA4548)</f>
        <v>-179.75500742883304</v>
      </c>
      <c r="AB4550" s="111"/>
      <c r="AC4550" s="28"/>
      <c r="AD4550" s="96">
        <f ca="1">IF(AD4545&lt;AD4549,AD4547,AD4548)</f>
        <v>-89.667090778869124</v>
      </c>
      <c r="AE4550" s="111"/>
      <c r="AF4550" s="28"/>
      <c r="AG4550" s="96">
        <f ca="1">IF(AG4545&lt;AG4549,AG4547,AG4548)</f>
        <v>-61.341674417628639</v>
      </c>
      <c r="AH4550" s="111"/>
      <c r="AI4550" s="28"/>
      <c r="AJ4550" s="96">
        <f ca="1">IF(AJ4545&lt;AJ4549,AJ4547,AJ4548)</f>
        <v>-48.43258019641047</v>
      </c>
      <c r="AK4550" s="111"/>
      <c r="AL4550" s="28"/>
      <c r="AM4550" s="96">
        <f ca="1">IF(AM4545&lt;AM4549,AM4547,AM4548)</f>
        <v>-44.167217005690574</v>
      </c>
      <c r="AN4550" s="111"/>
      <c r="AO4550" s="28"/>
      <c r="AP4550" s="96">
        <f ca="1">IF(AP4545&lt;AP4549,AP4547,AP4548)</f>
        <v>-38.694627700083771</v>
      </c>
      <c r="AQ4550" s="111"/>
      <c r="AR4550" s="28"/>
      <c r="AS4550" s="96">
        <f ca="1">IF(AS4545&lt;AS4549,AS4547,AS4548)</f>
        <v>-55.155403235689271</v>
      </c>
      <c r="AT4550" s="111"/>
      <c r="AU4550" s="28"/>
    </row>
    <row r="4551" spans="15:47" x14ac:dyDescent="0.25">
      <c r="O4551" s="13" t="s">
        <v>143</v>
      </c>
      <c r="P4551" s="1"/>
      <c r="Q4551" s="1"/>
      <c r="R4551" s="113"/>
      <c r="S4551" s="106">
        <f ca="1">IF(R4544&lt;=0,Q_max,ABS(R$23-R4550))</f>
        <v>80.91851015293561</v>
      </c>
      <c r="T4551" s="7">
        <f>R4540</f>
        <v>187301.80856615334</v>
      </c>
      <c r="U4551" s="98"/>
      <c r="V4551" s="106">
        <f ca="1">IF(U4544&lt;=0,Q_max,ABS(U$23-U4550))</f>
        <v>155.34896732453487</v>
      </c>
      <c r="W4551" s="9">
        <f ca="1">U4540</f>
        <v>288403.33773984521</v>
      </c>
      <c r="X4551" s="98"/>
      <c r="Y4551" s="106">
        <f ca="1">IF(X4544&lt;=0,Q_max,ABS(X$23-X4550))</f>
        <v>236393</v>
      </c>
      <c r="Z4551" s="9">
        <f ca="1">X4540</f>
        <v>706193.83626746631</v>
      </c>
      <c r="AA4551" s="98"/>
      <c r="AB4551" s="106">
        <f ca="1">IF(AA4544&lt;=0,Q_max,ABS(AA$23-AA4550))</f>
        <v>236393</v>
      </c>
      <c r="AC4551" s="9">
        <f ca="1">AA4540</f>
        <v>1375485.3403113843</v>
      </c>
      <c r="AD4551" s="98"/>
      <c r="AE4551" s="106">
        <f ca="1">IF(AD4544&lt;=0,Q_max,ABS(AD$23-AD4550))</f>
        <v>236393</v>
      </c>
      <c r="AF4551" s="9">
        <f ca="1">AD4540</f>
        <v>2307636.5170750972</v>
      </c>
      <c r="AG4551" s="98"/>
      <c r="AH4551" s="106">
        <f ca="1">IF(AG4544&lt;=0,Q_max,ABS(AG$23-AG4550))</f>
        <v>236393</v>
      </c>
      <c r="AI4551" s="9">
        <f ca="1">AG4540</f>
        <v>3368058.34778644</v>
      </c>
      <c r="AJ4551" s="98"/>
      <c r="AK4551" s="106">
        <f ca="1">IF(AJ4544&lt;=0,Q_max,ABS(AJ$23-AJ4550))</f>
        <v>236393</v>
      </c>
      <c r="AL4551" s="9">
        <f ca="1">AJ4540</f>
        <v>4494686.9216256356</v>
      </c>
      <c r="AM4551" s="98"/>
      <c r="AN4551" s="106">
        <f ca="1">IF(AM4544&lt;=0,Q_max,ABS(AM$23-AM4550))</f>
        <v>236393</v>
      </c>
      <c r="AO4551" s="9">
        <f ca="1">AM4540</f>
        <v>5484372.214451992</v>
      </c>
      <c r="AP4551" s="98"/>
      <c r="AQ4551" s="106">
        <f ca="1">IF(AP4544&lt;=0,Q_max,ABS(AP$23-AP4550))</f>
        <v>236393</v>
      </c>
      <c r="AR4551" s="9">
        <f ca="1">AP4540</f>
        <v>6367185.8806725759</v>
      </c>
      <c r="AS4551" s="98"/>
      <c r="AT4551" s="106">
        <f ca="1">IF(AS4544&lt;=0,Q_max,ABS(AS$23-AS4550))</f>
        <v>236393</v>
      </c>
      <c r="AU4551" s="9">
        <f ca="1">AS4540</f>
        <v>7466026.1919363569</v>
      </c>
    </row>
    <row r="4552" spans="15:47" x14ac:dyDescent="0.25">
      <c r="O4552" s="21"/>
      <c r="P4552" s="14"/>
      <c r="Q4552" s="21"/>
      <c r="R4552" s="97"/>
      <c r="S4552" s="106"/>
      <c r="T4552" s="28"/>
      <c r="U4552" s="99"/>
      <c r="V4552" s="110"/>
      <c r="W4552" s="25"/>
      <c r="X4552" s="99"/>
      <c r="Y4552" s="110"/>
      <c r="Z4552" s="25"/>
      <c r="AA4552" s="99"/>
      <c r="AB4552" s="110"/>
      <c r="AC4552" s="25"/>
      <c r="AD4552" s="99"/>
      <c r="AE4552" s="110"/>
      <c r="AF4552" s="25"/>
      <c r="AG4552" s="99"/>
      <c r="AH4552" s="110"/>
      <c r="AI4552" s="25"/>
      <c r="AJ4552" s="99"/>
      <c r="AK4552" s="110"/>
      <c r="AL4552" s="25"/>
      <c r="AM4552" s="99"/>
      <c r="AN4552" s="110"/>
      <c r="AO4552" s="25"/>
      <c r="AP4552" s="99"/>
      <c r="AQ4552" s="110"/>
      <c r="AR4552" s="25"/>
      <c r="AS4552" s="99"/>
      <c r="AT4552" s="110"/>
      <c r="AU4552" s="25"/>
    </row>
    <row r="4553" spans="15:47" x14ac:dyDescent="0.25">
      <c r="O4553" s="1"/>
      <c r="P4553" s="1"/>
      <c r="Q4553" s="1"/>
      <c r="R4553" s="98"/>
      <c r="S4553" s="108" t="s">
        <v>137</v>
      </c>
      <c r="T4553" s="26" t="s">
        <v>146</v>
      </c>
      <c r="U4553" s="98"/>
      <c r="V4553" s="108" t="s">
        <v>137</v>
      </c>
      <c r="W4553" s="26" t="s">
        <v>146</v>
      </c>
      <c r="X4553" s="98"/>
      <c r="Y4553" s="108" t="s">
        <v>137</v>
      </c>
      <c r="Z4553" s="26" t="s">
        <v>146</v>
      </c>
      <c r="AA4553" s="98"/>
      <c r="AB4553" s="108" t="s">
        <v>137</v>
      </c>
      <c r="AC4553" s="26" t="s">
        <v>146</v>
      </c>
      <c r="AD4553" s="98"/>
      <c r="AE4553" s="108" t="s">
        <v>137</v>
      </c>
      <c r="AF4553" s="26" t="s">
        <v>146</v>
      </c>
      <c r="AG4553" s="98"/>
      <c r="AH4553" s="108" t="s">
        <v>137</v>
      </c>
      <c r="AI4553" s="26" t="s">
        <v>146</v>
      </c>
      <c r="AJ4553" s="98"/>
      <c r="AK4553" s="108" t="s">
        <v>137</v>
      </c>
      <c r="AL4553" s="26" t="s">
        <v>146</v>
      </c>
      <c r="AM4553" s="98"/>
      <c r="AN4553" s="108" t="s">
        <v>137</v>
      </c>
      <c r="AO4553" s="26" t="s">
        <v>146</v>
      </c>
      <c r="AP4553" s="98"/>
      <c r="AQ4553" s="108" t="s">
        <v>137</v>
      </c>
      <c r="AR4553" s="26" t="s">
        <v>146</v>
      </c>
      <c r="AS4553" s="98"/>
      <c r="AT4553" s="108" t="s">
        <v>137</v>
      </c>
      <c r="AU4553" s="26" t="s">
        <v>146</v>
      </c>
    </row>
    <row r="4554" spans="15:47" ht="13.8" x14ac:dyDescent="0.25">
      <c r="O4554" s="20" t="s">
        <v>136</v>
      </c>
      <c r="P4554" s="1"/>
      <c r="Q4554" s="1"/>
      <c r="R4554" s="96">
        <f>R4540*1.02</f>
        <v>191047.84473747641</v>
      </c>
      <c r="S4554" s="109" t="s">
        <v>144</v>
      </c>
      <c r="T4554" s="23" t="s">
        <v>147</v>
      </c>
      <c r="U4554" s="96">
        <f ca="1">U4540*1.01</f>
        <v>291287.37111724366</v>
      </c>
      <c r="V4554" s="109" t="s">
        <v>144</v>
      </c>
      <c r="W4554" s="23" t="s">
        <v>147</v>
      </c>
      <c r="X4554" s="96">
        <f ca="1">X4540*1.01</f>
        <v>713255.77463014098</v>
      </c>
      <c r="Y4554" s="109" t="s">
        <v>144</v>
      </c>
      <c r="Z4554" s="23" t="s">
        <v>147</v>
      </c>
      <c r="AA4554" s="96">
        <f ca="1">AA4540*1.01</f>
        <v>1389240.1937144981</v>
      </c>
      <c r="AB4554" s="109" t="s">
        <v>144</v>
      </c>
      <c r="AC4554" s="23" t="s">
        <v>147</v>
      </c>
      <c r="AD4554" s="96">
        <f ca="1">AD4540*1.01</f>
        <v>2330712.882245848</v>
      </c>
      <c r="AE4554" s="109" t="s">
        <v>144</v>
      </c>
      <c r="AF4554" s="23" t="s">
        <v>147</v>
      </c>
      <c r="AG4554" s="96">
        <f ca="1">AG4540*1.01</f>
        <v>3401738.9312643046</v>
      </c>
      <c r="AH4554" s="109" t="s">
        <v>144</v>
      </c>
      <c r="AI4554" s="23" t="s">
        <v>147</v>
      </c>
      <c r="AJ4554" s="96">
        <f ca="1">AJ4540*1.01</f>
        <v>4539633.7908418924</v>
      </c>
      <c r="AK4554" s="109" t="s">
        <v>144</v>
      </c>
      <c r="AL4554" s="23" t="s">
        <v>147</v>
      </c>
      <c r="AM4554" s="96">
        <f ca="1">AM4540*1.01</f>
        <v>5539215.9365965119</v>
      </c>
      <c r="AN4554" s="109" t="s">
        <v>144</v>
      </c>
      <c r="AO4554" s="23" t="s">
        <v>147</v>
      </c>
      <c r="AP4554" s="96">
        <f ca="1">AP4540*1.01</f>
        <v>6430857.7394793015</v>
      </c>
      <c r="AQ4554" s="109" t="s">
        <v>144</v>
      </c>
      <c r="AR4554" s="23" t="s">
        <v>147</v>
      </c>
      <c r="AS4554" s="96">
        <f ca="1">AS4540*1.01</f>
        <v>7540686.4538557203</v>
      </c>
      <c r="AT4554" s="109" t="s">
        <v>144</v>
      </c>
      <c r="AU4554" s="23" t="s">
        <v>147</v>
      </c>
    </row>
    <row r="4555" spans="15:47" x14ac:dyDescent="0.25">
      <c r="O4555" s="1"/>
      <c r="P4555" s="1"/>
      <c r="Q4555" s="1"/>
      <c r="R4555" s="98"/>
      <c r="S4555" s="107"/>
      <c r="T4555" s="1"/>
      <c r="U4555" s="47"/>
      <c r="V4555" s="107"/>
      <c r="W4555" s="1"/>
      <c r="X4555" s="47"/>
      <c r="Y4555" s="107"/>
      <c r="Z4555" s="1"/>
      <c r="AA4555" s="47"/>
      <c r="AB4555" s="107"/>
      <c r="AC4555" s="1"/>
      <c r="AD4555" s="47"/>
      <c r="AE4555" s="107"/>
      <c r="AF4555" s="1"/>
      <c r="AG4555" s="47"/>
      <c r="AH4555" s="107"/>
      <c r="AI4555" s="1"/>
      <c r="AJ4555" s="47"/>
      <c r="AK4555" s="107"/>
      <c r="AL4555" s="1"/>
      <c r="AM4555" s="47"/>
      <c r="AN4555" s="107"/>
      <c r="AO4555" s="1"/>
      <c r="AP4555" s="47"/>
      <c r="AQ4555" s="107"/>
      <c r="AR4555" s="1"/>
      <c r="AS4555" s="47"/>
      <c r="AT4555" s="107"/>
      <c r="AU4555" s="1"/>
    </row>
    <row r="4556" spans="15:47" x14ac:dyDescent="0.25">
      <c r="O4556" s="8" t="s">
        <v>132</v>
      </c>
      <c r="P4556" s="8"/>
      <c r="Q4556" s="8"/>
      <c r="R4556" s="96">
        <f>P_1_minQ-(R4554^2*R_up)+dpup_minQ</f>
        <v>83.532648685390313</v>
      </c>
      <c r="S4556" s="106"/>
      <c r="T4556" s="22"/>
      <c r="U4556" s="96">
        <f ca="1">P_1_minQ-(U4554^2*R_up)+dpup_minQ</f>
        <v>74.720506121717733</v>
      </c>
      <c r="V4556" s="107"/>
      <c r="W4556" s="1"/>
      <c r="X4556" s="96">
        <f ca="1">P_1_minQ-(X4554^2*R_up)+dpup_minQ</f>
        <v>-2.5372454244189995</v>
      </c>
      <c r="Y4556" s="107"/>
      <c r="Z4556" s="1"/>
      <c r="AA4556" s="96">
        <f ca="1">P_1_minQ-(AA4554^2*R_up)+dpup_minQ</f>
        <v>-261.57638852072319</v>
      </c>
      <c r="AB4556" s="107"/>
      <c r="AC4556" s="1"/>
      <c r="AD4556" s="96">
        <f ca="1">P_1_minQ-(AD4554^2*R_up)+dpup_minQ</f>
        <v>-899.89678936005384</v>
      </c>
      <c r="AE4556" s="107"/>
      <c r="AF4556" s="1"/>
      <c r="AG4556" s="96">
        <f ca="1">P_1_minQ-(AG4554^2*R_up)+dpup_minQ</f>
        <v>-2018.9068306277125</v>
      </c>
      <c r="AH4556" s="107"/>
      <c r="AI4556" s="1"/>
      <c r="AJ4556" s="96">
        <f ca="1">P_1_minQ-(AJ4554^2*R_up)+dpup_minQ</f>
        <v>-3665.8979310421796</v>
      </c>
      <c r="AK4556" s="107"/>
      <c r="AL4556" s="1"/>
      <c r="AM4556" s="96">
        <f ca="1">P_1_minQ-(AM4554^2*R_up)+dpup_minQ</f>
        <v>-5502.1106761922256</v>
      </c>
      <c r="AN4556" s="107"/>
      <c r="AO4556" s="1"/>
      <c r="AP4556" s="96">
        <f ca="1">P_1_minQ-(AP4554^2*R_up)+dpup_minQ</f>
        <v>-7447.3846754749966</v>
      </c>
      <c r="AQ4556" s="107"/>
      <c r="AR4556" s="1"/>
      <c r="AS4556" s="96">
        <f ca="1">P_1_minQ-(AS4554^2*R_up)+dpup_minQ</f>
        <v>-10273.52617926946</v>
      </c>
      <c r="AT4556" s="107"/>
      <c r="AU4556" s="1"/>
    </row>
    <row r="4557" spans="15:47" x14ac:dyDescent="0.25">
      <c r="O4557" s="8" t="s">
        <v>134</v>
      </c>
      <c r="P4557" s="1"/>
      <c r="Q4557" s="8"/>
      <c r="R4557" s="97">
        <f>P_2_minQ+(R4554^2*R_dn)-dpdn_minQ</f>
        <v>60</v>
      </c>
      <c r="S4557" s="106"/>
      <c r="T4557" s="22"/>
      <c r="U4557" s="97">
        <f ca="1">P_2_minQ+(U4554^2*R_dn)-dpdn_minQ</f>
        <v>60</v>
      </c>
      <c r="V4557" s="107"/>
      <c r="W4557" s="1"/>
      <c r="X4557" s="97">
        <f ca="1">P_2_minQ+(X4554^2*R_dn)-dpdn_minQ</f>
        <v>60</v>
      </c>
      <c r="Y4557" s="107"/>
      <c r="Z4557" s="1"/>
      <c r="AA4557" s="97">
        <f ca="1">P_2_minQ+(AA4554^2*R_dn)-dpdn_minQ</f>
        <v>60</v>
      </c>
      <c r="AB4557" s="107"/>
      <c r="AC4557" s="1"/>
      <c r="AD4557" s="97">
        <f ca="1">P_2_minQ+(AD4554^2*R_dn)-dpdn_minQ</f>
        <v>60</v>
      </c>
      <c r="AE4557" s="107"/>
      <c r="AF4557" s="1"/>
      <c r="AG4557" s="97">
        <f ca="1">P_2_minQ+(AG4554^2*R_dn)-dpdn_minQ</f>
        <v>60</v>
      </c>
      <c r="AH4557" s="107"/>
      <c r="AI4557" s="1"/>
      <c r="AJ4557" s="97">
        <f ca="1">P_2_minQ+(AJ4554^2*R_dn)-dpdn_minQ</f>
        <v>60</v>
      </c>
      <c r="AK4557" s="107"/>
      <c r="AL4557" s="1"/>
      <c r="AM4557" s="97">
        <f ca="1">P_2_minQ+(AM4554^2*R_dn)-dpdn_minQ</f>
        <v>60</v>
      </c>
      <c r="AN4557" s="107"/>
      <c r="AO4557" s="1"/>
      <c r="AP4557" s="97">
        <f ca="1">P_2_minQ+(AP4554^2*R_dn)-dpdn_minQ</f>
        <v>60</v>
      </c>
      <c r="AQ4557" s="107"/>
      <c r="AR4557" s="1"/>
      <c r="AS4557" s="97">
        <f ca="1">P_2_minQ+(AS4554^2*R_dn)-dpdn_minQ</f>
        <v>60</v>
      </c>
      <c r="AT4557" s="107"/>
      <c r="AU4557" s="1"/>
    </row>
    <row r="4558" spans="15:47" x14ac:dyDescent="0.25">
      <c r="O4558" s="8" t="s">
        <v>138</v>
      </c>
      <c r="P4558" s="1"/>
      <c r="Q4558" s="8"/>
      <c r="R4558" s="97">
        <f>R4556-R4557</f>
        <v>23.532648685390313</v>
      </c>
      <c r="S4558" s="106"/>
      <c r="T4558" s="22"/>
      <c r="U4558" s="97">
        <f ca="1">U4556-U4557</f>
        <v>14.720506121717733</v>
      </c>
      <c r="V4558" s="110"/>
      <c r="W4558" s="25"/>
      <c r="X4558" s="97">
        <f ca="1">X4556-X4557</f>
        <v>-62.537245424418998</v>
      </c>
      <c r="Y4558" s="110"/>
      <c r="Z4558" s="25"/>
      <c r="AA4558" s="97">
        <f ca="1">AA4556-AA4557</f>
        <v>-321.57638852072319</v>
      </c>
      <c r="AB4558" s="110"/>
      <c r="AC4558" s="25"/>
      <c r="AD4558" s="97">
        <f ca="1">AD4556-AD4557</f>
        <v>-959.89678936005384</v>
      </c>
      <c r="AE4558" s="110"/>
      <c r="AF4558" s="25"/>
      <c r="AG4558" s="97">
        <f ca="1">AG4556-AG4557</f>
        <v>-2078.9068306277122</v>
      </c>
      <c r="AH4558" s="110"/>
      <c r="AI4558" s="25"/>
      <c r="AJ4558" s="97">
        <f ca="1">AJ4556-AJ4557</f>
        <v>-3725.8979310421796</v>
      </c>
      <c r="AK4558" s="110"/>
      <c r="AL4558" s="25"/>
      <c r="AM4558" s="97">
        <f ca="1">AM4556-AM4557</f>
        <v>-5562.1106761922256</v>
      </c>
      <c r="AN4558" s="110"/>
      <c r="AO4558" s="25"/>
      <c r="AP4558" s="97">
        <f ca="1">AP4556-AP4557</f>
        <v>-7507.3846754749966</v>
      </c>
      <c r="AQ4558" s="110"/>
      <c r="AR4558" s="25"/>
      <c r="AS4558" s="97">
        <f ca="1">AS4556-AS4557</f>
        <v>-10333.52617926946</v>
      </c>
      <c r="AT4558" s="110"/>
      <c r="AU4558" s="25"/>
    </row>
    <row r="4559" spans="15:47" ht="14.4" x14ac:dyDescent="0.3">
      <c r="O4559" s="2" t="s">
        <v>140</v>
      </c>
      <c r="P4559" s="11"/>
      <c r="Q4559" s="2"/>
      <c r="R4559" s="96">
        <f>R4558/R4556</f>
        <v>0.28171797561479844</v>
      </c>
      <c r="S4559" s="106"/>
      <c r="T4559" s="22"/>
      <c r="U4559" s="96">
        <f ca="1">U4558/U4556</f>
        <v>0.19700758045908331</v>
      </c>
      <c r="V4559" s="111"/>
      <c r="W4559" s="28"/>
      <c r="X4559" s="96">
        <f ca="1">X4558/X4556</f>
        <v>24.647692660137253</v>
      </c>
      <c r="Y4559" s="111"/>
      <c r="Z4559" s="28"/>
      <c r="AA4559" s="96">
        <f ca="1">AA4558/AA4556</f>
        <v>1.2293785013980594</v>
      </c>
      <c r="AB4559" s="111"/>
      <c r="AC4559" s="28"/>
      <c r="AD4559" s="96">
        <f ca="1">AD4558/AD4556</f>
        <v>1.0666743127760996</v>
      </c>
      <c r="AE4559" s="111"/>
      <c r="AF4559" s="28"/>
      <c r="AG4559" s="96">
        <f ca="1">AG4558/AG4556</f>
        <v>1.0297190534450491</v>
      </c>
      <c r="AH4559" s="111"/>
      <c r="AI4559" s="28"/>
      <c r="AJ4559" s="96">
        <f ca="1">AJ4558/AJ4556</f>
        <v>1.0163670678040244</v>
      </c>
      <c r="AK4559" s="111"/>
      <c r="AL4559" s="28"/>
      <c r="AM4559" s="96">
        <f ca="1">AM4558/AM4556</f>
        <v>1.0109049060498949</v>
      </c>
      <c r="AN4559" s="111"/>
      <c r="AO4559" s="28"/>
      <c r="AP4559" s="96">
        <f ca="1">AP4558/AP4556</f>
        <v>1.0080565195185347</v>
      </c>
      <c r="AQ4559" s="111"/>
      <c r="AR4559" s="28"/>
      <c r="AS4559" s="96">
        <f ca="1">AS4558/AS4556</f>
        <v>1.0058402537700319</v>
      </c>
      <c r="AT4559" s="111"/>
      <c r="AU4559" s="28"/>
    </row>
    <row r="4560" spans="15:47" x14ac:dyDescent="0.25">
      <c r="O4560" s="2" t="s">
        <v>21</v>
      </c>
      <c r="P4560" s="8">
        <v>12</v>
      </c>
      <c r="Q4560" s="2"/>
      <c r="R4560" s="96">
        <f ca="1">1-R4559/(3*F_GAMMA*R$29)</f>
        <v>0.8532786959161609</v>
      </c>
      <c r="S4560" s="106"/>
      <c r="T4560" s="22"/>
      <c r="U4560" s="96">
        <f ca="1">1-U4559/(3*F_GAMMA*U$29)</f>
        <v>0.89742048251788509</v>
      </c>
      <c r="V4560" s="111"/>
      <c r="W4560" s="28"/>
      <c r="X4560" s="96">
        <f ca="1">1-X4559/(3*F_GAMMA*X$29)</f>
        <v>-11.955993808264214</v>
      </c>
      <c r="Y4560" s="111"/>
      <c r="Z4560" s="28"/>
      <c r="AA4560" s="96">
        <f ca="1">1-AA4559/(3*F_GAMMA*AA$29)</f>
        <v>0.34467131151889141</v>
      </c>
      <c r="AB4560" s="111"/>
      <c r="AC4560" s="28"/>
      <c r="AD4560" s="96">
        <f ca="1">1-AD4559/(3*F_GAMMA*AD$29)</f>
        <v>0.41376729699666381</v>
      </c>
      <c r="AE4560" s="111"/>
      <c r="AF4560" s="28"/>
      <c r="AG4560" s="96">
        <f ca="1">1-AG4559/(3*F_GAMMA*AG$29)</f>
        <v>0.40011866334376478</v>
      </c>
      <c r="AH4560" s="111"/>
      <c r="AI4560" s="28"/>
      <c r="AJ4560" s="96">
        <f ca="1">1-AJ4559/(3*F_GAMMA*AJ$29)</f>
        <v>0.36297834631327541</v>
      </c>
      <c r="AK4560" s="111"/>
      <c r="AL4560" s="28"/>
      <c r="AM4560" s="96">
        <f ca="1">1-AM4559/(3*F_GAMMA*AM$29)</f>
        <v>0.29158501583501528</v>
      </c>
      <c r="AN4560" s="111"/>
      <c r="AO4560" s="28"/>
      <c r="AP4560" s="96">
        <f ca="1">1-AP4559/(3*F_GAMMA*AP$29)</f>
        <v>0.43099884968644264</v>
      </c>
      <c r="AQ4560" s="111"/>
      <c r="AR4560" s="28"/>
      <c r="AS4560" s="96">
        <f ca="1">1-AS4559/(3*F_GAMMA*AS$29)</f>
        <v>0.10993091327636195</v>
      </c>
      <c r="AT4560" s="111"/>
      <c r="AU4560" s="28"/>
    </row>
    <row r="4561" spans="15:47" x14ac:dyDescent="0.25">
      <c r="O4561" s="2" t="s">
        <v>57</v>
      </c>
      <c r="P4561" s="143">
        <v>7</v>
      </c>
      <c r="Q4561" s="2"/>
      <c r="R4561" s="96">
        <f ca="1">(R4554/(N_9*R$27*R4556*R4560))*SQRT(M*'Valve Sizing'!$W$6*'Valve Sizing'!$G$8/R4559)</f>
        <v>87.856468528528168</v>
      </c>
      <c r="S4561" s="107"/>
      <c r="T4561" s="22"/>
      <c r="U4561" s="96">
        <f ca="1">(U4554/(N_9*U$27*U4556*U4560))*SQRT(M*'Valve Sizing'!$W$6*'Valve Sizing'!$G$8/U4559)</f>
        <v>170.37870109498706</v>
      </c>
      <c r="V4561" s="111"/>
      <c r="W4561" s="28"/>
      <c r="X4561" s="96">
        <f ca="1">(X4554/(N_9*X$27*X4556*X4560))*SQRT(M*'Valve Sizing'!$W$6*'Valve Sizing'!$G$8/X4559)</f>
        <v>82.637753087197481</v>
      </c>
      <c r="Y4561" s="111"/>
      <c r="Z4561" s="28"/>
      <c r="AA4561" s="96">
        <f ca="1">(AA4554/(N_9*AA$27*AA4556*AA4560))*SQRT(M*'Valve Sizing'!$W$6*'Valve Sizing'!$G$8/AA4559)</f>
        <v>-243.93267251097143</v>
      </c>
      <c r="AB4561" s="111"/>
      <c r="AC4561" s="28"/>
      <c r="AD4561" s="96">
        <f ca="1">(AD4554/(N_9*AD$27*AD4556*AD4560))*SQRT(M*'Valve Sizing'!$W$6*'Valve Sizing'!$G$8/AD4559)</f>
        <v>-107.69859054432551</v>
      </c>
      <c r="AE4561" s="111"/>
      <c r="AF4561" s="28"/>
      <c r="AG4561" s="96">
        <f ca="1">(AG4554/(N_9*AG$27*AG4556*AG4560))*SQRT(M*'Valve Sizing'!$W$6*'Valve Sizing'!$G$8/AG4559)</f>
        <v>-75.402866960538205</v>
      </c>
      <c r="AH4561" s="111"/>
      <c r="AI4561" s="28"/>
      <c r="AJ4561" s="96">
        <f ca="1">(AJ4554/(N_9*AJ$27*AJ4556*AJ4560))*SQRT(M*'Valve Sizing'!$W$6*'Valve Sizing'!$G$8/AJ4559)</f>
        <v>-63.710178221192685</v>
      </c>
      <c r="AK4561" s="111"/>
      <c r="AL4561" s="28"/>
      <c r="AM4561" s="96">
        <f ca="1">(AM4554/(N_9*AM$27*AM4556*AM4560))*SQRT(M*'Valve Sizing'!$W$6*'Valve Sizing'!$G$8/AM4559)</f>
        <v>-68.594878364295212</v>
      </c>
      <c r="AN4561" s="111"/>
      <c r="AO4561" s="28"/>
      <c r="AP4561" s="96">
        <f ca="1">(AP4554/(N_9*AP$27*AP4556*AP4560))*SQRT(M*'Valve Sizing'!$W$6*'Valve Sizing'!$G$8/AP4559)</f>
        <v>-45.368675472989352</v>
      </c>
      <c r="AQ4561" s="111"/>
      <c r="AR4561" s="28"/>
      <c r="AS4561" s="96">
        <f ca="1">(AS4554/(N_9*AS$27*AS4556*AS4560))*SQRT(M*'Valve Sizing'!$W$6*'Valve Sizing'!$G$8/AS4559)</f>
        <v>-202.73258864783111</v>
      </c>
      <c r="AT4561" s="111"/>
      <c r="AU4561" s="28"/>
    </row>
    <row r="4562" spans="15:47" x14ac:dyDescent="0.25">
      <c r="O4562" s="2" t="s">
        <v>59</v>
      </c>
      <c r="P4562" s="143">
        <v>7</v>
      </c>
      <c r="Q4562" s="2"/>
      <c r="R4562" s="96">
        <f ca="1">(R4554/(N_9*R$27*R4556*0.667))*SQRT(M*'Valve Sizing'!$W$6*'Valve Sizing'!$G$8/R4563)</f>
        <v>74.566889578613214</v>
      </c>
      <c r="S4562" s="107"/>
      <c r="T4562" s="22"/>
      <c r="U4562" s="96">
        <f ca="1">(U4554/(N_9*U$27*U4556*0.667))*SQRT(M*'Valve Sizing'!$W$6*'Valve Sizing'!$G$8/U4563)</f>
        <v>127.16757801190279</v>
      </c>
      <c r="V4562" s="111"/>
      <c r="W4562" s="28"/>
      <c r="X4562" s="96">
        <f ca="1">(X4554/(N_9*X$27*X4556*0.667))*SQRT(M*'Valve Sizing'!$W$6*'Valve Sizing'!$G$8/X4563)</f>
        <v>-9234.9455902018672</v>
      </c>
      <c r="Y4562" s="111"/>
      <c r="Z4562" s="28"/>
      <c r="AA4562" s="96">
        <f ca="1">(AA4554/(N_9*AA$27*AA4556*0.667))*SQRT(M*'Valve Sizing'!$W$6*'Valve Sizing'!$G$8/AA4563)</f>
        <v>-176.74188980500924</v>
      </c>
      <c r="AB4562" s="111"/>
      <c r="AC4562" s="28"/>
      <c r="AD4562" s="96">
        <f ca="1">(AD4554/(N_9*AD$27*AD4556*0.667))*SQRT(M*'Valve Sizing'!$W$6*'Valve Sizing'!$G$8/AD4563)</f>
        <v>-88.600464017066457</v>
      </c>
      <c r="AE4562" s="111"/>
      <c r="AF4562" s="28"/>
      <c r="AG4562" s="96">
        <f ca="1">(AG4554/(N_9*AG$27*AG4556*0.667))*SQRT(M*'Valve Sizing'!$W$6*'Valve Sizing'!$G$8/AG4563)</f>
        <v>-60.679799469248437</v>
      </c>
      <c r="AH4562" s="111"/>
      <c r="AI4562" s="28"/>
      <c r="AJ4562" s="96">
        <f ca="1">(AJ4554/(N_9*AJ$27*AJ4556*0.667))*SQRT(M*'Valve Sizing'!$W$6*'Valve Sizing'!$G$8/AJ4563)</f>
        <v>-47.929337795532994</v>
      </c>
      <c r="AK4562" s="111"/>
      <c r="AL4562" s="28"/>
      <c r="AM4562" s="96">
        <f ca="1">(AM4554/(N_9*AM$27*AM4556*0.667))*SQRT(M*'Valve Sizing'!$W$6*'Valve Sizing'!$G$8/AM4563)</f>
        <v>-43.715510616922224</v>
      </c>
      <c r="AN4562" s="111"/>
      <c r="AO4562" s="28"/>
      <c r="AP4562" s="96">
        <f ca="1">(AP4554/(N_9*AP$27*AP4556*0.667))*SQRT(M*'Valve Sizing'!$W$6*'Valve Sizing'!$G$8/AP4563)</f>
        <v>-38.302187419021628</v>
      </c>
      <c r="AQ4562" s="111"/>
      <c r="AR4562" s="28"/>
      <c r="AS4562" s="96">
        <f ca="1">(AS4554/(N_9*AS$27*AS4556*0.667))*SQRT(M*'Valve Sizing'!$W$6*'Valve Sizing'!$G$8/AS4563)</f>
        <v>-54.599674557474437</v>
      </c>
      <c r="AT4562" s="111"/>
      <c r="AU4562" s="28"/>
    </row>
    <row r="4563" spans="15:47" ht="15.6" x14ac:dyDescent="0.35">
      <c r="O4563" s="2" t="s">
        <v>68</v>
      </c>
      <c r="P4563" s="143">
        <v>10</v>
      </c>
      <c r="Q4563" s="2"/>
      <c r="R4563" s="96">
        <f ca="1">F_GAMMA*R$29</f>
        <v>0.64002969751372984</v>
      </c>
      <c r="S4563" s="107"/>
      <c r="T4563" s="1"/>
      <c r="U4563" s="96">
        <f ca="1">F_GAMMA*U$29</f>
        <v>0.64017842058782071</v>
      </c>
      <c r="V4563" s="111"/>
      <c r="W4563" s="28"/>
      <c r="X4563" s="96">
        <f ca="1">F_GAMMA*X$29</f>
        <v>0.63413873724904268</v>
      </c>
      <c r="Y4563" s="111"/>
      <c r="Z4563" s="28"/>
      <c r="AA4563" s="96">
        <f ca="1">F_GAMMA*AA$29</f>
        <v>0.62532411750377137</v>
      </c>
      <c r="AB4563" s="111"/>
      <c r="AC4563" s="28"/>
      <c r="AD4563" s="96">
        <f ca="1">F_GAMMA*AD$29</f>
        <v>0.60651359509139569</v>
      </c>
      <c r="AE4563" s="111"/>
      <c r="AF4563" s="28"/>
      <c r="AG4563" s="96">
        <f ca="1">F_GAMMA*AG$29</f>
        <v>0.57217930198481592</v>
      </c>
      <c r="AH4563" s="111"/>
      <c r="AI4563" s="28"/>
      <c r="AJ4563" s="96">
        <f ca="1">F_GAMMA*AJ$29</f>
        <v>0.53183282018848232</v>
      </c>
      <c r="AK4563" s="111"/>
      <c r="AL4563" s="28"/>
      <c r="AM4563" s="96">
        <f ca="1">F_GAMMA*AM$29</f>
        <v>0.47566512503094399</v>
      </c>
      <c r="AN4563" s="111"/>
      <c r="AO4563" s="28"/>
      <c r="AP4563" s="96">
        <f ca="1">F_GAMMA*AP$29</f>
        <v>0.59054158265645496</v>
      </c>
      <c r="AQ4563" s="111"/>
      <c r="AR4563" s="28"/>
      <c r="AS4563" s="96">
        <f ca="1">F_GAMMA*AS$29</f>
        <v>0.3766899554102966</v>
      </c>
      <c r="AT4563" s="111"/>
      <c r="AU4563" s="28"/>
    </row>
    <row r="4564" spans="15:47" x14ac:dyDescent="0.25">
      <c r="O4564" s="2" t="s">
        <v>145</v>
      </c>
      <c r="P4564" s="12"/>
      <c r="Q4564" s="2"/>
      <c r="R4564" s="96">
        <f ca="1">IF(R4559&lt;R4563,R4561,R4562)</f>
        <v>87.856468528528168</v>
      </c>
      <c r="S4564" s="116"/>
      <c r="T4564" s="1"/>
      <c r="U4564" s="96">
        <f ca="1">IF(U4559&lt;U4563,U4561,U4562)</f>
        <v>170.37870109498706</v>
      </c>
      <c r="V4564" s="111"/>
      <c r="W4564" s="28"/>
      <c r="X4564" s="96">
        <f ca="1">IF(X4559&lt;X4563,X4561,X4562)</f>
        <v>-9234.9455902018672</v>
      </c>
      <c r="Y4564" s="111"/>
      <c r="Z4564" s="28"/>
      <c r="AA4564" s="96">
        <f ca="1">IF(AA4559&lt;AA4563,AA4561,AA4562)</f>
        <v>-176.74188980500924</v>
      </c>
      <c r="AB4564" s="111"/>
      <c r="AC4564" s="28"/>
      <c r="AD4564" s="96">
        <f ca="1">IF(AD4559&lt;AD4563,AD4561,AD4562)</f>
        <v>-88.600464017066457</v>
      </c>
      <c r="AE4564" s="111"/>
      <c r="AF4564" s="28"/>
      <c r="AG4564" s="96">
        <f ca="1">IF(AG4559&lt;AG4563,AG4561,AG4562)</f>
        <v>-60.679799469248437</v>
      </c>
      <c r="AH4564" s="111"/>
      <c r="AI4564" s="28"/>
      <c r="AJ4564" s="96">
        <f ca="1">IF(AJ4559&lt;AJ4563,AJ4561,AJ4562)</f>
        <v>-47.929337795532994</v>
      </c>
      <c r="AK4564" s="111"/>
      <c r="AL4564" s="28"/>
      <c r="AM4564" s="96">
        <f ca="1">IF(AM4559&lt;AM4563,AM4561,AM4562)</f>
        <v>-43.715510616922224</v>
      </c>
      <c r="AN4564" s="111"/>
      <c r="AO4564" s="28"/>
      <c r="AP4564" s="96">
        <f ca="1">IF(AP4559&lt;AP4563,AP4561,AP4562)</f>
        <v>-38.302187419021628</v>
      </c>
      <c r="AQ4564" s="111"/>
      <c r="AR4564" s="28"/>
      <c r="AS4564" s="96">
        <f ca="1">IF(AS4559&lt;AS4563,AS4561,AS4562)</f>
        <v>-54.599674557474437</v>
      </c>
      <c r="AT4564" s="111"/>
      <c r="AU4564" s="28"/>
    </row>
    <row r="4565" spans="15:47" x14ac:dyDescent="0.25">
      <c r="O4565" s="13" t="s">
        <v>143</v>
      </c>
      <c r="P4565" s="1"/>
      <c r="Q4565" s="1"/>
      <c r="R4565" s="113"/>
      <c r="S4565" s="106">
        <f ca="1">IF(R4558&lt;=0,Q_max,ABS(R$23-R4564))</f>
        <v>83.126468528528164</v>
      </c>
      <c r="T4565" s="7">
        <f>R4554</f>
        <v>191047.84473747641</v>
      </c>
      <c r="U4565" s="98"/>
      <c r="V4565" s="106">
        <f ca="1">IF(U4558&lt;=0,Q_max,ABS(U$23-U4564))</f>
        <v>158.77870109498707</v>
      </c>
      <c r="W4565" s="9">
        <f ca="1">U4554</f>
        <v>291287.37111724366</v>
      </c>
      <c r="X4565" s="98"/>
      <c r="Y4565" s="106">
        <f ca="1">IF(X4558&lt;=0,Q_max,ABS(X$23-X4564))</f>
        <v>236393</v>
      </c>
      <c r="Z4565" s="9">
        <f ca="1">X4554</f>
        <v>713255.77463014098</v>
      </c>
      <c r="AA4565" s="98"/>
      <c r="AB4565" s="106">
        <f ca="1">IF(AA4558&lt;=0,Q_max,ABS(AA$23-AA4564))</f>
        <v>236393</v>
      </c>
      <c r="AC4565" s="9">
        <f ca="1">AA4554</f>
        <v>1389240.1937144981</v>
      </c>
      <c r="AD4565" s="98"/>
      <c r="AE4565" s="106">
        <f ca="1">IF(AD4558&lt;=0,Q_max,ABS(AD$23-AD4564))</f>
        <v>236393</v>
      </c>
      <c r="AF4565" s="9">
        <f ca="1">AD4554</f>
        <v>2330712.882245848</v>
      </c>
      <c r="AG4565" s="98"/>
      <c r="AH4565" s="106">
        <f ca="1">IF(AG4558&lt;=0,Q_max,ABS(AG$23-AG4564))</f>
        <v>236393</v>
      </c>
      <c r="AI4565" s="9">
        <f ca="1">AG4554</f>
        <v>3401738.9312643046</v>
      </c>
      <c r="AJ4565" s="98"/>
      <c r="AK4565" s="106">
        <f ca="1">IF(AJ4558&lt;=0,Q_max,ABS(AJ$23-AJ4564))</f>
        <v>236393</v>
      </c>
      <c r="AL4565" s="9">
        <f ca="1">AJ4554</f>
        <v>4539633.7908418924</v>
      </c>
      <c r="AM4565" s="98"/>
      <c r="AN4565" s="106">
        <f ca="1">IF(AM4558&lt;=0,Q_max,ABS(AM$23-AM4564))</f>
        <v>236393</v>
      </c>
      <c r="AO4565" s="9">
        <f ca="1">AM4554</f>
        <v>5539215.9365965119</v>
      </c>
      <c r="AP4565" s="98"/>
      <c r="AQ4565" s="106">
        <f ca="1">IF(AP4558&lt;=0,Q_max,ABS(AP$23-AP4564))</f>
        <v>236393</v>
      </c>
      <c r="AR4565" s="9">
        <f ca="1">AP4554</f>
        <v>6430857.7394793015</v>
      </c>
      <c r="AS4565" s="98"/>
      <c r="AT4565" s="106">
        <f ca="1">IF(AS4558&lt;=0,Q_max,ABS(AS$23-AS4564))</f>
        <v>236393</v>
      </c>
      <c r="AU4565" s="9">
        <f ca="1">AS4554</f>
        <v>7540686.4538557203</v>
      </c>
    </row>
    <row r="4566" spans="15:47" x14ac:dyDescent="0.25">
      <c r="O4566" s="21"/>
      <c r="P4566" s="14"/>
      <c r="Q4566" s="21"/>
      <c r="R4566" s="97"/>
      <c r="S4566" s="106"/>
      <c r="T4566" s="28"/>
      <c r="U4566" s="97"/>
      <c r="V4566" s="111"/>
      <c r="W4566" s="28"/>
      <c r="X4566" s="97"/>
      <c r="Y4566" s="111"/>
      <c r="Z4566" s="28"/>
      <c r="AA4566" s="97"/>
      <c r="AB4566" s="111"/>
      <c r="AC4566" s="28"/>
      <c r="AD4566" s="97"/>
      <c r="AE4566" s="111"/>
      <c r="AF4566" s="28"/>
      <c r="AG4566" s="97"/>
      <c r="AH4566" s="111"/>
      <c r="AI4566" s="28"/>
      <c r="AJ4566" s="97"/>
      <c r="AK4566" s="111"/>
      <c r="AL4566" s="28"/>
      <c r="AM4566" s="97"/>
      <c r="AN4566" s="111"/>
      <c r="AO4566" s="28"/>
      <c r="AP4566" s="97"/>
      <c r="AQ4566" s="111"/>
      <c r="AR4566" s="28"/>
      <c r="AS4566" s="97"/>
      <c r="AT4566" s="111"/>
      <c r="AU4566" s="28"/>
    </row>
    <row r="4567" spans="15:47" x14ac:dyDescent="0.25">
      <c r="O4567" s="1"/>
      <c r="P4567" s="1"/>
      <c r="Q4567" s="1"/>
      <c r="R4567" s="98"/>
      <c r="S4567" s="108" t="s">
        <v>137</v>
      </c>
      <c r="T4567" s="26" t="s">
        <v>146</v>
      </c>
      <c r="U4567" s="98"/>
      <c r="V4567" s="108" t="s">
        <v>137</v>
      </c>
      <c r="W4567" s="26" t="s">
        <v>146</v>
      </c>
      <c r="X4567" s="98"/>
      <c r="Y4567" s="108" t="s">
        <v>137</v>
      </c>
      <c r="Z4567" s="26" t="s">
        <v>146</v>
      </c>
      <c r="AA4567" s="98"/>
      <c r="AB4567" s="108" t="s">
        <v>137</v>
      </c>
      <c r="AC4567" s="26" t="s">
        <v>146</v>
      </c>
      <c r="AD4567" s="98"/>
      <c r="AE4567" s="108" t="s">
        <v>137</v>
      </c>
      <c r="AF4567" s="26" t="s">
        <v>146</v>
      </c>
      <c r="AG4567" s="98"/>
      <c r="AH4567" s="108" t="s">
        <v>137</v>
      </c>
      <c r="AI4567" s="26" t="s">
        <v>146</v>
      </c>
      <c r="AJ4567" s="98"/>
      <c r="AK4567" s="108" t="s">
        <v>137</v>
      </c>
      <c r="AL4567" s="26" t="s">
        <v>146</v>
      </c>
      <c r="AM4567" s="98"/>
      <c r="AN4567" s="108" t="s">
        <v>137</v>
      </c>
      <c r="AO4567" s="26" t="s">
        <v>146</v>
      </c>
      <c r="AP4567" s="98"/>
      <c r="AQ4567" s="108" t="s">
        <v>137</v>
      </c>
      <c r="AR4567" s="26" t="s">
        <v>146</v>
      </c>
      <c r="AS4567" s="98"/>
      <c r="AT4567" s="108" t="s">
        <v>137</v>
      </c>
      <c r="AU4567" s="26" t="s">
        <v>146</v>
      </c>
    </row>
    <row r="4568" spans="15:47" ht="13.8" x14ac:dyDescent="0.25">
      <c r="O4568" s="20" t="s">
        <v>136</v>
      </c>
      <c r="P4568" s="1"/>
      <c r="Q4568" s="1"/>
      <c r="R4568" s="96">
        <f>R4554*1.02</f>
        <v>194868.80163222595</v>
      </c>
      <c r="S4568" s="109" t="s">
        <v>144</v>
      </c>
      <c r="T4568" s="23" t="s">
        <v>147</v>
      </c>
      <c r="U4568" s="96">
        <f ca="1">U4554*1.01</f>
        <v>294200.24482841609</v>
      </c>
      <c r="V4568" s="109" t="s">
        <v>144</v>
      </c>
      <c r="W4568" s="23" t="s">
        <v>147</v>
      </c>
      <c r="X4568" s="96">
        <f ca="1">X4554*1.01</f>
        <v>720388.33237644238</v>
      </c>
      <c r="Y4568" s="109" t="s">
        <v>144</v>
      </c>
      <c r="Z4568" s="23" t="s">
        <v>147</v>
      </c>
      <c r="AA4568" s="96">
        <f ca="1">AA4554*1.01</f>
        <v>1403132.5956516431</v>
      </c>
      <c r="AB4568" s="109" t="s">
        <v>144</v>
      </c>
      <c r="AC4568" s="23" t="s">
        <v>147</v>
      </c>
      <c r="AD4568" s="96">
        <f ca="1">AD4554*1.01</f>
        <v>2354020.0110683064</v>
      </c>
      <c r="AE4568" s="109" t="s">
        <v>144</v>
      </c>
      <c r="AF4568" s="23" t="s">
        <v>147</v>
      </c>
      <c r="AG4568" s="96">
        <f ca="1">AG4554*1.01</f>
        <v>3435756.3205769476</v>
      </c>
      <c r="AH4568" s="109" t="s">
        <v>144</v>
      </c>
      <c r="AI4568" s="23" t="s">
        <v>147</v>
      </c>
      <c r="AJ4568" s="96">
        <f ca="1">AJ4554*1.01</f>
        <v>4585030.1287503112</v>
      </c>
      <c r="AK4568" s="109" t="s">
        <v>144</v>
      </c>
      <c r="AL4568" s="23" t="s">
        <v>147</v>
      </c>
      <c r="AM4568" s="96">
        <f ca="1">AM4554*1.01</f>
        <v>5594608.0959624769</v>
      </c>
      <c r="AN4568" s="109" t="s">
        <v>144</v>
      </c>
      <c r="AO4568" s="23" t="s">
        <v>147</v>
      </c>
      <c r="AP4568" s="96">
        <f ca="1">AP4554*1.01</f>
        <v>6495166.3168740943</v>
      </c>
      <c r="AQ4568" s="109" t="s">
        <v>144</v>
      </c>
      <c r="AR4568" s="23" t="s">
        <v>147</v>
      </c>
      <c r="AS4568" s="96">
        <f ca="1">AS4554*1.01</f>
        <v>7616093.3183942772</v>
      </c>
      <c r="AT4568" s="109" t="s">
        <v>144</v>
      </c>
      <c r="AU4568" s="23" t="s">
        <v>147</v>
      </c>
    </row>
    <row r="4569" spans="15:47" x14ac:dyDescent="0.25">
      <c r="O4569" s="1"/>
      <c r="P4569" s="1"/>
      <c r="Q4569" s="1"/>
      <c r="R4569" s="98"/>
      <c r="S4569" s="107"/>
      <c r="T4569" s="1"/>
      <c r="U4569" s="47"/>
      <c r="V4569" s="107"/>
      <c r="W4569" s="1"/>
      <c r="X4569" s="47"/>
      <c r="Y4569" s="107"/>
      <c r="Z4569" s="1"/>
      <c r="AA4569" s="47"/>
      <c r="AB4569" s="107"/>
      <c r="AC4569" s="1"/>
      <c r="AD4569" s="47"/>
      <c r="AE4569" s="107"/>
      <c r="AF4569" s="1"/>
      <c r="AG4569" s="47"/>
      <c r="AH4569" s="107"/>
      <c r="AI4569" s="1"/>
      <c r="AJ4569" s="47"/>
      <c r="AK4569" s="107"/>
      <c r="AL4569" s="1"/>
      <c r="AM4569" s="47"/>
      <c r="AN4569" s="107"/>
      <c r="AO4569" s="1"/>
      <c r="AP4569" s="47"/>
      <c r="AQ4569" s="107"/>
      <c r="AR4569" s="1"/>
      <c r="AS4569" s="47"/>
      <c r="AT4569" s="107"/>
      <c r="AU4569" s="1"/>
    </row>
    <row r="4570" spans="15:47" x14ac:dyDescent="0.25">
      <c r="O4570" s="8" t="s">
        <v>132</v>
      </c>
      <c r="P4570" s="8"/>
      <c r="Q4570" s="8"/>
      <c r="R4570" s="96">
        <f>P_1_minQ-(R4568^2*R_up)+dpup_minQ</f>
        <v>83.263892054857749</v>
      </c>
      <c r="S4570" s="106"/>
      <c r="T4570" s="22"/>
      <c r="U4570" s="96">
        <f ca="1">P_1_minQ-(U4568^2*R_up)+dpup_minQ</f>
        <v>74.409668980106119</v>
      </c>
      <c r="V4570" s="107"/>
      <c r="W4570" s="1"/>
      <c r="X4570" s="96">
        <f ca="1">P_1_minQ-(X4568^2*R_up)+dpup_minQ</f>
        <v>-4.4009633721079675</v>
      </c>
      <c r="Y4570" s="107"/>
      <c r="Z4570" s="1"/>
      <c r="AA4570" s="96">
        <f ca="1">P_1_minQ-(AA4568^2*R_up)+dpup_minQ</f>
        <v>-268.64679324464788</v>
      </c>
      <c r="AB4570" s="107"/>
      <c r="AC4570" s="1"/>
      <c r="AD4570" s="96">
        <f ca="1">P_1_minQ-(AD4568^2*R_up)+dpup_minQ</f>
        <v>-919.79743414084896</v>
      </c>
      <c r="AE4570" s="107"/>
      <c r="AF4570" s="1"/>
      <c r="AG4570" s="96">
        <f ca="1">P_1_minQ-(AG4568^2*R_up)+dpup_minQ</f>
        <v>-2061.2995772379873</v>
      </c>
      <c r="AH4570" s="107"/>
      <c r="AI4570" s="1"/>
      <c r="AJ4570" s="96">
        <f ca="1">P_1_minQ-(AJ4568^2*R_up)+dpup_minQ</f>
        <v>-3741.3951987707846</v>
      </c>
      <c r="AK4570" s="107"/>
      <c r="AL4570" s="1"/>
      <c r="AM4570" s="96">
        <f ca="1">P_1_minQ-(AM4568^2*R_up)+dpup_minQ</f>
        <v>-5614.5158200983469</v>
      </c>
      <c r="AN4570" s="107"/>
      <c r="AO4570" s="1"/>
      <c r="AP4570" s="96">
        <f ca="1">P_1_minQ-(AP4568^2*R_up)+dpup_minQ</f>
        <v>-7598.8898267667028</v>
      </c>
      <c r="AQ4570" s="107"/>
      <c r="AR4570" s="1"/>
      <c r="AS4570" s="96">
        <f ca="1">P_1_minQ-(AS4568^2*R_up)+dpup_minQ</f>
        <v>-10481.836774787434</v>
      </c>
      <c r="AT4570" s="107"/>
      <c r="AU4570" s="1"/>
    </row>
    <row r="4571" spans="15:47" x14ac:dyDescent="0.25">
      <c r="O4571" s="8" t="s">
        <v>134</v>
      </c>
      <c r="P4571" s="1"/>
      <c r="Q4571" s="8"/>
      <c r="R4571" s="97">
        <f>P_2_minQ+(R4568^2*R_dn)-dpdn_minQ</f>
        <v>60</v>
      </c>
      <c r="S4571" s="106"/>
      <c r="T4571" s="22"/>
      <c r="U4571" s="97">
        <f ca="1">P_2_minQ+(U4568^2*R_dn)-dpdn_minQ</f>
        <v>60</v>
      </c>
      <c r="V4571" s="107"/>
      <c r="W4571" s="1"/>
      <c r="X4571" s="97">
        <f ca="1">P_2_minQ+(X4568^2*R_dn)-dpdn_minQ</f>
        <v>60</v>
      </c>
      <c r="Y4571" s="107"/>
      <c r="Z4571" s="1"/>
      <c r="AA4571" s="97">
        <f ca="1">P_2_minQ+(AA4568^2*R_dn)-dpdn_minQ</f>
        <v>60</v>
      </c>
      <c r="AB4571" s="107"/>
      <c r="AC4571" s="1"/>
      <c r="AD4571" s="97">
        <f ca="1">P_2_minQ+(AD4568^2*R_dn)-dpdn_minQ</f>
        <v>60</v>
      </c>
      <c r="AE4571" s="107"/>
      <c r="AF4571" s="1"/>
      <c r="AG4571" s="97">
        <f ca="1">P_2_minQ+(AG4568^2*R_dn)-dpdn_minQ</f>
        <v>60</v>
      </c>
      <c r="AH4571" s="107"/>
      <c r="AI4571" s="1"/>
      <c r="AJ4571" s="97">
        <f ca="1">P_2_minQ+(AJ4568^2*R_dn)-dpdn_minQ</f>
        <v>60</v>
      </c>
      <c r="AK4571" s="107"/>
      <c r="AL4571" s="1"/>
      <c r="AM4571" s="97">
        <f ca="1">P_2_minQ+(AM4568^2*R_dn)-dpdn_minQ</f>
        <v>60</v>
      </c>
      <c r="AN4571" s="107"/>
      <c r="AO4571" s="1"/>
      <c r="AP4571" s="97">
        <f ca="1">P_2_minQ+(AP4568^2*R_dn)-dpdn_minQ</f>
        <v>60</v>
      </c>
      <c r="AQ4571" s="107"/>
      <c r="AR4571" s="1"/>
      <c r="AS4571" s="97">
        <f ca="1">P_2_minQ+(AS4568^2*R_dn)-dpdn_minQ</f>
        <v>60</v>
      </c>
      <c r="AT4571" s="107"/>
      <c r="AU4571" s="1"/>
    </row>
    <row r="4572" spans="15:47" x14ac:dyDescent="0.25">
      <c r="O4572" s="8" t="s">
        <v>138</v>
      </c>
      <c r="P4572" s="1"/>
      <c r="Q4572" s="8"/>
      <c r="R4572" s="97">
        <f>R4570-R4571</f>
        <v>23.263892054857749</v>
      </c>
      <c r="S4572" s="106"/>
      <c r="T4572" s="22"/>
      <c r="U4572" s="97">
        <f ca="1">U4570-U4571</f>
        <v>14.409668980106119</v>
      </c>
      <c r="V4572" s="110"/>
      <c r="W4572" s="25"/>
      <c r="X4572" s="97">
        <f ca="1">X4570-X4571</f>
        <v>-64.400963372107967</v>
      </c>
      <c r="Y4572" s="110"/>
      <c r="Z4572" s="25"/>
      <c r="AA4572" s="97">
        <f ca="1">AA4570-AA4571</f>
        <v>-328.64679324464788</v>
      </c>
      <c r="AB4572" s="110"/>
      <c r="AC4572" s="25"/>
      <c r="AD4572" s="97">
        <f ca="1">AD4570-AD4571</f>
        <v>-979.79743414084896</v>
      </c>
      <c r="AE4572" s="110"/>
      <c r="AF4572" s="25"/>
      <c r="AG4572" s="97">
        <f ca="1">AG4570-AG4571</f>
        <v>-2121.2995772379873</v>
      </c>
      <c r="AH4572" s="110"/>
      <c r="AI4572" s="25"/>
      <c r="AJ4572" s="97">
        <f ca="1">AJ4570-AJ4571</f>
        <v>-3801.3951987707846</v>
      </c>
      <c r="AK4572" s="110"/>
      <c r="AL4572" s="25"/>
      <c r="AM4572" s="97">
        <f ca="1">AM4570-AM4571</f>
        <v>-5674.5158200983469</v>
      </c>
      <c r="AN4572" s="110"/>
      <c r="AO4572" s="25"/>
      <c r="AP4572" s="97">
        <f ca="1">AP4570-AP4571</f>
        <v>-7658.8898267667028</v>
      </c>
      <c r="AQ4572" s="110"/>
      <c r="AR4572" s="25"/>
      <c r="AS4572" s="97">
        <f ca="1">AS4570-AS4571</f>
        <v>-10541.836774787434</v>
      </c>
      <c r="AT4572" s="110"/>
      <c r="AU4572" s="25"/>
    </row>
    <row r="4573" spans="15:47" ht="14.4" x14ac:dyDescent="0.3">
      <c r="O4573" s="2" t="s">
        <v>140</v>
      </c>
      <c r="P4573" s="11"/>
      <c r="Q4573" s="2"/>
      <c r="R4573" s="96">
        <f>R4572/R4570</f>
        <v>0.27939952698260273</v>
      </c>
      <c r="S4573" s="106"/>
      <c r="T4573" s="22"/>
      <c r="U4573" s="96">
        <f ca="1">U4572/U4570</f>
        <v>0.19365317945385072</v>
      </c>
      <c r="V4573" s="111"/>
      <c r="W4573" s="28"/>
      <c r="X4573" s="96">
        <f ca="1">X4572/X4570</f>
        <v>14.63337863256546</v>
      </c>
      <c r="Y4573" s="111"/>
      <c r="Z4573" s="28"/>
      <c r="AA4573" s="96">
        <f ca="1">AA4572/AA4570</f>
        <v>1.2233415827352161</v>
      </c>
      <c r="AB4573" s="111"/>
      <c r="AC4573" s="28"/>
      <c r="AD4573" s="96">
        <f ca="1">AD4572/AD4570</f>
        <v>1.0652317540503295</v>
      </c>
      <c r="AE4573" s="111"/>
      <c r="AF4573" s="28"/>
      <c r="AG4573" s="96">
        <f ca="1">AG4572/AG4570</f>
        <v>1.0291078505339804</v>
      </c>
      <c r="AH4573" s="111"/>
      <c r="AI4573" s="28"/>
      <c r="AJ4573" s="96">
        <f ca="1">AJ4572/AJ4570</f>
        <v>1.0160367982563598</v>
      </c>
      <c r="AK4573" s="111"/>
      <c r="AL4573" s="28"/>
      <c r="AM4573" s="96">
        <f ca="1">AM4572/AM4570</f>
        <v>1.0106865849028721</v>
      </c>
      <c r="AN4573" s="111"/>
      <c r="AO4573" s="28"/>
      <c r="AP4573" s="96">
        <f ca="1">AP4572/AP4570</f>
        <v>1.0078958902376309</v>
      </c>
      <c r="AQ4573" s="111"/>
      <c r="AR4573" s="28"/>
      <c r="AS4573" s="96">
        <f ca="1">AS4572/AS4570</f>
        <v>1.0057241875912741</v>
      </c>
      <c r="AT4573" s="111"/>
      <c r="AU4573" s="28"/>
    </row>
    <row r="4574" spans="15:47" x14ac:dyDescent="0.25">
      <c r="O4574" s="2" t="s">
        <v>21</v>
      </c>
      <c r="P4574" s="8">
        <v>12</v>
      </c>
      <c r="Q4574" s="2"/>
      <c r="R4574" s="96">
        <f ca="1">1-R4573/(3*F_GAMMA*R$29)</f>
        <v>0.85448616521599807</v>
      </c>
      <c r="S4574" s="106"/>
      <c r="T4574" s="22"/>
      <c r="U4574" s="96">
        <f ca="1">1-U4573/(3*F_GAMMA*U$29)</f>
        <v>0.89916707945469554</v>
      </c>
      <c r="V4574" s="111"/>
      <c r="W4574" s="28"/>
      <c r="X4574" s="96">
        <f ca="1">1-X4573/(3*F_GAMMA*X$29)</f>
        <v>-6.6919963897524601</v>
      </c>
      <c r="Y4574" s="111"/>
      <c r="Z4574" s="28"/>
      <c r="AA4574" s="96">
        <f ca="1">1-AA4573/(3*F_GAMMA*AA$29)</f>
        <v>0.34788933264524857</v>
      </c>
      <c r="AB4574" s="111"/>
      <c r="AC4574" s="28"/>
      <c r="AD4574" s="96">
        <f ca="1">1-AD4573/(3*F_GAMMA*AD$29)</f>
        <v>0.41456011172082108</v>
      </c>
      <c r="AE4574" s="111"/>
      <c r="AF4574" s="28"/>
      <c r="AG4574" s="96">
        <f ca="1">1-AG4573/(3*F_GAMMA*AG$29)</f>
        <v>0.40047473058174921</v>
      </c>
      <c r="AH4574" s="111"/>
      <c r="AI4574" s="28"/>
      <c r="AJ4574" s="96">
        <f ca="1">1-AJ4573/(3*F_GAMMA*AJ$29)</f>
        <v>0.36318534716963946</v>
      </c>
      <c r="AK4574" s="111"/>
      <c r="AL4574" s="28"/>
      <c r="AM4574" s="96">
        <f ca="1">1-AM4573/(3*F_GAMMA*AM$29)</f>
        <v>0.29173800942618833</v>
      </c>
      <c r="AN4574" s="111"/>
      <c r="AO4574" s="28"/>
      <c r="AP4574" s="96">
        <f ca="1">1-AP4573/(3*F_GAMMA*AP$29)</f>
        <v>0.43108951746532065</v>
      </c>
      <c r="AQ4574" s="111"/>
      <c r="AR4574" s="28"/>
      <c r="AS4574" s="96">
        <f ca="1">1-AS4573/(3*F_GAMMA*AS$29)</f>
        <v>0.11003362035866382</v>
      </c>
      <c r="AT4574" s="111"/>
      <c r="AU4574" s="28"/>
    </row>
    <row r="4575" spans="15:47" x14ac:dyDescent="0.25">
      <c r="O4575" s="2" t="s">
        <v>57</v>
      </c>
      <c r="P4575" s="143">
        <v>7</v>
      </c>
      <c r="Q4575" s="2"/>
      <c r="R4575" s="96">
        <f ca="1">(R4568/(N_9*R$27*R4570*R4574))*SQRT(M*'Valve Sizing'!$W$6*'Valve Sizing'!$G$8/R4573)</f>
        <v>90.147517661977773</v>
      </c>
      <c r="S4575" s="107"/>
      <c r="T4575" s="22"/>
      <c r="U4575" s="96">
        <f ca="1">(U4568/(N_9*U$27*U4570*U4574))*SQRT(M*'Valve Sizing'!$W$6*'Valve Sizing'!$G$8/U4573)</f>
        <v>173.95296735375626</v>
      </c>
      <c r="V4575" s="111"/>
      <c r="W4575" s="28"/>
      <c r="X4575" s="96">
        <f ca="1">(X4568/(N_9*X$27*X4570*X4574))*SQRT(M*'Valve Sizing'!$W$6*'Valve Sizing'!$G$8/X4573)</f>
        <v>111.57333418113645</v>
      </c>
      <c r="Y4575" s="111"/>
      <c r="Z4575" s="28"/>
      <c r="AA4575" s="96">
        <f ca="1">(AA4568/(N_9*AA$27*AA4570*AA4574))*SQRT(M*'Valve Sizing'!$W$6*'Valve Sizing'!$G$8/AA4573)</f>
        <v>-238.25454206125684</v>
      </c>
      <c r="AB4575" s="111"/>
      <c r="AC4575" s="28"/>
      <c r="AD4575" s="96">
        <f ca="1">(AD4568/(N_9*AD$27*AD4570*AD4574))*SQRT(M*'Valve Sizing'!$W$6*'Valve Sizing'!$G$8/AD4573)</f>
        <v>-106.29049216701462</v>
      </c>
      <c r="AE4575" s="111"/>
      <c r="AF4575" s="28"/>
      <c r="AG4575" s="96">
        <f ca="1">(AG4568/(N_9*AG$27*AG4570*AG4574))*SQRT(M*'Valve Sizing'!$W$6*'Valve Sizing'!$G$8/AG4573)</f>
        <v>-74.546458494241321</v>
      </c>
      <c r="AH4575" s="111"/>
      <c r="AI4575" s="28"/>
      <c r="AJ4575" s="96">
        <f ca="1">(AJ4568/(N_9*AJ$27*AJ4570*AJ4574))*SQRT(M*'Valve Sizing'!$W$6*'Valve Sizing'!$G$8/AJ4573)</f>
        <v>-63.023127477682657</v>
      </c>
      <c r="AK4575" s="111"/>
      <c r="AL4575" s="28"/>
      <c r="AM4575" s="96">
        <f ca="1">(AM4568/(N_9*AM$27*AM4570*AM4574))*SQRT(M*'Valve Sizing'!$W$6*'Valve Sizing'!$G$8/AM4573)</f>
        <v>-67.865517457008252</v>
      </c>
      <c r="AN4575" s="111"/>
      <c r="AO4575" s="28"/>
      <c r="AP4575" s="96">
        <f ca="1">(AP4568/(N_9*AP$27*AP4570*AP4574))*SQRT(M*'Valve Sizing'!$W$6*'Valve Sizing'!$G$8/AP4573)</f>
        <v>-44.902897460853985</v>
      </c>
      <c r="AQ4575" s="111"/>
      <c r="AR4575" s="28"/>
      <c r="AS4575" s="96">
        <f ca="1">(AS4568/(N_9*AS$27*AS4570*AS4574))*SQRT(M*'Valve Sizing'!$W$6*'Valve Sizing'!$G$8/AS4573)</f>
        <v>-200.51486357411923</v>
      </c>
      <c r="AT4575" s="111"/>
      <c r="AU4575" s="28"/>
    </row>
    <row r="4576" spans="15:47" x14ac:dyDescent="0.25">
      <c r="O4576" s="2" t="s">
        <v>59</v>
      </c>
      <c r="P4576" s="143">
        <v>7</v>
      </c>
      <c r="Q4576" s="2"/>
      <c r="R4576" s="96">
        <f ca="1">(R4568/(N_9*R$27*R4570*0.667))*SQRT(M*'Valve Sizing'!$W$6*'Valve Sizing'!$G$8/R4577)</f>
        <v>76.303725777812446</v>
      </c>
      <c r="S4576" s="107"/>
      <c r="T4576" s="22"/>
      <c r="U4576" s="96">
        <f ca="1">(U4568/(N_9*U$27*U4570*0.667))*SQRT(M*'Valve Sizing'!$W$6*'Valve Sizing'!$G$8/U4577)</f>
        <v>128.97579280726879</v>
      </c>
      <c r="V4576" s="111"/>
      <c r="W4576" s="28"/>
      <c r="X4576" s="96">
        <f ca="1">(X4568/(N_9*X$27*X4570*0.667))*SQRT(M*'Valve Sizing'!$W$6*'Valve Sizing'!$G$8/X4577)</f>
        <v>-5377.3764235165063</v>
      </c>
      <c r="Y4576" s="111"/>
      <c r="Z4576" s="28"/>
      <c r="AA4576" s="96">
        <f ca="1">(AA4568/(N_9*AA$27*AA4570*0.667))*SQRT(M*'Valve Sizing'!$W$6*'Valve Sizing'!$G$8/AA4577)</f>
        <v>-173.81119545080375</v>
      </c>
      <c r="AB4576" s="111"/>
      <c r="AC4576" s="28"/>
      <c r="AD4576" s="96">
        <f ca="1">(AD4568/(N_9*AD$27*AD4570*0.667))*SQRT(M*'Valve Sizing'!$W$6*'Valve Sizing'!$G$8/AD4577)</f>
        <v>-87.550348421047431</v>
      </c>
      <c r="AE4576" s="111"/>
      <c r="AF4576" s="28"/>
      <c r="AG4576" s="96">
        <f ca="1">(AG4568/(N_9*AG$27*AG4570*0.667))*SQRT(M*'Valve Sizing'!$W$6*'Valve Sizing'!$G$8/AG4577)</f>
        <v>-60.026175531299735</v>
      </c>
      <c r="AH4576" s="111"/>
      <c r="AI4576" s="28"/>
      <c r="AJ4576" s="96">
        <f ca="1">(AJ4568/(N_9*AJ$27*AJ4570*0.667))*SQRT(M*'Valve Sizing'!$W$6*'Valve Sizing'!$G$8/AJ4577)</f>
        <v>-47.431797881650851</v>
      </c>
      <c r="AK4576" s="111"/>
      <c r="AL4576" s="28"/>
      <c r="AM4576" s="96">
        <f ca="1">(AM4568/(N_9*AM$27*AM4570*0.667))*SQRT(M*'Valve Sizing'!$W$6*'Valve Sizing'!$G$8/AM4577)</f>
        <v>-43.268709402819461</v>
      </c>
      <c r="AN4576" s="111"/>
      <c r="AO4576" s="28"/>
      <c r="AP4576" s="96">
        <f ca="1">(AP4568/(N_9*AP$27*AP4570*0.667))*SQRT(M*'Valve Sizing'!$W$6*'Valve Sizing'!$G$8/AP4577)</f>
        <v>-37.913911298329189</v>
      </c>
      <c r="AQ4576" s="111"/>
      <c r="AR4576" s="28"/>
      <c r="AS4576" s="96">
        <f ca="1">(AS4568/(N_9*AS$27*AS4570*0.667))*SQRT(M*'Valve Sizing'!$W$6*'Valve Sizing'!$G$8/AS4577)</f>
        <v>-54.049734791520201</v>
      </c>
      <c r="AT4576" s="111"/>
      <c r="AU4576" s="28"/>
    </row>
    <row r="4577" spans="15:47" ht="15.6" x14ac:dyDescent="0.35">
      <c r="O4577" s="2" t="s">
        <v>68</v>
      </c>
      <c r="P4577" s="143">
        <v>10</v>
      </c>
      <c r="Q4577" s="2"/>
      <c r="R4577" s="96">
        <f ca="1">F_GAMMA*R$29</f>
        <v>0.64002969751372984</v>
      </c>
      <c r="S4577" s="107"/>
      <c r="T4577" s="1"/>
      <c r="U4577" s="96">
        <f ca="1">F_GAMMA*U$29</f>
        <v>0.64017842058782071</v>
      </c>
      <c r="V4577" s="111"/>
      <c r="W4577" s="28"/>
      <c r="X4577" s="96">
        <f ca="1">F_GAMMA*X$29</f>
        <v>0.63413873724904268</v>
      </c>
      <c r="Y4577" s="111"/>
      <c r="Z4577" s="28"/>
      <c r="AA4577" s="96">
        <f ca="1">F_GAMMA*AA$29</f>
        <v>0.62532411750377137</v>
      </c>
      <c r="AB4577" s="111"/>
      <c r="AC4577" s="28"/>
      <c r="AD4577" s="96">
        <f ca="1">F_GAMMA*AD$29</f>
        <v>0.60651359509139569</v>
      </c>
      <c r="AE4577" s="111"/>
      <c r="AF4577" s="28"/>
      <c r="AG4577" s="96">
        <f ca="1">F_GAMMA*AG$29</f>
        <v>0.57217930198481592</v>
      </c>
      <c r="AH4577" s="111"/>
      <c r="AI4577" s="28"/>
      <c r="AJ4577" s="96">
        <f ca="1">F_GAMMA*AJ$29</f>
        <v>0.53183282018848232</v>
      </c>
      <c r="AK4577" s="111"/>
      <c r="AL4577" s="28"/>
      <c r="AM4577" s="96">
        <f ca="1">F_GAMMA*AM$29</f>
        <v>0.47566512503094399</v>
      </c>
      <c r="AN4577" s="111"/>
      <c r="AO4577" s="28"/>
      <c r="AP4577" s="96">
        <f ca="1">F_GAMMA*AP$29</f>
        <v>0.59054158265645496</v>
      </c>
      <c r="AQ4577" s="111"/>
      <c r="AR4577" s="28"/>
      <c r="AS4577" s="96">
        <f ca="1">F_GAMMA*AS$29</f>
        <v>0.3766899554102966</v>
      </c>
      <c r="AT4577" s="111"/>
      <c r="AU4577" s="28"/>
    </row>
    <row r="4578" spans="15:47" x14ac:dyDescent="0.25">
      <c r="O4578" s="2" t="s">
        <v>145</v>
      </c>
      <c r="P4578" s="12"/>
      <c r="Q4578" s="2"/>
      <c r="R4578" s="96">
        <f ca="1">IF(R4573&lt;R4577,R4575,R4576)</f>
        <v>90.147517661977773</v>
      </c>
      <c r="S4578" s="116"/>
      <c r="T4578" s="1"/>
      <c r="U4578" s="96">
        <f ca="1">IF(U4573&lt;U4577,U4575,U4576)</f>
        <v>173.95296735375626</v>
      </c>
      <c r="V4578" s="111"/>
      <c r="W4578" s="28"/>
      <c r="X4578" s="96">
        <f ca="1">IF(X4573&lt;X4577,X4575,X4576)</f>
        <v>-5377.3764235165063</v>
      </c>
      <c r="Y4578" s="111"/>
      <c r="Z4578" s="28"/>
      <c r="AA4578" s="96">
        <f ca="1">IF(AA4573&lt;AA4577,AA4575,AA4576)</f>
        <v>-173.81119545080375</v>
      </c>
      <c r="AB4578" s="111"/>
      <c r="AC4578" s="28"/>
      <c r="AD4578" s="96">
        <f ca="1">IF(AD4573&lt;AD4577,AD4575,AD4576)</f>
        <v>-87.550348421047431</v>
      </c>
      <c r="AE4578" s="111"/>
      <c r="AF4578" s="28"/>
      <c r="AG4578" s="96">
        <f ca="1">IF(AG4573&lt;AG4577,AG4575,AG4576)</f>
        <v>-60.026175531299735</v>
      </c>
      <c r="AH4578" s="111"/>
      <c r="AI4578" s="28"/>
      <c r="AJ4578" s="96">
        <f ca="1">IF(AJ4573&lt;AJ4577,AJ4575,AJ4576)</f>
        <v>-47.431797881650851</v>
      </c>
      <c r="AK4578" s="111"/>
      <c r="AL4578" s="28"/>
      <c r="AM4578" s="96">
        <f ca="1">IF(AM4573&lt;AM4577,AM4575,AM4576)</f>
        <v>-43.268709402819461</v>
      </c>
      <c r="AN4578" s="111"/>
      <c r="AO4578" s="28"/>
      <c r="AP4578" s="96">
        <f ca="1">IF(AP4573&lt;AP4577,AP4575,AP4576)</f>
        <v>-37.913911298329189</v>
      </c>
      <c r="AQ4578" s="111"/>
      <c r="AR4578" s="28"/>
      <c r="AS4578" s="96">
        <f ca="1">IF(AS4573&lt;AS4577,AS4575,AS4576)</f>
        <v>-54.049734791520201</v>
      </c>
      <c r="AT4578" s="111"/>
      <c r="AU4578" s="28"/>
    </row>
    <row r="4579" spans="15:47" x14ac:dyDescent="0.25">
      <c r="O4579" s="13" t="s">
        <v>143</v>
      </c>
      <c r="P4579" s="1"/>
      <c r="Q4579" s="1"/>
      <c r="R4579" s="113"/>
      <c r="S4579" s="106">
        <f ca="1">IF(R4572&lt;=0,Q_max,ABS(R$23-R4578))</f>
        <v>85.417517661977769</v>
      </c>
      <c r="T4579" s="7">
        <f>R4568</f>
        <v>194868.80163222595</v>
      </c>
      <c r="U4579" s="98"/>
      <c r="V4579" s="106">
        <f ca="1">IF(U4572&lt;=0,Q_max,ABS(U$23-U4578))</f>
        <v>162.35296735375627</v>
      </c>
      <c r="W4579" s="9">
        <f ca="1">U4568</f>
        <v>294200.24482841609</v>
      </c>
      <c r="X4579" s="98"/>
      <c r="Y4579" s="106">
        <f ca="1">IF(X4572&lt;=0,Q_max,ABS(X$23-X4578))</f>
        <v>236393</v>
      </c>
      <c r="Z4579" s="9">
        <f ca="1">X4568</f>
        <v>720388.33237644238</v>
      </c>
      <c r="AA4579" s="98"/>
      <c r="AB4579" s="106">
        <f ca="1">IF(AA4572&lt;=0,Q_max,ABS(AA$23-AA4578))</f>
        <v>236393</v>
      </c>
      <c r="AC4579" s="9">
        <f ca="1">AA4568</f>
        <v>1403132.5956516431</v>
      </c>
      <c r="AD4579" s="98"/>
      <c r="AE4579" s="106">
        <f ca="1">IF(AD4572&lt;=0,Q_max,ABS(AD$23-AD4578))</f>
        <v>236393</v>
      </c>
      <c r="AF4579" s="9">
        <f ca="1">AD4568</f>
        <v>2354020.0110683064</v>
      </c>
      <c r="AG4579" s="98"/>
      <c r="AH4579" s="106">
        <f ca="1">IF(AG4572&lt;=0,Q_max,ABS(AG$23-AG4578))</f>
        <v>236393</v>
      </c>
      <c r="AI4579" s="9">
        <f ca="1">AG4568</f>
        <v>3435756.3205769476</v>
      </c>
      <c r="AJ4579" s="98"/>
      <c r="AK4579" s="106">
        <f ca="1">IF(AJ4572&lt;=0,Q_max,ABS(AJ$23-AJ4578))</f>
        <v>236393</v>
      </c>
      <c r="AL4579" s="9">
        <f ca="1">AJ4568</f>
        <v>4585030.1287503112</v>
      </c>
      <c r="AM4579" s="98"/>
      <c r="AN4579" s="106">
        <f ca="1">IF(AM4572&lt;=0,Q_max,ABS(AM$23-AM4578))</f>
        <v>236393</v>
      </c>
      <c r="AO4579" s="9">
        <f ca="1">AM4568</f>
        <v>5594608.0959624769</v>
      </c>
      <c r="AP4579" s="98"/>
      <c r="AQ4579" s="106">
        <f ca="1">IF(AP4572&lt;=0,Q_max,ABS(AP$23-AP4578))</f>
        <v>236393</v>
      </c>
      <c r="AR4579" s="9">
        <f ca="1">AP4568</f>
        <v>6495166.3168740943</v>
      </c>
      <c r="AS4579" s="98"/>
      <c r="AT4579" s="106">
        <f ca="1">IF(AS4572&lt;=0,Q_max,ABS(AS$23-AS4578))</f>
        <v>236393</v>
      </c>
      <c r="AU4579" s="9">
        <f ca="1">AS4568</f>
        <v>7616093.3183942772</v>
      </c>
    </row>
    <row r="4580" spans="15:47" x14ac:dyDescent="0.25">
      <c r="O4580" s="21"/>
      <c r="P4580" s="14"/>
      <c r="Q4580" s="21"/>
      <c r="R4580" s="97"/>
      <c r="S4580" s="106"/>
      <c r="T4580" s="28"/>
      <c r="U4580" s="97"/>
      <c r="V4580" s="111"/>
      <c r="W4580" s="28"/>
      <c r="X4580" s="97"/>
      <c r="Y4580" s="111"/>
      <c r="Z4580" s="28"/>
      <c r="AA4580" s="97"/>
      <c r="AB4580" s="111"/>
      <c r="AC4580" s="28"/>
      <c r="AD4580" s="97"/>
      <c r="AE4580" s="111"/>
      <c r="AF4580" s="28"/>
      <c r="AG4580" s="97"/>
      <c r="AH4580" s="111"/>
      <c r="AI4580" s="28"/>
      <c r="AJ4580" s="97"/>
      <c r="AK4580" s="111"/>
      <c r="AL4580" s="28"/>
      <c r="AM4580" s="97"/>
      <c r="AN4580" s="111"/>
      <c r="AO4580" s="28"/>
      <c r="AP4580" s="97"/>
      <c r="AQ4580" s="111"/>
      <c r="AR4580" s="28"/>
      <c r="AS4580" s="97"/>
      <c r="AT4580" s="111"/>
      <c r="AU4580" s="28"/>
    </row>
    <row r="4581" spans="15:47" x14ac:dyDescent="0.25">
      <c r="O4581" s="1"/>
      <c r="P4581" s="1"/>
      <c r="Q4581" s="1"/>
      <c r="R4581" s="98"/>
      <c r="S4581" s="108" t="s">
        <v>137</v>
      </c>
      <c r="T4581" s="26" t="s">
        <v>146</v>
      </c>
      <c r="U4581" s="98"/>
      <c r="V4581" s="108" t="s">
        <v>137</v>
      </c>
      <c r="W4581" s="26" t="s">
        <v>146</v>
      </c>
      <c r="X4581" s="98"/>
      <c r="Y4581" s="108" t="s">
        <v>137</v>
      </c>
      <c r="Z4581" s="26" t="s">
        <v>146</v>
      </c>
      <c r="AA4581" s="98"/>
      <c r="AB4581" s="108" t="s">
        <v>137</v>
      </c>
      <c r="AC4581" s="26" t="s">
        <v>146</v>
      </c>
      <c r="AD4581" s="98"/>
      <c r="AE4581" s="108" t="s">
        <v>137</v>
      </c>
      <c r="AF4581" s="26" t="s">
        <v>146</v>
      </c>
      <c r="AG4581" s="98"/>
      <c r="AH4581" s="108" t="s">
        <v>137</v>
      </c>
      <c r="AI4581" s="26" t="s">
        <v>146</v>
      </c>
      <c r="AJ4581" s="98"/>
      <c r="AK4581" s="108" t="s">
        <v>137</v>
      </c>
      <c r="AL4581" s="26" t="s">
        <v>146</v>
      </c>
      <c r="AM4581" s="98"/>
      <c r="AN4581" s="108" t="s">
        <v>137</v>
      </c>
      <c r="AO4581" s="26" t="s">
        <v>146</v>
      </c>
      <c r="AP4581" s="98"/>
      <c r="AQ4581" s="108" t="s">
        <v>137</v>
      </c>
      <c r="AR4581" s="26" t="s">
        <v>146</v>
      </c>
      <c r="AS4581" s="98"/>
      <c r="AT4581" s="108" t="s">
        <v>137</v>
      </c>
      <c r="AU4581" s="26" t="s">
        <v>146</v>
      </c>
    </row>
    <row r="4582" spans="15:47" ht="13.8" x14ac:dyDescent="0.25">
      <c r="O4582" s="20" t="s">
        <v>136</v>
      </c>
      <c r="P4582" s="1"/>
      <c r="Q4582" s="1"/>
      <c r="R4582" s="96">
        <f>R4568*1.02</f>
        <v>198766.17766487048</v>
      </c>
      <c r="S4582" s="109" t="s">
        <v>144</v>
      </c>
      <c r="T4582" s="23" t="s">
        <v>147</v>
      </c>
      <c r="U4582" s="96">
        <f ca="1">U4568*1.01</f>
        <v>297142.24727670028</v>
      </c>
      <c r="V4582" s="109" t="s">
        <v>144</v>
      </c>
      <c r="W4582" s="23" t="s">
        <v>147</v>
      </c>
      <c r="X4582" s="96">
        <f ca="1">X4568*1.01</f>
        <v>727592.21570020681</v>
      </c>
      <c r="Y4582" s="109" t="s">
        <v>144</v>
      </c>
      <c r="Z4582" s="23" t="s">
        <v>147</v>
      </c>
      <c r="AA4582" s="96">
        <f ca="1">AA4568*1.01</f>
        <v>1417163.9216081596</v>
      </c>
      <c r="AB4582" s="109" t="s">
        <v>144</v>
      </c>
      <c r="AC4582" s="23" t="s">
        <v>147</v>
      </c>
      <c r="AD4582" s="96">
        <f ca="1">AD4568*1.01</f>
        <v>2377560.2111789896</v>
      </c>
      <c r="AE4582" s="109" t="s">
        <v>144</v>
      </c>
      <c r="AF4582" s="23" t="s">
        <v>147</v>
      </c>
      <c r="AG4582" s="96">
        <f ca="1">AG4568*1.01</f>
        <v>3470113.8837827169</v>
      </c>
      <c r="AH4582" s="109" t="s">
        <v>144</v>
      </c>
      <c r="AI4582" s="23" t="s">
        <v>147</v>
      </c>
      <c r="AJ4582" s="96">
        <f ca="1">AJ4568*1.01</f>
        <v>4630880.4300378142</v>
      </c>
      <c r="AK4582" s="109" t="s">
        <v>144</v>
      </c>
      <c r="AL4582" s="23" t="s">
        <v>147</v>
      </c>
      <c r="AM4582" s="96">
        <f ca="1">AM4568*1.01</f>
        <v>5650554.1769221015</v>
      </c>
      <c r="AN4582" s="109" t="s">
        <v>144</v>
      </c>
      <c r="AO4582" s="23" t="s">
        <v>147</v>
      </c>
      <c r="AP4582" s="96">
        <f ca="1">AP4568*1.01</f>
        <v>6560117.9800428357</v>
      </c>
      <c r="AQ4582" s="109" t="s">
        <v>144</v>
      </c>
      <c r="AR4582" s="23" t="s">
        <v>147</v>
      </c>
      <c r="AS4582" s="96">
        <f ca="1">AS4568*1.01</f>
        <v>7692254.2515782202</v>
      </c>
      <c r="AT4582" s="109" t="s">
        <v>144</v>
      </c>
      <c r="AU4582" s="23" t="s">
        <v>147</v>
      </c>
    </row>
    <row r="4583" spans="15:47" x14ac:dyDescent="0.25">
      <c r="O4583" s="1"/>
      <c r="P4583" s="1"/>
      <c r="Q4583" s="1"/>
      <c r="R4583" s="98"/>
      <c r="S4583" s="107"/>
      <c r="T4583" s="1"/>
      <c r="U4583" s="47"/>
      <c r="V4583" s="107"/>
      <c r="W4583" s="1"/>
      <c r="X4583" s="47"/>
      <c r="Y4583" s="107"/>
      <c r="Z4583" s="1"/>
      <c r="AA4583" s="47"/>
      <c r="AB4583" s="107"/>
      <c r="AC4583" s="1"/>
      <c r="AD4583" s="47"/>
      <c r="AE4583" s="107"/>
      <c r="AF4583" s="1"/>
      <c r="AG4583" s="47"/>
      <c r="AH4583" s="107"/>
      <c r="AI4583" s="1"/>
      <c r="AJ4583" s="47"/>
      <c r="AK4583" s="107"/>
      <c r="AL4583" s="1"/>
      <c r="AM4583" s="47"/>
      <c r="AN4583" s="107"/>
      <c r="AO4583" s="1"/>
      <c r="AP4583" s="47"/>
      <c r="AQ4583" s="107"/>
      <c r="AR4583" s="1"/>
      <c r="AS4583" s="47"/>
      <c r="AT4583" s="107"/>
      <c r="AU4583" s="1"/>
    </row>
    <row r="4584" spans="15:47" x14ac:dyDescent="0.25">
      <c r="O4584" s="8" t="s">
        <v>132</v>
      </c>
      <c r="P4584" s="8"/>
      <c r="Q4584" s="8"/>
      <c r="R4584" s="96">
        <f>P_1_minQ-(R4582^2*R_up)+dpup_minQ</f>
        <v>82.984277656451681</v>
      </c>
      <c r="S4584" s="106"/>
      <c r="T4584" s="22"/>
      <c r="U4584" s="96">
        <f ca="1">P_1_minQ-(U4582^2*R_up)+dpup_minQ</f>
        <v>74.092584011948119</v>
      </c>
      <c r="V4584" s="107"/>
      <c r="W4584" s="1"/>
      <c r="X4584" s="96">
        <f ca="1">P_1_minQ-(X4582^2*R_up)+dpup_minQ</f>
        <v>-6.3021420505454708</v>
      </c>
      <c r="Y4584" s="107"/>
      <c r="Z4584" s="1"/>
      <c r="AA4584" s="96">
        <f ca="1">P_1_minQ-(AA4582^2*R_up)+dpup_minQ</f>
        <v>-275.85931310352345</v>
      </c>
      <c r="AB4584" s="107"/>
      <c r="AC4584" s="1"/>
      <c r="AD4584" s="96">
        <f ca="1">P_1_minQ-(AD4582^2*R_up)+dpup_minQ</f>
        <v>-940.09808188173815</v>
      </c>
      <c r="AE4584" s="107"/>
      <c r="AF4584" s="1"/>
      <c r="AG4584" s="96">
        <f ca="1">P_1_minQ-(AG4582^2*R_up)+dpup_minQ</f>
        <v>-2104.544418055129</v>
      </c>
      <c r="AH4584" s="107"/>
      <c r="AI4584" s="1"/>
      <c r="AJ4584" s="96">
        <f ca="1">P_1_minQ-(AJ4582^2*R_up)+dpup_minQ</f>
        <v>-3818.4099615807359</v>
      </c>
      <c r="AK4584" s="107"/>
      <c r="AL4584" s="1"/>
      <c r="AM4584" s="96">
        <f ca="1">P_1_minQ-(AM4582^2*R_up)+dpup_minQ</f>
        <v>-5729.1803073969822</v>
      </c>
      <c r="AN4584" s="107"/>
      <c r="AO4584" s="1"/>
      <c r="AP4584" s="96">
        <f ca="1">P_1_minQ-(AP4582^2*R_up)+dpup_minQ</f>
        <v>-7753.440231599373</v>
      </c>
      <c r="AQ4584" s="107"/>
      <c r="AR4584" s="1"/>
      <c r="AS4584" s="96">
        <f ca="1">P_1_minQ-(AS4582^2*R_up)+dpup_minQ</f>
        <v>-10694.334413275321</v>
      </c>
      <c r="AT4584" s="107"/>
      <c r="AU4584" s="1"/>
    </row>
    <row r="4585" spans="15:47" x14ac:dyDescent="0.25">
      <c r="O4585" s="8" t="s">
        <v>134</v>
      </c>
      <c r="P4585" s="1"/>
      <c r="Q4585" s="8"/>
      <c r="R4585" s="97">
        <f>P_2_minQ+(R4582^2*R_dn)-dpdn_minQ</f>
        <v>60</v>
      </c>
      <c r="S4585" s="106"/>
      <c r="T4585" s="22"/>
      <c r="U4585" s="97">
        <f ca="1">P_2_minQ+(U4582^2*R_dn)-dpdn_minQ</f>
        <v>60</v>
      </c>
      <c r="V4585" s="107"/>
      <c r="W4585" s="1"/>
      <c r="X4585" s="97">
        <f ca="1">P_2_minQ+(X4582^2*R_dn)-dpdn_minQ</f>
        <v>60</v>
      </c>
      <c r="Y4585" s="107"/>
      <c r="Z4585" s="1"/>
      <c r="AA4585" s="97">
        <f ca="1">P_2_minQ+(AA4582^2*R_dn)-dpdn_minQ</f>
        <v>60</v>
      </c>
      <c r="AB4585" s="107"/>
      <c r="AC4585" s="1"/>
      <c r="AD4585" s="97">
        <f ca="1">P_2_minQ+(AD4582^2*R_dn)-dpdn_minQ</f>
        <v>60</v>
      </c>
      <c r="AE4585" s="107"/>
      <c r="AF4585" s="1"/>
      <c r="AG4585" s="97">
        <f ca="1">P_2_minQ+(AG4582^2*R_dn)-dpdn_minQ</f>
        <v>60</v>
      </c>
      <c r="AH4585" s="107"/>
      <c r="AI4585" s="1"/>
      <c r="AJ4585" s="97">
        <f ca="1">P_2_minQ+(AJ4582^2*R_dn)-dpdn_minQ</f>
        <v>60</v>
      </c>
      <c r="AK4585" s="107"/>
      <c r="AL4585" s="1"/>
      <c r="AM4585" s="97">
        <f ca="1">P_2_minQ+(AM4582^2*R_dn)-dpdn_minQ</f>
        <v>60</v>
      </c>
      <c r="AN4585" s="107"/>
      <c r="AO4585" s="1"/>
      <c r="AP4585" s="97">
        <f ca="1">P_2_minQ+(AP4582^2*R_dn)-dpdn_minQ</f>
        <v>60</v>
      </c>
      <c r="AQ4585" s="107"/>
      <c r="AR4585" s="1"/>
      <c r="AS4585" s="97">
        <f ca="1">P_2_minQ+(AS4582^2*R_dn)-dpdn_minQ</f>
        <v>60</v>
      </c>
      <c r="AT4585" s="107"/>
      <c r="AU4585" s="1"/>
    </row>
    <row r="4586" spans="15:47" x14ac:dyDescent="0.25">
      <c r="O4586" s="8" t="s">
        <v>138</v>
      </c>
      <c r="P4586" s="1"/>
      <c r="Q4586" s="8"/>
      <c r="R4586" s="97">
        <f>R4584-R4585</f>
        <v>22.984277656451681</v>
      </c>
      <c r="S4586" s="106"/>
      <c r="T4586" s="22"/>
      <c r="U4586" s="97">
        <f ca="1">U4584-U4585</f>
        <v>14.092584011948119</v>
      </c>
      <c r="V4586" s="110"/>
      <c r="W4586" s="25"/>
      <c r="X4586" s="97">
        <f ca="1">X4584-X4585</f>
        <v>-66.30214205054547</v>
      </c>
      <c r="Y4586" s="110"/>
      <c r="Z4586" s="25"/>
      <c r="AA4586" s="97">
        <f ca="1">AA4584-AA4585</f>
        <v>-335.85931310352345</v>
      </c>
      <c r="AB4586" s="110"/>
      <c r="AC4586" s="25"/>
      <c r="AD4586" s="97">
        <f ca="1">AD4584-AD4585</f>
        <v>-1000.0980818817382</v>
      </c>
      <c r="AE4586" s="110"/>
      <c r="AF4586" s="25"/>
      <c r="AG4586" s="97">
        <f ca="1">AG4584-AG4585</f>
        <v>-2164.544418055129</v>
      </c>
      <c r="AH4586" s="110"/>
      <c r="AI4586" s="25"/>
      <c r="AJ4586" s="97">
        <f ca="1">AJ4584-AJ4585</f>
        <v>-3878.4099615807359</v>
      </c>
      <c r="AK4586" s="110"/>
      <c r="AL4586" s="25"/>
      <c r="AM4586" s="97">
        <f ca="1">AM4584-AM4585</f>
        <v>-5789.1803073969822</v>
      </c>
      <c r="AN4586" s="110"/>
      <c r="AO4586" s="25"/>
      <c r="AP4586" s="97">
        <f ca="1">AP4584-AP4585</f>
        <v>-7813.440231599373</v>
      </c>
      <c r="AQ4586" s="110"/>
      <c r="AR4586" s="25"/>
      <c r="AS4586" s="97">
        <f ca="1">AS4584-AS4585</f>
        <v>-10754.334413275321</v>
      </c>
      <c r="AT4586" s="110"/>
      <c r="AU4586" s="25"/>
    </row>
    <row r="4587" spans="15:47" ht="14.4" x14ac:dyDescent="0.3">
      <c r="O4587" s="2" t="s">
        <v>140</v>
      </c>
      <c r="P4587" s="11"/>
      <c r="Q4587" s="2"/>
      <c r="R4587" s="96">
        <f>R4586/R4584</f>
        <v>0.27697147345916251</v>
      </c>
      <c r="S4587" s="106"/>
      <c r="T4587" s="22"/>
      <c r="U4587" s="96">
        <f ca="1">U4586/U4584</f>
        <v>0.190202355605192</v>
      </c>
      <c r="V4587" s="111"/>
      <c r="W4587" s="28"/>
      <c r="X4587" s="96">
        <f ca="1">X4586/X4584</f>
        <v>10.520572452791159</v>
      </c>
      <c r="Y4587" s="111"/>
      <c r="Z4587" s="28"/>
      <c r="AA4587" s="96">
        <f ca="1">AA4586/AA4584</f>
        <v>1.2175021728466475</v>
      </c>
      <c r="AB4587" s="111"/>
      <c r="AC4587" s="28"/>
      <c r="AD4587" s="96">
        <f ca="1">AD4586/AD4584</f>
        <v>1.0638231277739676</v>
      </c>
      <c r="AE4587" s="111"/>
      <c r="AF4587" s="28"/>
      <c r="AG4587" s="96">
        <f ca="1">AG4586/AG4584</f>
        <v>1.0285097332635287</v>
      </c>
      <c r="AH4587" s="111"/>
      <c r="AI4587" s="28"/>
      <c r="AJ4587" s="96">
        <f ca="1">AJ4586/AJ4584</f>
        <v>1.0157133468128607</v>
      </c>
      <c r="AK4587" s="111"/>
      <c r="AL4587" s="28"/>
      <c r="AM4587" s="96">
        <f ca="1">AM4586/AM4584</f>
        <v>1.0104727023379825</v>
      </c>
      <c r="AN4587" s="111"/>
      <c r="AO4587" s="28"/>
      <c r="AP4587" s="96">
        <f ca="1">AP4586/AP4584</f>
        <v>1.007738500356973</v>
      </c>
      <c r="AQ4587" s="111"/>
      <c r="AR4587" s="28"/>
      <c r="AS4587" s="96">
        <f ca="1">AS4586/AS4584</f>
        <v>1.0056104473341996</v>
      </c>
      <c r="AT4587" s="111"/>
      <c r="AU4587" s="28"/>
    </row>
    <row r="4588" spans="15:47" x14ac:dyDescent="0.25">
      <c r="O4588" s="2" t="s">
        <v>21</v>
      </c>
      <c r="P4588" s="8">
        <v>12</v>
      </c>
      <c r="Q4588" s="2"/>
      <c r="R4588" s="96">
        <f ca="1">1-R4587/(3*F_GAMMA*R$29)</f>
        <v>0.85575071774789491</v>
      </c>
      <c r="S4588" s="106"/>
      <c r="T4588" s="22"/>
      <c r="U4588" s="96">
        <f ca="1">1-U4587/(3*F_GAMMA*U$29)</f>
        <v>0.90096388262585425</v>
      </c>
      <c r="V4588" s="111"/>
      <c r="W4588" s="28"/>
      <c r="X4588" s="96">
        <f ca="1">1-X4587/(3*F_GAMMA*X$29)</f>
        <v>-4.5301108074186081</v>
      </c>
      <c r="Y4588" s="111"/>
      <c r="Z4588" s="28"/>
      <c r="AA4588" s="96">
        <f ca="1">1-AA4587/(3*F_GAMMA*AA$29)</f>
        <v>0.35100207035737496</v>
      </c>
      <c r="AB4588" s="111"/>
      <c r="AC4588" s="28"/>
      <c r="AD4588" s="96">
        <f ca="1">1-AD4587/(3*F_GAMMA*AD$29)</f>
        <v>0.41533427753659291</v>
      </c>
      <c r="AE4588" s="111"/>
      <c r="AF4588" s="28"/>
      <c r="AG4588" s="96">
        <f ca="1">1-AG4587/(3*F_GAMMA*AG$29)</f>
        <v>0.40082317454466831</v>
      </c>
      <c r="AH4588" s="111"/>
      <c r="AI4588" s="28"/>
      <c r="AJ4588" s="96">
        <f ca="1">1-AJ4587/(3*F_GAMMA*AJ$29)</f>
        <v>0.36338807468802548</v>
      </c>
      <c r="AK4588" s="111"/>
      <c r="AL4588" s="28"/>
      <c r="AM4588" s="96">
        <f ca="1">1-AM4587/(3*F_GAMMA*AM$29)</f>
        <v>0.29188789257831538</v>
      </c>
      <c r="AN4588" s="111"/>
      <c r="AO4588" s="28"/>
      <c r="AP4588" s="96">
        <f ca="1">1-AP4587/(3*F_GAMMA*AP$29)</f>
        <v>0.43117835675300753</v>
      </c>
      <c r="AQ4588" s="111"/>
      <c r="AR4588" s="28"/>
      <c r="AS4588" s="96">
        <f ca="1">1-AS4587/(3*F_GAMMA*AS$29)</f>
        <v>0.110134269230449</v>
      </c>
      <c r="AT4588" s="111"/>
      <c r="AU4588" s="28"/>
    </row>
    <row r="4589" spans="15:47" x14ac:dyDescent="0.25">
      <c r="O4589" s="2" t="s">
        <v>57</v>
      </c>
      <c r="P4589" s="143">
        <v>7</v>
      </c>
      <c r="Q4589" s="2"/>
      <c r="R4589" s="96">
        <f ca="1">(R4582/(N_9*R$27*R4584*R4588))*SQRT(M*'Valve Sizing'!$W$6*'Valve Sizing'!$G$8/R4587)</f>
        <v>92.526878212138897</v>
      </c>
      <c r="S4589" s="107"/>
      <c r="T4589" s="22"/>
      <c r="U4589" s="96">
        <f ca="1">(U4582/(N_9*U$27*U4584*U4588))*SQRT(M*'Valve Sizing'!$W$6*'Valve Sizing'!$G$8/U4587)</f>
        <v>177.68273612359775</v>
      </c>
      <c r="V4589" s="111"/>
      <c r="W4589" s="28"/>
      <c r="X4589" s="96">
        <f ca="1">(X4582/(N_9*X$27*X4584*X4588))*SQRT(M*'Valve Sizing'!$W$6*'Valve Sizing'!$G$8/X4587)</f>
        <v>137.10106974004077</v>
      </c>
      <c r="Y4589" s="111"/>
      <c r="Z4589" s="28"/>
      <c r="AA4589" s="96">
        <f ca="1">(AA4582/(N_9*AA$27*AA4584*AA4588))*SQRT(M*'Valve Sizing'!$W$6*'Valve Sizing'!$G$8/AA4587)</f>
        <v>-232.82360181902592</v>
      </c>
      <c r="AB4589" s="111"/>
      <c r="AC4589" s="28"/>
      <c r="AD4589" s="96">
        <f ca="1">(AD4582/(N_9*AD$27*AD4584*AD4588))*SQRT(M*'Valve Sizing'!$W$6*'Valve Sizing'!$G$8/AD4587)</f>
        <v>-104.90879408304502</v>
      </c>
      <c r="AE4589" s="111"/>
      <c r="AF4589" s="28"/>
      <c r="AG4589" s="96">
        <f ca="1">(AG4582/(N_9*AG$27*AG4584*AG4588))*SQRT(M*'Valve Sizing'!$W$6*'Valve Sizing'!$G$8/AG4587)</f>
        <v>-73.702113998897332</v>
      </c>
      <c r="AH4589" s="111"/>
      <c r="AI4589" s="28"/>
      <c r="AJ4589" s="96">
        <f ca="1">(AJ4582/(N_9*AJ$27*AJ4584*AJ4588))*SQRT(M*'Valve Sizing'!$W$6*'Valve Sizing'!$G$8/AJ4587)</f>
        <v>-62.344642860046335</v>
      </c>
      <c r="AK4589" s="111"/>
      <c r="AL4589" s="28"/>
      <c r="AM4589" s="96">
        <f ca="1">(AM4582/(N_9*AM$27*AM4584*AM4588))*SQRT(M*'Valve Sizing'!$W$6*'Valve Sizing'!$G$8/AM4587)</f>
        <v>-67.144933837729113</v>
      </c>
      <c r="AN4589" s="111"/>
      <c r="AO4589" s="28"/>
      <c r="AP4589" s="96">
        <f ca="1">(AP4582/(N_9*AP$27*AP4584*AP4588))*SQRT(M*'Valve Sizing'!$W$6*'Valve Sizing'!$G$8/AP4587)</f>
        <v>-44.442232303043397</v>
      </c>
      <c r="AQ4589" s="111"/>
      <c r="AR4589" s="28"/>
      <c r="AS4589" s="96">
        <f ca="1">(AS4582/(N_9*AS$27*AS4584*AS4588))*SQRT(M*'Valve Sizing'!$W$6*'Valve Sizing'!$G$8/AS4587)</f>
        <v>-198.32573121042341</v>
      </c>
      <c r="AT4589" s="111"/>
      <c r="AU4589" s="28"/>
    </row>
    <row r="4590" spans="15:47" x14ac:dyDescent="0.25">
      <c r="O4590" s="2" t="s">
        <v>59</v>
      </c>
      <c r="P4590" s="143">
        <v>7</v>
      </c>
      <c r="Q4590" s="2"/>
      <c r="R4590" s="96">
        <f ca="1">(R4582/(N_9*R$27*R4584*0.667))*SQRT(M*'Valve Sizing'!$W$6*'Valve Sizing'!$G$8/R4591)</f>
        <v>78.092046750187777</v>
      </c>
      <c r="S4590" s="107"/>
      <c r="T4590" s="22"/>
      <c r="U4590" s="96">
        <f ca="1">(U4582/(N_9*U$27*U4584*0.667))*SQRT(M*'Valve Sizing'!$W$6*'Valve Sizing'!$G$8/U4591)</f>
        <v>130.82303227762836</v>
      </c>
      <c r="V4590" s="111"/>
      <c r="W4590" s="28"/>
      <c r="X4590" s="96">
        <f ca="1">(X4582/(N_9*X$27*X4584*0.667))*SQRT(M*'Valve Sizing'!$W$6*'Valve Sizing'!$G$8/X4591)</f>
        <v>-3792.7252120005132</v>
      </c>
      <c r="Y4590" s="111"/>
      <c r="Z4590" s="28"/>
      <c r="AA4590" s="96">
        <f ca="1">(AA4582/(N_9*AA$27*AA4584*0.667))*SQRT(M*'Valve Sizing'!$W$6*'Valve Sizing'!$G$8/AA4591)</f>
        <v>-170.95945741392322</v>
      </c>
      <c r="AB4590" s="111"/>
      <c r="AC4590" s="28"/>
      <c r="AD4590" s="96">
        <f ca="1">(AD4582/(N_9*AD$27*AD4584*0.667))*SQRT(M*'Valve Sizing'!$W$6*'Valve Sizing'!$G$8/AD4591)</f>
        <v>-86.516368091480189</v>
      </c>
      <c r="AE4590" s="111"/>
      <c r="AF4590" s="28"/>
      <c r="AG4590" s="96">
        <f ca="1">(AG4582/(N_9*AG$27*AG4584*0.667))*SQRT(M*'Valve Sizing'!$W$6*'Valve Sizing'!$G$8/AG4591)</f>
        <v>-59.380666179442251</v>
      </c>
      <c r="AH4590" s="111"/>
      <c r="AI4590" s="28"/>
      <c r="AJ4590" s="96">
        <f ca="1">(AJ4582/(N_9*AJ$27*AJ4584*0.667))*SQRT(M*'Valve Sizing'!$W$6*'Valve Sizing'!$G$8/AJ4591)</f>
        <v>-46.939881698273695</v>
      </c>
      <c r="AK4590" s="111"/>
      <c r="AL4590" s="28"/>
      <c r="AM4590" s="96">
        <f ca="1">(AM4582/(N_9*AM$27*AM4584*0.667))*SQRT(M*'Valve Sizing'!$W$6*'Valve Sizing'!$G$8/AM4591)</f>
        <v>-42.826751616658484</v>
      </c>
      <c r="AN4590" s="111"/>
      <c r="AO4590" s="28"/>
      <c r="AP4590" s="96">
        <f ca="1">(AP4582/(N_9*AP$27*AP4584*0.667))*SQRT(M*'Valve Sizing'!$W$6*'Valve Sizing'!$G$8/AP4591)</f>
        <v>-37.529749700071243</v>
      </c>
      <c r="AQ4590" s="111"/>
      <c r="AR4590" s="28"/>
      <c r="AS4590" s="96">
        <f ca="1">(AS4582/(N_9*AS$27*AS4584*0.667))*SQRT(M*'Valve Sizing'!$W$6*'Valve Sizing'!$G$8/AS4591)</f>
        <v>-53.505518031399319</v>
      </c>
      <c r="AT4590" s="111"/>
      <c r="AU4590" s="28"/>
    </row>
    <row r="4591" spans="15:47" ht="15.6" x14ac:dyDescent="0.35">
      <c r="O4591" s="2" t="s">
        <v>68</v>
      </c>
      <c r="P4591" s="143">
        <v>10</v>
      </c>
      <c r="Q4591" s="2"/>
      <c r="R4591" s="96">
        <f ca="1">F_GAMMA*R$29</f>
        <v>0.64002969751372984</v>
      </c>
      <c r="S4591" s="107"/>
      <c r="T4591" s="1"/>
      <c r="U4591" s="96">
        <f ca="1">F_GAMMA*U$29</f>
        <v>0.64017842058782071</v>
      </c>
      <c r="V4591" s="111"/>
      <c r="W4591" s="28"/>
      <c r="X4591" s="96">
        <f ca="1">F_GAMMA*X$29</f>
        <v>0.63413873724904268</v>
      </c>
      <c r="Y4591" s="111"/>
      <c r="Z4591" s="28"/>
      <c r="AA4591" s="96">
        <f ca="1">F_GAMMA*AA$29</f>
        <v>0.62532411750377137</v>
      </c>
      <c r="AB4591" s="111"/>
      <c r="AC4591" s="28"/>
      <c r="AD4591" s="96">
        <f ca="1">F_GAMMA*AD$29</f>
        <v>0.60651359509139569</v>
      </c>
      <c r="AE4591" s="111"/>
      <c r="AF4591" s="28"/>
      <c r="AG4591" s="96">
        <f ca="1">F_GAMMA*AG$29</f>
        <v>0.57217930198481592</v>
      </c>
      <c r="AH4591" s="111"/>
      <c r="AI4591" s="28"/>
      <c r="AJ4591" s="96">
        <f ca="1">F_GAMMA*AJ$29</f>
        <v>0.53183282018848232</v>
      </c>
      <c r="AK4591" s="111"/>
      <c r="AL4591" s="28"/>
      <c r="AM4591" s="96">
        <f ca="1">F_GAMMA*AM$29</f>
        <v>0.47566512503094399</v>
      </c>
      <c r="AN4591" s="111"/>
      <c r="AO4591" s="28"/>
      <c r="AP4591" s="96">
        <f ca="1">F_GAMMA*AP$29</f>
        <v>0.59054158265645496</v>
      </c>
      <c r="AQ4591" s="111"/>
      <c r="AR4591" s="28"/>
      <c r="AS4591" s="96">
        <f ca="1">F_GAMMA*AS$29</f>
        <v>0.3766899554102966</v>
      </c>
      <c r="AT4591" s="111"/>
      <c r="AU4591" s="28"/>
    </row>
    <row r="4592" spans="15:47" x14ac:dyDescent="0.25">
      <c r="O4592" s="2" t="s">
        <v>145</v>
      </c>
      <c r="P4592" s="12"/>
      <c r="Q4592" s="2"/>
      <c r="R4592" s="96">
        <f ca="1">IF(R4587&lt;R4591,R4589,R4590)</f>
        <v>92.526878212138897</v>
      </c>
      <c r="S4592" s="116"/>
      <c r="T4592" s="1"/>
      <c r="U4592" s="96">
        <f ca="1">IF(U4587&lt;U4591,U4589,U4590)</f>
        <v>177.68273612359775</v>
      </c>
      <c r="V4592" s="111"/>
      <c r="W4592" s="28"/>
      <c r="X4592" s="96">
        <f ca="1">IF(X4587&lt;X4591,X4589,X4590)</f>
        <v>-3792.7252120005132</v>
      </c>
      <c r="Y4592" s="111"/>
      <c r="Z4592" s="28"/>
      <c r="AA4592" s="96">
        <f ca="1">IF(AA4587&lt;AA4591,AA4589,AA4590)</f>
        <v>-170.95945741392322</v>
      </c>
      <c r="AB4592" s="111"/>
      <c r="AC4592" s="28"/>
      <c r="AD4592" s="96">
        <f ca="1">IF(AD4587&lt;AD4591,AD4589,AD4590)</f>
        <v>-86.516368091480189</v>
      </c>
      <c r="AE4592" s="111"/>
      <c r="AF4592" s="28"/>
      <c r="AG4592" s="96">
        <f ca="1">IF(AG4587&lt;AG4591,AG4589,AG4590)</f>
        <v>-59.380666179442251</v>
      </c>
      <c r="AH4592" s="111"/>
      <c r="AI4592" s="28"/>
      <c r="AJ4592" s="96">
        <f ca="1">IF(AJ4587&lt;AJ4591,AJ4589,AJ4590)</f>
        <v>-46.939881698273695</v>
      </c>
      <c r="AK4592" s="111"/>
      <c r="AL4592" s="28"/>
      <c r="AM4592" s="96">
        <f ca="1">IF(AM4587&lt;AM4591,AM4589,AM4590)</f>
        <v>-42.826751616658484</v>
      </c>
      <c r="AN4592" s="111"/>
      <c r="AO4592" s="28"/>
      <c r="AP4592" s="96">
        <f ca="1">IF(AP4587&lt;AP4591,AP4589,AP4590)</f>
        <v>-37.529749700071243</v>
      </c>
      <c r="AQ4592" s="111"/>
      <c r="AR4592" s="28"/>
      <c r="AS4592" s="96">
        <f ca="1">IF(AS4587&lt;AS4591,AS4589,AS4590)</f>
        <v>-53.505518031399319</v>
      </c>
      <c r="AT4592" s="111"/>
      <c r="AU4592" s="28"/>
    </row>
    <row r="4593" spans="15:47" x14ac:dyDescent="0.25">
      <c r="O4593" s="13" t="s">
        <v>143</v>
      </c>
      <c r="P4593" s="1"/>
      <c r="Q4593" s="1"/>
      <c r="R4593" s="113"/>
      <c r="S4593" s="106">
        <f ca="1">IF(R4586&lt;=0,Q_max,ABS(R$23-R4592))</f>
        <v>87.796878212138893</v>
      </c>
      <c r="T4593" s="7">
        <f>R4582</f>
        <v>198766.17766487048</v>
      </c>
      <c r="U4593" s="98"/>
      <c r="V4593" s="106">
        <f ca="1">IF(U4586&lt;=0,Q_max,ABS(U$23-U4592))</f>
        <v>166.08273612359775</v>
      </c>
      <c r="W4593" s="9">
        <f ca="1">U4582</f>
        <v>297142.24727670028</v>
      </c>
      <c r="X4593" s="98"/>
      <c r="Y4593" s="106">
        <f ca="1">IF(X4586&lt;=0,Q_max,ABS(X$23-X4592))</f>
        <v>236393</v>
      </c>
      <c r="Z4593" s="9">
        <f ca="1">X4582</f>
        <v>727592.21570020681</v>
      </c>
      <c r="AA4593" s="98"/>
      <c r="AB4593" s="106">
        <f ca="1">IF(AA4586&lt;=0,Q_max,ABS(AA$23-AA4592))</f>
        <v>236393</v>
      </c>
      <c r="AC4593" s="9">
        <f ca="1">AA4582</f>
        <v>1417163.9216081596</v>
      </c>
      <c r="AD4593" s="98"/>
      <c r="AE4593" s="106">
        <f ca="1">IF(AD4586&lt;=0,Q_max,ABS(AD$23-AD4592))</f>
        <v>236393</v>
      </c>
      <c r="AF4593" s="9">
        <f ca="1">AD4582</f>
        <v>2377560.2111789896</v>
      </c>
      <c r="AG4593" s="98"/>
      <c r="AH4593" s="106">
        <f ca="1">IF(AG4586&lt;=0,Q_max,ABS(AG$23-AG4592))</f>
        <v>236393</v>
      </c>
      <c r="AI4593" s="9">
        <f ca="1">AG4582</f>
        <v>3470113.8837827169</v>
      </c>
      <c r="AJ4593" s="98"/>
      <c r="AK4593" s="106">
        <f ca="1">IF(AJ4586&lt;=0,Q_max,ABS(AJ$23-AJ4592))</f>
        <v>236393</v>
      </c>
      <c r="AL4593" s="9">
        <f ca="1">AJ4582</f>
        <v>4630880.4300378142</v>
      </c>
      <c r="AM4593" s="98"/>
      <c r="AN4593" s="106">
        <f ca="1">IF(AM4586&lt;=0,Q_max,ABS(AM$23-AM4592))</f>
        <v>236393</v>
      </c>
      <c r="AO4593" s="9">
        <f ca="1">AM4582</f>
        <v>5650554.1769221015</v>
      </c>
      <c r="AP4593" s="98"/>
      <c r="AQ4593" s="106">
        <f ca="1">IF(AP4586&lt;=0,Q_max,ABS(AP$23-AP4592))</f>
        <v>236393</v>
      </c>
      <c r="AR4593" s="9">
        <f ca="1">AP4582</f>
        <v>6560117.9800428357</v>
      </c>
      <c r="AS4593" s="98"/>
      <c r="AT4593" s="106">
        <f ca="1">IF(AS4586&lt;=0,Q_max,ABS(AS$23-AS4592))</f>
        <v>236393</v>
      </c>
      <c r="AU4593" s="9">
        <f ca="1">AS4582</f>
        <v>7692254.2515782202</v>
      </c>
    </row>
    <row r="4594" spans="15:47" x14ac:dyDescent="0.25">
      <c r="O4594" s="21"/>
      <c r="P4594" s="14"/>
      <c r="Q4594" s="21"/>
      <c r="R4594" s="97"/>
      <c r="S4594" s="106"/>
      <c r="T4594" s="28"/>
      <c r="U4594" s="97"/>
      <c r="V4594" s="111"/>
      <c r="W4594" s="28"/>
      <c r="X4594" s="97"/>
      <c r="Y4594" s="111"/>
      <c r="Z4594" s="28"/>
      <c r="AA4594" s="97"/>
      <c r="AB4594" s="111"/>
      <c r="AC4594" s="28"/>
      <c r="AD4594" s="97"/>
      <c r="AE4594" s="111"/>
      <c r="AF4594" s="28"/>
      <c r="AG4594" s="97"/>
      <c r="AH4594" s="111"/>
      <c r="AI4594" s="28"/>
      <c r="AJ4594" s="97"/>
      <c r="AK4594" s="111"/>
      <c r="AL4594" s="28"/>
      <c r="AM4594" s="97"/>
      <c r="AN4594" s="111"/>
      <c r="AO4594" s="28"/>
      <c r="AP4594" s="97"/>
      <c r="AQ4594" s="111"/>
      <c r="AR4594" s="28"/>
      <c r="AS4594" s="97"/>
      <c r="AT4594" s="111"/>
      <c r="AU4594" s="28"/>
    </row>
    <row r="4595" spans="15:47" x14ac:dyDescent="0.25">
      <c r="O4595" s="1"/>
      <c r="P4595" s="1"/>
      <c r="Q4595" s="1"/>
      <c r="R4595" s="98"/>
      <c r="S4595" s="108" t="s">
        <v>137</v>
      </c>
      <c r="T4595" s="26" t="s">
        <v>146</v>
      </c>
      <c r="U4595" s="98"/>
      <c r="V4595" s="108" t="s">
        <v>137</v>
      </c>
      <c r="W4595" s="26" t="s">
        <v>146</v>
      </c>
      <c r="X4595" s="98"/>
      <c r="Y4595" s="108" t="s">
        <v>137</v>
      </c>
      <c r="Z4595" s="26" t="s">
        <v>146</v>
      </c>
      <c r="AA4595" s="98"/>
      <c r="AB4595" s="108" t="s">
        <v>137</v>
      </c>
      <c r="AC4595" s="26" t="s">
        <v>146</v>
      </c>
      <c r="AD4595" s="98"/>
      <c r="AE4595" s="108" t="s">
        <v>137</v>
      </c>
      <c r="AF4595" s="26" t="s">
        <v>146</v>
      </c>
      <c r="AG4595" s="98"/>
      <c r="AH4595" s="108" t="s">
        <v>137</v>
      </c>
      <c r="AI4595" s="26" t="s">
        <v>146</v>
      </c>
      <c r="AJ4595" s="98"/>
      <c r="AK4595" s="108" t="s">
        <v>137</v>
      </c>
      <c r="AL4595" s="26" t="s">
        <v>146</v>
      </c>
      <c r="AM4595" s="98"/>
      <c r="AN4595" s="108" t="s">
        <v>137</v>
      </c>
      <c r="AO4595" s="26" t="s">
        <v>146</v>
      </c>
      <c r="AP4595" s="98"/>
      <c r="AQ4595" s="108" t="s">
        <v>137</v>
      </c>
      <c r="AR4595" s="26" t="s">
        <v>146</v>
      </c>
      <c r="AS4595" s="98"/>
      <c r="AT4595" s="108" t="s">
        <v>137</v>
      </c>
      <c r="AU4595" s="26" t="s">
        <v>146</v>
      </c>
    </row>
    <row r="4596" spans="15:47" ht="13.8" x14ac:dyDescent="0.25">
      <c r="O4596" s="20" t="s">
        <v>136</v>
      </c>
      <c r="P4596" s="1"/>
      <c r="Q4596" s="1"/>
      <c r="R4596" s="96">
        <f>R4582*1.02</f>
        <v>202741.50121816789</v>
      </c>
      <c r="S4596" s="109" t="s">
        <v>144</v>
      </c>
      <c r="T4596" s="23" t="s">
        <v>147</v>
      </c>
      <c r="U4596" s="96">
        <f ca="1">U4582*1.01</f>
        <v>300113.66974946728</v>
      </c>
      <c r="V4596" s="109" t="s">
        <v>144</v>
      </c>
      <c r="W4596" s="23" t="s">
        <v>147</v>
      </c>
      <c r="X4596" s="96">
        <f ca="1">X4582*1.01</f>
        <v>734868.13785720884</v>
      </c>
      <c r="Y4596" s="109" t="s">
        <v>144</v>
      </c>
      <c r="Z4596" s="23" t="s">
        <v>147</v>
      </c>
      <c r="AA4596" s="96">
        <f ca="1">AA4582*1.01</f>
        <v>1431335.5608242413</v>
      </c>
      <c r="AB4596" s="109" t="s">
        <v>144</v>
      </c>
      <c r="AC4596" s="23" t="s">
        <v>147</v>
      </c>
      <c r="AD4596" s="96">
        <f ca="1">AD4582*1.01</f>
        <v>2401335.8132907795</v>
      </c>
      <c r="AE4596" s="109" t="s">
        <v>144</v>
      </c>
      <c r="AF4596" s="23" t="s">
        <v>147</v>
      </c>
      <c r="AG4596" s="96">
        <f ca="1">AG4582*1.01</f>
        <v>3504815.0226205443</v>
      </c>
      <c r="AH4596" s="109" t="s">
        <v>144</v>
      </c>
      <c r="AI4596" s="23" t="s">
        <v>147</v>
      </c>
      <c r="AJ4596" s="96">
        <f ca="1">AJ4582*1.01</f>
        <v>4677189.2343381923</v>
      </c>
      <c r="AK4596" s="109" t="s">
        <v>144</v>
      </c>
      <c r="AL4596" s="23" t="s">
        <v>147</v>
      </c>
      <c r="AM4596" s="96">
        <f ca="1">AM4582*1.01</f>
        <v>5707059.718691323</v>
      </c>
      <c r="AN4596" s="109" t="s">
        <v>144</v>
      </c>
      <c r="AO4596" s="23" t="s">
        <v>147</v>
      </c>
      <c r="AP4596" s="96">
        <f ca="1">AP4582*1.01</f>
        <v>6625719.1598432641</v>
      </c>
      <c r="AQ4596" s="109" t="s">
        <v>144</v>
      </c>
      <c r="AR4596" s="23" t="s">
        <v>147</v>
      </c>
      <c r="AS4596" s="96">
        <f ca="1">AS4582*1.01</f>
        <v>7769176.7940940028</v>
      </c>
      <c r="AT4596" s="109" t="s">
        <v>144</v>
      </c>
      <c r="AU4596" s="23" t="s">
        <v>147</v>
      </c>
    </row>
    <row r="4597" spans="15:47" x14ac:dyDescent="0.25">
      <c r="O4597" s="1"/>
      <c r="P4597" s="1"/>
      <c r="Q4597" s="1"/>
      <c r="R4597" s="98"/>
      <c r="S4597" s="107"/>
      <c r="T4597" s="1"/>
      <c r="U4597" s="47"/>
      <c r="V4597" s="107"/>
      <c r="W4597" s="1"/>
      <c r="X4597" s="47"/>
      <c r="Y4597" s="107"/>
      <c r="Z4597" s="1"/>
      <c r="AA4597" s="47"/>
      <c r="AB4597" s="107"/>
      <c r="AC4597" s="1"/>
      <c r="AD4597" s="47"/>
      <c r="AE4597" s="107"/>
      <c r="AF4597" s="1"/>
      <c r="AG4597" s="47"/>
      <c r="AH4597" s="107"/>
      <c r="AI4597" s="1"/>
      <c r="AJ4597" s="47"/>
      <c r="AK4597" s="107"/>
      <c r="AL4597" s="1"/>
      <c r="AM4597" s="47"/>
      <c r="AN4597" s="107"/>
      <c r="AO4597" s="1"/>
      <c r="AP4597" s="47"/>
      <c r="AQ4597" s="107"/>
      <c r="AR4597" s="1"/>
      <c r="AS4597" s="47"/>
      <c r="AT4597" s="107"/>
      <c r="AU4597" s="1"/>
    </row>
    <row r="4598" spans="15:47" x14ac:dyDescent="0.25">
      <c r="O4598" s="8" t="s">
        <v>132</v>
      </c>
      <c r="P4598" s="8"/>
      <c r="Q4598" s="8"/>
      <c r="R4598" s="96">
        <f>P_1_minQ-(R4596^2*R_up)+dpup_minQ</f>
        <v>82.693366836350009</v>
      </c>
      <c r="S4598" s="106"/>
      <c r="T4598" s="22"/>
      <c r="U4598" s="96">
        <f ca="1">P_1_minQ-(U4596^2*R_up)+dpup_minQ</f>
        <v>73.769125635930138</v>
      </c>
      <c r="V4598" s="107"/>
      <c r="W4598" s="1"/>
      <c r="X4598" s="96">
        <f ca="1">P_1_minQ-(X4596^2*R_up)+dpup_minQ</f>
        <v>-8.2415344204195566</v>
      </c>
      <c r="Y4598" s="107"/>
      <c r="Z4598" s="1"/>
      <c r="AA4598" s="96">
        <f ca="1">P_1_minQ-(AA4596^2*R_up)+dpup_minQ</f>
        <v>-283.21680461156245</v>
      </c>
      <c r="AB4598" s="107"/>
      <c r="AC4598" s="1"/>
      <c r="AD4598" s="96">
        <f ca="1">P_1_minQ-(AD4596^2*R_up)+dpup_minQ</f>
        <v>-960.80677264221936</v>
      </c>
      <c r="AE4598" s="107"/>
      <c r="AF4598" s="1"/>
      <c r="AG4598" s="96">
        <f ca="1">P_1_minQ-(AG4596^2*R_up)+dpup_minQ</f>
        <v>-2148.6584801726954</v>
      </c>
      <c r="AH4598" s="107"/>
      <c r="AI4598" s="1"/>
      <c r="AJ4598" s="96">
        <f ca="1">P_1_minQ-(AJ4596^2*R_up)+dpup_minQ</f>
        <v>-3896.9727211231666</v>
      </c>
      <c r="AK4598" s="107"/>
      <c r="AL4598" s="1"/>
      <c r="AM4598" s="96">
        <f ca="1">P_1_minQ-(AM4596^2*R_up)+dpup_minQ</f>
        <v>-5846.1495508903199</v>
      </c>
      <c r="AN4598" s="107"/>
      <c r="AO4598" s="1"/>
      <c r="AP4598" s="96">
        <f ca="1">P_1_minQ-(AP4596^2*R_up)+dpup_minQ</f>
        <v>-7911.0970995691787</v>
      </c>
      <c r="AQ4598" s="107"/>
      <c r="AR4598" s="1"/>
      <c r="AS4598" s="96">
        <f ca="1">P_1_minQ-(AS4596^2*R_up)+dpup_minQ</f>
        <v>-10911.103254296813</v>
      </c>
      <c r="AT4598" s="107"/>
      <c r="AU4598" s="1"/>
    </row>
    <row r="4599" spans="15:47" x14ac:dyDescent="0.25">
      <c r="O4599" s="8" t="s">
        <v>134</v>
      </c>
      <c r="P4599" s="1"/>
      <c r="Q4599" s="8"/>
      <c r="R4599" s="97">
        <f>P_2_minQ+(R4596^2*R_dn)-dpdn_minQ</f>
        <v>60</v>
      </c>
      <c r="S4599" s="106"/>
      <c r="T4599" s="22"/>
      <c r="U4599" s="97">
        <f ca="1">P_2_minQ+(U4596^2*R_dn)-dpdn_minQ</f>
        <v>60</v>
      </c>
      <c r="V4599" s="107"/>
      <c r="W4599" s="1"/>
      <c r="X4599" s="97">
        <f ca="1">P_2_minQ+(X4596^2*R_dn)-dpdn_minQ</f>
        <v>60</v>
      </c>
      <c r="Y4599" s="107"/>
      <c r="Z4599" s="1"/>
      <c r="AA4599" s="97">
        <f ca="1">P_2_minQ+(AA4596^2*R_dn)-dpdn_minQ</f>
        <v>60</v>
      </c>
      <c r="AB4599" s="107"/>
      <c r="AC4599" s="1"/>
      <c r="AD4599" s="97">
        <f ca="1">P_2_minQ+(AD4596^2*R_dn)-dpdn_minQ</f>
        <v>60</v>
      </c>
      <c r="AE4599" s="107"/>
      <c r="AF4599" s="1"/>
      <c r="AG4599" s="97">
        <f ca="1">P_2_minQ+(AG4596^2*R_dn)-dpdn_minQ</f>
        <v>60</v>
      </c>
      <c r="AH4599" s="107"/>
      <c r="AI4599" s="1"/>
      <c r="AJ4599" s="97">
        <f ca="1">P_2_minQ+(AJ4596^2*R_dn)-dpdn_minQ</f>
        <v>60</v>
      </c>
      <c r="AK4599" s="107"/>
      <c r="AL4599" s="1"/>
      <c r="AM4599" s="97">
        <f ca="1">P_2_minQ+(AM4596^2*R_dn)-dpdn_minQ</f>
        <v>60</v>
      </c>
      <c r="AN4599" s="107"/>
      <c r="AO4599" s="1"/>
      <c r="AP4599" s="97">
        <f ca="1">P_2_minQ+(AP4596^2*R_dn)-dpdn_minQ</f>
        <v>60</v>
      </c>
      <c r="AQ4599" s="107"/>
      <c r="AR4599" s="1"/>
      <c r="AS4599" s="97">
        <f ca="1">P_2_minQ+(AS4596^2*R_dn)-dpdn_minQ</f>
        <v>60</v>
      </c>
      <c r="AT4599" s="107"/>
      <c r="AU4599" s="1"/>
    </row>
    <row r="4600" spans="15:47" x14ac:dyDescent="0.25">
      <c r="O4600" s="8" t="s">
        <v>138</v>
      </c>
      <c r="P4600" s="1"/>
      <c r="Q4600" s="8"/>
      <c r="R4600" s="97">
        <f>R4598-R4599</f>
        <v>22.693366836350009</v>
      </c>
      <c r="S4600" s="106"/>
      <c r="T4600" s="22"/>
      <c r="U4600" s="97">
        <f ca="1">U4598-U4599</f>
        <v>13.769125635930138</v>
      </c>
      <c r="V4600" s="110"/>
      <c r="W4600" s="25"/>
      <c r="X4600" s="97">
        <f ca="1">X4598-X4599</f>
        <v>-68.241534420419555</v>
      </c>
      <c r="Y4600" s="110"/>
      <c r="Z4600" s="25"/>
      <c r="AA4600" s="97">
        <f ca="1">AA4598-AA4599</f>
        <v>-343.21680461156245</v>
      </c>
      <c r="AB4600" s="110"/>
      <c r="AC4600" s="25"/>
      <c r="AD4600" s="97">
        <f ca="1">AD4598-AD4599</f>
        <v>-1020.8067726422194</v>
      </c>
      <c r="AE4600" s="110"/>
      <c r="AF4600" s="25"/>
      <c r="AG4600" s="97">
        <f ca="1">AG4598-AG4599</f>
        <v>-2208.6584801726954</v>
      </c>
      <c r="AH4600" s="110"/>
      <c r="AI4600" s="25"/>
      <c r="AJ4600" s="97">
        <f ca="1">AJ4598-AJ4599</f>
        <v>-3956.9727211231666</v>
      </c>
      <c r="AK4600" s="110"/>
      <c r="AL4600" s="25"/>
      <c r="AM4600" s="97">
        <f ca="1">AM4598-AM4599</f>
        <v>-5906.1495508903199</v>
      </c>
      <c r="AN4600" s="110"/>
      <c r="AO4600" s="25"/>
      <c r="AP4600" s="97">
        <f ca="1">AP4598-AP4599</f>
        <v>-7971.0970995691787</v>
      </c>
      <c r="AQ4600" s="110"/>
      <c r="AR4600" s="25"/>
      <c r="AS4600" s="97">
        <f ca="1">AS4598-AS4599</f>
        <v>-10971.103254296813</v>
      </c>
      <c r="AT4600" s="110"/>
      <c r="AU4600" s="25"/>
    </row>
    <row r="4601" spans="15:47" ht="14.4" x14ac:dyDescent="0.3">
      <c r="O4601" s="2" t="s">
        <v>140</v>
      </c>
      <c r="P4601" s="11"/>
      <c r="Q4601" s="2"/>
      <c r="R4601" s="96">
        <f>R4600/R4598</f>
        <v>0.27442789796260358</v>
      </c>
      <c r="S4601" s="106"/>
      <c r="T4601" s="22"/>
      <c r="U4601" s="96">
        <f ca="1">U4600/U4598</f>
        <v>0.18665160413970963</v>
      </c>
      <c r="V4601" s="111"/>
      <c r="W4601" s="28"/>
      <c r="X4601" s="96">
        <f ca="1">X4600/X4598</f>
        <v>8.280197708249764</v>
      </c>
      <c r="Y4601" s="111"/>
      <c r="Z4601" s="28"/>
      <c r="AA4601" s="96">
        <f ca="1">AA4600/AA4598</f>
        <v>1.2118518358481278</v>
      </c>
      <c r="AB4601" s="111"/>
      <c r="AC4601" s="28"/>
      <c r="AD4601" s="96">
        <f ca="1">AD4600/AD4598</f>
        <v>1.0624475198431418</v>
      </c>
      <c r="AE4601" s="111"/>
      <c r="AF4601" s="28"/>
      <c r="AG4601" s="96">
        <f ca="1">AG4600/AG4598</f>
        <v>1.0279244005288255</v>
      </c>
      <c r="AH4601" s="111"/>
      <c r="AI4601" s="28"/>
      <c r="AJ4601" s="96">
        <f ca="1">AJ4600/AJ4598</f>
        <v>1.0153965665899523</v>
      </c>
      <c r="AK4601" s="111"/>
      <c r="AL4601" s="28"/>
      <c r="AM4601" s="96">
        <f ca="1">AM4600/AM4598</f>
        <v>1.0102631654352501</v>
      </c>
      <c r="AN4601" s="111"/>
      <c r="AO4601" s="28"/>
      <c r="AP4601" s="96">
        <f ca="1">AP4600/AP4598</f>
        <v>1.007584283095611</v>
      </c>
      <c r="AQ4601" s="111"/>
      <c r="AR4601" s="28"/>
      <c r="AS4601" s="96">
        <f ca="1">AS4600/AS4598</f>
        <v>1.0054989856297412</v>
      </c>
      <c r="AT4601" s="111"/>
      <c r="AU4601" s="28"/>
    </row>
    <row r="4602" spans="15:47" x14ac:dyDescent="0.25">
      <c r="O4602" s="2" t="s">
        <v>21</v>
      </c>
      <c r="P4602" s="8">
        <v>12</v>
      </c>
      <c r="Q4602" s="2"/>
      <c r="R4602" s="96">
        <f ca="1">1-R4601/(3*F_GAMMA*R$29)</f>
        <v>0.85707543518233043</v>
      </c>
      <c r="S4602" s="106"/>
      <c r="T4602" s="22"/>
      <c r="U4602" s="96">
        <f ca="1">1-U4601/(3*F_GAMMA*U$29)</f>
        <v>0.90281271692542442</v>
      </c>
      <c r="V4602" s="111"/>
      <c r="W4602" s="28"/>
      <c r="X4602" s="96">
        <f ca="1">1-X4601/(3*F_GAMMA*X$29)</f>
        <v>-3.352463807404928</v>
      </c>
      <c r="Y4602" s="111"/>
      <c r="Z4602" s="28"/>
      <c r="AA4602" s="96">
        <f ca="1">1-AA4601/(3*F_GAMMA*AA$29)</f>
        <v>0.35401402146153482</v>
      </c>
      <c r="AB4602" s="111"/>
      <c r="AC4602" s="28"/>
      <c r="AD4602" s="96">
        <f ca="1">1-AD4601/(3*F_GAMMA*AD$29)</f>
        <v>0.41609029682561283</v>
      </c>
      <c r="AE4602" s="111"/>
      <c r="AF4602" s="28"/>
      <c r="AG4602" s="96">
        <f ca="1">1-AG4601/(3*F_GAMMA*AG$29)</f>
        <v>0.40116417064657361</v>
      </c>
      <c r="AH4602" s="111"/>
      <c r="AI4602" s="28"/>
      <c r="AJ4602" s="96">
        <f ca="1">1-AJ4601/(3*F_GAMMA*AJ$29)</f>
        <v>0.36358662092967842</v>
      </c>
      <c r="AK4602" s="111"/>
      <c r="AL4602" s="28"/>
      <c r="AM4602" s="96">
        <f ca="1">1-AM4601/(3*F_GAMMA*AM$29)</f>
        <v>0.29203473040721784</v>
      </c>
      <c r="AN4602" s="111"/>
      <c r="AO4602" s="28"/>
      <c r="AP4602" s="96">
        <f ca="1">1-AP4601/(3*F_GAMMA*AP$29)</f>
        <v>0.43126540524425194</v>
      </c>
      <c r="AQ4602" s="111"/>
      <c r="AR4602" s="28"/>
      <c r="AS4602" s="96">
        <f ca="1">1-AS4601/(3*F_GAMMA*AS$29)</f>
        <v>0.1102329018086543</v>
      </c>
      <c r="AT4602" s="111"/>
      <c r="AU4602" s="28"/>
    </row>
    <row r="4603" spans="15:47" x14ac:dyDescent="0.25">
      <c r="O4603" s="2" t="s">
        <v>57</v>
      </c>
      <c r="P4603" s="143">
        <v>7</v>
      </c>
      <c r="Q4603" s="2"/>
      <c r="R4603" s="96">
        <f ca="1">(R4596/(N_9*R$27*R4598*R4602))*SQRT(M*'Valve Sizing'!$W$6*'Valve Sizing'!$G$8/R4601)</f>
        <v>95.000270155183017</v>
      </c>
      <c r="S4603" s="107"/>
      <c r="T4603" s="22"/>
      <c r="U4603" s="96">
        <f ca="1">(U4596/(N_9*U$27*U4598*U4602))*SQRT(M*'Valve Sizing'!$W$6*'Valve Sizing'!$G$8/U4601)</f>
        <v>181.58020761355249</v>
      </c>
      <c r="V4603" s="111"/>
      <c r="W4603" s="28"/>
      <c r="X4603" s="96">
        <f ca="1">(X4596/(N_9*X$27*X4598*X4602))*SQRT(M*'Valve Sizing'!$W$6*'Valve Sizing'!$G$8/X4601)</f>
        <v>161.28218108137708</v>
      </c>
      <c r="Y4603" s="111"/>
      <c r="Z4603" s="28"/>
      <c r="AA4603" s="96">
        <f ca="1">(AA4596/(N_9*AA$27*AA4598*AA4602))*SQRT(M*'Valve Sizing'!$W$6*'Valve Sizing'!$G$8/AA4601)</f>
        <v>-227.62310005066612</v>
      </c>
      <c r="AB4603" s="111"/>
      <c r="AC4603" s="28"/>
      <c r="AD4603" s="96">
        <f ca="1">(AD4596/(N_9*AD$27*AD4598*AD4602))*SQRT(M*'Valve Sizing'!$W$6*'Valve Sizing'!$G$8/AD4601)</f>
        <v>-103.55272612039779</v>
      </c>
      <c r="AE4603" s="111"/>
      <c r="AF4603" s="28"/>
      <c r="AG4603" s="96">
        <f ca="1">(AG4596/(N_9*AG$27*AG4598*AG4602))*SQRT(M*'Valve Sizing'!$W$6*'Valve Sizing'!$G$8/AG4601)</f>
        <v>-72.869589695339769</v>
      </c>
      <c r="AH4603" s="111"/>
      <c r="AI4603" s="28"/>
      <c r="AJ4603" s="96">
        <f ca="1">(AJ4596/(N_9*AJ$27*AJ4598*AJ4602))*SQRT(M*'Valve Sizing'!$W$6*'Valve Sizing'!$G$8/AJ4601)</f>
        <v>-61.674582072055763</v>
      </c>
      <c r="AK4603" s="111"/>
      <c r="AL4603" s="28"/>
      <c r="AM4603" s="96">
        <f ca="1">(AM4596/(N_9*AM$27*AM4598*AM4602))*SQRT(M*'Valve Sizing'!$W$6*'Valve Sizing'!$G$8/AM4601)</f>
        <v>-66.432990803133194</v>
      </c>
      <c r="AN4603" s="111"/>
      <c r="AO4603" s="28"/>
      <c r="AP4603" s="96">
        <f ca="1">(AP4596/(N_9*AP$27*AP4598*AP4602))*SQRT(M*'Valve Sizing'!$W$6*'Valve Sizing'!$G$8/AP4601)</f>
        <v>-43.986613966372161</v>
      </c>
      <c r="AQ4603" s="111"/>
      <c r="AR4603" s="28"/>
      <c r="AS4603" s="96">
        <f ca="1">(AS4596/(N_9*AS$27*AS4598*AS4602))*SQRT(M*'Valve Sizing'!$W$6*'Valve Sizing'!$G$8/AS4601)</f>
        <v>-196.16469034844036</v>
      </c>
      <c r="AT4603" s="111"/>
      <c r="AU4603" s="28"/>
    </row>
    <row r="4604" spans="15:47" x14ac:dyDescent="0.25">
      <c r="O4604" s="2" t="s">
        <v>59</v>
      </c>
      <c r="P4604" s="143">
        <v>7</v>
      </c>
      <c r="Q4604" s="2"/>
      <c r="R4604" s="96">
        <f ca="1">(R4596/(N_9*R$27*R4598*0.667))*SQRT(M*'Valve Sizing'!$W$6*'Valve Sizing'!$G$8/R4605)</f>
        <v>79.934105780998934</v>
      </c>
      <c r="S4604" s="107"/>
      <c r="T4604" s="22"/>
      <c r="U4604" s="96">
        <f ca="1">(U4596/(N_9*U$27*U4598*0.667))*SQRT(M*'Valve Sizing'!$W$6*'Valve Sizing'!$G$8/U4605)</f>
        <v>132.7106237254485</v>
      </c>
      <c r="V4604" s="111"/>
      <c r="W4604" s="28"/>
      <c r="X4604" s="96">
        <f ca="1">(X4596/(N_9*X$27*X4598*0.667))*SQRT(M*'Valve Sizing'!$W$6*'Valve Sizing'!$G$8/X4605)</f>
        <v>-2929.2258872748316</v>
      </c>
      <c r="Y4604" s="111"/>
      <c r="Z4604" s="28"/>
      <c r="AA4604" s="96">
        <f ca="1">(AA4596/(N_9*AA$27*AA4598*0.667))*SQRT(M*'Valve Sizing'!$W$6*'Valve Sizing'!$G$8/AA4605)</f>
        <v>-168.1834033153232</v>
      </c>
      <c r="AB4604" s="111"/>
      <c r="AC4604" s="28"/>
      <c r="AD4604" s="96">
        <f ca="1">(AD4596/(N_9*AD$27*AD4598*0.667))*SQRT(M*'Valve Sizing'!$W$6*'Valve Sizing'!$G$8/AD4605)</f>
        <v>-85.498159203449191</v>
      </c>
      <c r="AE4604" s="111"/>
      <c r="AF4604" s="28"/>
      <c r="AG4604" s="96">
        <f ca="1">(AG4596/(N_9*AG$27*AG4598*0.667))*SQRT(M*'Valve Sizing'!$W$6*'Valve Sizing'!$G$8/AG4605)</f>
        <v>-58.743138199272565</v>
      </c>
      <c r="AH4604" s="111"/>
      <c r="AI4604" s="28"/>
      <c r="AJ4604" s="96">
        <f ca="1">(AJ4596/(N_9*AJ$27*AJ4598*0.667))*SQRT(M*'Valve Sizing'!$W$6*'Valve Sizing'!$G$8/AJ4605)</f>
        <v>-46.453511981129708</v>
      </c>
      <c r="AK4604" s="111"/>
      <c r="AL4604" s="28"/>
      <c r="AM4604" s="96">
        <f ca="1">(AM4596/(N_9*AM$27*AM4598*0.667))*SQRT(M*'Valve Sizing'!$W$6*'Valve Sizing'!$G$8/AM4605)</f>
        <v>-42.38957653317658</v>
      </c>
      <c r="AN4604" s="111"/>
      <c r="AO4604" s="28"/>
      <c r="AP4604" s="96">
        <f ca="1">(AP4596/(N_9*AP$27*AP4598*0.667))*SQRT(M*'Valve Sizing'!$W$6*'Valve Sizing'!$G$8/AP4605)</f>
        <v>-37.149653735694336</v>
      </c>
      <c r="AQ4604" s="111"/>
      <c r="AR4604" s="28"/>
      <c r="AS4604" s="96">
        <f ca="1">(AS4596/(N_9*AS$27*AS4598*0.667))*SQRT(M*'Valve Sizing'!$W$6*'Valve Sizing'!$G$8/AS4605)</f>
        <v>-52.96695928375172</v>
      </c>
      <c r="AT4604" s="111"/>
      <c r="AU4604" s="28"/>
    </row>
    <row r="4605" spans="15:47" ht="15.6" x14ac:dyDescent="0.35">
      <c r="O4605" s="2" t="s">
        <v>68</v>
      </c>
      <c r="P4605" s="143">
        <v>10</v>
      </c>
      <c r="Q4605" s="2"/>
      <c r="R4605" s="96">
        <f ca="1">F_GAMMA*R$29</f>
        <v>0.64002969751372984</v>
      </c>
      <c r="S4605" s="107"/>
      <c r="T4605" s="1"/>
      <c r="U4605" s="96">
        <f ca="1">F_GAMMA*U$29</f>
        <v>0.64017842058782071</v>
      </c>
      <c r="V4605" s="111"/>
      <c r="W4605" s="28"/>
      <c r="X4605" s="96">
        <f ca="1">F_GAMMA*X$29</f>
        <v>0.63413873724904268</v>
      </c>
      <c r="Y4605" s="111"/>
      <c r="Z4605" s="28"/>
      <c r="AA4605" s="96">
        <f ca="1">F_GAMMA*AA$29</f>
        <v>0.62532411750377137</v>
      </c>
      <c r="AB4605" s="111"/>
      <c r="AC4605" s="28"/>
      <c r="AD4605" s="96">
        <f ca="1">F_GAMMA*AD$29</f>
        <v>0.60651359509139569</v>
      </c>
      <c r="AE4605" s="111"/>
      <c r="AF4605" s="28"/>
      <c r="AG4605" s="96">
        <f ca="1">F_GAMMA*AG$29</f>
        <v>0.57217930198481592</v>
      </c>
      <c r="AH4605" s="111"/>
      <c r="AI4605" s="28"/>
      <c r="AJ4605" s="96">
        <f ca="1">F_GAMMA*AJ$29</f>
        <v>0.53183282018848232</v>
      </c>
      <c r="AK4605" s="111"/>
      <c r="AL4605" s="28"/>
      <c r="AM4605" s="96">
        <f ca="1">F_GAMMA*AM$29</f>
        <v>0.47566512503094399</v>
      </c>
      <c r="AN4605" s="111"/>
      <c r="AO4605" s="28"/>
      <c r="AP4605" s="96">
        <f ca="1">F_GAMMA*AP$29</f>
        <v>0.59054158265645496</v>
      </c>
      <c r="AQ4605" s="111"/>
      <c r="AR4605" s="28"/>
      <c r="AS4605" s="96">
        <f ca="1">F_GAMMA*AS$29</f>
        <v>0.3766899554102966</v>
      </c>
      <c r="AT4605" s="111"/>
      <c r="AU4605" s="28"/>
    </row>
    <row r="4606" spans="15:47" x14ac:dyDescent="0.25">
      <c r="O4606" s="2" t="s">
        <v>145</v>
      </c>
      <c r="P4606" s="12"/>
      <c r="Q4606" s="2"/>
      <c r="R4606" s="96">
        <f ca="1">IF(R4601&lt;R4605,R4603,R4604)</f>
        <v>95.000270155183017</v>
      </c>
      <c r="S4606" s="116"/>
      <c r="T4606" s="1"/>
      <c r="U4606" s="96">
        <f ca="1">IF(U4601&lt;U4605,U4603,U4604)</f>
        <v>181.58020761355249</v>
      </c>
      <c r="V4606" s="111"/>
      <c r="W4606" s="28"/>
      <c r="X4606" s="96">
        <f ca="1">IF(X4601&lt;X4605,X4603,X4604)</f>
        <v>-2929.2258872748316</v>
      </c>
      <c r="Y4606" s="111"/>
      <c r="Z4606" s="28"/>
      <c r="AA4606" s="96">
        <f ca="1">IF(AA4601&lt;AA4605,AA4603,AA4604)</f>
        <v>-168.1834033153232</v>
      </c>
      <c r="AB4606" s="111"/>
      <c r="AC4606" s="28"/>
      <c r="AD4606" s="96">
        <f ca="1">IF(AD4601&lt;AD4605,AD4603,AD4604)</f>
        <v>-85.498159203449191</v>
      </c>
      <c r="AE4606" s="111"/>
      <c r="AF4606" s="28"/>
      <c r="AG4606" s="96">
        <f ca="1">IF(AG4601&lt;AG4605,AG4603,AG4604)</f>
        <v>-58.743138199272565</v>
      </c>
      <c r="AH4606" s="111"/>
      <c r="AI4606" s="28"/>
      <c r="AJ4606" s="96">
        <f ca="1">IF(AJ4601&lt;AJ4605,AJ4603,AJ4604)</f>
        <v>-46.453511981129708</v>
      </c>
      <c r="AK4606" s="111"/>
      <c r="AL4606" s="28"/>
      <c r="AM4606" s="96">
        <f ca="1">IF(AM4601&lt;AM4605,AM4603,AM4604)</f>
        <v>-42.38957653317658</v>
      </c>
      <c r="AN4606" s="111"/>
      <c r="AO4606" s="28"/>
      <c r="AP4606" s="96">
        <f ca="1">IF(AP4601&lt;AP4605,AP4603,AP4604)</f>
        <v>-37.149653735694336</v>
      </c>
      <c r="AQ4606" s="111"/>
      <c r="AR4606" s="28"/>
      <c r="AS4606" s="96">
        <f ca="1">IF(AS4601&lt;AS4605,AS4603,AS4604)</f>
        <v>-52.96695928375172</v>
      </c>
      <c r="AT4606" s="111"/>
      <c r="AU4606" s="28"/>
    </row>
    <row r="4607" spans="15:47" x14ac:dyDescent="0.25">
      <c r="O4607" s="13" t="s">
        <v>143</v>
      </c>
      <c r="P4607" s="1"/>
      <c r="Q4607" s="1"/>
      <c r="R4607" s="113"/>
      <c r="S4607" s="106">
        <f ca="1">IF(R4600&lt;=0,Q_max,ABS(R$23-R4606))</f>
        <v>90.270270155183013</v>
      </c>
      <c r="T4607" s="7">
        <f>R4596</f>
        <v>202741.50121816789</v>
      </c>
      <c r="U4607" s="98"/>
      <c r="V4607" s="106">
        <f ca="1">IF(U4600&lt;=0,Q_max,ABS(U$23-U4606))</f>
        <v>169.98020761355249</v>
      </c>
      <c r="W4607" s="9">
        <f ca="1">U4596</f>
        <v>300113.66974946728</v>
      </c>
      <c r="X4607" s="98"/>
      <c r="Y4607" s="106">
        <f ca="1">IF(X4600&lt;=0,Q_max,ABS(X$23-X4606))</f>
        <v>236393</v>
      </c>
      <c r="Z4607" s="9">
        <f ca="1">X4596</f>
        <v>734868.13785720884</v>
      </c>
      <c r="AA4607" s="98"/>
      <c r="AB4607" s="106">
        <f ca="1">IF(AA4600&lt;=0,Q_max,ABS(AA$23-AA4606))</f>
        <v>236393</v>
      </c>
      <c r="AC4607" s="9">
        <f ca="1">AA4596</f>
        <v>1431335.5608242413</v>
      </c>
      <c r="AD4607" s="98"/>
      <c r="AE4607" s="106">
        <f ca="1">IF(AD4600&lt;=0,Q_max,ABS(AD$23-AD4606))</f>
        <v>236393</v>
      </c>
      <c r="AF4607" s="9">
        <f ca="1">AD4596</f>
        <v>2401335.8132907795</v>
      </c>
      <c r="AG4607" s="98"/>
      <c r="AH4607" s="106">
        <f ca="1">IF(AG4600&lt;=0,Q_max,ABS(AG$23-AG4606))</f>
        <v>236393</v>
      </c>
      <c r="AI4607" s="9">
        <f ca="1">AG4596</f>
        <v>3504815.0226205443</v>
      </c>
      <c r="AJ4607" s="98"/>
      <c r="AK4607" s="106">
        <f ca="1">IF(AJ4600&lt;=0,Q_max,ABS(AJ$23-AJ4606))</f>
        <v>236393</v>
      </c>
      <c r="AL4607" s="9">
        <f ca="1">AJ4596</f>
        <v>4677189.2343381923</v>
      </c>
      <c r="AM4607" s="98"/>
      <c r="AN4607" s="106">
        <f ca="1">IF(AM4600&lt;=0,Q_max,ABS(AM$23-AM4606))</f>
        <v>236393</v>
      </c>
      <c r="AO4607" s="9">
        <f ca="1">AM4596</f>
        <v>5707059.718691323</v>
      </c>
      <c r="AP4607" s="98"/>
      <c r="AQ4607" s="106">
        <f ca="1">IF(AP4600&lt;=0,Q_max,ABS(AP$23-AP4606))</f>
        <v>236393</v>
      </c>
      <c r="AR4607" s="9">
        <f ca="1">AP4596</f>
        <v>6625719.1598432641</v>
      </c>
      <c r="AS4607" s="98"/>
      <c r="AT4607" s="106">
        <f ca="1">IF(AS4600&lt;=0,Q_max,ABS(AS$23-AS4606))</f>
        <v>236393</v>
      </c>
      <c r="AU4607" s="9">
        <f ca="1">AS4596</f>
        <v>7769176.7940940028</v>
      </c>
    </row>
    <row r="4608" spans="15:47" x14ac:dyDescent="0.25">
      <c r="O4608" s="21"/>
      <c r="P4608" s="14"/>
      <c r="Q4608" s="21"/>
      <c r="R4608" s="97"/>
      <c r="S4608" s="106"/>
      <c r="T4608" s="28"/>
      <c r="U4608" s="97"/>
      <c r="V4608" s="111"/>
      <c r="W4608" s="28"/>
      <c r="X4608" s="97"/>
      <c r="Y4608" s="111"/>
      <c r="Z4608" s="28"/>
      <c r="AA4608" s="97"/>
      <c r="AB4608" s="111"/>
      <c r="AC4608" s="28"/>
      <c r="AD4608" s="97"/>
      <c r="AE4608" s="111"/>
      <c r="AF4608" s="28"/>
      <c r="AG4608" s="97"/>
      <c r="AH4608" s="111"/>
      <c r="AI4608" s="28"/>
      <c r="AJ4608" s="97"/>
      <c r="AK4608" s="111"/>
      <c r="AL4608" s="28"/>
      <c r="AM4608" s="97"/>
      <c r="AN4608" s="111"/>
      <c r="AO4608" s="28"/>
      <c r="AP4608" s="97"/>
      <c r="AQ4608" s="111"/>
      <c r="AR4608" s="28"/>
      <c r="AS4608" s="97"/>
      <c r="AT4608" s="111"/>
      <c r="AU4608" s="28"/>
    </row>
    <row r="4609" spans="15:47" x14ac:dyDescent="0.25">
      <c r="O4609" s="1"/>
      <c r="P4609" s="1"/>
      <c r="Q4609" s="1"/>
      <c r="R4609" s="98"/>
      <c r="S4609" s="108" t="s">
        <v>137</v>
      </c>
      <c r="T4609" s="26" t="s">
        <v>146</v>
      </c>
      <c r="U4609" s="98"/>
      <c r="V4609" s="108" t="s">
        <v>137</v>
      </c>
      <c r="W4609" s="26" t="s">
        <v>146</v>
      </c>
      <c r="X4609" s="98"/>
      <c r="Y4609" s="108" t="s">
        <v>137</v>
      </c>
      <c r="Z4609" s="26" t="s">
        <v>146</v>
      </c>
      <c r="AA4609" s="98"/>
      <c r="AB4609" s="108" t="s">
        <v>137</v>
      </c>
      <c r="AC4609" s="26" t="s">
        <v>146</v>
      </c>
      <c r="AD4609" s="98"/>
      <c r="AE4609" s="108" t="s">
        <v>137</v>
      </c>
      <c r="AF4609" s="26" t="s">
        <v>146</v>
      </c>
      <c r="AG4609" s="98"/>
      <c r="AH4609" s="108" t="s">
        <v>137</v>
      </c>
      <c r="AI4609" s="26" t="s">
        <v>146</v>
      </c>
      <c r="AJ4609" s="98"/>
      <c r="AK4609" s="108" t="s">
        <v>137</v>
      </c>
      <c r="AL4609" s="26" t="s">
        <v>146</v>
      </c>
      <c r="AM4609" s="98"/>
      <c r="AN4609" s="108" t="s">
        <v>137</v>
      </c>
      <c r="AO4609" s="26" t="s">
        <v>146</v>
      </c>
      <c r="AP4609" s="98"/>
      <c r="AQ4609" s="108" t="s">
        <v>137</v>
      </c>
      <c r="AR4609" s="26" t="s">
        <v>146</v>
      </c>
      <c r="AS4609" s="98"/>
      <c r="AT4609" s="108" t="s">
        <v>137</v>
      </c>
      <c r="AU4609" s="26" t="s">
        <v>146</v>
      </c>
    </row>
    <row r="4610" spans="15:47" ht="13.8" x14ac:dyDescent="0.25">
      <c r="O4610" s="20" t="s">
        <v>136</v>
      </c>
      <c r="P4610" s="1"/>
      <c r="Q4610" s="1"/>
      <c r="R4610" s="96">
        <f>R4596*1.02</f>
        <v>206796.33124253125</v>
      </c>
      <c r="S4610" s="109" t="s">
        <v>144</v>
      </c>
      <c r="T4610" s="23" t="s">
        <v>147</v>
      </c>
      <c r="U4610" s="96">
        <f ca="1">U4596*1.01</f>
        <v>303114.80644696194</v>
      </c>
      <c r="V4610" s="109" t="s">
        <v>144</v>
      </c>
      <c r="W4610" s="23" t="s">
        <v>147</v>
      </c>
      <c r="X4610" s="96">
        <f ca="1">X4596*1.01</f>
        <v>742216.81923578097</v>
      </c>
      <c r="Y4610" s="109" t="s">
        <v>144</v>
      </c>
      <c r="Z4610" s="23" t="s">
        <v>147</v>
      </c>
      <c r="AA4610" s="96">
        <f ca="1">AA4596*1.01</f>
        <v>1445648.9164324836</v>
      </c>
      <c r="AB4610" s="109" t="s">
        <v>144</v>
      </c>
      <c r="AC4610" s="23" t="s">
        <v>147</v>
      </c>
      <c r="AD4610" s="96">
        <f ca="1">AD4596*1.01</f>
        <v>2425349.1714236871</v>
      </c>
      <c r="AE4610" s="109" t="s">
        <v>144</v>
      </c>
      <c r="AF4610" s="23" t="s">
        <v>147</v>
      </c>
      <c r="AG4610" s="96">
        <f ca="1">AG4596*1.01</f>
        <v>3539863.1728467499</v>
      </c>
      <c r="AH4610" s="109" t="s">
        <v>144</v>
      </c>
      <c r="AI4610" s="23" t="s">
        <v>147</v>
      </c>
      <c r="AJ4610" s="96">
        <f ca="1">AJ4596*1.01</f>
        <v>4723961.1266815746</v>
      </c>
      <c r="AK4610" s="109" t="s">
        <v>144</v>
      </c>
      <c r="AL4610" s="23" t="s">
        <v>147</v>
      </c>
      <c r="AM4610" s="96">
        <f ca="1">AM4596*1.01</f>
        <v>5764130.3158782367</v>
      </c>
      <c r="AN4610" s="109" t="s">
        <v>144</v>
      </c>
      <c r="AO4610" s="23" t="s">
        <v>147</v>
      </c>
      <c r="AP4610" s="96">
        <f ca="1">AP4596*1.01</f>
        <v>6691976.3514416972</v>
      </c>
      <c r="AQ4610" s="109" t="s">
        <v>144</v>
      </c>
      <c r="AR4610" s="23" t="s">
        <v>147</v>
      </c>
      <c r="AS4610" s="96">
        <f ca="1">AS4596*1.01</f>
        <v>7846868.5620349431</v>
      </c>
      <c r="AT4610" s="109" t="s">
        <v>144</v>
      </c>
      <c r="AU4610" s="23" t="s">
        <v>147</v>
      </c>
    </row>
    <row r="4611" spans="15:47" x14ac:dyDescent="0.25">
      <c r="O4611" s="1"/>
      <c r="P4611" s="1"/>
      <c r="Q4611" s="1"/>
      <c r="R4611" s="98"/>
      <c r="S4611" s="107"/>
      <c r="T4611" s="1"/>
      <c r="U4611" s="47"/>
      <c r="V4611" s="107"/>
      <c r="W4611" s="1"/>
      <c r="X4611" s="47"/>
      <c r="Y4611" s="107"/>
      <c r="Z4611" s="1"/>
      <c r="AA4611" s="47"/>
      <c r="AB4611" s="107"/>
      <c r="AC4611" s="1"/>
      <c r="AD4611" s="47"/>
      <c r="AE4611" s="107"/>
      <c r="AF4611" s="1"/>
      <c r="AG4611" s="47"/>
      <c r="AH4611" s="107"/>
      <c r="AI4611" s="1"/>
      <c r="AJ4611" s="47"/>
      <c r="AK4611" s="107"/>
      <c r="AL4611" s="1"/>
      <c r="AM4611" s="47"/>
      <c r="AN4611" s="107"/>
      <c r="AO4611" s="1"/>
      <c r="AP4611" s="47"/>
      <c r="AQ4611" s="107"/>
      <c r="AR4611" s="1"/>
      <c r="AS4611" s="47"/>
      <c r="AT4611" s="107"/>
      <c r="AU4611" s="1"/>
    </row>
    <row r="4612" spans="15:47" x14ac:dyDescent="0.25">
      <c r="O4612" s="8" t="s">
        <v>132</v>
      </c>
      <c r="P4612" s="8"/>
      <c r="Q4612" s="8"/>
      <c r="R4612" s="96">
        <f>P_1_minQ-(R4610^2*R_up)+dpup_minQ</f>
        <v>82.390703219116219</v>
      </c>
      <c r="S4612" s="106"/>
      <c r="T4612" s="22"/>
      <c r="U4612" s="96">
        <f ca="1">P_1_minQ-(U4610^2*R_up)+dpup_minQ</f>
        <v>73.439165746554195</v>
      </c>
      <c r="V4612" s="107"/>
      <c r="W4612" s="1"/>
      <c r="X4612" s="96">
        <f ca="1">P_1_minQ-(X4610^2*R_up)+dpup_minQ</f>
        <v>-10.21990857692815</v>
      </c>
      <c r="Y4612" s="107"/>
      <c r="Z4612" s="1"/>
      <c r="AA4612" s="96">
        <f ca="1">P_1_minQ-(AA4610^2*R_up)+dpup_minQ</f>
        <v>-290.72218169891295</v>
      </c>
      <c r="AB4612" s="107"/>
      <c r="AC4612" s="1"/>
      <c r="AD4612" s="96">
        <f ca="1">P_1_minQ-(AD4610^2*R_up)+dpup_minQ</f>
        <v>-981.93170808698596</v>
      </c>
      <c r="AE4612" s="107"/>
      <c r="AF4612" s="1"/>
      <c r="AG4612" s="96">
        <f ca="1">P_1_minQ-(AG4610^2*R_up)+dpup_minQ</f>
        <v>-2193.6592349388247</v>
      </c>
      <c r="AH4612" s="107"/>
      <c r="AI4612" s="1"/>
      <c r="AJ4612" s="96">
        <f ca="1">P_1_minQ-(AJ4610^2*R_up)+dpup_minQ</f>
        <v>-3977.1145921324014</v>
      </c>
      <c r="AK4612" s="107"/>
      <c r="AL4612" s="1"/>
      <c r="AM4612" s="96">
        <f ca="1">P_1_minQ-(AM4610^2*R_up)+dpup_minQ</f>
        <v>-5965.4698761778745</v>
      </c>
      <c r="AN4612" s="107"/>
      <c r="AO4612" s="1"/>
      <c r="AP4612" s="96">
        <f ca="1">P_1_minQ-(AP4610^2*R_up)+dpup_minQ</f>
        <v>-8071.9228705851774</v>
      </c>
      <c r="AQ4612" s="107"/>
      <c r="AR4612" s="1"/>
      <c r="AS4612" s="96">
        <f ca="1">P_1_minQ-(AS4610^2*R_up)+dpup_minQ</f>
        <v>-11132.229149022838</v>
      </c>
      <c r="AT4612" s="107"/>
      <c r="AU4612" s="1"/>
    </row>
    <row r="4613" spans="15:47" x14ac:dyDescent="0.25">
      <c r="O4613" s="8" t="s">
        <v>134</v>
      </c>
      <c r="P4613" s="1"/>
      <c r="Q4613" s="8"/>
      <c r="R4613" s="97">
        <f>P_2_minQ+(R4610^2*R_dn)-dpdn_minQ</f>
        <v>60</v>
      </c>
      <c r="S4613" s="106"/>
      <c r="T4613" s="22"/>
      <c r="U4613" s="97">
        <f ca="1">P_2_minQ+(U4610^2*R_dn)-dpdn_minQ</f>
        <v>60</v>
      </c>
      <c r="V4613" s="107"/>
      <c r="W4613" s="1"/>
      <c r="X4613" s="97">
        <f ca="1">P_2_minQ+(X4610^2*R_dn)-dpdn_minQ</f>
        <v>60</v>
      </c>
      <c r="Y4613" s="107"/>
      <c r="Z4613" s="1"/>
      <c r="AA4613" s="97">
        <f ca="1">P_2_minQ+(AA4610^2*R_dn)-dpdn_minQ</f>
        <v>60</v>
      </c>
      <c r="AB4613" s="107"/>
      <c r="AC4613" s="1"/>
      <c r="AD4613" s="97">
        <f ca="1">P_2_minQ+(AD4610^2*R_dn)-dpdn_minQ</f>
        <v>60</v>
      </c>
      <c r="AE4613" s="107"/>
      <c r="AF4613" s="1"/>
      <c r="AG4613" s="97">
        <f ca="1">P_2_minQ+(AG4610^2*R_dn)-dpdn_minQ</f>
        <v>60</v>
      </c>
      <c r="AH4613" s="107"/>
      <c r="AI4613" s="1"/>
      <c r="AJ4613" s="97">
        <f ca="1">P_2_minQ+(AJ4610^2*R_dn)-dpdn_minQ</f>
        <v>60</v>
      </c>
      <c r="AK4613" s="107"/>
      <c r="AL4613" s="1"/>
      <c r="AM4613" s="97">
        <f ca="1">P_2_minQ+(AM4610^2*R_dn)-dpdn_minQ</f>
        <v>60</v>
      </c>
      <c r="AN4613" s="107"/>
      <c r="AO4613" s="1"/>
      <c r="AP4613" s="97">
        <f ca="1">P_2_minQ+(AP4610^2*R_dn)-dpdn_minQ</f>
        <v>60</v>
      </c>
      <c r="AQ4613" s="107"/>
      <c r="AR4613" s="1"/>
      <c r="AS4613" s="97">
        <f ca="1">P_2_minQ+(AS4610^2*R_dn)-dpdn_minQ</f>
        <v>60</v>
      </c>
      <c r="AT4613" s="107"/>
      <c r="AU4613" s="1"/>
    </row>
    <row r="4614" spans="15:47" x14ac:dyDescent="0.25">
      <c r="O4614" s="8" t="s">
        <v>138</v>
      </c>
      <c r="P4614" s="1"/>
      <c r="Q4614" s="8"/>
      <c r="R4614" s="97">
        <f>R4612-R4613</f>
        <v>22.390703219116219</v>
      </c>
      <c r="S4614" s="106"/>
      <c r="T4614" s="22"/>
      <c r="U4614" s="97">
        <f ca="1">U4612-U4613</f>
        <v>13.439165746554195</v>
      </c>
      <c r="V4614" s="110"/>
      <c r="W4614" s="25"/>
      <c r="X4614" s="97">
        <f ca="1">X4612-X4613</f>
        <v>-70.219908576928148</v>
      </c>
      <c r="Y4614" s="110"/>
      <c r="Z4614" s="25"/>
      <c r="AA4614" s="97">
        <f ca="1">AA4612-AA4613</f>
        <v>-350.72218169891295</v>
      </c>
      <c r="AB4614" s="110"/>
      <c r="AC4614" s="25"/>
      <c r="AD4614" s="97">
        <f ca="1">AD4612-AD4613</f>
        <v>-1041.931708086986</v>
      </c>
      <c r="AE4614" s="110"/>
      <c r="AF4614" s="25"/>
      <c r="AG4614" s="97">
        <f ca="1">AG4612-AG4613</f>
        <v>-2253.6592349388247</v>
      </c>
      <c r="AH4614" s="110"/>
      <c r="AI4614" s="25"/>
      <c r="AJ4614" s="97">
        <f ca="1">AJ4612-AJ4613</f>
        <v>-4037.1145921324014</v>
      </c>
      <c r="AK4614" s="110"/>
      <c r="AL4614" s="25"/>
      <c r="AM4614" s="97">
        <f ca="1">AM4612-AM4613</f>
        <v>-6025.4698761778745</v>
      </c>
      <c r="AN4614" s="110"/>
      <c r="AO4614" s="25"/>
      <c r="AP4614" s="97">
        <f ca="1">AP4612-AP4613</f>
        <v>-8131.9228705851774</v>
      </c>
      <c r="AQ4614" s="110"/>
      <c r="AR4614" s="25"/>
      <c r="AS4614" s="97">
        <f ca="1">AS4612-AS4613</f>
        <v>-11192.229149022838</v>
      </c>
      <c r="AT4614" s="110"/>
      <c r="AU4614" s="25"/>
    </row>
    <row r="4615" spans="15:47" ht="14.4" x14ac:dyDescent="0.3">
      <c r="O4615" s="2" t="s">
        <v>140</v>
      </c>
      <c r="P4615" s="11"/>
      <c r="Q4615" s="2"/>
      <c r="R4615" s="96">
        <f>R4614/R4612</f>
        <v>0.27176249679006437</v>
      </c>
      <c r="S4615" s="106"/>
      <c r="T4615" s="22"/>
      <c r="U4615" s="96">
        <f ca="1">U4614/U4612</f>
        <v>0.18299725507413961</v>
      </c>
      <c r="V4615" s="111"/>
      <c r="W4615" s="28"/>
      <c r="X4615" s="96">
        <f ca="1">X4614/X4612</f>
        <v>6.8708940053976981</v>
      </c>
      <c r="Y4615" s="111"/>
      <c r="Z4615" s="28"/>
      <c r="AA4615" s="96">
        <f ca="1">AA4614/AA4612</f>
        <v>1.2063826009056959</v>
      </c>
      <c r="AB4615" s="111"/>
      <c r="AC4615" s="28"/>
      <c r="AD4615" s="96">
        <f ca="1">AD4614/AD4612</f>
        <v>1.0611040457354135</v>
      </c>
      <c r="AE4615" s="111"/>
      <c r="AF4615" s="28"/>
      <c r="AG4615" s="96">
        <f ca="1">AG4614/AG4612</f>
        <v>1.0273515590044109</v>
      </c>
      <c r="AH4615" s="111"/>
      <c r="AI4615" s="28"/>
      <c r="AJ4615" s="96">
        <f ca="1">AJ4614/AJ4612</f>
        <v>1.0150863141129232</v>
      </c>
      <c r="AK4615" s="111"/>
      <c r="AL4615" s="28"/>
      <c r="AM4615" s="96">
        <f ca="1">AM4614/AM4612</f>
        <v>1.0100578833261065</v>
      </c>
      <c r="AN4615" s="111"/>
      <c r="AO4615" s="28"/>
      <c r="AP4615" s="96">
        <f ca="1">AP4614/AP4612</f>
        <v>1.0074331731065773</v>
      </c>
      <c r="AQ4615" s="111"/>
      <c r="AR4615" s="28"/>
      <c r="AS4615" s="96">
        <f ca="1">AS4614/AS4612</f>
        <v>1.0053897561033647</v>
      </c>
      <c r="AT4615" s="111"/>
      <c r="AU4615" s="28"/>
    </row>
    <row r="4616" spans="15:47" x14ac:dyDescent="0.25">
      <c r="O4616" s="2" t="s">
        <v>21</v>
      </c>
      <c r="P4616" s="8">
        <v>12</v>
      </c>
      <c r="Q4616" s="2"/>
      <c r="R4616" s="96">
        <f ca="1">1-R4615/(3*F_GAMMA*R$29)</f>
        <v>0.8584636005455385</v>
      </c>
      <c r="S4616" s="106"/>
      <c r="T4616" s="22"/>
      <c r="U4616" s="96">
        <f ca="1">1-U4615/(3*F_GAMMA*U$29)</f>
        <v>0.90471549327029332</v>
      </c>
      <c r="V4616" s="111"/>
      <c r="W4616" s="28"/>
      <c r="X4616" s="96">
        <f ca="1">1-X4615/(3*F_GAMMA*X$29)</f>
        <v>-2.6116670805110802</v>
      </c>
      <c r="Y4616" s="111"/>
      <c r="Z4616" s="28"/>
      <c r="AA4616" s="96">
        <f ca="1">1-AA4615/(3*F_GAMMA*AA$29)</f>
        <v>0.35692943486574114</v>
      </c>
      <c r="AB4616" s="111"/>
      <c r="AC4616" s="28"/>
      <c r="AD4616" s="96">
        <f ca="1">1-AD4615/(3*F_GAMMA*AD$29)</f>
        <v>0.41682865571187755</v>
      </c>
      <c r="AE4616" s="111"/>
      <c r="AF4616" s="28"/>
      <c r="AG4616" s="96">
        <f ca="1">1-AG4615/(3*F_GAMMA*AG$29)</f>
        <v>0.40149788976948231</v>
      </c>
      <c r="AH4616" s="111"/>
      <c r="AI4616" s="28"/>
      <c r="AJ4616" s="96">
        <f ca="1">1-AJ4615/(3*F_GAMMA*AJ$29)</f>
        <v>0.36378107581929275</v>
      </c>
      <c r="AK4616" s="111"/>
      <c r="AL4616" s="28"/>
      <c r="AM4616" s="96">
        <f ca="1">1-AM4615/(3*F_GAMMA*AM$29)</f>
        <v>0.29217858659114571</v>
      </c>
      <c r="AN4616" s="111"/>
      <c r="AO4616" s="28"/>
      <c r="AP4616" s="96">
        <f ca="1">1-AP4615/(3*F_GAMMA*AP$29)</f>
        <v>0.43135069982438623</v>
      </c>
      <c r="AQ4616" s="111"/>
      <c r="AR4616" s="28"/>
      <c r="AS4616" s="96">
        <f ca="1">1-AS4615/(3*F_GAMMA*AS$29)</f>
        <v>0.11032955913015319</v>
      </c>
      <c r="AT4616" s="111"/>
      <c r="AU4616" s="28"/>
    </row>
    <row r="4617" spans="15:47" x14ac:dyDescent="0.25">
      <c r="O4617" s="2" t="s">
        <v>57</v>
      </c>
      <c r="P4617" s="143">
        <v>7</v>
      </c>
      <c r="Q4617" s="2"/>
      <c r="R4617" s="96">
        <f ca="1">(R4610/(N_9*R$27*R4612*R4616))*SQRT(M*'Valve Sizing'!$W$6*'Valve Sizing'!$G$8/R4615)</f>
        <v>97.573977032965203</v>
      </c>
      <c r="S4617" s="107"/>
      <c r="T4617" s="22"/>
      <c r="U4617" s="96">
        <f ca="1">(U4610/(N_9*U$27*U4612*U4616))*SQRT(M*'Valve Sizing'!$W$6*'Valve Sizing'!$G$8/U4615)</f>
        <v>185.6589966750833</v>
      </c>
      <c r="V4617" s="111"/>
      <c r="W4617" s="28"/>
      <c r="X4617" s="96">
        <f ca="1">(X4610/(N_9*X$27*X4612*X4616))*SQRT(M*'Valve Sizing'!$W$6*'Valve Sizing'!$G$8/X4615)</f>
        <v>185.10955622945195</v>
      </c>
      <c r="Y4617" s="111"/>
      <c r="Z4617" s="28"/>
      <c r="AA4617" s="96">
        <f ca="1">(AA4610/(N_9*AA$27*AA4612*AA4616))*SQRT(M*'Valve Sizing'!$W$6*'Valve Sizing'!$G$8/AA4615)</f>
        <v>-222.63779200898693</v>
      </c>
      <c r="AB4617" s="111"/>
      <c r="AC4617" s="28"/>
      <c r="AD4617" s="96">
        <f ca="1">(AD4610/(N_9*AD$27*AD4612*AD4616))*SQRT(M*'Valve Sizing'!$W$6*'Valve Sizing'!$G$8/AD4615)</f>
        <v>-102.22154967768064</v>
      </c>
      <c r="AE4617" s="111"/>
      <c r="AF4617" s="28"/>
      <c r="AG4617" s="96">
        <f ca="1">(AG4610/(N_9*AG$27*AG4612*AG4616))*SQRT(M*'Valve Sizing'!$W$6*'Valve Sizing'!$G$8/AG4615)</f>
        <v>-72.048648919143474</v>
      </c>
      <c r="AH4617" s="111"/>
      <c r="AI4617" s="28"/>
      <c r="AJ4617" s="96">
        <f ca="1">(AJ4610/(N_9*AJ$27*AJ4612*AJ4616))*SQRT(M*'Valve Sizing'!$W$6*'Valve Sizing'!$G$8/AJ4615)</f>
        <v>-61.012806212012897</v>
      </c>
      <c r="AK4617" s="111"/>
      <c r="AL4617" s="28"/>
      <c r="AM4617" s="96">
        <f ca="1">(AM4610/(N_9*AM$27*AM4612*AM4616))*SQRT(M*'Valve Sizing'!$W$6*'Valve Sizing'!$G$8/AM4615)</f>
        <v>-65.729554677252096</v>
      </c>
      <c r="AN4617" s="111"/>
      <c r="AO4617" s="28"/>
      <c r="AP4617" s="96">
        <f ca="1">(AP4610/(N_9*AP$27*AP4612*AP4616))*SQRT(M*'Valve Sizing'!$W$6*'Valve Sizing'!$G$8/AP4615)</f>
        <v>-43.535977558387202</v>
      </c>
      <c r="AQ4617" s="111"/>
      <c r="AR4617" s="28"/>
      <c r="AS4617" s="96">
        <f ca="1">(AS4610/(N_9*AS$27*AS4612*AS4616))*SQRT(M*'Valve Sizing'!$W$6*'Valve Sizing'!$G$8/AS4615)</f>
        <v>-194.03125237009425</v>
      </c>
      <c r="AT4617" s="111"/>
      <c r="AU4617" s="28"/>
    </row>
    <row r="4618" spans="15:47" x14ac:dyDescent="0.25">
      <c r="O4618" s="2" t="s">
        <v>59</v>
      </c>
      <c r="P4618" s="143">
        <v>7</v>
      </c>
      <c r="Q4618" s="2"/>
      <c r="R4618" s="96">
        <f ca="1">(R4610/(N_9*R$27*R4612*0.667))*SQRT(M*'Valve Sizing'!$W$6*'Valve Sizing'!$G$8/R4619)</f>
        <v>81.832299947660871</v>
      </c>
      <c r="S4618" s="107"/>
      <c r="T4618" s="22"/>
      <c r="U4618" s="96">
        <f ca="1">(U4610/(N_9*U$27*U4612*0.667))*SQRT(M*'Valve Sizing'!$W$6*'Valve Sizing'!$G$8/U4619)</f>
        <v>134.63995731783564</v>
      </c>
      <c r="V4618" s="111"/>
      <c r="W4618" s="28"/>
      <c r="X4618" s="96">
        <f ca="1">(X4610/(N_9*X$27*X4612*0.667))*SQRT(M*'Valve Sizing'!$W$6*'Valve Sizing'!$G$8/X4619)</f>
        <v>-2385.8069718897605</v>
      </c>
      <c r="Y4618" s="111"/>
      <c r="Z4618" s="28"/>
      <c r="AA4618" s="96">
        <f ca="1">(AA4610/(N_9*AA$27*AA4612*0.667))*SQRT(M*'Valve Sizing'!$W$6*'Valve Sizing'!$G$8/AA4619)</f>
        <v>-165.47994189945919</v>
      </c>
      <c r="AB4618" s="111"/>
      <c r="AC4618" s="28"/>
      <c r="AD4618" s="96">
        <f ca="1">(AD4610/(N_9*AD$27*AD4612*0.667))*SQRT(M*'Valve Sizing'!$W$6*'Valve Sizing'!$G$8/AD4619)</f>
        <v>-84.495369516958235</v>
      </c>
      <c r="AE4618" s="111"/>
      <c r="AF4618" s="28"/>
      <c r="AG4618" s="96">
        <f ca="1">(AG4610/(N_9*AG$27*AG4612*0.667))*SQRT(M*'Valve Sizing'!$W$6*'Valve Sizing'!$G$8/AG4619)</f>
        <v>-58.113461486563537</v>
      </c>
      <c r="AH4618" s="111"/>
      <c r="AI4618" s="28"/>
      <c r="AJ4618" s="96">
        <f ca="1">(AJ4610/(N_9*AJ$27*AJ4612*0.667))*SQRT(M*'Valve Sizing'!$W$6*'Valve Sizing'!$G$8/AJ4619)</f>
        <v>-45.972612919535443</v>
      </c>
      <c r="AK4618" s="111"/>
      <c r="AL4618" s="28"/>
      <c r="AM4618" s="96">
        <f ca="1">(AM4610/(N_9*AM$27*AM4612*0.667))*SQRT(M*'Valve Sizing'!$W$6*'Valve Sizing'!$G$8/AM4619)</f>
        <v>-41.957124425267423</v>
      </c>
      <c r="AN4618" s="111"/>
      <c r="AO4618" s="28"/>
      <c r="AP4618" s="96">
        <f ca="1">(AP4610/(N_9*AP$27*AP4612*0.667))*SQRT(M*'Valve Sizing'!$W$6*'Valve Sizing'!$G$8/AP4619)</f>
        <v>-36.773575250492485</v>
      </c>
      <c r="AQ4618" s="111"/>
      <c r="AR4618" s="28"/>
      <c r="AS4618" s="96">
        <f ca="1">(AS4610/(N_9*AS$27*AS4612*0.667))*SQRT(M*'Valve Sizing'!$W$6*'Valve Sizing'!$G$8/AS4619)</f>
        <v>-52.433994451192028</v>
      </c>
      <c r="AT4618" s="111"/>
      <c r="AU4618" s="28"/>
    </row>
    <row r="4619" spans="15:47" ht="15.6" x14ac:dyDescent="0.35">
      <c r="O4619" s="2" t="s">
        <v>68</v>
      </c>
      <c r="P4619" s="143">
        <v>10</v>
      </c>
      <c r="Q4619" s="2"/>
      <c r="R4619" s="96">
        <f ca="1">F_GAMMA*R$29</f>
        <v>0.64002969751372984</v>
      </c>
      <c r="S4619" s="107"/>
      <c r="T4619" s="1"/>
      <c r="U4619" s="96">
        <f ca="1">F_GAMMA*U$29</f>
        <v>0.64017842058782071</v>
      </c>
      <c r="V4619" s="111"/>
      <c r="W4619" s="28"/>
      <c r="X4619" s="96">
        <f ca="1">F_GAMMA*X$29</f>
        <v>0.63413873724904268</v>
      </c>
      <c r="Y4619" s="111"/>
      <c r="Z4619" s="28"/>
      <c r="AA4619" s="96">
        <f ca="1">F_GAMMA*AA$29</f>
        <v>0.62532411750377137</v>
      </c>
      <c r="AB4619" s="111"/>
      <c r="AC4619" s="28"/>
      <c r="AD4619" s="96">
        <f ca="1">F_GAMMA*AD$29</f>
        <v>0.60651359509139569</v>
      </c>
      <c r="AE4619" s="111"/>
      <c r="AF4619" s="28"/>
      <c r="AG4619" s="96">
        <f ca="1">F_GAMMA*AG$29</f>
        <v>0.57217930198481592</v>
      </c>
      <c r="AH4619" s="111"/>
      <c r="AI4619" s="28"/>
      <c r="AJ4619" s="96">
        <f ca="1">F_GAMMA*AJ$29</f>
        <v>0.53183282018848232</v>
      </c>
      <c r="AK4619" s="111"/>
      <c r="AL4619" s="28"/>
      <c r="AM4619" s="96">
        <f ca="1">F_GAMMA*AM$29</f>
        <v>0.47566512503094399</v>
      </c>
      <c r="AN4619" s="111"/>
      <c r="AO4619" s="28"/>
      <c r="AP4619" s="96">
        <f ca="1">F_GAMMA*AP$29</f>
        <v>0.59054158265645496</v>
      </c>
      <c r="AQ4619" s="111"/>
      <c r="AR4619" s="28"/>
      <c r="AS4619" s="96">
        <f ca="1">F_GAMMA*AS$29</f>
        <v>0.3766899554102966</v>
      </c>
      <c r="AT4619" s="111"/>
      <c r="AU4619" s="28"/>
    </row>
    <row r="4620" spans="15:47" x14ac:dyDescent="0.25">
      <c r="O4620" s="2" t="s">
        <v>145</v>
      </c>
      <c r="P4620" s="12"/>
      <c r="Q4620" s="2"/>
      <c r="R4620" s="96">
        <f ca="1">IF(R4615&lt;R4619,R4617,R4618)</f>
        <v>97.573977032965203</v>
      </c>
      <c r="S4620" s="116"/>
      <c r="T4620" s="1"/>
      <c r="U4620" s="96">
        <f ca="1">IF(U4615&lt;U4619,U4617,U4618)</f>
        <v>185.6589966750833</v>
      </c>
      <c r="V4620" s="111"/>
      <c r="W4620" s="28"/>
      <c r="X4620" s="96">
        <f ca="1">IF(X4615&lt;X4619,X4617,X4618)</f>
        <v>-2385.8069718897605</v>
      </c>
      <c r="Y4620" s="111"/>
      <c r="Z4620" s="28"/>
      <c r="AA4620" s="96">
        <f ca="1">IF(AA4615&lt;AA4619,AA4617,AA4618)</f>
        <v>-165.47994189945919</v>
      </c>
      <c r="AB4620" s="111"/>
      <c r="AC4620" s="28"/>
      <c r="AD4620" s="96">
        <f ca="1">IF(AD4615&lt;AD4619,AD4617,AD4618)</f>
        <v>-84.495369516958235</v>
      </c>
      <c r="AE4620" s="111"/>
      <c r="AF4620" s="28"/>
      <c r="AG4620" s="96">
        <f ca="1">IF(AG4615&lt;AG4619,AG4617,AG4618)</f>
        <v>-58.113461486563537</v>
      </c>
      <c r="AH4620" s="111"/>
      <c r="AI4620" s="28"/>
      <c r="AJ4620" s="96">
        <f ca="1">IF(AJ4615&lt;AJ4619,AJ4617,AJ4618)</f>
        <v>-45.972612919535443</v>
      </c>
      <c r="AK4620" s="111"/>
      <c r="AL4620" s="28"/>
      <c r="AM4620" s="96">
        <f ca="1">IF(AM4615&lt;AM4619,AM4617,AM4618)</f>
        <v>-41.957124425267423</v>
      </c>
      <c r="AN4620" s="111"/>
      <c r="AO4620" s="28"/>
      <c r="AP4620" s="96">
        <f ca="1">IF(AP4615&lt;AP4619,AP4617,AP4618)</f>
        <v>-36.773575250492485</v>
      </c>
      <c r="AQ4620" s="111"/>
      <c r="AR4620" s="28"/>
      <c r="AS4620" s="96">
        <f ca="1">IF(AS4615&lt;AS4619,AS4617,AS4618)</f>
        <v>-52.433994451192028</v>
      </c>
      <c r="AT4620" s="111"/>
      <c r="AU4620" s="28"/>
    </row>
    <row r="4621" spans="15:47" x14ac:dyDescent="0.25">
      <c r="O4621" s="13" t="s">
        <v>143</v>
      </c>
      <c r="P4621" s="1"/>
      <c r="Q4621" s="1"/>
      <c r="R4621" s="113"/>
      <c r="S4621" s="106">
        <f ca="1">IF(R4614&lt;=0,Q_max,ABS(R$23-R4620))</f>
        <v>92.843977032965199</v>
      </c>
      <c r="T4621" s="7">
        <f>R4610</f>
        <v>206796.33124253125</v>
      </c>
      <c r="U4621" s="98"/>
      <c r="V4621" s="106">
        <f ca="1">IF(U4614&lt;=0,Q_max,ABS(U$23-U4620))</f>
        <v>174.05899667508331</v>
      </c>
      <c r="W4621" s="9">
        <f ca="1">U4610</f>
        <v>303114.80644696194</v>
      </c>
      <c r="X4621" s="98"/>
      <c r="Y4621" s="106">
        <f ca="1">IF(X4614&lt;=0,Q_max,ABS(X$23-X4620))</f>
        <v>236393</v>
      </c>
      <c r="Z4621" s="9">
        <f ca="1">X4610</f>
        <v>742216.81923578097</v>
      </c>
      <c r="AA4621" s="98"/>
      <c r="AB4621" s="106">
        <f ca="1">IF(AA4614&lt;=0,Q_max,ABS(AA$23-AA4620))</f>
        <v>236393</v>
      </c>
      <c r="AC4621" s="9">
        <f ca="1">AA4610</f>
        <v>1445648.9164324836</v>
      </c>
      <c r="AD4621" s="98"/>
      <c r="AE4621" s="106">
        <f ca="1">IF(AD4614&lt;=0,Q_max,ABS(AD$23-AD4620))</f>
        <v>236393</v>
      </c>
      <c r="AF4621" s="9">
        <f ca="1">AD4610</f>
        <v>2425349.1714236871</v>
      </c>
      <c r="AG4621" s="98"/>
      <c r="AH4621" s="106">
        <f ca="1">IF(AG4614&lt;=0,Q_max,ABS(AG$23-AG4620))</f>
        <v>236393</v>
      </c>
      <c r="AI4621" s="9">
        <f ca="1">AG4610</f>
        <v>3539863.1728467499</v>
      </c>
      <c r="AJ4621" s="98"/>
      <c r="AK4621" s="106">
        <f ca="1">IF(AJ4614&lt;=0,Q_max,ABS(AJ$23-AJ4620))</f>
        <v>236393</v>
      </c>
      <c r="AL4621" s="9">
        <f ca="1">AJ4610</f>
        <v>4723961.1266815746</v>
      </c>
      <c r="AM4621" s="98"/>
      <c r="AN4621" s="106">
        <f ca="1">IF(AM4614&lt;=0,Q_max,ABS(AM$23-AM4620))</f>
        <v>236393</v>
      </c>
      <c r="AO4621" s="9">
        <f ca="1">AM4610</f>
        <v>5764130.3158782367</v>
      </c>
      <c r="AP4621" s="98"/>
      <c r="AQ4621" s="106">
        <f ca="1">IF(AP4614&lt;=0,Q_max,ABS(AP$23-AP4620))</f>
        <v>236393</v>
      </c>
      <c r="AR4621" s="9">
        <f ca="1">AP4610</f>
        <v>6691976.3514416972</v>
      </c>
      <c r="AS4621" s="98"/>
      <c r="AT4621" s="106">
        <f ca="1">IF(AS4614&lt;=0,Q_max,ABS(AS$23-AS4620))</f>
        <v>236393</v>
      </c>
      <c r="AU4621" s="9">
        <f ca="1">AS4610</f>
        <v>7846868.5620349431</v>
      </c>
    </row>
    <row r="4622" spans="15:47" x14ac:dyDescent="0.25">
      <c r="O4622" s="21"/>
      <c r="P4622" s="14"/>
      <c r="Q4622" s="21"/>
      <c r="R4622" s="97"/>
      <c r="S4622" s="106"/>
      <c r="T4622" s="28"/>
      <c r="U4622" s="97"/>
      <c r="V4622" s="111"/>
      <c r="W4622" s="28"/>
      <c r="X4622" s="97"/>
      <c r="Y4622" s="111"/>
      <c r="Z4622" s="28"/>
      <c r="AA4622" s="97"/>
      <c r="AB4622" s="111"/>
      <c r="AC4622" s="28"/>
      <c r="AD4622" s="97"/>
      <c r="AE4622" s="111"/>
      <c r="AF4622" s="28"/>
      <c r="AG4622" s="97"/>
      <c r="AH4622" s="111"/>
      <c r="AI4622" s="28"/>
      <c r="AJ4622" s="97"/>
      <c r="AK4622" s="111"/>
      <c r="AL4622" s="28"/>
      <c r="AM4622" s="97"/>
      <c r="AN4622" s="111"/>
      <c r="AO4622" s="28"/>
      <c r="AP4622" s="97"/>
      <c r="AQ4622" s="111"/>
      <c r="AR4622" s="28"/>
      <c r="AS4622" s="97"/>
      <c r="AT4622" s="111"/>
      <c r="AU4622" s="28"/>
    </row>
    <row r="4623" spans="15:47" x14ac:dyDescent="0.25">
      <c r="O4623" s="1"/>
      <c r="P4623" s="1"/>
      <c r="Q4623" s="1"/>
      <c r="R4623" s="98"/>
      <c r="S4623" s="108" t="s">
        <v>137</v>
      </c>
      <c r="T4623" s="26" t="s">
        <v>146</v>
      </c>
      <c r="U4623" s="98"/>
      <c r="V4623" s="108" t="s">
        <v>137</v>
      </c>
      <c r="W4623" s="26" t="s">
        <v>146</v>
      </c>
      <c r="X4623" s="98"/>
      <c r="Y4623" s="108" t="s">
        <v>137</v>
      </c>
      <c r="Z4623" s="26" t="s">
        <v>146</v>
      </c>
      <c r="AA4623" s="98"/>
      <c r="AB4623" s="108" t="s">
        <v>137</v>
      </c>
      <c r="AC4623" s="26" t="s">
        <v>146</v>
      </c>
      <c r="AD4623" s="98"/>
      <c r="AE4623" s="108" t="s">
        <v>137</v>
      </c>
      <c r="AF4623" s="26" t="s">
        <v>146</v>
      </c>
      <c r="AG4623" s="98"/>
      <c r="AH4623" s="108" t="s">
        <v>137</v>
      </c>
      <c r="AI4623" s="26" t="s">
        <v>146</v>
      </c>
      <c r="AJ4623" s="98"/>
      <c r="AK4623" s="108" t="s">
        <v>137</v>
      </c>
      <c r="AL4623" s="26" t="s">
        <v>146</v>
      </c>
      <c r="AM4623" s="98"/>
      <c r="AN4623" s="108" t="s">
        <v>137</v>
      </c>
      <c r="AO4623" s="26" t="s">
        <v>146</v>
      </c>
      <c r="AP4623" s="98"/>
      <c r="AQ4623" s="108" t="s">
        <v>137</v>
      </c>
      <c r="AR4623" s="26" t="s">
        <v>146</v>
      </c>
      <c r="AS4623" s="98"/>
      <c r="AT4623" s="108" t="s">
        <v>137</v>
      </c>
      <c r="AU4623" s="26" t="s">
        <v>146</v>
      </c>
    </row>
    <row r="4624" spans="15:47" ht="13.8" x14ac:dyDescent="0.25">
      <c r="O4624" s="20" t="s">
        <v>136</v>
      </c>
      <c r="P4624" s="1"/>
      <c r="Q4624" s="1"/>
      <c r="R4624" s="96">
        <f>R4610*1.02</f>
        <v>210932.25786738188</v>
      </c>
      <c r="S4624" s="109" t="s">
        <v>144</v>
      </c>
      <c r="T4624" s="23" t="s">
        <v>147</v>
      </c>
      <c r="U4624" s="96">
        <f ca="1">U4610*1.01</f>
        <v>306145.95451143157</v>
      </c>
      <c r="V4624" s="109" t="s">
        <v>144</v>
      </c>
      <c r="W4624" s="23" t="s">
        <v>147</v>
      </c>
      <c r="X4624" s="96">
        <f ca="1">X4610*1.01</f>
        <v>749638.98742813885</v>
      </c>
      <c r="Y4624" s="109" t="s">
        <v>144</v>
      </c>
      <c r="Z4624" s="23" t="s">
        <v>147</v>
      </c>
      <c r="AA4624" s="96">
        <f ca="1">AA4610*1.01</f>
        <v>1460105.4055968085</v>
      </c>
      <c r="AB4624" s="109" t="s">
        <v>144</v>
      </c>
      <c r="AC4624" s="23" t="s">
        <v>147</v>
      </c>
      <c r="AD4624" s="96">
        <f ca="1">AD4610*1.01</f>
        <v>2449602.6631379239</v>
      </c>
      <c r="AE4624" s="109" t="s">
        <v>144</v>
      </c>
      <c r="AF4624" s="23" t="s">
        <v>147</v>
      </c>
      <c r="AG4624" s="96">
        <f ca="1">AG4610*1.01</f>
        <v>3575261.8045752174</v>
      </c>
      <c r="AH4624" s="109" t="s">
        <v>144</v>
      </c>
      <c r="AI4624" s="23" t="s">
        <v>147</v>
      </c>
      <c r="AJ4624" s="96">
        <f ca="1">AJ4610*1.01</f>
        <v>4771200.7379483907</v>
      </c>
      <c r="AK4624" s="109" t="s">
        <v>144</v>
      </c>
      <c r="AL4624" s="23" t="s">
        <v>147</v>
      </c>
      <c r="AM4624" s="96">
        <f ca="1">AM4610*1.01</f>
        <v>5821771.6190370191</v>
      </c>
      <c r="AN4624" s="109" t="s">
        <v>144</v>
      </c>
      <c r="AO4624" s="23" t="s">
        <v>147</v>
      </c>
      <c r="AP4624" s="96">
        <f ca="1">AP4610*1.01</f>
        <v>6758896.1149561144</v>
      </c>
      <c r="AQ4624" s="109" t="s">
        <v>144</v>
      </c>
      <c r="AR4624" s="23" t="s">
        <v>147</v>
      </c>
      <c r="AS4624" s="96">
        <f ca="1">AS4610*1.01</f>
        <v>7925337.247655293</v>
      </c>
      <c r="AT4624" s="109" t="s">
        <v>144</v>
      </c>
      <c r="AU4624" s="23" t="s">
        <v>147</v>
      </c>
    </row>
    <row r="4625" spans="15:47" x14ac:dyDescent="0.25">
      <c r="O4625" s="1"/>
      <c r="P4625" s="1"/>
      <c r="Q4625" s="1"/>
      <c r="R4625" s="98"/>
      <c r="S4625" s="107"/>
      <c r="T4625" s="1"/>
      <c r="U4625" s="47"/>
      <c r="V4625" s="107"/>
      <c r="W4625" s="1"/>
      <c r="X4625" s="47"/>
      <c r="Y4625" s="107"/>
      <c r="Z4625" s="1"/>
      <c r="AA4625" s="47"/>
      <c r="AB4625" s="107"/>
      <c r="AC4625" s="1"/>
      <c r="AD4625" s="47"/>
      <c r="AE4625" s="107"/>
      <c r="AF4625" s="1"/>
      <c r="AG4625" s="47"/>
      <c r="AH4625" s="107"/>
      <c r="AI4625" s="1"/>
      <c r="AJ4625" s="47"/>
      <c r="AK4625" s="107"/>
      <c r="AL4625" s="1"/>
      <c r="AM4625" s="47"/>
      <c r="AN4625" s="107"/>
      <c r="AO4625" s="1"/>
      <c r="AP4625" s="47"/>
      <c r="AQ4625" s="107"/>
      <c r="AR4625" s="1"/>
      <c r="AS4625" s="47"/>
      <c r="AT4625" s="107"/>
      <c r="AU4625" s="1"/>
    </row>
    <row r="4626" spans="15:47" x14ac:dyDescent="0.25">
      <c r="O4626" s="8" t="s">
        <v>132</v>
      </c>
      <c r="P4626" s="8"/>
      <c r="Q4626" s="8"/>
      <c r="R4626" s="96">
        <f>P_1_minQ-(R4624^2*R_up)+dpup_minQ</f>
        <v>82.075811991746193</v>
      </c>
      <c r="S4626" s="106"/>
      <c r="T4626" s="22"/>
      <c r="U4626" s="96">
        <f ca="1">P_1_minQ-(U4624^2*R_up)+dpup_minQ</f>
        <v>73.102573663401799</v>
      </c>
      <c r="V4626" s="107"/>
      <c r="W4626" s="1"/>
      <c r="X4626" s="96">
        <f ca="1">P_1_minQ-(X4624^2*R_up)+dpup_minQ</f>
        <v>-12.238048053982554</v>
      </c>
      <c r="Y4626" s="107"/>
      <c r="Z4626" s="1"/>
      <c r="AA4626" s="96">
        <f ca="1">P_1_minQ-(AA4624^2*R_up)+dpup_minQ</f>
        <v>-298.37841686571926</v>
      </c>
      <c r="AB4626" s="107"/>
      <c r="AC4626" s="1"/>
      <c r="AD4626" s="96">
        <f ca="1">P_1_minQ-(AD4624^2*R_up)+dpup_minQ</f>
        <v>-1003.4812547341924</v>
      </c>
      <c r="AE4626" s="107"/>
      <c r="AF4626" s="1"/>
      <c r="AG4626" s="96">
        <f ca="1">P_1_minQ-(AG4624^2*R_up)+dpup_minQ</f>
        <v>-2239.5645048757533</v>
      </c>
      <c r="AH4626" s="107"/>
      <c r="AI4626" s="1"/>
      <c r="AJ4626" s="96">
        <f ca="1">P_1_minQ-(AJ4624^2*R_up)+dpup_minQ</f>
        <v>-4058.8673147489208</v>
      </c>
      <c r="AK4626" s="107"/>
      <c r="AL4626" s="1"/>
      <c r="AM4626" s="96">
        <f ca="1">P_1_minQ-(AM4624^2*R_up)+dpup_minQ</f>
        <v>-6087.1885400037081</v>
      </c>
      <c r="AN4626" s="107"/>
      <c r="AO4626" s="1"/>
      <c r="AP4626" s="96">
        <f ca="1">P_1_minQ-(AP4624^2*R_up)+dpup_minQ</f>
        <v>-8235.9812395985991</v>
      </c>
      <c r="AQ4626" s="107"/>
      <c r="AR4626" s="1"/>
      <c r="AS4626" s="96">
        <f ca="1">P_1_minQ-(AS4624^2*R_up)+dpup_minQ</f>
        <v>-11357.799674232858</v>
      </c>
      <c r="AT4626" s="107"/>
      <c r="AU4626" s="1"/>
    </row>
    <row r="4627" spans="15:47" x14ac:dyDescent="0.25">
      <c r="O4627" s="8" t="s">
        <v>134</v>
      </c>
      <c r="P4627" s="1"/>
      <c r="Q4627" s="8"/>
      <c r="R4627" s="97">
        <f>P_2_minQ+(R4624^2*R_dn)-dpdn_minQ</f>
        <v>60</v>
      </c>
      <c r="S4627" s="106"/>
      <c r="T4627" s="22"/>
      <c r="U4627" s="97">
        <f ca="1">P_2_minQ+(U4624^2*R_dn)-dpdn_minQ</f>
        <v>60</v>
      </c>
      <c r="V4627" s="107"/>
      <c r="W4627" s="1"/>
      <c r="X4627" s="97">
        <f ca="1">P_2_minQ+(X4624^2*R_dn)-dpdn_minQ</f>
        <v>60</v>
      </c>
      <c r="Y4627" s="107"/>
      <c r="Z4627" s="1"/>
      <c r="AA4627" s="97">
        <f ca="1">P_2_minQ+(AA4624^2*R_dn)-dpdn_minQ</f>
        <v>60</v>
      </c>
      <c r="AB4627" s="107"/>
      <c r="AC4627" s="1"/>
      <c r="AD4627" s="97">
        <f ca="1">P_2_minQ+(AD4624^2*R_dn)-dpdn_minQ</f>
        <v>60</v>
      </c>
      <c r="AE4627" s="107"/>
      <c r="AF4627" s="1"/>
      <c r="AG4627" s="97">
        <f ca="1">P_2_minQ+(AG4624^2*R_dn)-dpdn_minQ</f>
        <v>60</v>
      </c>
      <c r="AH4627" s="107"/>
      <c r="AI4627" s="1"/>
      <c r="AJ4627" s="97">
        <f ca="1">P_2_minQ+(AJ4624^2*R_dn)-dpdn_minQ</f>
        <v>60</v>
      </c>
      <c r="AK4627" s="107"/>
      <c r="AL4627" s="1"/>
      <c r="AM4627" s="97">
        <f ca="1">P_2_minQ+(AM4624^2*R_dn)-dpdn_minQ</f>
        <v>60</v>
      </c>
      <c r="AN4627" s="107"/>
      <c r="AO4627" s="1"/>
      <c r="AP4627" s="97">
        <f ca="1">P_2_minQ+(AP4624^2*R_dn)-dpdn_minQ</f>
        <v>60</v>
      </c>
      <c r="AQ4627" s="107"/>
      <c r="AR4627" s="1"/>
      <c r="AS4627" s="97">
        <f ca="1">P_2_minQ+(AS4624^2*R_dn)-dpdn_minQ</f>
        <v>60</v>
      </c>
      <c r="AT4627" s="107"/>
      <c r="AU4627" s="1"/>
    </row>
    <row r="4628" spans="15:47" x14ac:dyDescent="0.25">
      <c r="O4628" s="8" t="s">
        <v>138</v>
      </c>
      <c r="P4628" s="1"/>
      <c r="Q4628" s="8"/>
      <c r="R4628" s="97">
        <f>R4626-R4627</f>
        <v>22.075811991746193</v>
      </c>
      <c r="S4628" s="106"/>
      <c r="T4628" s="22"/>
      <c r="U4628" s="97">
        <f ca="1">U4626-U4627</f>
        <v>13.102573663401799</v>
      </c>
      <c r="V4628" s="110"/>
      <c r="W4628" s="25"/>
      <c r="X4628" s="97">
        <f ca="1">X4626-X4627</f>
        <v>-72.238048053982553</v>
      </c>
      <c r="Y4628" s="110"/>
      <c r="Z4628" s="25"/>
      <c r="AA4628" s="97">
        <f ca="1">AA4626-AA4627</f>
        <v>-358.37841686571926</v>
      </c>
      <c r="AB4628" s="110"/>
      <c r="AC4628" s="25"/>
      <c r="AD4628" s="97">
        <f ca="1">AD4626-AD4627</f>
        <v>-1063.4812547341924</v>
      </c>
      <c r="AE4628" s="110"/>
      <c r="AF4628" s="25"/>
      <c r="AG4628" s="97">
        <f ca="1">AG4626-AG4627</f>
        <v>-2299.5645048757533</v>
      </c>
      <c r="AH4628" s="110"/>
      <c r="AI4628" s="25"/>
      <c r="AJ4628" s="97">
        <f ca="1">AJ4626-AJ4627</f>
        <v>-4118.8673147489208</v>
      </c>
      <c r="AK4628" s="110"/>
      <c r="AL4628" s="25"/>
      <c r="AM4628" s="97">
        <f ca="1">AM4626-AM4627</f>
        <v>-6147.1885400037081</v>
      </c>
      <c r="AN4628" s="110"/>
      <c r="AO4628" s="25"/>
      <c r="AP4628" s="97">
        <f ca="1">AP4626-AP4627</f>
        <v>-8295.9812395985991</v>
      </c>
      <c r="AQ4628" s="110"/>
      <c r="AR4628" s="25"/>
      <c r="AS4628" s="97">
        <f ca="1">AS4626-AS4627</f>
        <v>-11417.799674232858</v>
      </c>
      <c r="AT4628" s="110"/>
      <c r="AU4628" s="25"/>
    </row>
    <row r="4629" spans="15:47" ht="14.4" x14ac:dyDescent="0.3">
      <c r="O4629" s="2" t="s">
        <v>140</v>
      </c>
      <c r="P4629" s="11"/>
      <c r="Q4629" s="2"/>
      <c r="R4629" s="96">
        <f>R4628/R4626</f>
        <v>0.2689685481755113</v>
      </c>
      <c r="S4629" s="106"/>
      <c r="T4629" s="22"/>
      <c r="U4629" s="96">
        <f ca="1">U4628/U4626</f>
        <v>0.17923546336045751</v>
      </c>
      <c r="V4629" s="111"/>
      <c r="W4629" s="28"/>
      <c r="X4629" s="96">
        <f ca="1">X4628/X4626</f>
        <v>5.9027426379874814</v>
      </c>
      <c r="Y4629" s="111"/>
      <c r="Z4629" s="28"/>
      <c r="AA4629" s="96">
        <f ca="1">AA4628/AA4626</f>
        <v>1.2010869305838636</v>
      </c>
      <c r="AB4629" s="111"/>
      <c r="AC4629" s="28"/>
      <c r="AD4629" s="96">
        <f ca="1">AD4628/AD4626</f>
        <v>1.059791849341414</v>
      </c>
      <c r="AE4629" s="111"/>
      <c r="AF4629" s="28"/>
      <c r="AG4629" s="96">
        <f ca="1">AG4628/AG4626</f>
        <v>1.026790922909063</v>
      </c>
      <c r="AH4629" s="111"/>
      <c r="AI4629" s="28"/>
      <c r="AJ4629" s="96">
        <f ca="1">AJ4628/AJ4626</f>
        <v>1.0147824492271464</v>
      </c>
      <c r="AK4629" s="111"/>
      <c r="AL4629" s="28"/>
      <c r="AM4629" s="96">
        <f ca="1">AM4628/AM4626</f>
        <v>1.0098567671439274</v>
      </c>
      <c r="AN4629" s="111"/>
      <c r="AO4629" s="28"/>
      <c r="AP4629" s="96">
        <f ca="1">AP4628/AP4626</f>
        <v>1.0072851064438466</v>
      </c>
      <c r="AQ4629" s="111"/>
      <c r="AR4629" s="28"/>
      <c r="AS4629" s="96">
        <f ca="1">AS4628/AS4626</f>
        <v>1.0052827133530204</v>
      </c>
      <c r="AT4629" s="111"/>
      <c r="AU4629" s="28"/>
    </row>
    <row r="4630" spans="15:47" x14ac:dyDescent="0.25">
      <c r="O4630" s="2" t="s">
        <v>21</v>
      </c>
      <c r="P4630" s="8">
        <v>12</v>
      </c>
      <c r="Q4630" s="2"/>
      <c r="R4630" s="96">
        <f ca="1">1-R4629/(3*F_GAMMA*R$29)</f>
        <v>0.85991871459488467</v>
      </c>
      <c r="S4630" s="106"/>
      <c r="T4630" s="22"/>
      <c r="U4630" s="96">
        <f ca="1">1-U4629/(3*F_GAMMA*U$29)</f>
        <v>0.90667421373149848</v>
      </c>
      <c r="V4630" s="111"/>
      <c r="W4630" s="28"/>
      <c r="X4630" s="96">
        <f ca="1">1-X4629/(3*F_GAMMA*X$29)</f>
        <v>-2.1027609003429175</v>
      </c>
      <c r="Y4630" s="111"/>
      <c r="Z4630" s="28"/>
      <c r="AA4630" s="96">
        <f ca="1">1-AA4629/(3*F_GAMMA*AA$29)</f>
        <v>0.35975232845196226</v>
      </c>
      <c r="AB4630" s="111"/>
      <c r="AC4630" s="28"/>
      <c r="AD4630" s="96">
        <f ca="1">1-AD4629/(3*F_GAMMA*AD$29)</f>
        <v>0.41754982470386681</v>
      </c>
      <c r="AE4630" s="111"/>
      <c r="AF4630" s="28"/>
      <c r="AG4630" s="96">
        <f ca="1">1-AG4629/(3*F_GAMMA*AG$29)</f>
        <v>0.40182449840038004</v>
      </c>
      <c r="AH4630" s="111"/>
      <c r="AI4630" s="28"/>
      <c r="AJ4630" s="96">
        <f ca="1">1-AJ4629/(3*F_GAMMA*AJ$29)</f>
        <v>0.36397152720065551</v>
      </c>
      <c r="AK4630" s="111"/>
      <c r="AL4630" s="28"/>
      <c r="AM4630" s="96">
        <f ca="1">1-AM4629/(3*F_GAMMA*AM$29)</f>
        <v>0.29231952340544054</v>
      </c>
      <c r="AN4630" s="111"/>
      <c r="AO4630" s="28"/>
      <c r="AP4630" s="96">
        <f ca="1">1-AP4629/(3*F_GAMMA*AP$29)</f>
        <v>0.43143427658797595</v>
      </c>
      <c r="AQ4630" s="111"/>
      <c r="AR4630" s="28"/>
      <c r="AS4630" s="96">
        <f ca="1">1-AS4629/(3*F_GAMMA*AS$29)</f>
        <v>0.1104242813712667</v>
      </c>
      <c r="AT4630" s="111"/>
      <c r="AU4630" s="28"/>
    </row>
    <row r="4631" spans="15:47" x14ac:dyDescent="0.25">
      <c r="O4631" s="2" t="s">
        <v>57</v>
      </c>
      <c r="P4631" s="143">
        <v>7</v>
      </c>
      <c r="Q4631" s="2"/>
      <c r="R4631" s="96">
        <f ca="1">(R4624/(N_9*R$27*R4626*R4630))*SQRT(M*'Valve Sizing'!$W$6*'Valve Sizing'!$G$8/R4629)</f>
        <v>100.25492066174718</v>
      </c>
      <c r="S4631" s="107"/>
      <c r="T4631" s="22"/>
      <c r="U4631" s="96">
        <f ca="1">(U4624/(N_9*U$27*U4626*U4630))*SQRT(M*'Valve Sizing'!$W$6*'Valve Sizing'!$G$8/U4629)</f>
        <v>189.93435231960459</v>
      </c>
      <c r="V4631" s="111"/>
      <c r="W4631" s="28"/>
      <c r="X4631" s="96">
        <f ca="1">(X4624/(N_9*X$27*X4626*X4630))*SQRT(M*'Valve Sizing'!$W$6*'Valve Sizing'!$G$8/X4629)</f>
        <v>209.21493911948545</v>
      </c>
      <c r="Y4631" s="111"/>
      <c r="Z4631" s="28"/>
      <c r="AA4631" s="96">
        <f ca="1">(AA4624/(N_9*AA$27*AA4626*AA4630))*SQRT(M*'Valve Sizing'!$W$6*'Valve Sizing'!$G$8/AA4629)</f>
        <v>-217.85377329438592</v>
      </c>
      <c r="AB4631" s="111"/>
      <c r="AC4631" s="28"/>
      <c r="AD4631" s="96">
        <f ca="1">(AD4624/(N_9*AD$27*AD4626*AD4630))*SQRT(M*'Valve Sizing'!$W$6*'Valve Sizing'!$G$8/AD4629)</f>
        <v>-100.91455609580387</v>
      </c>
      <c r="AE4631" s="111"/>
      <c r="AF4631" s="28"/>
      <c r="AG4631" s="96">
        <f ca="1">(AG4624/(N_9*AG$27*AG4626*AG4630))*SQRT(M*'Valve Sizing'!$W$6*'Valve Sizing'!$G$8/AG4629)</f>
        <v>-71.239061851687779</v>
      </c>
      <c r="AH4631" s="111"/>
      <c r="AI4631" s="28"/>
      <c r="AJ4631" s="96">
        <f ca="1">(AJ4624/(N_9*AJ$27*AJ4626*AJ4630))*SQRT(M*'Valve Sizing'!$W$6*'Valve Sizing'!$G$8/AJ4629)</f>
        <v>-60.359179664792464</v>
      </c>
      <c r="AK4631" s="111"/>
      <c r="AL4631" s="28"/>
      <c r="AM4631" s="96">
        <f ca="1">(AM4624/(N_9*AM$27*AM4626*AM4630))*SQRT(M*'Valve Sizing'!$W$6*'Valve Sizing'!$G$8/AM4629)</f>
        <v>-65.034494721180423</v>
      </c>
      <c r="AN4631" s="111"/>
      <c r="AO4631" s="28"/>
      <c r="AP4631" s="96">
        <f ca="1">(AP4624/(N_9*AP$27*AP4626*AP4630))*SQRT(M*'Valve Sizing'!$W$6*'Valve Sizing'!$G$8/AP4629)</f>
        <v>-43.090259300037388</v>
      </c>
      <c r="AQ4631" s="111"/>
      <c r="AR4631" s="28"/>
      <c r="AS4631" s="96">
        <f ca="1">(AS4624/(N_9*AS$27*AS4626*AS4630))*SQRT(M*'Valve Sizing'!$W$6*'Valve Sizing'!$G$8/AS4629)</f>
        <v>-191.92494083258367</v>
      </c>
      <c r="AT4631" s="111"/>
      <c r="AU4631" s="28"/>
    </row>
    <row r="4632" spans="15:47" x14ac:dyDescent="0.25">
      <c r="O4632" s="2" t="s">
        <v>59</v>
      </c>
      <c r="P4632" s="143">
        <v>7</v>
      </c>
      <c r="Q4632" s="2"/>
      <c r="R4632" s="96">
        <f ca="1">(R4624/(N_9*R$27*R4626*0.667))*SQRT(M*'Valve Sizing'!$W$6*'Valve Sizing'!$G$8/R4633)</f>
        <v>83.789182057577619</v>
      </c>
      <c r="S4632" s="107"/>
      <c r="T4632" s="22"/>
      <c r="U4632" s="96">
        <f ca="1">(U4624/(N_9*U$27*U4626*0.667))*SQRT(M*'Valve Sizing'!$W$6*'Valve Sizing'!$G$8/U4633)</f>
        <v>136.61248985531981</v>
      </c>
      <c r="V4632" s="111"/>
      <c r="W4632" s="28"/>
      <c r="X4632" s="96">
        <f ca="1">(X4624/(N_9*X$27*X4626*0.667))*SQRT(M*'Valve Sizing'!$W$6*'Valve Sizing'!$G$8/X4633)</f>
        <v>-2012.2944702971793</v>
      </c>
      <c r="Y4632" s="111"/>
      <c r="Z4632" s="28"/>
      <c r="AA4632" s="96">
        <f ca="1">(AA4624/(N_9*AA$27*AA4626*0.667))*SQRT(M*'Valve Sizing'!$W$6*'Valve Sizing'!$G$8/AA4633)</f>
        <v>-162.84615068405378</v>
      </c>
      <c r="AB4632" s="111"/>
      <c r="AC4632" s="28"/>
      <c r="AD4632" s="96">
        <f ca="1">(AD4624/(N_9*AD$27*AD4626*0.667))*SQRT(M*'Valve Sizing'!$W$6*'Valve Sizing'!$G$8/AD4633)</f>
        <v>-83.507657910936359</v>
      </c>
      <c r="AE4632" s="111"/>
      <c r="AF4632" s="28"/>
      <c r="AG4632" s="96">
        <f ca="1">(AG4624/(N_9*AG$27*AG4626*0.667))*SQRT(M*'Valve Sizing'!$W$6*'Valve Sizing'!$G$8/AG4633)</f>
        <v>-57.49150895122245</v>
      </c>
      <c r="AH4632" s="111"/>
      <c r="AI4632" s="28"/>
      <c r="AJ4632" s="96">
        <f ca="1">(AJ4624/(N_9*AJ$27*AJ4626*0.667))*SQRT(M*'Valve Sizing'!$W$6*'Valve Sizing'!$G$8/AJ4633)</f>
        <v>-45.497110119001206</v>
      </c>
      <c r="AK4632" s="111"/>
      <c r="AL4632" s="28"/>
      <c r="AM4632" s="96">
        <f ca="1">(AM4624/(N_9*AM$27*AM4626*0.667))*SQRT(M*'Valve Sizing'!$W$6*'Valve Sizing'!$G$8/AM4633)</f>
        <v>-41.52933654135272</v>
      </c>
      <c r="AN4632" s="111"/>
      <c r="AO4632" s="28"/>
      <c r="AP4632" s="96">
        <f ca="1">(AP4624/(N_9*AP$27*AP4626*0.667))*SQRT(M*'Valve Sizing'!$W$6*'Valve Sizing'!$G$8/AP4633)</f>
        <v>-36.40146680849206</v>
      </c>
      <c r="AQ4632" s="111"/>
      <c r="AR4632" s="28"/>
      <c r="AS4632" s="96">
        <f ca="1">(AS4624/(N_9*AS$27*AS4626*0.667))*SQRT(M*'Valve Sizing'!$W$6*'Valve Sizing'!$G$8/AS4633)</f>
        <v>-51.90656031564265</v>
      </c>
      <c r="AT4632" s="111"/>
      <c r="AU4632" s="28"/>
    </row>
    <row r="4633" spans="15:47" ht="15.6" x14ac:dyDescent="0.35">
      <c r="O4633" s="2" t="s">
        <v>68</v>
      </c>
      <c r="P4633" s="143">
        <v>10</v>
      </c>
      <c r="Q4633" s="2"/>
      <c r="R4633" s="96">
        <f ca="1">F_GAMMA*R$29</f>
        <v>0.64002969751372984</v>
      </c>
      <c r="S4633" s="107"/>
      <c r="T4633" s="1"/>
      <c r="U4633" s="96">
        <f ca="1">F_GAMMA*U$29</f>
        <v>0.64017842058782071</v>
      </c>
      <c r="V4633" s="111"/>
      <c r="W4633" s="28"/>
      <c r="X4633" s="96">
        <f ca="1">F_GAMMA*X$29</f>
        <v>0.63413873724904268</v>
      </c>
      <c r="Y4633" s="111"/>
      <c r="Z4633" s="28"/>
      <c r="AA4633" s="96">
        <f ca="1">F_GAMMA*AA$29</f>
        <v>0.62532411750377137</v>
      </c>
      <c r="AB4633" s="111"/>
      <c r="AC4633" s="28"/>
      <c r="AD4633" s="96">
        <f ca="1">F_GAMMA*AD$29</f>
        <v>0.60651359509139569</v>
      </c>
      <c r="AE4633" s="111"/>
      <c r="AF4633" s="28"/>
      <c r="AG4633" s="96">
        <f ca="1">F_GAMMA*AG$29</f>
        <v>0.57217930198481592</v>
      </c>
      <c r="AH4633" s="111"/>
      <c r="AI4633" s="28"/>
      <c r="AJ4633" s="96">
        <f ca="1">F_GAMMA*AJ$29</f>
        <v>0.53183282018848232</v>
      </c>
      <c r="AK4633" s="111"/>
      <c r="AL4633" s="28"/>
      <c r="AM4633" s="96">
        <f ca="1">F_GAMMA*AM$29</f>
        <v>0.47566512503094399</v>
      </c>
      <c r="AN4633" s="111"/>
      <c r="AO4633" s="28"/>
      <c r="AP4633" s="96">
        <f ca="1">F_GAMMA*AP$29</f>
        <v>0.59054158265645496</v>
      </c>
      <c r="AQ4633" s="111"/>
      <c r="AR4633" s="28"/>
      <c r="AS4633" s="96">
        <f ca="1">F_GAMMA*AS$29</f>
        <v>0.3766899554102966</v>
      </c>
      <c r="AT4633" s="111"/>
      <c r="AU4633" s="28"/>
    </row>
    <row r="4634" spans="15:47" x14ac:dyDescent="0.25">
      <c r="O4634" s="2" t="s">
        <v>145</v>
      </c>
      <c r="P4634" s="12"/>
      <c r="Q4634" s="2"/>
      <c r="R4634" s="96">
        <f ca="1">IF(R4629&lt;R4633,R4631,R4632)</f>
        <v>100.25492066174718</v>
      </c>
      <c r="S4634" s="116"/>
      <c r="T4634" s="1"/>
      <c r="U4634" s="96">
        <f ca="1">IF(U4629&lt;U4633,U4631,U4632)</f>
        <v>189.93435231960459</v>
      </c>
      <c r="V4634" s="111"/>
      <c r="W4634" s="28"/>
      <c r="X4634" s="96">
        <f ca="1">IF(X4629&lt;X4633,X4631,X4632)</f>
        <v>-2012.2944702971793</v>
      </c>
      <c r="Y4634" s="111"/>
      <c r="Z4634" s="28"/>
      <c r="AA4634" s="96">
        <f ca="1">IF(AA4629&lt;AA4633,AA4631,AA4632)</f>
        <v>-162.84615068405378</v>
      </c>
      <c r="AB4634" s="111"/>
      <c r="AC4634" s="28"/>
      <c r="AD4634" s="96">
        <f ca="1">IF(AD4629&lt;AD4633,AD4631,AD4632)</f>
        <v>-83.507657910936359</v>
      </c>
      <c r="AE4634" s="111"/>
      <c r="AF4634" s="28"/>
      <c r="AG4634" s="96">
        <f ca="1">IF(AG4629&lt;AG4633,AG4631,AG4632)</f>
        <v>-57.49150895122245</v>
      </c>
      <c r="AH4634" s="111"/>
      <c r="AI4634" s="28"/>
      <c r="AJ4634" s="96">
        <f ca="1">IF(AJ4629&lt;AJ4633,AJ4631,AJ4632)</f>
        <v>-45.497110119001206</v>
      </c>
      <c r="AK4634" s="111"/>
      <c r="AL4634" s="28"/>
      <c r="AM4634" s="96">
        <f ca="1">IF(AM4629&lt;AM4633,AM4631,AM4632)</f>
        <v>-41.52933654135272</v>
      </c>
      <c r="AN4634" s="111"/>
      <c r="AO4634" s="28"/>
      <c r="AP4634" s="96">
        <f ca="1">IF(AP4629&lt;AP4633,AP4631,AP4632)</f>
        <v>-36.40146680849206</v>
      </c>
      <c r="AQ4634" s="111"/>
      <c r="AR4634" s="28"/>
      <c r="AS4634" s="96">
        <f ca="1">IF(AS4629&lt;AS4633,AS4631,AS4632)</f>
        <v>-51.90656031564265</v>
      </c>
      <c r="AT4634" s="111"/>
      <c r="AU4634" s="28"/>
    </row>
    <row r="4635" spans="15:47" x14ac:dyDescent="0.25">
      <c r="O4635" s="13" t="s">
        <v>143</v>
      </c>
      <c r="P4635" s="1"/>
      <c r="Q4635" s="1"/>
      <c r="R4635" s="113"/>
      <c r="S4635" s="106">
        <f ca="1">IF(R4628&lt;=0,Q_max,ABS(R$23-R4634))</f>
        <v>95.524920661747174</v>
      </c>
      <c r="T4635" s="7">
        <f>R4624</f>
        <v>210932.25786738188</v>
      </c>
      <c r="U4635" s="98"/>
      <c r="V4635" s="106">
        <f ca="1">IF(U4628&lt;=0,Q_max,ABS(U$23-U4634))</f>
        <v>178.33435231960459</v>
      </c>
      <c r="W4635" s="9">
        <f ca="1">U4624</f>
        <v>306145.95451143157</v>
      </c>
      <c r="X4635" s="98"/>
      <c r="Y4635" s="106">
        <f ca="1">IF(X4628&lt;=0,Q_max,ABS(X$23-X4634))</f>
        <v>236393</v>
      </c>
      <c r="Z4635" s="9">
        <f ca="1">X4624</f>
        <v>749638.98742813885</v>
      </c>
      <c r="AA4635" s="98"/>
      <c r="AB4635" s="106">
        <f ca="1">IF(AA4628&lt;=0,Q_max,ABS(AA$23-AA4634))</f>
        <v>236393</v>
      </c>
      <c r="AC4635" s="9">
        <f ca="1">AA4624</f>
        <v>1460105.4055968085</v>
      </c>
      <c r="AD4635" s="98"/>
      <c r="AE4635" s="106">
        <f ca="1">IF(AD4628&lt;=0,Q_max,ABS(AD$23-AD4634))</f>
        <v>236393</v>
      </c>
      <c r="AF4635" s="9">
        <f ca="1">AD4624</f>
        <v>2449602.6631379239</v>
      </c>
      <c r="AG4635" s="98"/>
      <c r="AH4635" s="106">
        <f ca="1">IF(AG4628&lt;=0,Q_max,ABS(AG$23-AG4634))</f>
        <v>236393</v>
      </c>
      <c r="AI4635" s="9">
        <f ca="1">AG4624</f>
        <v>3575261.8045752174</v>
      </c>
      <c r="AJ4635" s="98"/>
      <c r="AK4635" s="106">
        <f ca="1">IF(AJ4628&lt;=0,Q_max,ABS(AJ$23-AJ4634))</f>
        <v>236393</v>
      </c>
      <c r="AL4635" s="9">
        <f ca="1">AJ4624</f>
        <v>4771200.7379483907</v>
      </c>
      <c r="AM4635" s="98"/>
      <c r="AN4635" s="106">
        <f ca="1">IF(AM4628&lt;=0,Q_max,ABS(AM$23-AM4634))</f>
        <v>236393</v>
      </c>
      <c r="AO4635" s="9">
        <f ca="1">AM4624</f>
        <v>5821771.6190370191</v>
      </c>
      <c r="AP4635" s="98"/>
      <c r="AQ4635" s="106">
        <f ca="1">IF(AP4628&lt;=0,Q_max,ABS(AP$23-AP4634))</f>
        <v>236393</v>
      </c>
      <c r="AR4635" s="9">
        <f ca="1">AP4624</f>
        <v>6758896.1149561144</v>
      </c>
      <c r="AS4635" s="98"/>
      <c r="AT4635" s="106">
        <f ca="1">IF(AS4628&lt;=0,Q_max,ABS(AS$23-AS4634))</f>
        <v>236393</v>
      </c>
      <c r="AU4635" s="9">
        <f ca="1">AS4624</f>
        <v>7925337.247655293</v>
      </c>
    </row>
    <row r="4636" spans="15:47" x14ac:dyDescent="0.25">
      <c r="O4636" s="21"/>
      <c r="P4636" s="14"/>
      <c r="Q4636" s="21"/>
      <c r="R4636" s="97"/>
      <c r="S4636" s="106"/>
      <c r="T4636" s="28"/>
      <c r="U4636" s="97"/>
      <c r="V4636" s="111"/>
      <c r="W4636" s="28"/>
      <c r="X4636" s="97"/>
      <c r="Y4636" s="111"/>
      <c r="Z4636" s="28"/>
      <c r="AA4636" s="97"/>
      <c r="AB4636" s="111"/>
      <c r="AC4636" s="28"/>
      <c r="AD4636" s="97"/>
      <c r="AE4636" s="111"/>
      <c r="AF4636" s="28"/>
      <c r="AG4636" s="97"/>
      <c r="AH4636" s="111"/>
      <c r="AI4636" s="28"/>
      <c r="AJ4636" s="97"/>
      <c r="AK4636" s="111"/>
      <c r="AL4636" s="28"/>
      <c r="AM4636" s="97"/>
      <c r="AN4636" s="111"/>
      <c r="AO4636" s="28"/>
      <c r="AP4636" s="97"/>
      <c r="AQ4636" s="111"/>
      <c r="AR4636" s="28"/>
      <c r="AS4636" s="97"/>
      <c r="AT4636" s="111"/>
      <c r="AU4636" s="28"/>
    </row>
    <row r="4637" spans="15:47" x14ac:dyDescent="0.25">
      <c r="O4637" s="1"/>
      <c r="P4637" s="1"/>
      <c r="Q4637" s="1"/>
      <c r="R4637" s="98"/>
      <c r="S4637" s="108" t="s">
        <v>137</v>
      </c>
      <c r="T4637" s="26" t="s">
        <v>146</v>
      </c>
      <c r="U4637" s="98"/>
      <c r="V4637" s="108" t="s">
        <v>137</v>
      </c>
      <c r="W4637" s="26" t="s">
        <v>146</v>
      </c>
      <c r="X4637" s="98"/>
      <c r="Y4637" s="108" t="s">
        <v>137</v>
      </c>
      <c r="Z4637" s="26" t="s">
        <v>146</v>
      </c>
      <c r="AA4637" s="98"/>
      <c r="AB4637" s="108" t="s">
        <v>137</v>
      </c>
      <c r="AC4637" s="26" t="s">
        <v>146</v>
      </c>
      <c r="AD4637" s="98"/>
      <c r="AE4637" s="108" t="s">
        <v>137</v>
      </c>
      <c r="AF4637" s="26" t="s">
        <v>146</v>
      </c>
      <c r="AG4637" s="98"/>
      <c r="AH4637" s="108" t="s">
        <v>137</v>
      </c>
      <c r="AI4637" s="26" t="s">
        <v>146</v>
      </c>
      <c r="AJ4637" s="98"/>
      <c r="AK4637" s="108" t="s">
        <v>137</v>
      </c>
      <c r="AL4637" s="26" t="s">
        <v>146</v>
      </c>
      <c r="AM4637" s="98"/>
      <c r="AN4637" s="108" t="s">
        <v>137</v>
      </c>
      <c r="AO4637" s="26" t="s">
        <v>146</v>
      </c>
      <c r="AP4637" s="98"/>
      <c r="AQ4637" s="108" t="s">
        <v>137</v>
      </c>
      <c r="AR4637" s="26" t="s">
        <v>146</v>
      </c>
      <c r="AS4637" s="98"/>
      <c r="AT4637" s="108" t="s">
        <v>137</v>
      </c>
      <c r="AU4637" s="26" t="s">
        <v>146</v>
      </c>
    </row>
    <row r="4638" spans="15:47" ht="13.8" x14ac:dyDescent="0.25">
      <c r="O4638" s="20" t="s">
        <v>136</v>
      </c>
      <c r="P4638" s="1"/>
      <c r="Q4638" s="1"/>
      <c r="R4638" s="96">
        <f>R4624*1.02</f>
        <v>215150.90302472952</v>
      </c>
      <c r="S4638" s="109" t="s">
        <v>144</v>
      </c>
      <c r="T4638" s="23" t="s">
        <v>147</v>
      </c>
      <c r="U4638" s="96">
        <f ca="1">U4624*1.01</f>
        <v>309207.41405654588</v>
      </c>
      <c r="V4638" s="109" t="s">
        <v>144</v>
      </c>
      <c r="W4638" s="23" t="s">
        <v>147</v>
      </c>
      <c r="X4638" s="96">
        <f ca="1">X4624*1.01</f>
        <v>757135.37730242021</v>
      </c>
      <c r="Y4638" s="109" t="s">
        <v>144</v>
      </c>
      <c r="Z4638" s="23" t="s">
        <v>147</v>
      </c>
      <c r="AA4638" s="96">
        <f ca="1">AA4624*1.01</f>
        <v>1474706.4596527766</v>
      </c>
      <c r="AB4638" s="109" t="s">
        <v>144</v>
      </c>
      <c r="AC4638" s="23" t="s">
        <v>147</v>
      </c>
      <c r="AD4638" s="96">
        <f ca="1">AD4624*1.01</f>
        <v>2474098.689769303</v>
      </c>
      <c r="AE4638" s="109" t="s">
        <v>144</v>
      </c>
      <c r="AF4638" s="23" t="s">
        <v>147</v>
      </c>
      <c r="AG4638" s="96">
        <f ca="1">AG4624*1.01</f>
        <v>3611014.4226209698</v>
      </c>
      <c r="AH4638" s="109" t="s">
        <v>144</v>
      </c>
      <c r="AI4638" s="23" t="s">
        <v>147</v>
      </c>
      <c r="AJ4638" s="96">
        <f ca="1">AJ4624*1.01</f>
        <v>4818912.745327875</v>
      </c>
      <c r="AK4638" s="109" t="s">
        <v>144</v>
      </c>
      <c r="AL4638" s="23" t="s">
        <v>147</v>
      </c>
      <c r="AM4638" s="96">
        <f ca="1">AM4624*1.01</f>
        <v>5879989.3352273889</v>
      </c>
      <c r="AN4638" s="109" t="s">
        <v>144</v>
      </c>
      <c r="AO4638" s="23" t="s">
        <v>147</v>
      </c>
      <c r="AP4638" s="96">
        <f ca="1">AP4624*1.01</f>
        <v>6826485.0761056757</v>
      </c>
      <c r="AQ4638" s="109" t="s">
        <v>144</v>
      </c>
      <c r="AR4638" s="23" t="s">
        <v>147</v>
      </c>
      <c r="AS4638" s="96">
        <f ca="1">AS4624*1.01</f>
        <v>8004590.6201318456</v>
      </c>
      <c r="AT4638" s="109" t="s">
        <v>144</v>
      </c>
      <c r="AU4638" s="23" t="s">
        <v>147</v>
      </c>
    </row>
    <row r="4639" spans="15:47" x14ac:dyDescent="0.25">
      <c r="O4639" s="1"/>
      <c r="P4639" s="1"/>
      <c r="Q4639" s="1"/>
      <c r="R4639" s="98"/>
      <c r="S4639" s="107"/>
      <c r="T4639" s="1"/>
      <c r="U4639" s="47"/>
      <c r="V4639" s="107"/>
      <c r="W4639" s="1"/>
      <c r="X4639" s="47"/>
      <c r="Y4639" s="107"/>
      <c r="Z4639" s="1"/>
      <c r="AA4639" s="47"/>
      <c r="AB4639" s="107"/>
      <c r="AC4639" s="1"/>
      <c r="AD4639" s="47"/>
      <c r="AE4639" s="107"/>
      <c r="AF4639" s="1"/>
      <c r="AG4639" s="47"/>
      <c r="AH4639" s="107"/>
      <c r="AI4639" s="1"/>
      <c r="AJ4639" s="47"/>
      <c r="AK4639" s="107"/>
      <c r="AL4639" s="1"/>
      <c r="AM4639" s="47"/>
      <c r="AN4639" s="107"/>
      <c r="AO4639" s="1"/>
      <c r="AP4639" s="47"/>
      <c r="AQ4639" s="107"/>
      <c r="AR4639" s="1"/>
      <c r="AS4639" s="47"/>
      <c r="AT4639" s="107"/>
      <c r="AU4639" s="1"/>
    </row>
    <row r="4640" spans="15:47" x14ac:dyDescent="0.25">
      <c r="O4640" s="8" t="s">
        <v>132</v>
      </c>
      <c r="P4640" s="8"/>
      <c r="Q4640" s="8"/>
      <c r="R4640" s="96">
        <f>P_1_minQ-(R4638^2*R_up)+dpup_minQ</f>
        <v>81.748199158790413</v>
      </c>
      <c r="S4640" s="106"/>
      <c r="T4640" s="22"/>
      <c r="U4640" s="96">
        <f ca="1">P_1_minQ-(U4638^2*R_up)+dpup_minQ</f>
        <v>72.759216079378035</v>
      </c>
      <c r="V4640" s="107"/>
      <c r="W4640" s="1"/>
      <c r="X4640" s="96">
        <f ca="1">P_1_minQ-(X4638^2*R_up)+dpup_minQ</f>
        <v>-14.296752134525734</v>
      </c>
      <c r="Y4640" s="107"/>
      <c r="Z4640" s="1"/>
      <c r="AA4640" s="96">
        <f ca="1">P_1_minQ-(AA4638^2*R_up)+dpup_minQ</f>
        <v>-306.1885423593784</v>
      </c>
      <c r="AB4640" s="107"/>
      <c r="AC4640" s="1"/>
      <c r="AD4640" s="96">
        <f ca="1">P_1_minQ-(AD4638^2*R_up)+dpup_minQ</f>
        <v>-1025.4639472690076</v>
      </c>
      <c r="AE4640" s="107"/>
      <c r="AF4640" s="1"/>
      <c r="AG4640" s="96">
        <f ca="1">P_1_minQ-(AG4638^2*R_up)+dpup_minQ</f>
        <v>-2286.3924707384144</v>
      </c>
      <c r="AH4640" s="107"/>
      <c r="AI4640" s="1"/>
      <c r="AJ4640" s="96">
        <f ca="1">P_1_minQ-(AJ4638^2*R_up)+dpup_minQ</f>
        <v>-4142.263267090033</v>
      </c>
      <c r="AK4640" s="107"/>
      <c r="AL4640" s="1"/>
      <c r="AM4640" s="96">
        <f ca="1">P_1_minQ-(AM4638^2*R_up)+dpup_minQ</f>
        <v>-6211.3537489724404</v>
      </c>
      <c r="AN4640" s="107"/>
      <c r="AO4640" s="1"/>
      <c r="AP4640" s="96">
        <f ca="1">P_1_minQ-(AP4638^2*R_up)+dpup_minQ</f>
        <v>-8403.3371818291889</v>
      </c>
      <c r="AQ4640" s="107"/>
      <c r="AR4640" s="1"/>
      <c r="AS4640" s="96">
        <f ca="1">P_1_minQ-(AS4638^2*R_up)+dpup_minQ</f>
        <v>-11587.904166999595</v>
      </c>
      <c r="AT4640" s="107"/>
      <c r="AU4640" s="1"/>
    </row>
    <row r="4641" spans="15:47" x14ac:dyDescent="0.25">
      <c r="O4641" s="8" t="s">
        <v>134</v>
      </c>
      <c r="P4641" s="1"/>
      <c r="Q4641" s="8"/>
      <c r="R4641" s="97">
        <f>P_2_minQ+(R4638^2*R_dn)-dpdn_minQ</f>
        <v>60</v>
      </c>
      <c r="S4641" s="106"/>
      <c r="T4641" s="22"/>
      <c r="U4641" s="97">
        <f ca="1">P_2_minQ+(U4638^2*R_dn)-dpdn_minQ</f>
        <v>60</v>
      </c>
      <c r="V4641" s="107"/>
      <c r="W4641" s="1"/>
      <c r="X4641" s="97">
        <f ca="1">P_2_minQ+(X4638^2*R_dn)-dpdn_minQ</f>
        <v>60</v>
      </c>
      <c r="Y4641" s="107"/>
      <c r="Z4641" s="1"/>
      <c r="AA4641" s="97">
        <f ca="1">P_2_minQ+(AA4638^2*R_dn)-dpdn_minQ</f>
        <v>60</v>
      </c>
      <c r="AB4641" s="107"/>
      <c r="AC4641" s="1"/>
      <c r="AD4641" s="97">
        <f ca="1">P_2_minQ+(AD4638^2*R_dn)-dpdn_minQ</f>
        <v>60</v>
      </c>
      <c r="AE4641" s="107"/>
      <c r="AF4641" s="1"/>
      <c r="AG4641" s="97">
        <f ca="1">P_2_minQ+(AG4638^2*R_dn)-dpdn_minQ</f>
        <v>60</v>
      </c>
      <c r="AH4641" s="107"/>
      <c r="AI4641" s="1"/>
      <c r="AJ4641" s="97">
        <f ca="1">P_2_minQ+(AJ4638^2*R_dn)-dpdn_minQ</f>
        <v>60</v>
      </c>
      <c r="AK4641" s="107"/>
      <c r="AL4641" s="1"/>
      <c r="AM4641" s="97">
        <f ca="1">P_2_minQ+(AM4638^2*R_dn)-dpdn_minQ</f>
        <v>60</v>
      </c>
      <c r="AN4641" s="107"/>
      <c r="AO4641" s="1"/>
      <c r="AP4641" s="97">
        <f ca="1">P_2_minQ+(AP4638^2*R_dn)-dpdn_minQ</f>
        <v>60</v>
      </c>
      <c r="AQ4641" s="107"/>
      <c r="AR4641" s="1"/>
      <c r="AS4641" s="97">
        <f ca="1">P_2_minQ+(AS4638^2*R_dn)-dpdn_minQ</f>
        <v>60</v>
      </c>
      <c r="AT4641" s="107"/>
      <c r="AU4641" s="1"/>
    </row>
    <row r="4642" spans="15:47" x14ac:dyDescent="0.25">
      <c r="O4642" s="8" t="s">
        <v>138</v>
      </c>
      <c r="P4642" s="1"/>
      <c r="Q4642" s="8"/>
      <c r="R4642" s="97">
        <f>R4640-R4641</f>
        <v>21.748199158790413</v>
      </c>
      <c r="S4642" s="106"/>
      <c r="T4642" s="22"/>
      <c r="U4642" s="97">
        <f ca="1">U4640-U4641</f>
        <v>12.759216079378035</v>
      </c>
      <c r="V4642" s="110"/>
      <c r="W4642" s="25"/>
      <c r="X4642" s="97">
        <f ca="1">X4640-X4641</f>
        <v>-74.296752134525732</v>
      </c>
      <c r="Y4642" s="110"/>
      <c r="Z4642" s="25"/>
      <c r="AA4642" s="97">
        <f ca="1">AA4640-AA4641</f>
        <v>-366.1885423593784</v>
      </c>
      <c r="AB4642" s="110"/>
      <c r="AC4642" s="25"/>
      <c r="AD4642" s="97">
        <f ca="1">AD4640-AD4641</f>
        <v>-1085.4639472690076</v>
      </c>
      <c r="AE4642" s="110"/>
      <c r="AF4642" s="25"/>
      <c r="AG4642" s="97">
        <f ca="1">AG4640-AG4641</f>
        <v>-2346.3924707384144</v>
      </c>
      <c r="AH4642" s="110"/>
      <c r="AI4642" s="25"/>
      <c r="AJ4642" s="97">
        <f ca="1">AJ4640-AJ4641</f>
        <v>-4202.263267090033</v>
      </c>
      <c r="AK4642" s="110"/>
      <c r="AL4642" s="25"/>
      <c r="AM4642" s="97">
        <f ca="1">AM4640-AM4641</f>
        <v>-6271.3537489724404</v>
      </c>
      <c r="AN4642" s="110"/>
      <c r="AO4642" s="25"/>
      <c r="AP4642" s="97">
        <f ca="1">AP4640-AP4641</f>
        <v>-8463.3371818291889</v>
      </c>
      <c r="AQ4642" s="110"/>
      <c r="AR4642" s="25"/>
      <c r="AS4642" s="97">
        <f ca="1">AS4640-AS4641</f>
        <v>-11647.904166999595</v>
      </c>
      <c r="AT4642" s="110"/>
      <c r="AU4642" s="25"/>
    </row>
    <row r="4643" spans="15:47" ht="14.4" x14ac:dyDescent="0.3">
      <c r="O4643" s="2" t="s">
        <v>140</v>
      </c>
      <c r="P4643" s="11"/>
      <c r="Q4643" s="2"/>
      <c r="R4643" s="96">
        <f>R4642/R4640</f>
        <v>0.26603887770721396</v>
      </c>
      <c r="S4643" s="106"/>
      <c r="T4643" s="22"/>
      <c r="U4643" s="96">
        <f ca="1">U4642/U4640</f>
        <v>0.17536219831530522</v>
      </c>
      <c r="V4643" s="111"/>
      <c r="W4643" s="28"/>
      <c r="X4643" s="96">
        <f ca="1">X4642/X4640</f>
        <v>5.19675737785954</v>
      </c>
      <c r="Y4643" s="111"/>
      <c r="Z4643" s="28"/>
      <c r="AA4643" s="96">
        <f ca="1">AA4642/AA4640</f>
        <v>1.1959576917466004</v>
      </c>
      <c r="AB4643" s="111"/>
      <c r="AC4643" s="28"/>
      <c r="AD4643" s="96">
        <f ca="1">AD4642/AD4640</f>
        <v>1.0585101018517429</v>
      </c>
      <c r="AE4643" s="111"/>
      <c r="AF4643" s="28"/>
      <c r="AG4643" s="96">
        <f ca="1">AG4642/AG4640</f>
        <v>1.0262422137790816</v>
      </c>
      <c r="AH4643" s="111"/>
      <c r="AI4643" s="28"/>
      <c r="AJ4643" s="96">
        <f ca="1">AJ4642/AJ4640</f>
        <v>1.0144848350119837</v>
      </c>
      <c r="AK4643" s="111"/>
      <c r="AL4643" s="28"/>
      <c r="AM4643" s="96">
        <f ca="1">AM4642/AM4640</f>
        <v>1.0096597299759213</v>
      </c>
      <c r="AN4643" s="111"/>
      <c r="AO4643" s="28"/>
      <c r="AP4643" s="96">
        <f ca="1">AP4642/AP4640</f>
        <v>1.007140020530146</v>
      </c>
      <c r="AQ4643" s="111"/>
      <c r="AR4643" s="28"/>
      <c r="AS4643" s="96">
        <f ca="1">AS4642/AS4640</f>
        <v>1.0051778129276276</v>
      </c>
      <c r="AT4643" s="111"/>
      <c r="AU4643" s="28"/>
    </row>
    <row r="4644" spans="15:47" x14ac:dyDescent="0.25">
      <c r="O4644" s="2" t="s">
        <v>21</v>
      </c>
      <c r="P4644" s="8">
        <v>12</v>
      </c>
      <c r="Q4644" s="2"/>
      <c r="R4644" s="96">
        <f ca="1">1-R4643/(3*F_GAMMA*R$29)</f>
        <v>0.86144451382976284</v>
      </c>
      <c r="S4644" s="106"/>
      <c r="T4644" s="22"/>
      <c r="U4644" s="96">
        <f ca="1">1-U4643/(3*F_GAMMA*U$29)</f>
        <v>0.90869097703820068</v>
      </c>
      <c r="V4644" s="111"/>
      <c r="W4644" s="28"/>
      <c r="X4644" s="96">
        <f ca="1">1-X4643/(3*F_GAMMA*X$29)</f>
        <v>-1.7316616341736162</v>
      </c>
      <c r="Y4644" s="111"/>
      <c r="Z4644" s="28"/>
      <c r="AA4644" s="96">
        <f ca="1">1-AA4643/(3*F_GAMMA*AA$29)</f>
        <v>0.36248650458755227</v>
      </c>
      <c r="AB4644" s="111"/>
      <c r="AC4644" s="28"/>
      <c r="AD4644" s="96">
        <f ca="1">1-AD4643/(3*F_GAMMA*AD$29)</f>
        <v>0.41825425930629201</v>
      </c>
      <c r="AE4644" s="111"/>
      <c r="AF4644" s="28"/>
      <c r="AG4644" s="96">
        <f ca="1">1-AG4643/(3*F_GAMMA*AG$29)</f>
        <v>0.4021441587632989</v>
      </c>
      <c r="AH4644" s="111"/>
      <c r="AI4644" s="28"/>
      <c r="AJ4644" s="96">
        <f ca="1">1-AJ4643/(3*F_GAMMA*AJ$29)</f>
        <v>0.36415806089060798</v>
      </c>
      <c r="AK4644" s="111"/>
      <c r="AL4644" s="28"/>
      <c r="AM4644" s="96">
        <f ca="1">1-AM4643/(3*F_GAMMA*AM$29)</f>
        <v>0.29245760175625035</v>
      </c>
      <c r="AN4644" s="111"/>
      <c r="AO4644" s="28"/>
      <c r="AP4644" s="96">
        <f ca="1">1-AP4643/(3*F_GAMMA*AP$29)</f>
        <v>0.43151617085698923</v>
      </c>
      <c r="AQ4644" s="111"/>
      <c r="AR4644" s="28"/>
      <c r="AS4644" s="96">
        <f ca="1">1-AS4643/(3*F_GAMMA*AS$29)</f>
        <v>0.11051710786680247</v>
      </c>
      <c r="AT4644" s="111"/>
      <c r="AU4644" s="28"/>
    </row>
    <row r="4645" spans="15:47" x14ac:dyDescent="0.25">
      <c r="O4645" s="2" t="s">
        <v>57</v>
      </c>
      <c r="P4645" s="143">
        <v>7</v>
      </c>
      <c r="Q4645" s="2"/>
      <c r="R4645" s="96">
        <f ca="1">(R4638/(N_9*R$27*R4640*R4644))*SQRT(M*'Valve Sizing'!$W$6*'Valve Sizing'!$G$8/R4643)</f>
        <v>103.05074838438266</v>
      </c>
      <c r="S4645" s="107"/>
      <c r="T4645" s="22"/>
      <c r="U4645" s="96">
        <f ca="1">(U4638/(N_9*U$27*U4640*U4644))*SQRT(M*'Valve Sizing'!$W$6*'Valve Sizing'!$G$8/U4643)</f>
        <v>194.42342046525496</v>
      </c>
      <c r="V4645" s="111"/>
      <c r="W4645" s="28"/>
      <c r="X4645" s="96">
        <f ca="1">(X4638/(N_9*X$27*X4640*X4644))*SQRT(M*'Valve Sizing'!$W$6*'Valve Sizing'!$G$8/X4643)</f>
        <v>234.08651383360154</v>
      </c>
      <c r="Y4645" s="111"/>
      <c r="Z4645" s="28"/>
      <c r="AA4645" s="96">
        <f ca="1">(AA4638/(N_9*AA$27*AA4640*AA4644))*SQRT(M*'Valve Sizing'!$W$6*'Valve Sizing'!$G$8/AA4643)</f>
        <v>-213.25833490167793</v>
      </c>
      <c r="AB4645" s="111"/>
      <c r="AC4645" s="28"/>
      <c r="AD4645" s="96">
        <f ca="1">(AD4638/(N_9*AD$27*AD4640*AD4644))*SQRT(M*'Valve Sizing'!$W$6*'Valve Sizing'!$G$8/AD4643)</f>
        <v>-99.631065129797307</v>
      </c>
      <c r="AE4645" s="111"/>
      <c r="AF4645" s="28"/>
      <c r="AG4645" s="96">
        <f ca="1">(AG4638/(N_9*AG$27*AG4640*AG4644))*SQRT(M*'Valve Sizing'!$W$6*'Valve Sizing'!$G$8/AG4643)</f>
        <v>-70.440605263382537</v>
      </c>
      <c r="AH4645" s="111"/>
      <c r="AI4645" s="28"/>
      <c r="AJ4645" s="96">
        <f ca="1">(AJ4638/(N_9*AJ$27*AJ4640*AJ4644))*SQRT(M*'Valve Sizing'!$W$6*'Valve Sizing'!$G$8/AJ4643)</f>
        <v>-59.713569998033464</v>
      </c>
      <c r="AK4645" s="111"/>
      <c r="AL4645" s="28"/>
      <c r="AM4645" s="96">
        <f ca="1">(AM4638/(N_9*AM$27*AM4640*AM4644))*SQRT(M*'Valve Sizing'!$W$6*'Valve Sizing'!$G$8/AM4643)</f>
        <v>-64.347683046056261</v>
      </c>
      <c r="AN4645" s="111"/>
      <c r="AO4645" s="28"/>
      <c r="AP4645" s="96">
        <f ca="1">(AP4638/(N_9*AP$27*AP4640*AP4644))*SQRT(M*'Valve Sizing'!$W$6*'Valve Sizing'!$G$8/AP4643)</f>
        <v>-42.649396499174024</v>
      </c>
      <c r="AQ4645" s="111"/>
      <c r="AR4645" s="28"/>
      <c r="AS4645" s="96">
        <f ca="1">(AS4638/(N_9*AS$27*AS4640*AS4644))*SQRT(M*'Valve Sizing'!$W$6*'Valve Sizing'!$G$8/AS4643)</f>
        <v>-189.84529106979775</v>
      </c>
      <c r="AT4645" s="111"/>
      <c r="AU4645" s="28"/>
    </row>
    <row r="4646" spans="15:47" x14ac:dyDescent="0.25">
      <c r="O4646" s="2" t="s">
        <v>59</v>
      </c>
      <c r="P4646" s="143">
        <v>7</v>
      </c>
      <c r="Q4646" s="2"/>
      <c r="R4646" s="96">
        <f ca="1">(R4638/(N_9*R$27*R4640*0.667))*SQRT(M*'Valve Sizing'!$W$6*'Valve Sizing'!$G$8/R4647)</f>
        <v>85.807473788438188</v>
      </c>
      <c r="S4646" s="107"/>
      <c r="T4646" s="22"/>
      <c r="U4646" s="96">
        <f ca="1">(U4638/(N_9*U$27*U4640*0.667))*SQRT(M*'Valve Sizing'!$W$6*'Valve Sizing'!$G$8/U4647)</f>
        <v>138.62974881443176</v>
      </c>
      <c r="V4646" s="111"/>
      <c r="W4646" s="28"/>
      <c r="X4646" s="96">
        <f ca="1">(X4638/(N_9*X$27*X4640*0.667))*SQRT(M*'Valve Sizing'!$W$6*'Valve Sizing'!$G$8/X4647)</f>
        <v>-1739.7533199485629</v>
      </c>
      <c r="Y4646" s="111"/>
      <c r="Z4646" s="28"/>
      <c r="AA4646" s="96">
        <f ca="1">(AA4638/(N_9*AA$27*AA4640*0.667))*SQRT(M*'Valve Sizing'!$W$6*'Valve Sizing'!$G$8/AA4647)</f>
        <v>-160.27926460592789</v>
      </c>
      <c r="AB4646" s="111"/>
      <c r="AC4646" s="28"/>
      <c r="AD4646" s="96">
        <f ca="1">(AD4638/(N_9*AD$27*AD4640*0.667))*SQRT(M*'Valve Sizing'!$W$6*'Valve Sizing'!$G$8/AD4647)</f>
        <v>-82.534693939446171</v>
      </c>
      <c r="AE4646" s="111"/>
      <c r="AF4646" s="28"/>
      <c r="AG4646" s="96">
        <f ca="1">(AG4638/(N_9*AG$27*AG4640*0.667))*SQRT(M*'Valve Sizing'!$W$6*'Valve Sizing'!$G$8/AG4647)</f>
        <v>-56.877156424808632</v>
      </c>
      <c r="AH4646" s="111"/>
      <c r="AI4646" s="28"/>
      <c r="AJ4646" s="96">
        <f ca="1">(AJ4638/(N_9*AJ$27*AJ4640*0.667))*SQRT(M*'Valve Sizing'!$W$6*'Valve Sizing'!$G$8/AJ4647)</f>
        <v>-45.026930565026277</v>
      </c>
      <c r="AK4646" s="111"/>
      <c r="AL4646" s="28"/>
      <c r="AM4646" s="96">
        <f ca="1">(AM4638/(N_9*AM$27*AM4640*0.667))*SQRT(M*'Valve Sizing'!$W$6*'Valve Sizing'!$G$8/AM4647)</f>
        <v>-41.106155083407273</v>
      </c>
      <c r="AN4646" s="111"/>
      <c r="AO4646" s="28"/>
      <c r="AP4646" s="96">
        <f ca="1">(AP4638/(N_9*AP$27*AP4640*0.667))*SQRT(M*'Valve Sizing'!$W$6*'Valve Sizing'!$G$8/AP4647)</f>
        <v>-36.033281677742472</v>
      </c>
      <c r="AQ4646" s="111"/>
      <c r="AR4646" s="28"/>
      <c r="AS4646" s="96">
        <f ca="1">(AS4638/(N_9*AS$27*AS4640*0.667))*SQRT(M*'Valve Sizing'!$W$6*'Valve Sizing'!$G$8/AS4647)</f>
        <v>-51.384594522079524</v>
      </c>
      <c r="AT4646" s="111"/>
      <c r="AU4646" s="28"/>
    </row>
    <row r="4647" spans="15:47" ht="15.6" x14ac:dyDescent="0.35">
      <c r="O4647" s="2" t="s">
        <v>68</v>
      </c>
      <c r="P4647" s="143">
        <v>10</v>
      </c>
      <c r="Q4647" s="2"/>
      <c r="R4647" s="96">
        <f ca="1">F_GAMMA*R$29</f>
        <v>0.64002969751372984</v>
      </c>
      <c r="S4647" s="107"/>
      <c r="T4647" s="1"/>
      <c r="U4647" s="96">
        <f ca="1">F_GAMMA*U$29</f>
        <v>0.64017842058782071</v>
      </c>
      <c r="V4647" s="111"/>
      <c r="W4647" s="28"/>
      <c r="X4647" s="96">
        <f ca="1">F_GAMMA*X$29</f>
        <v>0.63413873724904268</v>
      </c>
      <c r="Y4647" s="111"/>
      <c r="Z4647" s="28"/>
      <c r="AA4647" s="96">
        <f ca="1">F_GAMMA*AA$29</f>
        <v>0.62532411750377137</v>
      </c>
      <c r="AB4647" s="111"/>
      <c r="AC4647" s="28"/>
      <c r="AD4647" s="96">
        <f ca="1">F_GAMMA*AD$29</f>
        <v>0.60651359509139569</v>
      </c>
      <c r="AE4647" s="111"/>
      <c r="AF4647" s="28"/>
      <c r="AG4647" s="96">
        <f ca="1">F_GAMMA*AG$29</f>
        <v>0.57217930198481592</v>
      </c>
      <c r="AH4647" s="111"/>
      <c r="AI4647" s="28"/>
      <c r="AJ4647" s="96">
        <f ca="1">F_GAMMA*AJ$29</f>
        <v>0.53183282018848232</v>
      </c>
      <c r="AK4647" s="111"/>
      <c r="AL4647" s="28"/>
      <c r="AM4647" s="96">
        <f ca="1">F_GAMMA*AM$29</f>
        <v>0.47566512503094399</v>
      </c>
      <c r="AN4647" s="111"/>
      <c r="AO4647" s="28"/>
      <c r="AP4647" s="96">
        <f ca="1">F_GAMMA*AP$29</f>
        <v>0.59054158265645496</v>
      </c>
      <c r="AQ4647" s="111"/>
      <c r="AR4647" s="28"/>
      <c r="AS4647" s="96">
        <f ca="1">F_GAMMA*AS$29</f>
        <v>0.3766899554102966</v>
      </c>
      <c r="AT4647" s="111"/>
      <c r="AU4647" s="28"/>
    </row>
    <row r="4648" spans="15:47" x14ac:dyDescent="0.25">
      <c r="O4648" s="2" t="s">
        <v>145</v>
      </c>
      <c r="P4648" s="12"/>
      <c r="Q4648" s="2"/>
      <c r="R4648" s="96">
        <f ca="1">IF(R4643&lt;R4647,R4645,R4646)</f>
        <v>103.05074838438266</v>
      </c>
      <c r="S4648" s="116"/>
      <c r="T4648" s="1"/>
      <c r="U4648" s="96">
        <f ca="1">IF(U4643&lt;U4647,U4645,U4646)</f>
        <v>194.42342046525496</v>
      </c>
      <c r="V4648" s="111"/>
      <c r="W4648" s="28"/>
      <c r="X4648" s="96">
        <f ca="1">IF(X4643&lt;X4647,X4645,X4646)</f>
        <v>-1739.7533199485629</v>
      </c>
      <c r="Y4648" s="111"/>
      <c r="Z4648" s="28"/>
      <c r="AA4648" s="96">
        <f ca="1">IF(AA4643&lt;AA4647,AA4645,AA4646)</f>
        <v>-160.27926460592789</v>
      </c>
      <c r="AB4648" s="111"/>
      <c r="AC4648" s="28"/>
      <c r="AD4648" s="96">
        <f ca="1">IF(AD4643&lt;AD4647,AD4645,AD4646)</f>
        <v>-82.534693939446171</v>
      </c>
      <c r="AE4648" s="111"/>
      <c r="AF4648" s="28"/>
      <c r="AG4648" s="96">
        <f ca="1">IF(AG4643&lt;AG4647,AG4645,AG4646)</f>
        <v>-56.877156424808632</v>
      </c>
      <c r="AH4648" s="111"/>
      <c r="AI4648" s="28"/>
      <c r="AJ4648" s="96">
        <f ca="1">IF(AJ4643&lt;AJ4647,AJ4645,AJ4646)</f>
        <v>-45.026930565026277</v>
      </c>
      <c r="AK4648" s="111"/>
      <c r="AL4648" s="28"/>
      <c r="AM4648" s="96">
        <f ca="1">IF(AM4643&lt;AM4647,AM4645,AM4646)</f>
        <v>-41.106155083407273</v>
      </c>
      <c r="AN4648" s="111"/>
      <c r="AO4648" s="28"/>
      <c r="AP4648" s="96">
        <f ca="1">IF(AP4643&lt;AP4647,AP4645,AP4646)</f>
        <v>-36.033281677742472</v>
      </c>
      <c r="AQ4648" s="111"/>
      <c r="AR4648" s="28"/>
      <c r="AS4648" s="96">
        <f ca="1">IF(AS4643&lt;AS4647,AS4645,AS4646)</f>
        <v>-51.384594522079524</v>
      </c>
      <c r="AT4648" s="111"/>
      <c r="AU4648" s="28"/>
    </row>
    <row r="4649" spans="15:47" x14ac:dyDescent="0.25">
      <c r="O4649" s="13" t="s">
        <v>143</v>
      </c>
      <c r="P4649" s="1"/>
      <c r="Q4649" s="1"/>
      <c r="R4649" s="113"/>
      <c r="S4649" s="106">
        <f ca="1">IF(R4642&lt;=0,Q_max,ABS(R$23-R4648))</f>
        <v>98.320748384382654</v>
      </c>
      <c r="T4649" s="7">
        <f>R4638</f>
        <v>215150.90302472952</v>
      </c>
      <c r="U4649" s="98"/>
      <c r="V4649" s="106">
        <f ca="1">IF(U4642&lt;=0,Q_max,ABS(U$23-U4648))</f>
        <v>182.82342046525497</v>
      </c>
      <c r="W4649" s="9">
        <f ca="1">U4638</f>
        <v>309207.41405654588</v>
      </c>
      <c r="X4649" s="98"/>
      <c r="Y4649" s="106">
        <f ca="1">IF(X4642&lt;=0,Q_max,ABS(X$23-X4648))</f>
        <v>236393</v>
      </c>
      <c r="Z4649" s="9">
        <f ca="1">X4638</f>
        <v>757135.37730242021</v>
      </c>
      <c r="AA4649" s="98"/>
      <c r="AB4649" s="106">
        <f ca="1">IF(AA4642&lt;=0,Q_max,ABS(AA$23-AA4648))</f>
        <v>236393</v>
      </c>
      <c r="AC4649" s="9">
        <f ca="1">AA4638</f>
        <v>1474706.4596527766</v>
      </c>
      <c r="AD4649" s="98"/>
      <c r="AE4649" s="106">
        <f ca="1">IF(AD4642&lt;=0,Q_max,ABS(AD$23-AD4648))</f>
        <v>236393</v>
      </c>
      <c r="AF4649" s="9">
        <f ca="1">AD4638</f>
        <v>2474098.689769303</v>
      </c>
      <c r="AG4649" s="98"/>
      <c r="AH4649" s="106">
        <f ca="1">IF(AG4642&lt;=0,Q_max,ABS(AG$23-AG4648))</f>
        <v>236393</v>
      </c>
      <c r="AI4649" s="9">
        <f ca="1">AG4638</f>
        <v>3611014.4226209698</v>
      </c>
      <c r="AJ4649" s="98"/>
      <c r="AK4649" s="106">
        <f ca="1">IF(AJ4642&lt;=0,Q_max,ABS(AJ$23-AJ4648))</f>
        <v>236393</v>
      </c>
      <c r="AL4649" s="9">
        <f ca="1">AJ4638</f>
        <v>4818912.745327875</v>
      </c>
      <c r="AM4649" s="98"/>
      <c r="AN4649" s="106">
        <f ca="1">IF(AM4642&lt;=0,Q_max,ABS(AM$23-AM4648))</f>
        <v>236393</v>
      </c>
      <c r="AO4649" s="9">
        <f ca="1">AM4638</f>
        <v>5879989.3352273889</v>
      </c>
      <c r="AP4649" s="98"/>
      <c r="AQ4649" s="106">
        <f ca="1">IF(AP4642&lt;=0,Q_max,ABS(AP$23-AP4648))</f>
        <v>236393</v>
      </c>
      <c r="AR4649" s="9">
        <f ca="1">AP4638</f>
        <v>6826485.0761056757</v>
      </c>
      <c r="AS4649" s="98"/>
      <c r="AT4649" s="106">
        <f ca="1">IF(AS4642&lt;=0,Q_max,ABS(AS$23-AS4648))</f>
        <v>236393</v>
      </c>
      <c r="AU4649" s="9">
        <f ca="1">AS4638</f>
        <v>8004590.6201318456</v>
      </c>
    </row>
    <row r="4650" spans="15:47" x14ac:dyDescent="0.25">
      <c r="O4650" s="21"/>
      <c r="P4650" s="14"/>
      <c r="Q4650" s="21"/>
      <c r="R4650" s="97"/>
      <c r="S4650" s="106"/>
      <c r="T4650" s="28"/>
      <c r="U4650" s="97"/>
      <c r="V4650" s="111"/>
      <c r="W4650" s="28"/>
      <c r="X4650" s="97"/>
      <c r="Y4650" s="111"/>
      <c r="Z4650" s="28"/>
      <c r="AA4650" s="97"/>
      <c r="AB4650" s="111"/>
      <c r="AC4650" s="28"/>
      <c r="AD4650" s="97"/>
      <c r="AE4650" s="111"/>
      <c r="AF4650" s="28"/>
      <c r="AG4650" s="97"/>
      <c r="AH4650" s="111"/>
      <c r="AI4650" s="28"/>
      <c r="AJ4650" s="97"/>
      <c r="AK4650" s="111"/>
      <c r="AL4650" s="28"/>
      <c r="AM4650" s="97"/>
      <c r="AN4650" s="111"/>
      <c r="AO4650" s="28"/>
      <c r="AP4650" s="97"/>
      <c r="AQ4650" s="111"/>
      <c r="AR4650" s="28"/>
      <c r="AS4650" s="97"/>
      <c r="AT4650" s="111"/>
      <c r="AU4650" s="28"/>
    </row>
    <row r="4651" spans="15:47" x14ac:dyDescent="0.25">
      <c r="O4651" s="1"/>
      <c r="P4651" s="1"/>
      <c r="Q4651" s="1"/>
      <c r="R4651" s="98"/>
      <c r="S4651" s="108" t="s">
        <v>137</v>
      </c>
      <c r="T4651" s="26" t="s">
        <v>146</v>
      </c>
      <c r="U4651" s="98"/>
      <c r="V4651" s="108" t="s">
        <v>137</v>
      </c>
      <c r="W4651" s="26" t="s">
        <v>146</v>
      </c>
      <c r="X4651" s="98"/>
      <c r="Y4651" s="108" t="s">
        <v>137</v>
      </c>
      <c r="Z4651" s="26" t="s">
        <v>146</v>
      </c>
      <c r="AA4651" s="98"/>
      <c r="AB4651" s="108" t="s">
        <v>137</v>
      </c>
      <c r="AC4651" s="26" t="s">
        <v>146</v>
      </c>
      <c r="AD4651" s="98"/>
      <c r="AE4651" s="108" t="s">
        <v>137</v>
      </c>
      <c r="AF4651" s="26" t="s">
        <v>146</v>
      </c>
      <c r="AG4651" s="98"/>
      <c r="AH4651" s="108" t="s">
        <v>137</v>
      </c>
      <c r="AI4651" s="26" t="s">
        <v>146</v>
      </c>
      <c r="AJ4651" s="98"/>
      <c r="AK4651" s="108" t="s">
        <v>137</v>
      </c>
      <c r="AL4651" s="26" t="s">
        <v>146</v>
      </c>
      <c r="AM4651" s="98"/>
      <c r="AN4651" s="108" t="s">
        <v>137</v>
      </c>
      <c r="AO4651" s="26" t="s">
        <v>146</v>
      </c>
      <c r="AP4651" s="98"/>
      <c r="AQ4651" s="108" t="s">
        <v>137</v>
      </c>
      <c r="AR4651" s="26" t="s">
        <v>146</v>
      </c>
      <c r="AS4651" s="98"/>
      <c r="AT4651" s="108" t="s">
        <v>137</v>
      </c>
      <c r="AU4651" s="26" t="s">
        <v>146</v>
      </c>
    </row>
    <row r="4652" spans="15:47" ht="13.8" x14ac:dyDescent="0.25">
      <c r="O4652" s="20" t="s">
        <v>136</v>
      </c>
      <c r="P4652" s="1"/>
      <c r="Q4652" s="1"/>
      <c r="R4652" s="96">
        <f>R4638*1.02</f>
        <v>219453.92108522411</v>
      </c>
      <c r="S4652" s="109" t="s">
        <v>144</v>
      </c>
      <c r="T4652" s="23" t="s">
        <v>147</v>
      </c>
      <c r="U4652" s="96">
        <f ca="1">U4638*1.01</f>
        <v>312299.48819711135</v>
      </c>
      <c r="V4652" s="109" t="s">
        <v>144</v>
      </c>
      <c r="W4652" s="23" t="s">
        <v>147</v>
      </c>
      <c r="X4652" s="96">
        <f ca="1">X4638*1.01</f>
        <v>764706.73107544438</v>
      </c>
      <c r="Y4652" s="109" t="s">
        <v>144</v>
      </c>
      <c r="Z4652" s="23" t="s">
        <v>147</v>
      </c>
      <c r="AA4652" s="96">
        <f ca="1">AA4638*1.01</f>
        <v>1489453.5242493043</v>
      </c>
      <c r="AB4652" s="109" t="s">
        <v>144</v>
      </c>
      <c r="AC4652" s="23" t="s">
        <v>147</v>
      </c>
      <c r="AD4652" s="96">
        <f ca="1">AD4638*1.01</f>
        <v>2498839.676666996</v>
      </c>
      <c r="AE4652" s="109" t="s">
        <v>144</v>
      </c>
      <c r="AF4652" s="23" t="s">
        <v>147</v>
      </c>
      <c r="AG4652" s="96">
        <f ca="1">AG4638*1.01</f>
        <v>3647124.5668471796</v>
      </c>
      <c r="AH4652" s="109" t="s">
        <v>144</v>
      </c>
      <c r="AI4652" s="23" t="s">
        <v>147</v>
      </c>
      <c r="AJ4652" s="96">
        <f ca="1">AJ4638*1.01</f>
        <v>4867101.8727811538</v>
      </c>
      <c r="AK4652" s="109" t="s">
        <v>144</v>
      </c>
      <c r="AL4652" s="23" t="s">
        <v>147</v>
      </c>
      <c r="AM4652" s="96">
        <f ca="1">AM4638*1.01</f>
        <v>5938789.2285796627</v>
      </c>
      <c r="AN4652" s="109" t="s">
        <v>144</v>
      </c>
      <c r="AO4652" s="23" t="s">
        <v>147</v>
      </c>
      <c r="AP4652" s="96">
        <f ca="1">AP4638*1.01</f>
        <v>6894749.9268667325</v>
      </c>
      <c r="AQ4652" s="109" t="s">
        <v>144</v>
      </c>
      <c r="AR4652" s="23" t="s">
        <v>147</v>
      </c>
      <c r="AS4652" s="96">
        <f ca="1">AS4638*1.01</f>
        <v>8084636.5263331644</v>
      </c>
      <c r="AT4652" s="109" t="s">
        <v>144</v>
      </c>
      <c r="AU4652" s="23" t="s">
        <v>147</v>
      </c>
    </row>
    <row r="4653" spans="15:47" x14ac:dyDescent="0.25">
      <c r="O4653" s="1"/>
      <c r="P4653" s="1"/>
      <c r="Q4653" s="1"/>
      <c r="R4653" s="98"/>
      <c r="S4653" s="107"/>
      <c r="T4653" s="1"/>
      <c r="U4653" s="47"/>
      <c r="V4653" s="107"/>
      <c r="W4653" s="1"/>
      <c r="X4653" s="47"/>
      <c r="Y4653" s="107"/>
      <c r="Z4653" s="1"/>
      <c r="AA4653" s="47"/>
      <c r="AB4653" s="107"/>
      <c r="AC4653" s="1"/>
      <c r="AD4653" s="47"/>
      <c r="AE4653" s="107"/>
      <c r="AF4653" s="1"/>
      <c r="AG4653" s="47"/>
      <c r="AH4653" s="107"/>
      <c r="AI4653" s="1"/>
      <c r="AJ4653" s="47"/>
      <c r="AK4653" s="107"/>
      <c r="AL4653" s="1"/>
      <c r="AM4653" s="47"/>
      <c r="AN4653" s="107"/>
      <c r="AO4653" s="1"/>
      <c r="AP4653" s="47"/>
      <c r="AQ4653" s="107"/>
      <c r="AR4653" s="1"/>
      <c r="AS4653" s="47"/>
      <c r="AT4653" s="107"/>
      <c r="AU4653" s="1"/>
    </row>
    <row r="4654" spans="15:47" x14ac:dyDescent="0.25">
      <c r="O4654" s="8" t="s">
        <v>132</v>
      </c>
      <c r="P4654" s="8"/>
      <c r="Q4654" s="8"/>
      <c r="R4654" s="96">
        <f>P_1_minQ-(R4652^2*R_up)+dpup_minQ</f>
        <v>81.407350767383221</v>
      </c>
      <c r="S4654" s="106"/>
      <c r="T4654" s="22"/>
      <c r="U4654" s="96">
        <f ca="1">P_1_minQ-(U4652^2*R_up)+dpup_minQ</f>
        <v>72.408957007915404</v>
      </c>
      <c r="V4654" s="107"/>
      <c r="W4654" s="1"/>
      <c r="X4654" s="96">
        <f ca="1">P_1_minQ-(X4652^2*R_up)+dpup_minQ</f>
        <v>-16.396836167087827</v>
      </c>
      <c r="Y4654" s="107"/>
      <c r="Z4654" s="1"/>
      <c r="AA4654" s="96">
        <f ca="1">P_1_minQ-(AA4652^2*R_up)+dpup_minQ</f>
        <v>-314.15565137545997</v>
      </c>
      <c r="AB4654" s="107"/>
      <c r="AC4654" s="1"/>
      <c r="AD4654" s="96">
        <f ca="1">P_1_minQ-(AD4652^2*R_up)+dpup_minQ</f>
        <v>-1047.8884919237728</v>
      </c>
      <c r="AE4654" s="107"/>
      <c r="AF4654" s="1"/>
      <c r="AG4654" s="96">
        <f ca="1">P_1_minQ-(AG4652^2*R_up)+dpup_minQ</f>
        <v>-2334.1616787149146</v>
      </c>
      <c r="AH4654" s="107"/>
      <c r="AI4654" s="1"/>
      <c r="AJ4654" s="96">
        <f ca="1">P_1_minQ-(AJ4652^2*R_up)+dpup_minQ</f>
        <v>-4227.3354780732006</v>
      </c>
      <c r="AK4654" s="107"/>
      <c r="AL4654" s="1"/>
      <c r="AM4654" s="96">
        <f ca="1">P_1_minQ-(AM4652^2*R_up)+dpup_minQ</f>
        <v>-6338.0146786414443</v>
      </c>
      <c r="AN4654" s="107"/>
      <c r="AO4654" s="1"/>
      <c r="AP4654" s="96">
        <f ca="1">P_1_minQ-(AP4652^2*R_up)+dpup_minQ</f>
        <v>-8574.0569784986146</v>
      </c>
      <c r="AQ4654" s="107"/>
      <c r="AR4654" s="1"/>
      <c r="AS4654" s="96">
        <f ca="1">P_1_minQ-(AS4652^2*R_up)+dpup_minQ</f>
        <v>-11822.633760070945</v>
      </c>
      <c r="AT4654" s="107"/>
      <c r="AU4654" s="1"/>
    </row>
    <row r="4655" spans="15:47" x14ac:dyDescent="0.25">
      <c r="O4655" s="8" t="s">
        <v>134</v>
      </c>
      <c r="P4655" s="1"/>
      <c r="Q4655" s="8"/>
      <c r="R4655" s="97">
        <f>P_2_minQ+(R4652^2*R_dn)-dpdn_minQ</f>
        <v>60</v>
      </c>
      <c r="S4655" s="106"/>
      <c r="T4655" s="22"/>
      <c r="U4655" s="97">
        <f ca="1">P_2_minQ+(U4652^2*R_dn)-dpdn_minQ</f>
        <v>60</v>
      </c>
      <c r="V4655" s="107"/>
      <c r="W4655" s="1"/>
      <c r="X4655" s="97">
        <f ca="1">P_2_minQ+(X4652^2*R_dn)-dpdn_minQ</f>
        <v>60</v>
      </c>
      <c r="Y4655" s="107"/>
      <c r="Z4655" s="1"/>
      <c r="AA4655" s="97">
        <f ca="1">P_2_minQ+(AA4652^2*R_dn)-dpdn_minQ</f>
        <v>60</v>
      </c>
      <c r="AB4655" s="107"/>
      <c r="AC4655" s="1"/>
      <c r="AD4655" s="97">
        <f ca="1">P_2_minQ+(AD4652^2*R_dn)-dpdn_minQ</f>
        <v>60</v>
      </c>
      <c r="AE4655" s="107"/>
      <c r="AF4655" s="1"/>
      <c r="AG4655" s="97">
        <f ca="1">P_2_minQ+(AG4652^2*R_dn)-dpdn_minQ</f>
        <v>60</v>
      </c>
      <c r="AH4655" s="107"/>
      <c r="AI4655" s="1"/>
      <c r="AJ4655" s="97">
        <f ca="1">P_2_minQ+(AJ4652^2*R_dn)-dpdn_minQ</f>
        <v>60</v>
      </c>
      <c r="AK4655" s="107"/>
      <c r="AL4655" s="1"/>
      <c r="AM4655" s="97">
        <f ca="1">P_2_minQ+(AM4652^2*R_dn)-dpdn_minQ</f>
        <v>60</v>
      </c>
      <c r="AN4655" s="107"/>
      <c r="AO4655" s="1"/>
      <c r="AP4655" s="97">
        <f ca="1">P_2_minQ+(AP4652^2*R_dn)-dpdn_minQ</f>
        <v>60</v>
      </c>
      <c r="AQ4655" s="107"/>
      <c r="AR4655" s="1"/>
      <c r="AS4655" s="97">
        <f ca="1">P_2_minQ+(AS4652^2*R_dn)-dpdn_minQ</f>
        <v>60</v>
      </c>
      <c r="AT4655" s="107"/>
      <c r="AU4655" s="1"/>
    </row>
    <row r="4656" spans="15:47" x14ac:dyDescent="0.25">
      <c r="O4656" s="8" t="s">
        <v>138</v>
      </c>
      <c r="P4656" s="1"/>
      <c r="Q4656" s="8"/>
      <c r="R4656" s="97">
        <f>R4654-R4655</f>
        <v>21.407350767383221</v>
      </c>
      <c r="S4656" s="106"/>
      <c r="T4656" s="22"/>
      <c r="U4656" s="97">
        <f ca="1">U4654-U4655</f>
        <v>12.408957007915404</v>
      </c>
      <c r="V4656" s="110"/>
      <c r="W4656" s="25"/>
      <c r="X4656" s="97">
        <f ca="1">X4654-X4655</f>
        <v>-76.396836167087827</v>
      </c>
      <c r="Y4656" s="110"/>
      <c r="Z4656" s="25"/>
      <c r="AA4656" s="97">
        <f ca="1">AA4654-AA4655</f>
        <v>-374.15565137545997</v>
      </c>
      <c r="AB4656" s="110"/>
      <c r="AC4656" s="25"/>
      <c r="AD4656" s="97">
        <f ca="1">AD4654-AD4655</f>
        <v>-1107.8884919237728</v>
      </c>
      <c r="AE4656" s="110"/>
      <c r="AF4656" s="25"/>
      <c r="AG4656" s="97">
        <f ca="1">AG4654-AG4655</f>
        <v>-2394.1616787149146</v>
      </c>
      <c r="AH4656" s="110"/>
      <c r="AI4656" s="25"/>
      <c r="AJ4656" s="97">
        <f ca="1">AJ4654-AJ4655</f>
        <v>-4287.3354780732006</v>
      </c>
      <c r="AK4656" s="110"/>
      <c r="AL4656" s="25"/>
      <c r="AM4656" s="97">
        <f ca="1">AM4654-AM4655</f>
        <v>-6398.0146786414443</v>
      </c>
      <c r="AN4656" s="110"/>
      <c r="AO4656" s="25"/>
      <c r="AP4656" s="97">
        <f ca="1">AP4654-AP4655</f>
        <v>-8634.0569784986146</v>
      </c>
      <c r="AQ4656" s="110"/>
      <c r="AR4656" s="25"/>
      <c r="AS4656" s="97">
        <f ca="1">AS4654-AS4655</f>
        <v>-11882.633760070945</v>
      </c>
      <c r="AT4656" s="110"/>
      <c r="AU4656" s="25"/>
    </row>
    <row r="4657" spans="15:47" ht="14.4" x14ac:dyDescent="0.3">
      <c r="O4657" s="2" t="s">
        <v>140</v>
      </c>
      <c r="P4657" s="11"/>
      <c r="Q4657" s="2"/>
      <c r="R4657" s="96">
        <f>R4656/R4654</f>
        <v>0.26296582023106835</v>
      </c>
      <c r="S4657" s="106"/>
      <c r="T4657" s="22"/>
      <c r="U4657" s="96">
        <f ca="1">U4656/U4654</f>
        <v>0.1713732322723405</v>
      </c>
      <c r="V4657" s="111"/>
      <c r="W4657" s="28"/>
      <c r="X4657" s="96">
        <f ca="1">X4656/X4654</f>
        <v>4.6592425141402352</v>
      </c>
      <c r="Y4657" s="111"/>
      <c r="Z4657" s="28"/>
      <c r="AA4657" s="96">
        <f ca="1">AA4656/AA4654</f>
        <v>1.1909881287740758</v>
      </c>
      <c r="AB4657" s="111"/>
      <c r="AC4657" s="28"/>
      <c r="AD4657" s="96">
        <f ca="1">AD4656/AD4654</f>
        <v>1.0572580006960937</v>
      </c>
      <c r="AE4657" s="111"/>
      <c r="AF4657" s="28"/>
      <c r="AG4657" s="96">
        <f ca="1">AG4656/AG4654</f>
        <v>1.0257051602496676</v>
      </c>
      <c r="AH4657" s="111"/>
      <c r="AI4657" s="28"/>
      <c r="AJ4657" s="96">
        <f ca="1">AJ4656/AJ4654</f>
        <v>1.0141933376972834</v>
      </c>
      <c r="AK4657" s="111"/>
      <c r="AL4657" s="28"/>
      <c r="AM4657" s="96">
        <f ca="1">AM4656/AM4654</f>
        <v>1.0094666868163298</v>
      </c>
      <c r="AN4657" s="111"/>
      <c r="AO4657" s="28"/>
      <c r="AP4657" s="96">
        <f ca="1">AP4656/AP4654</f>
        <v>1.0069978541255864</v>
      </c>
      <c r="AQ4657" s="111"/>
      <c r="AR4657" s="28"/>
      <c r="AS4657" s="96">
        <f ca="1">AS4656/AS4654</f>
        <v>1.0050750113060798</v>
      </c>
      <c r="AT4657" s="111"/>
      <c r="AU4657" s="28"/>
    </row>
    <row r="4658" spans="15:47" x14ac:dyDescent="0.25">
      <c r="O4658" s="2" t="s">
        <v>21</v>
      </c>
      <c r="P4658" s="8">
        <v>12</v>
      </c>
      <c r="Q4658" s="2"/>
      <c r="R4658" s="96">
        <f ca="1">1-R4657/(3*F_GAMMA*R$29)</f>
        <v>0.86304499033269355</v>
      </c>
      <c r="S4658" s="106"/>
      <c r="T4658" s="22"/>
      <c r="U4658" s="96">
        <f ca="1">1-U4657/(3*F_GAMMA*U$29)</f>
        <v>0.91076798448627116</v>
      </c>
      <c r="V4658" s="111"/>
      <c r="W4658" s="28"/>
      <c r="X4658" s="96">
        <f ca="1">1-X4657/(3*F_GAMMA*X$29)</f>
        <v>-1.4491183818609872</v>
      </c>
      <c r="Y4658" s="111"/>
      <c r="Z4658" s="28"/>
      <c r="AA4658" s="96">
        <f ca="1">1-AA4657/(3*F_GAMMA*AA$29)</f>
        <v>0.36513556440225159</v>
      </c>
      <c r="AB4658" s="111"/>
      <c r="AC4658" s="28"/>
      <c r="AD4658" s="96">
        <f ca="1">1-AD4657/(3*F_GAMMA*AD$29)</f>
        <v>0.41894240060314158</v>
      </c>
      <c r="AE4658" s="111"/>
      <c r="AF4658" s="28"/>
      <c r="AG4658" s="96">
        <f ca="1">1-AG4657/(3*F_GAMMA*AG$29)</f>
        <v>0.40245702894667845</v>
      </c>
      <c r="AH4658" s="111"/>
      <c r="AI4658" s="28"/>
      <c r="AJ4658" s="96">
        <f ca="1">1-AJ4657/(3*F_GAMMA*AJ$29)</f>
        <v>0.36434076073138189</v>
      </c>
      <c r="AK4658" s="111"/>
      <c r="AL4658" s="28"/>
      <c r="AM4658" s="96">
        <f ca="1">1-AM4657/(3*F_GAMMA*AM$29)</f>
        <v>0.29259288121332572</v>
      </c>
      <c r="AN4658" s="111"/>
      <c r="AO4658" s="28"/>
      <c r="AP4658" s="96">
        <f ca="1">1-AP4657/(3*F_GAMMA*AP$29)</f>
        <v>0.43159641719850284</v>
      </c>
      <c r="AQ4658" s="111"/>
      <c r="AR4658" s="28"/>
      <c r="AS4658" s="96">
        <f ca="1">1-AS4657/(3*F_GAMMA*AS$29)</f>
        <v>0.11060807712863285</v>
      </c>
      <c r="AT4658" s="111"/>
      <c r="AU4658" s="28"/>
    </row>
    <row r="4659" spans="15:47" x14ac:dyDescent="0.25">
      <c r="O4659" s="2" t="s">
        <v>57</v>
      </c>
      <c r="P4659" s="143">
        <v>7</v>
      </c>
      <c r="Q4659" s="2"/>
      <c r="R4659" s="96">
        <f ca="1">(R4652/(N_9*R$27*R4654*R4658))*SQRT(M*'Valve Sizing'!$W$6*'Valve Sizing'!$G$8/R4657)</f>
        <v>105.96993544425143</v>
      </c>
      <c r="S4659" s="107"/>
      <c r="T4659" s="22"/>
      <c r="U4659" s="96">
        <f ca="1">(U4652/(N_9*U$27*U4654*U4658))*SQRT(M*'Valve Sizing'!$W$6*'Valve Sizing'!$G$8/U4657)</f>
        <v>199.14556035934331</v>
      </c>
      <c r="V4659" s="111"/>
      <c r="W4659" s="28"/>
      <c r="X4659" s="96">
        <f ca="1">(X4652/(N_9*X$27*X4654*X4658))*SQRT(M*'Valve Sizing'!$W$6*'Valve Sizing'!$G$8/X4657)</f>
        <v>260.16138163552273</v>
      </c>
      <c r="Y4659" s="111"/>
      <c r="Z4659" s="28"/>
      <c r="AA4659" s="96">
        <f ca="1">(AA4652/(N_9*AA$27*AA4654*AA4658))*SQRT(M*'Valve Sizing'!$W$6*'Valve Sizing'!$G$8/AA4657)</f>
        <v>-208.83983672642509</v>
      </c>
      <c r="AB4659" s="111"/>
      <c r="AC4659" s="28"/>
      <c r="AD4659" s="96">
        <f ca="1">(AD4652/(N_9*AD$27*AD4654*AD4658))*SQRT(M*'Valve Sizing'!$W$6*'Valve Sizing'!$G$8/AD4657)</f>
        <v>-98.370423513633355</v>
      </c>
      <c r="AE4659" s="111"/>
      <c r="AF4659" s="28"/>
      <c r="AG4659" s="96">
        <f ca="1">(AG4652/(N_9*AG$27*AG4654*AG4658))*SQRT(M*'Valve Sizing'!$W$6*'Valve Sizing'!$G$8/AG4657)</f>
        <v>-69.653062268420229</v>
      </c>
      <c r="AH4659" s="111"/>
      <c r="AI4659" s="28"/>
      <c r="AJ4659" s="96">
        <f ca="1">(AJ4652/(N_9*AJ$27*AJ4654*AJ4658))*SQRT(M*'Valve Sizing'!$W$6*'Valve Sizing'!$G$8/AJ4657)</f>
        <v>-59.075847862296193</v>
      </c>
      <c r="AK4659" s="111"/>
      <c r="AL4659" s="28"/>
      <c r="AM4659" s="96">
        <f ca="1">(AM4652/(N_9*AM$27*AM4654*AM4658))*SQRT(M*'Valve Sizing'!$W$6*'Valve Sizing'!$G$8/AM4657)</f>
        <v>-63.668994529178661</v>
      </c>
      <c r="AN4659" s="111"/>
      <c r="AO4659" s="28"/>
      <c r="AP4659" s="96">
        <f ca="1">(AP4652/(N_9*AP$27*AP4654*AP4658))*SQRT(M*'Valve Sizing'!$W$6*'Valve Sizing'!$G$8/AP4657)</f>
        <v>-42.213327524852971</v>
      </c>
      <c r="AQ4659" s="111"/>
      <c r="AR4659" s="28"/>
      <c r="AS4659" s="96">
        <f ca="1">(AS4652/(N_9*AS$27*AS4654*AS4658))*SQRT(M*'Valve Sizing'!$W$6*'Valve Sizing'!$G$8/AS4657)</f>
        <v>-187.79184980936094</v>
      </c>
      <c r="AT4659" s="111"/>
      <c r="AU4659" s="28"/>
    </row>
    <row r="4660" spans="15:47" x14ac:dyDescent="0.25">
      <c r="O4660" s="2" t="s">
        <v>59</v>
      </c>
      <c r="P4660" s="143">
        <v>7</v>
      </c>
      <c r="Q4660" s="2"/>
      <c r="R4660" s="96">
        <f ca="1">(R4652/(N_9*R$27*R4654*0.667))*SQRT(M*'Valve Sizing'!$W$6*'Valve Sizing'!$G$8/R4661)</f>
        <v>87.890080174037848</v>
      </c>
      <c r="S4660" s="107"/>
      <c r="T4660" s="22"/>
      <c r="U4660" s="96">
        <f ca="1">(U4652/(N_9*U$27*U4654*0.667))*SQRT(M*'Valve Sizing'!$W$6*'Valve Sizing'!$G$8/U4661)</f>
        <v>140.6933366875549</v>
      </c>
      <c r="V4660" s="111"/>
      <c r="W4660" s="28"/>
      <c r="X4660" s="96">
        <f ca="1">(X4652/(N_9*X$27*X4654*0.667))*SQRT(M*'Valve Sizing'!$W$6*'Valve Sizing'!$G$8/X4661)</f>
        <v>-1532.0974091851169</v>
      </c>
      <c r="Y4660" s="111"/>
      <c r="Z4660" s="28"/>
      <c r="AA4660" s="96">
        <f ca="1">(AA4652/(N_9*AA$27*AA4654*0.667))*SQRT(M*'Valve Sizing'!$W$6*'Valve Sizing'!$G$8/AA4661)</f>
        <v>-157.77666557041999</v>
      </c>
      <c r="AB4660" s="111"/>
      <c r="AC4660" s="28"/>
      <c r="AD4660" s="96">
        <f ca="1">(AD4652/(N_9*AD$27*AD4654*0.667))*SQRT(M*'Valve Sizing'!$W$6*'Valve Sizing'!$G$8/AD4661)</f>
        <v>-81.576157408874465</v>
      </c>
      <c r="AE4660" s="111"/>
      <c r="AF4660" s="28"/>
      <c r="AG4660" s="96">
        <f ca="1">(AG4652/(N_9*AG$27*AG4654*0.667))*SQRT(M*'Valve Sizing'!$W$6*'Valve Sizing'!$G$8/AG4661)</f>
        <v>-56.270282571459468</v>
      </c>
      <c r="AH4660" s="111"/>
      <c r="AI4660" s="28"/>
      <c r="AJ4660" s="96">
        <f ca="1">(AJ4652/(N_9*AJ$27*AJ4654*0.667))*SQRT(M*'Valve Sizing'!$W$6*'Valve Sizing'!$G$8/AJ4661)</f>
        <v>-44.562002588040883</v>
      </c>
      <c r="AK4660" s="111"/>
      <c r="AL4660" s="28"/>
      <c r="AM4660" s="96">
        <f ca="1">(AM4652/(N_9*AM$27*AM4654*0.667))*SQRT(M*'Valve Sizing'!$W$6*'Valve Sizing'!$G$8/AM4661)</f>
        <v>-40.687523185615625</v>
      </c>
      <c r="AN4660" s="111"/>
      <c r="AO4660" s="28"/>
      <c r="AP4660" s="96">
        <f ca="1">(AP4652/(N_9*AP$27*AP4654*0.667))*SQRT(M*'Valve Sizing'!$W$6*'Valve Sizing'!$G$8/AP4661)</f>
        <v>-35.668973815999721</v>
      </c>
      <c r="AQ4660" s="111"/>
      <c r="AR4660" s="28"/>
      <c r="AS4660" s="96">
        <f ca="1">(AS4652/(N_9*AS$27*AS4654*0.667))*SQRT(M*'Valve Sizing'!$W$6*'Valve Sizing'!$G$8/AS4661)</f>
        <v>-50.868035562678294</v>
      </c>
      <c r="AT4660" s="111"/>
      <c r="AU4660" s="28"/>
    </row>
    <row r="4661" spans="15:47" ht="15.6" x14ac:dyDescent="0.35">
      <c r="O4661" s="2" t="s">
        <v>68</v>
      </c>
      <c r="P4661" s="143">
        <v>10</v>
      </c>
      <c r="Q4661" s="2"/>
      <c r="R4661" s="96">
        <f ca="1">F_GAMMA*R$29</f>
        <v>0.64002969751372984</v>
      </c>
      <c r="S4661" s="107"/>
      <c r="T4661" s="1"/>
      <c r="U4661" s="96">
        <f ca="1">F_GAMMA*U$29</f>
        <v>0.64017842058782071</v>
      </c>
      <c r="V4661" s="111"/>
      <c r="W4661" s="28"/>
      <c r="X4661" s="96">
        <f ca="1">F_GAMMA*X$29</f>
        <v>0.63413873724904268</v>
      </c>
      <c r="Y4661" s="111"/>
      <c r="Z4661" s="28"/>
      <c r="AA4661" s="96">
        <f ca="1">F_GAMMA*AA$29</f>
        <v>0.62532411750377137</v>
      </c>
      <c r="AB4661" s="111"/>
      <c r="AC4661" s="28"/>
      <c r="AD4661" s="96">
        <f ca="1">F_GAMMA*AD$29</f>
        <v>0.60651359509139569</v>
      </c>
      <c r="AE4661" s="111"/>
      <c r="AF4661" s="28"/>
      <c r="AG4661" s="96">
        <f ca="1">F_GAMMA*AG$29</f>
        <v>0.57217930198481592</v>
      </c>
      <c r="AH4661" s="111"/>
      <c r="AI4661" s="28"/>
      <c r="AJ4661" s="96">
        <f ca="1">F_GAMMA*AJ$29</f>
        <v>0.53183282018848232</v>
      </c>
      <c r="AK4661" s="111"/>
      <c r="AL4661" s="28"/>
      <c r="AM4661" s="96">
        <f ca="1">F_GAMMA*AM$29</f>
        <v>0.47566512503094399</v>
      </c>
      <c r="AN4661" s="111"/>
      <c r="AO4661" s="28"/>
      <c r="AP4661" s="96">
        <f ca="1">F_GAMMA*AP$29</f>
        <v>0.59054158265645496</v>
      </c>
      <c r="AQ4661" s="111"/>
      <c r="AR4661" s="28"/>
      <c r="AS4661" s="96">
        <f ca="1">F_GAMMA*AS$29</f>
        <v>0.3766899554102966</v>
      </c>
      <c r="AT4661" s="111"/>
      <c r="AU4661" s="28"/>
    </row>
    <row r="4662" spans="15:47" x14ac:dyDescent="0.25">
      <c r="O4662" s="2" t="s">
        <v>145</v>
      </c>
      <c r="P4662" s="12"/>
      <c r="Q4662" s="2"/>
      <c r="R4662" s="96">
        <f ca="1">IF(R4657&lt;R4661,R4659,R4660)</f>
        <v>105.96993544425143</v>
      </c>
      <c r="S4662" s="116"/>
      <c r="T4662" s="1"/>
      <c r="U4662" s="96">
        <f ca="1">IF(U4657&lt;U4661,U4659,U4660)</f>
        <v>199.14556035934331</v>
      </c>
      <c r="V4662" s="111"/>
      <c r="W4662" s="28"/>
      <c r="X4662" s="96">
        <f ca="1">IF(X4657&lt;X4661,X4659,X4660)</f>
        <v>-1532.0974091851169</v>
      </c>
      <c r="Y4662" s="111"/>
      <c r="Z4662" s="28"/>
      <c r="AA4662" s="96">
        <f ca="1">IF(AA4657&lt;AA4661,AA4659,AA4660)</f>
        <v>-157.77666557041999</v>
      </c>
      <c r="AB4662" s="111"/>
      <c r="AC4662" s="28"/>
      <c r="AD4662" s="96">
        <f ca="1">IF(AD4657&lt;AD4661,AD4659,AD4660)</f>
        <v>-81.576157408874465</v>
      </c>
      <c r="AE4662" s="111"/>
      <c r="AF4662" s="28"/>
      <c r="AG4662" s="96">
        <f ca="1">IF(AG4657&lt;AG4661,AG4659,AG4660)</f>
        <v>-56.270282571459468</v>
      </c>
      <c r="AH4662" s="111"/>
      <c r="AI4662" s="28"/>
      <c r="AJ4662" s="96">
        <f ca="1">IF(AJ4657&lt;AJ4661,AJ4659,AJ4660)</f>
        <v>-44.562002588040883</v>
      </c>
      <c r="AK4662" s="111"/>
      <c r="AL4662" s="28"/>
      <c r="AM4662" s="96">
        <f ca="1">IF(AM4657&lt;AM4661,AM4659,AM4660)</f>
        <v>-40.687523185615625</v>
      </c>
      <c r="AN4662" s="111"/>
      <c r="AO4662" s="28"/>
      <c r="AP4662" s="96">
        <f ca="1">IF(AP4657&lt;AP4661,AP4659,AP4660)</f>
        <v>-35.668973815999721</v>
      </c>
      <c r="AQ4662" s="111"/>
      <c r="AR4662" s="28"/>
      <c r="AS4662" s="96">
        <f ca="1">IF(AS4657&lt;AS4661,AS4659,AS4660)</f>
        <v>-50.868035562678294</v>
      </c>
      <c r="AT4662" s="111"/>
      <c r="AU4662" s="28"/>
    </row>
    <row r="4663" spans="15:47" x14ac:dyDescent="0.25">
      <c r="O4663" s="13" t="s">
        <v>143</v>
      </c>
      <c r="P4663" s="1"/>
      <c r="Q4663" s="1"/>
      <c r="R4663" s="113"/>
      <c r="S4663" s="106">
        <f ca="1">IF(R4656&lt;=0,Q_max,ABS(R$23-R4662))</f>
        <v>101.23993544425143</v>
      </c>
      <c r="T4663" s="7">
        <f>R4652</f>
        <v>219453.92108522411</v>
      </c>
      <c r="U4663" s="98"/>
      <c r="V4663" s="106">
        <f ca="1">IF(U4656&lt;=0,Q_max,ABS(U$23-U4662))</f>
        <v>187.54556035934331</v>
      </c>
      <c r="W4663" s="9">
        <f ca="1">U4652</f>
        <v>312299.48819711135</v>
      </c>
      <c r="X4663" s="98"/>
      <c r="Y4663" s="106">
        <f ca="1">IF(X4656&lt;=0,Q_max,ABS(X$23-X4662))</f>
        <v>236393</v>
      </c>
      <c r="Z4663" s="9">
        <f ca="1">X4652</f>
        <v>764706.73107544438</v>
      </c>
      <c r="AA4663" s="98"/>
      <c r="AB4663" s="106">
        <f ca="1">IF(AA4656&lt;=0,Q_max,ABS(AA$23-AA4662))</f>
        <v>236393</v>
      </c>
      <c r="AC4663" s="9">
        <f ca="1">AA4652</f>
        <v>1489453.5242493043</v>
      </c>
      <c r="AD4663" s="98"/>
      <c r="AE4663" s="106">
        <f ca="1">IF(AD4656&lt;=0,Q_max,ABS(AD$23-AD4662))</f>
        <v>236393</v>
      </c>
      <c r="AF4663" s="9">
        <f ca="1">AD4652</f>
        <v>2498839.676666996</v>
      </c>
      <c r="AG4663" s="98"/>
      <c r="AH4663" s="106">
        <f ca="1">IF(AG4656&lt;=0,Q_max,ABS(AG$23-AG4662))</f>
        <v>236393</v>
      </c>
      <c r="AI4663" s="9">
        <f ca="1">AG4652</f>
        <v>3647124.5668471796</v>
      </c>
      <c r="AJ4663" s="98"/>
      <c r="AK4663" s="106">
        <f ca="1">IF(AJ4656&lt;=0,Q_max,ABS(AJ$23-AJ4662))</f>
        <v>236393</v>
      </c>
      <c r="AL4663" s="9">
        <f ca="1">AJ4652</f>
        <v>4867101.8727811538</v>
      </c>
      <c r="AM4663" s="98"/>
      <c r="AN4663" s="106">
        <f ca="1">IF(AM4656&lt;=0,Q_max,ABS(AM$23-AM4662))</f>
        <v>236393</v>
      </c>
      <c r="AO4663" s="9">
        <f ca="1">AM4652</f>
        <v>5938789.2285796627</v>
      </c>
      <c r="AP4663" s="98"/>
      <c r="AQ4663" s="106">
        <f ca="1">IF(AP4656&lt;=0,Q_max,ABS(AP$23-AP4662))</f>
        <v>236393</v>
      </c>
      <c r="AR4663" s="9">
        <f ca="1">AP4652</f>
        <v>6894749.9268667325</v>
      </c>
      <c r="AS4663" s="98"/>
      <c r="AT4663" s="106">
        <f ca="1">IF(AS4656&lt;=0,Q_max,ABS(AS$23-AS4662))</f>
        <v>236393</v>
      </c>
      <c r="AU4663" s="9">
        <f ca="1">AS4652</f>
        <v>8084636.5263331644</v>
      </c>
    </row>
    <row r="4664" spans="15:47" x14ac:dyDescent="0.25">
      <c r="O4664" s="21"/>
      <c r="P4664" s="14"/>
      <c r="Q4664" s="21"/>
      <c r="R4664" s="97"/>
      <c r="S4664" s="106"/>
      <c r="T4664" s="28"/>
      <c r="U4664" s="28"/>
      <c r="V4664" s="28"/>
      <c r="W4664" s="28"/>
    </row>
    <row r="4665" spans="15:47" x14ac:dyDescent="0.25">
      <c r="O4665" s="1"/>
      <c r="P4665" s="1"/>
      <c r="Q4665" s="1"/>
      <c r="R4665" s="98"/>
      <c r="S4665" s="108" t="s">
        <v>137</v>
      </c>
      <c r="T4665" s="26" t="s">
        <v>146</v>
      </c>
      <c r="U4665" s="14"/>
      <c r="V4665" s="26"/>
      <c r="W4665" s="26"/>
    </row>
    <row r="4666" spans="15:47" ht="13.8" x14ac:dyDescent="0.25">
      <c r="O4666" s="20" t="s">
        <v>136</v>
      </c>
      <c r="P4666" s="1"/>
      <c r="Q4666" s="1"/>
      <c r="R4666" s="96">
        <f>R4652*1.02</f>
        <v>223842.99950692861</v>
      </c>
      <c r="S4666" s="109" t="s">
        <v>144</v>
      </c>
      <c r="T4666" s="23" t="s">
        <v>147</v>
      </c>
      <c r="U4666" s="27"/>
      <c r="V4666" s="26"/>
      <c r="W4666" s="26"/>
    </row>
    <row r="4667" spans="15:47" x14ac:dyDescent="0.25">
      <c r="O4667" s="1"/>
      <c r="P4667" s="1"/>
      <c r="Q4667" s="1"/>
      <c r="R4667" s="98"/>
      <c r="S4667" s="107"/>
      <c r="T4667" s="1"/>
      <c r="U4667" s="39"/>
      <c r="V4667" s="14"/>
      <c r="W4667" s="14"/>
    </row>
    <row r="4668" spans="15:47" x14ac:dyDescent="0.25">
      <c r="O4668" s="8" t="s">
        <v>132</v>
      </c>
      <c r="P4668" s="8"/>
      <c r="Q4668" s="8"/>
      <c r="R4668" s="96">
        <f>P_1_minQ-(R4666^2*R_up)+dpup_minQ</f>
        <v>81.052732100963169</v>
      </c>
      <c r="S4668" s="106"/>
      <c r="T4668" s="22"/>
      <c r="U4668" s="27"/>
      <c r="V4668" s="14"/>
      <c r="W4668" s="14"/>
    </row>
    <row r="4669" spans="15:47" x14ac:dyDescent="0.25">
      <c r="O4669" s="8" t="s">
        <v>134</v>
      </c>
      <c r="P4669" s="1"/>
      <c r="Q4669" s="8"/>
      <c r="R4669" s="97">
        <f>P_2_minQ+(R4666^2*R_dn)-dpdn_minQ</f>
        <v>60</v>
      </c>
      <c r="S4669" s="106"/>
      <c r="T4669" s="22"/>
      <c r="U4669" s="28"/>
      <c r="V4669" s="14"/>
      <c r="W4669" s="14"/>
    </row>
    <row r="4670" spans="15:47" x14ac:dyDescent="0.25">
      <c r="O4670" s="8" t="s">
        <v>138</v>
      </c>
      <c r="P4670" s="1"/>
      <c r="Q4670" s="8"/>
      <c r="R4670" s="97">
        <f>R4668-R4669</f>
        <v>21.052732100963169</v>
      </c>
      <c r="S4670" s="106"/>
      <c r="T4670" s="22"/>
      <c r="U4670" s="28"/>
      <c r="V4670" s="25"/>
      <c r="W4670" s="25"/>
    </row>
    <row r="4671" spans="15:47" ht="14.4" x14ac:dyDescent="0.3">
      <c r="O4671" s="2" t="s">
        <v>140</v>
      </c>
      <c r="P4671" s="11"/>
      <c r="Q4671" s="2"/>
      <c r="R4671" s="96">
        <f>R4670/R4668</f>
        <v>0.2597411778142022</v>
      </c>
      <c r="S4671" s="106"/>
      <c r="T4671" s="22"/>
      <c r="U4671" s="27"/>
      <c r="V4671" s="28"/>
      <c r="W4671" s="28"/>
    </row>
    <row r="4672" spans="15:47" x14ac:dyDescent="0.25">
      <c r="O4672" s="2" t="s">
        <v>21</v>
      </c>
      <c r="P4672" s="8">
        <v>12</v>
      </c>
      <c r="Q4672" s="2"/>
      <c r="R4672" s="96">
        <f ca="1">1-R4671/(3*F_GAMMA*R$29)</f>
        <v>0.86472441366226327</v>
      </c>
      <c r="S4672" s="106"/>
      <c r="T4672" s="22"/>
      <c r="U4672" s="27"/>
      <c r="V4672" s="28"/>
      <c r="W4672" s="28"/>
    </row>
    <row r="4673" spans="15:23" x14ac:dyDescent="0.25">
      <c r="O4673" s="2" t="s">
        <v>57</v>
      </c>
      <c r="P4673" s="143">
        <v>7</v>
      </c>
      <c r="Q4673" s="2"/>
      <c r="R4673" s="96">
        <f ca="1">(R4666/(N_9*R$27*R4668*R4672))*SQRT(M*'Valve Sizing'!$W$6*'Valve Sizing'!$G$8/R4671)</f>
        <v>109.02190569239661</v>
      </c>
      <c r="S4673" s="107"/>
      <c r="T4673" s="22"/>
      <c r="U4673" s="27"/>
      <c r="V4673" s="28"/>
      <c r="W4673" s="28"/>
    </row>
    <row r="4674" spans="15:23" x14ac:dyDescent="0.25">
      <c r="O4674" s="2" t="s">
        <v>59</v>
      </c>
      <c r="P4674" s="143">
        <v>7</v>
      </c>
      <c r="Q4674" s="2"/>
      <c r="R4674" s="96">
        <f ca="1">(R4666/(N_9*R$27*R4668*0.667))*SQRT(M*'Valve Sizing'!$W$6*'Valve Sizing'!$G$8/R4675)</f>
        <v>90.040105598471698</v>
      </c>
      <c r="S4674" s="107"/>
      <c r="T4674" s="22"/>
      <c r="U4674" s="27"/>
      <c r="V4674" s="28"/>
      <c r="W4674" s="28"/>
    </row>
    <row r="4675" spans="15:23" ht="15.6" x14ac:dyDescent="0.35">
      <c r="O4675" s="2" t="s">
        <v>68</v>
      </c>
      <c r="P4675" s="143">
        <v>10</v>
      </c>
      <c r="Q4675" s="2"/>
      <c r="R4675" s="96">
        <f ca="1">F_GAMMA*R$29</f>
        <v>0.64002969751372984</v>
      </c>
      <c r="S4675" s="107"/>
      <c r="T4675" s="1"/>
      <c r="U4675" s="27"/>
      <c r="V4675" s="28"/>
      <c r="W4675" s="28"/>
    </row>
    <row r="4676" spans="15:23" x14ac:dyDescent="0.25">
      <c r="O4676" s="2" t="s">
        <v>145</v>
      </c>
      <c r="P4676" s="12"/>
      <c r="Q4676" s="2"/>
      <c r="R4676" s="96">
        <f ca="1">IF(R4671&lt;R4675,R4673,R4674)</f>
        <v>109.02190569239661</v>
      </c>
      <c r="S4676" s="116"/>
      <c r="T4676" s="1"/>
      <c r="U4676" s="27"/>
      <c r="V4676" s="28"/>
      <c r="W4676" s="28"/>
    </row>
    <row r="4677" spans="15:23" x14ac:dyDescent="0.25">
      <c r="O4677" s="13" t="s">
        <v>143</v>
      </c>
      <c r="P4677" s="1"/>
      <c r="Q4677" s="1"/>
      <c r="R4677" s="113"/>
      <c r="S4677" s="106">
        <f ca="1">IF(R4670&lt;=0,Q_max,ABS(R$23-R4676))</f>
        <v>104.29190569239661</v>
      </c>
      <c r="T4677" s="7">
        <f>R4666</f>
        <v>223842.99950692861</v>
      </c>
      <c r="U4677" s="14"/>
      <c r="V4677" s="29"/>
      <c r="W4677" s="27"/>
    </row>
    <row r="4678" spans="15:23" x14ac:dyDescent="0.25">
      <c r="O4678" s="21"/>
      <c r="P4678" s="14"/>
      <c r="Q4678" s="21"/>
      <c r="R4678" s="97"/>
      <c r="S4678" s="106"/>
      <c r="T4678" s="28"/>
      <c r="U4678" s="25"/>
      <c r="V4678" s="25"/>
      <c r="W4678" s="25"/>
    </row>
    <row r="4679" spans="15:23" x14ac:dyDescent="0.25">
      <c r="O4679" s="1"/>
      <c r="P4679" s="1"/>
      <c r="Q4679" s="1"/>
      <c r="R4679" s="98"/>
      <c r="S4679" s="108" t="s">
        <v>137</v>
      </c>
      <c r="T4679" s="26" t="s">
        <v>146</v>
      </c>
      <c r="U4679" s="14"/>
      <c r="V4679" s="26"/>
      <c r="W4679" s="26"/>
    </row>
    <row r="4680" spans="15:23" ht="13.8" x14ac:dyDescent="0.25">
      <c r="O4680" s="20" t="s">
        <v>136</v>
      </c>
      <c r="P4680" s="1"/>
      <c r="Q4680" s="1"/>
      <c r="R4680" s="96">
        <f>R4666*1.02</f>
        <v>228319.8594970672</v>
      </c>
      <c r="S4680" s="109" t="s">
        <v>144</v>
      </c>
      <c r="T4680" s="23" t="s">
        <v>147</v>
      </c>
      <c r="U4680" s="27"/>
      <c r="V4680" s="26"/>
      <c r="W4680" s="26"/>
    </row>
    <row r="4681" spans="15:23" x14ac:dyDescent="0.25">
      <c r="O4681" s="1"/>
      <c r="P4681" s="1"/>
      <c r="Q4681" s="1"/>
      <c r="R4681" s="98"/>
      <c r="S4681" s="107"/>
      <c r="T4681" s="1"/>
      <c r="U4681" s="39"/>
      <c r="V4681" s="14"/>
      <c r="W4681" s="14"/>
    </row>
    <row r="4682" spans="15:23" x14ac:dyDescent="0.25">
      <c r="O4682" s="8" t="s">
        <v>132</v>
      </c>
      <c r="P4682" s="8"/>
      <c r="Q4682" s="8"/>
      <c r="R4682" s="96">
        <f>P_1_minQ-(R4680^2*R_up)+dpup_minQ</f>
        <v>80.683786840419756</v>
      </c>
      <c r="S4682" s="106"/>
      <c r="T4682" s="22"/>
      <c r="U4682" s="27"/>
      <c r="V4682" s="14"/>
      <c r="W4682" s="14"/>
    </row>
    <row r="4683" spans="15:23" x14ac:dyDescent="0.25">
      <c r="O4683" s="8" t="s">
        <v>134</v>
      </c>
      <c r="P4683" s="1"/>
      <c r="Q4683" s="8"/>
      <c r="R4683" s="97">
        <f>P_2_minQ+(R4680^2*R_dn)-dpdn_minQ</f>
        <v>60</v>
      </c>
      <c r="S4683" s="106"/>
      <c r="T4683" s="22"/>
      <c r="U4683" s="28"/>
      <c r="V4683" s="14"/>
      <c r="W4683" s="14"/>
    </row>
    <row r="4684" spans="15:23" x14ac:dyDescent="0.25">
      <c r="O4684" s="8" t="s">
        <v>138</v>
      </c>
      <c r="P4684" s="1"/>
      <c r="Q4684" s="8"/>
      <c r="R4684" s="97">
        <f>R4682-R4683</f>
        <v>20.683786840419756</v>
      </c>
      <c r="S4684" s="106"/>
      <c r="T4684" s="22"/>
      <c r="U4684" s="28"/>
      <c r="V4684" s="25"/>
      <c r="W4684" s="25"/>
    </row>
    <row r="4685" spans="15:23" ht="14.4" x14ac:dyDescent="0.3">
      <c r="O4685" s="2" t="s">
        <v>140</v>
      </c>
      <c r="P4685" s="11"/>
      <c r="Q4685" s="2"/>
      <c r="R4685" s="96">
        <f>R4684/R4682</f>
        <v>0.25635617328335292</v>
      </c>
      <c r="S4685" s="106"/>
      <c r="T4685" s="22"/>
      <c r="U4685" s="27"/>
      <c r="V4685" s="28"/>
      <c r="W4685" s="28"/>
    </row>
    <row r="4686" spans="15:23" x14ac:dyDescent="0.25">
      <c r="O4686" s="2" t="s">
        <v>21</v>
      </c>
      <c r="P4686" s="8">
        <v>12</v>
      </c>
      <c r="Q4686" s="2"/>
      <c r="R4686" s="96">
        <f ca="1">1-R4685/(3*F_GAMMA*R$29)</f>
        <v>0.8664873550507638</v>
      </c>
      <c r="S4686" s="106"/>
      <c r="T4686" s="22"/>
      <c r="U4686" s="27"/>
      <c r="V4686" s="28"/>
      <c r="W4686" s="28"/>
    </row>
    <row r="4687" spans="15:23" x14ac:dyDescent="0.25">
      <c r="O4687" s="2" t="s">
        <v>57</v>
      </c>
      <c r="P4687" s="143">
        <v>7</v>
      </c>
      <c r="Q4687" s="2"/>
      <c r="R4687" s="96">
        <f ca="1">(R4680/(N_9*R$27*R4682*R4686))*SQRT(M*'Valve Sizing'!$W$6*'Valve Sizing'!$G$8/R4685)</f>
        <v>112.21717465493784</v>
      </c>
      <c r="S4687" s="107"/>
      <c r="T4687" s="22"/>
      <c r="U4687" s="27"/>
      <c r="V4687" s="28"/>
      <c r="W4687" s="28"/>
    </row>
    <row r="4688" spans="15:23" x14ac:dyDescent="0.25">
      <c r="O4688" s="2" t="s">
        <v>59</v>
      </c>
      <c r="P4688" s="143">
        <v>7</v>
      </c>
      <c r="Q4688" s="2"/>
      <c r="R4688" s="96">
        <f ca="1">(R4680/(N_9*R$27*R4682*0.667))*SQRT(M*'Valve Sizing'!$W$6*'Valve Sizing'!$G$8/R4689)</f>
        <v>92.260871484461674</v>
      </c>
      <c r="S4688" s="107"/>
      <c r="T4688" s="22"/>
      <c r="U4688" s="27"/>
      <c r="V4688" s="28"/>
      <c r="W4688" s="28"/>
    </row>
    <row r="4689" spans="15:23" ht="15.6" x14ac:dyDescent="0.35">
      <c r="O4689" s="2" t="s">
        <v>68</v>
      </c>
      <c r="P4689" s="143">
        <v>10</v>
      </c>
      <c r="Q4689" s="2"/>
      <c r="R4689" s="96">
        <f ca="1">F_GAMMA*R$29</f>
        <v>0.64002969751372984</v>
      </c>
      <c r="S4689" s="107"/>
      <c r="T4689" s="1"/>
      <c r="U4689" s="27"/>
      <c r="V4689" s="28"/>
      <c r="W4689" s="28"/>
    </row>
    <row r="4690" spans="15:23" x14ac:dyDescent="0.25">
      <c r="O4690" s="2" t="s">
        <v>145</v>
      </c>
      <c r="P4690" s="12"/>
      <c r="Q4690" s="2"/>
      <c r="R4690" s="96">
        <f ca="1">IF(R4685&lt;R4689,R4687,R4688)</f>
        <v>112.21717465493784</v>
      </c>
      <c r="S4690" s="116"/>
      <c r="T4690" s="1"/>
      <c r="U4690" s="27"/>
      <c r="V4690" s="28"/>
      <c r="W4690" s="28"/>
    </row>
    <row r="4691" spans="15:23" x14ac:dyDescent="0.25">
      <c r="O4691" s="13" t="s">
        <v>143</v>
      </c>
      <c r="P4691" s="1"/>
      <c r="Q4691" s="1"/>
      <c r="R4691" s="113"/>
      <c r="S4691" s="106">
        <f ca="1">IF(R4684&lt;=0,Q_max,ABS(R$23-R4690))</f>
        <v>107.48717465493783</v>
      </c>
      <c r="T4691" s="7">
        <f>R4680</f>
        <v>228319.8594970672</v>
      </c>
      <c r="U4691" s="14"/>
      <c r="V4691" s="29"/>
      <c r="W4691" s="27"/>
    </row>
    <row r="4692" spans="15:23" x14ac:dyDescent="0.25">
      <c r="O4692" s="21"/>
      <c r="P4692" s="14"/>
      <c r="Q4692" s="21"/>
      <c r="R4692" s="97"/>
      <c r="S4692" s="106"/>
      <c r="T4692" s="28"/>
      <c r="U4692" s="28"/>
      <c r="V4692" s="28"/>
      <c r="W4692" s="28"/>
    </row>
    <row r="4693" spans="15:23" x14ac:dyDescent="0.25">
      <c r="O4693" s="1"/>
      <c r="P4693" s="1"/>
      <c r="Q4693" s="1"/>
      <c r="R4693" s="98"/>
      <c r="S4693" s="108" t="s">
        <v>137</v>
      </c>
      <c r="T4693" s="26" t="s">
        <v>146</v>
      </c>
      <c r="U4693" s="14"/>
      <c r="V4693" s="26"/>
      <c r="W4693" s="26"/>
    </row>
    <row r="4694" spans="15:23" ht="13.8" x14ac:dyDescent="0.25">
      <c r="O4694" s="20" t="s">
        <v>136</v>
      </c>
      <c r="P4694" s="1"/>
      <c r="Q4694" s="1"/>
      <c r="R4694" s="96">
        <f>R4680*1.02</f>
        <v>232886.25668700854</v>
      </c>
      <c r="S4694" s="109" t="s">
        <v>144</v>
      </c>
      <c r="T4694" s="23" t="s">
        <v>147</v>
      </c>
      <c r="U4694" s="27"/>
      <c r="V4694" s="26"/>
      <c r="W4694" s="26"/>
    </row>
    <row r="4695" spans="15:23" x14ac:dyDescent="0.25">
      <c r="O4695" s="1"/>
      <c r="P4695" s="1"/>
      <c r="Q4695" s="1"/>
      <c r="R4695" s="98"/>
      <c r="S4695" s="107"/>
      <c r="T4695" s="1"/>
      <c r="U4695" s="39"/>
      <c r="V4695" s="14"/>
      <c r="W4695" s="14"/>
    </row>
    <row r="4696" spans="15:23" x14ac:dyDescent="0.25">
      <c r="O4696" s="8" t="s">
        <v>132</v>
      </c>
      <c r="P4696" s="8"/>
      <c r="Q4696" s="8"/>
      <c r="R4696" s="96">
        <f>P_1_minQ-(R4694^2*R_up)+dpup_minQ</f>
        <v>80.299936191350398</v>
      </c>
      <c r="S4696" s="106"/>
      <c r="T4696" s="22"/>
      <c r="U4696" s="27"/>
      <c r="V4696" s="14"/>
      <c r="W4696" s="14"/>
    </row>
    <row r="4697" spans="15:23" x14ac:dyDescent="0.25">
      <c r="O4697" s="8" t="s">
        <v>134</v>
      </c>
      <c r="P4697" s="1"/>
      <c r="Q4697" s="8"/>
      <c r="R4697" s="97">
        <f>P_2_minQ+(R4694^2*R_dn)-dpdn_minQ</f>
        <v>60</v>
      </c>
      <c r="S4697" s="106"/>
      <c r="T4697" s="22"/>
      <c r="U4697" s="28"/>
      <c r="V4697" s="14"/>
      <c r="W4697" s="14"/>
    </row>
    <row r="4698" spans="15:23" x14ac:dyDescent="0.25">
      <c r="O4698" s="8" t="s">
        <v>138</v>
      </c>
      <c r="P4698" s="1"/>
      <c r="Q4698" s="8"/>
      <c r="R4698" s="97">
        <f>R4696-R4697</f>
        <v>20.299936191350398</v>
      </c>
      <c r="S4698" s="106"/>
      <c r="T4698" s="22"/>
      <c r="U4698" s="28"/>
      <c r="V4698" s="25"/>
      <c r="W4698" s="25"/>
    </row>
    <row r="4699" spans="15:23" ht="14.4" x14ac:dyDescent="0.3">
      <c r="O4699" s="2" t="s">
        <v>140</v>
      </c>
      <c r="P4699" s="11"/>
      <c r="Q4699" s="2"/>
      <c r="R4699" s="96">
        <f>R4698/R4696</f>
        <v>0.25280139878289254</v>
      </c>
      <c r="S4699" s="106"/>
      <c r="T4699" s="22"/>
      <c r="U4699" s="27"/>
      <c r="V4699" s="28"/>
      <c r="W4699" s="28"/>
    </row>
    <row r="4700" spans="15:23" x14ac:dyDescent="0.25">
      <c r="O4700" s="2" t="s">
        <v>21</v>
      </c>
      <c r="P4700" s="8">
        <v>12</v>
      </c>
      <c r="Q4700" s="2"/>
      <c r="R4700" s="96">
        <f ca="1">1-R4699/(3*F_GAMMA*R$29)</f>
        <v>0.86833871419564379</v>
      </c>
      <c r="S4700" s="106"/>
      <c r="T4700" s="22"/>
      <c r="U4700" s="27"/>
      <c r="V4700" s="28"/>
      <c r="W4700" s="28"/>
    </row>
    <row r="4701" spans="15:23" x14ac:dyDescent="0.25">
      <c r="O4701" s="2" t="s">
        <v>57</v>
      </c>
      <c r="P4701" s="143">
        <v>7</v>
      </c>
      <c r="Q4701" s="2"/>
      <c r="R4701" s="96">
        <f ca="1">(R4694/(N_9*R$27*R4696*R4700))*SQRT(M*'Valve Sizing'!$W$6*'Valve Sizing'!$G$8/R4699)</f>
        <v>115.56752004677911</v>
      </c>
      <c r="S4701" s="107"/>
      <c r="T4701" s="22"/>
      <c r="U4701" s="27"/>
      <c r="V4701" s="28"/>
      <c r="W4701" s="28"/>
    </row>
    <row r="4702" spans="15:23" x14ac:dyDescent="0.25">
      <c r="O4702" s="2" t="s">
        <v>59</v>
      </c>
      <c r="P4702" s="143">
        <v>7</v>
      </c>
      <c r="Q4702" s="2"/>
      <c r="R4702" s="96">
        <f ca="1">(R4694/(N_9*R$27*R4696*0.667))*SQRT(M*'Valve Sizing'!$W$6*'Valve Sizing'!$G$8/R4703)</f>
        <v>94.555935888188316</v>
      </c>
      <c r="S4702" s="107"/>
      <c r="T4702" s="22"/>
      <c r="U4702" s="27"/>
      <c r="V4702" s="28"/>
      <c r="W4702" s="28"/>
    </row>
    <row r="4703" spans="15:23" ht="15.6" x14ac:dyDescent="0.35">
      <c r="O4703" s="2" t="s">
        <v>68</v>
      </c>
      <c r="P4703" s="143">
        <v>10</v>
      </c>
      <c r="Q4703" s="2"/>
      <c r="R4703" s="96">
        <f ca="1">F_GAMMA*R$29</f>
        <v>0.64002969751372984</v>
      </c>
      <c r="S4703" s="107"/>
      <c r="T4703" s="1"/>
      <c r="U4703" s="27"/>
      <c r="V4703" s="28"/>
      <c r="W4703" s="28"/>
    </row>
    <row r="4704" spans="15:23" x14ac:dyDescent="0.25">
      <c r="O4704" s="2" t="s">
        <v>145</v>
      </c>
      <c r="P4704" s="12"/>
      <c r="Q4704" s="2"/>
      <c r="R4704" s="96">
        <f ca="1">IF(R4699&lt;R4703,R4701,R4702)</f>
        <v>115.56752004677911</v>
      </c>
      <c r="S4704" s="116"/>
      <c r="T4704" s="1"/>
      <c r="U4704" s="27"/>
      <c r="V4704" s="28"/>
      <c r="W4704" s="28"/>
    </row>
    <row r="4705" spans="15:23" x14ac:dyDescent="0.25">
      <c r="O4705" s="13" t="s">
        <v>143</v>
      </c>
      <c r="P4705" s="1"/>
      <c r="Q4705" s="1"/>
      <c r="R4705" s="113"/>
      <c r="S4705" s="106">
        <f ca="1">IF(R4698&lt;=0,Q_max,ABS(R$23-R4704))</f>
        <v>110.8375200467791</v>
      </c>
      <c r="T4705" s="7">
        <f>R4694</f>
        <v>232886.25668700854</v>
      </c>
      <c r="U4705" s="14"/>
      <c r="V4705" s="29"/>
      <c r="W4705" s="27"/>
    </row>
    <row r="4706" spans="15:23" x14ac:dyDescent="0.25">
      <c r="O4706" s="21"/>
      <c r="P4706" s="14"/>
      <c r="Q4706" s="21"/>
      <c r="R4706" s="97"/>
      <c r="S4706" s="106"/>
      <c r="T4706" s="28"/>
      <c r="U4706" s="28"/>
      <c r="V4706" s="28"/>
      <c r="W4706" s="28"/>
    </row>
    <row r="4707" spans="15:23" x14ac:dyDescent="0.25">
      <c r="O4707" s="1"/>
      <c r="P4707" s="1"/>
      <c r="Q4707" s="1"/>
      <c r="R4707" s="98"/>
      <c r="S4707" s="108" t="s">
        <v>137</v>
      </c>
      <c r="T4707" s="26" t="s">
        <v>146</v>
      </c>
      <c r="U4707" s="14"/>
      <c r="V4707" s="26"/>
      <c r="W4707" s="26"/>
    </row>
    <row r="4708" spans="15:23" ht="13.8" x14ac:dyDescent="0.25">
      <c r="O4708" s="20" t="s">
        <v>136</v>
      </c>
      <c r="P4708" s="1"/>
      <c r="Q4708" s="1"/>
      <c r="R4708" s="96">
        <f>R4694*1.02</f>
        <v>237543.98182074871</v>
      </c>
      <c r="S4708" s="109" t="s">
        <v>144</v>
      </c>
      <c r="T4708" s="23" t="s">
        <v>147</v>
      </c>
      <c r="U4708" s="27"/>
      <c r="V4708" s="26"/>
      <c r="W4708" s="26"/>
    </row>
    <row r="4709" spans="15:23" x14ac:dyDescent="0.25">
      <c r="O4709" s="1"/>
      <c r="P4709" s="1"/>
      <c r="Q4709" s="1"/>
      <c r="R4709" s="98"/>
      <c r="S4709" s="107"/>
      <c r="T4709" s="1"/>
      <c r="U4709" s="39"/>
      <c r="V4709" s="14"/>
      <c r="W4709" s="14"/>
    </row>
    <row r="4710" spans="15:23" x14ac:dyDescent="0.25">
      <c r="O4710" s="8" t="s">
        <v>132</v>
      </c>
      <c r="P4710" s="8"/>
      <c r="Q4710" s="8"/>
      <c r="R4710" s="96">
        <f>P_1_minQ-(R4708^2*R_up)+dpup_minQ</f>
        <v>79.900577976058628</v>
      </c>
      <c r="S4710" s="106"/>
      <c r="T4710" s="22"/>
      <c r="U4710" s="27"/>
      <c r="V4710" s="14"/>
      <c r="W4710" s="14"/>
    </row>
    <row r="4711" spans="15:23" x14ac:dyDescent="0.25">
      <c r="O4711" s="8" t="s">
        <v>134</v>
      </c>
      <c r="P4711" s="1"/>
      <c r="Q4711" s="8"/>
      <c r="R4711" s="97">
        <f>P_2_minQ+(R4708^2*R_dn)-dpdn_minQ</f>
        <v>60</v>
      </c>
      <c r="S4711" s="106"/>
      <c r="T4711" s="22"/>
      <c r="U4711" s="28"/>
      <c r="V4711" s="14"/>
      <c r="W4711" s="14"/>
    </row>
    <row r="4712" spans="15:23" x14ac:dyDescent="0.25">
      <c r="O4712" s="8" t="s">
        <v>138</v>
      </c>
      <c r="P4712" s="1"/>
      <c r="Q4712" s="8"/>
      <c r="R4712" s="97">
        <f>R4710-R4711</f>
        <v>19.900577976058628</v>
      </c>
      <c r="S4712" s="106"/>
      <c r="T4712" s="22"/>
      <c r="U4712" s="28"/>
      <c r="V4712" s="25"/>
      <c r="W4712" s="25"/>
    </row>
    <row r="4713" spans="15:23" ht="14.4" x14ac:dyDescent="0.3">
      <c r="O4713" s="2" t="s">
        <v>140</v>
      </c>
      <c r="P4713" s="11"/>
      <c r="Q4713" s="2"/>
      <c r="R4713" s="96">
        <f>R4712/R4710</f>
        <v>0.24906675871633405</v>
      </c>
      <c r="S4713" s="106"/>
      <c r="T4713" s="22"/>
      <c r="U4713" s="27"/>
      <c r="V4713" s="28"/>
      <c r="W4713" s="28"/>
    </row>
    <row r="4714" spans="15:23" x14ac:dyDescent="0.25">
      <c r="O4714" s="2" t="s">
        <v>21</v>
      </c>
      <c r="P4714" s="8">
        <v>12</v>
      </c>
      <c r="Q4714" s="2"/>
      <c r="R4714" s="96">
        <f ca="1">1-R4713/(3*F_GAMMA*R$29)</f>
        <v>0.87028374897609551</v>
      </c>
      <c r="S4714" s="106"/>
      <c r="T4714" s="22"/>
      <c r="U4714" s="27"/>
      <c r="V4714" s="28"/>
      <c r="W4714" s="28"/>
    </row>
    <row r="4715" spans="15:23" x14ac:dyDescent="0.25">
      <c r="O4715" s="2" t="s">
        <v>57</v>
      </c>
      <c r="P4715" s="143">
        <v>7</v>
      </c>
      <c r="Q4715" s="2"/>
      <c r="R4715" s="96">
        <f ca="1">(R4708/(N_9*R$27*R4710*R4714))*SQRT(M*'Valve Sizing'!$W$6*'Valve Sizing'!$G$8/R4713)</f>
        <v>119.08618620404405</v>
      </c>
      <c r="S4715" s="107"/>
      <c r="T4715" s="22"/>
      <c r="U4715" s="27"/>
      <c r="V4715" s="28"/>
      <c r="W4715" s="28"/>
    </row>
    <row r="4716" spans="15:23" x14ac:dyDescent="0.25">
      <c r="O4716" s="2" t="s">
        <v>59</v>
      </c>
      <c r="P4716" s="143">
        <v>7</v>
      </c>
      <c r="Q4716" s="2"/>
      <c r="R4716" s="96">
        <f ca="1">(R4708/(N_9*R$27*R4710*0.667))*SQRT(M*'Valve Sizing'!$W$6*'Valve Sizing'!$G$8/R4717)</f>
        <v>96.929115243975517</v>
      </c>
      <c r="S4716" s="107"/>
      <c r="T4716" s="22"/>
      <c r="U4716" s="27"/>
      <c r="V4716" s="28"/>
      <c r="W4716" s="28"/>
    </row>
    <row r="4717" spans="15:23" ht="15.6" x14ac:dyDescent="0.35">
      <c r="O4717" s="2" t="s">
        <v>68</v>
      </c>
      <c r="P4717" s="143">
        <v>10</v>
      </c>
      <c r="Q4717" s="2"/>
      <c r="R4717" s="96">
        <f ca="1">F_GAMMA*R$29</f>
        <v>0.64002969751372984</v>
      </c>
      <c r="S4717" s="107"/>
      <c r="T4717" s="1"/>
      <c r="U4717" s="27"/>
      <c r="V4717" s="28"/>
      <c r="W4717" s="28"/>
    </row>
    <row r="4718" spans="15:23" x14ac:dyDescent="0.25">
      <c r="O4718" s="2" t="s">
        <v>145</v>
      </c>
      <c r="P4718" s="12"/>
      <c r="Q4718" s="2"/>
      <c r="R4718" s="96">
        <f ca="1">IF(R4713&lt;R4717,R4715,R4716)</f>
        <v>119.08618620404405</v>
      </c>
      <c r="S4718" s="116"/>
      <c r="T4718" s="1"/>
      <c r="U4718" s="27"/>
      <c r="V4718" s="28"/>
      <c r="W4718" s="28"/>
    </row>
    <row r="4719" spans="15:23" x14ac:dyDescent="0.25">
      <c r="O4719" s="13" t="s">
        <v>143</v>
      </c>
      <c r="P4719" s="1"/>
      <c r="Q4719" s="1"/>
      <c r="R4719" s="113"/>
      <c r="S4719" s="106">
        <f ca="1">IF(R4712&lt;=0,Q_max,ABS(R$23-R4718))</f>
        <v>114.35618620404405</v>
      </c>
      <c r="T4719" s="7">
        <f>R4708</f>
        <v>237543.98182074871</v>
      </c>
      <c r="U4719" s="14"/>
      <c r="V4719" s="29"/>
      <c r="W4719" s="27"/>
    </row>
    <row r="4720" spans="15:23" x14ac:dyDescent="0.25">
      <c r="O4720" s="21"/>
      <c r="P4720" s="14"/>
      <c r="Q4720" s="21"/>
      <c r="R4720" s="97"/>
      <c r="S4720" s="106"/>
      <c r="T4720" s="28"/>
      <c r="U4720" s="28"/>
      <c r="V4720" s="28"/>
      <c r="W4720" s="28"/>
    </row>
    <row r="4721" spans="15:23" x14ac:dyDescent="0.25">
      <c r="O4721" s="1"/>
      <c r="P4721" s="1"/>
      <c r="Q4721" s="1"/>
      <c r="R4721" s="98"/>
      <c r="S4721" s="108" t="s">
        <v>137</v>
      </c>
      <c r="T4721" s="26" t="s">
        <v>146</v>
      </c>
      <c r="U4721" s="14"/>
      <c r="V4721" s="26"/>
      <c r="W4721" s="26"/>
    </row>
    <row r="4722" spans="15:23" ht="13.8" x14ac:dyDescent="0.25">
      <c r="O4722" s="20" t="s">
        <v>136</v>
      </c>
      <c r="P4722" s="1"/>
      <c r="Q4722" s="1"/>
      <c r="R4722" s="96">
        <f>R4708*1.02</f>
        <v>242294.8614571637</v>
      </c>
      <c r="S4722" s="109" t="s">
        <v>144</v>
      </c>
      <c r="T4722" s="23" t="s">
        <v>147</v>
      </c>
      <c r="U4722" s="27"/>
      <c r="V4722" s="26"/>
      <c r="W4722" s="26"/>
    </row>
    <row r="4723" spans="15:23" x14ac:dyDescent="0.25">
      <c r="O4723" s="1"/>
      <c r="P4723" s="1"/>
      <c r="Q4723" s="1"/>
      <c r="R4723" s="98"/>
      <c r="S4723" s="107"/>
      <c r="T4723" s="1"/>
      <c r="U4723" s="39"/>
      <c r="V4723" s="14"/>
      <c r="W4723" s="14"/>
    </row>
    <row r="4724" spans="15:23" x14ac:dyDescent="0.25">
      <c r="O4724" s="8" t="s">
        <v>132</v>
      </c>
      <c r="P4724" s="8"/>
      <c r="Q4724" s="8"/>
      <c r="R4724" s="96">
        <f>P_1_minQ-(R4722^2*R_up)+dpup_minQ</f>
        <v>79.485085688869077</v>
      </c>
      <c r="S4724" s="106"/>
      <c r="T4724" s="22"/>
      <c r="U4724" s="27"/>
      <c r="V4724" s="14"/>
      <c r="W4724" s="14"/>
    </row>
    <row r="4725" spans="15:23" x14ac:dyDescent="0.25">
      <c r="O4725" s="8" t="s">
        <v>134</v>
      </c>
      <c r="P4725" s="1"/>
      <c r="Q4725" s="8"/>
      <c r="R4725" s="97">
        <f>P_2_minQ+(R4722^2*R_dn)-dpdn_minQ</f>
        <v>60</v>
      </c>
      <c r="S4725" s="106"/>
      <c r="T4725" s="22"/>
      <c r="U4725" s="28"/>
      <c r="V4725" s="14"/>
      <c r="W4725" s="14"/>
    </row>
    <row r="4726" spans="15:23" x14ac:dyDescent="0.25">
      <c r="O4726" s="8" t="s">
        <v>138</v>
      </c>
      <c r="P4726" s="1"/>
      <c r="Q4726" s="8"/>
      <c r="R4726" s="97">
        <f>R4724-R4725</f>
        <v>19.485085688869077</v>
      </c>
      <c r="S4726" s="106"/>
      <c r="T4726" s="22"/>
      <c r="U4726" s="28"/>
      <c r="V4726" s="25"/>
      <c r="W4726" s="25"/>
    </row>
    <row r="4727" spans="15:23" ht="14.4" x14ac:dyDescent="0.3">
      <c r="O4727" s="2" t="s">
        <v>140</v>
      </c>
      <c r="P4727" s="11"/>
      <c r="Q4727" s="2"/>
      <c r="R4727" s="96">
        <f>R4726/R4724</f>
        <v>0.24514140634055739</v>
      </c>
      <c r="S4727" s="106"/>
      <c r="T4727" s="22"/>
      <c r="U4727" s="27"/>
      <c r="V4727" s="28"/>
      <c r="W4727" s="28"/>
    </row>
    <row r="4728" spans="15:23" x14ac:dyDescent="0.25">
      <c r="O4728" s="2" t="s">
        <v>21</v>
      </c>
      <c r="P4728" s="8">
        <v>12</v>
      </c>
      <c r="Q4728" s="2"/>
      <c r="R4728" s="96">
        <f ca="1">1-R4727/(3*F_GAMMA*R$29)</f>
        <v>0.87232810847536302</v>
      </c>
      <c r="S4728" s="106"/>
      <c r="T4728" s="22"/>
      <c r="U4728" s="27"/>
      <c r="V4728" s="28"/>
      <c r="W4728" s="28"/>
    </row>
    <row r="4729" spans="15:23" x14ac:dyDescent="0.25">
      <c r="O4729" s="2" t="s">
        <v>57</v>
      </c>
      <c r="P4729" s="143">
        <v>7</v>
      </c>
      <c r="Q4729" s="2"/>
      <c r="R4729" s="96">
        <f ca="1">(R4722/(N_9*R$27*R4724*R4728))*SQRT(M*'Valve Sizing'!$W$6*'Valve Sizing'!$G$8/R4727)</f>
        <v>122.78813073909745</v>
      </c>
      <c r="S4729" s="107"/>
      <c r="T4729" s="22"/>
      <c r="U4729" s="27"/>
      <c r="V4729" s="28"/>
      <c r="W4729" s="28"/>
    </row>
    <row r="4730" spans="15:23" x14ac:dyDescent="0.25">
      <c r="O4730" s="2" t="s">
        <v>59</v>
      </c>
      <c r="P4730" s="143">
        <v>7</v>
      </c>
      <c r="Q4730" s="2"/>
      <c r="R4730" s="96">
        <f ca="1">(R4722/(N_9*R$27*R4724*0.667))*SQRT(M*'Valve Sizing'!$W$6*'Valve Sizing'!$G$8/R4731)</f>
        <v>99.384508538334671</v>
      </c>
      <c r="S4730" s="107"/>
      <c r="T4730" s="22"/>
      <c r="U4730" s="27"/>
      <c r="V4730" s="28"/>
      <c r="W4730" s="28"/>
    </row>
    <row r="4731" spans="15:23" ht="15.6" x14ac:dyDescent="0.35">
      <c r="O4731" s="2" t="s">
        <v>68</v>
      </c>
      <c r="P4731" s="143">
        <v>10</v>
      </c>
      <c r="Q4731" s="2"/>
      <c r="R4731" s="96">
        <f ca="1">F_GAMMA*R$29</f>
        <v>0.64002969751372984</v>
      </c>
      <c r="S4731" s="107"/>
      <c r="T4731" s="1"/>
      <c r="U4731" s="27"/>
      <c r="V4731" s="28"/>
      <c r="W4731" s="28"/>
    </row>
    <row r="4732" spans="15:23" x14ac:dyDescent="0.25">
      <c r="O4732" s="2" t="s">
        <v>145</v>
      </c>
      <c r="P4732" s="12"/>
      <c r="Q4732" s="2"/>
      <c r="R4732" s="96">
        <f ca="1">IF(R4727&lt;R4731,R4729,R4730)</f>
        <v>122.78813073909745</v>
      </c>
      <c r="S4732" s="116"/>
      <c r="T4732" s="1"/>
      <c r="U4732" s="27"/>
      <c r="V4732" s="28"/>
      <c r="W4732" s="28"/>
    </row>
    <row r="4733" spans="15:23" x14ac:dyDescent="0.25">
      <c r="O4733" s="13" t="s">
        <v>143</v>
      </c>
      <c r="P4733" s="1"/>
      <c r="Q4733" s="1"/>
      <c r="R4733" s="113"/>
      <c r="S4733" s="106">
        <f ca="1">IF(R4726&lt;=0,Q_max,ABS(R$23-R4732))</f>
        <v>118.05813073909745</v>
      </c>
      <c r="T4733" s="7">
        <f>R4722</f>
        <v>242294.8614571637</v>
      </c>
      <c r="U4733" s="14"/>
      <c r="V4733" s="29"/>
      <c r="W4733" s="27"/>
    </row>
    <row r="4734" spans="15:23" ht="13.8" x14ac:dyDescent="0.25">
      <c r="O4734" s="21"/>
      <c r="P4734" s="21"/>
      <c r="Q4734" s="21"/>
      <c r="R4734" s="114"/>
      <c r="S4734" s="117"/>
      <c r="T4734" s="25"/>
      <c r="U4734" s="28"/>
      <c r="V4734" s="28"/>
      <c r="W4734" s="28"/>
    </row>
    <row r="4735" spans="15:23" x14ac:dyDescent="0.25">
      <c r="O4735" s="1"/>
      <c r="P4735" s="1"/>
      <c r="Q4735" s="1"/>
      <c r="R4735" s="98"/>
      <c r="S4735" s="108" t="s">
        <v>137</v>
      </c>
      <c r="T4735" s="26" t="s">
        <v>146</v>
      </c>
      <c r="U4735" s="14"/>
      <c r="V4735" s="26"/>
      <c r="W4735" s="26"/>
    </row>
    <row r="4736" spans="15:23" ht="13.8" x14ac:dyDescent="0.25">
      <c r="O4736" s="20" t="s">
        <v>136</v>
      </c>
      <c r="P4736" s="1"/>
      <c r="Q4736" s="1"/>
      <c r="R4736" s="96">
        <f>R4722*1.02</f>
        <v>247140.75868630697</v>
      </c>
      <c r="S4736" s="109" t="s">
        <v>144</v>
      </c>
      <c r="T4736" s="23" t="s">
        <v>147</v>
      </c>
      <c r="U4736" s="27"/>
      <c r="V4736" s="26"/>
      <c r="W4736" s="26"/>
    </row>
    <row r="4737" spans="15:23" x14ac:dyDescent="0.25">
      <c r="O4737" s="1"/>
      <c r="P4737" s="1"/>
      <c r="Q4737" s="1"/>
      <c r="R4737" s="98"/>
      <c r="S4737" s="107"/>
      <c r="T4737" s="1"/>
      <c r="U4737" s="39"/>
      <c r="V4737" s="14"/>
      <c r="W4737" s="14"/>
    </row>
    <row r="4738" spans="15:23" x14ac:dyDescent="0.25">
      <c r="O4738" s="8" t="s">
        <v>132</v>
      </c>
      <c r="P4738" s="8"/>
      <c r="Q4738" s="8"/>
      <c r="R4738" s="96">
        <f>P_1_minQ-(R4736^2*R_up)+dpup_minQ</f>
        <v>79.05280751327706</v>
      </c>
      <c r="S4738" s="106"/>
      <c r="T4738" s="22"/>
      <c r="U4738" s="27"/>
      <c r="V4738" s="14"/>
      <c r="W4738" s="14"/>
    </row>
    <row r="4739" spans="15:23" x14ac:dyDescent="0.25">
      <c r="O4739" s="8" t="s">
        <v>134</v>
      </c>
      <c r="P4739" s="1"/>
      <c r="Q4739" s="8"/>
      <c r="R4739" s="97">
        <f>P_2_minQ+(R4736^2*R_dn)-dpdn_minQ</f>
        <v>60</v>
      </c>
      <c r="S4739" s="106"/>
      <c r="T4739" s="22"/>
      <c r="U4739" s="28"/>
      <c r="V4739" s="14"/>
      <c r="W4739" s="14"/>
    </row>
    <row r="4740" spans="15:23" x14ac:dyDescent="0.25">
      <c r="O4740" s="8" t="s">
        <v>138</v>
      </c>
      <c r="P4740" s="1"/>
      <c r="Q4740" s="8"/>
      <c r="R4740" s="97">
        <f>R4738-R4739</f>
        <v>19.05280751327706</v>
      </c>
      <c r="S4740" s="106"/>
      <c r="T4740" s="22"/>
      <c r="U4740" s="28"/>
      <c r="V4740" s="25"/>
      <c r="W4740" s="25"/>
    </row>
    <row r="4741" spans="15:23" ht="14.4" x14ac:dyDescent="0.3">
      <c r="O4741" s="2" t="s">
        <v>140</v>
      </c>
      <c r="P4741" s="11"/>
      <c r="Q4741" s="2"/>
      <c r="R4741" s="96">
        <f>R4740/R4738</f>
        <v>0.24101367317127992</v>
      </c>
      <c r="S4741" s="106"/>
      <c r="T4741" s="22"/>
      <c r="U4741" s="27"/>
      <c r="V4741" s="28"/>
      <c r="W4741" s="28"/>
    </row>
    <row r="4742" spans="15:23" x14ac:dyDescent="0.25">
      <c r="O4742" s="2" t="s">
        <v>21</v>
      </c>
      <c r="P4742" s="8">
        <v>12</v>
      </c>
      <c r="Q4742" s="2"/>
      <c r="R4742" s="96">
        <f ca="1">1-R4741/(3*F_GAMMA*R$29)</f>
        <v>0.8744778697470208</v>
      </c>
      <c r="S4742" s="106"/>
      <c r="T4742" s="22"/>
      <c r="U4742" s="27"/>
      <c r="V4742" s="28"/>
      <c r="W4742" s="28"/>
    </row>
    <row r="4743" spans="15:23" x14ac:dyDescent="0.25">
      <c r="O4743" s="2" t="s">
        <v>57</v>
      </c>
      <c r="P4743" s="143">
        <v>7</v>
      </c>
      <c r="Q4743" s="2"/>
      <c r="R4743" s="96">
        <f ca="1">(R4736/(N_9*R$27*R4738*R4742))*SQRT(M*'Valve Sizing'!$W$6*'Valve Sizing'!$G$8/R4741)</f>
        <v>126.6903241644693</v>
      </c>
      <c r="S4743" s="107"/>
      <c r="T4743" s="22"/>
      <c r="U4743" s="27"/>
      <c r="V4743" s="28"/>
      <c r="W4743" s="28"/>
    </row>
    <row r="4744" spans="15:23" x14ac:dyDescent="0.25">
      <c r="O4744" s="2" t="s">
        <v>59</v>
      </c>
      <c r="P4744" s="143">
        <v>7</v>
      </c>
      <c r="Q4744" s="2"/>
      <c r="R4744" s="96">
        <f ca="1">(R4736/(N_9*R$27*R4738*0.667))*SQRT(M*'Valve Sizing'!$W$6*'Valve Sizing'!$G$8/R4745)</f>
        <v>101.92652423519181</v>
      </c>
      <c r="S4744" s="107"/>
      <c r="T4744" s="22"/>
      <c r="U4744" s="27"/>
      <c r="V4744" s="28"/>
      <c r="W4744" s="28"/>
    </row>
    <row r="4745" spans="15:23" ht="15.6" x14ac:dyDescent="0.35">
      <c r="O4745" s="2" t="s">
        <v>68</v>
      </c>
      <c r="P4745" s="143">
        <v>10</v>
      </c>
      <c r="Q4745" s="2"/>
      <c r="R4745" s="96">
        <f ca="1">F_GAMMA*R$29</f>
        <v>0.64002969751372984</v>
      </c>
      <c r="S4745" s="107"/>
      <c r="T4745" s="1"/>
      <c r="U4745" s="27"/>
      <c r="V4745" s="28"/>
      <c r="W4745" s="28"/>
    </row>
    <row r="4746" spans="15:23" x14ac:dyDescent="0.25">
      <c r="O4746" s="2" t="s">
        <v>145</v>
      </c>
      <c r="P4746" s="12"/>
      <c r="Q4746" s="2"/>
      <c r="R4746" s="96">
        <f ca="1">IF(R4741&lt;R4745,R4743,R4744)</f>
        <v>126.6903241644693</v>
      </c>
      <c r="S4746" s="116"/>
      <c r="T4746" s="1"/>
      <c r="U4746" s="27"/>
      <c r="V4746" s="28"/>
      <c r="W4746" s="28"/>
    </row>
    <row r="4747" spans="15:23" x14ac:dyDescent="0.25">
      <c r="O4747" s="13" t="s">
        <v>143</v>
      </c>
      <c r="P4747" s="1"/>
      <c r="Q4747" s="1"/>
      <c r="R4747" s="113"/>
      <c r="S4747" s="106">
        <f ca="1">IF(R4740&lt;=0,Q_max,ABS(R$23-R4746))</f>
        <v>121.9603241644693</v>
      </c>
      <c r="T4747" s="7">
        <f>R4736</f>
        <v>247140.75868630697</v>
      </c>
      <c r="U4747" s="14"/>
      <c r="V4747" s="29"/>
      <c r="W4747" s="27"/>
    </row>
    <row r="4748" spans="15:23" x14ac:dyDescent="0.25">
      <c r="O4748" s="21"/>
      <c r="P4748" s="14"/>
      <c r="Q4748" s="21"/>
      <c r="R4748" s="97"/>
      <c r="S4748" s="106"/>
      <c r="T4748" s="28"/>
      <c r="U4748" s="28"/>
      <c r="V4748" s="28"/>
      <c r="W4748" s="28"/>
    </row>
    <row r="4749" spans="15:23" x14ac:dyDescent="0.25">
      <c r="O4749" s="1"/>
      <c r="P4749" s="1"/>
      <c r="Q4749" s="1"/>
      <c r="R4749" s="98"/>
      <c r="S4749" s="108" t="s">
        <v>137</v>
      </c>
      <c r="T4749" s="26" t="s">
        <v>146</v>
      </c>
      <c r="U4749" s="14"/>
      <c r="V4749" s="26"/>
      <c r="W4749" s="26"/>
    </row>
    <row r="4750" spans="15:23" ht="13.8" x14ac:dyDescent="0.25">
      <c r="O4750" s="20" t="s">
        <v>136</v>
      </c>
      <c r="P4750" s="1"/>
      <c r="Q4750" s="1"/>
      <c r="R4750" s="96">
        <f>R4736*1.02</f>
        <v>252083.57386003312</v>
      </c>
      <c r="S4750" s="109" t="s">
        <v>144</v>
      </c>
      <c r="T4750" s="23" t="s">
        <v>147</v>
      </c>
      <c r="U4750" s="27"/>
      <c r="V4750" s="26"/>
      <c r="W4750" s="26"/>
    </row>
    <row r="4751" spans="15:23" x14ac:dyDescent="0.25">
      <c r="O4751" s="1"/>
      <c r="P4751" s="1"/>
      <c r="Q4751" s="1"/>
      <c r="R4751" s="98"/>
      <c r="S4751" s="107"/>
      <c r="T4751" s="1"/>
      <c r="U4751" s="39"/>
      <c r="V4751" s="14"/>
      <c r="W4751" s="14"/>
    </row>
    <row r="4752" spans="15:23" x14ac:dyDescent="0.25">
      <c r="O4752" s="8" t="s">
        <v>132</v>
      </c>
      <c r="P4752" s="8"/>
      <c r="Q4752" s="8"/>
      <c r="R4752" s="96">
        <f>P_1_minQ-(R4750^2*R_up)+dpup_minQ</f>
        <v>78.603065299391119</v>
      </c>
      <c r="S4752" s="106"/>
      <c r="T4752" s="22"/>
      <c r="U4752" s="27"/>
      <c r="V4752" s="14"/>
      <c r="W4752" s="14"/>
    </row>
    <row r="4753" spans="15:23" x14ac:dyDescent="0.25">
      <c r="O4753" s="8" t="s">
        <v>134</v>
      </c>
      <c r="P4753" s="1"/>
      <c r="Q4753" s="8"/>
      <c r="R4753" s="97">
        <f>P_2_minQ+(R4750^2*R_dn)-dpdn_minQ</f>
        <v>60</v>
      </c>
      <c r="S4753" s="106"/>
      <c r="T4753" s="22"/>
      <c r="U4753" s="28"/>
      <c r="V4753" s="14"/>
      <c r="W4753" s="14"/>
    </row>
    <row r="4754" spans="15:23" x14ac:dyDescent="0.25">
      <c r="O4754" s="8" t="s">
        <v>138</v>
      </c>
      <c r="P4754" s="1"/>
      <c r="Q4754" s="8"/>
      <c r="R4754" s="97">
        <f>R4752-R4753</f>
        <v>18.603065299391119</v>
      </c>
      <c r="S4754" s="106"/>
      <c r="T4754" s="22"/>
      <c r="U4754" s="28"/>
      <c r="V4754" s="25"/>
      <c r="W4754" s="25"/>
    </row>
    <row r="4755" spans="15:23" ht="14.4" x14ac:dyDescent="0.3">
      <c r="O4755" s="2" t="s">
        <v>140</v>
      </c>
      <c r="P4755" s="11"/>
      <c r="Q4755" s="2"/>
      <c r="R4755" s="96">
        <f>R4754/R4752</f>
        <v>0.23667099022835722</v>
      </c>
      <c r="S4755" s="106"/>
      <c r="T4755" s="22"/>
      <c r="U4755" s="27"/>
      <c r="V4755" s="28"/>
      <c r="W4755" s="28"/>
    </row>
    <row r="4756" spans="15:23" x14ac:dyDescent="0.25">
      <c r="O4756" s="2" t="s">
        <v>21</v>
      </c>
      <c r="P4756" s="8">
        <v>12</v>
      </c>
      <c r="Q4756" s="2"/>
      <c r="R4756" s="96">
        <f ca="1">1-R4755/(3*F_GAMMA*R$29)</f>
        <v>0.87673957883114206</v>
      </c>
      <c r="S4756" s="106"/>
      <c r="T4756" s="22"/>
      <c r="U4756" s="27"/>
      <c r="V4756" s="28"/>
      <c r="W4756" s="28"/>
    </row>
    <row r="4757" spans="15:23" x14ac:dyDescent="0.25">
      <c r="O4757" s="2" t="s">
        <v>57</v>
      </c>
      <c r="P4757" s="143">
        <v>7</v>
      </c>
      <c r="Q4757" s="2"/>
      <c r="R4757" s="96">
        <f ca="1">(R4750/(N_9*R$27*R4752*R4756))*SQRT(M*'Valve Sizing'!$W$6*'Valve Sizing'!$G$8/R4755)</f>
        <v>130.81211652279606</v>
      </c>
      <c r="S4757" s="107"/>
      <c r="T4757" s="22"/>
      <c r="U4757" s="27"/>
      <c r="V4757" s="28"/>
      <c r="W4757" s="28"/>
    </row>
    <row r="4758" spans="15:23" x14ac:dyDescent="0.25">
      <c r="O4758" s="2" t="s">
        <v>59</v>
      </c>
      <c r="P4758" s="143">
        <v>7</v>
      </c>
      <c r="Q4758" s="2"/>
      <c r="R4758" s="96">
        <f ca="1">(R4750/(N_9*R$27*R4752*0.667))*SQRT(M*'Valve Sizing'!$W$6*'Valve Sizing'!$G$8/R4759)</f>
        <v>104.5599103237885</v>
      </c>
      <c r="S4758" s="107"/>
      <c r="T4758" s="22"/>
      <c r="U4758" s="27"/>
      <c r="V4758" s="28"/>
      <c r="W4758" s="28"/>
    </row>
    <row r="4759" spans="15:23" ht="15.6" x14ac:dyDescent="0.35">
      <c r="O4759" s="2" t="s">
        <v>68</v>
      </c>
      <c r="P4759" s="143">
        <v>10</v>
      </c>
      <c r="Q4759" s="2"/>
      <c r="R4759" s="96">
        <f ca="1">F_GAMMA*R$29</f>
        <v>0.64002969751372984</v>
      </c>
      <c r="S4759" s="107"/>
      <c r="T4759" s="1"/>
      <c r="U4759" s="27"/>
      <c r="V4759" s="28"/>
      <c r="W4759" s="28"/>
    </row>
    <row r="4760" spans="15:23" x14ac:dyDescent="0.25">
      <c r="O4760" s="2" t="s">
        <v>145</v>
      </c>
      <c r="P4760" s="12"/>
      <c r="Q4760" s="2"/>
      <c r="R4760" s="96">
        <f ca="1">IF(R4755&lt;R4759,R4757,R4758)</f>
        <v>130.81211652279606</v>
      </c>
      <c r="S4760" s="116"/>
      <c r="T4760" s="1"/>
      <c r="U4760" s="27"/>
      <c r="V4760" s="28"/>
      <c r="W4760" s="28"/>
    </row>
    <row r="4761" spans="15:23" x14ac:dyDescent="0.25">
      <c r="O4761" s="13" t="s">
        <v>143</v>
      </c>
      <c r="P4761" s="1"/>
      <c r="Q4761" s="1"/>
      <c r="R4761" s="113"/>
      <c r="S4761" s="106">
        <f ca="1">IF(R4754&lt;=0,Q_max,ABS(R$23-R4760))</f>
        <v>126.08211652279606</v>
      </c>
      <c r="T4761" s="7">
        <f>R4750</f>
        <v>252083.57386003312</v>
      </c>
      <c r="U4761" s="14"/>
      <c r="V4761" s="29"/>
      <c r="W4761" s="27"/>
    </row>
    <row r="4762" spans="15:23" x14ac:dyDescent="0.25">
      <c r="O4762" s="21"/>
      <c r="P4762" s="14"/>
      <c r="Q4762" s="21"/>
      <c r="R4762" s="97"/>
      <c r="S4762" s="106"/>
      <c r="T4762" s="28"/>
      <c r="U4762" s="25"/>
      <c r="V4762" s="25"/>
      <c r="W4762" s="25"/>
    </row>
    <row r="4763" spans="15:23" x14ac:dyDescent="0.25">
      <c r="O4763" s="1"/>
      <c r="P4763" s="1"/>
      <c r="Q4763" s="1"/>
      <c r="R4763" s="98"/>
      <c r="S4763" s="108" t="s">
        <v>137</v>
      </c>
      <c r="T4763" s="26" t="s">
        <v>146</v>
      </c>
      <c r="U4763" s="14"/>
      <c r="V4763" s="26"/>
      <c r="W4763" s="26"/>
    </row>
    <row r="4764" spans="15:23" ht="13.8" x14ac:dyDescent="0.25">
      <c r="O4764" s="20" t="s">
        <v>136</v>
      </c>
      <c r="P4764" s="1"/>
      <c r="Q4764" s="1"/>
      <c r="R4764" s="96">
        <f>R4750*1.02</f>
        <v>257125.24533723379</v>
      </c>
      <c r="S4764" s="109" t="s">
        <v>144</v>
      </c>
      <c r="T4764" s="23" t="s">
        <v>147</v>
      </c>
      <c r="U4764" s="27"/>
      <c r="V4764" s="26"/>
      <c r="W4764" s="26"/>
    </row>
    <row r="4765" spans="15:23" x14ac:dyDescent="0.25">
      <c r="O4765" s="1"/>
      <c r="P4765" s="1"/>
      <c r="Q4765" s="1"/>
      <c r="R4765" s="98"/>
      <c r="S4765" s="107"/>
      <c r="T4765" s="1"/>
      <c r="U4765" s="39"/>
      <c r="V4765" s="14"/>
      <c r="W4765" s="14"/>
    </row>
    <row r="4766" spans="15:23" x14ac:dyDescent="0.25">
      <c r="O4766" s="8" t="s">
        <v>132</v>
      </c>
      <c r="P4766" s="8"/>
      <c r="Q4766" s="8"/>
      <c r="R4766" s="96">
        <f>P_1_minQ-(R4764^2*R_up)+dpup_minQ</f>
        <v>78.135153500064206</v>
      </c>
      <c r="S4766" s="106"/>
      <c r="T4766" s="22"/>
      <c r="U4766" s="27"/>
      <c r="V4766" s="14"/>
      <c r="W4766" s="14"/>
    </row>
    <row r="4767" spans="15:23" x14ac:dyDescent="0.25">
      <c r="O4767" s="8" t="s">
        <v>134</v>
      </c>
      <c r="P4767" s="1"/>
      <c r="Q4767" s="8"/>
      <c r="R4767" s="97">
        <f>P_2_minQ+(R4764^2*R_dn)-dpdn_minQ</f>
        <v>60</v>
      </c>
      <c r="S4767" s="106"/>
      <c r="T4767" s="22"/>
      <c r="U4767" s="28"/>
      <c r="V4767" s="14"/>
      <c r="W4767" s="14"/>
    </row>
    <row r="4768" spans="15:23" x14ac:dyDescent="0.25">
      <c r="O4768" s="8" t="s">
        <v>138</v>
      </c>
      <c r="P4768" s="1"/>
      <c r="Q4768" s="8"/>
      <c r="R4768" s="97">
        <f>R4766-R4767</f>
        <v>18.135153500064206</v>
      </c>
      <c r="S4768" s="106"/>
      <c r="T4768" s="22"/>
      <c r="U4768" s="28"/>
      <c r="V4768" s="25"/>
      <c r="W4768" s="25"/>
    </row>
    <row r="4769" spans="15:23" ht="14.4" x14ac:dyDescent="0.3">
      <c r="O4769" s="2" t="s">
        <v>140</v>
      </c>
      <c r="P4769" s="11"/>
      <c r="Q4769" s="2"/>
      <c r="R4769" s="96">
        <f>R4768/R4766</f>
        <v>0.23209979999654451</v>
      </c>
      <c r="S4769" s="106"/>
      <c r="T4769" s="22"/>
      <c r="U4769" s="27"/>
      <c r="V4769" s="28"/>
      <c r="W4769" s="28"/>
    </row>
    <row r="4770" spans="15:23" x14ac:dyDescent="0.25">
      <c r="O4770" s="2" t="s">
        <v>21</v>
      </c>
      <c r="P4770" s="8">
        <v>12</v>
      </c>
      <c r="Q4770" s="2"/>
      <c r="R4770" s="96">
        <f ca="1">1-R4769/(3*F_GAMMA*R$29)</f>
        <v>0.87912029660594226</v>
      </c>
      <c r="S4770" s="106"/>
      <c r="T4770" s="22"/>
      <c r="U4770" s="27"/>
      <c r="V4770" s="28"/>
      <c r="W4770" s="28"/>
    </row>
    <row r="4771" spans="15:23" x14ac:dyDescent="0.25">
      <c r="O4771" s="2" t="s">
        <v>57</v>
      </c>
      <c r="P4771" s="143">
        <v>7</v>
      </c>
      <c r="Q4771" s="2"/>
      <c r="R4771" s="96">
        <f ca="1">(R4764/(N_9*R$27*R4766*R4770))*SQRT(M*'Valve Sizing'!$W$6*'Valve Sizing'!$G$8/R4769)</f>
        <v>135.17568954260054</v>
      </c>
      <c r="S4771" s="107"/>
      <c r="T4771" s="22"/>
      <c r="U4771" s="27"/>
      <c r="V4771" s="28"/>
      <c r="W4771" s="28"/>
    </row>
    <row r="4772" spans="15:23" x14ac:dyDescent="0.25">
      <c r="O4772" s="2" t="s">
        <v>59</v>
      </c>
      <c r="P4772" s="143">
        <v>7</v>
      </c>
      <c r="Q4772" s="2"/>
      <c r="R4772" s="96">
        <f ca="1">(R4764/(N_9*R$27*R4766*0.667))*SQRT(M*'Valve Sizing'!$W$6*'Valve Sizing'!$G$8/R4773)</f>
        <v>107.28978791921004</v>
      </c>
      <c r="S4772" s="107"/>
      <c r="T4772" s="22"/>
      <c r="U4772" s="96"/>
      <c r="V4772" s="28"/>
      <c r="W4772" s="28"/>
    </row>
    <row r="4773" spans="15:23" ht="15.6" x14ac:dyDescent="0.35">
      <c r="O4773" s="2" t="s">
        <v>68</v>
      </c>
      <c r="P4773" s="143">
        <v>10</v>
      </c>
      <c r="Q4773" s="2"/>
      <c r="R4773" s="96">
        <f ca="1">F_GAMMA*R$29</f>
        <v>0.64002969751372984</v>
      </c>
      <c r="S4773" s="107"/>
      <c r="T4773" s="1"/>
      <c r="U4773" s="96"/>
      <c r="V4773" s="28"/>
      <c r="W4773" s="28"/>
    </row>
    <row r="4774" spans="15:23" x14ac:dyDescent="0.25">
      <c r="O4774" s="2" t="s">
        <v>145</v>
      </c>
      <c r="P4774" s="12"/>
      <c r="Q4774" s="2"/>
      <c r="R4774" s="96">
        <f ca="1">IF(R4769&lt;R4773,R4771,R4772)</f>
        <v>135.17568954260054</v>
      </c>
      <c r="S4774" s="116"/>
      <c r="T4774" s="1"/>
      <c r="U4774" s="96"/>
      <c r="V4774" s="28"/>
      <c r="W4774" s="28"/>
    </row>
    <row r="4775" spans="15:23" x14ac:dyDescent="0.25">
      <c r="O4775" s="13" t="s">
        <v>143</v>
      </c>
      <c r="P4775" s="1"/>
      <c r="Q4775" s="1"/>
      <c r="R4775" s="113"/>
      <c r="S4775" s="106">
        <f ca="1">IF(R4768&lt;=0,Q_max,ABS(R$23-R4774))</f>
        <v>130.44568954260055</v>
      </c>
      <c r="T4775" s="7">
        <f>R4764</f>
        <v>257125.24533723379</v>
      </c>
      <c r="U4775" s="98"/>
      <c r="V4775" s="29"/>
      <c r="W4775" s="27"/>
    </row>
    <row r="4776" spans="15:23" x14ac:dyDescent="0.25">
      <c r="O4776" s="21"/>
      <c r="P4776" s="14"/>
      <c r="Q4776" s="21"/>
      <c r="R4776" s="97"/>
      <c r="S4776" s="106"/>
      <c r="T4776" s="28"/>
      <c r="U4776" s="97"/>
      <c r="V4776" s="28"/>
      <c r="W4776" s="28"/>
    </row>
    <row r="4777" spans="15:23" x14ac:dyDescent="0.25">
      <c r="O4777" s="1"/>
      <c r="P4777" s="1"/>
      <c r="Q4777" s="1"/>
      <c r="R4777" s="98"/>
      <c r="S4777" s="108" t="s">
        <v>137</v>
      </c>
      <c r="T4777" s="26" t="s">
        <v>146</v>
      </c>
      <c r="U4777" s="98"/>
      <c r="V4777" s="26"/>
      <c r="W4777" s="26"/>
    </row>
    <row r="4778" spans="15:23" ht="13.8" x14ac:dyDescent="0.25">
      <c r="O4778" s="20" t="s">
        <v>136</v>
      </c>
      <c r="P4778" s="1"/>
      <c r="Q4778" s="1"/>
      <c r="R4778" s="96">
        <f>R4764*1.02</f>
        <v>262267.75024397846</v>
      </c>
      <c r="S4778" s="109" t="s">
        <v>144</v>
      </c>
      <c r="T4778" s="23" t="s">
        <v>147</v>
      </c>
      <c r="U4778" s="96"/>
      <c r="V4778" s="26"/>
      <c r="W4778" s="26"/>
    </row>
    <row r="4779" spans="15:23" x14ac:dyDescent="0.25">
      <c r="O4779" s="1"/>
      <c r="P4779" s="1"/>
      <c r="Q4779" s="1"/>
      <c r="R4779" s="98"/>
      <c r="S4779" s="107"/>
      <c r="T4779" s="1"/>
      <c r="U4779" s="47"/>
      <c r="V4779" s="14"/>
      <c r="W4779" s="14"/>
    </row>
    <row r="4780" spans="15:23" x14ac:dyDescent="0.25">
      <c r="O4780" s="8" t="s">
        <v>132</v>
      </c>
      <c r="P4780" s="8"/>
      <c r="Q4780" s="8"/>
      <c r="R4780" s="96">
        <f>P_1_minQ-(R4778^2*R_up)+dpup_minQ</f>
        <v>77.648338064044481</v>
      </c>
      <c r="S4780" s="106"/>
      <c r="T4780" s="22"/>
      <c r="U4780" s="96"/>
      <c r="V4780" s="14"/>
      <c r="W4780" s="14"/>
    </row>
    <row r="4781" spans="15:23" x14ac:dyDescent="0.25">
      <c r="O4781" s="8" t="s">
        <v>134</v>
      </c>
      <c r="P4781" s="1"/>
      <c r="Q4781" s="8"/>
      <c r="R4781" s="97">
        <f>P_2_minQ+(R4778^2*R_dn)-dpdn_minQ</f>
        <v>60</v>
      </c>
      <c r="S4781" s="106"/>
      <c r="T4781" s="22"/>
      <c r="U4781" s="97"/>
      <c r="V4781" s="14"/>
      <c r="W4781" s="14"/>
    </row>
    <row r="4782" spans="15:23" x14ac:dyDescent="0.25">
      <c r="O4782" s="8" t="s">
        <v>138</v>
      </c>
      <c r="P4782" s="1"/>
      <c r="Q4782" s="8"/>
      <c r="R4782" s="97">
        <f>R4780-R4781</f>
        <v>17.648338064044481</v>
      </c>
      <c r="S4782" s="106"/>
      <c r="T4782" s="22"/>
      <c r="U4782" s="97"/>
      <c r="V4782" s="25"/>
      <c r="W4782" s="25"/>
    </row>
    <row r="4783" spans="15:23" ht="14.4" x14ac:dyDescent="0.3">
      <c r="O4783" s="2" t="s">
        <v>140</v>
      </c>
      <c r="P4783" s="11"/>
      <c r="Q4783" s="2"/>
      <c r="R4783" s="96">
        <f>R4782/R4780</f>
        <v>0.22728545779676704</v>
      </c>
      <c r="S4783" s="106"/>
      <c r="T4783" s="22"/>
      <c r="U4783" s="96"/>
      <c r="V4783" s="28"/>
      <c r="W4783" s="28"/>
    </row>
    <row r="4784" spans="15:23" x14ac:dyDescent="0.25">
      <c r="O4784" s="2" t="s">
        <v>21</v>
      </c>
      <c r="P4784" s="8">
        <v>12</v>
      </c>
      <c r="Q4784" s="2"/>
      <c r="R4784" s="96">
        <f ca="1">1-R4783/(3*F_GAMMA*R$29)</f>
        <v>0.8816276501545246</v>
      </c>
      <c r="S4784" s="106"/>
      <c r="T4784" s="22"/>
      <c r="U4784" s="96"/>
      <c r="V4784" s="28"/>
      <c r="W4784" s="28"/>
    </row>
    <row r="4785" spans="15:23" x14ac:dyDescent="0.25">
      <c r="O4785" s="2" t="s">
        <v>57</v>
      </c>
      <c r="P4785" s="143">
        <v>7</v>
      </c>
      <c r="Q4785" s="2"/>
      <c r="R4785" s="96">
        <f ca="1">(R4778/(N_9*R$27*R4780*R4784))*SQRT(M*'Valve Sizing'!$W$6*'Valve Sizing'!$G$8/R4783)</f>
        <v>139.8066190186133</v>
      </c>
      <c r="S4785" s="107"/>
      <c r="T4785" s="22"/>
      <c r="U4785" s="96"/>
      <c r="V4785" s="28"/>
      <c r="W4785" s="28"/>
    </row>
    <row r="4786" spans="15:23" x14ac:dyDescent="0.25">
      <c r="O4786" s="2" t="s">
        <v>59</v>
      </c>
      <c r="P4786" s="143">
        <v>7</v>
      </c>
      <c r="Q4786" s="2"/>
      <c r="R4786" s="96">
        <f ca="1">(R4778/(N_9*R$27*R4780*0.667))*SQRT(M*'Valve Sizing'!$W$6*'Valve Sizing'!$G$8/R4787)</f>
        <v>110.12168891451689</v>
      </c>
      <c r="S4786" s="107"/>
      <c r="T4786" s="22"/>
      <c r="U4786" s="96"/>
      <c r="V4786" s="28"/>
      <c r="W4786" s="28"/>
    </row>
    <row r="4787" spans="15:23" ht="15.6" x14ac:dyDescent="0.35">
      <c r="O4787" s="2" t="s">
        <v>68</v>
      </c>
      <c r="P4787" s="143">
        <v>10</v>
      </c>
      <c r="Q4787" s="2"/>
      <c r="R4787" s="96">
        <f ca="1">F_GAMMA*R$29</f>
        <v>0.64002969751372984</v>
      </c>
      <c r="S4787" s="107"/>
      <c r="T4787" s="1"/>
      <c r="U4787" s="96"/>
      <c r="V4787" s="28"/>
      <c r="W4787" s="28"/>
    </row>
    <row r="4788" spans="15:23" x14ac:dyDescent="0.25">
      <c r="O4788" s="2" t="s">
        <v>145</v>
      </c>
      <c r="P4788" s="12"/>
      <c r="Q4788" s="2"/>
      <c r="R4788" s="96">
        <f ca="1">IF(R4783&lt;R4787,R4785,R4786)</f>
        <v>139.8066190186133</v>
      </c>
      <c r="S4788" s="116"/>
      <c r="T4788" s="1"/>
      <c r="U4788" s="96"/>
      <c r="V4788" s="28"/>
      <c r="W4788" s="28"/>
    </row>
    <row r="4789" spans="15:23" x14ac:dyDescent="0.25">
      <c r="O4789" s="13" t="s">
        <v>143</v>
      </c>
      <c r="P4789" s="1"/>
      <c r="Q4789" s="1"/>
      <c r="R4789" s="113"/>
      <c r="S4789" s="106">
        <f ca="1">IF(R4782&lt;=0,Q_max,ABS(R$23-R4788))</f>
        <v>135.07661901861331</v>
      </c>
      <c r="T4789" s="7">
        <f>R4778</f>
        <v>262267.75024397846</v>
      </c>
      <c r="U4789" s="98"/>
      <c r="V4789" s="29"/>
      <c r="W4789" s="27"/>
    </row>
    <row r="4790" spans="15:23" x14ac:dyDescent="0.25">
      <c r="O4790" s="21"/>
      <c r="P4790" s="14"/>
      <c r="Q4790" s="21"/>
      <c r="R4790" s="97"/>
      <c r="S4790" s="106"/>
      <c r="T4790" s="28"/>
      <c r="U4790" s="97"/>
      <c r="V4790" s="28"/>
      <c r="W4790" s="28"/>
    </row>
    <row r="4791" spans="15:23" x14ac:dyDescent="0.25">
      <c r="O4791" s="1"/>
      <c r="P4791" s="1"/>
      <c r="Q4791" s="1"/>
      <c r="R4791" s="98"/>
      <c r="S4791" s="108" t="s">
        <v>137</v>
      </c>
      <c r="T4791" s="26" t="s">
        <v>146</v>
      </c>
      <c r="U4791" s="98"/>
      <c r="V4791" s="26"/>
      <c r="W4791" s="26"/>
    </row>
    <row r="4792" spans="15:23" ht="13.8" x14ac:dyDescent="0.25">
      <c r="O4792" s="20" t="s">
        <v>136</v>
      </c>
      <c r="P4792" s="1"/>
      <c r="Q4792" s="1"/>
      <c r="R4792" s="96">
        <f>R4778*1.02</f>
        <v>267513.10524885805</v>
      </c>
      <c r="S4792" s="109" t="s">
        <v>144</v>
      </c>
      <c r="T4792" s="23" t="s">
        <v>147</v>
      </c>
      <c r="U4792" s="96"/>
      <c r="V4792" s="26"/>
      <c r="W4792" s="26"/>
    </row>
    <row r="4793" spans="15:23" x14ac:dyDescent="0.25">
      <c r="O4793" s="1"/>
      <c r="P4793" s="1"/>
      <c r="Q4793" s="1"/>
      <c r="R4793" s="98"/>
      <c r="S4793" s="107"/>
      <c r="T4793" s="1"/>
      <c r="U4793" s="47"/>
      <c r="V4793" s="14"/>
      <c r="W4793" s="14"/>
    </row>
    <row r="4794" spans="15:23" x14ac:dyDescent="0.25">
      <c r="O4794" s="8" t="s">
        <v>132</v>
      </c>
      <c r="P4794" s="8"/>
      <c r="Q4794" s="8"/>
      <c r="R4794" s="96">
        <f>P_1_minQ-(R4792^2*R_up)+dpup_minQ</f>
        <v>77.141855284409544</v>
      </c>
      <c r="S4794" s="106"/>
      <c r="T4794" s="22"/>
      <c r="U4794" s="96"/>
      <c r="V4794" s="14"/>
      <c r="W4794" s="14"/>
    </row>
    <row r="4795" spans="15:23" x14ac:dyDescent="0.25">
      <c r="O4795" s="8" t="s">
        <v>134</v>
      </c>
      <c r="P4795" s="1"/>
      <c r="Q4795" s="8"/>
      <c r="R4795" s="97">
        <f>P_2_minQ+(R4792^2*R_dn)-dpdn_minQ</f>
        <v>60</v>
      </c>
      <c r="S4795" s="106"/>
      <c r="T4795" s="22"/>
      <c r="U4795" s="97"/>
      <c r="V4795" s="14"/>
      <c r="W4795" s="14"/>
    </row>
    <row r="4796" spans="15:23" x14ac:dyDescent="0.25">
      <c r="O4796" s="8" t="s">
        <v>138</v>
      </c>
      <c r="P4796" s="1"/>
      <c r="Q4796" s="8"/>
      <c r="R4796" s="97">
        <f>R4794-R4795</f>
        <v>17.141855284409544</v>
      </c>
      <c r="S4796" s="106"/>
      <c r="T4796" s="22"/>
      <c r="U4796" s="97"/>
      <c r="V4796" s="25"/>
      <c r="W4796" s="25"/>
    </row>
    <row r="4797" spans="15:23" ht="14.4" x14ac:dyDescent="0.3">
      <c r="O4797" s="2" t="s">
        <v>140</v>
      </c>
      <c r="P4797" s="11"/>
      <c r="Q4797" s="2"/>
      <c r="R4797" s="96">
        <f>R4796/R4794</f>
        <v>0.22221212104907637</v>
      </c>
      <c r="S4797" s="106"/>
      <c r="T4797" s="22"/>
      <c r="U4797" s="96"/>
      <c r="V4797" s="28"/>
      <c r="W4797" s="28"/>
    </row>
    <row r="4798" spans="15:23" x14ac:dyDescent="0.25">
      <c r="O4798" s="2" t="s">
        <v>21</v>
      </c>
      <c r="P4798" s="8">
        <v>12</v>
      </c>
      <c r="Q4798" s="2"/>
      <c r="R4798" s="96">
        <f ca="1">1-R4797/(3*F_GAMMA*R$29)</f>
        <v>0.88426989043774828</v>
      </c>
      <c r="S4798" s="106"/>
      <c r="T4798" s="22"/>
      <c r="U4798" s="96"/>
      <c r="V4798" s="28"/>
      <c r="W4798" s="28"/>
    </row>
    <row r="4799" spans="15:23" x14ac:dyDescent="0.25">
      <c r="O4799" s="2" t="s">
        <v>57</v>
      </c>
      <c r="P4799" s="143">
        <v>7</v>
      </c>
      <c r="Q4799" s="2"/>
      <c r="R4799" s="96">
        <f ca="1">(R4792/(N_9*R$27*R4794*R4798))*SQRT(M*'Valve Sizing'!$W$6*'Valve Sizing'!$G$8/R4797)</f>
        <v>144.73458074155553</v>
      </c>
      <c r="S4799" s="107"/>
      <c r="T4799" s="22"/>
      <c r="U4799" s="96"/>
      <c r="V4799" s="28"/>
      <c r="W4799" s="28"/>
    </row>
    <row r="4800" spans="15:23" x14ac:dyDescent="0.25">
      <c r="O4800" s="2" t="s">
        <v>59</v>
      </c>
      <c r="P4800" s="143">
        <v>7</v>
      </c>
      <c r="Q4800" s="2"/>
      <c r="R4800" s="96">
        <f ca="1">(R4792/(N_9*R$27*R4794*0.667))*SQRT(M*'Valve Sizing'!$W$6*'Valve Sizing'!$G$8/R4801)</f>
        <v>113.06159826520256</v>
      </c>
      <c r="S4800" s="107"/>
      <c r="T4800" s="22"/>
      <c r="U4800" s="96"/>
      <c r="V4800" s="28"/>
      <c r="W4800" s="28"/>
    </row>
    <row r="4801" spans="15:23" ht="15.6" x14ac:dyDescent="0.35">
      <c r="O4801" s="2" t="s">
        <v>68</v>
      </c>
      <c r="P4801" s="143">
        <v>10</v>
      </c>
      <c r="Q4801" s="2"/>
      <c r="R4801" s="96">
        <f ca="1">F_GAMMA*R$29</f>
        <v>0.64002969751372984</v>
      </c>
      <c r="S4801" s="107"/>
      <c r="T4801" s="1"/>
      <c r="U4801" s="96"/>
      <c r="V4801" s="28"/>
      <c r="W4801" s="28"/>
    </row>
    <row r="4802" spans="15:23" x14ac:dyDescent="0.25">
      <c r="O4802" s="2" t="s">
        <v>145</v>
      </c>
      <c r="P4802" s="12"/>
      <c r="Q4802" s="2"/>
      <c r="R4802" s="96">
        <f ca="1">IF(R4797&lt;R4801,R4799,R4800)</f>
        <v>144.73458074155553</v>
      </c>
      <c r="S4802" s="116"/>
      <c r="T4802" s="1"/>
      <c r="U4802" s="96"/>
      <c r="V4802" s="28"/>
      <c r="W4802" s="28"/>
    </row>
    <row r="4803" spans="15:23" x14ac:dyDescent="0.25">
      <c r="O4803" s="13" t="s">
        <v>143</v>
      </c>
      <c r="P4803" s="1"/>
      <c r="Q4803" s="1"/>
      <c r="R4803" s="113"/>
      <c r="S4803" s="106">
        <f ca="1">IF(R4796&lt;=0,Q_max,ABS(R$23-R4802))</f>
        <v>140.00458074155554</v>
      </c>
      <c r="T4803" s="7">
        <f>R4792</f>
        <v>267513.10524885805</v>
      </c>
      <c r="U4803" s="98"/>
      <c r="V4803" s="29"/>
      <c r="W4803" s="27"/>
    </row>
    <row r="4804" spans="15:23" x14ac:dyDescent="0.25">
      <c r="O4804" s="21"/>
      <c r="P4804" s="14"/>
      <c r="Q4804" s="21"/>
      <c r="R4804" s="97"/>
      <c r="S4804" s="106"/>
      <c r="T4804" s="28"/>
      <c r="U4804" s="97"/>
      <c r="V4804" s="28"/>
      <c r="W4804" s="28"/>
    </row>
    <row r="4805" spans="15:23" x14ac:dyDescent="0.25">
      <c r="O4805" s="1"/>
      <c r="P4805" s="1"/>
      <c r="Q4805" s="1"/>
      <c r="R4805" s="98"/>
      <c r="S4805" s="108" t="s">
        <v>137</v>
      </c>
      <c r="T4805" s="26" t="s">
        <v>146</v>
      </c>
      <c r="U4805" s="98"/>
      <c r="V4805" s="26"/>
      <c r="W4805" s="26"/>
    </row>
    <row r="4806" spans="15:23" ht="13.8" x14ac:dyDescent="0.25">
      <c r="O4806" s="20" t="s">
        <v>136</v>
      </c>
      <c r="P4806" s="1"/>
      <c r="Q4806" s="1"/>
      <c r="R4806" s="96">
        <f>R4792*1.02</f>
        <v>272863.3673538352</v>
      </c>
      <c r="S4806" s="109" t="s">
        <v>144</v>
      </c>
      <c r="T4806" s="23" t="s">
        <v>147</v>
      </c>
      <c r="U4806" s="96"/>
      <c r="V4806" s="26"/>
      <c r="W4806" s="26"/>
    </row>
    <row r="4807" spans="15:23" x14ac:dyDescent="0.25">
      <c r="O4807" s="1"/>
      <c r="P4807" s="1"/>
      <c r="Q4807" s="1"/>
      <c r="R4807" s="98"/>
      <c r="S4807" s="107"/>
      <c r="T4807" s="1"/>
      <c r="U4807" s="47"/>
      <c r="V4807" s="14"/>
      <c r="W4807" s="14"/>
    </row>
    <row r="4808" spans="15:23" x14ac:dyDescent="0.25">
      <c r="O4808" s="8" t="s">
        <v>132</v>
      </c>
      <c r="P4808" s="8"/>
      <c r="Q4808" s="8"/>
      <c r="R4808" s="96">
        <f>P_1_minQ-(R4806^2*R_up)+dpup_minQ</f>
        <v>76.614910600477373</v>
      </c>
      <c r="S4808" s="106"/>
      <c r="T4808" s="22"/>
      <c r="U4808" s="96"/>
      <c r="V4808" s="14"/>
      <c r="W4808" s="14"/>
    </row>
    <row r="4809" spans="15:23" x14ac:dyDescent="0.25">
      <c r="O4809" s="8" t="s">
        <v>134</v>
      </c>
      <c r="P4809" s="1"/>
      <c r="Q4809" s="8"/>
      <c r="R4809" s="97">
        <f>P_2_minQ+(R4806^2*R_dn)-dpdn_minQ</f>
        <v>60</v>
      </c>
      <c r="S4809" s="106"/>
      <c r="T4809" s="22"/>
      <c r="U4809" s="97"/>
      <c r="V4809" s="14"/>
      <c r="W4809" s="14"/>
    </row>
    <row r="4810" spans="15:23" x14ac:dyDescent="0.25">
      <c r="O4810" s="8" t="s">
        <v>138</v>
      </c>
      <c r="P4810" s="1"/>
      <c r="Q4810" s="8"/>
      <c r="R4810" s="97">
        <f>R4808-R4809</f>
        <v>16.614910600477373</v>
      </c>
      <c r="S4810" s="106"/>
      <c r="T4810" s="22"/>
      <c r="U4810" s="97"/>
      <c r="V4810" s="25"/>
      <c r="W4810" s="25"/>
    </row>
    <row r="4811" spans="15:23" ht="14.4" x14ac:dyDescent="0.3">
      <c r="O4811" s="2" t="s">
        <v>140</v>
      </c>
      <c r="P4811" s="11"/>
      <c r="Q4811" s="2"/>
      <c r="R4811" s="96">
        <f>R4810/R4808</f>
        <v>0.21686262465434306</v>
      </c>
      <c r="S4811" s="106"/>
      <c r="T4811" s="22"/>
      <c r="U4811" s="96"/>
      <c r="V4811" s="28"/>
      <c r="W4811" s="28"/>
    </row>
    <row r="4812" spans="15:23" x14ac:dyDescent="0.25">
      <c r="O4812" s="2" t="s">
        <v>21</v>
      </c>
      <c r="P4812" s="8">
        <v>12</v>
      </c>
      <c r="Q4812" s="2"/>
      <c r="R4812" s="96">
        <f ca="1">1-R4811/(3*F_GAMMA*R$29)</f>
        <v>0.88705595719658459</v>
      </c>
      <c r="S4812" s="106"/>
      <c r="T4812" s="22"/>
      <c r="U4812" s="96"/>
      <c r="V4812" s="28"/>
      <c r="W4812" s="28"/>
    </row>
    <row r="4813" spans="15:23" x14ac:dyDescent="0.25">
      <c r="O4813" s="2" t="s">
        <v>57</v>
      </c>
      <c r="P4813" s="143">
        <v>7</v>
      </c>
      <c r="Q4813" s="2"/>
      <c r="R4813" s="96">
        <f ca="1">(R4806/(N_9*R$27*R4808*R4812))*SQRT(M*'Valve Sizing'!$W$6*'Valve Sizing'!$G$8/R4811)</f>
        <v>149.99424551284355</v>
      </c>
      <c r="S4813" s="107"/>
      <c r="T4813" s="22"/>
      <c r="U4813" s="27"/>
      <c r="V4813" s="28"/>
      <c r="W4813" s="28"/>
    </row>
    <row r="4814" spans="15:23" x14ac:dyDescent="0.25">
      <c r="O4814" s="2" t="s">
        <v>59</v>
      </c>
      <c r="P4814" s="143">
        <v>7</v>
      </c>
      <c r="Q4814" s="2"/>
      <c r="R4814" s="96">
        <f ca="1">(R4806/(N_9*R$27*R4808*0.667))*SQRT(M*'Valve Sizing'!$W$6*'Valve Sizing'!$G$8/R4815)</f>
        <v>116.11600158383322</v>
      </c>
      <c r="S4814" s="107"/>
      <c r="T4814" s="22"/>
      <c r="U4814" s="27"/>
      <c r="V4814" s="28"/>
      <c r="W4814" s="28"/>
    </row>
    <row r="4815" spans="15:23" ht="15.6" x14ac:dyDescent="0.35">
      <c r="O4815" s="2" t="s">
        <v>68</v>
      </c>
      <c r="P4815" s="143">
        <v>10</v>
      </c>
      <c r="Q4815" s="2"/>
      <c r="R4815" s="96">
        <f ca="1">F_GAMMA*R$29</f>
        <v>0.64002969751372984</v>
      </c>
      <c r="S4815" s="107"/>
      <c r="T4815" s="1"/>
      <c r="U4815" s="27"/>
      <c r="V4815" s="28"/>
      <c r="W4815" s="28"/>
    </row>
    <row r="4816" spans="15:23" x14ac:dyDescent="0.25">
      <c r="O4816" s="2" t="s">
        <v>145</v>
      </c>
      <c r="P4816" s="12"/>
      <c r="Q4816" s="2"/>
      <c r="R4816" s="96">
        <f ca="1">IF(R4811&lt;R4815,R4813,R4814)</f>
        <v>149.99424551284355</v>
      </c>
      <c r="S4816" s="116"/>
      <c r="T4816" s="1"/>
      <c r="U4816" s="27"/>
      <c r="V4816" s="28"/>
      <c r="W4816" s="28"/>
    </row>
    <row r="4817" spans="15:23" x14ac:dyDescent="0.25">
      <c r="O4817" s="13" t="s">
        <v>143</v>
      </c>
      <c r="P4817" s="1"/>
      <c r="Q4817" s="1"/>
      <c r="R4817" s="113"/>
      <c r="S4817" s="106">
        <f ca="1">IF(R4810&lt;=0,Q_max,ABS(R$23-R4816))</f>
        <v>145.26424551284356</v>
      </c>
      <c r="T4817" s="7">
        <f>R4806</f>
        <v>272863.3673538352</v>
      </c>
      <c r="U4817" s="14"/>
      <c r="V4817" s="29"/>
      <c r="W4817" s="27"/>
    </row>
    <row r="4818" spans="15:23" x14ac:dyDescent="0.25">
      <c r="O4818" s="21"/>
      <c r="P4818" s="14"/>
      <c r="Q4818" s="21"/>
      <c r="R4818" s="97"/>
      <c r="S4818" s="106"/>
      <c r="T4818" s="28"/>
      <c r="U4818" s="28"/>
      <c r="V4818" s="14"/>
      <c r="W4818" s="14"/>
    </row>
    <row r="4819" spans="15:23" x14ac:dyDescent="0.25">
      <c r="O4819" s="1"/>
      <c r="P4819" s="1"/>
      <c r="Q4819" s="1"/>
      <c r="R4819" s="98"/>
      <c r="S4819" s="108" t="s">
        <v>137</v>
      </c>
      <c r="T4819" s="26" t="s">
        <v>146</v>
      </c>
      <c r="U4819" s="14"/>
      <c r="V4819" s="26"/>
      <c r="W4819" s="26"/>
    </row>
    <row r="4820" spans="15:23" ht="13.8" x14ac:dyDescent="0.25">
      <c r="O4820" s="20" t="s">
        <v>136</v>
      </c>
      <c r="P4820" s="1"/>
      <c r="Q4820" s="1"/>
      <c r="R4820" s="96">
        <f>R4806*1.02</f>
        <v>278320.63470091193</v>
      </c>
      <c r="S4820" s="109" t="s">
        <v>144</v>
      </c>
      <c r="T4820" s="23" t="s">
        <v>147</v>
      </c>
      <c r="U4820" s="27"/>
      <c r="V4820" s="26"/>
      <c r="W4820" s="26"/>
    </row>
    <row r="4821" spans="15:23" x14ac:dyDescent="0.25">
      <c r="O4821" s="1"/>
      <c r="P4821" s="1"/>
      <c r="Q4821" s="1"/>
      <c r="R4821" s="98"/>
      <c r="S4821" s="107"/>
      <c r="T4821" s="1"/>
      <c r="U4821" s="39"/>
      <c r="V4821" s="14"/>
      <c r="W4821" s="14"/>
    </row>
    <row r="4822" spans="15:23" x14ac:dyDescent="0.25">
      <c r="O4822" s="8" t="s">
        <v>132</v>
      </c>
      <c r="P4822" s="8"/>
      <c r="Q4822" s="8"/>
      <c r="R4822" s="96">
        <f>P_1_minQ-(R4820^2*R_up)+dpup_minQ</f>
        <v>76.066677351314326</v>
      </c>
      <c r="S4822" s="106"/>
      <c r="T4822" s="22"/>
      <c r="U4822" s="27"/>
      <c r="V4822" s="14"/>
      <c r="W4822" s="14"/>
    </row>
    <row r="4823" spans="15:23" x14ac:dyDescent="0.25">
      <c r="O4823" s="8" t="s">
        <v>134</v>
      </c>
      <c r="P4823" s="1"/>
      <c r="Q4823" s="8"/>
      <c r="R4823" s="97">
        <f>P_2_minQ+(R4820^2*R_dn)-dpdn_minQ</f>
        <v>60</v>
      </c>
      <c r="S4823" s="106"/>
      <c r="T4823" s="22"/>
      <c r="U4823" s="28"/>
      <c r="V4823" s="14"/>
      <c r="W4823" s="14"/>
    </row>
    <row r="4824" spans="15:23" x14ac:dyDescent="0.25">
      <c r="O4824" s="8" t="s">
        <v>138</v>
      </c>
      <c r="P4824" s="1"/>
      <c r="Q4824" s="8"/>
      <c r="R4824" s="97">
        <f>R4822-R4823</f>
        <v>16.066677351314326</v>
      </c>
      <c r="S4824" s="106"/>
      <c r="T4824" s="22"/>
      <c r="U4824" s="28"/>
      <c r="V4824" s="25"/>
      <c r="W4824" s="25"/>
    </row>
    <row r="4825" spans="15:23" ht="14.4" x14ac:dyDescent="0.3">
      <c r="O4825" s="2" t="s">
        <v>140</v>
      </c>
      <c r="P4825" s="11"/>
      <c r="Q4825" s="2"/>
      <c r="R4825" s="96">
        <f>R4824/R4822</f>
        <v>0.21121834041876572</v>
      </c>
      <c r="S4825" s="106"/>
      <c r="T4825" s="22"/>
      <c r="U4825" s="27"/>
      <c r="V4825" s="28"/>
      <c r="W4825" s="28"/>
    </row>
    <row r="4826" spans="15:23" x14ac:dyDescent="0.25">
      <c r="O4826" s="2" t="s">
        <v>21</v>
      </c>
      <c r="P4826" s="8">
        <v>12</v>
      </c>
      <c r="Q4826" s="2"/>
      <c r="R4826" s="96">
        <f ca="1">1-R4825/(3*F_GAMMA*R$29)</f>
        <v>0.88999555216512194</v>
      </c>
      <c r="S4826" s="106"/>
      <c r="T4826" s="22"/>
      <c r="U4826" s="27"/>
      <c r="V4826" s="28"/>
      <c r="W4826" s="28"/>
    </row>
    <row r="4827" spans="15:23" x14ac:dyDescent="0.25">
      <c r="O4827" s="2" t="s">
        <v>57</v>
      </c>
      <c r="P4827" s="143">
        <v>7</v>
      </c>
      <c r="Q4827" s="2"/>
      <c r="R4827" s="96">
        <f ca="1">(R4820/(N_9*R$27*R4822*R4826))*SQRT(M*'Valve Sizing'!$W$6*'Valve Sizing'!$G$8/R4825)</f>
        <v>155.62642632560994</v>
      </c>
      <c r="S4827" s="107"/>
      <c r="T4827" s="22"/>
      <c r="U4827" s="27"/>
      <c r="V4827" s="28"/>
      <c r="W4827" s="28"/>
    </row>
    <row r="4828" spans="15:23" x14ac:dyDescent="0.25">
      <c r="O4828" s="2" t="s">
        <v>59</v>
      </c>
      <c r="P4828" s="143">
        <v>7</v>
      </c>
      <c r="Q4828" s="2"/>
      <c r="R4828" s="96">
        <f ca="1">(R4820/(N_9*R$27*R4822*0.667))*SQRT(M*'Valve Sizing'!$W$6*'Valve Sizing'!$G$8/R4829)</f>
        <v>119.29193883852601</v>
      </c>
      <c r="S4828" s="107"/>
      <c r="T4828" s="22"/>
      <c r="U4828" s="27"/>
      <c r="V4828" s="28"/>
      <c r="W4828" s="28"/>
    </row>
    <row r="4829" spans="15:23" ht="15.6" x14ac:dyDescent="0.35">
      <c r="O4829" s="2" t="s">
        <v>68</v>
      </c>
      <c r="P4829" s="143">
        <v>10</v>
      </c>
      <c r="Q4829" s="2"/>
      <c r="R4829" s="96">
        <f ca="1">F_GAMMA*R$29</f>
        <v>0.64002969751372984</v>
      </c>
      <c r="S4829" s="107"/>
      <c r="T4829" s="1"/>
      <c r="U4829" s="27"/>
      <c r="V4829" s="28"/>
      <c r="W4829" s="28"/>
    </row>
    <row r="4830" spans="15:23" x14ac:dyDescent="0.25">
      <c r="O4830" s="2" t="s">
        <v>145</v>
      </c>
      <c r="P4830" s="12"/>
      <c r="Q4830" s="2"/>
      <c r="R4830" s="96">
        <f ca="1">IF(R4825&lt;R4829,R4827,R4828)</f>
        <v>155.62642632560994</v>
      </c>
      <c r="S4830" s="116"/>
      <c r="T4830" s="1"/>
      <c r="U4830" s="27"/>
      <c r="V4830" s="28"/>
      <c r="W4830" s="28"/>
    </row>
    <row r="4831" spans="15:23" x14ac:dyDescent="0.25">
      <c r="O4831" s="13" t="s">
        <v>143</v>
      </c>
      <c r="P4831" s="1"/>
      <c r="Q4831" s="1"/>
      <c r="R4831" s="113"/>
      <c r="S4831" s="106">
        <f ca="1">IF(R4824&lt;=0,Q_max,ABS(R$23-R4830))</f>
        <v>150.89642632560995</v>
      </c>
      <c r="T4831" s="7">
        <f>R4820</f>
        <v>278320.63470091193</v>
      </c>
      <c r="U4831" s="14"/>
      <c r="V4831" s="29"/>
      <c r="W4831" s="27"/>
    </row>
    <row r="4832" spans="15:23" x14ac:dyDescent="0.25">
      <c r="O4832" s="21"/>
      <c r="P4832" s="14"/>
      <c r="Q4832" s="21"/>
      <c r="R4832" s="97"/>
      <c r="S4832" s="106"/>
      <c r="T4832" s="28"/>
      <c r="U4832" s="28"/>
      <c r="V4832" s="28"/>
      <c r="W4832" s="28"/>
    </row>
    <row r="4833" spans="15:23" x14ac:dyDescent="0.25">
      <c r="O4833" s="1"/>
      <c r="P4833" s="1"/>
      <c r="Q4833" s="1"/>
      <c r="R4833" s="98"/>
      <c r="S4833" s="108" t="s">
        <v>137</v>
      </c>
      <c r="T4833" s="26" t="s">
        <v>146</v>
      </c>
      <c r="U4833" s="14"/>
      <c r="V4833" s="26"/>
      <c r="W4833" s="26"/>
    </row>
    <row r="4834" spans="15:23" ht="13.8" x14ac:dyDescent="0.25">
      <c r="O4834" s="20" t="s">
        <v>136</v>
      </c>
      <c r="P4834" s="1"/>
      <c r="Q4834" s="1"/>
      <c r="R4834" s="96">
        <f>R4820*1.02</f>
        <v>283887.04739493015</v>
      </c>
      <c r="S4834" s="109" t="s">
        <v>144</v>
      </c>
      <c r="T4834" s="23" t="s">
        <v>147</v>
      </c>
      <c r="U4834" s="27"/>
      <c r="V4834" s="26"/>
      <c r="W4834" s="26"/>
    </row>
    <row r="4835" spans="15:23" x14ac:dyDescent="0.25">
      <c r="O4835" s="1"/>
      <c r="P4835" s="1"/>
      <c r="Q4835" s="1"/>
      <c r="R4835" s="98"/>
      <c r="S4835" s="107"/>
      <c r="T4835" s="1"/>
      <c r="U4835" s="39"/>
      <c r="V4835" s="14"/>
      <c r="W4835" s="14"/>
    </row>
    <row r="4836" spans="15:23" x14ac:dyDescent="0.25">
      <c r="O4836" s="8" t="s">
        <v>132</v>
      </c>
      <c r="P4836" s="8"/>
      <c r="Q4836" s="8"/>
      <c r="R4836" s="96">
        <f>P_1_minQ-(R4834^2*R_up)+dpup_minQ</f>
        <v>75.496295478885102</v>
      </c>
      <c r="S4836" s="106"/>
      <c r="T4836" s="22"/>
      <c r="U4836" s="27"/>
      <c r="V4836" s="14"/>
      <c r="W4836" s="14"/>
    </row>
    <row r="4837" spans="15:23" x14ac:dyDescent="0.25">
      <c r="O4837" s="8" t="s">
        <v>134</v>
      </c>
      <c r="P4837" s="1"/>
      <c r="Q4837" s="8"/>
      <c r="R4837" s="97">
        <f>P_2_minQ+(R4834^2*R_dn)-dpdn_minQ</f>
        <v>60</v>
      </c>
      <c r="S4837" s="106"/>
      <c r="T4837" s="22"/>
      <c r="U4837" s="28"/>
      <c r="V4837" s="14"/>
      <c r="W4837" s="14"/>
    </row>
    <row r="4838" spans="15:23" x14ac:dyDescent="0.25">
      <c r="O4838" s="8" t="s">
        <v>138</v>
      </c>
      <c r="P4838" s="1"/>
      <c r="Q4838" s="8"/>
      <c r="R4838" s="97">
        <f>R4836-R4837</f>
        <v>15.496295478885102</v>
      </c>
      <c r="S4838" s="106"/>
      <c r="T4838" s="22"/>
      <c r="U4838" s="28"/>
      <c r="V4838" s="25"/>
      <c r="W4838" s="25"/>
    </row>
    <row r="4839" spans="15:23" ht="14.4" x14ac:dyDescent="0.3">
      <c r="O4839" s="2" t="s">
        <v>140</v>
      </c>
      <c r="P4839" s="11"/>
      <c r="Q4839" s="2"/>
      <c r="R4839" s="96">
        <f>R4838/R4836</f>
        <v>0.20525901808280284</v>
      </c>
      <c r="S4839" s="106"/>
      <c r="T4839" s="22"/>
      <c r="U4839" s="27"/>
      <c r="V4839" s="28"/>
      <c r="W4839" s="28"/>
    </row>
    <row r="4840" spans="15:23" x14ac:dyDescent="0.25">
      <c r="O4840" s="2" t="s">
        <v>21</v>
      </c>
      <c r="P4840" s="8">
        <v>12</v>
      </c>
      <c r="Q4840" s="2"/>
      <c r="R4840" s="96">
        <f ca="1">1-R4839/(3*F_GAMMA*R$29)</f>
        <v>0.89309922186415436</v>
      </c>
      <c r="S4840" s="106"/>
      <c r="T4840" s="22"/>
      <c r="U4840" s="27"/>
      <c r="V4840" s="28"/>
      <c r="W4840" s="28"/>
    </row>
    <row r="4841" spans="15:23" x14ac:dyDescent="0.25">
      <c r="O4841" s="2" t="s">
        <v>57</v>
      </c>
      <c r="P4841" s="143">
        <v>7</v>
      </c>
      <c r="Q4841" s="2"/>
      <c r="R4841" s="96">
        <f ca="1">(R4834/(N_9*R$27*R4836*R4840))*SQRT(M*'Valve Sizing'!$W$6*'Valve Sizing'!$G$8/R4839)</f>
        <v>161.67956642306279</v>
      </c>
      <c r="S4841" s="107"/>
      <c r="T4841" s="22"/>
      <c r="U4841" s="27"/>
      <c r="V4841" s="28"/>
      <c r="W4841" s="28"/>
    </row>
    <row r="4842" spans="15:23" x14ac:dyDescent="0.25">
      <c r="O4842" s="2" t="s">
        <v>59</v>
      </c>
      <c r="P4842" s="143">
        <v>7</v>
      </c>
      <c r="Q4842" s="2"/>
      <c r="R4842" s="96">
        <f ca="1">(R4834/(N_9*R$27*R4836*0.667))*SQRT(M*'Valve Sizing'!$W$6*'Valve Sizing'!$G$8/R4843)</f>
        <v>122.5970650874699</v>
      </c>
      <c r="S4842" s="107"/>
      <c r="T4842" s="22"/>
      <c r="U4842" s="27"/>
      <c r="V4842" s="28"/>
      <c r="W4842" s="28"/>
    </row>
    <row r="4843" spans="15:23" ht="15.6" x14ac:dyDescent="0.35">
      <c r="O4843" s="2" t="s">
        <v>68</v>
      </c>
      <c r="P4843" s="143">
        <v>10</v>
      </c>
      <c r="Q4843" s="2"/>
      <c r="R4843" s="96">
        <f ca="1">F_GAMMA*R$29</f>
        <v>0.64002969751372984</v>
      </c>
      <c r="S4843" s="107"/>
      <c r="T4843" s="1"/>
      <c r="U4843" s="27"/>
      <c r="V4843" s="28"/>
      <c r="W4843" s="28"/>
    </row>
    <row r="4844" spans="15:23" x14ac:dyDescent="0.25">
      <c r="O4844" s="2" t="s">
        <v>145</v>
      </c>
      <c r="P4844" s="12"/>
      <c r="Q4844" s="2"/>
      <c r="R4844" s="96">
        <f ca="1">IF(R4839&lt;R4843,R4841,R4842)</f>
        <v>161.67956642306279</v>
      </c>
      <c r="S4844" s="116"/>
      <c r="T4844" s="1"/>
      <c r="U4844" s="27"/>
      <c r="V4844" s="28"/>
      <c r="W4844" s="28"/>
    </row>
    <row r="4845" spans="15:23" x14ac:dyDescent="0.25">
      <c r="O4845" s="13" t="s">
        <v>143</v>
      </c>
      <c r="P4845" s="1"/>
      <c r="Q4845" s="1"/>
      <c r="R4845" s="113"/>
      <c r="S4845" s="106">
        <f ca="1">IF(R4838&lt;=0,Q_max,ABS(R$23-R4844))</f>
        <v>156.94956642306281</v>
      </c>
      <c r="T4845" s="7">
        <f>R4834</f>
        <v>283887.04739493015</v>
      </c>
      <c r="U4845" s="14"/>
      <c r="V4845" s="29"/>
      <c r="W4845" s="27"/>
    </row>
    <row r="4846" spans="15:23" x14ac:dyDescent="0.25">
      <c r="O4846" s="21"/>
      <c r="P4846" s="14"/>
      <c r="Q4846" s="21"/>
      <c r="R4846" s="97"/>
      <c r="S4846" s="106"/>
      <c r="T4846" s="28"/>
      <c r="U4846" s="28"/>
      <c r="V4846" s="28"/>
      <c r="W4846" s="28"/>
    </row>
    <row r="4847" spans="15:23" x14ac:dyDescent="0.25">
      <c r="O4847" s="1"/>
      <c r="P4847" s="1"/>
      <c r="Q4847" s="1"/>
      <c r="R4847" s="98"/>
      <c r="S4847" s="108" t="s">
        <v>137</v>
      </c>
      <c r="T4847" s="26" t="s">
        <v>146</v>
      </c>
      <c r="U4847" s="14"/>
      <c r="V4847" s="26"/>
      <c r="W4847" s="26"/>
    </row>
    <row r="4848" spans="15:23" ht="13.8" x14ac:dyDescent="0.25">
      <c r="O4848" s="20" t="s">
        <v>136</v>
      </c>
      <c r="P4848" s="1"/>
      <c r="Q4848" s="1"/>
      <c r="R4848" s="96">
        <f>R4834*1.02</f>
        <v>289564.78834282875</v>
      </c>
      <c r="S4848" s="109" t="s">
        <v>144</v>
      </c>
      <c r="T4848" s="23" t="s">
        <v>147</v>
      </c>
      <c r="U4848" s="27"/>
      <c r="V4848" s="26"/>
      <c r="W4848" s="26"/>
    </row>
    <row r="4849" spans="15:23" x14ac:dyDescent="0.25">
      <c r="O4849" s="1"/>
      <c r="P4849" s="1"/>
      <c r="Q4849" s="1"/>
      <c r="R4849" s="98"/>
      <c r="S4849" s="107"/>
      <c r="T4849" s="1"/>
      <c r="U4849" s="39"/>
      <c r="V4849" s="14"/>
      <c r="W4849" s="14"/>
    </row>
    <row r="4850" spans="15:23" x14ac:dyDescent="0.25">
      <c r="O4850" s="8" t="s">
        <v>132</v>
      </c>
      <c r="P4850" s="8"/>
      <c r="Q4850" s="8"/>
      <c r="R4850" s="96">
        <f>P_1_minQ-(R4848^2*R_up)+dpup_minQ</f>
        <v>74.902870178809735</v>
      </c>
      <c r="S4850" s="106"/>
      <c r="T4850" s="22"/>
      <c r="U4850" s="27"/>
      <c r="V4850" s="14"/>
      <c r="W4850" s="14"/>
    </row>
    <row r="4851" spans="15:23" x14ac:dyDescent="0.25">
      <c r="O4851" s="8" t="s">
        <v>134</v>
      </c>
      <c r="P4851" s="1"/>
      <c r="Q4851" s="8"/>
      <c r="R4851" s="97">
        <f>P_2_minQ+(R4848^2*R_dn)-dpdn_minQ</f>
        <v>60</v>
      </c>
      <c r="S4851" s="106"/>
      <c r="T4851" s="22"/>
      <c r="U4851" s="28"/>
      <c r="V4851" s="14"/>
      <c r="W4851" s="14"/>
    </row>
    <row r="4852" spans="15:23" x14ac:dyDescent="0.25">
      <c r="O4852" s="8" t="s">
        <v>138</v>
      </c>
      <c r="P4852" s="1"/>
      <c r="Q4852" s="8"/>
      <c r="R4852" s="97">
        <f>R4850-R4851</f>
        <v>14.902870178809735</v>
      </c>
      <c r="S4852" s="106"/>
      <c r="T4852" s="22"/>
      <c r="U4852" s="28"/>
      <c r="V4852" s="25"/>
      <c r="W4852" s="25"/>
    </row>
    <row r="4853" spans="15:23" ht="14.4" x14ac:dyDescent="0.3">
      <c r="O4853" s="2" t="s">
        <v>140</v>
      </c>
      <c r="P4853" s="11"/>
      <c r="Q4853" s="2"/>
      <c r="R4853" s="96">
        <f>R4852/R4850</f>
        <v>0.19896260508086386</v>
      </c>
      <c r="S4853" s="106"/>
      <c r="T4853" s="22"/>
      <c r="U4853" s="27"/>
      <c r="V4853" s="28"/>
      <c r="W4853" s="28"/>
    </row>
    <row r="4854" spans="15:23" x14ac:dyDescent="0.25">
      <c r="O4854" s="2" t="s">
        <v>21</v>
      </c>
      <c r="P4854" s="8">
        <v>12</v>
      </c>
      <c r="Q4854" s="2"/>
      <c r="R4854" s="96">
        <f ca="1">1-R4853/(3*F_GAMMA*R$29)</f>
        <v>0.8963784514719878</v>
      </c>
      <c r="S4854" s="106"/>
      <c r="T4854" s="22"/>
      <c r="U4854" s="27"/>
      <c r="V4854" s="28"/>
      <c r="W4854" s="28"/>
    </row>
    <row r="4855" spans="15:23" x14ac:dyDescent="0.25">
      <c r="O4855" s="2" t="s">
        <v>57</v>
      </c>
      <c r="P4855" s="143">
        <v>7</v>
      </c>
      <c r="Q4855" s="2"/>
      <c r="R4855" s="96">
        <f ca="1">(R4848/(N_9*R$27*R4850*R4854))*SQRT(M*'Valve Sizing'!$W$6*'Valve Sizing'!$G$8/R4853)</f>
        <v>168.21169506192851</v>
      </c>
      <c r="S4855" s="107"/>
      <c r="T4855" s="22"/>
      <c r="U4855" s="27"/>
      <c r="V4855" s="28"/>
      <c r="W4855" s="28"/>
    </row>
    <row r="4856" spans="15:23" x14ac:dyDescent="0.25">
      <c r="O4856" s="2" t="s">
        <v>59</v>
      </c>
      <c r="P4856" s="143">
        <v>7</v>
      </c>
      <c r="Q4856" s="2"/>
      <c r="R4856" s="96">
        <f ca="1">(R4848/(N_9*R$27*R4850*0.667))*SQRT(M*'Valve Sizing'!$W$6*'Valve Sizing'!$G$8/R4857)</f>
        <v>126.03971934806184</v>
      </c>
      <c r="S4856" s="107"/>
      <c r="T4856" s="22"/>
      <c r="U4856" s="27"/>
      <c r="V4856" s="28"/>
      <c r="W4856" s="28"/>
    </row>
    <row r="4857" spans="15:23" ht="15.6" x14ac:dyDescent="0.35">
      <c r="O4857" s="2" t="s">
        <v>68</v>
      </c>
      <c r="P4857" s="143">
        <v>10</v>
      </c>
      <c r="Q4857" s="2"/>
      <c r="R4857" s="96">
        <f ca="1">F_GAMMA*R$29</f>
        <v>0.64002969751372984</v>
      </c>
      <c r="S4857" s="107"/>
      <c r="T4857" s="1"/>
      <c r="U4857" s="27"/>
      <c r="V4857" s="28"/>
      <c r="W4857" s="28"/>
    </row>
    <row r="4858" spans="15:23" x14ac:dyDescent="0.25">
      <c r="O4858" s="2" t="s">
        <v>145</v>
      </c>
      <c r="P4858" s="12"/>
      <c r="Q4858" s="2"/>
      <c r="R4858" s="96">
        <f ca="1">IF(R4853&lt;R4857,R4855,R4856)</f>
        <v>168.21169506192851</v>
      </c>
      <c r="S4858" s="116"/>
      <c r="T4858" s="1"/>
      <c r="U4858" s="27"/>
      <c r="V4858" s="28"/>
      <c r="W4858" s="28"/>
    </row>
    <row r="4859" spans="15:23" x14ac:dyDescent="0.25">
      <c r="O4859" s="13" t="s">
        <v>143</v>
      </c>
      <c r="P4859" s="1"/>
      <c r="Q4859" s="1"/>
      <c r="R4859" s="113"/>
      <c r="S4859" s="106">
        <f ca="1">IF(R4852&lt;=0,Q_max,ABS(R$23-R4858))</f>
        <v>163.48169506192852</v>
      </c>
      <c r="T4859" s="7">
        <f>R4848</f>
        <v>289564.78834282875</v>
      </c>
      <c r="U4859" s="14"/>
      <c r="V4859" s="29"/>
      <c r="W4859" s="27"/>
    </row>
    <row r="4860" spans="15:23" x14ac:dyDescent="0.25">
      <c r="O4860" s="21"/>
      <c r="P4860" s="14"/>
      <c r="Q4860" s="21"/>
      <c r="R4860" s="97"/>
      <c r="S4860" s="106"/>
      <c r="T4860" s="28"/>
      <c r="U4860" s="28"/>
      <c r="V4860" s="28"/>
      <c r="W4860" s="28"/>
    </row>
    <row r="4861" spans="15:23" x14ac:dyDescent="0.25">
      <c r="O4861" s="1"/>
      <c r="P4861" s="1"/>
      <c r="Q4861" s="1"/>
      <c r="R4861" s="98"/>
      <c r="S4861" s="108" t="s">
        <v>137</v>
      </c>
      <c r="T4861" s="26" t="s">
        <v>146</v>
      </c>
      <c r="U4861" s="14"/>
      <c r="V4861" s="26"/>
      <c r="W4861" s="26"/>
    </row>
    <row r="4862" spans="15:23" ht="13.8" x14ac:dyDescent="0.25">
      <c r="O4862" s="20" t="s">
        <v>136</v>
      </c>
      <c r="P4862" s="1"/>
      <c r="Q4862" s="1"/>
      <c r="R4862" s="96">
        <f>R4848*1.02</f>
        <v>295356.08410968533</v>
      </c>
      <c r="S4862" s="109" t="s">
        <v>144</v>
      </c>
      <c r="T4862" s="23" t="s">
        <v>147</v>
      </c>
      <c r="U4862" s="27"/>
      <c r="V4862" s="26"/>
      <c r="W4862" s="26"/>
    </row>
    <row r="4863" spans="15:23" x14ac:dyDescent="0.25">
      <c r="O4863" s="1"/>
      <c r="P4863" s="1"/>
      <c r="Q4863" s="1"/>
      <c r="R4863" s="98"/>
      <c r="S4863" s="107"/>
      <c r="T4863" s="1"/>
      <c r="U4863" s="39"/>
      <c r="V4863" s="14"/>
      <c r="W4863" s="14"/>
    </row>
    <row r="4864" spans="15:23" x14ac:dyDescent="0.25">
      <c r="O4864" s="8" t="s">
        <v>132</v>
      </c>
      <c r="P4864" s="8"/>
      <c r="Q4864" s="8"/>
      <c r="R4864" s="96">
        <f>P_1_minQ-(R4862^2*R_up)+dpup_minQ</f>
        <v>74.285470496611325</v>
      </c>
      <c r="S4864" s="106"/>
      <c r="T4864" s="22"/>
      <c r="U4864" s="27"/>
      <c r="V4864" s="14"/>
      <c r="W4864" s="14"/>
    </row>
    <row r="4865" spans="15:23" x14ac:dyDescent="0.25">
      <c r="O4865" s="8" t="s">
        <v>134</v>
      </c>
      <c r="P4865" s="1"/>
      <c r="Q4865" s="8"/>
      <c r="R4865" s="97">
        <f>P_2_minQ+(R4862^2*R_dn)-dpdn_minQ</f>
        <v>60</v>
      </c>
      <c r="S4865" s="106"/>
      <c r="T4865" s="22"/>
      <c r="U4865" s="28"/>
      <c r="V4865" s="14"/>
      <c r="W4865" s="14"/>
    </row>
    <row r="4866" spans="15:23" x14ac:dyDescent="0.25">
      <c r="O4866" s="8" t="s">
        <v>138</v>
      </c>
      <c r="P4866" s="1"/>
      <c r="Q4866" s="8"/>
      <c r="R4866" s="97">
        <f>R4864-R4865</f>
        <v>14.285470496611325</v>
      </c>
      <c r="S4866" s="106"/>
      <c r="T4866" s="22"/>
      <c r="U4866" s="28"/>
      <c r="V4866" s="25"/>
      <c r="W4866" s="25"/>
    </row>
    <row r="4867" spans="15:23" ht="14.4" x14ac:dyDescent="0.3">
      <c r="O4867" s="2" t="s">
        <v>140</v>
      </c>
      <c r="P4867" s="11"/>
      <c r="Q4867" s="2"/>
      <c r="R4867" s="96">
        <f>R4866/R4864</f>
        <v>0.19230504163345083</v>
      </c>
      <c r="S4867" s="106"/>
      <c r="T4867" s="22"/>
      <c r="U4867" s="27"/>
      <c r="V4867" s="28"/>
      <c r="W4867" s="28"/>
    </row>
    <row r="4868" spans="15:23" x14ac:dyDescent="0.25">
      <c r="O4868" s="2" t="s">
        <v>21</v>
      </c>
      <c r="P4868" s="8">
        <v>12</v>
      </c>
      <c r="Q4868" s="2"/>
      <c r="R4868" s="96">
        <f ca="1">1-R4867/(3*F_GAMMA*R$29)</f>
        <v>0.89984577154232981</v>
      </c>
      <c r="S4868" s="106"/>
      <c r="T4868" s="22"/>
      <c r="U4868" s="27"/>
      <c r="V4868" s="28"/>
      <c r="W4868" s="28"/>
    </row>
    <row r="4869" spans="15:23" x14ac:dyDescent="0.25">
      <c r="O4869" s="2" t="s">
        <v>57</v>
      </c>
      <c r="P4869" s="143">
        <v>7</v>
      </c>
      <c r="Q4869" s="2"/>
      <c r="R4869" s="96">
        <f ca="1">(R4862/(N_9*R$27*R4864*R4868))*SQRT(M*'Valve Sizing'!$W$6*'Valve Sizing'!$G$8/R4867)</f>
        <v>175.29303562962281</v>
      </c>
      <c r="S4869" s="107"/>
      <c r="T4869" s="22"/>
      <c r="U4869" s="27"/>
      <c r="V4869" s="28"/>
      <c r="W4869" s="28"/>
    </row>
    <row r="4870" spans="15:23" x14ac:dyDescent="0.25">
      <c r="O4870" s="2" t="s">
        <v>59</v>
      </c>
      <c r="P4870" s="143">
        <v>7</v>
      </c>
      <c r="Q4870" s="2"/>
      <c r="R4870" s="96">
        <f ca="1">(R4862/(N_9*R$27*R4864*0.667))*SQRT(M*'Valve Sizing'!$W$6*'Valve Sizing'!$G$8/R4871)</f>
        <v>129.62900289976344</v>
      </c>
      <c r="S4870" s="107"/>
      <c r="T4870" s="22"/>
      <c r="U4870" s="27"/>
      <c r="V4870" s="28"/>
      <c r="W4870" s="28"/>
    </row>
    <row r="4871" spans="15:23" ht="15.6" x14ac:dyDescent="0.35">
      <c r="O4871" s="2" t="s">
        <v>68</v>
      </c>
      <c r="P4871" s="143">
        <v>10</v>
      </c>
      <c r="Q4871" s="2"/>
      <c r="R4871" s="96">
        <f ca="1">F_GAMMA*R$29</f>
        <v>0.64002969751372984</v>
      </c>
      <c r="S4871" s="107"/>
      <c r="T4871" s="1"/>
      <c r="U4871" s="27"/>
      <c r="V4871" s="28"/>
      <c r="W4871" s="28"/>
    </row>
    <row r="4872" spans="15:23" x14ac:dyDescent="0.25">
      <c r="O4872" s="2" t="s">
        <v>145</v>
      </c>
      <c r="P4872" s="12"/>
      <c r="Q4872" s="2"/>
      <c r="R4872" s="96">
        <f ca="1">IF(R4867&lt;R4871,R4869,R4870)</f>
        <v>175.29303562962281</v>
      </c>
      <c r="S4872" s="116"/>
      <c r="T4872" s="1"/>
      <c r="U4872" s="27"/>
      <c r="V4872" s="28"/>
      <c r="W4872" s="28"/>
    </row>
    <row r="4873" spans="15:23" x14ac:dyDescent="0.25">
      <c r="O4873" s="13" t="s">
        <v>143</v>
      </c>
      <c r="P4873" s="1"/>
      <c r="Q4873" s="1"/>
      <c r="R4873" s="113"/>
      <c r="S4873" s="106">
        <f ca="1">IF(R4866&lt;=0,Q_max,ABS(R$23-R4872))</f>
        <v>170.56303562962282</v>
      </c>
      <c r="T4873" s="7">
        <f>R4862</f>
        <v>295356.08410968533</v>
      </c>
      <c r="U4873" s="14"/>
      <c r="V4873" s="29"/>
      <c r="W4873" s="27"/>
    </row>
    <row r="4874" spans="15:23" x14ac:dyDescent="0.25">
      <c r="O4874" s="21"/>
      <c r="P4874" s="14"/>
      <c r="Q4874" s="21"/>
      <c r="R4874" s="97"/>
      <c r="S4874" s="106"/>
      <c r="T4874" s="28"/>
      <c r="U4874" s="28"/>
      <c r="V4874" s="28"/>
      <c r="W4874" s="28"/>
    </row>
    <row r="4875" spans="15:23" x14ac:dyDescent="0.25">
      <c r="O4875" s="1"/>
      <c r="P4875" s="1"/>
      <c r="Q4875" s="1"/>
      <c r="R4875" s="98"/>
      <c r="S4875" s="108" t="s">
        <v>137</v>
      </c>
      <c r="T4875" s="26" t="s">
        <v>146</v>
      </c>
      <c r="U4875" s="14"/>
      <c r="V4875" s="26"/>
      <c r="W4875" s="26"/>
    </row>
    <row r="4876" spans="15:23" ht="13.8" x14ac:dyDescent="0.25">
      <c r="O4876" s="20" t="s">
        <v>136</v>
      </c>
      <c r="P4876" s="1"/>
      <c r="Q4876" s="1"/>
      <c r="R4876" s="96">
        <f>R4862*1.02</f>
        <v>301263.20579187904</v>
      </c>
      <c r="S4876" s="109" t="s">
        <v>144</v>
      </c>
      <c r="T4876" s="23" t="s">
        <v>147</v>
      </c>
      <c r="U4876" s="27"/>
      <c r="V4876" s="26"/>
      <c r="W4876" s="26"/>
    </row>
    <row r="4877" spans="15:23" x14ac:dyDescent="0.25">
      <c r="O4877" s="1"/>
      <c r="P4877" s="1"/>
      <c r="Q4877" s="1"/>
      <c r="R4877" s="98"/>
      <c r="S4877" s="107"/>
      <c r="T4877" s="1"/>
      <c r="U4877" s="39"/>
      <c r="V4877" s="14"/>
      <c r="W4877" s="14"/>
    </row>
    <row r="4878" spans="15:23" x14ac:dyDescent="0.25">
      <c r="O4878" s="8" t="s">
        <v>132</v>
      </c>
      <c r="P4878" s="8"/>
      <c r="Q4878" s="8"/>
      <c r="R4878" s="96">
        <f>P_1_minQ-(R4876^2*R_up)+dpup_minQ</f>
        <v>73.643127867252105</v>
      </c>
      <c r="S4878" s="106"/>
      <c r="T4878" s="22"/>
      <c r="U4878" s="27"/>
      <c r="V4878" s="14"/>
      <c r="W4878" s="14"/>
    </row>
    <row r="4879" spans="15:23" x14ac:dyDescent="0.25">
      <c r="O4879" s="8" t="s">
        <v>134</v>
      </c>
      <c r="P4879" s="1"/>
      <c r="Q4879" s="8"/>
      <c r="R4879" s="97">
        <f>P_2_minQ+(R4876^2*R_dn)-dpdn_minQ</f>
        <v>60</v>
      </c>
      <c r="S4879" s="106"/>
      <c r="T4879" s="22"/>
      <c r="U4879" s="28"/>
      <c r="V4879" s="14"/>
      <c r="W4879" s="14"/>
    </row>
    <row r="4880" spans="15:23" x14ac:dyDescent="0.25">
      <c r="O4880" s="8" t="s">
        <v>138</v>
      </c>
      <c r="P4880" s="1"/>
      <c r="Q4880" s="8"/>
      <c r="R4880" s="97">
        <f>R4878-R4879</f>
        <v>13.643127867252105</v>
      </c>
      <c r="S4880" s="106"/>
      <c r="T4880" s="22"/>
      <c r="U4880" s="28"/>
      <c r="V4880" s="25"/>
      <c r="W4880" s="25"/>
    </row>
    <row r="4881" spans="15:23" ht="14.4" x14ac:dyDescent="0.3">
      <c r="O4881" s="2" t="s">
        <v>140</v>
      </c>
      <c r="P4881" s="11"/>
      <c r="Q4881" s="2"/>
      <c r="R4881" s="96">
        <f>R4880/R4878</f>
        <v>0.18526002713851294</v>
      </c>
      <c r="S4881" s="106"/>
      <c r="T4881" s="22"/>
      <c r="U4881" s="27"/>
      <c r="V4881" s="28"/>
      <c r="W4881" s="28"/>
    </row>
    <row r="4882" spans="15:23" x14ac:dyDescent="0.25">
      <c r="O4882" s="2" t="s">
        <v>21</v>
      </c>
      <c r="P4882" s="8">
        <v>12</v>
      </c>
      <c r="Q4882" s="2"/>
      <c r="R4882" s="96">
        <f ca="1">1-R4881/(3*F_GAMMA*R$29)</f>
        <v>0.9035148796698147</v>
      </c>
      <c r="S4882" s="106"/>
      <c r="T4882" s="22"/>
      <c r="U4882" s="27"/>
      <c r="V4882" s="28"/>
      <c r="W4882" s="28"/>
    </row>
    <row r="4883" spans="15:23" x14ac:dyDescent="0.25">
      <c r="O4883" s="2" t="s">
        <v>57</v>
      </c>
      <c r="P4883" s="143">
        <v>7</v>
      </c>
      <c r="Q4883" s="2"/>
      <c r="R4883" s="96">
        <f ca="1">(R4876/(N_9*R$27*R4878*R4882))*SQRT(M*'Valve Sizing'!$W$6*'Valve Sizing'!$G$8/R4881)</f>
        <v>183.00954041723853</v>
      </c>
      <c r="S4883" s="107"/>
      <c r="T4883" s="22"/>
      <c r="U4883" s="27"/>
      <c r="V4883" s="28"/>
      <c r="W4883" s="28"/>
    </row>
    <row r="4884" spans="15:23" x14ac:dyDescent="0.25">
      <c r="O4884" s="2" t="s">
        <v>59</v>
      </c>
      <c r="P4884" s="143">
        <v>7</v>
      </c>
      <c r="Q4884" s="2"/>
      <c r="R4884" s="96">
        <f ca="1">(R4876/(N_9*R$27*R4878*0.667))*SQRT(M*'Valve Sizing'!$W$6*'Valve Sizing'!$G$8/R4885)</f>
        <v>133.37486856246878</v>
      </c>
      <c r="S4884" s="107"/>
      <c r="T4884" s="22"/>
      <c r="U4884" s="27"/>
      <c r="V4884" s="28"/>
      <c r="W4884" s="28"/>
    </row>
    <row r="4885" spans="15:23" ht="15.6" x14ac:dyDescent="0.35">
      <c r="O4885" s="2" t="s">
        <v>68</v>
      </c>
      <c r="P4885" s="143">
        <v>10</v>
      </c>
      <c r="Q4885" s="2"/>
      <c r="R4885" s="96">
        <f ca="1">F_GAMMA*R$29</f>
        <v>0.64002969751372984</v>
      </c>
      <c r="S4885" s="107"/>
      <c r="T4885" s="1"/>
      <c r="U4885" s="27"/>
      <c r="V4885" s="28"/>
      <c r="W4885" s="28"/>
    </row>
    <row r="4886" spans="15:23" x14ac:dyDescent="0.25">
      <c r="O4886" s="2" t="s">
        <v>145</v>
      </c>
      <c r="P4886" s="12"/>
      <c r="Q4886" s="2"/>
      <c r="R4886" s="96">
        <f ca="1">IF(R4881&lt;R4885,R4883,R4884)</f>
        <v>183.00954041723853</v>
      </c>
      <c r="S4886" s="116"/>
      <c r="T4886" s="1"/>
      <c r="U4886" s="27"/>
      <c r="V4886" s="28"/>
      <c r="W4886" s="28"/>
    </row>
    <row r="4887" spans="15:23" x14ac:dyDescent="0.25">
      <c r="O4887" s="13" t="s">
        <v>143</v>
      </c>
      <c r="P4887" s="1"/>
      <c r="Q4887" s="1"/>
      <c r="R4887" s="113"/>
      <c r="S4887" s="106">
        <f ca="1">IF(R4880&lt;=0,Q_max,ABS(R$23-R4886))</f>
        <v>178.27954041723854</v>
      </c>
      <c r="T4887" s="7">
        <f>R4876</f>
        <v>301263.20579187904</v>
      </c>
      <c r="U4887" s="14"/>
      <c r="V4887" s="29"/>
      <c r="W4887" s="27"/>
    </row>
    <row r="4888" spans="15:23" x14ac:dyDescent="0.25">
      <c r="O4888" s="21"/>
      <c r="P4888" s="14"/>
      <c r="Q4888" s="21"/>
      <c r="R4888" s="97"/>
      <c r="S4888" s="106"/>
      <c r="T4888" s="28"/>
      <c r="U4888" s="28"/>
      <c r="V4888" s="28"/>
      <c r="W4888" s="28"/>
    </row>
    <row r="4889" spans="15:23" x14ac:dyDescent="0.25">
      <c r="O4889" s="1"/>
      <c r="P4889" s="1"/>
      <c r="Q4889" s="1"/>
      <c r="R4889" s="98"/>
      <c r="S4889" s="108" t="s">
        <v>137</v>
      </c>
      <c r="T4889" s="26" t="s">
        <v>146</v>
      </c>
      <c r="U4889" s="14"/>
      <c r="V4889" s="26"/>
      <c r="W4889" s="26"/>
    </row>
    <row r="4890" spans="15:23" ht="13.8" x14ac:dyDescent="0.25">
      <c r="O4890" s="20" t="s">
        <v>136</v>
      </c>
      <c r="P4890" s="1"/>
      <c r="Q4890" s="1"/>
      <c r="R4890" s="96">
        <f>R4876*1.02</f>
        <v>307288.46990771662</v>
      </c>
      <c r="S4890" s="109" t="s">
        <v>144</v>
      </c>
      <c r="T4890" s="23" t="s">
        <v>147</v>
      </c>
      <c r="U4890" s="27"/>
      <c r="V4890" s="26"/>
      <c r="W4890" s="26"/>
    </row>
    <row r="4891" spans="15:23" x14ac:dyDescent="0.25">
      <c r="O4891" s="1"/>
      <c r="P4891" s="1"/>
      <c r="Q4891" s="1"/>
      <c r="R4891" s="98"/>
      <c r="S4891" s="107"/>
      <c r="T4891" s="1"/>
      <c r="U4891" s="39"/>
      <c r="V4891" s="14"/>
      <c r="W4891" s="14"/>
    </row>
    <row r="4892" spans="15:23" x14ac:dyDescent="0.25">
      <c r="O4892" s="8" t="s">
        <v>132</v>
      </c>
      <c r="P4892" s="8"/>
      <c r="Q4892" s="8"/>
      <c r="R4892" s="96">
        <f>P_1_minQ-(R4890^2*R_up)+dpup_minQ</f>
        <v>72.974834595666749</v>
      </c>
      <c r="S4892" s="106"/>
      <c r="T4892" s="22"/>
      <c r="U4892" s="27"/>
      <c r="V4892" s="14"/>
      <c r="W4892" s="14"/>
    </row>
    <row r="4893" spans="15:23" x14ac:dyDescent="0.25">
      <c r="O4893" s="8" t="s">
        <v>134</v>
      </c>
      <c r="P4893" s="1"/>
      <c r="Q4893" s="8"/>
      <c r="R4893" s="97">
        <f>P_2_minQ+(R4890^2*R_dn)-dpdn_minQ</f>
        <v>60</v>
      </c>
      <c r="S4893" s="106"/>
      <c r="T4893" s="22"/>
      <c r="U4893" s="28"/>
      <c r="V4893" s="14"/>
      <c r="W4893" s="14"/>
    </row>
    <row r="4894" spans="15:23" x14ac:dyDescent="0.25">
      <c r="O4894" s="8" t="s">
        <v>138</v>
      </c>
      <c r="P4894" s="1"/>
      <c r="Q4894" s="8"/>
      <c r="R4894" s="97">
        <f>R4892-R4893</f>
        <v>12.974834595666749</v>
      </c>
      <c r="S4894" s="106"/>
      <c r="T4894" s="22"/>
      <c r="U4894" s="28"/>
      <c r="V4894" s="25"/>
      <c r="W4894" s="25"/>
    </row>
    <row r="4895" spans="15:23" ht="14.4" x14ac:dyDescent="0.3">
      <c r="O4895" s="2" t="s">
        <v>140</v>
      </c>
      <c r="P4895" s="11"/>
      <c r="Q4895" s="2"/>
      <c r="R4895" s="96">
        <f>R4894/R4892</f>
        <v>0.17779875305722442</v>
      </c>
      <c r="S4895" s="106"/>
      <c r="T4895" s="22"/>
      <c r="U4895" s="27"/>
      <c r="V4895" s="28"/>
      <c r="W4895" s="28"/>
    </row>
    <row r="4896" spans="15:23" x14ac:dyDescent="0.25">
      <c r="O4896" s="2" t="s">
        <v>21</v>
      </c>
      <c r="P4896" s="8">
        <v>12</v>
      </c>
      <c r="Q4896" s="2"/>
      <c r="R4896" s="96">
        <f ca="1">1-R4895/(3*F_GAMMA*R$29)</f>
        <v>0.90740077960553789</v>
      </c>
      <c r="S4896" s="106"/>
      <c r="T4896" s="22"/>
      <c r="U4896" s="27"/>
      <c r="V4896" s="28"/>
      <c r="W4896" s="28"/>
    </row>
    <row r="4897" spans="15:23" x14ac:dyDescent="0.25">
      <c r="O4897" s="2" t="s">
        <v>57</v>
      </c>
      <c r="P4897" s="143">
        <v>7</v>
      </c>
      <c r="Q4897" s="2"/>
      <c r="R4897" s="96">
        <f ca="1">(R4890/(N_9*R$27*R4892*R4896))*SQRT(M*'Valve Sizing'!$W$6*'Valve Sizing'!$G$8/R4895)</f>
        <v>191.46776879185131</v>
      </c>
      <c r="S4897" s="107"/>
      <c r="T4897" s="22"/>
      <c r="U4897" s="27"/>
      <c r="V4897" s="28"/>
      <c r="W4897" s="28"/>
    </row>
    <row r="4898" spans="15:23" x14ac:dyDescent="0.25">
      <c r="O4898" s="2" t="s">
        <v>59</v>
      </c>
      <c r="P4898" s="143">
        <v>7</v>
      </c>
      <c r="Q4898" s="2"/>
      <c r="R4898" s="96">
        <f ca="1">(R4890/(N_9*R$27*R4892*0.667))*SQRT(M*'Valve Sizing'!$W$6*'Valve Sizing'!$G$8/R4899)</f>
        <v>137.28822278708134</v>
      </c>
      <c r="S4898" s="107"/>
      <c r="T4898" s="22"/>
      <c r="U4898" s="27"/>
      <c r="V4898" s="28"/>
      <c r="W4898" s="28"/>
    </row>
    <row r="4899" spans="15:23" ht="15.6" x14ac:dyDescent="0.35">
      <c r="O4899" s="2" t="s">
        <v>68</v>
      </c>
      <c r="P4899" s="143">
        <v>10</v>
      </c>
      <c r="Q4899" s="2"/>
      <c r="R4899" s="96">
        <f ca="1">F_GAMMA*R$29</f>
        <v>0.64002969751372984</v>
      </c>
      <c r="S4899" s="107"/>
      <c r="T4899" s="1"/>
      <c r="U4899" s="27"/>
      <c r="V4899" s="28"/>
      <c r="W4899" s="28"/>
    </row>
    <row r="4900" spans="15:23" x14ac:dyDescent="0.25">
      <c r="O4900" s="2" t="s">
        <v>145</v>
      </c>
      <c r="P4900" s="12"/>
      <c r="Q4900" s="2"/>
      <c r="R4900" s="96">
        <f ca="1">IF(R4895&lt;R4899,R4897,R4898)</f>
        <v>191.46776879185131</v>
      </c>
      <c r="S4900" s="116"/>
      <c r="T4900" s="1"/>
      <c r="U4900" s="27"/>
      <c r="V4900" s="28"/>
      <c r="W4900" s="28"/>
    </row>
    <row r="4901" spans="15:23" x14ac:dyDescent="0.25">
      <c r="O4901" s="13" t="s">
        <v>143</v>
      </c>
      <c r="P4901" s="1"/>
      <c r="Q4901" s="1"/>
      <c r="R4901" s="113"/>
      <c r="S4901" s="106">
        <f ca="1">IF(R4894&lt;=0,Q_max,ABS(R$23-R4900))</f>
        <v>186.73776879185132</v>
      </c>
      <c r="T4901" s="7">
        <f>R4890</f>
        <v>307288.46990771662</v>
      </c>
      <c r="U4901" s="14"/>
      <c r="V4901" s="29"/>
      <c r="W4901" s="27"/>
    </row>
    <row r="4902" spans="15:23" x14ac:dyDescent="0.25">
      <c r="O4902" s="21"/>
      <c r="P4902" s="14"/>
      <c r="Q4902" s="21"/>
      <c r="R4902" s="97"/>
      <c r="S4902" s="106"/>
      <c r="T4902" s="28"/>
      <c r="U4902" s="25"/>
      <c r="V4902" s="25"/>
      <c r="W4902" s="25"/>
    </row>
    <row r="4903" spans="15:23" x14ac:dyDescent="0.25">
      <c r="O4903" s="1"/>
      <c r="P4903" s="1"/>
      <c r="Q4903" s="1"/>
      <c r="R4903" s="98"/>
      <c r="S4903" s="108" t="s">
        <v>137</v>
      </c>
      <c r="T4903" s="26" t="s">
        <v>146</v>
      </c>
      <c r="U4903" s="14"/>
      <c r="V4903" s="26"/>
      <c r="W4903" s="26"/>
    </row>
    <row r="4904" spans="15:23" ht="13.8" x14ac:dyDescent="0.25">
      <c r="O4904" s="20" t="s">
        <v>136</v>
      </c>
      <c r="P4904" s="1"/>
      <c r="Q4904" s="1"/>
      <c r="R4904" s="96">
        <f>R4890*1.02</f>
        <v>313434.23930587096</v>
      </c>
      <c r="S4904" s="109" t="s">
        <v>144</v>
      </c>
      <c r="T4904" s="23" t="s">
        <v>147</v>
      </c>
      <c r="U4904" s="27"/>
      <c r="V4904" s="26"/>
      <c r="W4904" s="26"/>
    </row>
    <row r="4905" spans="15:23" x14ac:dyDescent="0.25">
      <c r="O4905" s="1"/>
      <c r="P4905" s="1"/>
      <c r="Q4905" s="1"/>
      <c r="R4905" s="98"/>
      <c r="S4905" s="107"/>
      <c r="T4905" s="1"/>
      <c r="U4905" s="39"/>
      <c r="V4905" s="14"/>
      <c r="W4905" s="14"/>
    </row>
    <row r="4906" spans="15:23" x14ac:dyDescent="0.25">
      <c r="O4906" s="8" t="s">
        <v>132</v>
      </c>
      <c r="P4906" s="8"/>
      <c r="Q4906" s="8"/>
      <c r="R4906" s="96">
        <f>P_1_minQ-(R4904^2*R_up)+dpup_minQ</f>
        <v>72.279542275909364</v>
      </c>
      <c r="S4906" s="106"/>
      <c r="T4906" s="22"/>
      <c r="U4906" s="27"/>
      <c r="V4906" s="14"/>
      <c r="W4906" s="14"/>
    </row>
    <row r="4907" spans="15:23" x14ac:dyDescent="0.25">
      <c r="O4907" s="8" t="s">
        <v>134</v>
      </c>
      <c r="P4907" s="1"/>
      <c r="Q4907" s="8"/>
      <c r="R4907" s="97">
        <f>P_2_minQ+(R4904^2*R_dn)-dpdn_minQ</f>
        <v>60</v>
      </c>
      <c r="S4907" s="106"/>
      <c r="T4907" s="22"/>
      <c r="U4907" s="28"/>
      <c r="V4907" s="14"/>
      <c r="W4907" s="14"/>
    </row>
    <row r="4908" spans="15:23" x14ac:dyDescent="0.25">
      <c r="O4908" s="8" t="s">
        <v>138</v>
      </c>
      <c r="P4908" s="1"/>
      <c r="Q4908" s="8"/>
      <c r="R4908" s="97">
        <f>R4906-R4907</f>
        <v>12.279542275909364</v>
      </c>
      <c r="S4908" s="106"/>
      <c r="T4908" s="22"/>
      <c r="U4908" s="28"/>
      <c r="V4908" s="25"/>
      <c r="W4908" s="25"/>
    </row>
    <row r="4909" spans="15:23" ht="14.4" x14ac:dyDescent="0.3">
      <c r="O4909" s="2" t="s">
        <v>140</v>
      </c>
      <c r="P4909" s="11"/>
      <c r="Q4909" s="2"/>
      <c r="R4909" s="96">
        <f>R4908/R4906</f>
        <v>0.1698895965477373</v>
      </c>
      <c r="S4909" s="106"/>
      <c r="T4909" s="22"/>
      <c r="U4909" s="27"/>
      <c r="V4909" s="28"/>
      <c r="W4909" s="28"/>
    </row>
    <row r="4910" spans="15:23" x14ac:dyDescent="0.25">
      <c r="O4910" s="2" t="s">
        <v>21</v>
      </c>
      <c r="P4910" s="8">
        <v>12</v>
      </c>
      <c r="Q4910" s="2"/>
      <c r="R4910" s="96">
        <f ca="1">1-R4909/(3*F_GAMMA*R$29)</f>
        <v>0.91151994081540622</v>
      </c>
      <c r="S4910" s="106"/>
      <c r="T4910" s="22"/>
      <c r="U4910" s="27"/>
      <c r="V4910" s="28"/>
      <c r="W4910" s="28"/>
    </row>
    <row r="4911" spans="15:23" x14ac:dyDescent="0.25">
      <c r="O4911" s="2" t="s">
        <v>57</v>
      </c>
      <c r="P4911" s="143">
        <v>7</v>
      </c>
      <c r="Q4911" s="2"/>
      <c r="R4911" s="96">
        <f ca="1">(R4904/(N_9*R$27*R4906*R4910))*SQRT(M*'Valve Sizing'!$W$6*'Valve Sizing'!$G$8/R4909)</f>
        <v>200.80175808741106</v>
      </c>
      <c r="S4911" s="107"/>
      <c r="T4911" s="22"/>
      <c r="U4911" s="27"/>
      <c r="V4911" s="28"/>
      <c r="W4911" s="28"/>
    </row>
    <row r="4912" spans="15:23" x14ac:dyDescent="0.25">
      <c r="O4912" s="2" t="s">
        <v>59</v>
      </c>
      <c r="P4912" s="143">
        <v>7</v>
      </c>
      <c r="Q4912" s="2"/>
      <c r="R4912" s="96">
        <f ca="1">(R4904/(N_9*R$27*R4906*0.667))*SQRT(M*'Valve Sizing'!$W$6*'Valve Sizing'!$G$8/R4913)</f>
        <v>141.38104275492449</v>
      </c>
      <c r="S4912" s="107"/>
      <c r="T4912" s="22"/>
      <c r="U4912" s="27"/>
      <c r="V4912" s="28"/>
      <c r="W4912" s="28"/>
    </row>
    <row r="4913" spans="15:23" ht="15.6" x14ac:dyDescent="0.35">
      <c r="O4913" s="2" t="s">
        <v>68</v>
      </c>
      <c r="P4913" s="143">
        <v>10</v>
      </c>
      <c r="Q4913" s="2"/>
      <c r="R4913" s="96">
        <f ca="1">F_GAMMA*R$29</f>
        <v>0.64002969751372984</v>
      </c>
      <c r="S4913" s="107"/>
      <c r="T4913" s="1"/>
      <c r="U4913" s="27"/>
      <c r="V4913" s="28"/>
      <c r="W4913" s="28"/>
    </row>
    <row r="4914" spans="15:23" x14ac:dyDescent="0.25">
      <c r="O4914" s="2" t="s">
        <v>145</v>
      </c>
      <c r="P4914" s="12"/>
      <c r="Q4914" s="2"/>
      <c r="R4914" s="96">
        <f ca="1">IF(R4909&lt;R4913,R4911,R4912)</f>
        <v>200.80175808741106</v>
      </c>
      <c r="S4914" s="116"/>
      <c r="T4914" s="1"/>
      <c r="U4914" s="27"/>
      <c r="V4914" s="28"/>
      <c r="W4914" s="28"/>
    </row>
    <row r="4915" spans="15:23" x14ac:dyDescent="0.25">
      <c r="O4915" s="13" t="s">
        <v>143</v>
      </c>
      <c r="P4915" s="1"/>
      <c r="Q4915" s="1"/>
      <c r="R4915" s="113"/>
      <c r="S4915" s="106">
        <f ca="1">IF(R4908&lt;=0,Q_max,ABS(R$23-R4914))</f>
        <v>196.07175808741107</v>
      </c>
      <c r="T4915" s="7">
        <f>R4904</f>
        <v>313434.23930587096</v>
      </c>
      <c r="U4915" s="14"/>
      <c r="V4915" s="29"/>
      <c r="W4915" s="27"/>
    </row>
    <row r="4916" spans="15:23" x14ac:dyDescent="0.25">
      <c r="O4916" s="21"/>
      <c r="P4916" s="14"/>
      <c r="Q4916" s="21"/>
      <c r="R4916" s="97"/>
      <c r="S4916" s="106"/>
      <c r="T4916" s="28"/>
      <c r="U4916" s="28"/>
      <c r="V4916" s="28"/>
      <c r="W4916" s="28"/>
    </row>
    <row r="4917" spans="15:23" x14ac:dyDescent="0.25">
      <c r="O4917" s="1"/>
      <c r="P4917" s="1"/>
      <c r="Q4917" s="1"/>
      <c r="R4917" s="98"/>
      <c r="S4917" s="108" t="s">
        <v>137</v>
      </c>
      <c r="T4917" s="26" t="s">
        <v>146</v>
      </c>
      <c r="U4917" s="14"/>
      <c r="V4917" s="26"/>
      <c r="W4917" s="26"/>
    </row>
    <row r="4918" spans="15:23" ht="13.8" x14ac:dyDescent="0.25">
      <c r="O4918" s="20" t="s">
        <v>136</v>
      </c>
      <c r="P4918" s="1"/>
      <c r="Q4918" s="1"/>
      <c r="R4918" s="96">
        <f>R4904*1.02</f>
        <v>319702.92409198836</v>
      </c>
      <c r="S4918" s="109" t="s">
        <v>144</v>
      </c>
      <c r="T4918" s="23" t="s">
        <v>147</v>
      </c>
      <c r="U4918" s="27"/>
      <c r="V4918" s="26"/>
      <c r="W4918" s="26"/>
    </row>
    <row r="4919" spans="15:23" x14ac:dyDescent="0.25">
      <c r="O4919" s="1"/>
      <c r="P4919" s="1"/>
      <c r="Q4919" s="1"/>
      <c r="R4919" s="98"/>
      <c r="S4919" s="107"/>
      <c r="T4919" s="1"/>
      <c r="U4919" s="39"/>
      <c r="V4919" s="14"/>
      <c r="W4919" s="14"/>
    </row>
    <row r="4920" spans="15:23" x14ac:dyDescent="0.25">
      <c r="O4920" s="8" t="s">
        <v>132</v>
      </c>
      <c r="P4920" s="8"/>
      <c r="Q4920" s="8"/>
      <c r="R4920" s="96">
        <f>P_1_minQ-(R4918^2*R_up)+dpup_minQ</f>
        <v>71.556160146433783</v>
      </c>
      <c r="S4920" s="106"/>
      <c r="T4920" s="22"/>
      <c r="U4920" s="27"/>
      <c r="V4920" s="14"/>
      <c r="W4920" s="14"/>
    </row>
    <row r="4921" spans="15:23" x14ac:dyDescent="0.25">
      <c r="O4921" s="8" t="s">
        <v>134</v>
      </c>
      <c r="P4921" s="1"/>
      <c r="Q4921" s="8"/>
      <c r="R4921" s="97">
        <f>P_2_minQ+(R4918^2*R_dn)-dpdn_minQ</f>
        <v>60</v>
      </c>
      <c r="S4921" s="106"/>
      <c r="T4921" s="22"/>
      <c r="U4921" s="28"/>
      <c r="V4921" s="14"/>
      <c r="W4921" s="14"/>
    </row>
    <row r="4922" spans="15:23" x14ac:dyDescent="0.25">
      <c r="O4922" s="8" t="s">
        <v>138</v>
      </c>
      <c r="P4922" s="1"/>
      <c r="Q4922" s="8"/>
      <c r="R4922" s="97">
        <f>R4920-R4921</f>
        <v>11.556160146433783</v>
      </c>
      <c r="S4922" s="106"/>
      <c r="T4922" s="22"/>
      <c r="U4922" s="28"/>
      <c r="V4922" s="25"/>
      <c r="W4922" s="25"/>
    </row>
    <row r="4923" spans="15:23" ht="14.4" x14ac:dyDescent="0.3">
      <c r="O4923" s="2" t="s">
        <v>140</v>
      </c>
      <c r="P4923" s="11"/>
      <c r="Q4923" s="2"/>
      <c r="R4923" s="96">
        <f>R4922/R4920</f>
        <v>0.16149776794597492</v>
      </c>
      <c r="S4923" s="106"/>
      <c r="T4923" s="22"/>
      <c r="U4923" s="27"/>
      <c r="V4923" s="28"/>
      <c r="W4923" s="28"/>
    </row>
    <row r="4924" spans="15:23" x14ac:dyDescent="0.25">
      <c r="O4924" s="2" t="s">
        <v>21</v>
      </c>
      <c r="P4924" s="8">
        <v>12</v>
      </c>
      <c r="Q4924" s="2"/>
      <c r="R4924" s="96">
        <f ca="1">1-R4923/(3*F_GAMMA*R$29)</f>
        <v>0.91589048207537249</v>
      </c>
      <c r="S4924" s="106"/>
      <c r="T4924" s="22"/>
      <c r="U4924" s="27"/>
      <c r="V4924" s="28"/>
      <c r="W4924" s="28"/>
    </row>
    <row r="4925" spans="15:23" x14ac:dyDescent="0.25">
      <c r="O4925" s="2" t="s">
        <v>57</v>
      </c>
      <c r="P4925" s="143">
        <v>7</v>
      </c>
      <c r="Q4925" s="2"/>
      <c r="R4925" s="96">
        <f ca="1">(R4918/(N_9*R$27*R4920*R4924))*SQRT(M*'Valve Sizing'!$W$6*'Valve Sizing'!$G$8/R4923)</f>
        <v>211.18292816050905</v>
      </c>
      <c r="S4925" s="107"/>
      <c r="T4925" s="22"/>
      <c r="U4925" s="27"/>
      <c r="V4925" s="28"/>
      <c r="W4925" s="28"/>
    </row>
    <row r="4926" spans="15:23" x14ac:dyDescent="0.25">
      <c r="O4926" s="2" t="s">
        <v>59</v>
      </c>
      <c r="P4926" s="143">
        <v>7</v>
      </c>
      <c r="Q4926" s="2"/>
      <c r="R4926" s="96">
        <f ca="1">(R4918/(N_9*R$27*R4920*0.667))*SQRT(M*'Valve Sizing'!$W$6*'Valve Sizing'!$G$8/R4927)</f>
        <v>145.66651112388575</v>
      </c>
      <c r="S4926" s="107"/>
      <c r="T4926" s="22"/>
      <c r="U4926" s="27"/>
      <c r="V4926" s="28"/>
      <c r="W4926" s="28"/>
    </row>
    <row r="4927" spans="15:23" ht="15.6" x14ac:dyDescent="0.35">
      <c r="O4927" s="2" t="s">
        <v>68</v>
      </c>
      <c r="P4927" s="143">
        <v>10</v>
      </c>
      <c r="Q4927" s="2"/>
      <c r="R4927" s="96">
        <f ca="1">F_GAMMA*R$29</f>
        <v>0.64002969751372984</v>
      </c>
      <c r="S4927" s="107"/>
      <c r="T4927" s="1"/>
      <c r="U4927" s="27"/>
      <c r="V4927" s="28"/>
      <c r="W4927" s="28"/>
    </row>
    <row r="4928" spans="15:23" x14ac:dyDescent="0.25">
      <c r="O4928" s="2" t="s">
        <v>145</v>
      </c>
      <c r="P4928" s="12"/>
      <c r="Q4928" s="2"/>
      <c r="R4928" s="96">
        <f ca="1">IF(R4923&lt;R4927,R4925,R4926)</f>
        <v>211.18292816050905</v>
      </c>
      <c r="S4928" s="116"/>
      <c r="T4928" s="1"/>
      <c r="U4928" s="27"/>
      <c r="V4928" s="28"/>
      <c r="W4928" s="28"/>
    </row>
    <row r="4929" spans="15:23" x14ac:dyDescent="0.25">
      <c r="O4929" s="13" t="s">
        <v>143</v>
      </c>
      <c r="P4929" s="1"/>
      <c r="Q4929" s="1"/>
      <c r="R4929" s="113"/>
      <c r="S4929" s="106">
        <f ca="1">IF(R4922&lt;=0,Q_max,ABS(R$23-R4928))</f>
        <v>206.45292816050906</v>
      </c>
      <c r="T4929" s="7">
        <f>R4918</f>
        <v>319702.92409198836</v>
      </c>
      <c r="U4929" s="14"/>
      <c r="V4929" s="29"/>
      <c r="W4929" s="27"/>
    </row>
    <row r="4930" spans="15:23" x14ac:dyDescent="0.25">
      <c r="O4930" s="21"/>
      <c r="P4930" s="14"/>
      <c r="Q4930" s="21"/>
      <c r="R4930" s="97"/>
      <c r="S4930" s="106"/>
      <c r="T4930" s="28"/>
      <c r="U4930" s="28"/>
      <c r="V4930" s="28"/>
      <c r="W4930" s="28"/>
    </row>
    <row r="4931" spans="15:23" x14ac:dyDescent="0.25">
      <c r="O4931" s="1"/>
      <c r="P4931" s="1"/>
      <c r="Q4931" s="1"/>
      <c r="R4931" s="98"/>
      <c r="S4931" s="108" t="s">
        <v>137</v>
      </c>
      <c r="T4931" s="26" t="s">
        <v>146</v>
      </c>
      <c r="U4931" s="14"/>
      <c r="V4931" s="26"/>
      <c r="W4931" s="26"/>
    </row>
    <row r="4932" spans="15:23" ht="13.8" x14ac:dyDescent="0.25">
      <c r="O4932" s="20" t="s">
        <v>136</v>
      </c>
      <c r="P4932" s="1"/>
      <c r="Q4932" s="1"/>
      <c r="R4932" s="96">
        <f>R4918*1.02</f>
        <v>326096.98257382814</v>
      </c>
      <c r="S4932" s="109" t="s">
        <v>144</v>
      </c>
      <c r="T4932" s="23" t="s">
        <v>147</v>
      </c>
      <c r="U4932" s="27"/>
      <c r="V4932" s="26"/>
      <c r="W4932" s="26"/>
    </row>
    <row r="4933" spans="15:23" x14ac:dyDescent="0.25">
      <c r="O4933" s="1"/>
      <c r="P4933" s="1"/>
      <c r="Q4933" s="1"/>
      <c r="R4933" s="98"/>
      <c r="S4933" s="107"/>
      <c r="T4933" s="1"/>
      <c r="U4933" s="39"/>
      <c r="V4933" s="14"/>
      <c r="W4933" s="14"/>
    </row>
    <row r="4934" spans="15:23" x14ac:dyDescent="0.25">
      <c r="O4934" s="8" t="s">
        <v>132</v>
      </c>
      <c r="P4934" s="8"/>
      <c r="Q4934" s="8"/>
      <c r="R4934" s="96">
        <f>P_1_minQ-(R4932^2*R_up)+dpup_minQ</f>
        <v>70.80355337892739</v>
      </c>
      <c r="S4934" s="106"/>
      <c r="T4934" s="22"/>
      <c r="U4934" s="27"/>
      <c r="V4934" s="14"/>
      <c r="W4934" s="14"/>
    </row>
    <row r="4935" spans="15:23" x14ac:dyDescent="0.25">
      <c r="O4935" s="8" t="s">
        <v>134</v>
      </c>
      <c r="P4935" s="1"/>
      <c r="Q4935" s="8"/>
      <c r="R4935" s="97">
        <f>P_2_minQ+(R4932^2*R_dn)-dpdn_minQ</f>
        <v>60</v>
      </c>
      <c r="S4935" s="106"/>
      <c r="T4935" s="22"/>
      <c r="U4935" s="28"/>
      <c r="V4935" s="14"/>
      <c r="W4935" s="14"/>
    </row>
    <row r="4936" spans="15:23" x14ac:dyDescent="0.25">
      <c r="O4936" s="8" t="s">
        <v>138</v>
      </c>
      <c r="P4936" s="1"/>
      <c r="Q4936" s="8"/>
      <c r="R4936" s="97">
        <f>R4934-R4935</f>
        <v>10.80355337892739</v>
      </c>
      <c r="S4936" s="106"/>
      <c r="T4936" s="22"/>
      <c r="U4936" s="28"/>
      <c r="V4936" s="25"/>
      <c r="W4936" s="25"/>
    </row>
    <row r="4937" spans="15:23" ht="14.4" x14ac:dyDescent="0.3">
      <c r="O4937" s="2" t="s">
        <v>140</v>
      </c>
      <c r="P4937" s="11"/>
      <c r="Q4937" s="2"/>
      <c r="R4937" s="96">
        <f>R4936/R4934</f>
        <v>0.15258490377041942</v>
      </c>
      <c r="S4937" s="106"/>
      <c r="T4937" s="22"/>
      <c r="U4937" s="27"/>
      <c r="V4937" s="28"/>
      <c r="W4937" s="28"/>
    </row>
    <row r="4938" spans="15:23" x14ac:dyDescent="0.25">
      <c r="O4938" s="2" t="s">
        <v>21</v>
      </c>
      <c r="P4938" s="8">
        <v>12</v>
      </c>
      <c r="Q4938" s="2"/>
      <c r="R4938" s="96">
        <f ca="1">1-R4937/(3*F_GAMMA*R$29)</f>
        <v>0.92053238343827204</v>
      </c>
      <c r="S4938" s="106"/>
      <c r="T4938" s="22"/>
      <c r="U4938" s="27"/>
      <c r="V4938" s="28"/>
      <c r="W4938" s="28"/>
    </row>
    <row r="4939" spans="15:23" x14ac:dyDescent="0.25">
      <c r="O4939" s="2" t="s">
        <v>57</v>
      </c>
      <c r="P4939" s="143">
        <v>7</v>
      </c>
      <c r="Q4939" s="2"/>
      <c r="R4939" s="96">
        <f ca="1">(R4932/(N_9*R$27*R4934*R4938))*SQRT(M*'Valve Sizing'!$W$6*'Valve Sizing'!$G$8/R4937)</f>
        <v>222.83474352952931</v>
      </c>
      <c r="S4939" s="107"/>
      <c r="T4939" s="22"/>
      <c r="U4939" s="27"/>
      <c r="V4939" s="28"/>
      <c r="W4939" s="28"/>
    </row>
    <row r="4940" spans="15:23" x14ac:dyDescent="0.25">
      <c r="O4940" s="2" t="s">
        <v>59</v>
      </c>
      <c r="P4940" s="143">
        <v>7</v>
      </c>
      <c r="Q4940" s="2"/>
      <c r="R4940" s="96">
        <f ca="1">(R4932/(N_9*R$27*R4934*0.667))*SQRT(M*'Valve Sizing'!$W$6*'Valve Sizing'!$G$8/R4941)</f>
        <v>150.15917160276811</v>
      </c>
      <c r="S4940" s="107"/>
      <c r="T4940" s="22"/>
      <c r="U4940" s="27"/>
      <c r="V4940" s="28"/>
      <c r="W4940" s="28"/>
    </row>
    <row r="4941" spans="15:23" ht="15.6" x14ac:dyDescent="0.35">
      <c r="O4941" s="2" t="s">
        <v>68</v>
      </c>
      <c r="P4941" s="143">
        <v>10</v>
      </c>
      <c r="Q4941" s="2"/>
      <c r="R4941" s="96">
        <f ca="1">F_GAMMA*R$29</f>
        <v>0.64002969751372984</v>
      </c>
      <c r="S4941" s="107"/>
      <c r="T4941" s="1"/>
      <c r="U4941" s="27"/>
      <c r="V4941" s="28"/>
      <c r="W4941" s="28"/>
    </row>
    <row r="4942" spans="15:23" x14ac:dyDescent="0.25">
      <c r="O4942" s="2" t="s">
        <v>145</v>
      </c>
      <c r="P4942" s="12"/>
      <c r="Q4942" s="2"/>
      <c r="R4942" s="96">
        <f ca="1">IF(R4937&lt;R4941,R4939,R4940)</f>
        <v>222.83474352952931</v>
      </c>
      <c r="S4942" s="116"/>
      <c r="T4942" s="1"/>
      <c r="U4942" s="27"/>
      <c r="V4942" s="28"/>
      <c r="W4942" s="28"/>
    </row>
    <row r="4943" spans="15:23" x14ac:dyDescent="0.25">
      <c r="O4943" s="13" t="s">
        <v>143</v>
      </c>
      <c r="P4943" s="1"/>
      <c r="Q4943" s="1"/>
      <c r="R4943" s="113"/>
      <c r="S4943" s="106">
        <f ca="1">IF(R4936&lt;=0,Q_max,ABS(R$23-R4942))</f>
        <v>218.10474352952932</v>
      </c>
      <c r="T4943" s="7">
        <f>R4932</f>
        <v>326096.98257382814</v>
      </c>
      <c r="U4943" s="14"/>
      <c r="V4943" s="29"/>
      <c r="W4943" s="27"/>
    </row>
    <row r="4944" spans="15:23" x14ac:dyDescent="0.25">
      <c r="O4944" s="21"/>
      <c r="P4944" s="14"/>
      <c r="Q4944" s="21"/>
      <c r="R4944" s="97"/>
      <c r="S4944" s="106"/>
      <c r="T4944" s="28"/>
      <c r="U4944" s="28"/>
      <c r="V4944" s="28"/>
      <c r="W4944" s="28"/>
    </row>
    <row r="4945" spans="15:23" x14ac:dyDescent="0.25">
      <c r="O4945" s="1"/>
      <c r="P4945" s="1"/>
      <c r="Q4945" s="1"/>
      <c r="R4945" s="98"/>
      <c r="S4945" s="108" t="s">
        <v>137</v>
      </c>
      <c r="T4945" s="26" t="s">
        <v>146</v>
      </c>
      <c r="U4945" s="14"/>
      <c r="V4945" s="26"/>
      <c r="W4945" s="26"/>
    </row>
    <row r="4946" spans="15:23" ht="13.8" x14ac:dyDescent="0.25">
      <c r="O4946" s="20" t="s">
        <v>136</v>
      </c>
      <c r="P4946" s="1"/>
      <c r="Q4946" s="1"/>
      <c r="R4946" s="96">
        <f>R4932*1.02</f>
        <v>332618.9222253047</v>
      </c>
      <c r="S4946" s="109" t="s">
        <v>144</v>
      </c>
      <c r="T4946" s="23" t="s">
        <v>147</v>
      </c>
      <c r="U4946" s="27"/>
      <c r="V4946" s="26"/>
      <c r="W4946" s="26"/>
    </row>
    <row r="4947" spans="15:23" x14ac:dyDescent="0.25">
      <c r="O4947" s="1"/>
      <c r="P4947" s="1"/>
      <c r="Q4947" s="1"/>
      <c r="R4947" s="98"/>
      <c r="S4947" s="107"/>
      <c r="T4947" s="1"/>
      <c r="U4947" s="39"/>
      <c r="V4947" s="14"/>
      <c r="W4947" s="14"/>
    </row>
    <row r="4948" spans="15:23" x14ac:dyDescent="0.25">
      <c r="O4948" s="8" t="s">
        <v>132</v>
      </c>
      <c r="P4948" s="8"/>
      <c r="Q4948" s="8"/>
      <c r="R4948" s="96">
        <f>P_1_minQ-(R4946^2*R_up)+dpup_minQ</f>
        <v>70.020541298013725</v>
      </c>
      <c r="S4948" s="106"/>
      <c r="T4948" s="22"/>
      <c r="U4948" s="27"/>
      <c r="V4948" s="14"/>
      <c r="W4948" s="14"/>
    </row>
    <row r="4949" spans="15:23" x14ac:dyDescent="0.25">
      <c r="O4949" s="8" t="s">
        <v>134</v>
      </c>
      <c r="P4949" s="1"/>
      <c r="Q4949" s="8"/>
      <c r="R4949" s="97">
        <f>P_2_minQ+(R4946^2*R_dn)-dpdn_minQ</f>
        <v>60</v>
      </c>
      <c r="S4949" s="106"/>
      <c r="T4949" s="22"/>
      <c r="U4949" s="28"/>
      <c r="V4949" s="14"/>
      <c r="W4949" s="14"/>
    </row>
    <row r="4950" spans="15:23" x14ac:dyDescent="0.25">
      <c r="O4950" s="8" t="s">
        <v>138</v>
      </c>
      <c r="P4950" s="1"/>
      <c r="Q4950" s="8"/>
      <c r="R4950" s="97">
        <f>R4948-R4949</f>
        <v>10.020541298013725</v>
      </c>
      <c r="S4950" s="106"/>
      <c r="T4950" s="22"/>
      <c r="U4950" s="28"/>
      <c r="V4950" s="25"/>
      <c r="W4950" s="25"/>
    </row>
    <row r="4951" spans="15:23" ht="14.4" x14ac:dyDescent="0.3">
      <c r="O4951" s="2" t="s">
        <v>140</v>
      </c>
      <c r="P4951" s="11"/>
      <c r="Q4951" s="2"/>
      <c r="R4951" s="96">
        <f>R4950/R4948</f>
        <v>0.14310859516731525</v>
      </c>
      <c r="S4951" s="106"/>
      <c r="T4951" s="22"/>
      <c r="U4951" s="27"/>
      <c r="V4951" s="28"/>
      <c r="W4951" s="28"/>
    </row>
    <row r="4952" spans="15:23" x14ac:dyDescent="0.25">
      <c r="O4952" s="2" t="s">
        <v>21</v>
      </c>
      <c r="P4952" s="8">
        <v>12</v>
      </c>
      <c r="Q4952" s="2"/>
      <c r="R4952" s="96">
        <f ca="1">1-R4951/(3*F_GAMMA*R$29)</f>
        <v>0.92546773182388398</v>
      </c>
      <c r="S4952" s="106"/>
      <c r="T4952" s="22"/>
      <c r="U4952" s="27"/>
      <c r="V4952" s="28"/>
      <c r="W4952" s="28"/>
    </row>
    <row r="4953" spans="15:23" x14ac:dyDescent="0.25">
      <c r="O4953" s="2" t="s">
        <v>57</v>
      </c>
      <c r="P4953" s="143">
        <v>7</v>
      </c>
      <c r="Q4953" s="2"/>
      <c r="R4953" s="96">
        <f ca="1">(R4946/(N_9*R$27*R4948*R4952))*SQRT(M*'Valve Sizing'!$W$6*'Valve Sizing'!$G$8/R4951)</f>
        <v>236.05509700803279</v>
      </c>
      <c r="S4953" s="107"/>
      <c r="T4953" s="22"/>
      <c r="U4953" s="27"/>
      <c r="V4953" s="28"/>
      <c r="W4953" s="28"/>
    </row>
    <row r="4954" spans="15:23" x14ac:dyDescent="0.25">
      <c r="O4954" s="2" t="s">
        <v>59</v>
      </c>
      <c r="P4954" s="143">
        <v>7</v>
      </c>
      <c r="Q4954" s="2"/>
      <c r="R4954" s="96">
        <f ca="1">(R4946/(N_9*R$27*R4948*0.667))*SQRT(M*'Valve Sizing'!$W$6*'Valve Sizing'!$G$8/R4955)</f>
        <v>154.87510920824568</v>
      </c>
      <c r="S4954" s="107"/>
      <c r="T4954" s="22"/>
      <c r="U4954" s="27"/>
      <c r="V4954" s="28"/>
      <c r="W4954" s="28"/>
    </row>
    <row r="4955" spans="15:23" ht="15.6" x14ac:dyDescent="0.35">
      <c r="O4955" s="2" t="s">
        <v>68</v>
      </c>
      <c r="P4955" s="143">
        <v>10</v>
      </c>
      <c r="Q4955" s="2"/>
      <c r="R4955" s="96">
        <f ca="1">F_GAMMA*R$29</f>
        <v>0.64002969751372984</v>
      </c>
      <c r="S4955" s="107"/>
      <c r="T4955" s="1"/>
      <c r="U4955" s="27"/>
      <c r="V4955" s="28"/>
      <c r="W4955" s="28"/>
    </row>
    <row r="4956" spans="15:23" x14ac:dyDescent="0.25">
      <c r="O4956" s="2" t="s">
        <v>145</v>
      </c>
      <c r="P4956" s="12"/>
      <c r="Q4956" s="2"/>
      <c r="R4956" s="96">
        <f ca="1">IF(R4951&lt;R4955,R4953,R4954)</f>
        <v>236.05509700803279</v>
      </c>
      <c r="S4956" s="116"/>
      <c r="T4956" s="1"/>
      <c r="U4956" s="27"/>
      <c r="V4956" s="28"/>
      <c r="W4956" s="28"/>
    </row>
    <row r="4957" spans="15:23" x14ac:dyDescent="0.25">
      <c r="O4957" s="13" t="s">
        <v>143</v>
      </c>
      <c r="P4957" s="1"/>
      <c r="Q4957" s="1"/>
      <c r="R4957" s="113"/>
      <c r="S4957" s="106">
        <f ca="1">IF(R4950&lt;=0,Q_max,ABS(R$23-R4956))</f>
        <v>231.3250970080328</v>
      </c>
      <c r="T4957" s="7">
        <f>R4946</f>
        <v>332618.9222253047</v>
      </c>
      <c r="U4957" s="14"/>
      <c r="V4957" s="29"/>
      <c r="W4957" s="27"/>
    </row>
    <row r="4958" spans="15:23" x14ac:dyDescent="0.25">
      <c r="O4958" s="21"/>
      <c r="P4958" s="14"/>
      <c r="Q4958" s="21"/>
      <c r="R4958" s="97"/>
      <c r="S4958" s="106"/>
      <c r="T4958" s="28"/>
      <c r="U4958" s="25"/>
      <c r="V4958" s="14"/>
      <c r="W4958" s="14"/>
    </row>
    <row r="4959" spans="15:23" x14ac:dyDescent="0.25">
      <c r="O4959" s="1"/>
      <c r="P4959" s="1"/>
      <c r="Q4959" s="1"/>
      <c r="R4959" s="98"/>
      <c r="S4959" s="108" t="s">
        <v>137</v>
      </c>
      <c r="T4959" s="26" t="s">
        <v>146</v>
      </c>
      <c r="U4959" s="14"/>
      <c r="V4959" s="26"/>
      <c r="W4959" s="26"/>
    </row>
    <row r="4960" spans="15:23" ht="13.8" x14ac:dyDescent="0.25">
      <c r="O4960" s="20" t="s">
        <v>136</v>
      </c>
      <c r="P4960" s="1"/>
      <c r="Q4960" s="1"/>
      <c r="R4960" s="96">
        <f>R4946*1.02</f>
        <v>339271.30066981079</v>
      </c>
      <c r="S4960" s="109" t="s">
        <v>144</v>
      </c>
      <c r="T4960" s="23" t="s">
        <v>147</v>
      </c>
      <c r="U4960" s="27"/>
      <c r="V4960" s="26"/>
      <c r="W4960" s="26"/>
    </row>
    <row r="4961" spans="15:23" x14ac:dyDescent="0.25">
      <c r="O4961" s="1"/>
      <c r="P4961" s="1"/>
      <c r="Q4961" s="1"/>
      <c r="R4961" s="98"/>
      <c r="S4961" s="107"/>
      <c r="T4961" s="1"/>
      <c r="U4961" s="39"/>
      <c r="V4961" s="14"/>
      <c r="W4961" s="14"/>
    </row>
    <row r="4962" spans="15:23" x14ac:dyDescent="0.25">
      <c r="O4962" s="8" t="s">
        <v>132</v>
      </c>
      <c r="P4962" s="8"/>
      <c r="Q4962" s="8"/>
      <c r="R4962" s="96">
        <f>P_1_minQ-(R4960^2*R_up)+dpup_minQ</f>
        <v>69.205895529031153</v>
      </c>
      <c r="S4962" s="106"/>
      <c r="T4962" s="22"/>
      <c r="U4962" s="27"/>
      <c r="V4962" s="14"/>
      <c r="W4962" s="14"/>
    </row>
    <row r="4963" spans="15:23" x14ac:dyDescent="0.25">
      <c r="O4963" s="8" t="s">
        <v>134</v>
      </c>
      <c r="P4963" s="1"/>
      <c r="Q4963" s="8"/>
      <c r="R4963" s="97">
        <f>P_2_minQ+(R4960^2*R_dn)-dpdn_minQ</f>
        <v>60</v>
      </c>
      <c r="S4963" s="106"/>
      <c r="T4963" s="22"/>
      <c r="U4963" s="28"/>
      <c r="V4963" s="14"/>
      <c r="W4963" s="14"/>
    </row>
    <row r="4964" spans="15:23" x14ac:dyDescent="0.25">
      <c r="O4964" s="8" t="s">
        <v>138</v>
      </c>
      <c r="P4964" s="1"/>
      <c r="Q4964" s="8"/>
      <c r="R4964" s="97">
        <f>R4962-R4963</f>
        <v>9.205895529031153</v>
      </c>
      <c r="S4964" s="106"/>
      <c r="T4964" s="22"/>
      <c r="U4964" s="28"/>
      <c r="V4964" s="25"/>
      <c r="W4964" s="25"/>
    </row>
    <row r="4965" spans="15:23" ht="14.4" x14ac:dyDescent="0.3">
      <c r="O4965" s="2" t="s">
        <v>140</v>
      </c>
      <c r="P4965" s="11"/>
      <c r="Q4965" s="2"/>
      <c r="R4965" s="96">
        <f>R4964/R4962</f>
        <v>0.13302183952188545</v>
      </c>
      <c r="S4965" s="106"/>
      <c r="T4965" s="22"/>
      <c r="U4965" s="27"/>
      <c r="V4965" s="28"/>
      <c r="W4965" s="28"/>
    </row>
    <row r="4966" spans="15:23" x14ac:dyDescent="0.25">
      <c r="O4966" s="2" t="s">
        <v>21</v>
      </c>
      <c r="P4966" s="8">
        <v>12</v>
      </c>
      <c r="Q4966" s="2"/>
      <c r="R4966" s="96">
        <f ca="1">1-R4965/(3*F_GAMMA*R$29)</f>
        <v>0.93072100662483614</v>
      </c>
      <c r="S4966" s="106"/>
      <c r="T4966" s="22"/>
      <c r="U4966" s="27"/>
      <c r="V4966" s="28"/>
      <c r="W4966" s="28"/>
    </row>
    <row r="4967" spans="15:23" x14ac:dyDescent="0.25">
      <c r="O4967" s="2" t="s">
        <v>57</v>
      </c>
      <c r="P4967" s="143">
        <v>7</v>
      </c>
      <c r="Q4967" s="2"/>
      <c r="R4967" s="96">
        <f ca="1">(R4960/(N_9*R$27*R4962*R4966))*SQRT(M*'Valve Sizing'!$W$6*'Valve Sizing'!$G$8/R4965)</f>
        <v>251.25173785434112</v>
      </c>
      <c r="S4967" s="107"/>
      <c r="T4967" s="22"/>
      <c r="U4967" s="27"/>
      <c r="V4967" s="28"/>
      <c r="W4967" s="28"/>
    </row>
    <row r="4968" spans="15:23" x14ac:dyDescent="0.25">
      <c r="O4968" s="2" t="s">
        <v>59</v>
      </c>
      <c r="P4968" s="143">
        <v>7</v>
      </c>
      <c r="Q4968" s="2"/>
      <c r="R4968" s="96">
        <f ca="1">(R4960/(N_9*R$27*R4962*0.667))*SQRT(M*'Valve Sizing'!$W$6*'Valve Sizing'!$G$8/R4969)</f>
        <v>159.83215989622221</v>
      </c>
      <c r="S4968" s="107"/>
      <c r="T4968" s="22"/>
      <c r="U4968" s="27"/>
      <c r="V4968" s="28"/>
      <c r="W4968" s="28"/>
    </row>
    <row r="4969" spans="15:23" ht="15.6" x14ac:dyDescent="0.35">
      <c r="O4969" s="2" t="s">
        <v>68</v>
      </c>
      <c r="P4969" s="143">
        <v>10</v>
      </c>
      <c r="Q4969" s="2"/>
      <c r="R4969" s="96">
        <f ca="1">F_GAMMA*R$29</f>
        <v>0.64002969751372984</v>
      </c>
      <c r="S4969" s="107"/>
      <c r="T4969" s="1"/>
      <c r="U4969" s="27"/>
      <c r="V4969" s="28"/>
      <c r="W4969" s="28"/>
    </row>
    <row r="4970" spans="15:23" x14ac:dyDescent="0.25">
      <c r="O4970" s="2" t="s">
        <v>145</v>
      </c>
      <c r="P4970" s="12"/>
      <c r="Q4970" s="2"/>
      <c r="R4970" s="96">
        <f ca="1">IF(R4965&lt;R4969,R4967,R4968)</f>
        <v>251.25173785434112</v>
      </c>
      <c r="S4970" s="116"/>
      <c r="T4970" s="1"/>
      <c r="U4970" s="27"/>
      <c r="V4970" s="28"/>
      <c r="W4970" s="28"/>
    </row>
    <row r="4971" spans="15:23" x14ac:dyDescent="0.25">
      <c r="O4971" s="13" t="s">
        <v>143</v>
      </c>
      <c r="P4971" s="1"/>
      <c r="Q4971" s="1"/>
      <c r="R4971" s="113"/>
      <c r="S4971" s="106">
        <f ca="1">IF(R4964&lt;=0,Q_max,ABS(R$23-R4970))</f>
        <v>246.52173785434113</v>
      </c>
      <c r="T4971" s="7">
        <f>R4960</f>
        <v>339271.30066981079</v>
      </c>
      <c r="U4971" s="14"/>
      <c r="V4971" s="29"/>
      <c r="W4971" s="27"/>
    </row>
    <row r="4972" spans="15:23" x14ac:dyDescent="0.25">
      <c r="O4972" s="21"/>
      <c r="P4972" s="14"/>
      <c r="Q4972" s="21"/>
      <c r="R4972" s="97"/>
      <c r="S4972" s="106"/>
      <c r="T4972" s="28"/>
      <c r="U4972" s="28"/>
      <c r="V4972" s="28"/>
      <c r="W4972" s="28"/>
    </row>
    <row r="4973" spans="15:23" x14ac:dyDescent="0.25">
      <c r="O4973" s="1"/>
      <c r="P4973" s="1"/>
      <c r="Q4973" s="1"/>
      <c r="R4973" s="98"/>
      <c r="S4973" s="108" t="s">
        <v>137</v>
      </c>
      <c r="T4973" s="26" t="s">
        <v>146</v>
      </c>
      <c r="U4973" s="14"/>
      <c r="V4973" s="26"/>
      <c r="W4973" s="26"/>
    </row>
    <row r="4974" spans="15:23" ht="13.8" x14ac:dyDescent="0.25">
      <c r="O4974" s="20" t="s">
        <v>136</v>
      </c>
      <c r="P4974" s="1"/>
      <c r="Q4974" s="1"/>
      <c r="R4974" s="96">
        <f>R4960*1.02</f>
        <v>346056.72668320703</v>
      </c>
      <c r="S4974" s="109" t="s">
        <v>144</v>
      </c>
      <c r="T4974" s="23" t="s">
        <v>147</v>
      </c>
      <c r="U4974" s="27"/>
      <c r="V4974" s="26"/>
      <c r="W4974" s="26"/>
    </row>
    <row r="4975" spans="15:23" x14ac:dyDescent="0.25">
      <c r="O4975" s="1"/>
      <c r="P4975" s="1"/>
      <c r="Q4975" s="1"/>
      <c r="R4975" s="98"/>
      <c r="S4975" s="107"/>
      <c r="T4975" s="1"/>
      <c r="U4975" s="39"/>
      <c r="V4975" s="14"/>
      <c r="W4975" s="14"/>
    </row>
    <row r="4976" spans="15:23" x14ac:dyDescent="0.25">
      <c r="O4976" s="8" t="s">
        <v>132</v>
      </c>
      <c r="P4976" s="8"/>
      <c r="Q4976" s="8"/>
      <c r="R4976" s="96">
        <f>P_1_minQ-(R4974^2*R_up)+dpup_minQ</f>
        <v>68.358338070981688</v>
      </c>
      <c r="S4976" s="106"/>
      <c r="T4976" s="22"/>
      <c r="U4976" s="27"/>
      <c r="V4976" s="14"/>
      <c r="W4976" s="14"/>
    </row>
    <row r="4977" spans="15:23" x14ac:dyDescent="0.25">
      <c r="O4977" s="8" t="s">
        <v>134</v>
      </c>
      <c r="P4977" s="1"/>
      <c r="Q4977" s="8"/>
      <c r="R4977" s="97">
        <f>P_2_minQ+(R4974^2*R_dn)-dpdn_minQ</f>
        <v>60</v>
      </c>
      <c r="S4977" s="106"/>
      <c r="T4977" s="22"/>
      <c r="U4977" s="28"/>
      <c r="V4977" s="14"/>
      <c r="W4977" s="14"/>
    </row>
    <row r="4978" spans="15:23" x14ac:dyDescent="0.25">
      <c r="O4978" s="8" t="s">
        <v>138</v>
      </c>
      <c r="P4978" s="1"/>
      <c r="Q4978" s="8"/>
      <c r="R4978" s="97">
        <f>R4976-R4977</f>
        <v>8.3583380709816879</v>
      </c>
      <c r="S4978" s="106"/>
      <c r="T4978" s="22"/>
      <c r="U4978" s="28"/>
      <c r="V4978" s="25"/>
      <c r="W4978" s="25"/>
    </row>
    <row r="4979" spans="15:23" ht="14.4" x14ac:dyDescent="0.3">
      <c r="O4979" s="2" t="s">
        <v>140</v>
      </c>
      <c r="P4979" s="11"/>
      <c r="Q4979" s="2"/>
      <c r="R4979" s="96">
        <f>R4978/R4976</f>
        <v>0.12227240021989105</v>
      </c>
      <c r="S4979" s="106"/>
      <c r="T4979" s="22"/>
      <c r="U4979" s="27"/>
      <c r="V4979" s="28"/>
      <c r="W4979" s="28"/>
    </row>
    <row r="4980" spans="15:23" x14ac:dyDescent="0.25">
      <c r="O4980" s="2" t="s">
        <v>21</v>
      </c>
      <c r="P4980" s="8">
        <v>12</v>
      </c>
      <c r="Q4980" s="2"/>
      <c r="R4980" s="96">
        <f ca="1">1-R4979/(3*F_GAMMA*R$29)</f>
        <v>0.93631941314865419</v>
      </c>
      <c r="S4980" s="106"/>
      <c r="T4980" s="22"/>
      <c r="U4980" s="27"/>
      <c r="V4980" s="28"/>
      <c r="W4980" s="28"/>
    </row>
    <row r="4981" spans="15:23" x14ac:dyDescent="0.25">
      <c r="O4981" s="2" t="s">
        <v>57</v>
      </c>
      <c r="P4981" s="143">
        <v>7</v>
      </c>
      <c r="Q4981" s="2"/>
      <c r="R4981" s="96">
        <f ca="1">(R4974/(N_9*R$27*R4976*R4980))*SQRT(M*'Valve Sizing'!$W$6*'Valve Sizing'!$G$8/R4979)</f>
        <v>269.00080983921589</v>
      </c>
      <c r="S4981" s="107"/>
      <c r="T4981" s="22"/>
      <c r="U4981" s="27"/>
      <c r="V4981" s="28"/>
      <c r="W4981" s="28"/>
    </row>
    <row r="4982" spans="15:23" x14ac:dyDescent="0.25">
      <c r="O4982" s="2" t="s">
        <v>59</v>
      </c>
      <c r="P4982" s="143">
        <v>7</v>
      </c>
      <c r="Q4982" s="2"/>
      <c r="R4982" s="96">
        <f ca="1">(R4974/(N_9*R$27*R4976*0.667))*SQRT(M*'Valve Sizing'!$W$6*'Valve Sizing'!$G$8/R4983)</f>
        <v>165.05015530718384</v>
      </c>
      <c r="S4982" s="107"/>
      <c r="T4982" s="22"/>
      <c r="U4982" s="27"/>
      <c r="V4982" s="28"/>
      <c r="W4982" s="28"/>
    </row>
    <row r="4983" spans="15:23" ht="15.6" x14ac:dyDescent="0.35">
      <c r="O4983" s="2" t="s">
        <v>68</v>
      </c>
      <c r="P4983" s="143">
        <v>10</v>
      </c>
      <c r="Q4983" s="2"/>
      <c r="R4983" s="96">
        <f ca="1">F_GAMMA*R$29</f>
        <v>0.64002969751372984</v>
      </c>
      <c r="S4983" s="107"/>
      <c r="T4983" s="1"/>
      <c r="U4983" s="27"/>
      <c r="V4983" s="28"/>
      <c r="W4983" s="28"/>
    </row>
    <row r="4984" spans="15:23" x14ac:dyDescent="0.25">
      <c r="O4984" s="2" t="s">
        <v>145</v>
      </c>
      <c r="P4984" s="12"/>
      <c r="Q4984" s="2"/>
      <c r="R4984" s="96">
        <f ca="1">IF(R4979&lt;R4983,R4981,R4982)</f>
        <v>269.00080983921589</v>
      </c>
      <c r="S4984" s="116"/>
      <c r="T4984" s="1"/>
      <c r="U4984" s="27"/>
      <c r="V4984" s="28"/>
      <c r="W4984" s="28"/>
    </row>
    <row r="4985" spans="15:23" x14ac:dyDescent="0.25">
      <c r="O4985" s="13" t="s">
        <v>143</v>
      </c>
      <c r="P4985" s="1"/>
      <c r="Q4985" s="1"/>
      <c r="R4985" s="113"/>
      <c r="S4985" s="106">
        <f ca="1">IF(R4978&lt;=0,Q_max,ABS(R$23-R4984))</f>
        <v>264.27080983921587</v>
      </c>
      <c r="T4985" s="7">
        <f>R4974</f>
        <v>346056.72668320703</v>
      </c>
      <c r="U4985" s="14"/>
      <c r="V4985" s="29"/>
      <c r="W4985" s="27"/>
    </row>
    <row r="4986" spans="15:23" x14ac:dyDescent="0.25">
      <c r="O4986" s="21"/>
      <c r="P4986" s="14"/>
      <c r="Q4986" s="21"/>
      <c r="R4986" s="97"/>
      <c r="S4986" s="106"/>
      <c r="T4986" s="28"/>
      <c r="U4986" s="28"/>
      <c r="V4986" s="28"/>
      <c r="W4986" s="28"/>
    </row>
    <row r="4987" spans="15:23" x14ac:dyDescent="0.25">
      <c r="O4987" s="1"/>
      <c r="P4987" s="1"/>
      <c r="Q4987" s="1"/>
      <c r="R4987" s="98"/>
      <c r="S4987" s="108" t="s">
        <v>137</v>
      </c>
      <c r="T4987" s="26" t="s">
        <v>146</v>
      </c>
      <c r="U4987" s="14"/>
      <c r="V4987" s="26"/>
      <c r="W4987" s="26"/>
    </row>
    <row r="4988" spans="15:23" ht="13.8" x14ac:dyDescent="0.25">
      <c r="O4988" s="20" t="s">
        <v>136</v>
      </c>
      <c r="P4988" s="1"/>
      <c r="Q4988" s="1"/>
      <c r="R4988" s="96">
        <f>R4974*1.02</f>
        <v>352977.86121687118</v>
      </c>
      <c r="S4988" s="109" t="s">
        <v>144</v>
      </c>
      <c r="T4988" s="23" t="s">
        <v>147</v>
      </c>
      <c r="U4988" s="27"/>
      <c r="V4988" s="26"/>
      <c r="W4988" s="26"/>
    </row>
    <row r="4989" spans="15:23" x14ac:dyDescent="0.25">
      <c r="O4989" s="1"/>
      <c r="P4989" s="1"/>
      <c r="Q4989" s="1"/>
      <c r="R4989" s="98"/>
      <c r="S4989" s="107"/>
      <c r="T4989" s="1"/>
      <c r="U4989" s="39"/>
      <c r="V4989" s="14"/>
      <c r="W4989" s="14"/>
    </row>
    <row r="4990" spans="15:23" x14ac:dyDescent="0.25">
      <c r="O4990" s="8" t="s">
        <v>132</v>
      </c>
      <c r="P4990" s="8"/>
      <c r="Q4990" s="8"/>
      <c r="R4990" s="96">
        <f>P_1_minQ-(R4988^2*R_up)+dpup_minQ</f>
        <v>67.47653929162702</v>
      </c>
      <c r="S4990" s="106"/>
      <c r="T4990" s="22"/>
      <c r="U4990" s="27"/>
      <c r="V4990" s="14"/>
      <c r="W4990" s="14"/>
    </row>
    <row r="4991" spans="15:23" x14ac:dyDescent="0.25">
      <c r="O4991" s="8" t="s">
        <v>134</v>
      </c>
      <c r="P4991" s="1"/>
      <c r="Q4991" s="8"/>
      <c r="R4991" s="97">
        <f>P_2_minQ+(R4988^2*R_dn)-dpdn_minQ</f>
        <v>60</v>
      </c>
      <c r="S4991" s="106"/>
      <c r="T4991" s="22"/>
      <c r="U4991" s="28"/>
      <c r="V4991" s="14"/>
      <c r="W4991" s="14"/>
    </row>
    <row r="4992" spans="15:23" x14ac:dyDescent="0.25">
      <c r="O4992" s="8" t="s">
        <v>138</v>
      </c>
      <c r="P4992" s="1"/>
      <c r="Q4992" s="8"/>
      <c r="R4992" s="97">
        <f>R4990-R4991</f>
        <v>7.4765392916270201</v>
      </c>
      <c r="S4992" s="106"/>
      <c r="T4992" s="22"/>
      <c r="U4992" s="28"/>
      <c r="V4992" s="25"/>
      <c r="W4992" s="25"/>
    </row>
    <row r="4993" spans="15:23" ht="14.4" x14ac:dyDescent="0.3">
      <c r="O4993" s="2" t="s">
        <v>140</v>
      </c>
      <c r="P4993" s="11"/>
      <c r="Q4993" s="2"/>
      <c r="R4993" s="96">
        <f>R4992/R4990</f>
        <v>0.11080205609410623</v>
      </c>
      <c r="S4993" s="106"/>
      <c r="T4993" s="22"/>
      <c r="U4993" s="27"/>
      <c r="V4993" s="28"/>
      <c r="W4993" s="28"/>
    </row>
    <row r="4994" spans="15:23" x14ac:dyDescent="0.25">
      <c r="O4994" s="2" t="s">
        <v>21</v>
      </c>
      <c r="P4994" s="8">
        <v>12</v>
      </c>
      <c r="Q4994" s="2"/>
      <c r="R4994" s="96">
        <f ca="1">1-R4993/(3*F_GAMMA*R$29)</f>
        <v>0.94229327351291681</v>
      </c>
      <c r="S4994" s="106"/>
      <c r="T4994" s="22"/>
      <c r="U4994" s="27"/>
      <c r="V4994" s="28"/>
      <c r="W4994" s="28"/>
    </row>
    <row r="4995" spans="15:23" x14ac:dyDescent="0.25">
      <c r="O4995" s="2" t="s">
        <v>57</v>
      </c>
      <c r="P4995" s="143">
        <v>7</v>
      </c>
      <c r="Q4995" s="2"/>
      <c r="R4995" s="96">
        <f ca="1">(R4988/(N_9*R$27*R4990*R4994))*SQRT(M*'Valve Sizing'!$W$6*'Valve Sizing'!$G$8/R4993)</f>
        <v>290.14874756713704</v>
      </c>
      <c r="S4995" s="107"/>
      <c r="T4995" s="22"/>
      <c r="U4995" s="27"/>
      <c r="V4995" s="28"/>
      <c r="W4995" s="28"/>
    </row>
    <row r="4996" spans="15:23" x14ac:dyDescent="0.25">
      <c r="O4996" s="2" t="s">
        <v>59</v>
      </c>
      <c r="P4996" s="143">
        <v>7</v>
      </c>
      <c r="Q4996" s="2"/>
      <c r="R4996" s="96">
        <f ca="1">(R4988/(N_9*R$27*R4990*0.667))*SQRT(M*'Valve Sizing'!$W$6*'Valve Sizing'!$G$8/R4997)</f>
        <v>170.55120968374348</v>
      </c>
      <c r="S4996" s="107"/>
      <c r="T4996" s="22"/>
      <c r="U4996" s="27"/>
      <c r="V4996" s="28"/>
      <c r="W4996" s="28"/>
    </row>
    <row r="4997" spans="15:23" ht="15.6" x14ac:dyDescent="0.35">
      <c r="O4997" s="2" t="s">
        <v>68</v>
      </c>
      <c r="P4997" s="143">
        <v>10</v>
      </c>
      <c r="Q4997" s="2"/>
      <c r="R4997" s="96">
        <f ca="1">F_GAMMA*R$29</f>
        <v>0.64002969751372984</v>
      </c>
      <c r="S4997" s="107"/>
      <c r="T4997" s="1"/>
      <c r="U4997" s="27"/>
      <c r="V4997" s="28"/>
      <c r="W4997" s="28"/>
    </row>
    <row r="4998" spans="15:23" x14ac:dyDescent="0.25">
      <c r="O4998" s="2" t="s">
        <v>145</v>
      </c>
      <c r="P4998" s="12"/>
      <c r="Q4998" s="2"/>
      <c r="R4998" s="96">
        <f ca="1">IF(R4993&lt;R4997,R4995,R4996)</f>
        <v>290.14874756713704</v>
      </c>
      <c r="S4998" s="116"/>
      <c r="T4998" s="1"/>
      <c r="U4998" s="27"/>
      <c r="V4998" s="28"/>
      <c r="W4998" s="28"/>
    </row>
    <row r="4999" spans="15:23" x14ac:dyDescent="0.25">
      <c r="O4999" s="13" t="s">
        <v>143</v>
      </c>
      <c r="P4999" s="1"/>
      <c r="Q4999" s="1"/>
      <c r="R4999" s="113"/>
      <c r="S4999" s="106">
        <f ca="1">IF(R4992&lt;=0,Q_max,ABS(R$23-R4998))</f>
        <v>285.41874756713702</v>
      </c>
      <c r="T4999" s="7">
        <f>R4988</f>
        <v>352977.86121687118</v>
      </c>
      <c r="U4999" s="14"/>
      <c r="V4999" s="29"/>
      <c r="W4999" s="27"/>
    </row>
    <row r="5000" spans="15:23" x14ac:dyDescent="0.25">
      <c r="O5000" s="21"/>
      <c r="P5000" s="14"/>
      <c r="Q5000" s="21"/>
      <c r="R5000" s="97"/>
      <c r="S5000" s="106"/>
      <c r="T5000" s="28"/>
      <c r="U5000" s="28"/>
      <c r="V5000" s="28"/>
      <c r="W5000" s="28"/>
    </row>
    <row r="5001" spans="15:23" x14ac:dyDescent="0.25">
      <c r="O5001" s="1"/>
      <c r="P5001" s="1"/>
      <c r="Q5001" s="1"/>
      <c r="R5001" s="98"/>
      <c r="S5001" s="108" t="s">
        <v>137</v>
      </c>
      <c r="T5001" s="26" t="s">
        <v>146</v>
      </c>
      <c r="U5001" s="14"/>
      <c r="V5001" s="26"/>
      <c r="W5001" s="26"/>
    </row>
    <row r="5002" spans="15:23" ht="13.8" x14ac:dyDescent="0.25">
      <c r="O5002" s="20" t="s">
        <v>136</v>
      </c>
      <c r="P5002" s="1"/>
      <c r="Q5002" s="1"/>
      <c r="R5002" s="96">
        <f>R4988*1.02</f>
        <v>360037.4184412086</v>
      </c>
      <c r="S5002" s="109" t="s">
        <v>144</v>
      </c>
      <c r="T5002" s="23" t="s">
        <v>147</v>
      </c>
      <c r="U5002" s="27"/>
      <c r="V5002" s="26"/>
      <c r="W5002" s="26"/>
    </row>
    <row r="5003" spans="15:23" x14ac:dyDescent="0.25">
      <c r="O5003" s="1"/>
      <c r="P5003" s="1"/>
      <c r="Q5003" s="1"/>
      <c r="R5003" s="98"/>
      <c r="S5003" s="107"/>
      <c r="T5003" s="1"/>
      <c r="U5003" s="39"/>
      <c r="V5003" s="14"/>
      <c r="W5003" s="14"/>
    </row>
    <row r="5004" spans="15:23" x14ac:dyDescent="0.25">
      <c r="O5004" s="8" t="s">
        <v>132</v>
      </c>
      <c r="P5004" s="8"/>
      <c r="Q5004" s="8"/>
      <c r="R5004" s="96">
        <f>P_1_minQ-(R5002^2*R_up)+dpup_minQ</f>
        <v>66.559115841586433</v>
      </c>
      <c r="S5004" s="106"/>
      <c r="T5004" s="22"/>
      <c r="U5004" s="27"/>
      <c r="V5004" s="14"/>
      <c r="W5004" s="14"/>
    </row>
    <row r="5005" spans="15:23" x14ac:dyDescent="0.25">
      <c r="O5005" s="8" t="s">
        <v>134</v>
      </c>
      <c r="P5005" s="1"/>
      <c r="Q5005" s="8"/>
      <c r="R5005" s="97">
        <f>P_2_minQ+(R5002^2*R_dn)-dpdn_minQ</f>
        <v>60</v>
      </c>
      <c r="S5005" s="106"/>
      <c r="T5005" s="22"/>
      <c r="U5005" s="28"/>
      <c r="V5005" s="14"/>
      <c r="W5005" s="14"/>
    </row>
    <row r="5006" spans="15:23" x14ac:dyDescent="0.25">
      <c r="O5006" s="8" t="s">
        <v>138</v>
      </c>
      <c r="P5006" s="1"/>
      <c r="Q5006" s="8"/>
      <c r="R5006" s="97">
        <f>R5004-R5005</f>
        <v>6.5591158415864328</v>
      </c>
      <c r="S5006" s="106"/>
      <c r="T5006" s="22"/>
      <c r="U5006" s="28"/>
      <c r="V5006" s="25"/>
      <c r="W5006" s="25"/>
    </row>
    <row r="5007" spans="15:23" ht="14.4" x14ac:dyDescent="0.3">
      <c r="O5007" s="2" t="s">
        <v>140</v>
      </c>
      <c r="P5007" s="11"/>
      <c r="Q5007" s="2"/>
      <c r="R5007" s="96">
        <f>R5006/R5004</f>
        <v>9.8545717722534232E-2</v>
      </c>
      <c r="S5007" s="106"/>
      <c r="T5007" s="22"/>
      <c r="U5007" s="27"/>
      <c r="V5007" s="28"/>
      <c r="W5007" s="28"/>
    </row>
    <row r="5008" spans="15:23" x14ac:dyDescent="0.25">
      <c r="O5008" s="2" t="s">
        <v>21</v>
      </c>
      <c r="P5008" s="8">
        <v>12</v>
      </c>
      <c r="Q5008" s="2"/>
      <c r="R5008" s="96">
        <f ca="1">1-R5007/(3*F_GAMMA*R$29)</f>
        <v>0.94867648688524575</v>
      </c>
      <c r="S5008" s="106"/>
      <c r="T5008" s="22"/>
      <c r="U5008" s="27"/>
      <c r="V5008" s="28"/>
      <c r="W5008" s="28"/>
    </row>
    <row r="5009" spans="15:23" x14ac:dyDescent="0.25">
      <c r="O5009" s="2" t="s">
        <v>57</v>
      </c>
      <c r="P5009" s="143">
        <v>7</v>
      </c>
      <c r="Q5009" s="2"/>
      <c r="R5009" s="96">
        <f ca="1">(R5002/(N_9*R$27*R5004*R5008))*SQRT(M*'Valve Sizing'!$W$6*'Valve Sizing'!$G$8/R5007)</f>
        <v>316.0014780327374</v>
      </c>
      <c r="S5009" s="107"/>
      <c r="T5009" s="22"/>
      <c r="U5009" s="27"/>
      <c r="V5009" s="28"/>
      <c r="W5009" s="28"/>
    </row>
    <row r="5010" spans="15:23" x14ac:dyDescent="0.25">
      <c r="O5010" s="2" t="s">
        <v>59</v>
      </c>
      <c r="P5010" s="143">
        <v>7</v>
      </c>
      <c r="Q5010" s="2"/>
      <c r="R5010" s="96">
        <f ca="1">(R5002/(N_9*R$27*R5004*0.667))*SQRT(M*'Valve Sizing'!$W$6*'Valve Sizing'!$G$8/R5011)</f>
        <v>176.36005768806567</v>
      </c>
      <c r="S5010" s="107"/>
      <c r="T5010" s="22"/>
      <c r="U5010" s="27"/>
      <c r="V5010" s="28"/>
      <c r="W5010" s="28"/>
    </row>
    <row r="5011" spans="15:23" ht="15.6" x14ac:dyDescent="0.35">
      <c r="O5011" s="2" t="s">
        <v>68</v>
      </c>
      <c r="P5011" s="143">
        <v>10</v>
      </c>
      <c r="Q5011" s="2"/>
      <c r="R5011" s="96">
        <f ca="1">F_GAMMA*R$29</f>
        <v>0.64002969751372984</v>
      </c>
      <c r="S5011" s="107"/>
      <c r="T5011" s="1"/>
      <c r="U5011" s="27"/>
      <c r="V5011" s="28"/>
      <c r="W5011" s="28"/>
    </row>
    <row r="5012" spans="15:23" x14ac:dyDescent="0.25">
      <c r="O5012" s="2" t="s">
        <v>145</v>
      </c>
      <c r="P5012" s="12"/>
      <c r="Q5012" s="2"/>
      <c r="R5012" s="96">
        <f ca="1">IF(R5007&lt;R5011,R5009,R5010)</f>
        <v>316.0014780327374</v>
      </c>
      <c r="S5012" s="116"/>
      <c r="T5012" s="1"/>
      <c r="U5012" s="27"/>
      <c r="V5012" s="28"/>
      <c r="W5012" s="28"/>
    </row>
    <row r="5013" spans="15:23" x14ac:dyDescent="0.25">
      <c r="O5013" s="13" t="s">
        <v>143</v>
      </c>
      <c r="P5013" s="1"/>
      <c r="Q5013" s="1"/>
      <c r="R5013" s="113"/>
      <c r="S5013" s="106">
        <f ca="1">IF(R5006&lt;=0,Q_max,ABS(R$23-R5012))</f>
        <v>311.27147803273738</v>
      </c>
      <c r="T5013" s="7">
        <f>R5002</f>
        <v>360037.4184412086</v>
      </c>
      <c r="U5013" s="14"/>
      <c r="V5013" s="29"/>
      <c r="W5013" s="27"/>
    </row>
    <row r="5014" spans="15:23" x14ac:dyDescent="0.25">
      <c r="O5014" s="21"/>
      <c r="P5014" s="14"/>
      <c r="Q5014" s="21"/>
      <c r="R5014" s="97"/>
      <c r="S5014" s="106"/>
      <c r="T5014" s="28"/>
      <c r="U5014" s="28"/>
      <c r="V5014" s="28"/>
      <c r="W5014" s="28"/>
    </row>
    <row r="5015" spans="15:23" x14ac:dyDescent="0.25">
      <c r="O5015" s="1"/>
      <c r="P5015" s="1"/>
      <c r="Q5015" s="1"/>
      <c r="R5015" s="98"/>
      <c r="S5015" s="108" t="s">
        <v>137</v>
      </c>
      <c r="T5015" s="26" t="s">
        <v>146</v>
      </c>
      <c r="U5015" s="14"/>
      <c r="V5015" s="26"/>
      <c r="W5015" s="26"/>
    </row>
    <row r="5016" spans="15:23" ht="13.8" x14ac:dyDescent="0.25">
      <c r="O5016" s="20" t="s">
        <v>136</v>
      </c>
      <c r="P5016" s="1"/>
      <c r="Q5016" s="1"/>
      <c r="R5016" s="96">
        <f>R5002*1.02</f>
        <v>367238.1668100328</v>
      </c>
      <c r="S5016" s="109" t="s">
        <v>144</v>
      </c>
      <c r="T5016" s="23" t="s">
        <v>147</v>
      </c>
      <c r="U5016" s="27"/>
      <c r="V5016" s="26"/>
      <c r="W5016" s="26"/>
    </row>
    <row r="5017" spans="15:23" x14ac:dyDescent="0.25">
      <c r="O5017" s="1"/>
      <c r="P5017" s="1"/>
      <c r="Q5017" s="1"/>
      <c r="R5017" s="98"/>
      <c r="S5017" s="107"/>
      <c r="T5017" s="1"/>
      <c r="U5017" s="39"/>
      <c r="V5017" s="14"/>
      <c r="W5017" s="14"/>
    </row>
    <row r="5018" spans="15:23" x14ac:dyDescent="0.25">
      <c r="O5018" s="8" t="s">
        <v>132</v>
      </c>
      <c r="P5018" s="8"/>
      <c r="Q5018" s="8"/>
      <c r="R5018" s="96">
        <f>P_1_minQ-(R5016^2*R_up)+dpup_minQ</f>
        <v>65.604628484164195</v>
      </c>
      <c r="S5018" s="106"/>
      <c r="T5018" s="22"/>
      <c r="U5018" s="27"/>
      <c r="V5018" s="14"/>
      <c r="W5018" s="14"/>
    </row>
    <row r="5019" spans="15:23" x14ac:dyDescent="0.25">
      <c r="O5019" s="8" t="s">
        <v>134</v>
      </c>
      <c r="P5019" s="1"/>
      <c r="Q5019" s="8"/>
      <c r="R5019" s="97">
        <f>P_2_minQ+(R5016^2*R_dn)-dpdn_minQ</f>
        <v>60</v>
      </c>
      <c r="S5019" s="106"/>
      <c r="T5019" s="22"/>
      <c r="U5019" s="28"/>
      <c r="V5019" s="14"/>
      <c r="W5019" s="14"/>
    </row>
    <row r="5020" spans="15:23" x14ac:dyDescent="0.25">
      <c r="O5020" s="8" t="s">
        <v>138</v>
      </c>
      <c r="P5020" s="1"/>
      <c r="Q5020" s="8"/>
      <c r="R5020" s="97">
        <f>R5018-R5019</f>
        <v>5.6046284841641949</v>
      </c>
      <c r="S5020" s="106"/>
      <c r="T5020" s="22"/>
      <c r="U5020" s="28"/>
      <c r="V5020" s="25"/>
      <c r="W5020" s="25"/>
    </row>
    <row r="5021" spans="15:23" ht="14.4" x14ac:dyDescent="0.3">
      <c r="O5021" s="2" t="s">
        <v>140</v>
      </c>
      <c r="P5021" s="11"/>
      <c r="Q5021" s="2"/>
      <c r="R5021" s="96">
        <f>R5020/R5018</f>
        <v>8.543038217977339E-2</v>
      </c>
      <c r="S5021" s="106"/>
      <c r="T5021" s="22"/>
      <c r="U5021" s="27"/>
      <c r="V5021" s="28"/>
      <c r="W5021" s="28"/>
    </row>
    <row r="5022" spans="15:23" x14ac:dyDescent="0.25">
      <c r="O5022" s="2" t="s">
        <v>21</v>
      </c>
      <c r="P5022" s="8">
        <v>12</v>
      </c>
      <c r="Q5022" s="2"/>
      <c r="R5022" s="96">
        <f ca="1">1-R5021/(3*F_GAMMA*R$29)</f>
        <v>0.95550707385837574</v>
      </c>
      <c r="S5022" s="106"/>
      <c r="T5022" s="22"/>
      <c r="U5022" s="27"/>
      <c r="V5022" s="28"/>
      <c r="W5022" s="28"/>
    </row>
    <row r="5023" spans="15:23" x14ac:dyDescent="0.25">
      <c r="O5023" s="2" t="s">
        <v>57</v>
      </c>
      <c r="P5023" s="143">
        <v>7</v>
      </c>
      <c r="Q5023" s="2"/>
      <c r="R5023" s="96">
        <f ca="1">(R5016/(N_9*R$27*R5018*R5022))*SQRT(M*'Valve Sizing'!$W$6*'Valve Sizing'!$G$8/R5021)</f>
        <v>348.70589021406158</v>
      </c>
      <c r="S5023" s="107"/>
      <c r="T5023" s="22"/>
      <c r="U5023" s="27"/>
      <c r="V5023" s="28"/>
      <c r="W5023" s="28"/>
    </row>
    <row r="5024" spans="15:23" x14ac:dyDescent="0.25">
      <c r="O5024" s="2" t="s">
        <v>59</v>
      </c>
      <c r="P5024" s="143">
        <v>7</v>
      </c>
      <c r="Q5024" s="2"/>
      <c r="R5024" s="96">
        <f ca="1">(R5016/(N_9*R$27*R5018*0.667))*SQRT(M*'Valve Sizing'!$W$6*'Valve Sizing'!$G$8/R5025)</f>
        <v>182.50445397413858</v>
      </c>
      <c r="S5024" s="107"/>
      <c r="T5024" s="22"/>
      <c r="U5024" s="27"/>
      <c r="V5024" s="28"/>
      <c r="W5024" s="28"/>
    </row>
    <row r="5025" spans="15:23" ht="15.6" x14ac:dyDescent="0.35">
      <c r="O5025" s="2" t="s">
        <v>68</v>
      </c>
      <c r="P5025" s="143">
        <v>10</v>
      </c>
      <c r="Q5025" s="2"/>
      <c r="R5025" s="96">
        <f ca="1">F_GAMMA*R$29</f>
        <v>0.64002969751372984</v>
      </c>
      <c r="S5025" s="107"/>
      <c r="T5025" s="1"/>
      <c r="U5025" s="27"/>
      <c r="V5025" s="28"/>
      <c r="W5025" s="28"/>
    </row>
    <row r="5026" spans="15:23" x14ac:dyDescent="0.25">
      <c r="O5026" s="2" t="s">
        <v>145</v>
      </c>
      <c r="P5026" s="12"/>
      <c r="Q5026" s="2"/>
      <c r="R5026" s="96">
        <f ca="1">IF(R5021&lt;R5025,R5023,R5024)</f>
        <v>348.70589021406158</v>
      </c>
      <c r="S5026" s="116"/>
      <c r="T5026" s="1"/>
      <c r="U5026" s="27"/>
      <c r="V5026" s="28"/>
      <c r="W5026" s="28"/>
    </row>
    <row r="5027" spans="15:23" x14ac:dyDescent="0.25">
      <c r="O5027" s="13" t="s">
        <v>143</v>
      </c>
      <c r="P5027" s="1"/>
      <c r="Q5027" s="1"/>
      <c r="R5027" s="113"/>
      <c r="S5027" s="106">
        <f ca="1">IF(R5020&lt;=0,Q_max,ABS(R$23-R5026))</f>
        <v>343.97589021406156</v>
      </c>
      <c r="T5027" s="7">
        <f>R5016</f>
        <v>367238.1668100328</v>
      </c>
      <c r="U5027" s="14"/>
      <c r="V5027" s="29"/>
      <c r="W5027" s="27"/>
    </row>
    <row r="5028" spans="15:23" x14ac:dyDescent="0.25">
      <c r="O5028" s="21"/>
      <c r="P5028" s="14"/>
      <c r="Q5028" s="21"/>
      <c r="R5028" s="97"/>
      <c r="S5028" s="106"/>
      <c r="T5028" s="28"/>
      <c r="U5028" s="28"/>
      <c r="V5028" s="28"/>
      <c r="W5028" s="28"/>
    </row>
    <row r="5029" spans="15:23" x14ac:dyDescent="0.25">
      <c r="O5029" s="1"/>
      <c r="P5029" s="1"/>
      <c r="Q5029" s="1"/>
      <c r="R5029" s="98"/>
      <c r="S5029" s="108" t="s">
        <v>137</v>
      </c>
      <c r="T5029" s="26" t="s">
        <v>146</v>
      </c>
      <c r="U5029" s="14"/>
      <c r="V5029" s="26"/>
      <c r="W5029" s="26"/>
    </row>
    <row r="5030" spans="15:23" ht="13.8" x14ac:dyDescent="0.25">
      <c r="O5030" s="20" t="s">
        <v>136</v>
      </c>
      <c r="P5030" s="1"/>
      <c r="Q5030" s="1"/>
      <c r="R5030" s="96">
        <f>R5016*1.02</f>
        <v>374582.93014623347</v>
      </c>
      <c r="S5030" s="109" t="s">
        <v>144</v>
      </c>
      <c r="T5030" s="23" t="s">
        <v>147</v>
      </c>
      <c r="U5030" s="27"/>
      <c r="V5030" s="26"/>
      <c r="W5030" s="26"/>
    </row>
    <row r="5031" spans="15:23" x14ac:dyDescent="0.25">
      <c r="O5031" s="1"/>
      <c r="P5031" s="1"/>
      <c r="Q5031" s="1"/>
      <c r="R5031" s="98"/>
      <c r="S5031" s="107"/>
      <c r="T5031" s="1"/>
      <c r="U5031" s="39"/>
      <c r="V5031" s="14"/>
      <c r="W5031" s="14"/>
    </row>
    <row r="5032" spans="15:23" x14ac:dyDescent="0.25">
      <c r="O5032" s="8" t="s">
        <v>132</v>
      </c>
      <c r="P5032" s="8"/>
      <c r="Q5032" s="8"/>
      <c r="R5032" s="96">
        <f>P_1_minQ-(R5030^2*R_up)+dpup_minQ</f>
        <v>64.611579837502106</v>
      </c>
      <c r="S5032" s="106"/>
      <c r="T5032" s="22"/>
      <c r="U5032" s="27"/>
      <c r="V5032" s="14"/>
      <c r="W5032" s="14"/>
    </row>
    <row r="5033" spans="15:23" x14ac:dyDescent="0.25">
      <c r="O5033" s="8" t="s">
        <v>134</v>
      </c>
      <c r="P5033" s="1"/>
      <c r="Q5033" s="8"/>
      <c r="R5033" s="97">
        <f>P_2_minQ+(R5030^2*R_dn)-dpdn_minQ</f>
        <v>60</v>
      </c>
      <c r="S5033" s="106"/>
      <c r="T5033" s="22"/>
      <c r="U5033" s="28"/>
      <c r="V5033" s="14"/>
      <c r="W5033" s="14"/>
    </row>
    <row r="5034" spans="15:23" x14ac:dyDescent="0.25">
      <c r="O5034" s="8" t="s">
        <v>138</v>
      </c>
      <c r="P5034" s="1"/>
      <c r="Q5034" s="8"/>
      <c r="R5034" s="97">
        <f>R5032-R5033</f>
        <v>4.6115798375021058</v>
      </c>
      <c r="S5034" s="106"/>
      <c r="T5034" s="22"/>
      <c r="U5034" s="28"/>
      <c r="V5034" s="25"/>
      <c r="W5034" s="25"/>
    </row>
    <row r="5035" spans="15:23" ht="14.4" x14ac:dyDescent="0.3">
      <c r="O5035" s="2" t="s">
        <v>140</v>
      </c>
      <c r="P5035" s="11"/>
      <c r="Q5035" s="2"/>
      <c r="R5035" s="96">
        <f>R5034/R5032</f>
        <v>7.1373890703496382E-2</v>
      </c>
      <c r="S5035" s="106"/>
      <c r="T5035" s="22"/>
      <c r="U5035" s="27"/>
      <c r="V5035" s="28"/>
      <c r="W5035" s="28"/>
    </row>
    <row r="5036" spans="15:23" x14ac:dyDescent="0.25">
      <c r="O5036" s="2" t="s">
        <v>21</v>
      </c>
      <c r="P5036" s="8">
        <v>12</v>
      </c>
      <c r="Q5036" s="2"/>
      <c r="R5036" s="96">
        <f ca="1">1-R5035/(3*F_GAMMA*R$29)</f>
        <v>0.96282782346883977</v>
      </c>
      <c r="S5036" s="106"/>
      <c r="T5036" s="22"/>
      <c r="U5036" s="27"/>
      <c r="V5036" s="28"/>
      <c r="W5036" s="28"/>
    </row>
    <row r="5037" spans="15:23" x14ac:dyDescent="0.25">
      <c r="O5037" s="2" t="s">
        <v>57</v>
      </c>
      <c r="P5037" s="143">
        <v>7</v>
      </c>
      <c r="Q5037" s="2"/>
      <c r="R5037" s="96">
        <f ca="1">(R5030/(N_9*R$27*R5032*R5036))*SQRT(M*'Valve Sizing'!$W$6*'Valve Sizing'!$G$8/R5035)</f>
        <v>392.10767121208403</v>
      </c>
      <c r="S5037" s="107"/>
      <c r="T5037" s="22"/>
      <c r="U5037" s="27"/>
      <c r="V5037" s="28"/>
      <c r="W5037" s="28"/>
    </row>
    <row r="5038" spans="15:23" x14ac:dyDescent="0.25">
      <c r="O5038" s="2" t="s">
        <v>59</v>
      </c>
      <c r="P5038" s="143">
        <v>7</v>
      </c>
      <c r="Q5038" s="2"/>
      <c r="R5038" s="96">
        <f ca="1">(R5030/(N_9*R$27*R5032*0.667))*SQRT(M*'Valve Sizing'!$W$6*'Valve Sizing'!$G$8/R5039)</f>
        <v>189.01564809879011</v>
      </c>
      <c r="S5038" s="107"/>
      <c r="T5038" s="22"/>
      <c r="U5038" s="27"/>
      <c r="V5038" s="28"/>
      <c r="W5038" s="28"/>
    </row>
    <row r="5039" spans="15:23" ht="15.6" x14ac:dyDescent="0.35">
      <c r="O5039" s="2" t="s">
        <v>68</v>
      </c>
      <c r="P5039" s="143">
        <v>10</v>
      </c>
      <c r="Q5039" s="2"/>
      <c r="R5039" s="96">
        <f ca="1">F_GAMMA*R$29</f>
        <v>0.64002969751372984</v>
      </c>
      <c r="S5039" s="107"/>
      <c r="T5039" s="1"/>
      <c r="U5039" s="27"/>
      <c r="V5039" s="28"/>
      <c r="W5039" s="28"/>
    </row>
    <row r="5040" spans="15:23" x14ac:dyDescent="0.25">
      <c r="O5040" s="2" t="s">
        <v>145</v>
      </c>
      <c r="P5040" s="12"/>
      <c r="Q5040" s="2"/>
      <c r="R5040" s="96">
        <f ca="1">IF(R5035&lt;R5039,R5037,R5038)</f>
        <v>392.10767121208403</v>
      </c>
      <c r="S5040" s="116"/>
      <c r="T5040" s="1"/>
      <c r="U5040" s="27"/>
      <c r="V5040" s="28"/>
      <c r="W5040" s="28"/>
    </row>
    <row r="5041" spans="15:23" x14ac:dyDescent="0.25">
      <c r="O5041" s="13" t="s">
        <v>143</v>
      </c>
      <c r="P5041" s="1"/>
      <c r="Q5041" s="1"/>
      <c r="R5041" s="113"/>
      <c r="S5041" s="106">
        <f ca="1">IF(R5034&lt;=0,Q_max,ABS(R$23-R5040))</f>
        <v>387.37767121208401</v>
      </c>
      <c r="T5041" s="7">
        <f>R5030</f>
        <v>374582.93014623347</v>
      </c>
      <c r="U5041" s="14"/>
      <c r="V5041" s="29"/>
      <c r="W5041" s="27"/>
    </row>
    <row r="5042" spans="15:23" x14ac:dyDescent="0.25">
      <c r="O5042" s="21"/>
      <c r="P5042" s="14"/>
      <c r="Q5042" s="21"/>
      <c r="R5042" s="97"/>
      <c r="S5042" s="106"/>
      <c r="T5042" s="28"/>
      <c r="U5042" s="25"/>
      <c r="V5042" s="25"/>
      <c r="W5042" s="25"/>
    </row>
    <row r="5043" spans="15:23" x14ac:dyDescent="0.25">
      <c r="O5043" s="1"/>
      <c r="P5043" s="1"/>
      <c r="Q5043" s="1"/>
      <c r="R5043" s="98"/>
      <c r="S5043" s="108" t="s">
        <v>137</v>
      </c>
      <c r="T5043" s="26" t="s">
        <v>146</v>
      </c>
      <c r="U5043" s="14"/>
      <c r="V5043" s="26"/>
      <c r="W5043" s="26"/>
    </row>
    <row r="5044" spans="15:23" ht="13.8" x14ac:dyDescent="0.25">
      <c r="O5044" s="20" t="s">
        <v>136</v>
      </c>
      <c r="P5044" s="1"/>
      <c r="Q5044" s="1"/>
      <c r="R5044" s="96">
        <f>R5030*1.02</f>
        <v>382074.58874915814</v>
      </c>
      <c r="S5044" s="109" t="s">
        <v>144</v>
      </c>
      <c r="T5044" s="23" t="s">
        <v>147</v>
      </c>
      <c r="U5044" s="27"/>
      <c r="V5044" s="26"/>
      <c r="W5044" s="26"/>
    </row>
    <row r="5045" spans="15:23" x14ac:dyDescent="0.25">
      <c r="O5045" s="1"/>
      <c r="P5045" s="1"/>
      <c r="Q5045" s="1"/>
      <c r="R5045" s="98"/>
      <c r="S5045" s="107"/>
      <c r="T5045" s="1"/>
      <c r="U5045" s="39"/>
      <c r="V5045" s="14"/>
      <c r="W5045" s="14"/>
    </row>
    <row r="5046" spans="15:23" x14ac:dyDescent="0.25">
      <c r="O5046" s="8" t="s">
        <v>132</v>
      </c>
      <c r="P5046" s="8"/>
      <c r="Q5046" s="8"/>
      <c r="R5046" s="96">
        <f>P_1_minQ-(R5044^2*R_up)+dpup_minQ</f>
        <v>63.578412025514865</v>
      </c>
      <c r="S5046" s="106"/>
      <c r="T5046" s="22"/>
      <c r="U5046" s="27"/>
      <c r="V5046" s="14"/>
      <c r="W5046" s="14"/>
    </row>
    <row r="5047" spans="15:23" x14ac:dyDescent="0.25">
      <c r="O5047" s="8" t="s">
        <v>134</v>
      </c>
      <c r="P5047" s="1"/>
      <c r="Q5047" s="8"/>
      <c r="R5047" s="97">
        <f>P_2_minQ+(R5044^2*R_dn)-dpdn_minQ</f>
        <v>60</v>
      </c>
      <c r="S5047" s="106"/>
      <c r="T5047" s="22"/>
      <c r="U5047" s="28"/>
      <c r="V5047" s="14"/>
      <c r="W5047" s="14"/>
    </row>
    <row r="5048" spans="15:23" x14ac:dyDescent="0.25">
      <c r="O5048" s="8" t="s">
        <v>138</v>
      </c>
      <c r="P5048" s="1"/>
      <c r="Q5048" s="8"/>
      <c r="R5048" s="97">
        <f>R5046-R5047</f>
        <v>3.578412025514865</v>
      </c>
      <c r="S5048" s="106"/>
      <c r="T5048" s="22"/>
      <c r="U5048" s="28"/>
      <c r="V5048" s="25"/>
      <c r="W5048" s="25"/>
    </row>
    <row r="5049" spans="15:23" ht="14.4" x14ac:dyDescent="0.3">
      <c r="O5049" s="2" t="s">
        <v>140</v>
      </c>
      <c r="P5049" s="11"/>
      <c r="Q5049" s="2"/>
      <c r="R5049" s="96">
        <f>R5048/R5046</f>
        <v>5.6283444513820204E-2</v>
      </c>
      <c r="S5049" s="106"/>
      <c r="T5049" s="22"/>
      <c r="U5049" s="27"/>
      <c r="V5049" s="28"/>
      <c r="W5049" s="28"/>
    </row>
    <row r="5050" spans="15:23" x14ac:dyDescent="0.25">
      <c r="O5050" s="2" t="s">
        <v>21</v>
      </c>
      <c r="P5050" s="8">
        <v>12</v>
      </c>
      <c r="Q5050" s="2"/>
      <c r="R5050" s="96">
        <f ca="1">1-R5049/(3*F_GAMMA*R$29)</f>
        <v>0.97068706617184597</v>
      </c>
      <c r="S5050" s="106"/>
      <c r="T5050" s="22"/>
      <c r="U5050" s="27"/>
      <c r="V5050" s="28"/>
      <c r="W5050" s="28"/>
    </row>
    <row r="5051" spans="15:23" x14ac:dyDescent="0.25">
      <c r="O5051" s="2" t="s">
        <v>57</v>
      </c>
      <c r="P5051" s="143">
        <v>7</v>
      </c>
      <c r="Q5051" s="2"/>
      <c r="R5051" s="96">
        <f ca="1">(R5044/(N_9*R$27*R5046*R5050))*SQRT(M*'Valve Sizing'!$W$6*'Valve Sizing'!$G$8/R5049)</f>
        <v>453.99904053566689</v>
      </c>
      <c r="S5051" s="107"/>
      <c r="T5051" s="22"/>
      <c r="U5051" s="27"/>
      <c r="V5051" s="28"/>
      <c r="W5051" s="28"/>
    </row>
    <row r="5052" spans="15:23" x14ac:dyDescent="0.25">
      <c r="O5052" s="2" t="s">
        <v>59</v>
      </c>
      <c r="P5052" s="143">
        <v>7</v>
      </c>
      <c r="Q5052" s="2"/>
      <c r="R5052" s="96">
        <f ca="1">(R5044/(N_9*R$27*R5046*0.667))*SQRT(M*'Valve Sizing'!$W$6*'Valve Sizing'!$G$8/R5053)</f>
        <v>195.92895188112786</v>
      </c>
      <c r="S5052" s="107"/>
      <c r="T5052" s="22"/>
      <c r="U5052" s="27"/>
      <c r="V5052" s="28"/>
      <c r="W5052" s="28"/>
    </row>
    <row r="5053" spans="15:23" ht="15.6" x14ac:dyDescent="0.35">
      <c r="O5053" s="2" t="s">
        <v>68</v>
      </c>
      <c r="P5053" s="143">
        <v>10</v>
      </c>
      <c r="Q5053" s="2"/>
      <c r="R5053" s="96">
        <f ca="1">F_GAMMA*R$29</f>
        <v>0.64002969751372984</v>
      </c>
      <c r="S5053" s="107"/>
      <c r="T5053" s="1"/>
      <c r="U5053" s="27"/>
      <c r="V5053" s="28"/>
      <c r="W5053" s="28"/>
    </row>
    <row r="5054" spans="15:23" x14ac:dyDescent="0.25">
      <c r="O5054" s="2" t="s">
        <v>145</v>
      </c>
      <c r="P5054" s="12"/>
      <c r="Q5054" s="2"/>
      <c r="R5054" s="96">
        <f ca="1">IF(R5049&lt;R5053,R5051,R5052)</f>
        <v>453.99904053566689</v>
      </c>
      <c r="S5054" s="116"/>
      <c r="T5054" s="1"/>
      <c r="U5054" s="27"/>
      <c r="V5054" s="28"/>
      <c r="W5054" s="28"/>
    </row>
    <row r="5055" spans="15:23" x14ac:dyDescent="0.25">
      <c r="O5055" s="13" t="s">
        <v>143</v>
      </c>
      <c r="P5055" s="1"/>
      <c r="Q5055" s="1"/>
      <c r="R5055" s="113"/>
      <c r="S5055" s="106">
        <f ca="1">IF(R5048&lt;=0,Q_max,ABS(R$23-R5054))</f>
        <v>449.26904053566687</v>
      </c>
      <c r="T5055" s="7">
        <f>R5044</f>
        <v>382074.58874915814</v>
      </c>
      <c r="U5055" s="14"/>
      <c r="V5055" s="29"/>
      <c r="W5055" s="27"/>
    </row>
    <row r="5056" spans="15:23" x14ac:dyDescent="0.25">
      <c r="O5056" s="21"/>
      <c r="P5056" s="14"/>
      <c r="Q5056" s="21"/>
      <c r="R5056" s="97"/>
      <c r="S5056" s="106"/>
      <c r="T5056" s="28"/>
      <c r="U5056" s="28"/>
      <c r="V5056" s="28"/>
      <c r="W5056" s="28"/>
    </row>
    <row r="5057" spans="15:23" x14ac:dyDescent="0.25">
      <c r="O5057" s="1"/>
      <c r="P5057" s="1"/>
      <c r="Q5057" s="1"/>
      <c r="R5057" s="98"/>
      <c r="S5057" s="108" t="s">
        <v>137</v>
      </c>
      <c r="T5057" s="26" t="s">
        <v>146</v>
      </c>
      <c r="U5057" s="14"/>
      <c r="V5057" s="26"/>
      <c r="W5057" s="26"/>
    </row>
    <row r="5058" spans="15:23" ht="13.8" x14ac:dyDescent="0.25">
      <c r="O5058" s="20" t="s">
        <v>136</v>
      </c>
      <c r="P5058" s="1"/>
      <c r="Q5058" s="1"/>
      <c r="R5058" s="96">
        <f>R5044*1.02</f>
        <v>389716.08052414132</v>
      </c>
      <c r="S5058" s="109" t="s">
        <v>144</v>
      </c>
      <c r="T5058" s="23" t="s">
        <v>147</v>
      </c>
      <c r="U5058" s="27"/>
      <c r="V5058" s="26"/>
      <c r="W5058" s="26"/>
    </row>
    <row r="5059" spans="15:23" x14ac:dyDescent="0.25">
      <c r="O5059" s="1"/>
      <c r="P5059" s="1"/>
      <c r="Q5059" s="1"/>
      <c r="R5059" s="98"/>
      <c r="S5059" s="107"/>
      <c r="T5059" s="1"/>
      <c r="U5059" s="39"/>
      <c r="V5059" s="14"/>
      <c r="W5059" s="14"/>
    </row>
    <row r="5060" spans="15:23" x14ac:dyDescent="0.25">
      <c r="O5060" s="8" t="s">
        <v>132</v>
      </c>
      <c r="P5060" s="8"/>
      <c r="Q5060" s="8"/>
      <c r="R5060" s="96">
        <f>P_1_minQ-(R5058^2*R_up)+dpup_minQ</f>
        <v>62.503504233923337</v>
      </c>
      <c r="S5060" s="106"/>
      <c r="T5060" s="22"/>
      <c r="U5060" s="27"/>
      <c r="V5060" s="14"/>
      <c r="W5060" s="14"/>
    </row>
    <row r="5061" spans="15:23" x14ac:dyDescent="0.25">
      <c r="O5061" s="8" t="s">
        <v>134</v>
      </c>
      <c r="P5061" s="1"/>
      <c r="Q5061" s="8"/>
      <c r="R5061" s="97">
        <f>P_2_minQ+(R5058^2*R_dn)-dpdn_minQ</f>
        <v>60</v>
      </c>
      <c r="S5061" s="106"/>
      <c r="T5061" s="22"/>
      <c r="U5061" s="28"/>
      <c r="V5061" s="14"/>
      <c r="W5061" s="14"/>
    </row>
    <row r="5062" spans="15:23" x14ac:dyDescent="0.25">
      <c r="O5062" s="8" t="s">
        <v>138</v>
      </c>
      <c r="P5062" s="1"/>
      <c r="Q5062" s="8"/>
      <c r="R5062" s="97">
        <f>R5060-R5061</f>
        <v>2.5035042339233371</v>
      </c>
      <c r="S5062" s="106"/>
      <c r="T5062" s="22"/>
      <c r="U5062" s="28"/>
      <c r="V5062" s="25"/>
      <c r="W5062" s="25"/>
    </row>
    <row r="5063" spans="15:23" ht="14.4" x14ac:dyDescent="0.3">
      <c r="O5063" s="2" t="s">
        <v>140</v>
      </c>
      <c r="P5063" s="11"/>
      <c r="Q5063" s="2"/>
      <c r="R5063" s="96">
        <f>R5062/R5060</f>
        <v>4.0053822015383544E-2</v>
      </c>
      <c r="S5063" s="106"/>
      <c r="T5063" s="22"/>
      <c r="U5063" s="27"/>
      <c r="V5063" s="28"/>
      <c r="W5063" s="28"/>
    </row>
    <row r="5064" spans="15:23" x14ac:dyDescent="0.25">
      <c r="O5064" s="2" t="s">
        <v>21</v>
      </c>
      <c r="P5064" s="8">
        <v>12</v>
      </c>
      <c r="Q5064" s="2"/>
      <c r="R5064" s="96">
        <f ca="1">1-R5063/(3*F_GAMMA*R$29)</f>
        <v>0.97913960233877828</v>
      </c>
      <c r="S5064" s="106"/>
      <c r="T5064" s="22"/>
      <c r="U5064" s="27"/>
      <c r="V5064" s="28"/>
      <c r="W5064" s="28"/>
    </row>
    <row r="5065" spans="15:23" x14ac:dyDescent="0.25">
      <c r="O5065" s="2" t="s">
        <v>57</v>
      </c>
      <c r="P5065" s="143">
        <v>7</v>
      </c>
      <c r="Q5065" s="2"/>
      <c r="R5065" s="96">
        <f ca="1">(R5058/(N_9*R$27*R5060*R5064))*SQRT(M*'Valve Sizing'!$W$6*'Valve Sizing'!$G$8/R5063)</f>
        <v>553.55833642890468</v>
      </c>
      <c r="S5065" s="107"/>
      <c r="T5065" s="22"/>
      <c r="U5065" s="27"/>
      <c r="V5065" s="28"/>
      <c r="W5065" s="28"/>
    </row>
    <row r="5066" spans="15:23" x14ac:dyDescent="0.25">
      <c r="O5066" s="2" t="s">
        <v>59</v>
      </c>
      <c r="P5066" s="143">
        <v>7</v>
      </c>
      <c r="Q5066" s="2"/>
      <c r="R5066" s="96">
        <f ca="1">(R5058/(N_9*R$27*R5060*0.667))*SQRT(M*'Valve Sizing'!$W$6*'Valve Sizing'!$G$8/R5067)</f>
        <v>203.28442090992473</v>
      </c>
      <c r="S5066" s="107"/>
      <c r="T5066" s="22"/>
      <c r="U5066" s="27"/>
      <c r="V5066" s="28"/>
      <c r="W5066" s="28"/>
    </row>
    <row r="5067" spans="15:23" ht="15.6" x14ac:dyDescent="0.35">
      <c r="O5067" s="2" t="s">
        <v>68</v>
      </c>
      <c r="P5067" s="143">
        <v>10</v>
      </c>
      <c r="Q5067" s="2"/>
      <c r="R5067" s="96">
        <f ca="1">F_GAMMA*R$29</f>
        <v>0.64002969751372984</v>
      </c>
      <c r="S5067" s="107"/>
      <c r="T5067" s="1"/>
      <c r="U5067" s="27"/>
      <c r="V5067" s="28"/>
      <c r="W5067" s="28"/>
    </row>
    <row r="5068" spans="15:23" x14ac:dyDescent="0.25">
      <c r="O5068" s="2" t="s">
        <v>145</v>
      </c>
      <c r="P5068" s="12"/>
      <c r="Q5068" s="2"/>
      <c r="R5068" s="96">
        <f ca="1">IF(R5063&lt;R5067,R5065,R5066)</f>
        <v>553.55833642890468</v>
      </c>
      <c r="S5068" s="116"/>
      <c r="T5068" s="1"/>
      <c r="U5068" s="27"/>
      <c r="V5068" s="28"/>
      <c r="W5068" s="28"/>
    </row>
    <row r="5069" spans="15:23" x14ac:dyDescent="0.25">
      <c r="O5069" s="13" t="s">
        <v>143</v>
      </c>
      <c r="P5069" s="1"/>
      <c r="Q5069" s="1"/>
      <c r="R5069" s="113"/>
      <c r="S5069" s="106">
        <f ca="1">IF(R5062&lt;=0,Q_max,ABS(R$23-R5068))</f>
        <v>548.82833642890466</v>
      </c>
      <c r="T5069" s="7">
        <f>R5058</f>
        <v>389716.08052414132</v>
      </c>
      <c r="U5069" s="14"/>
      <c r="V5069" s="29"/>
      <c r="W5069" s="27"/>
    </row>
    <row r="5070" spans="15:23" x14ac:dyDescent="0.25">
      <c r="O5070" s="21"/>
      <c r="P5070" s="14"/>
      <c r="Q5070" s="21"/>
      <c r="R5070" s="97"/>
      <c r="S5070" s="106"/>
      <c r="T5070" s="28"/>
      <c r="U5070" s="28"/>
      <c r="V5070" s="28"/>
      <c r="W5070" s="28"/>
    </row>
    <row r="5071" spans="15:23" x14ac:dyDescent="0.25">
      <c r="O5071" s="1"/>
      <c r="P5071" s="1"/>
      <c r="Q5071" s="1"/>
      <c r="R5071" s="98"/>
      <c r="S5071" s="108" t="s">
        <v>137</v>
      </c>
      <c r="T5071" s="26" t="s">
        <v>146</v>
      </c>
      <c r="U5071" s="14"/>
      <c r="V5071" s="26"/>
      <c r="W5071" s="26"/>
    </row>
    <row r="5072" spans="15:23" ht="13.8" x14ac:dyDescent="0.25">
      <c r="O5072" s="20" t="s">
        <v>136</v>
      </c>
      <c r="P5072" s="1"/>
      <c r="Q5072" s="1"/>
      <c r="R5072" s="96">
        <f>R5058*1.02</f>
        <v>397510.40213462414</v>
      </c>
      <c r="S5072" s="109" t="s">
        <v>144</v>
      </c>
      <c r="T5072" s="23" t="s">
        <v>147</v>
      </c>
      <c r="U5072" s="27"/>
      <c r="V5072" s="26"/>
      <c r="W5072" s="26"/>
    </row>
    <row r="5073" spans="15:23" x14ac:dyDescent="0.25">
      <c r="O5073" s="1"/>
      <c r="P5073" s="1"/>
      <c r="Q5073" s="1"/>
      <c r="R5073" s="98"/>
      <c r="S5073" s="107"/>
      <c r="T5073" s="1"/>
      <c r="U5073" s="39"/>
      <c r="V5073" s="14"/>
      <c r="W5073" s="14"/>
    </row>
    <row r="5074" spans="15:23" x14ac:dyDescent="0.25">
      <c r="O5074" s="8" t="s">
        <v>132</v>
      </c>
      <c r="P5074" s="8"/>
      <c r="Q5074" s="8"/>
      <c r="R5074" s="96">
        <f>P_1_minQ-(R5072^2*R_up)+dpup_minQ</f>
        <v>61.385170167551522</v>
      </c>
      <c r="S5074" s="106"/>
      <c r="T5074" s="22"/>
      <c r="U5074" s="27"/>
      <c r="V5074" s="14"/>
      <c r="W5074" s="14"/>
    </row>
    <row r="5075" spans="15:23" x14ac:dyDescent="0.25">
      <c r="O5075" s="8" t="s">
        <v>134</v>
      </c>
      <c r="P5075" s="1"/>
      <c r="Q5075" s="8"/>
      <c r="R5075" s="97">
        <f>P_2_minQ+(R5072^2*R_dn)-dpdn_minQ</f>
        <v>60</v>
      </c>
      <c r="S5075" s="106"/>
      <c r="T5075" s="22"/>
      <c r="U5075" s="28"/>
      <c r="V5075" s="14"/>
      <c r="W5075" s="14"/>
    </row>
    <row r="5076" spans="15:23" x14ac:dyDescent="0.25">
      <c r="O5076" s="8" t="s">
        <v>138</v>
      </c>
      <c r="P5076" s="1"/>
      <c r="Q5076" s="8"/>
      <c r="R5076" s="97">
        <f>R5074-R5075</f>
        <v>1.3851701675515216</v>
      </c>
      <c r="S5076" s="106"/>
      <c r="T5076" s="22"/>
      <c r="U5076" s="28"/>
      <c r="V5076" s="25"/>
      <c r="W5076" s="25"/>
    </row>
    <row r="5077" spans="15:23" ht="14.4" x14ac:dyDescent="0.3">
      <c r="O5077" s="2" t="s">
        <v>140</v>
      </c>
      <c r="P5077" s="11"/>
      <c r="Q5077" s="2"/>
      <c r="R5077" s="96">
        <f>R5076/R5074</f>
        <v>2.2565224854320415E-2</v>
      </c>
      <c r="S5077" s="106"/>
      <c r="T5077" s="22"/>
      <c r="U5077" s="27"/>
      <c r="V5077" s="28"/>
      <c r="W5077" s="28"/>
    </row>
    <row r="5078" spans="15:23" x14ac:dyDescent="0.25">
      <c r="O5078" s="2" t="s">
        <v>21</v>
      </c>
      <c r="P5078" s="8">
        <v>12</v>
      </c>
      <c r="Q5078" s="2"/>
      <c r="R5078" s="96">
        <f ca="1">1-R5077/(3*F_GAMMA*R$29)</f>
        <v>0.9882478240504684</v>
      </c>
      <c r="S5078" s="106"/>
      <c r="T5078" s="22"/>
      <c r="U5078" s="27"/>
      <c r="V5078" s="28"/>
      <c r="W5078" s="28"/>
    </row>
    <row r="5079" spans="15:23" x14ac:dyDescent="0.25">
      <c r="O5079" s="2" t="s">
        <v>57</v>
      </c>
      <c r="P5079" s="143">
        <v>7</v>
      </c>
      <c r="Q5079" s="2"/>
      <c r="R5079" s="96">
        <f ca="1">(R5072/(N_9*R$27*R5074*R5078))*SQRT(M*'Valve Sizing'!$W$6*'Valve Sizing'!$G$8/R5077)</f>
        <v>758.90142528710624</v>
      </c>
      <c r="S5079" s="107"/>
      <c r="T5079" s="22"/>
      <c r="U5079" s="27"/>
      <c r="V5079" s="28"/>
      <c r="W5079" s="28"/>
    </row>
    <row r="5080" spans="15:23" x14ac:dyDescent="0.25">
      <c r="O5080" s="2" t="s">
        <v>59</v>
      </c>
      <c r="P5080" s="143">
        <v>7</v>
      </c>
      <c r="Q5080" s="2"/>
      <c r="R5080" s="96">
        <f ca="1">(R5072/(N_9*R$27*R5074*0.667))*SQRT(M*'Valve Sizing'!$W$6*'Valve Sizing'!$G$8/R5081)</f>
        <v>211.12767792155751</v>
      </c>
      <c r="S5080" s="107"/>
      <c r="T5080" s="22"/>
      <c r="U5080" s="27"/>
      <c r="V5080" s="28"/>
      <c r="W5080" s="28"/>
    </row>
    <row r="5081" spans="15:23" ht="15.6" x14ac:dyDescent="0.35">
      <c r="O5081" s="2" t="s">
        <v>68</v>
      </c>
      <c r="P5081" s="143">
        <v>10</v>
      </c>
      <c r="Q5081" s="2"/>
      <c r="R5081" s="96">
        <f ca="1">F_GAMMA*R$29</f>
        <v>0.64002969751372984</v>
      </c>
      <c r="S5081" s="107"/>
      <c r="T5081" s="1"/>
      <c r="U5081" s="27"/>
      <c r="V5081" s="28"/>
      <c r="W5081" s="28"/>
    </row>
    <row r="5082" spans="15:23" x14ac:dyDescent="0.25">
      <c r="O5082" s="2" t="s">
        <v>145</v>
      </c>
      <c r="P5082" s="12"/>
      <c r="Q5082" s="2"/>
      <c r="R5082" s="96">
        <f ca="1">IF(R5077&lt;R5081,R5079,R5080)</f>
        <v>758.90142528710624</v>
      </c>
      <c r="S5082" s="116"/>
      <c r="T5082" s="1"/>
      <c r="U5082" s="27"/>
      <c r="V5082" s="28"/>
      <c r="W5082" s="28"/>
    </row>
    <row r="5083" spans="15:23" x14ac:dyDescent="0.25">
      <c r="O5083" s="13" t="s">
        <v>143</v>
      </c>
      <c r="P5083" s="1"/>
      <c r="Q5083" s="1"/>
      <c r="R5083" s="113"/>
      <c r="S5083" s="106">
        <f ca="1">IF(R5076&lt;=0,Q_max,ABS(R$23-R5082))</f>
        <v>754.17142528710622</v>
      </c>
      <c r="T5083" s="7">
        <f>R5072</f>
        <v>397510.40213462414</v>
      </c>
      <c r="U5083" s="14"/>
      <c r="V5083" s="29"/>
      <c r="W5083" s="27"/>
    </row>
    <row r="5084" spans="15:23" x14ac:dyDescent="0.25">
      <c r="O5084" s="21"/>
      <c r="P5084" s="14"/>
      <c r="Q5084" s="21"/>
      <c r="R5084" s="97"/>
      <c r="S5084" s="106"/>
      <c r="T5084" s="28"/>
      <c r="U5084" s="28"/>
      <c r="V5084" s="28"/>
      <c r="W5084" s="28"/>
    </row>
    <row r="5085" spans="15:23" x14ac:dyDescent="0.25">
      <c r="O5085" s="1"/>
      <c r="P5085" s="1"/>
      <c r="Q5085" s="1"/>
      <c r="R5085" s="98"/>
      <c r="S5085" s="108" t="s">
        <v>137</v>
      </c>
      <c r="T5085" s="26" t="s">
        <v>146</v>
      </c>
      <c r="U5085" s="14"/>
      <c r="V5085" s="26"/>
      <c r="W5085" s="26"/>
    </row>
    <row r="5086" spans="15:23" ht="13.8" x14ac:dyDescent="0.25">
      <c r="O5086" s="20" t="s">
        <v>136</v>
      </c>
      <c r="P5086" s="1"/>
      <c r="Q5086" s="1"/>
      <c r="R5086" s="96">
        <f>R5072*1.02</f>
        <v>405460.61017731664</v>
      </c>
      <c r="S5086" s="109" t="s">
        <v>144</v>
      </c>
      <c r="T5086" s="23" t="s">
        <v>147</v>
      </c>
      <c r="U5086" s="27"/>
      <c r="V5086" s="26"/>
      <c r="W5086" s="26"/>
    </row>
    <row r="5087" spans="15:23" x14ac:dyDescent="0.25">
      <c r="O5087" s="1"/>
      <c r="P5087" s="1"/>
      <c r="Q5087" s="1"/>
      <c r="R5087" s="98"/>
      <c r="S5087" s="107"/>
      <c r="T5087" s="1"/>
      <c r="U5087" s="39"/>
      <c r="V5087" s="14"/>
      <c r="W5087" s="14"/>
    </row>
    <row r="5088" spans="15:23" x14ac:dyDescent="0.25">
      <c r="O5088" s="8" t="s">
        <v>132</v>
      </c>
      <c r="P5088" s="8"/>
      <c r="Q5088" s="8"/>
      <c r="R5088" s="96">
        <f>P_1_minQ-(R5086^2*R_up)+dpup_minQ</f>
        <v>60.221655404898272</v>
      </c>
      <c r="S5088" s="106"/>
      <c r="T5088" s="22"/>
      <c r="U5088" s="27"/>
      <c r="V5088" s="14"/>
      <c r="W5088" s="14"/>
    </row>
    <row r="5089" spans="15:23" x14ac:dyDescent="0.25">
      <c r="O5089" s="8" t="s">
        <v>134</v>
      </c>
      <c r="P5089" s="1"/>
      <c r="Q5089" s="8"/>
      <c r="R5089" s="97">
        <f>P_2_minQ+(R5086^2*R_dn)-dpdn_minQ</f>
        <v>60</v>
      </c>
      <c r="S5089" s="106"/>
      <c r="T5089" s="22"/>
      <c r="U5089" s="28"/>
      <c r="V5089" s="14"/>
      <c r="W5089" s="14"/>
    </row>
    <row r="5090" spans="15:23" x14ac:dyDescent="0.25">
      <c r="O5090" s="8" t="s">
        <v>138</v>
      </c>
      <c r="P5090" s="1"/>
      <c r="Q5090" s="8"/>
      <c r="R5090" s="97">
        <f>R5088-R5089</f>
        <v>0.22165540489827151</v>
      </c>
      <c r="S5090" s="106"/>
      <c r="T5090" s="22"/>
      <c r="U5090" s="28"/>
      <c r="V5090" s="25"/>
      <c r="W5090" s="25"/>
    </row>
    <row r="5091" spans="15:23" ht="14.4" x14ac:dyDescent="0.3">
      <c r="O5091" s="2" t="s">
        <v>140</v>
      </c>
      <c r="P5091" s="11"/>
      <c r="Q5091" s="2"/>
      <c r="R5091" s="96">
        <f>R5090/R5088</f>
        <v>3.6806594473031149E-3</v>
      </c>
      <c r="S5091" s="106"/>
      <c r="T5091" s="22"/>
      <c r="U5091" s="27"/>
      <c r="V5091" s="28"/>
      <c r="W5091" s="28"/>
    </row>
    <row r="5092" spans="15:23" x14ac:dyDescent="0.25">
      <c r="O5092" s="2" t="s">
        <v>21</v>
      </c>
      <c r="P5092" s="8">
        <v>12</v>
      </c>
      <c r="Q5092" s="2"/>
      <c r="R5092" s="96">
        <f ca="1">1-R5091/(3*F_GAMMA*R$29)</f>
        <v>0.99808307882087288</v>
      </c>
      <c r="S5092" s="106"/>
      <c r="T5092" s="22"/>
      <c r="U5092" s="27"/>
      <c r="V5092" s="28"/>
      <c r="W5092" s="28"/>
    </row>
    <row r="5093" spans="15:23" x14ac:dyDescent="0.25">
      <c r="O5093" s="2" t="s">
        <v>57</v>
      </c>
      <c r="P5093" s="143">
        <v>7</v>
      </c>
      <c r="Q5093" s="2"/>
      <c r="R5093" s="96">
        <f ca="1">(R5086/(N_9*R$27*R5088*R5092))*SQRT(M*'Valve Sizing'!$W$6*'Valve Sizing'!$G$8/R5091)</f>
        <v>1934.4277047494352</v>
      </c>
      <c r="S5093" s="107"/>
      <c r="T5093" s="22"/>
      <c r="U5093" s="27"/>
      <c r="V5093" s="28"/>
      <c r="W5093" s="28"/>
    </row>
    <row r="5094" spans="15:23" x14ac:dyDescent="0.25">
      <c r="O5094" s="2" t="s">
        <v>59</v>
      </c>
      <c r="P5094" s="143">
        <v>7</v>
      </c>
      <c r="Q5094" s="2"/>
      <c r="R5094" s="96">
        <f ca="1">(R5086/(N_9*R$27*R5088*0.667))*SQRT(M*'Valve Sizing'!$W$6*'Valve Sizing'!$G$8/R5095)</f>
        <v>219.51091374259187</v>
      </c>
      <c r="S5094" s="107"/>
      <c r="T5094" s="22"/>
      <c r="U5094" s="27"/>
      <c r="V5094" s="28"/>
      <c r="W5094" s="28"/>
    </row>
    <row r="5095" spans="15:23" ht="15.6" x14ac:dyDescent="0.35">
      <c r="O5095" s="2" t="s">
        <v>68</v>
      </c>
      <c r="P5095" s="143">
        <v>10</v>
      </c>
      <c r="Q5095" s="2"/>
      <c r="R5095" s="96">
        <f ca="1">F_GAMMA*R$29</f>
        <v>0.64002969751372984</v>
      </c>
      <c r="S5095" s="107"/>
      <c r="T5095" s="1"/>
      <c r="U5095" s="27"/>
      <c r="V5095" s="28"/>
      <c r="W5095" s="28"/>
    </row>
    <row r="5096" spans="15:23" x14ac:dyDescent="0.25">
      <c r="O5096" s="2" t="s">
        <v>145</v>
      </c>
      <c r="P5096" s="12"/>
      <c r="Q5096" s="2"/>
      <c r="R5096" s="96">
        <f ca="1">IF(R5091&lt;R5095,R5093,R5094)</f>
        <v>1934.4277047494352</v>
      </c>
      <c r="S5096" s="116"/>
      <c r="T5096" s="1"/>
      <c r="U5096" s="27"/>
      <c r="V5096" s="28"/>
      <c r="W5096" s="28"/>
    </row>
    <row r="5097" spans="15:23" x14ac:dyDescent="0.25">
      <c r="O5097" s="13" t="s">
        <v>143</v>
      </c>
      <c r="P5097" s="1"/>
      <c r="Q5097" s="1"/>
      <c r="R5097" s="113"/>
      <c r="S5097" s="106">
        <f ca="1">IF(R5090&lt;=0,Q_max,ABS(R$23-R5096))</f>
        <v>1929.6977047494352</v>
      </c>
      <c r="T5097" s="7">
        <f>R5086</f>
        <v>405460.61017731664</v>
      </c>
      <c r="U5097" s="14"/>
      <c r="V5097" s="29"/>
      <c r="W5097" s="27"/>
    </row>
    <row r="5098" spans="15:23" x14ac:dyDescent="0.25">
      <c r="O5098" s="21"/>
      <c r="P5098" s="14"/>
      <c r="Q5098" s="21"/>
      <c r="R5098" s="28"/>
      <c r="S5098" s="29"/>
      <c r="T5098" s="28"/>
      <c r="U5098" s="28"/>
      <c r="V5098" s="14"/>
      <c r="W5098" s="14"/>
    </row>
    <row r="5099" spans="15:23" x14ac:dyDescent="0.25">
      <c r="O5099" s="14"/>
      <c r="P5099" s="14"/>
      <c r="Q5099" s="14"/>
      <c r="R5099" s="14"/>
      <c r="S5099" s="26"/>
      <c r="T5099" s="26"/>
      <c r="U5099" s="26"/>
      <c r="V5099" s="14"/>
      <c r="W5099" s="14"/>
    </row>
    <row r="5100" spans="15:23" ht="13.8" x14ac:dyDescent="0.25">
      <c r="O5100" s="30"/>
      <c r="P5100" s="14"/>
      <c r="Q5100" s="14"/>
      <c r="R5100" s="27"/>
      <c r="S5100" s="26"/>
      <c r="T5100" s="26"/>
      <c r="U5100" s="26"/>
      <c r="V5100" s="14"/>
      <c r="W5100" s="14"/>
    </row>
    <row r="5101" spans="15:23" x14ac:dyDescent="0.25">
      <c r="O5101" s="14"/>
      <c r="P5101" s="14"/>
      <c r="Q5101" s="14"/>
      <c r="R5101" s="14"/>
      <c r="S5101" s="14"/>
      <c r="T5101" s="14"/>
      <c r="U5101" s="14"/>
      <c r="V5101" s="14"/>
      <c r="W5101" s="14"/>
    </row>
    <row r="5102" spans="15:23" x14ac:dyDescent="0.25">
      <c r="O5102" s="21"/>
      <c r="P5102" s="21"/>
      <c r="Q5102" s="21"/>
      <c r="R5102" s="27"/>
      <c r="S5102" s="29"/>
      <c r="T5102" s="29"/>
      <c r="U5102" s="14"/>
      <c r="V5102" s="14"/>
      <c r="W5102" s="14"/>
    </row>
    <row r="5103" spans="15:23" x14ac:dyDescent="0.25">
      <c r="O5103" s="21"/>
      <c r="P5103" s="14"/>
      <c r="Q5103" s="21"/>
      <c r="R5103" s="28"/>
      <c r="S5103" s="29"/>
      <c r="T5103" s="29"/>
      <c r="U5103" s="14"/>
      <c r="V5103" s="14"/>
      <c r="W5103" s="14"/>
    </row>
    <row r="5104" spans="15:23" x14ac:dyDescent="0.25">
      <c r="O5104" s="21"/>
      <c r="P5104" s="14"/>
      <c r="Q5104" s="21"/>
      <c r="R5104" s="28"/>
      <c r="S5104" s="29"/>
      <c r="T5104" s="29"/>
      <c r="U5104" s="25"/>
      <c r="V5104" s="14"/>
      <c r="W5104" s="14"/>
    </row>
    <row r="5105" spans="15:23" ht="14.4" x14ac:dyDescent="0.3">
      <c r="O5105" s="32"/>
      <c r="P5105" s="33"/>
      <c r="Q5105" s="32"/>
      <c r="R5105" s="27"/>
      <c r="S5105" s="29"/>
      <c r="T5105" s="29"/>
      <c r="U5105" s="28"/>
      <c r="V5105" s="14"/>
      <c r="W5105" s="14"/>
    </row>
    <row r="5106" spans="15:23" x14ac:dyDescent="0.25">
      <c r="O5106" s="32"/>
      <c r="P5106" s="21"/>
      <c r="Q5106" s="32"/>
      <c r="R5106" s="27"/>
      <c r="S5106" s="29"/>
      <c r="T5106" s="29"/>
      <c r="U5106" s="28"/>
      <c r="V5106" s="14"/>
      <c r="W5106" s="14"/>
    </row>
    <row r="5107" spans="15:23" x14ac:dyDescent="0.25">
      <c r="O5107" s="32"/>
      <c r="P5107" s="34"/>
      <c r="Q5107" s="32"/>
      <c r="R5107" s="27"/>
      <c r="S5107" s="14"/>
      <c r="T5107" s="29"/>
      <c r="U5107" s="28"/>
      <c r="V5107" s="14"/>
      <c r="W5107" s="14"/>
    </row>
    <row r="5108" spans="15:23" x14ac:dyDescent="0.25">
      <c r="O5108" s="32"/>
      <c r="P5108" s="34"/>
      <c r="Q5108" s="32"/>
      <c r="R5108" s="27"/>
      <c r="S5108" s="14"/>
      <c r="T5108" s="29"/>
      <c r="U5108" s="28"/>
      <c r="V5108" s="14"/>
      <c r="W5108" s="14"/>
    </row>
    <row r="5109" spans="15:23" x14ac:dyDescent="0.25">
      <c r="O5109" s="32"/>
      <c r="P5109" s="34"/>
      <c r="Q5109" s="32"/>
      <c r="R5109" s="27"/>
      <c r="S5109" s="14"/>
      <c r="T5109" s="14"/>
      <c r="U5109" s="28"/>
      <c r="V5109" s="14"/>
      <c r="W5109" s="14"/>
    </row>
    <row r="5110" spans="15:23" x14ac:dyDescent="0.25">
      <c r="O5110" s="32"/>
      <c r="P5110" s="35"/>
      <c r="Q5110" s="32"/>
      <c r="R5110" s="27"/>
      <c r="S5110" s="21"/>
      <c r="T5110" s="14"/>
      <c r="U5110" s="28"/>
      <c r="V5110" s="14"/>
      <c r="W5110" s="14"/>
    </row>
    <row r="5111" spans="15:23" x14ac:dyDescent="0.25">
      <c r="O5111" s="36"/>
      <c r="P5111" s="14"/>
      <c r="Q5111" s="14"/>
      <c r="R5111" s="37"/>
      <c r="S5111" s="29"/>
      <c r="T5111" s="28"/>
      <c r="U5111" s="25"/>
      <c r="V5111" s="14"/>
      <c r="W5111" s="14"/>
    </row>
    <row r="5112" spans="15:23" ht="13.8" x14ac:dyDescent="0.25">
      <c r="O5112" s="21"/>
      <c r="P5112" s="21"/>
      <c r="Q5112" s="21"/>
      <c r="R5112" s="24"/>
      <c r="S5112" s="24"/>
      <c r="T5112" s="25"/>
      <c r="U5112" s="28"/>
      <c r="V5112" s="14"/>
      <c r="W5112" s="14"/>
    </row>
    <row r="5113" spans="15:23" x14ac:dyDescent="0.25">
      <c r="O5113" s="14"/>
      <c r="P5113" s="14"/>
      <c r="Q5113" s="14"/>
      <c r="R5113" s="14"/>
      <c r="S5113" s="26"/>
      <c r="T5113" s="26"/>
      <c r="U5113" s="26"/>
      <c r="V5113" s="14"/>
      <c r="W5113" s="14"/>
    </row>
    <row r="5114" spans="15:23" ht="13.8" x14ac:dyDescent="0.25">
      <c r="O5114" s="30"/>
      <c r="P5114" s="14"/>
      <c r="Q5114" s="14"/>
      <c r="R5114" s="27"/>
      <c r="S5114" s="26"/>
      <c r="T5114" s="26"/>
      <c r="U5114" s="26"/>
      <c r="V5114" s="14"/>
      <c r="W5114" s="14"/>
    </row>
    <row r="5115" spans="15:23" x14ac:dyDescent="0.25">
      <c r="O5115" s="14"/>
      <c r="P5115" s="14"/>
      <c r="Q5115" s="14"/>
      <c r="R5115" s="14"/>
      <c r="S5115" s="14"/>
      <c r="T5115" s="14"/>
      <c r="U5115" s="14"/>
      <c r="V5115" s="14"/>
      <c r="W5115" s="14"/>
    </row>
    <row r="5116" spans="15:23" x14ac:dyDescent="0.25">
      <c r="O5116" s="21"/>
      <c r="P5116" s="21"/>
      <c r="Q5116" s="21"/>
      <c r="R5116" s="27"/>
      <c r="S5116" s="29"/>
      <c r="T5116" s="29"/>
      <c r="U5116" s="14"/>
      <c r="V5116" s="14"/>
      <c r="W5116" s="14"/>
    </row>
    <row r="5117" spans="15:23" x14ac:dyDescent="0.25">
      <c r="O5117" s="21"/>
      <c r="P5117" s="14"/>
      <c r="Q5117" s="21"/>
      <c r="R5117" s="28"/>
      <c r="S5117" s="29"/>
      <c r="T5117" s="29"/>
      <c r="U5117" s="14"/>
      <c r="V5117" s="14"/>
      <c r="W5117" s="14"/>
    </row>
    <row r="5118" spans="15:23" x14ac:dyDescent="0.25">
      <c r="O5118" s="21"/>
      <c r="P5118" s="14"/>
      <c r="Q5118" s="21"/>
      <c r="R5118" s="28"/>
      <c r="S5118" s="29"/>
      <c r="T5118" s="29"/>
      <c r="U5118" s="25"/>
      <c r="V5118" s="14"/>
      <c r="W5118" s="14"/>
    </row>
    <row r="5119" spans="15:23" ht="14.4" x14ac:dyDescent="0.3">
      <c r="O5119" s="32"/>
      <c r="P5119" s="33"/>
      <c r="Q5119" s="32"/>
      <c r="R5119" s="27"/>
      <c r="S5119" s="29"/>
      <c r="T5119" s="29"/>
      <c r="U5119" s="28"/>
      <c r="V5119" s="14"/>
      <c r="W5119" s="14"/>
    </row>
    <row r="5120" spans="15:23" x14ac:dyDescent="0.25">
      <c r="O5120" s="32"/>
      <c r="P5120" s="21"/>
      <c r="Q5120" s="32"/>
      <c r="R5120" s="27"/>
      <c r="S5120" s="29"/>
      <c r="T5120" s="29"/>
      <c r="U5120" s="28"/>
      <c r="V5120" s="14"/>
      <c r="W5120" s="14"/>
    </row>
    <row r="5121" spans="15:23" x14ac:dyDescent="0.25">
      <c r="O5121" s="32"/>
      <c r="P5121" s="34"/>
      <c r="Q5121" s="32"/>
      <c r="R5121" s="27"/>
      <c r="S5121" s="14"/>
      <c r="T5121" s="29"/>
      <c r="U5121" s="28"/>
      <c r="V5121" s="14"/>
      <c r="W5121" s="14"/>
    </row>
    <row r="5122" spans="15:23" x14ac:dyDescent="0.25">
      <c r="O5122" s="32"/>
      <c r="P5122" s="34"/>
      <c r="Q5122" s="32"/>
      <c r="R5122" s="27"/>
      <c r="S5122" s="14"/>
      <c r="T5122" s="29"/>
      <c r="U5122" s="28"/>
      <c r="V5122" s="14"/>
      <c r="W5122" s="14"/>
    </row>
    <row r="5123" spans="15:23" x14ac:dyDescent="0.25">
      <c r="O5123" s="32"/>
      <c r="P5123" s="34"/>
      <c r="Q5123" s="32"/>
      <c r="R5123" s="27"/>
      <c r="S5123" s="14"/>
      <c r="T5123" s="14"/>
      <c r="U5123" s="28"/>
      <c r="V5123" s="14"/>
      <c r="W5123" s="14"/>
    </row>
    <row r="5124" spans="15:23" x14ac:dyDescent="0.25">
      <c r="O5124" s="32"/>
      <c r="P5124" s="35"/>
      <c r="Q5124" s="32"/>
      <c r="R5124" s="27"/>
      <c r="S5124" s="21"/>
      <c r="T5124" s="14"/>
      <c r="U5124" s="28"/>
      <c r="V5124" s="14"/>
      <c r="W5124" s="14"/>
    </row>
    <row r="5125" spans="15:23" x14ac:dyDescent="0.25">
      <c r="O5125" s="36"/>
      <c r="P5125" s="14"/>
      <c r="Q5125" s="14"/>
      <c r="R5125" s="37"/>
      <c r="S5125" s="29"/>
      <c r="T5125" s="28"/>
      <c r="U5125" s="25"/>
      <c r="V5125" s="14"/>
      <c r="W5125" s="14"/>
    </row>
    <row r="5126" spans="15:23" x14ac:dyDescent="0.25">
      <c r="O5126" s="21"/>
      <c r="P5126" s="14"/>
      <c r="Q5126" s="21"/>
      <c r="R5126" s="28"/>
      <c r="S5126" s="29"/>
      <c r="T5126" s="28"/>
      <c r="U5126" s="28"/>
      <c r="V5126" s="14"/>
      <c r="W5126" s="14"/>
    </row>
    <row r="5127" spans="15:23" x14ac:dyDescent="0.25">
      <c r="O5127" s="14"/>
      <c r="P5127" s="14"/>
      <c r="Q5127" s="14"/>
      <c r="R5127" s="14"/>
      <c r="S5127" s="26"/>
      <c r="T5127" s="26"/>
      <c r="U5127" s="26"/>
      <c r="V5127" s="14"/>
      <c r="W5127" s="14"/>
    </row>
    <row r="5128" spans="15:23" ht="13.8" x14ac:dyDescent="0.25">
      <c r="O5128" s="30"/>
      <c r="P5128" s="14"/>
      <c r="Q5128" s="14"/>
      <c r="R5128" s="27"/>
      <c r="S5128" s="26"/>
      <c r="T5128" s="26"/>
      <c r="U5128" s="26"/>
      <c r="V5128" s="14"/>
      <c r="W5128" s="14"/>
    </row>
    <row r="5129" spans="15:23" x14ac:dyDescent="0.25">
      <c r="O5129" s="14"/>
      <c r="P5129" s="14"/>
      <c r="Q5129" s="14"/>
      <c r="R5129" s="14"/>
      <c r="S5129" s="14"/>
      <c r="T5129" s="14"/>
      <c r="U5129" s="14"/>
      <c r="V5129" s="14"/>
      <c r="W5129" s="14"/>
    </row>
    <row r="5130" spans="15:23" x14ac:dyDescent="0.25">
      <c r="O5130" s="21"/>
      <c r="P5130" s="21"/>
      <c r="Q5130" s="21"/>
      <c r="R5130" s="27"/>
      <c r="S5130" s="29"/>
      <c r="T5130" s="29"/>
      <c r="U5130" s="14"/>
      <c r="V5130" s="14"/>
      <c r="W5130" s="14"/>
    </row>
    <row r="5131" spans="15:23" x14ac:dyDescent="0.25">
      <c r="O5131" s="21"/>
      <c r="P5131" s="14"/>
      <c r="Q5131" s="21"/>
      <c r="R5131" s="28"/>
      <c r="S5131" s="29"/>
      <c r="T5131" s="29"/>
      <c r="U5131" s="14"/>
      <c r="V5131" s="14"/>
      <c r="W5131" s="14"/>
    </row>
    <row r="5132" spans="15:23" x14ac:dyDescent="0.25">
      <c r="O5132" s="21"/>
      <c r="P5132" s="14"/>
      <c r="Q5132" s="21"/>
      <c r="R5132" s="28"/>
      <c r="S5132" s="29"/>
      <c r="T5132" s="29"/>
      <c r="U5132" s="25"/>
      <c r="V5132" s="14"/>
      <c r="W5132" s="14"/>
    </row>
    <row r="5133" spans="15:23" ht="14.4" x14ac:dyDescent="0.3">
      <c r="O5133" s="32"/>
      <c r="P5133" s="33"/>
      <c r="Q5133" s="32"/>
      <c r="R5133" s="27"/>
      <c r="S5133" s="29"/>
      <c r="T5133" s="29"/>
      <c r="U5133" s="28"/>
      <c r="V5133" s="14"/>
      <c r="W5133" s="14"/>
    </row>
    <row r="5134" spans="15:23" x14ac:dyDescent="0.25">
      <c r="O5134" s="32"/>
      <c r="P5134" s="21"/>
      <c r="Q5134" s="32"/>
      <c r="R5134" s="27"/>
      <c r="S5134" s="29"/>
      <c r="T5134" s="29"/>
      <c r="U5134" s="28"/>
      <c r="V5134" s="14"/>
      <c r="W5134" s="14"/>
    </row>
    <row r="5135" spans="15:23" x14ac:dyDescent="0.25">
      <c r="O5135" s="32"/>
      <c r="P5135" s="34"/>
      <c r="Q5135" s="32"/>
      <c r="R5135" s="27"/>
      <c r="S5135" s="14"/>
      <c r="T5135" s="29"/>
      <c r="U5135" s="28"/>
      <c r="V5135" s="14"/>
      <c r="W5135" s="14"/>
    </row>
    <row r="5136" spans="15:23" x14ac:dyDescent="0.25">
      <c r="O5136" s="32"/>
      <c r="P5136" s="34"/>
      <c r="Q5136" s="32"/>
      <c r="R5136" s="27"/>
      <c r="S5136" s="14"/>
      <c r="T5136" s="29"/>
      <c r="U5136" s="28"/>
      <c r="V5136" s="14"/>
      <c r="W5136" s="14"/>
    </row>
    <row r="5137" spans="15:23" x14ac:dyDescent="0.25">
      <c r="O5137" s="32"/>
      <c r="P5137" s="34"/>
      <c r="Q5137" s="32"/>
      <c r="R5137" s="27"/>
      <c r="S5137" s="14"/>
      <c r="T5137" s="14"/>
      <c r="U5137" s="28"/>
      <c r="V5137" s="14"/>
      <c r="W5137" s="14"/>
    </row>
    <row r="5138" spans="15:23" x14ac:dyDescent="0.25">
      <c r="O5138" s="32"/>
      <c r="P5138" s="35"/>
      <c r="Q5138" s="32"/>
      <c r="R5138" s="27"/>
      <c r="S5138" s="21"/>
      <c r="T5138" s="14"/>
      <c r="U5138" s="28"/>
      <c r="V5138" s="14"/>
      <c r="W5138" s="14"/>
    </row>
    <row r="5139" spans="15:23" x14ac:dyDescent="0.25">
      <c r="O5139" s="36"/>
      <c r="P5139" s="14"/>
      <c r="Q5139" s="14"/>
      <c r="R5139" s="37"/>
      <c r="S5139" s="29"/>
      <c r="T5139" s="28"/>
      <c r="U5139" s="25"/>
      <c r="V5139" s="14"/>
      <c r="W5139" s="14"/>
    </row>
    <row r="5140" spans="15:23" x14ac:dyDescent="0.25">
      <c r="O5140" s="21"/>
      <c r="P5140" s="14"/>
      <c r="Q5140" s="21"/>
      <c r="R5140" s="28"/>
      <c r="S5140" s="29"/>
      <c r="T5140" s="28"/>
      <c r="U5140" s="28"/>
      <c r="V5140" s="14"/>
      <c r="W5140" s="14"/>
    </row>
    <row r="5141" spans="15:23" x14ac:dyDescent="0.25">
      <c r="O5141" s="14"/>
      <c r="P5141" s="14"/>
      <c r="Q5141" s="14"/>
      <c r="R5141" s="14"/>
      <c r="S5141" s="26"/>
      <c r="T5141" s="26"/>
      <c r="U5141" s="26"/>
      <c r="V5141" s="14"/>
      <c r="W5141" s="14"/>
    </row>
    <row r="5142" spans="15:23" ht="13.8" x14ac:dyDescent="0.25">
      <c r="O5142" s="30"/>
      <c r="P5142" s="14"/>
      <c r="Q5142" s="14"/>
      <c r="R5142" s="27"/>
      <c r="S5142" s="26"/>
      <c r="T5142" s="26"/>
      <c r="U5142" s="26"/>
      <c r="V5142" s="14"/>
      <c r="W5142" s="14"/>
    </row>
    <row r="5143" spans="15:23" x14ac:dyDescent="0.25">
      <c r="O5143" s="14"/>
      <c r="P5143" s="14"/>
      <c r="Q5143" s="14"/>
      <c r="R5143" s="14"/>
      <c r="S5143" s="14"/>
      <c r="T5143" s="14"/>
      <c r="U5143" s="14"/>
      <c r="V5143" s="14"/>
      <c r="W5143" s="14"/>
    </row>
    <row r="5144" spans="15:23" x14ac:dyDescent="0.25">
      <c r="O5144" s="21"/>
      <c r="P5144" s="21"/>
      <c r="Q5144" s="21"/>
      <c r="R5144" s="27"/>
      <c r="S5144" s="29"/>
      <c r="T5144" s="29"/>
      <c r="U5144" s="14"/>
      <c r="V5144" s="14"/>
      <c r="W5144" s="14"/>
    </row>
    <row r="5145" spans="15:23" x14ac:dyDescent="0.25">
      <c r="O5145" s="21"/>
      <c r="P5145" s="14"/>
      <c r="Q5145" s="21"/>
      <c r="R5145" s="28"/>
      <c r="S5145" s="29"/>
      <c r="T5145" s="29"/>
      <c r="U5145" s="14"/>
      <c r="V5145" s="14"/>
      <c r="W5145" s="14"/>
    </row>
    <row r="5146" spans="15:23" x14ac:dyDescent="0.25">
      <c r="O5146" s="21"/>
      <c r="P5146" s="14"/>
      <c r="Q5146" s="21"/>
      <c r="R5146" s="28"/>
      <c r="S5146" s="29"/>
      <c r="T5146" s="29"/>
      <c r="U5146" s="25"/>
      <c r="V5146" s="14"/>
      <c r="W5146" s="14"/>
    </row>
    <row r="5147" spans="15:23" ht="14.4" x14ac:dyDescent="0.3">
      <c r="O5147" s="32"/>
      <c r="P5147" s="33"/>
      <c r="Q5147" s="32"/>
      <c r="R5147" s="27"/>
      <c r="S5147" s="29"/>
      <c r="T5147" s="29"/>
      <c r="U5147" s="28"/>
      <c r="V5147" s="14"/>
      <c r="W5147" s="14"/>
    </row>
    <row r="5148" spans="15:23" x14ac:dyDescent="0.25">
      <c r="O5148" s="32"/>
      <c r="P5148" s="21"/>
      <c r="Q5148" s="32"/>
      <c r="R5148" s="27"/>
      <c r="S5148" s="29"/>
      <c r="T5148" s="29"/>
      <c r="U5148" s="28"/>
      <c r="V5148" s="14"/>
      <c r="W5148" s="14"/>
    </row>
    <row r="5149" spans="15:23" x14ac:dyDescent="0.25">
      <c r="O5149" s="32"/>
      <c r="P5149" s="34"/>
      <c r="Q5149" s="32"/>
      <c r="R5149" s="27"/>
      <c r="S5149" s="14"/>
      <c r="T5149" s="29"/>
      <c r="U5149" s="28"/>
      <c r="V5149" s="14"/>
      <c r="W5149" s="14"/>
    </row>
    <row r="5150" spans="15:23" x14ac:dyDescent="0.25">
      <c r="O5150" s="32"/>
      <c r="P5150" s="34"/>
      <c r="Q5150" s="32"/>
      <c r="R5150" s="27"/>
      <c r="S5150" s="14"/>
      <c r="T5150" s="29"/>
      <c r="U5150" s="28"/>
      <c r="V5150" s="14"/>
      <c r="W5150" s="14"/>
    </row>
    <row r="5151" spans="15:23" x14ac:dyDescent="0.25">
      <c r="O5151" s="32"/>
      <c r="P5151" s="34"/>
      <c r="Q5151" s="32"/>
      <c r="R5151" s="27"/>
      <c r="S5151" s="14"/>
      <c r="T5151" s="14"/>
      <c r="U5151" s="28"/>
      <c r="V5151" s="14"/>
      <c r="W5151" s="14"/>
    </row>
    <row r="5152" spans="15:23" x14ac:dyDescent="0.25">
      <c r="O5152" s="32"/>
      <c r="P5152" s="35"/>
      <c r="Q5152" s="32"/>
      <c r="R5152" s="27"/>
      <c r="S5152" s="21"/>
      <c r="T5152" s="14"/>
      <c r="U5152" s="28"/>
      <c r="V5152" s="14"/>
      <c r="W5152" s="14"/>
    </row>
    <row r="5153" spans="15:23" x14ac:dyDescent="0.25">
      <c r="O5153" s="36"/>
      <c r="P5153" s="14"/>
      <c r="Q5153" s="14"/>
      <c r="R5153" s="37"/>
      <c r="S5153" s="29"/>
      <c r="T5153" s="28"/>
      <c r="U5153" s="25"/>
      <c r="V5153" s="14"/>
      <c r="W5153" s="14"/>
    </row>
    <row r="5154" spans="15:23" x14ac:dyDescent="0.25">
      <c r="O5154" s="21"/>
      <c r="P5154" s="14"/>
      <c r="Q5154" s="21"/>
      <c r="R5154" s="28"/>
      <c r="S5154" s="29"/>
      <c r="T5154" s="28"/>
      <c r="U5154" s="28"/>
      <c r="V5154" s="14"/>
      <c r="W5154" s="14"/>
    </row>
    <row r="5155" spans="15:23" x14ac:dyDescent="0.25">
      <c r="O5155" s="14"/>
      <c r="P5155" s="14"/>
      <c r="Q5155" s="14"/>
      <c r="R5155" s="14"/>
      <c r="S5155" s="26"/>
      <c r="T5155" s="26"/>
      <c r="U5155" s="26"/>
      <c r="V5155" s="14"/>
      <c r="W5155" s="14"/>
    </row>
    <row r="5156" spans="15:23" ht="13.8" x14ac:dyDescent="0.25">
      <c r="O5156" s="30"/>
      <c r="P5156" s="14"/>
      <c r="Q5156" s="14"/>
      <c r="R5156" s="27"/>
      <c r="S5156" s="26"/>
      <c r="T5156" s="26"/>
      <c r="U5156" s="26"/>
      <c r="V5156" s="14"/>
      <c r="W5156" s="14"/>
    </row>
    <row r="5157" spans="15:23" x14ac:dyDescent="0.25">
      <c r="O5157" s="14"/>
      <c r="P5157" s="14"/>
      <c r="Q5157" s="14"/>
      <c r="R5157" s="14"/>
      <c r="S5157" s="14"/>
      <c r="T5157" s="14"/>
      <c r="U5157" s="14"/>
      <c r="V5157" s="14"/>
      <c r="W5157" s="14"/>
    </row>
    <row r="5158" spans="15:23" x14ac:dyDescent="0.25">
      <c r="O5158" s="21"/>
      <c r="P5158" s="21"/>
      <c r="Q5158" s="21"/>
      <c r="R5158" s="27"/>
      <c r="S5158" s="29"/>
      <c r="T5158" s="29"/>
      <c r="U5158" s="14"/>
      <c r="V5158" s="14"/>
      <c r="W5158" s="14"/>
    </row>
    <row r="5159" spans="15:23" x14ac:dyDescent="0.25">
      <c r="O5159" s="21"/>
      <c r="P5159" s="14"/>
      <c r="Q5159" s="21"/>
      <c r="R5159" s="28"/>
      <c r="S5159" s="29"/>
      <c r="T5159" s="29"/>
      <c r="U5159" s="14"/>
      <c r="V5159" s="14"/>
      <c r="W5159" s="14"/>
    </row>
    <row r="5160" spans="15:23" x14ac:dyDescent="0.25">
      <c r="O5160" s="21"/>
      <c r="P5160" s="14"/>
      <c r="Q5160" s="21"/>
      <c r="R5160" s="28"/>
      <c r="S5160" s="29"/>
      <c r="T5160" s="29"/>
      <c r="U5160" s="25"/>
      <c r="V5160" s="14"/>
      <c r="W5160" s="14"/>
    </row>
    <row r="5161" spans="15:23" ht="14.4" x14ac:dyDescent="0.3">
      <c r="O5161" s="32"/>
      <c r="P5161" s="33"/>
      <c r="Q5161" s="32"/>
      <c r="R5161" s="27"/>
      <c r="S5161" s="29"/>
      <c r="T5161" s="29"/>
      <c r="U5161" s="28"/>
      <c r="V5161" s="14"/>
      <c r="W5161" s="14"/>
    </row>
    <row r="5162" spans="15:23" x14ac:dyDescent="0.25">
      <c r="O5162" s="32"/>
      <c r="P5162" s="21"/>
      <c r="Q5162" s="32"/>
      <c r="R5162" s="27"/>
      <c r="S5162" s="29"/>
      <c r="T5162" s="29"/>
      <c r="U5162" s="28"/>
      <c r="V5162" s="14"/>
      <c r="W5162" s="14"/>
    </row>
    <row r="5163" spans="15:23" x14ac:dyDescent="0.25">
      <c r="O5163" s="32"/>
      <c r="P5163" s="34"/>
      <c r="Q5163" s="32"/>
      <c r="R5163" s="27"/>
      <c r="S5163" s="14"/>
      <c r="T5163" s="29"/>
      <c r="U5163" s="28"/>
      <c r="V5163" s="14"/>
      <c r="W5163" s="14"/>
    </row>
    <row r="5164" spans="15:23" x14ac:dyDescent="0.25">
      <c r="O5164" s="32"/>
      <c r="P5164" s="34"/>
      <c r="Q5164" s="32"/>
      <c r="R5164" s="27"/>
      <c r="S5164" s="14"/>
      <c r="T5164" s="29"/>
      <c r="U5164" s="28"/>
      <c r="V5164" s="14"/>
      <c r="W5164" s="14"/>
    </row>
    <row r="5165" spans="15:23" x14ac:dyDescent="0.25">
      <c r="O5165" s="32"/>
      <c r="P5165" s="34"/>
      <c r="Q5165" s="32"/>
      <c r="R5165" s="27"/>
      <c r="S5165" s="14"/>
      <c r="T5165" s="14"/>
      <c r="U5165" s="28"/>
      <c r="V5165" s="14"/>
      <c r="W5165" s="14"/>
    </row>
    <row r="5166" spans="15:23" x14ac:dyDescent="0.25">
      <c r="O5166" s="32"/>
      <c r="P5166" s="35"/>
      <c r="Q5166" s="32"/>
      <c r="R5166" s="27"/>
      <c r="S5166" s="21"/>
      <c r="T5166" s="14"/>
      <c r="U5166" s="28"/>
      <c r="V5166" s="14"/>
      <c r="W5166" s="14"/>
    </row>
    <row r="5167" spans="15:23" x14ac:dyDescent="0.25">
      <c r="O5167" s="36"/>
      <c r="P5167" s="14"/>
      <c r="Q5167" s="14"/>
      <c r="R5167" s="37"/>
      <c r="S5167" s="29"/>
      <c r="T5167" s="28"/>
      <c r="U5167" s="25"/>
      <c r="V5167" s="14"/>
      <c r="W5167" s="14"/>
    </row>
    <row r="5168" spans="15:23" x14ac:dyDescent="0.25">
      <c r="O5168" s="21"/>
      <c r="P5168" s="14"/>
      <c r="Q5168" s="21"/>
      <c r="R5168" s="28"/>
      <c r="S5168" s="29"/>
      <c r="T5168" s="28"/>
      <c r="U5168" s="28"/>
      <c r="V5168" s="14"/>
      <c r="W5168" s="14"/>
    </row>
    <row r="5169" spans="15:23" x14ac:dyDescent="0.25">
      <c r="O5169" s="14"/>
      <c r="P5169" s="14"/>
      <c r="Q5169" s="14"/>
      <c r="R5169" s="14"/>
      <c r="S5169" s="26"/>
      <c r="T5169" s="26"/>
      <c r="U5169" s="26"/>
      <c r="V5169" s="14"/>
      <c r="W5169" s="14"/>
    </row>
    <row r="5170" spans="15:23" ht="13.8" x14ac:dyDescent="0.25">
      <c r="O5170" s="30"/>
      <c r="P5170" s="14"/>
      <c r="Q5170" s="14"/>
      <c r="R5170" s="27"/>
      <c r="S5170" s="26"/>
      <c r="T5170" s="26"/>
      <c r="U5170" s="26"/>
      <c r="V5170" s="14"/>
      <c r="W5170" s="14"/>
    </row>
    <row r="5171" spans="15:23" x14ac:dyDescent="0.25">
      <c r="O5171" s="14"/>
      <c r="P5171" s="14"/>
      <c r="Q5171" s="14"/>
      <c r="R5171" s="14"/>
      <c r="S5171" s="14"/>
      <c r="T5171" s="14"/>
      <c r="U5171" s="14"/>
      <c r="V5171" s="14"/>
      <c r="W5171" s="14"/>
    </row>
    <row r="5172" spans="15:23" x14ac:dyDescent="0.25">
      <c r="O5172" s="21"/>
      <c r="P5172" s="21"/>
      <c r="Q5172" s="21"/>
      <c r="R5172" s="27"/>
      <c r="S5172" s="29"/>
      <c r="T5172" s="29"/>
      <c r="U5172" s="14"/>
      <c r="V5172" s="14"/>
      <c r="W5172" s="14"/>
    </row>
    <row r="5173" spans="15:23" x14ac:dyDescent="0.25">
      <c r="O5173" s="21"/>
      <c r="P5173" s="14"/>
      <c r="Q5173" s="21"/>
      <c r="R5173" s="28"/>
      <c r="S5173" s="29"/>
      <c r="T5173" s="29"/>
      <c r="U5173" s="14"/>
      <c r="V5173" s="14"/>
      <c r="W5173" s="14"/>
    </row>
    <row r="5174" spans="15:23" x14ac:dyDescent="0.25">
      <c r="O5174" s="21"/>
      <c r="P5174" s="14"/>
      <c r="Q5174" s="21"/>
      <c r="R5174" s="28"/>
      <c r="S5174" s="29"/>
      <c r="T5174" s="29"/>
      <c r="U5174" s="25"/>
      <c r="V5174" s="14"/>
      <c r="W5174" s="14"/>
    </row>
    <row r="5175" spans="15:23" ht="14.4" x14ac:dyDescent="0.3">
      <c r="O5175" s="32"/>
      <c r="P5175" s="33"/>
      <c r="Q5175" s="32"/>
      <c r="R5175" s="27"/>
      <c r="S5175" s="29"/>
      <c r="T5175" s="29"/>
      <c r="U5175" s="28"/>
      <c r="V5175" s="14"/>
      <c r="W5175" s="14"/>
    </row>
    <row r="5176" spans="15:23" x14ac:dyDescent="0.25">
      <c r="O5176" s="32"/>
      <c r="P5176" s="21"/>
      <c r="Q5176" s="32"/>
      <c r="R5176" s="27"/>
      <c r="S5176" s="29"/>
      <c r="T5176" s="29"/>
      <c r="U5176" s="28"/>
      <c r="V5176" s="14"/>
      <c r="W5176" s="14"/>
    </row>
    <row r="5177" spans="15:23" x14ac:dyDescent="0.25">
      <c r="O5177" s="32"/>
      <c r="P5177" s="34"/>
      <c r="Q5177" s="32"/>
      <c r="R5177" s="27"/>
      <c r="S5177" s="14"/>
      <c r="T5177" s="29"/>
      <c r="U5177" s="28"/>
      <c r="V5177" s="14"/>
      <c r="W5177" s="14"/>
    </row>
    <row r="5178" spans="15:23" x14ac:dyDescent="0.25">
      <c r="O5178" s="32"/>
      <c r="P5178" s="34"/>
      <c r="Q5178" s="32"/>
      <c r="R5178" s="27"/>
      <c r="S5178" s="14"/>
      <c r="T5178" s="29"/>
      <c r="U5178" s="28"/>
      <c r="V5178" s="14"/>
      <c r="W5178" s="14"/>
    </row>
    <row r="5179" spans="15:23" x14ac:dyDescent="0.25">
      <c r="O5179" s="32"/>
      <c r="P5179" s="34"/>
      <c r="Q5179" s="32"/>
      <c r="R5179" s="27"/>
      <c r="S5179" s="14"/>
      <c r="T5179" s="14"/>
      <c r="U5179" s="28"/>
      <c r="V5179" s="14"/>
      <c r="W5179" s="14"/>
    </row>
    <row r="5180" spans="15:23" x14ac:dyDescent="0.25">
      <c r="O5180" s="32"/>
      <c r="P5180" s="35"/>
      <c r="Q5180" s="32"/>
      <c r="R5180" s="27"/>
      <c r="S5180" s="21"/>
      <c r="T5180" s="14"/>
      <c r="U5180" s="28"/>
      <c r="V5180" s="14"/>
      <c r="W5180" s="14"/>
    </row>
    <row r="5181" spans="15:23" x14ac:dyDescent="0.25">
      <c r="O5181" s="36"/>
      <c r="P5181" s="14"/>
      <c r="Q5181" s="14"/>
      <c r="R5181" s="37"/>
      <c r="S5181" s="29"/>
      <c r="T5181" s="28"/>
      <c r="U5181" s="25"/>
      <c r="V5181" s="14"/>
      <c r="W5181" s="14"/>
    </row>
    <row r="5182" spans="15:23" x14ac:dyDescent="0.25">
      <c r="O5182" s="21"/>
      <c r="P5182" s="14"/>
      <c r="Q5182" s="21"/>
      <c r="R5182" s="28"/>
      <c r="S5182" s="29"/>
      <c r="T5182" s="28"/>
      <c r="U5182" s="25"/>
      <c r="V5182" s="14"/>
      <c r="W5182" s="14"/>
    </row>
    <row r="5183" spans="15:23" x14ac:dyDescent="0.25">
      <c r="O5183" s="14"/>
      <c r="P5183" s="14"/>
      <c r="Q5183" s="14"/>
      <c r="R5183" s="14"/>
      <c r="S5183" s="26"/>
      <c r="T5183" s="26"/>
      <c r="U5183" s="26"/>
      <c r="V5183" s="14"/>
      <c r="W5183" s="14"/>
    </row>
    <row r="5184" spans="15:23" ht="13.8" x14ac:dyDescent="0.25">
      <c r="O5184" s="30"/>
      <c r="P5184" s="14"/>
      <c r="Q5184" s="14"/>
      <c r="R5184" s="27"/>
      <c r="S5184" s="26"/>
      <c r="T5184" s="26"/>
      <c r="U5184" s="26"/>
      <c r="V5184" s="14"/>
      <c r="W5184" s="14"/>
    </row>
    <row r="5185" spans="15:23" x14ac:dyDescent="0.25">
      <c r="O5185" s="14"/>
      <c r="P5185" s="14"/>
      <c r="Q5185" s="14"/>
      <c r="R5185" s="14"/>
      <c r="S5185" s="14"/>
      <c r="T5185" s="14"/>
      <c r="U5185" s="14"/>
      <c r="V5185" s="14"/>
      <c r="W5185" s="14"/>
    </row>
    <row r="5186" spans="15:23" x14ac:dyDescent="0.25">
      <c r="O5186" s="21"/>
      <c r="P5186" s="21"/>
      <c r="Q5186" s="21"/>
      <c r="R5186" s="27"/>
      <c r="S5186" s="29"/>
      <c r="T5186" s="29"/>
      <c r="U5186" s="14"/>
      <c r="V5186" s="14"/>
      <c r="W5186" s="14"/>
    </row>
    <row r="5187" spans="15:23" x14ac:dyDescent="0.25">
      <c r="O5187" s="21"/>
      <c r="P5187" s="14"/>
      <c r="Q5187" s="21"/>
      <c r="R5187" s="28"/>
      <c r="S5187" s="29"/>
      <c r="T5187" s="29"/>
      <c r="U5187" s="14"/>
      <c r="V5187" s="14"/>
      <c r="W5187" s="14"/>
    </row>
    <row r="5188" spans="15:23" x14ac:dyDescent="0.25">
      <c r="O5188" s="21"/>
      <c r="P5188" s="14"/>
      <c r="Q5188" s="21"/>
      <c r="R5188" s="28"/>
      <c r="S5188" s="29"/>
      <c r="T5188" s="29"/>
      <c r="U5188" s="25"/>
      <c r="V5188" s="14"/>
      <c r="W5188" s="14"/>
    </row>
    <row r="5189" spans="15:23" ht="14.4" x14ac:dyDescent="0.3">
      <c r="O5189" s="32"/>
      <c r="P5189" s="33"/>
      <c r="Q5189" s="32"/>
      <c r="R5189" s="27"/>
      <c r="S5189" s="29"/>
      <c r="T5189" s="29"/>
      <c r="U5189" s="28"/>
      <c r="V5189" s="14"/>
      <c r="W5189" s="14"/>
    </row>
    <row r="5190" spans="15:23" x14ac:dyDescent="0.25">
      <c r="O5190" s="32"/>
      <c r="P5190" s="21"/>
      <c r="Q5190" s="32"/>
      <c r="R5190" s="27"/>
      <c r="S5190" s="29"/>
      <c r="T5190" s="29"/>
      <c r="U5190" s="28"/>
      <c r="V5190" s="14"/>
      <c r="W5190" s="14"/>
    </row>
    <row r="5191" spans="15:23" x14ac:dyDescent="0.25">
      <c r="O5191" s="32"/>
      <c r="P5191" s="34"/>
      <c r="Q5191" s="32"/>
      <c r="R5191" s="27"/>
      <c r="S5191" s="14"/>
      <c r="T5191" s="29"/>
      <c r="U5191" s="28"/>
      <c r="V5191" s="14"/>
      <c r="W5191" s="14"/>
    </row>
    <row r="5192" spans="15:23" x14ac:dyDescent="0.25">
      <c r="O5192" s="32"/>
      <c r="P5192" s="34"/>
      <c r="Q5192" s="32"/>
      <c r="R5192" s="27"/>
      <c r="S5192" s="14"/>
      <c r="T5192" s="29"/>
      <c r="U5192" s="28"/>
      <c r="V5192" s="14"/>
      <c r="W5192" s="14"/>
    </row>
    <row r="5193" spans="15:23" x14ac:dyDescent="0.25">
      <c r="O5193" s="32"/>
      <c r="P5193" s="34"/>
      <c r="Q5193" s="32"/>
      <c r="R5193" s="27"/>
      <c r="S5193" s="14"/>
      <c r="T5193" s="14"/>
      <c r="U5193" s="28"/>
      <c r="V5193" s="14"/>
      <c r="W5193" s="14"/>
    </row>
    <row r="5194" spans="15:23" x14ac:dyDescent="0.25">
      <c r="O5194" s="32"/>
      <c r="P5194" s="35"/>
      <c r="Q5194" s="32"/>
      <c r="R5194" s="27"/>
      <c r="S5194" s="21"/>
      <c r="T5194" s="14"/>
      <c r="U5194" s="28"/>
      <c r="V5194" s="14"/>
      <c r="W5194" s="14"/>
    </row>
    <row r="5195" spans="15:23" x14ac:dyDescent="0.25">
      <c r="O5195" s="36"/>
      <c r="P5195" s="14"/>
      <c r="Q5195" s="14"/>
      <c r="R5195" s="37"/>
      <c r="S5195" s="29"/>
      <c r="T5195" s="28"/>
      <c r="U5195" s="25"/>
      <c r="V5195" s="14"/>
      <c r="W5195" s="14"/>
    </row>
    <row r="5196" spans="15:23" x14ac:dyDescent="0.25">
      <c r="O5196" s="21"/>
      <c r="P5196" s="14"/>
      <c r="Q5196" s="21"/>
      <c r="R5196" s="28"/>
      <c r="S5196" s="29"/>
      <c r="T5196" s="28"/>
      <c r="U5196" s="28"/>
      <c r="V5196" s="14"/>
      <c r="W5196" s="14"/>
    </row>
    <row r="5197" spans="15:23" x14ac:dyDescent="0.25">
      <c r="O5197" s="14"/>
      <c r="P5197" s="14"/>
      <c r="Q5197" s="14"/>
      <c r="R5197" s="14"/>
      <c r="S5197" s="26"/>
      <c r="T5197" s="26"/>
      <c r="U5197" s="26"/>
      <c r="V5197" s="14"/>
      <c r="W5197" s="14"/>
    </row>
    <row r="5198" spans="15:23" ht="13.8" x14ac:dyDescent="0.25">
      <c r="O5198" s="30"/>
      <c r="P5198" s="14"/>
      <c r="Q5198" s="14"/>
      <c r="R5198" s="27"/>
      <c r="S5198" s="26"/>
      <c r="T5198" s="26"/>
      <c r="U5198" s="26"/>
      <c r="V5198" s="14"/>
      <c r="W5198" s="14"/>
    </row>
    <row r="5199" spans="15:23" x14ac:dyDescent="0.25">
      <c r="O5199" s="14"/>
      <c r="P5199" s="14"/>
      <c r="Q5199" s="14"/>
      <c r="R5199" s="14"/>
      <c r="S5199" s="14"/>
      <c r="T5199" s="14"/>
      <c r="U5199" s="14"/>
      <c r="V5199" s="14"/>
      <c r="W5199" s="14"/>
    </row>
    <row r="5200" spans="15:23" x14ac:dyDescent="0.25">
      <c r="O5200" s="21"/>
      <c r="P5200" s="21"/>
      <c r="Q5200" s="21"/>
      <c r="R5200" s="27"/>
      <c r="S5200" s="29"/>
      <c r="T5200" s="29"/>
      <c r="U5200" s="14"/>
      <c r="V5200" s="14"/>
      <c r="W5200" s="14"/>
    </row>
    <row r="5201" spans="13:23" x14ac:dyDescent="0.25">
      <c r="O5201" s="21"/>
      <c r="P5201" s="14"/>
      <c r="Q5201" s="21"/>
      <c r="R5201" s="28"/>
      <c r="S5201" s="29"/>
      <c r="T5201" s="29"/>
      <c r="U5201" s="14"/>
      <c r="V5201" s="14"/>
      <c r="W5201" s="14"/>
    </row>
    <row r="5202" spans="13:23" x14ac:dyDescent="0.25">
      <c r="O5202" s="21"/>
      <c r="P5202" s="14"/>
      <c r="Q5202" s="21"/>
      <c r="R5202" s="28"/>
      <c r="S5202" s="29"/>
      <c r="T5202" s="29"/>
      <c r="U5202" s="25"/>
      <c r="V5202" s="14"/>
      <c r="W5202" s="14"/>
    </row>
    <row r="5203" spans="13:23" ht="14.4" x14ac:dyDescent="0.3">
      <c r="O5203" s="32"/>
      <c r="P5203" s="33"/>
      <c r="Q5203" s="32"/>
      <c r="R5203" s="27"/>
      <c r="S5203" s="29"/>
      <c r="T5203" s="29"/>
      <c r="U5203" s="28"/>
      <c r="V5203" s="14"/>
      <c r="W5203" s="14"/>
    </row>
    <row r="5204" spans="13:23" x14ac:dyDescent="0.25">
      <c r="O5204" s="32"/>
      <c r="P5204" s="21"/>
      <c r="Q5204" s="32"/>
      <c r="R5204" s="27"/>
      <c r="S5204" s="29"/>
      <c r="T5204" s="29"/>
      <c r="U5204" s="28"/>
      <c r="V5204" s="14"/>
      <c r="W5204" s="14"/>
    </row>
    <row r="5205" spans="13:23" x14ac:dyDescent="0.25">
      <c r="O5205" s="32"/>
      <c r="P5205" s="34"/>
      <c r="Q5205" s="32"/>
      <c r="R5205" s="27"/>
      <c r="S5205" s="14"/>
      <c r="T5205" s="29"/>
      <c r="U5205" s="28"/>
      <c r="V5205" s="14"/>
      <c r="W5205" s="14"/>
    </row>
    <row r="5206" spans="13:23" x14ac:dyDescent="0.25">
      <c r="O5206" s="32"/>
      <c r="P5206" s="34"/>
      <c r="Q5206" s="32"/>
      <c r="R5206" s="27"/>
      <c r="S5206" s="14"/>
      <c r="T5206" s="29"/>
      <c r="U5206" s="28"/>
      <c r="V5206" s="14"/>
      <c r="W5206" s="14"/>
    </row>
    <row r="5207" spans="13:23" x14ac:dyDescent="0.25">
      <c r="O5207" s="32"/>
      <c r="P5207" s="34"/>
      <c r="Q5207" s="32"/>
      <c r="R5207" s="27"/>
      <c r="S5207" s="14"/>
      <c r="T5207" s="14"/>
      <c r="U5207" s="28"/>
      <c r="V5207" s="14"/>
      <c r="W5207" s="14"/>
    </row>
    <row r="5208" spans="13:23" x14ac:dyDescent="0.25">
      <c r="O5208" s="32"/>
      <c r="P5208" s="35"/>
      <c r="Q5208" s="32"/>
      <c r="R5208" s="27"/>
      <c r="S5208" s="21"/>
      <c r="T5208" s="14"/>
      <c r="U5208" s="28"/>
      <c r="V5208" s="14"/>
      <c r="W5208" s="14"/>
    </row>
    <row r="5209" spans="13:23" x14ac:dyDescent="0.25">
      <c r="O5209" s="36"/>
      <c r="P5209" s="14"/>
      <c r="Q5209" s="14"/>
      <c r="R5209" s="37"/>
      <c r="S5209" s="29"/>
      <c r="T5209" s="28"/>
      <c r="U5209" s="25"/>
      <c r="V5209" s="14"/>
      <c r="W5209" s="14"/>
    </row>
    <row r="5210" spans="13:23" x14ac:dyDescent="0.25">
      <c r="O5210" s="21"/>
      <c r="P5210" s="14"/>
      <c r="Q5210" s="21"/>
      <c r="R5210" s="28"/>
      <c r="S5210" s="29"/>
      <c r="T5210" s="28"/>
      <c r="U5210" s="28"/>
      <c r="V5210" s="14"/>
      <c r="W5210" s="14"/>
    </row>
    <row r="5211" spans="13:23" x14ac:dyDescent="0.25">
      <c r="O5211" s="14"/>
      <c r="P5211" s="14"/>
      <c r="Q5211" s="14"/>
      <c r="R5211" s="14"/>
      <c r="S5211" s="26"/>
      <c r="T5211" s="26"/>
      <c r="U5211" s="26"/>
      <c r="V5211" s="14"/>
      <c r="W5211" s="14"/>
    </row>
    <row r="5212" spans="13:23" ht="13.8" x14ac:dyDescent="0.25">
      <c r="O5212" s="30"/>
      <c r="P5212" s="14"/>
      <c r="Q5212" s="14"/>
      <c r="R5212" s="27"/>
      <c r="S5212" s="26"/>
      <c r="T5212" s="26"/>
      <c r="U5212" s="26"/>
      <c r="V5212" s="14"/>
      <c r="W5212" s="14"/>
    </row>
    <row r="5213" spans="13:23" x14ac:dyDescent="0.25">
      <c r="O5213" s="14"/>
      <c r="P5213" s="14"/>
      <c r="Q5213" s="14"/>
      <c r="R5213" s="14"/>
      <c r="S5213" s="14"/>
      <c r="T5213" s="14"/>
      <c r="U5213" s="14"/>
      <c r="V5213" s="14"/>
      <c r="W5213" s="14"/>
    </row>
    <row r="5214" spans="13:23" x14ac:dyDescent="0.25">
      <c r="O5214" s="21"/>
      <c r="P5214" s="21"/>
      <c r="Q5214" s="21"/>
      <c r="R5214" s="27"/>
      <c r="S5214" s="29"/>
      <c r="T5214" s="29"/>
      <c r="U5214" s="14"/>
      <c r="V5214" s="14"/>
      <c r="W5214" s="14"/>
    </row>
    <row r="5215" spans="13:23" x14ac:dyDescent="0.25">
      <c r="M5215" s="21"/>
      <c r="N5215" s="21"/>
      <c r="O5215" s="21"/>
      <c r="P5215" s="14"/>
      <c r="Q5215" s="21"/>
      <c r="R5215" s="28"/>
      <c r="S5215" s="29"/>
      <c r="T5215" s="29"/>
      <c r="U5215" s="14"/>
      <c r="V5215" s="14"/>
    </row>
    <row r="5216" spans="13:23" x14ac:dyDescent="0.25">
      <c r="M5216" s="21"/>
      <c r="N5216" s="21"/>
      <c r="O5216" s="21"/>
      <c r="P5216" s="14"/>
      <c r="Q5216" s="21"/>
      <c r="R5216" s="28"/>
      <c r="S5216" s="29"/>
      <c r="T5216" s="29"/>
      <c r="U5216" s="14"/>
      <c r="V5216" s="14"/>
    </row>
    <row r="5217" spans="13:22" ht="14.4" x14ac:dyDescent="0.3">
      <c r="M5217" s="32"/>
      <c r="N5217" s="32"/>
      <c r="O5217" s="32"/>
      <c r="P5217" s="33"/>
      <c r="Q5217" s="32"/>
      <c r="R5217" s="27"/>
      <c r="S5217" s="29"/>
      <c r="T5217" s="29"/>
      <c r="U5217" s="14"/>
      <c r="V5217" s="14"/>
    </row>
    <row r="5218" spans="13:22" x14ac:dyDescent="0.25">
      <c r="M5218" s="32"/>
      <c r="N5218" s="32"/>
      <c r="O5218" s="32"/>
      <c r="P5218" s="21"/>
      <c r="Q5218" s="32"/>
      <c r="R5218" s="27"/>
      <c r="S5218" s="29"/>
      <c r="T5218" s="29"/>
      <c r="U5218" s="14"/>
      <c r="V5218" s="14"/>
    </row>
    <row r="5219" spans="13:22" x14ac:dyDescent="0.25">
      <c r="M5219" s="32"/>
      <c r="N5219" s="32"/>
      <c r="O5219" s="32"/>
      <c r="P5219" s="34"/>
      <c r="Q5219" s="32"/>
      <c r="R5219" s="27"/>
      <c r="S5219" s="14"/>
      <c r="T5219" s="29"/>
      <c r="U5219" s="14"/>
      <c r="V5219" s="14"/>
    </row>
    <row r="5220" spans="13:22" x14ac:dyDescent="0.25">
      <c r="M5220" s="32"/>
      <c r="N5220" s="32"/>
      <c r="O5220" s="32"/>
      <c r="P5220" s="34"/>
      <c r="Q5220" s="32"/>
      <c r="R5220" s="27"/>
      <c r="S5220" s="14"/>
      <c r="T5220" s="29"/>
      <c r="U5220" s="14"/>
      <c r="V5220" s="14"/>
    </row>
    <row r="5221" spans="13:22" x14ac:dyDescent="0.25">
      <c r="M5221" s="32"/>
      <c r="N5221" s="32"/>
      <c r="O5221" s="32"/>
      <c r="P5221" s="34"/>
      <c r="Q5221" s="32"/>
      <c r="R5221" s="27"/>
      <c r="S5221" s="14"/>
      <c r="T5221" s="14"/>
      <c r="U5221" s="14"/>
      <c r="V5221" s="14"/>
    </row>
    <row r="5222" spans="13:22" x14ac:dyDescent="0.25">
      <c r="M5222" s="32"/>
      <c r="N5222" s="32"/>
      <c r="O5222" s="32"/>
      <c r="P5222" s="35"/>
      <c r="Q5222" s="32"/>
      <c r="R5222" s="27"/>
      <c r="S5222" s="21"/>
      <c r="T5222" s="14"/>
      <c r="U5222" s="14"/>
      <c r="V5222" s="14"/>
    </row>
    <row r="5223" spans="13:22" x14ac:dyDescent="0.25">
      <c r="M5223" s="36"/>
      <c r="N5223" s="36"/>
      <c r="O5223" s="36"/>
      <c r="P5223" s="14"/>
      <c r="Q5223" s="14"/>
      <c r="R5223" s="37"/>
      <c r="S5223" s="29"/>
      <c r="T5223" s="28"/>
      <c r="U5223" s="14"/>
      <c r="V5223" s="14"/>
    </row>
    <row r="5224" spans="13:22" x14ac:dyDescent="0.25">
      <c r="M5224" s="21"/>
      <c r="N5224" s="21"/>
      <c r="O5224" s="21"/>
      <c r="P5224" s="14"/>
      <c r="Q5224" s="21"/>
      <c r="R5224" s="28"/>
      <c r="S5224" s="29"/>
      <c r="T5224" s="28"/>
      <c r="U5224" s="14"/>
      <c r="V5224" s="14"/>
    </row>
    <row r="5225" spans="13:22" x14ac:dyDescent="0.25">
      <c r="M5225" s="14"/>
      <c r="N5225" s="14"/>
      <c r="O5225" s="14"/>
      <c r="P5225" s="14"/>
      <c r="Q5225" s="14"/>
      <c r="R5225" s="14"/>
      <c r="S5225" s="26"/>
      <c r="T5225" s="26"/>
      <c r="U5225" s="14"/>
      <c r="V5225" s="14"/>
    </row>
    <row r="5226" spans="13:22" ht="13.8" x14ac:dyDescent="0.25">
      <c r="M5226" s="30"/>
      <c r="N5226" s="30"/>
      <c r="O5226" s="30"/>
      <c r="P5226" s="14"/>
      <c r="Q5226" s="14"/>
      <c r="R5226" s="27"/>
      <c r="S5226" s="26"/>
      <c r="T5226" s="26"/>
      <c r="U5226" s="14"/>
      <c r="V5226" s="14"/>
    </row>
    <row r="5227" spans="13:22" x14ac:dyDescent="0.25">
      <c r="M5227" s="14"/>
      <c r="N5227" s="14"/>
      <c r="O5227" s="14"/>
      <c r="P5227" s="14"/>
      <c r="Q5227" s="14"/>
      <c r="R5227" s="14"/>
      <c r="S5227" s="14"/>
      <c r="T5227" s="14"/>
      <c r="U5227" s="14"/>
      <c r="V5227" s="14"/>
    </row>
    <row r="5228" spans="13:22" x14ac:dyDescent="0.25">
      <c r="M5228" s="21"/>
      <c r="N5228" s="21"/>
      <c r="O5228" s="21"/>
      <c r="P5228" s="21"/>
      <c r="Q5228" s="21"/>
      <c r="R5228" s="27"/>
      <c r="S5228" s="29"/>
      <c r="T5228" s="29"/>
      <c r="U5228" s="14"/>
      <c r="V5228" s="14"/>
    </row>
    <row r="5229" spans="13:22" x14ac:dyDescent="0.25">
      <c r="M5229" s="21"/>
      <c r="N5229" s="21"/>
      <c r="O5229" s="21"/>
      <c r="P5229" s="14"/>
      <c r="Q5229" s="21"/>
      <c r="R5229" s="28"/>
      <c r="S5229" s="29"/>
      <c r="T5229" s="29"/>
      <c r="U5229" s="14"/>
      <c r="V5229" s="14"/>
    </row>
    <row r="5230" spans="13:22" x14ac:dyDescent="0.25">
      <c r="M5230" s="21"/>
      <c r="N5230" s="21"/>
      <c r="O5230" s="21"/>
      <c r="P5230" s="14"/>
      <c r="Q5230" s="21"/>
      <c r="R5230" s="28"/>
      <c r="S5230" s="29"/>
      <c r="T5230" s="29"/>
      <c r="U5230" s="14"/>
      <c r="V5230" s="14"/>
    </row>
    <row r="5231" spans="13:22" ht="14.4" x14ac:dyDescent="0.3">
      <c r="M5231" s="32"/>
      <c r="N5231" s="32"/>
      <c r="O5231" s="32"/>
      <c r="P5231" s="33"/>
      <c r="Q5231" s="32"/>
      <c r="R5231" s="27"/>
      <c r="S5231" s="29"/>
      <c r="T5231" s="29"/>
      <c r="U5231" s="14"/>
      <c r="V5231" s="14"/>
    </row>
    <row r="5232" spans="13:22" x14ac:dyDescent="0.25">
      <c r="M5232" s="32"/>
      <c r="N5232" s="32"/>
      <c r="O5232" s="32"/>
      <c r="P5232" s="21"/>
      <c r="Q5232" s="32"/>
      <c r="R5232" s="27"/>
      <c r="S5232" s="29"/>
      <c r="T5232" s="29"/>
      <c r="U5232" s="14"/>
      <c r="V5232" s="14"/>
    </row>
    <row r="5233" spans="13:22" x14ac:dyDescent="0.25">
      <c r="M5233" s="32"/>
      <c r="N5233" s="32"/>
      <c r="O5233" s="32"/>
      <c r="P5233" s="34"/>
      <c r="Q5233" s="32"/>
      <c r="R5233" s="27"/>
      <c r="S5233" s="14"/>
      <c r="T5233" s="29"/>
      <c r="U5233" s="14"/>
      <c r="V5233" s="14"/>
    </row>
    <row r="5234" spans="13:22" x14ac:dyDescent="0.25">
      <c r="M5234" s="32"/>
      <c r="N5234" s="32"/>
      <c r="O5234" s="32"/>
      <c r="P5234" s="34"/>
      <c r="Q5234" s="32"/>
      <c r="R5234" s="27"/>
      <c r="S5234" s="14"/>
      <c r="T5234" s="29"/>
      <c r="U5234" s="14"/>
      <c r="V5234" s="14"/>
    </row>
    <row r="5235" spans="13:22" x14ac:dyDescent="0.25">
      <c r="M5235" s="32"/>
      <c r="N5235" s="32"/>
      <c r="O5235" s="32"/>
      <c r="P5235" s="34"/>
      <c r="Q5235" s="32"/>
      <c r="R5235" s="27"/>
      <c r="S5235" s="14"/>
      <c r="T5235" s="14"/>
      <c r="U5235" s="14"/>
      <c r="V5235" s="14"/>
    </row>
    <row r="5236" spans="13:22" x14ac:dyDescent="0.25">
      <c r="M5236" s="32"/>
      <c r="N5236" s="32"/>
      <c r="O5236" s="32"/>
      <c r="P5236" s="35"/>
      <c r="Q5236" s="32"/>
      <c r="R5236" s="27"/>
      <c r="S5236" s="21"/>
      <c r="T5236" s="14"/>
      <c r="U5236" s="14"/>
      <c r="V5236" s="14"/>
    </row>
    <row r="5237" spans="13:22" x14ac:dyDescent="0.25">
      <c r="M5237" s="36"/>
      <c r="N5237" s="36"/>
      <c r="O5237" s="36"/>
      <c r="P5237" s="14"/>
      <c r="Q5237" s="14"/>
      <c r="R5237" s="37"/>
      <c r="S5237" s="29"/>
      <c r="T5237" s="28"/>
      <c r="U5237" s="14"/>
      <c r="V5237" s="14"/>
    </row>
    <row r="5238" spans="13:22" x14ac:dyDescent="0.25">
      <c r="M5238" s="21"/>
      <c r="N5238" s="21"/>
      <c r="O5238" s="21"/>
      <c r="P5238" s="14"/>
      <c r="Q5238" s="21"/>
      <c r="R5238" s="28"/>
      <c r="S5238" s="29"/>
      <c r="T5238" s="28"/>
      <c r="U5238" s="14"/>
      <c r="V5238" s="14"/>
    </row>
    <row r="5239" spans="13:22" x14ac:dyDescent="0.25">
      <c r="M5239" s="14"/>
      <c r="N5239" s="14"/>
      <c r="O5239" s="14"/>
      <c r="P5239" s="14"/>
      <c r="Q5239" s="14"/>
      <c r="R5239" s="14"/>
      <c r="S5239" s="26"/>
      <c r="T5239" s="26"/>
      <c r="U5239" s="14"/>
      <c r="V5239" s="14"/>
    </row>
    <row r="5240" spans="13:22" ht="13.8" x14ac:dyDescent="0.25">
      <c r="M5240" s="30"/>
      <c r="N5240" s="30"/>
      <c r="O5240" s="30"/>
      <c r="P5240" s="14"/>
      <c r="Q5240" s="14"/>
      <c r="R5240" s="27"/>
      <c r="S5240" s="26"/>
      <c r="T5240" s="26"/>
      <c r="U5240" s="14"/>
      <c r="V5240" s="14"/>
    </row>
    <row r="5241" spans="13:22" x14ac:dyDescent="0.25">
      <c r="M5241" s="14"/>
      <c r="N5241" s="14"/>
      <c r="O5241" s="14"/>
      <c r="P5241" s="14"/>
      <c r="Q5241" s="14"/>
      <c r="R5241" s="14"/>
      <c r="S5241" s="14"/>
      <c r="T5241" s="14"/>
      <c r="U5241" s="14"/>
      <c r="V5241" s="14"/>
    </row>
    <row r="5242" spans="13:22" x14ac:dyDescent="0.25">
      <c r="M5242" s="21"/>
      <c r="N5242" s="21"/>
      <c r="O5242" s="21"/>
      <c r="P5242" s="21"/>
      <c r="Q5242" s="21"/>
      <c r="R5242" s="27"/>
      <c r="S5242" s="29"/>
      <c r="T5242" s="29"/>
      <c r="U5242" s="14"/>
      <c r="V5242" s="14"/>
    </row>
    <row r="5243" spans="13:22" x14ac:dyDescent="0.25">
      <c r="M5243" s="21"/>
      <c r="N5243" s="21"/>
      <c r="O5243" s="21"/>
      <c r="P5243" s="14"/>
      <c r="Q5243" s="21"/>
      <c r="R5243" s="28"/>
      <c r="S5243" s="29"/>
      <c r="T5243" s="29"/>
      <c r="U5243" s="14"/>
      <c r="V5243" s="14"/>
    </row>
    <row r="5244" spans="13:22" x14ac:dyDescent="0.25">
      <c r="M5244" s="21"/>
      <c r="N5244" s="21"/>
      <c r="O5244" s="21"/>
      <c r="P5244" s="14"/>
      <c r="Q5244" s="21"/>
      <c r="R5244" s="28"/>
      <c r="S5244" s="29"/>
      <c r="T5244" s="29"/>
      <c r="U5244" s="14"/>
      <c r="V5244" s="14"/>
    </row>
    <row r="5245" spans="13:22" ht="14.4" x14ac:dyDescent="0.3">
      <c r="M5245" s="32"/>
      <c r="N5245" s="32"/>
      <c r="O5245" s="32"/>
      <c r="P5245" s="33"/>
      <c r="Q5245" s="32"/>
      <c r="R5245" s="27"/>
      <c r="S5245" s="29"/>
      <c r="T5245" s="29"/>
      <c r="U5245" s="14"/>
      <c r="V5245" s="14"/>
    </row>
    <row r="5246" spans="13:22" x14ac:dyDescent="0.25">
      <c r="M5246" s="32"/>
      <c r="N5246" s="32"/>
      <c r="O5246" s="32"/>
      <c r="P5246" s="21"/>
      <c r="Q5246" s="32"/>
      <c r="R5246" s="27"/>
      <c r="S5246" s="29"/>
      <c r="T5246" s="29"/>
      <c r="U5246" s="14"/>
      <c r="V5246" s="14"/>
    </row>
    <row r="5247" spans="13:22" x14ac:dyDescent="0.25">
      <c r="M5247" s="32"/>
      <c r="N5247" s="32"/>
      <c r="O5247" s="32"/>
      <c r="P5247" s="34"/>
      <c r="Q5247" s="32"/>
      <c r="R5247" s="27"/>
      <c r="S5247" s="14"/>
      <c r="T5247" s="29"/>
      <c r="U5247" s="14"/>
      <c r="V5247" s="14"/>
    </row>
    <row r="5248" spans="13:22" x14ac:dyDescent="0.25">
      <c r="M5248" s="32"/>
      <c r="N5248" s="32"/>
      <c r="O5248" s="32"/>
      <c r="P5248" s="34"/>
      <c r="Q5248" s="32"/>
      <c r="R5248" s="27"/>
      <c r="S5248" s="14"/>
      <c r="T5248" s="29"/>
      <c r="U5248" s="14"/>
      <c r="V5248" s="14"/>
    </row>
    <row r="5249" spans="13:22" x14ac:dyDescent="0.25">
      <c r="M5249" s="32"/>
      <c r="N5249" s="32"/>
      <c r="O5249" s="32"/>
      <c r="P5249" s="34"/>
      <c r="Q5249" s="32"/>
      <c r="R5249" s="27"/>
      <c r="S5249" s="14"/>
      <c r="T5249" s="14"/>
      <c r="U5249" s="14"/>
      <c r="V5249" s="14"/>
    </row>
    <row r="5250" spans="13:22" x14ac:dyDescent="0.25">
      <c r="M5250" s="32"/>
      <c r="N5250" s="32"/>
      <c r="O5250" s="32"/>
      <c r="P5250" s="35"/>
      <c r="Q5250" s="32"/>
      <c r="R5250" s="27"/>
      <c r="S5250" s="21"/>
      <c r="T5250" s="14"/>
      <c r="U5250" s="14"/>
      <c r="V5250" s="14"/>
    </row>
    <row r="5251" spans="13:22" x14ac:dyDescent="0.25">
      <c r="M5251" s="36"/>
      <c r="N5251" s="36"/>
      <c r="O5251" s="36"/>
      <c r="P5251" s="14"/>
      <c r="Q5251" s="14"/>
      <c r="R5251" s="37"/>
      <c r="S5251" s="29"/>
      <c r="T5251" s="28"/>
      <c r="U5251" s="14"/>
      <c r="V5251" s="14"/>
    </row>
    <row r="5252" spans="13:22" x14ac:dyDescent="0.25">
      <c r="M5252" s="21"/>
      <c r="N5252" s="21"/>
      <c r="O5252" s="21"/>
      <c r="P5252" s="14"/>
      <c r="Q5252" s="21"/>
      <c r="R5252" s="28"/>
      <c r="S5252" s="29"/>
      <c r="T5252" s="28"/>
      <c r="U5252" s="14"/>
      <c r="V5252" s="14"/>
    </row>
    <row r="5253" spans="13:22" x14ac:dyDescent="0.25">
      <c r="M5253" s="14"/>
      <c r="N5253" s="14"/>
      <c r="O5253" s="14"/>
      <c r="P5253" s="14"/>
      <c r="Q5253" s="14"/>
      <c r="R5253" s="14"/>
      <c r="S5253" s="26"/>
      <c r="T5253" s="26"/>
      <c r="U5253" s="14"/>
      <c r="V5253" s="14"/>
    </row>
    <row r="5254" spans="13:22" ht="13.8" x14ac:dyDescent="0.25">
      <c r="M5254" s="30"/>
      <c r="N5254" s="30"/>
      <c r="O5254" s="30"/>
      <c r="P5254" s="14"/>
      <c r="Q5254" s="14"/>
      <c r="R5254" s="27"/>
      <c r="S5254" s="26"/>
      <c r="T5254" s="26"/>
      <c r="U5254" s="14"/>
      <c r="V5254" s="14"/>
    </row>
    <row r="5255" spans="13:22" x14ac:dyDescent="0.25">
      <c r="M5255" s="14"/>
      <c r="N5255" s="14"/>
      <c r="O5255" s="14"/>
      <c r="P5255" s="14"/>
      <c r="Q5255" s="14"/>
      <c r="R5255" s="14"/>
      <c r="S5255" s="14"/>
      <c r="T5255" s="14"/>
      <c r="U5255" s="14"/>
      <c r="V5255" s="14"/>
    </row>
    <row r="5256" spans="13:22" x14ac:dyDescent="0.25">
      <c r="M5256" s="21"/>
      <c r="N5256" s="21"/>
      <c r="O5256" s="21"/>
      <c r="P5256" s="21"/>
      <c r="Q5256" s="21"/>
      <c r="R5256" s="27"/>
      <c r="S5256" s="29"/>
      <c r="T5256" s="29"/>
      <c r="U5256" s="14"/>
      <c r="V5256" s="14"/>
    </row>
    <row r="5257" spans="13:22" x14ac:dyDescent="0.25">
      <c r="M5257" s="21"/>
      <c r="N5257" s="21"/>
      <c r="O5257" s="21"/>
      <c r="P5257" s="14"/>
      <c r="Q5257" s="21"/>
      <c r="R5257" s="28"/>
      <c r="S5257" s="29"/>
      <c r="T5257" s="29"/>
      <c r="U5257" s="14"/>
      <c r="V5257" s="14"/>
    </row>
    <row r="5258" spans="13:22" x14ac:dyDescent="0.25">
      <c r="M5258" s="21"/>
      <c r="N5258" s="21"/>
      <c r="O5258" s="21"/>
      <c r="P5258" s="14"/>
      <c r="Q5258" s="21"/>
      <c r="R5258" s="28"/>
      <c r="S5258" s="29"/>
      <c r="T5258" s="29"/>
      <c r="U5258" s="14"/>
      <c r="V5258" s="14"/>
    </row>
    <row r="5259" spans="13:22" ht="14.4" x14ac:dyDescent="0.3">
      <c r="M5259" s="32"/>
      <c r="N5259" s="32"/>
      <c r="O5259" s="32"/>
      <c r="P5259" s="33"/>
      <c r="Q5259" s="32"/>
      <c r="R5259" s="27"/>
      <c r="S5259" s="29"/>
      <c r="T5259" s="29"/>
      <c r="U5259" s="14"/>
      <c r="V5259" s="14"/>
    </row>
    <row r="5260" spans="13:22" x14ac:dyDescent="0.25">
      <c r="M5260" s="32"/>
      <c r="N5260" s="32"/>
      <c r="O5260" s="32"/>
      <c r="P5260" s="21"/>
      <c r="Q5260" s="32"/>
      <c r="R5260" s="27"/>
      <c r="S5260" s="29"/>
      <c r="T5260" s="29"/>
      <c r="U5260" s="14"/>
      <c r="V5260" s="14"/>
    </row>
    <row r="5261" spans="13:22" x14ac:dyDescent="0.25">
      <c r="M5261" s="32"/>
      <c r="N5261" s="32"/>
      <c r="O5261" s="32"/>
      <c r="P5261" s="34"/>
      <c r="Q5261" s="32"/>
      <c r="R5261" s="27"/>
      <c r="S5261" s="14"/>
      <c r="T5261" s="29"/>
      <c r="U5261" s="14"/>
      <c r="V5261" s="14"/>
    </row>
    <row r="5262" spans="13:22" x14ac:dyDescent="0.25">
      <c r="M5262" s="32"/>
      <c r="N5262" s="32"/>
      <c r="O5262" s="32"/>
      <c r="P5262" s="34"/>
      <c r="Q5262" s="32"/>
      <c r="R5262" s="27"/>
      <c r="S5262" s="14"/>
      <c r="T5262" s="29"/>
      <c r="U5262" s="14"/>
      <c r="V5262" s="14"/>
    </row>
    <row r="5263" spans="13:22" x14ac:dyDescent="0.25">
      <c r="M5263" s="32"/>
      <c r="N5263" s="32"/>
      <c r="O5263" s="32"/>
      <c r="P5263" s="34"/>
      <c r="Q5263" s="32"/>
      <c r="R5263" s="27"/>
      <c r="S5263" s="14"/>
      <c r="T5263" s="14"/>
      <c r="U5263" s="14"/>
      <c r="V5263" s="14"/>
    </row>
    <row r="5264" spans="13:22" x14ac:dyDescent="0.25">
      <c r="M5264" s="32"/>
      <c r="N5264" s="32"/>
      <c r="O5264" s="32"/>
      <c r="P5264" s="35"/>
      <c r="Q5264" s="32"/>
      <c r="R5264" s="27"/>
      <c r="S5264" s="21"/>
      <c r="T5264" s="14"/>
      <c r="U5264" s="14"/>
      <c r="V5264" s="14"/>
    </row>
    <row r="5265" spans="13:22" x14ac:dyDescent="0.25">
      <c r="M5265" s="36"/>
      <c r="N5265" s="36"/>
      <c r="O5265" s="36"/>
      <c r="P5265" s="14"/>
      <c r="Q5265" s="14"/>
      <c r="R5265" s="37"/>
      <c r="S5265" s="29"/>
      <c r="T5265" s="28"/>
      <c r="U5265" s="14"/>
      <c r="V5265" s="14"/>
    </row>
    <row r="5266" spans="13:22" x14ac:dyDescent="0.25">
      <c r="M5266" s="21"/>
      <c r="N5266" s="21"/>
      <c r="O5266" s="21"/>
      <c r="P5266" s="14"/>
      <c r="Q5266" s="21"/>
      <c r="R5266" s="28"/>
      <c r="S5266" s="29"/>
      <c r="T5266" s="28"/>
      <c r="U5266" s="14"/>
      <c r="V5266" s="14"/>
    </row>
    <row r="5267" spans="13:22" x14ac:dyDescent="0.25">
      <c r="M5267" s="14"/>
      <c r="N5267" s="14"/>
      <c r="O5267" s="14"/>
      <c r="P5267" s="14"/>
      <c r="Q5267" s="14"/>
      <c r="R5267" s="14"/>
      <c r="S5267" s="26"/>
      <c r="T5267" s="26"/>
      <c r="U5267" s="14"/>
      <c r="V5267" s="14"/>
    </row>
    <row r="5268" spans="13:22" ht="13.8" x14ac:dyDescent="0.25">
      <c r="M5268" s="30"/>
      <c r="N5268" s="30"/>
      <c r="O5268" s="30"/>
      <c r="P5268" s="14"/>
      <c r="Q5268" s="14"/>
      <c r="R5268" s="27"/>
      <c r="S5268" s="26"/>
      <c r="T5268" s="26"/>
      <c r="U5268" s="14"/>
      <c r="V5268" s="14"/>
    </row>
    <row r="5269" spans="13:22" x14ac:dyDescent="0.25">
      <c r="M5269" s="14"/>
      <c r="N5269" s="14"/>
      <c r="O5269" s="14"/>
      <c r="P5269" s="14"/>
      <c r="Q5269" s="14"/>
      <c r="R5269" s="14"/>
      <c r="S5269" s="14"/>
      <c r="T5269" s="14"/>
      <c r="U5269" s="14"/>
      <c r="V5269" s="14"/>
    </row>
    <row r="5270" spans="13:22" x14ac:dyDescent="0.25">
      <c r="M5270" s="21"/>
      <c r="N5270" s="21"/>
      <c r="O5270" s="21"/>
      <c r="P5270" s="21"/>
      <c r="Q5270" s="21"/>
      <c r="R5270" s="27"/>
      <c r="S5270" s="29"/>
      <c r="T5270" s="29"/>
      <c r="U5270" s="14"/>
      <c r="V5270" s="14"/>
    </row>
    <row r="5271" spans="13:22" x14ac:dyDescent="0.25">
      <c r="M5271" s="21"/>
      <c r="N5271" s="21"/>
      <c r="O5271" s="21"/>
      <c r="P5271" s="14"/>
      <c r="Q5271" s="21"/>
      <c r="R5271" s="28"/>
      <c r="S5271" s="29"/>
      <c r="T5271" s="29"/>
      <c r="U5271" s="14"/>
      <c r="V5271" s="14"/>
    </row>
    <row r="5272" spans="13:22" x14ac:dyDescent="0.25">
      <c r="M5272" s="21"/>
      <c r="N5272" s="21"/>
      <c r="O5272" s="21"/>
      <c r="P5272" s="14"/>
      <c r="Q5272" s="21"/>
      <c r="R5272" s="28"/>
      <c r="S5272" s="29"/>
      <c r="T5272" s="29"/>
      <c r="U5272" s="14"/>
      <c r="V5272" s="14"/>
    </row>
    <row r="5273" spans="13:22" ht="14.4" x14ac:dyDescent="0.3">
      <c r="M5273" s="32"/>
      <c r="N5273" s="32"/>
      <c r="O5273" s="32"/>
      <c r="P5273" s="33"/>
      <c r="Q5273" s="32"/>
      <c r="R5273" s="27"/>
      <c r="S5273" s="29"/>
      <c r="T5273" s="29"/>
      <c r="U5273" s="14"/>
      <c r="V5273" s="14"/>
    </row>
    <row r="5274" spans="13:22" x14ac:dyDescent="0.25">
      <c r="M5274" s="32"/>
      <c r="N5274" s="32"/>
      <c r="O5274" s="32"/>
      <c r="P5274" s="21"/>
      <c r="Q5274" s="32"/>
      <c r="R5274" s="27"/>
      <c r="S5274" s="29"/>
      <c r="T5274" s="29"/>
      <c r="U5274" s="14"/>
      <c r="V5274" s="14"/>
    </row>
    <row r="5275" spans="13:22" x14ac:dyDescent="0.25">
      <c r="M5275" s="32"/>
      <c r="N5275" s="32"/>
      <c r="O5275" s="32"/>
      <c r="P5275" s="34"/>
      <c r="Q5275" s="32"/>
      <c r="R5275" s="27"/>
      <c r="S5275" s="14"/>
      <c r="T5275" s="29"/>
      <c r="U5275" s="14"/>
      <c r="V5275" s="14"/>
    </row>
    <row r="5276" spans="13:22" x14ac:dyDescent="0.25">
      <c r="M5276" s="32"/>
      <c r="N5276" s="32"/>
      <c r="O5276" s="32"/>
      <c r="P5276" s="34"/>
      <c r="Q5276" s="32"/>
      <c r="R5276" s="27"/>
      <c r="S5276" s="14"/>
      <c r="T5276" s="29"/>
      <c r="U5276" s="14"/>
      <c r="V5276" s="14"/>
    </row>
    <row r="5277" spans="13:22" x14ac:dyDescent="0.25">
      <c r="M5277" s="32"/>
      <c r="N5277" s="32"/>
      <c r="O5277" s="32"/>
      <c r="P5277" s="34"/>
      <c r="Q5277" s="32"/>
      <c r="R5277" s="27"/>
      <c r="S5277" s="14"/>
      <c r="T5277" s="14"/>
      <c r="U5277" s="14"/>
      <c r="V5277" s="14"/>
    </row>
    <row r="5278" spans="13:22" x14ac:dyDescent="0.25">
      <c r="M5278" s="32"/>
      <c r="N5278" s="32"/>
      <c r="O5278" s="32"/>
      <c r="P5278" s="35"/>
      <c r="Q5278" s="32"/>
      <c r="R5278" s="27"/>
      <c r="S5278" s="21"/>
      <c r="T5278" s="14"/>
      <c r="U5278" s="14"/>
      <c r="V5278" s="14"/>
    </row>
    <row r="5279" spans="13:22" x14ac:dyDescent="0.25">
      <c r="M5279" s="36"/>
      <c r="N5279" s="36"/>
      <c r="O5279" s="36"/>
      <c r="P5279" s="14"/>
      <c r="Q5279" s="14"/>
      <c r="R5279" s="37"/>
      <c r="S5279" s="29"/>
      <c r="T5279" s="28"/>
      <c r="U5279" s="14"/>
      <c r="V5279" s="14"/>
    </row>
    <row r="5280" spans="13:22" x14ac:dyDescent="0.25">
      <c r="M5280" s="21"/>
      <c r="N5280" s="21"/>
      <c r="O5280" s="21"/>
      <c r="P5280" s="14"/>
      <c r="Q5280" s="21"/>
      <c r="R5280" s="28"/>
      <c r="S5280" s="29"/>
      <c r="T5280" s="28"/>
      <c r="U5280" s="14"/>
      <c r="V5280" s="14"/>
    </row>
    <row r="5281" spans="13:22" x14ac:dyDescent="0.25">
      <c r="M5281" s="14"/>
      <c r="N5281" s="14"/>
      <c r="O5281" s="14"/>
      <c r="P5281" s="14"/>
      <c r="Q5281" s="14"/>
      <c r="R5281" s="14"/>
      <c r="S5281" s="26"/>
      <c r="T5281" s="26"/>
      <c r="U5281" s="14"/>
      <c r="V5281" s="14"/>
    </row>
    <row r="5282" spans="13:22" ht="13.8" x14ac:dyDescent="0.25">
      <c r="M5282" s="30"/>
      <c r="N5282" s="30"/>
      <c r="O5282" s="30"/>
      <c r="P5282" s="14"/>
      <c r="Q5282" s="14"/>
      <c r="R5282" s="27"/>
      <c r="S5282" s="26"/>
      <c r="T5282" s="26"/>
      <c r="U5282" s="14"/>
      <c r="V5282" s="14"/>
    </row>
    <row r="5283" spans="13:22" x14ac:dyDescent="0.25">
      <c r="M5283" s="14"/>
      <c r="N5283" s="14"/>
      <c r="O5283" s="14"/>
      <c r="P5283" s="14"/>
      <c r="Q5283" s="14"/>
      <c r="R5283" s="14"/>
      <c r="S5283" s="14"/>
      <c r="T5283" s="14"/>
      <c r="U5283" s="14"/>
      <c r="V5283" s="14"/>
    </row>
    <row r="5284" spans="13:22" x14ac:dyDescent="0.25">
      <c r="M5284" s="21"/>
      <c r="N5284" s="21"/>
      <c r="O5284" s="21"/>
      <c r="P5284" s="21"/>
      <c r="Q5284" s="21"/>
      <c r="R5284" s="27"/>
      <c r="S5284" s="29"/>
      <c r="T5284" s="29"/>
      <c r="U5284" s="14"/>
      <c r="V5284" s="14"/>
    </row>
    <row r="5285" spans="13:22" x14ac:dyDescent="0.25">
      <c r="M5285" s="21"/>
      <c r="N5285" s="21"/>
      <c r="O5285" s="21"/>
      <c r="P5285" s="14"/>
      <c r="Q5285" s="21"/>
      <c r="R5285" s="28"/>
      <c r="S5285" s="29"/>
      <c r="T5285" s="29"/>
      <c r="U5285" s="14"/>
      <c r="V5285" s="14"/>
    </row>
    <row r="5286" spans="13:22" x14ac:dyDescent="0.25">
      <c r="M5286" s="21"/>
      <c r="N5286" s="21"/>
      <c r="O5286" s="21"/>
      <c r="P5286" s="14"/>
      <c r="Q5286" s="21"/>
      <c r="R5286" s="28"/>
      <c r="S5286" s="29"/>
      <c r="T5286" s="29"/>
      <c r="U5286" s="14"/>
      <c r="V5286" s="14"/>
    </row>
    <row r="5287" spans="13:22" ht="14.4" x14ac:dyDescent="0.3">
      <c r="M5287" s="32"/>
      <c r="N5287" s="32"/>
      <c r="O5287" s="32"/>
      <c r="P5287" s="33"/>
      <c r="Q5287" s="32"/>
      <c r="R5287" s="27"/>
      <c r="S5287" s="29"/>
      <c r="T5287" s="29"/>
      <c r="U5287" s="14"/>
      <c r="V5287" s="14"/>
    </row>
    <row r="5288" spans="13:22" x14ac:dyDescent="0.25">
      <c r="M5288" s="32"/>
      <c r="N5288" s="32"/>
      <c r="O5288" s="32"/>
      <c r="P5288" s="21"/>
      <c r="Q5288" s="32"/>
      <c r="R5288" s="27"/>
      <c r="S5288" s="29"/>
      <c r="T5288" s="29"/>
      <c r="U5288" s="14"/>
      <c r="V5288" s="14"/>
    </row>
    <row r="5289" spans="13:22" x14ac:dyDescent="0.25">
      <c r="M5289" s="32"/>
      <c r="N5289" s="32"/>
      <c r="O5289" s="32"/>
      <c r="P5289" s="34"/>
      <c r="Q5289" s="32"/>
      <c r="R5289" s="27"/>
      <c r="S5289" s="14"/>
      <c r="T5289" s="29"/>
      <c r="U5289" s="14"/>
      <c r="V5289" s="14"/>
    </row>
    <row r="5290" spans="13:22" x14ac:dyDescent="0.25">
      <c r="M5290" s="32"/>
      <c r="N5290" s="32"/>
      <c r="O5290" s="32"/>
      <c r="P5290" s="34"/>
      <c r="Q5290" s="32"/>
      <c r="R5290" s="27"/>
      <c r="S5290" s="14"/>
      <c r="T5290" s="29"/>
      <c r="U5290" s="14"/>
      <c r="V5290" s="14"/>
    </row>
    <row r="5291" spans="13:22" x14ac:dyDescent="0.25">
      <c r="M5291" s="32"/>
      <c r="N5291" s="32"/>
      <c r="O5291" s="32"/>
      <c r="P5291" s="34"/>
      <c r="Q5291" s="32"/>
      <c r="R5291" s="27"/>
      <c r="S5291" s="14"/>
      <c r="T5291" s="14"/>
      <c r="U5291" s="14"/>
      <c r="V5291" s="14"/>
    </row>
    <row r="5292" spans="13:22" x14ac:dyDescent="0.25">
      <c r="M5292" s="32"/>
      <c r="N5292" s="32"/>
      <c r="O5292" s="32"/>
      <c r="P5292" s="35"/>
      <c r="Q5292" s="32"/>
      <c r="R5292" s="27"/>
      <c r="S5292" s="21"/>
      <c r="T5292" s="14"/>
      <c r="U5292" s="14"/>
      <c r="V5292" s="14"/>
    </row>
    <row r="5293" spans="13:22" x14ac:dyDescent="0.25">
      <c r="M5293" s="36"/>
      <c r="N5293" s="36"/>
      <c r="O5293" s="36"/>
      <c r="P5293" s="14"/>
      <c r="Q5293" s="14"/>
      <c r="R5293" s="37"/>
      <c r="S5293" s="29"/>
      <c r="T5293" s="28"/>
      <c r="U5293" s="14"/>
      <c r="V5293" s="14"/>
    </row>
    <row r="5294" spans="13:22" x14ac:dyDescent="0.25">
      <c r="M5294" s="21"/>
      <c r="N5294" s="21"/>
      <c r="O5294" s="21"/>
      <c r="P5294" s="14"/>
      <c r="Q5294" s="21"/>
      <c r="R5294" s="28"/>
      <c r="S5294" s="29"/>
      <c r="T5294" s="28"/>
      <c r="U5294" s="14"/>
      <c r="V5294" s="14"/>
    </row>
    <row r="5295" spans="13:22" x14ac:dyDescent="0.25">
      <c r="M5295" s="14"/>
      <c r="N5295" s="14"/>
      <c r="O5295" s="14"/>
      <c r="P5295" s="14"/>
      <c r="Q5295" s="14"/>
      <c r="R5295" s="14"/>
      <c r="S5295" s="26"/>
      <c r="T5295" s="26"/>
      <c r="U5295" s="14"/>
      <c r="V5295" s="14"/>
    </row>
    <row r="5296" spans="13:22" ht="13.8" x14ac:dyDescent="0.25">
      <c r="M5296" s="30"/>
      <c r="N5296" s="30"/>
      <c r="O5296" s="30"/>
      <c r="P5296" s="14"/>
      <c r="Q5296" s="14"/>
      <c r="R5296" s="27"/>
      <c r="S5296" s="26"/>
      <c r="T5296" s="26"/>
      <c r="U5296" s="14"/>
      <c r="V5296" s="14"/>
    </row>
    <row r="5297" spans="13:22" x14ac:dyDescent="0.25">
      <c r="M5297" s="14"/>
      <c r="N5297" s="14"/>
      <c r="O5297" s="14"/>
      <c r="P5297" s="14"/>
      <c r="Q5297" s="14"/>
      <c r="R5297" s="14"/>
      <c r="S5297" s="14"/>
      <c r="T5297" s="14"/>
      <c r="U5297" s="14"/>
      <c r="V5297" s="14"/>
    </row>
    <row r="5298" spans="13:22" x14ac:dyDescent="0.25">
      <c r="M5298" s="21"/>
      <c r="N5298" s="21"/>
      <c r="O5298" s="21"/>
      <c r="P5298" s="21"/>
      <c r="Q5298" s="21"/>
      <c r="R5298" s="27"/>
      <c r="S5298" s="29"/>
      <c r="T5298" s="29"/>
      <c r="U5298" s="14"/>
      <c r="V5298" s="14"/>
    </row>
    <row r="5299" spans="13:22" x14ac:dyDescent="0.25">
      <c r="M5299" s="21"/>
      <c r="N5299" s="21"/>
      <c r="O5299" s="21"/>
      <c r="P5299" s="14"/>
      <c r="Q5299" s="21"/>
      <c r="R5299" s="28"/>
      <c r="S5299" s="29"/>
      <c r="T5299" s="29"/>
      <c r="U5299" s="14"/>
      <c r="V5299" s="14"/>
    </row>
    <row r="5300" spans="13:22" x14ac:dyDescent="0.25">
      <c r="M5300" s="21"/>
      <c r="N5300" s="21"/>
      <c r="O5300" s="21"/>
      <c r="P5300" s="14"/>
      <c r="Q5300" s="21"/>
      <c r="R5300" s="28"/>
      <c r="S5300" s="29"/>
      <c r="T5300" s="29"/>
      <c r="U5300" s="14"/>
      <c r="V5300" s="14"/>
    </row>
    <row r="5301" spans="13:22" ht="14.4" x14ac:dyDescent="0.3">
      <c r="M5301" s="32"/>
      <c r="N5301" s="32"/>
      <c r="O5301" s="32"/>
      <c r="P5301" s="33"/>
      <c r="Q5301" s="32"/>
      <c r="R5301" s="27"/>
      <c r="S5301" s="29"/>
      <c r="T5301" s="29"/>
      <c r="U5301" s="14"/>
      <c r="V5301" s="14"/>
    </row>
    <row r="5302" spans="13:22" x14ac:dyDescent="0.25">
      <c r="M5302" s="32"/>
      <c r="N5302" s="32"/>
      <c r="O5302" s="32"/>
      <c r="P5302" s="21"/>
      <c r="Q5302" s="32"/>
      <c r="R5302" s="27"/>
      <c r="S5302" s="29"/>
      <c r="T5302" s="29"/>
      <c r="U5302" s="14"/>
      <c r="V5302" s="14"/>
    </row>
    <row r="5303" spans="13:22" x14ac:dyDescent="0.25">
      <c r="M5303" s="32"/>
      <c r="N5303" s="32"/>
      <c r="O5303" s="32"/>
      <c r="P5303" s="34"/>
      <c r="Q5303" s="32"/>
      <c r="R5303" s="27"/>
      <c r="S5303" s="14"/>
      <c r="T5303" s="29"/>
      <c r="U5303" s="14"/>
      <c r="V5303" s="14"/>
    </row>
    <row r="5304" spans="13:22" x14ac:dyDescent="0.25">
      <c r="M5304" s="32"/>
      <c r="N5304" s="32"/>
      <c r="O5304" s="32"/>
      <c r="P5304" s="34"/>
      <c r="Q5304" s="32"/>
      <c r="R5304" s="27"/>
      <c r="S5304" s="14"/>
      <c r="T5304" s="29"/>
      <c r="U5304" s="14"/>
      <c r="V5304" s="14"/>
    </row>
    <row r="5305" spans="13:22" x14ac:dyDescent="0.25">
      <c r="M5305" s="32"/>
      <c r="N5305" s="32"/>
      <c r="O5305" s="32"/>
      <c r="P5305" s="34"/>
      <c r="Q5305" s="32"/>
      <c r="R5305" s="27"/>
      <c r="S5305" s="14"/>
      <c r="T5305" s="14"/>
      <c r="U5305" s="14"/>
      <c r="V5305" s="14"/>
    </row>
    <row r="5306" spans="13:22" x14ac:dyDescent="0.25">
      <c r="M5306" s="32"/>
      <c r="N5306" s="32"/>
      <c r="O5306" s="32"/>
      <c r="P5306" s="35"/>
      <c r="Q5306" s="32"/>
      <c r="R5306" s="27"/>
      <c r="S5306" s="21"/>
      <c r="T5306" s="14"/>
      <c r="U5306" s="14"/>
      <c r="V5306" s="14"/>
    </row>
    <row r="5307" spans="13:22" x14ac:dyDescent="0.25">
      <c r="M5307" s="36"/>
      <c r="N5307" s="36"/>
      <c r="O5307" s="36"/>
      <c r="P5307" s="14"/>
      <c r="Q5307" s="14"/>
      <c r="R5307" s="37"/>
      <c r="S5307" s="29"/>
      <c r="T5307" s="28"/>
      <c r="U5307" s="14"/>
      <c r="V5307" s="14"/>
    </row>
    <row r="5308" spans="13:22" x14ac:dyDescent="0.25">
      <c r="M5308" s="21"/>
      <c r="N5308" s="21"/>
      <c r="O5308" s="21"/>
      <c r="P5308" s="14"/>
      <c r="Q5308" s="21"/>
      <c r="R5308" s="28"/>
      <c r="S5308" s="29"/>
      <c r="T5308" s="28"/>
      <c r="U5308" s="14"/>
      <c r="V5308" s="14"/>
    </row>
    <row r="5309" spans="13:22" x14ac:dyDescent="0.25">
      <c r="M5309" s="14"/>
      <c r="N5309" s="14"/>
      <c r="O5309" s="14"/>
      <c r="P5309" s="14"/>
      <c r="Q5309" s="14"/>
      <c r="R5309" s="14"/>
      <c r="S5309" s="26"/>
      <c r="T5309" s="26"/>
      <c r="U5309" s="14"/>
      <c r="V5309" s="14"/>
    </row>
    <row r="5310" spans="13:22" ht="13.8" x14ac:dyDescent="0.25">
      <c r="M5310" s="30"/>
      <c r="N5310" s="30"/>
      <c r="O5310" s="30"/>
      <c r="P5310" s="14"/>
      <c r="Q5310" s="14"/>
      <c r="R5310" s="27"/>
      <c r="S5310" s="26"/>
      <c r="T5310" s="26"/>
      <c r="U5310" s="14"/>
      <c r="V5310" s="14"/>
    </row>
    <row r="5311" spans="13:22" x14ac:dyDescent="0.25">
      <c r="M5311" s="14"/>
      <c r="N5311" s="14"/>
      <c r="O5311" s="14"/>
      <c r="P5311" s="14"/>
      <c r="Q5311" s="14"/>
      <c r="R5311" s="14"/>
      <c r="S5311" s="14"/>
      <c r="T5311" s="14"/>
      <c r="U5311" s="14"/>
      <c r="V5311" s="14"/>
    </row>
    <row r="5312" spans="13:22" x14ac:dyDescent="0.25">
      <c r="M5312" s="21"/>
      <c r="N5312" s="21"/>
      <c r="O5312" s="21"/>
      <c r="P5312" s="21"/>
      <c r="Q5312" s="21"/>
      <c r="R5312" s="27"/>
      <c r="S5312" s="29"/>
      <c r="T5312" s="29"/>
      <c r="U5312" s="14"/>
      <c r="V5312" s="14"/>
    </row>
    <row r="5313" spans="13:22" x14ac:dyDescent="0.25">
      <c r="M5313" s="21"/>
      <c r="N5313" s="21"/>
      <c r="O5313" s="21"/>
      <c r="P5313" s="14"/>
      <c r="Q5313" s="21"/>
      <c r="R5313" s="28"/>
      <c r="S5313" s="29"/>
      <c r="T5313" s="29"/>
      <c r="U5313" s="14"/>
      <c r="V5313" s="14"/>
    </row>
    <row r="5314" spans="13:22" x14ac:dyDescent="0.25">
      <c r="M5314" s="21"/>
      <c r="N5314" s="21"/>
      <c r="O5314" s="21"/>
      <c r="P5314" s="14"/>
      <c r="Q5314" s="21"/>
      <c r="R5314" s="28"/>
      <c r="S5314" s="29"/>
      <c r="T5314" s="29"/>
      <c r="U5314" s="14"/>
      <c r="V5314" s="14"/>
    </row>
    <row r="5315" spans="13:22" ht="14.4" x14ac:dyDescent="0.3">
      <c r="M5315" s="32"/>
      <c r="N5315" s="32"/>
      <c r="O5315" s="32"/>
      <c r="P5315" s="33"/>
      <c r="Q5315" s="32"/>
      <c r="R5315" s="27"/>
      <c r="S5315" s="29"/>
      <c r="T5315" s="29"/>
      <c r="U5315" s="14"/>
      <c r="V5315" s="14"/>
    </row>
    <row r="5316" spans="13:22" x14ac:dyDescent="0.25">
      <c r="M5316" s="32"/>
      <c r="N5316" s="32"/>
      <c r="O5316" s="32"/>
      <c r="P5316" s="21"/>
      <c r="Q5316" s="32"/>
      <c r="R5316" s="27"/>
      <c r="S5316" s="29"/>
      <c r="T5316" s="29"/>
      <c r="U5316" s="14"/>
      <c r="V5316" s="14"/>
    </row>
    <row r="5317" spans="13:22" x14ac:dyDescent="0.25">
      <c r="M5317" s="32"/>
      <c r="N5317" s="32"/>
      <c r="O5317" s="32"/>
      <c r="P5317" s="34"/>
      <c r="Q5317" s="32"/>
      <c r="R5317" s="27"/>
      <c r="S5317" s="14"/>
      <c r="T5317" s="29"/>
      <c r="U5317" s="14"/>
      <c r="V5317" s="14"/>
    </row>
    <row r="5318" spans="13:22" x14ac:dyDescent="0.25">
      <c r="M5318" s="32"/>
      <c r="N5318" s="32"/>
      <c r="O5318" s="32"/>
      <c r="P5318" s="34"/>
      <c r="Q5318" s="32"/>
      <c r="R5318" s="27"/>
      <c r="S5318" s="14"/>
      <c r="T5318" s="29"/>
      <c r="U5318" s="14"/>
      <c r="V5318" s="14"/>
    </row>
    <row r="5319" spans="13:22" x14ac:dyDescent="0.25">
      <c r="M5319" s="32"/>
      <c r="N5319" s="32"/>
      <c r="O5319" s="32"/>
      <c r="P5319" s="34"/>
      <c r="Q5319" s="32"/>
      <c r="R5319" s="27"/>
      <c r="S5319" s="14"/>
      <c r="T5319" s="14"/>
      <c r="U5319" s="14"/>
      <c r="V5319" s="14"/>
    </row>
    <row r="5320" spans="13:22" x14ac:dyDescent="0.25">
      <c r="M5320" s="32"/>
      <c r="N5320" s="32"/>
      <c r="O5320" s="32"/>
      <c r="P5320" s="35"/>
      <c r="Q5320" s="32"/>
      <c r="R5320" s="27"/>
      <c r="S5320" s="21"/>
      <c r="T5320" s="14"/>
      <c r="U5320" s="14"/>
      <c r="V5320" s="14"/>
    </row>
    <row r="5321" spans="13:22" x14ac:dyDescent="0.25">
      <c r="M5321" s="36"/>
      <c r="N5321" s="36"/>
      <c r="O5321" s="36"/>
      <c r="P5321" s="14"/>
      <c r="Q5321" s="14"/>
      <c r="R5321" s="37"/>
      <c r="S5321" s="29"/>
      <c r="T5321" s="28"/>
      <c r="U5321" s="14"/>
      <c r="V5321" s="14"/>
    </row>
    <row r="5322" spans="13:22" x14ac:dyDescent="0.25">
      <c r="M5322" s="21"/>
      <c r="N5322" s="21"/>
      <c r="O5322" s="21"/>
      <c r="P5322" s="14"/>
      <c r="Q5322" s="21"/>
      <c r="R5322" s="28"/>
      <c r="S5322" s="29"/>
      <c r="T5322" s="28"/>
      <c r="U5322" s="14"/>
      <c r="V5322" s="14"/>
    </row>
    <row r="5323" spans="13:22" x14ac:dyDescent="0.25">
      <c r="M5323" s="14"/>
      <c r="N5323" s="14"/>
      <c r="O5323" s="14"/>
      <c r="P5323" s="14"/>
      <c r="Q5323" s="14"/>
      <c r="R5323" s="14"/>
      <c r="S5323" s="26"/>
      <c r="T5323" s="26"/>
      <c r="U5323" s="14"/>
      <c r="V5323" s="14"/>
    </row>
    <row r="5324" spans="13:22" ht="13.8" x14ac:dyDescent="0.25">
      <c r="M5324" s="30"/>
      <c r="N5324" s="30"/>
      <c r="O5324" s="30"/>
      <c r="P5324" s="14"/>
      <c r="Q5324" s="14"/>
      <c r="R5324" s="27"/>
      <c r="S5324" s="26"/>
      <c r="T5324" s="26"/>
      <c r="U5324" s="14"/>
      <c r="V5324" s="14"/>
    </row>
    <row r="5325" spans="13:22" x14ac:dyDescent="0.25">
      <c r="M5325" s="14"/>
      <c r="N5325" s="14"/>
      <c r="O5325" s="14"/>
      <c r="P5325" s="14"/>
      <c r="Q5325" s="14"/>
      <c r="R5325" s="14"/>
      <c r="S5325" s="14"/>
      <c r="T5325" s="14"/>
      <c r="U5325" s="14"/>
      <c r="V5325" s="14"/>
    </row>
    <row r="5326" spans="13:22" x14ac:dyDescent="0.25">
      <c r="M5326" s="21"/>
      <c r="N5326" s="21"/>
      <c r="O5326" s="21"/>
      <c r="P5326" s="21"/>
      <c r="Q5326" s="21"/>
      <c r="R5326" s="27"/>
      <c r="S5326" s="29"/>
      <c r="T5326" s="29"/>
      <c r="U5326" s="14"/>
      <c r="V5326" s="14"/>
    </row>
    <row r="5327" spans="13:22" x14ac:dyDescent="0.25">
      <c r="M5327" s="21"/>
      <c r="N5327" s="21"/>
      <c r="O5327" s="21"/>
      <c r="P5327" s="14"/>
      <c r="Q5327" s="21"/>
      <c r="R5327" s="28"/>
      <c r="S5327" s="29"/>
      <c r="T5327" s="29"/>
      <c r="U5327" s="14"/>
      <c r="V5327" s="14"/>
    </row>
    <row r="5328" spans="13:22" x14ac:dyDescent="0.25">
      <c r="M5328" s="21"/>
      <c r="N5328" s="21"/>
      <c r="O5328" s="21"/>
      <c r="P5328" s="14"/>
      <c r="Q5328" s="21"/>
      <c r="R5328" s="28"/>
      <c r="S5328" s="29"/>
      <c r="T5328" s="29"/>
      <c r="U5328" s="14"/>
      <c r="V5328" s="14"/>
    </row>
    <row r="5329" spans="13:22" ht="14.4" x14ac:dyDescent="0.3">
      <c r="M5329" s="32"/>
      <c r="N5329" s="32"/>
      <c r="O5329" s="32"/>
      <c r="P5329" s="33"/>
      <c r="Q5329" s="32"/>
      <c r="R5329" s="27"/>
      <c r="S5329" s="29"/>
      <c r="T5329" s="29"/>
      <c r="U5329" s="14"/>
      <c r="V5329" s="14"/>
    </row>
    <row r="5330" spans="13:22" x14ac:dyDescent="0.25">
      <c r="M5330" s="32"/>
      <c r="N5330" s="32"/>
      <c r="O5330" s="32"/>
      <c r="P5330" s="21"/>
      <c r="Q5330" s="32"/>
      <c r="R5330" s="27"/>
      <c r="S5330" s="29"/>
      <c r="T5330" s="29"/>
      <c r="U5330" s="14"/>
      <c r="V5330" s="14"/>
    </row>
    <row r="5331" spans="13:22" x14ac:dyDescent="0.25">
      <c r="M5331" s="32"/>
      <c r="N5331" s="32"/>
      <c r="O5331" s="32"/>
      <c r="P5331" s="34"/>
      <c r="Q5331" s="32"/>
      <c r="R5331" s="27"/>
      <c r="S5331" s="14"/>
      <c r="T5331" s="29"/>
      <c r="U5331" s="14"/>
      <c r="V5331" s="14"/>
    </row>
    <row r="5332" spans="13:22" x14ac:dyDescent="0.25">
      <c r="M5332" s="32"/>
      <c r="N5332" s="32"/>
      <c r="O5332" s="32"/>
      <c r="P5332" s="34"/>
      <c r="Q5332" s="32"/>
      <c r="R5332" s="27"/>
      <c r="S5332" s="14"/>
      <c r="T5332" s="29"/>
      <c r="U5332" s="14"/>
      <c r="V5332" s="14"/>
    </row>
    <row r="5333" spans="13:22" x14ac:dyDescent="0.25">
      <c r="M5333" s="32"/>
      <c r="N5333" s="32"/>
      <c r="O5333" s="32"/>
      <c r="P5333" s="34"/>
      <c r="Q5333" s="32"/>
      <c r="R5333" s="27"/>
      <c r="S5333" s="14"/>
      <c r="T5333" s="14"/>
      <c r="U5333" s="14"/>
      <c r="V5333" s="14"/>
    </row>
    <row r="5334" spans="13:22" x14ac:dyDescent="0.25">
      <c r="M5334" s="32"/>
      <c r="N5334" s="32"/>
      <c r="O5334" s="32"/>
      <c r="P5334" s="35"/>
      <c r="Q5334" s="32"/>
      <c r="R5334" s="27"/>
      <c r="S5334" s="21"/>
      <c r="T5334" s="14"/>
      <c r="U5334" s="14"/>
      <c r="V5334" s="14"/>
    </row>
    <row r="5335" spans="13:22" x14ac:dyDescent="0.25">
      <c r="M5335" s="36"/>
      <c r="N5335" s="36"/>
      <c r="O5335" s="36"/>
      <c r="P5335" s="14"/>
      <c r="Q5335" s="14"/>
      <c r="R5335" s="37"/>
      <c r="S5335" s="29"/>
      <c r="T5335" s="28"/>
      <c r="U5335" s="14"/>
      <c r="V5335" s="14"/>
    </row>
    <row r="5336" spans="13:22" x14ac:dyDescent="0.25">
      <c r="M5336" s="21"/>
      <c r="N5336" s="21"/>
      <c r="O5336" s="21"/>
      <c r="P5336" s="14"/>
      <c r="Q5336" s="21"/>
      <c r="R5336" s="28"/>
      <c r="S5336" s="29"/>
      <c r="T5336" s="28"/>
      <c r="U5336" s="14"/>
      <c r="V5336" s="14"/>
    </row>
    <row r="5337" spans="13:22" x14ac:dyDescent="0.25">
      <c r="M5337" s="14"/>
      <c r="N5337" s="14"/>
      <c r="O5337" s="14"/>
      <c r="P5337" s="14"/>
      <c r="Q5337" s="14"/>
      <c r="R5337" s="14"/>
      <c r="S5337" s="26"/>
      <c r="T5337" s="26"/>
      <c r="U5337" s="14"/>
      <c r="V5337" s="14"/>
    </row>
    <row r="5338" spans="13:22" ht="13.8" x14ac:dyDescent="0.25">
      <c r="M5338" s="30"/>
      <c r="N5338" s="30"/>
      <c r="O5338" s="30"/>
      <c r="P5338" s="14"/>
      <c r="Q5338" s="14"/>
      <c r="R5338" s="27"/>
      <c r="S5338" s="26"/>
      <c r="T5338" s="26"/>
      <c r="U5338" s="14"/>
      <c r="V5338" s="14"/>
    </row>
    <row r="5339" spans="13:22" x14ac:dyDescent="0.25">
      <c r="M5339" s="14"/>
      <c r="N5339" s="14"/>
      <c r="O5339" s="14"/>
      <c r="P5339" s="14"/>
      <c r="Q5339" s="14"/>
      <c r="R5339" s="14"/>
      <c r="S5339" s="14"/>
      <c r="T5339" s="14"/>
      <c r="U5339" s="14"/>
      <c r="V5339" s="14"/>
    </row>
    <row r="5340" spans="13:22" x14ac:dyDescent="0.25">
      <c r="M5340" s="21"/>
      <c r="N5340" s="21"/>
      <c r="O5340" s="21"/>
      <c r="P5340" s="21"/>
      <c r="Q5340" s="21"/>
      <c r="R5340" s="27"/>
      <c r="S5340" s="29"/>
      <c r="T5340" s="29"/>
    </row>
    <row r="5341" spans="13:22" x14ac:dyDescent="0.25">
      <c r="M5341" s="21"/>
      <c r="N5341" s="21"/>
      <c r="O5341" s="21"/>
      <c r="P5341" s="14"/>
      <c r="Q5341" s="21"/>
      <c r="R5341" s="28"/>
      <c r="S5341" s="29"/>
      <c r="T5341" s="29"/>
    </row>
    <row r="5342" spans="13:22" x14ac:dyDescent="0.25">
      <c r="M5342" s="21"/>
      <c r="N5342" s="21"/>
      <c r="O5342" s="21"/>
      <c r="P5342" s="14"/>
      <c r="Q5342" s="21"/>
      <c r="R5342" s="28"/>
      <c r="S5342" s="29"/>
      <c r="T5342" s="29"/>
    </row>
    <row r="5343" spans="13:22" ht="14.4" x14ac:dyDescent="0.3">
      <c r="M5343" s="32"/>
      <c r="N5343" s="32"/>
      <c r="O5343" s="32"/>
      <c r="P5343" s="33"/>
      <c r="Q5343" s="32"/>
      <c r="R5343" s="27"/>
      <c r="S5343" s="29"/>
      <c r="T5343" s="29"/>
    </row>
    <row r="5344" spans="13:22" x14ac:dyDescent="0.25">
      <c r="M5344" s="32"/>
      <c r="N5344" s="32"/>
      <c r="O5344" s="32"/>
      <c r="P5344" s="21"/>
      <c r="Q5344" s="32"/>
      <c r="R5344" s="27"/>
      <c r="S5344" s="29"/>
      <c r="T5344" s="29"/>
    </row>
    <row r="5345" spans="13:20" x14ac:dyDescent="0.25">
      <c r="M5345" s="32"/>
      <c r="N5345" s="32"/>
      <c r="O5345" s="32"/>
      <c r="P5345" s="34"/>
      <c r="Q5345" s="32"/>
      <c r="R5345" s="27"/>
      <c r="S5345" s="14"/>
      <c r="T5345" s="29"/>
    </row>
    <row r="5346" spans="13:20" x14ac:dyDescent="0.25">
      <c r="M5346" s="32"/>
      <c r="N5346" s="32"/>
      <c r="O5346" s="32"/>
      <c r="P5346" s="34"/>
      <c r="Q5346" s="32"/>
      <c r="R5346" s="27"/>
      <c r="S5346" s="14"/>
      <c r="T5346" s="29"/>
    </row>
    <row r="5347" spans="13:20" x14ac:dyDescent="0.25">
      <c r="M5347" s="32"/>
      <c r="N5347" s="32"/>
      <c r="O5347" s="32"/>
      <c r="P5347" s="34"/>
      <c r="Q5347" s="32"/>
      <c r="R5347" s="27"/>
      <c r="S5347" s="14"/>
      <c r="T5347" s="14"/>
    </row>
    <row r="5348" spans="13:20" x14ac:dyDescent="0.25">
      <c r="M5348" s="32"/>
      <c r="N5348" s="32"/>
      <c r="O5348" s="32"/>
      <c r="P5348" s="35"/>
      <c r="Q5348" s="32"/>
      <c r="R5348" s="27"/>
      <c r="S5348" s="21"/>
      <c r="T5348" s="14"/>
    </row>
    <row r="5349" spans="13:20" x14ac:dyDescent="0.25">
      <c r="M5349" s="36"/>
      <c r="N5349" s="36"/>
      <c r="O5349" s="36"/>
      <c r="P5349" s="14"/>
      <c r="Q5349" s="14"/>
      <c r="R5349" s="37"/>
      <c r="S5349" s="29"/>
      <c r="T5349" s="28"/>
    </row>
    <row r="5350" spans="13:20" x14ac:dyDescent="0.25">
      <c r="M5350" s="21"/>
      <c r="N5350" s="21"/>
      <c r="O5350" s="21"/>
      <c r="P5350" s="14"/>
      <c r="Q5350" s="21"/>
      <c r="R5350" s="28"/>
      <c r="S5350" s="29"/>
      <c r="T5350" s="28"/>
    </row>
    <row r="5351" spans="13:20" x14ac:dyDescent="0.25">
      <c r="M5351" s="14"/>
      <c r="N5351" s="14"/>
      <c r="O5351" s="14"/>
      <c r="P5351" s="14"/>
      <c r="Q5351" s="14"/>
      <c r="R5351" s="14"/>
      <c r="S5351" s="26"/>
      <c r="T5351" s="26"/>
    </row>
    <row r="5352" spans="13:20" ht="13.8" x14ac:dyDescent="0.25">
      <c r="M5352" s="30"/>
      <c r="N5352" s="30"/>
      <c r="O5352" s="30"/>
      <c r="P5352" s="14"/>
      <c r="Q5352" s="14"/>
      <c r="R5352" s="27"/>
      <c r="S5352" s="26"/>
      <c r="T5352" s="26"/>
    </row>
    <row r="5353" spans="13:20" x14ac:dyDescent="0.25">
      <c r="M5353" s="14"/>
      <c r="N5353" s="14"/>
      <c r="O5353" s="14"/>
      <c r="P5353" s="14"/>
      <c r="Q5353" s="14"/>
      <c r="R5353" s="14"/>
      <c r="S5353" s="14"/>
      <c r="T5353" s="14"/>
    </row>
    <row r="5354" spans="13:20" x14ac:dyDescent="0.25">
      <c r="M5354" s="21"/>
      <c r="N5354" s="21"/>
      <c r="O5354" s="21"/>
      <c r="P5354" s="21"/>
      <c r="Q5354" s="21"/>
      <c r="R5354" s="27"/>
      <c r="S5354" s="29"/>
      <c r="T5354" s="29"/>
    </row>
    <row r="5355" spans="13:20" x14ac:dyDescent="0.25">
      <c r="M5355" s="21"/>
      <c r="N5355" s="21"/>
      <c r="O5355" s="21"/>
      <c r="P5355" s="14"/>
      <c r="Q5355" s="21"/>
      <c r="R5355" s="28"/>
      <c r="S5355" s="29"/>
      <c r="T5355" s="29"/>
    </row>
    <row r="5356" spans="13:20" x14ac:dyDescent="0.25">
      <c r="M5356" s="21"/>
      <c r="N5356" s="21"/>
      <c r="O5356" s="21"/>
      <c r="P5356" s="14"/>
      <c r="Q5356" s="21"/>
      <c r="R5356" s="28"/>
      <c r="S5356" s="29"/>
      <c r="T5356" s="29"/>
    </row>
    <row r="5357" spans="13:20" ht="14.4" x14ac:dyDescent="0.3">
      <c r="M5357" s="32"/>
      <c r="N5357" s="32"/>
      <c r="O5357" s="32"/>
      <c r="P5357" s="33"/>
      <c r="Q5357" s="32"/>
      <c r="R5357" s="27"/>
      <c r="S5357" s="29"/>
      <c r="T5357" s="29"/>
    </row>
    <row r="5358" spans="13:20" x14ac:dyDescent="0.25">
      <c r="M5358" s="32"/>
      <c r="N5358" s="32"/>
      <c r="O5358" s="32"/>
      <c r="P5358" s="21"/>
      <c r="Q5358" s="32"/>
      <c r="R5358" s="27"/>
      <c r="S5358" s="29"/>
      <c r="T5358" s="29"/>
    </row>
    <row r="5359" spans="13:20" x14ac:dyDescent="0.25">
      <c r="M5359" s="32"/>
      <c r="N5359" s="32"/>
      <c r="O5359" s="32"/>
      <c r="P5359" s="34"/>
      <c r="Q5359" s="32"/>
      <c r="R5359" s="27"/>
      <c r="S5359" s="14"/>
      <c r="T5359" s="29"/>
    </row>
    <row r="5360" spans="13:20" x14ac:dyDescent="0.25">
      <c r="M5360" s="32"/>
      <c r="N5360" s="32"/>
      <c r="O5360" s="32"/>
      <c r="P5360" s="34"/>
      <c r="Q5360" s="32"/>
      <c r="R5360" s="27"/>
      <c r="S5360" s="14"/>
      <c r="T5360" s="29"/>
    </row>
    <row r="5361" spans="13:20" x14ac:dyDescent="0.25">
      <c r="M5361" s="32"/>
      <c r="N5361" s="32"/>
      <c r="O5361" s="32"/>
      <c r="P5361" s="34"/>
      <c r="Q5361" s="32"/>
      <c r="R5361" s="27"/>
      <c r="S5361" s="14"/>
      <c r="T5361" s="14"/>
    </row>
    <row r="5362" spans="13:20" x14ac:dyDescent="0.25">
      <c r="M5362" s="32"/>
      <c r="N5362" s="32"/>
      <c r="O5362" s="32"/>
      <c r="P5362" s="35"/>
      <c r="Q5362" s="32"/>
      <c r="R5362" s="27"/>
      <c r="S5362" s="21"/>
      <c r="T5362" s="14"/>
    </row>
    <row r="5363" spans="13:20" x14ac:dyDescent="0.25">
      <c r="M5363" s="36"/>
      <c r="N5363" s="36"/>
      <c r="O5363" s="36"/>
      <c r="P5363" s="14"/>
      <c r="Q5363" s="14"/>
      <c r="R5363" s="37"/>
      <c r="S5363" s="29"/>
      <c r="T5363" s="28"/>
    </row>
    <row r="5364" spans="13:20" x14ac:dyDescent="0.25">
      <c r="M5364" s="21"/>
      <c r="N5364" s="21"/>
      <c r="O5364" s="21"/>
      <c r="P5364" s="14"/>
      <c r="Q5364" s="21"/>
      <c r="R5364" s="28"/>
      <c r="S5364" s="29"/>
      <c r="T5364" s="28"/>
    </row>
    <row r="5365" spans="13:20" x14ac:dyDescent="0.25">
      <c r="M5365" s="14"/>
      <c r="N5365" s="14"/>
      <c r="O5365" s="14"/>
      <c r="P5365" s="14"/>
      <c r="Q5365" s="14"/>
      <c r="R5365" s="14"/>
      <c r="S5365" s="26"/>
      <c r="T5365" s="26"/>
    </row>
    <row r="5366" spans="13:20" ht="13.8" x14ac:dyDescent="0.25">
      <c r="M5366" s="30"/>
      <c r="N5366" s="30"/>
      <c r="O5366" s="30"/>
      <c r="P5366" s="14"/>
      <c r="Q5366" s="14"/>
      <c r="R5366" s="27"/>
      <c r="S5366" s="26"/>
      <c r="T5366" s="26"/>
    </row>
    <row r="5367" spans="13:20" x14ac:dyDescent="0.25">
      <c r="M5367" s="14"/>
      <c r="N5367" s="14"/>
      <c r="O5367" s="14"/>
      <c r="P5367" s="14"/>
      <c r="Q5367" s="14"/>
      <c r="R5367" s="14"/>
      <c r="S5367" s="14"/>
      <c r="T5367" s="14"/>
    </row>
    <row r="5368" spans="13:20" x14ac:dyDescent="0.25">
      <c r="M5368" s="21"/>
      <c r="N5368" s="21"/>
      <c r="O5368" s="21"/>
      <c r="P5368" s="21"/>
      <c r="Q5368" s="21"/>
      <c r="R5368" s="27"/>
      <c r="S5368" s="29"/>
      <c r="T5368" s="29"/>
    </row>
    <row r="5369" spans="13:20" x14ac:dyDescent="0.25">
      <c r="M5369" s="21"/>
      <c r="N5369" s="21"/>
      <c r="O5369" s="21"/>
      <c r="P5369" s="14"/>
      <c r="Q5369" s="21"/>
      <c r="R5369" s="28"/>
      <c r="S5369" s="29"/>
      <c r="T5369" s="29"/>
    </row>
    <row r="5370" spans="13:20" x14ac:dyDescent="0.25">
      <c r="M5370" s="21"/>
      <c r="N5370" s="21"/>
      <c r="O5370" s="21"/>
      <c r="P5370" s="14"/>
      <c r="Q5370" s="21"/>
      <c r="R5370" s="28"/>
      <c r="S5370" s="29"/>
      <c r="T5370" s="29"/>
    </row>
    <row r="5371" spans="13:20" ht="14.4" x14ac:dyDescent="0.3">
      <c r="M5371" s="32"/>
      <c r="N5371" s="32"/>
      <c r="O5371" s="32"/>
      <c r="P5371" s="33"/>
      <c r="Q5371" s="32"/>
      <c r="R5371" s="27"/>
      <c r="S5371" s="29"/>
      <c r="T5371" s="29"/>
    </row>
    <row r="5372" spans="13:20" x14ac:dyDescent="0.25">
      <c r="M5372" s="32"/>
      <c r="N5372" s="32"/>
      <c r="O5372" s="32"/>
      <c r="P5372" s="21"/>
      <c r="Q5372" s="32"/>
      <c r="R5372" s="27"/>
      <c r="S5372" s="29"/>
      <c r="T5372" s="29"/>
    </row>
    <row r="5373" spans="13:20" x14ac:dyDescent="0.25">
      <c r="M5373" s="32"/>
      <c r="N5373" s="32"/>
      <c r="O5373" s="32"/>
      <c r="P5373" s="34"/>
      <c r="Q5373" s="32"/>
      <c r="R5373" s="27"/>
      <c r="S5373" s="14"/>
      <c r="T5373" s="29"/>
    </row>
    <row r="5374" spans="13:20" x14ac:dyDescent="0.25">
      <c r="M5374" s="32"/>
      <c r="N5374" s="32"/>
      <c r="O5374" s="32"/>
      <c r="P5374" s="34"/>
      <c r="Q5374" s="32"/>
      <c r="R5374" s="27"/>
      <c r="S5374" s="14"/>
      <c r="T5374" s="29"/>
    </row>
    <row r="5375" spans="13:20" x14ac:dyDescent="0.25">
      <c r="M5375" s="32"/>
      <c r="N5375" s="32"/>
      <c r="O5375" s="32"/>
      <c r="P5375" s="34"/>
      <c r="Q5375" s="32"/>
      <c r="R5375" s="27"/>
      <c r="S5375" s="14"/>
      <c r="T5375" s="14"/>
    </row>
    <row r="5376" spans="13:20" x14ac:dyDescent="0.25">
      <c r="M5376" s="32"/>
      <c r="N5376" s="32"/>
      <c r="O5376" s="32"/>
      <c r="P5376" s="35"/>
      <c r="Q5376" s="32"/>
      <c r="R5376" s="27"/>
      <c r="S5376" s="21"/>
      <c r="T5376" s="14"/>
    </row>
    <row r="5377" spans="13:20" x14ac:dyDescent="0.25">
      <c r="M5377" s="36"/>
      <c r="N5377" s="36"/>
      <c r="O5377" s="36"/>
      <c r="P5377" s="14"/>
      <c r="Q5377" s="14"/>
      <c r="R5377" s="37"/>
      <c r="S5377" s="29"/>
      <c r="T5377" s="28"/>
    </row>
    <row r="5378" spans="13:20" x14ac:dyDescent="0.25">
      <c r="M5378" s="21"/>
      <c r="N5378" s="21"/>
      <c r="O5378" s="21"/>
      <c r="P5378" s="14"/>
      <c r="Q5378" s="21"/>
      <c r="R5378" s="28"/>
      <c r="S5378" s="29"/>
      <c r="T5378" s="28"/>
    </row>
    <row r="5379" spans="13:20" x14ac:dyDescent="0.25">
      <c r="M5379" s="14"/>
      <c r="N5379" s="14"/>
      <c r="O5379" s="14"/>
      <c r="P5379" s="14"/>
      <c r="Q5379" s="14"/>
      <c r="R5379" s="14"/>
      <c r="S5379" s="26"/>
      <c r="T5379" s="26"/>
    </row>
    <row r="5380" spans="13:20" ht="13.8" x14ac:dyDescent="0.25">
      <c r="M5380" s="30"/>
      <c r="N5380" s="30"/>
      <c r="O5380" s="30"/>
      <c r="P5380" s="14"/>
      <c r="Q5380" s="14"/>
      <c r="R5380" s="27"/>
      <c r="S5380" s="26"/>
      <c r="T5380" s="26"/>
    </row>
    <row r="5381" spans="13:20" x14ac:dyDescent="0.25">
      <c r="M5381" s="14"/>
      <c r="N5381" s="14"/>
      <c r="O5381" s="14"/>
      <c r="P5381" s="14"/>
      <c r="Q5381" s="14"/>
      <c r="R5381" s="14"/>
      <c r="S5381" s="14"/>
      <c r="T5381" s="14"/>
    </row>
    <row r="5382" spans="13:20" x14ac:dyDescent="0.25">
      <c r="M5382" s="21"/>
      <c r="N5382" s="21"/>
      <c r="O5382" s="21"/>
      <c r="P5382" s="21"/>
      <c r="Q5382" s="21"/>
      <c r="R5382" s="27"/>
      <c r="S5382" s="29"/>
      <c r="T5382" s="29"/>
    </row>
    <row r="5383" spans="13:20" x14ac:dyDescent="0.25">
      <c r="M5383" s="21"/>
      <c r="N5383" s="21"/>
      <c r="O5383" s="21"/>
      <c r="P5383" s="14"/>
      <c r="Q5383" s="21"/>
      <c r="R5383" s="28"/>
      <c r="S5383" s="29"/>
      <c r="T5383" s="29"/>
    </row>
    <row r="5384" spans="13:20" x14ac:dyDescent="0.25">
      <c r="M5384" s="21"/>
      <c r="N5384" s="21"/>
      <c r="O5384" s="21"/>
      <c r="P5384" s="14"/>
      <c r="Q5384" s="21"/>
      <c r="R5384" s="28"/>
      <c r="S5384" s="29"/>
      <c r="T5384" s="29"/>
    </row>
    <row r="5385" spans="13:20" ht="14.4" x14ac:dyDescent="0.3">
      <c r="M5385" s="32"/>
      <c r="N5385" s="32"/>
      <c r="O5385" s="32"/>
      <c r="P5385" s="33"/>
      <c r="Q5385" s="32"/>
      <c r="R5385" s="27"/>
      <c r="S5385" s="29"/>
      <c r="T5385" s="29"/>
    </row>
    <row r="5386" spans="13:20" x14ac:dyDescent="0.25">
      <c r="M5386" s="32"/>
      <c r="N5386" s="32"/>
      <c r="O5386" s="32"/>
      <c r="P5386" s="21"/>
      <c r="Q5386" s="32"/>
      <c r="R5386" s="27"/>
      <c r="S5386" s="29"/>
      <c r="T5386" s="29"/>
    </row>
    <row r="5387" spans="13:20" x14ac:dyDescent="0.25">
      <c r="M5387" s="32"/>
      <c r="N5387" s="32"/>
      <c r="O5387" s="32"/>
      <c r="P5387" s="34"/>
      <c r="Q5387" s="32"/>
      <c r="R5387" s="27"/>
      <c r="S5387" s="14"/>
      <c r="T5387" s="29"/>
    </row>
    <row r="5388" spans="13:20" x14ac:dyDescent="0.25">
      <c r="M5388" s="32"/>
      <c r="N5388" s="32"/>
      <c r="O5388" s="32"/>
      <c r="P5388" s="34"/>
      <c r="Q5388" s="32"/>
      <c r="R5388" s="27"/>
      <c r="S5388" s="14"/>
      <c r="T5388" s="29"/>
    </row>
    <row r="5389" spans="13:20" x14ac:dyDescent="0.25">
      <c r="M5389" s="32"/>
      <c r="N5389" s="32"/>
      <c r="O5389" s="32"/>
      <c r="P5389" s="34"/>
      <c r="Q5389" s="32"/>
      <c r="R5389" s="27"/>
      <c r="S5389" s="14"/>
      <c r="T5389" s="14"/>
    </row>
    <row r="5390" spans="13:20" x14ac:dyDescent="0.25">
      <c r="M5390" s="32"/>
      <c r="N5390" s="32"/>
      <c r="O5390" s="32"/>
      <c r="P5390" s="35"/>
      <c r="Q5390" s="32"/>
      <c r="R5390" s="27"/>
      <c r="S5390" s="21"/>
      <c r="T5390" s="14"/>
    </row>
    <row r="5391" spans="13:20" x14ac:dyDescent="0.25">
      <c r="M5391" s="36"/>
      <c r="N5391" s="36"/>
      <c r="O5391" s="36"/>
      <c r="P5391" s="14"/>
      <c r="Q5391" s="14"/>
      <c r="R5391" s="37"/>
      <c r="S5391" s="29"/>
      <c r="T5391" s="28"/>
    </row>
    <row r="5392" spans="13:20" x14ac:dyDescent="0.25">
      <c r="M5392" s="21"/>
      <c r="N5392" s="21"/>
      <c r="O5392" s="21"/>
      <c r="P5392" s="14"/>
      <c r="Q5392" s="21"/>
      <c r="R5392" s="28"/>
      <c r="S5392" s="29"/>
      <c r="T5392" s="28"/>
    </row>
    <row r="5393" spans="13:20" x14ac:dyDescent="0.25">
      <c r="M5393" s="14"/>
      <c r="N5393" s="14"/>
      <c r="O5393" s="14"/>
      <c r="P5393" s="14"/>
      <c r="Q5393" s="14"/>
      <c r="R5393" s="14"/>
      <c r="S5393" s="26"/>
      <c r="T5393" s="26"/>
    </row>
    <row r="5394" spans="13:20" ht="13.8" x14ac:dyDescent="0.25">
      <c r="M5394" s="30"/>
      <c r="N5394" s="30"/>
      <c r="O5394" s="30"/>
      <c r="P5394" s="14"/>
      <c r="Q5394" s="14"/>
      <c r="R5394" s="27"/>
      <c r="S5394" s="26"/>
      <c r="T5394" s="26"/>
    </row>
    <row r="5395" spans="13:20" x14ac:dyDescent="0.25">
      <c r="M5395" s="14"/>
      <c r="N5395" s="14"/>
      <c r="O5395" s="14"/>
      <c r="P5395" s="14"/>
      <c r="Q5395" s="14"/>
      <c r="R5395" s="14"/>
      <c r="S5395" s="14"/>
      <c r="T5395" s="14"/>
    </row>
    <row r="5396" spans="13:20" x14ac:dyDescent="0.25">
      <c r="M5396" s="21"/>
      <c r="N5396" s="21"/>
      <c r="O5396" s="21"/>
      <c r="P5396" s="21"/>
      <c r="Q5396" s="21"/>
      <c r="R5396" s="27"/>
      <c r="S5396" s="29"/>
      <c r="T5396" s="29"/>
    </row>
    <row r="5397" spans="13:20" x14ac:dyDescent="0.25">
      <c r="M5397" s="21"/>
      <c r="N5397" s="21"/>
      <c r="O5397" s="21"/>
      <c r="P5397" s="14"/>
      <c r="Q5397" s="21"/>
      <c r="R5397" s="28"/>
      <c r="S5397" s="29"/>
      <c r="T5397" s="29"/>
    </row>
    <row r="5398" spans="13:20" x14ac:dyDescent="0.25">
      <c r="M5398" s="21"/>
      <c r="N5398" s="21"/>
      <c r="O5398" s="21"/>
      <c r="P5398" s="14"/>
      <c r="Q5398" s="21"/>
      <c r="R5398" s="28"/>
      <c r="S5398" s="29"/>
      <c r="T5398" s="29"/>
    </row>
    <row r="5399" spans="13:20" ht="14.4" x14ac:dyDescent="0.3">
      <c r="M5399" s="32"/>
      <c r="N5399" s="32"/>
      <c r="O5399" s="32"/>
      <c r="P5399" s="33"/>
      <c r="Q5399" s="32"/>
      <c r="R5399" s="27"/>
      <c r="S5399" s="29"/>
      <c r="T5399" s="29"/>
    </row>
    <row r="5400" spans="13:20" x14ac:dyDescent="0.25">
      <c r="M5400" s="32"/>
      <c r="N5400" s="32"/>
      <c r="O5400" s="32"/>
      <c r="P5400" s="21"/>
      <c r="Q5400" s="32"/>
      <c r="R5400" s="27"/>
      <c r="S5400" s="29"/>
      <c r="T5400" s="29"/>
    </row>
    <row r="5401" spans="13:20" x14ac:dyDescent="0.25">
      <c r="M5401" s="32"/>
      <c r="N5401" s="32"/>
      <c r="O5401" s="32"/>
      <c r="P5401" s="34"/>
      <c r="Q5401" s="32"/>
      <c r="R5401" s="27"/>
      <c r="S5401" s="14"/>
      <c r="T5401" s="29"/>
    </row>
    <row r="5402" spans="13:20" x14ac:dyDescent="0.25">
      <c r="M5402" s="32"/>
      <c r="N5402" s="32"/>
      <c r="O5402" s="32"/>
      <c r="P5402" s="34"/>
      <c r="Q5402" s="32"/>
      <c r="R5402" s="27"/>
      <c r="S5402" s="14"/>
      <c r="T5402" s="29"/>
    </row>
    <row r="5403" spans="13:20" x14ac:dyDescent="0.25">
      <c r="M5403" s="32"/>
      <c r="N5403" s="32"/>
      <c r="O5403" s="32"/>
      <c r="P5403" s="34"/>
      <c r="Q5403" s="32"/>
      <c r="R5403" s="27"/>
      <c r="S5403" s="14"/>
      <c r="T5403" s="14"/>
    </row>
    <row r="5404" spans="13:20" x14ac:dyDescent="0.25">
      <c r="M5404" s="32"/>
      <c r="N5404" s="32"/>
      <c r="O5404" s="32"/>
      <c r="P5404" s="35"/>
      <c r="Q5404" s="32"/>
      <c r="R5404" s="27"/>
      <c r="S5404" s="21"/>
      <c r="T5404" s="14"/>
    </row>
    <row r="5405" spans="13:20" x14ac:dyDescent="0.25">
      <c r="M5405" s="36"/>
      <c r="N5405" s="36"/>
      <c r="O5405" s="36"/>
      <c r="P5405" s="14"/>
      <c r="Q5405" s="14"/>
      <c r="R5405" s="37"/>
      <c r="S5405" s="29"/>
      <c r="T5405" s="28"/>
    </row>
    <row r="5406" spans="13:20" x14ac:dyDescent="0.25">
      <c r="M5406" s="21"/>
      <c r="N5406" s="21"/>
      <c r="O5406" s="21"/>
      <c r="P5406" s="14"/>
      <c r="Q5406" s="21"/>
      <c r="R5406" s="28"/>
      <c r="S5406" s="29"/>
      <c r="T5406" s="28"/>
    </row>
    <row r="5407" spans="13:20" x14ac:dyDescent="0.25">
      <c r="M5407" s="14"/>
      <c r="N5407" s="14"/>
      <c r="O5407" s="14"/>
      <c r="P5407" s="14"/>
      <c r="Q5407" s="14"/>
      <c r="R5407" s="14"/>
      <c r="S5407" s="26"/>
      <c r="T5407" s="26"/>
    </row>
    <row r="5408" spans="13:20" ht="13.8" x14ac:dyDescent="0.25">
      <c r="M5408" s="30"/>
      <c r="N5408" s="30"/>
      <c r="O5408" s="30"/>
      <c r="P5408" s="14"/>
      <c r="Q5408" s="14"/>
      <c r="R5408" s="27"/>
      <c r="S5408" s="26"/>
      <c r="T5408" s="26"/>
    </row>
    <row r="5409" spans="13:20" x14ac:dyDescent="0.25">
      <c r="M5409" s="14"/>
      <c r="N5409" s="14"/>
      <c r="O5409" s="14"/>
      <c r="P5409" s="14"/>
      <c r="Q5409" s="14"/>
      <c r="R5409" s="14"/>
      <c r="S5409" s="14"/>
      <c r="T5409" s="14"/>
    </row>
    <row r="5410" spans="13:20" x14ac:dyDescent="0.25">
      <c r="M5410" s="21"/>
      <c r="N5410" s="21"/>
      <c r="O5410" s="21"/>
      <c r="P5410" s="21"/>
      <c r="Q5410" s="21"/>
      <c r="R5410" s="27"/>
      <c r="S5410" s="29"/>
      <c r="T5410" s="29"/>
    </row>
    <row r="5411" spans="13:20" x14ac:dyDescent="0.25">
      <c r="M5411" s="21"/>
      <c r="N5411" s="21"/>
      <c r="O5411" s="21"/>
      <c r="P5411" s="14"/>
      <c r="Q5411" s="21"/>
      <c r="R5411" s="28"/>
      <c r="S5411" s="29"/>
      <c r="T5411" s="29"/>
    </row>
    <row r="5412" spans="13:20" x14ac:dyDescent="0.25">
      <c r="M5412" s="21"/>
      <c r="N5412" s="21"/>
      <c r="O5412" s="21"/>
      <c r="P5412" s="14"/>
      <c r="Q5412" s="21"/>
      <c r="R5412" s="28"/>
      <c r="S5412" s="29"/>
      <c r="T5412" s="29"/>
    </row>
    <row r="5413" spans="13:20" ht="14.4" x14ac:dyDescent="0.3">
      <c r="M5413" s="32"/>
      <c r="N5413" s="32"/>
      <c r="O5413" s="32"/>
      <c r="P5413" s="33"/>
      <c r="Q5413" s="32"/>
      <c r="R5413" s="27"/>
      <c r="S5413" s="29"/>
      <c r="T5413" s="29"/>
    </row>
    <row r="5414" spans="13:20" x14ac:dyDescent="0.25">
      <c r="M5414" s="32"/>
      <c r="N5414" s="32"/>
      <c r="O5414" s="32"/>
      <c r="P5414" s="21"/>
      <c r="Q5414" s="32"/>
      <c r="R5414" s="27"/>
      <c r="S5414" s="29"/>
      <c r="T5414" s="29"/>
    </row>
    <row r="5415" spans="13:20" x14ac:dyDescent="0.25">
      <c r="M5415" s="32"/>
      <c r="N5415" s="32"/>
      <c r="O5415" s="32"/>
      <c r="P5415" s="34"/>
      <c r="Q5415" s="32"/>
      <c r="R5415" s="27"/>
      <c r="S5415" s="14"/>
      <c r="T5415" s="29"/>
    </row>
    <row r="5416" spans="13:20" x14ac:dyDescent="0.25">
      <c r="M5416" s="32"/>
      <c r="N5416" s="32"/>
      <c r="O5416" s="32"/>
      <c r="P5416" s="34"/>
      <c r="Q5416" s="32"/>
      <c r="R5416" s="27"/>
      <c r="S5416" s="14"/>
      <c r="T5416" s="29"/>
    </row>
    <row r="5417" spans="13:20" x14ac:dyDescent="0.25">
      <c r="M5417" s="32"/>
      <c r="N5417" s="32"/>
      <c r="O5417" s="32"/>
      <c r="P5417" s="34"/>
      <c r="Q5417" s="32"/>
      <c r="R5417" s="27"/>
      <c r="S5417" s="14"/>
      <c r="T5417" s="14"/>
    </row>
    <row r="5418" spans="13:20" x14ac:dyDescent="0.25">
      <c r="M5418" s="32"/>
      <c r="N5418" s="32"/>
      <c r="O5418" s="32"/>
      <c r="P5418" s="35"/>
      <c r="Q5418" s="32"/>
      <c r="R5418" s="27"/>
      <c r="S5418" s="21"/>
      <c r="T5418" s="14"/>
    </row>
    <row r="5419" spans="13:20" x14ac:dyDescent="0.25">
      <c r="M5419" s="36"/>
      <c r="N5419" s="36"/>
      <c r="O5419" s="36"/>
      <c r="P5419" s="14"/>
      <c r="Q5419" s="14"/>
      <c r="R5419" s="37"/>
      <c r="S5419" s="29"/>
      <c r="T5419" s="28"/>
    </row>
    <row r="5420" spans="13:20" x14ac:dyDescent="0.25">
      <c r="M5420" s="21"/>
      <c r="N5420" s="21"/>
      <c r="O5420" s="21"/>
      <c r="P5420" s="14"/>
      <c r="Q5420" s="21"/>
      <c r="R5420" s="28"/>
      <c r="S5420" s="29"/>
      <c r="T5420" s="28"/>
    </row>
    <row r="5421" spans="13:20" x14ac:dyDescent="0.25">
      <c r="M5421" s="14"/>
      <c r="N5421" s="14"/>
      <c r="O5421" s="14"/>
      <c r="P5421" s="14"/>
      <c r="Q5421" s="14"/>
      <c r="R5421" s="14"/>
      <c r="S5421" s="26"/>
      <c r="T5421" s="26"/>
    </row>
    <row r="5422" spans="13:20" ht="13.8" x14ac:dyDescent="0.25">
      <c r="M5422" s="30"/>
      <c r="N5422" s="30"/>
      <c r="O5422" s="30"/>
      <c r="P5422" s="14"/>
      <c r="Q5422" s="14"/>
      <c r="R5422" s="27"/>
      <c r="S5422" s="26"/>
      <c r="T5422" s="26"/>
    </row>
    <row r="5423" spans="13:20" x14ac:dyDescent="0.25">
      <c r="M5423" s="14"/>
      <c r="N5423" s="14"/>
      <c r="O5423" s="14"/>
      <c r="P5423" s="14"/>
      <c r="Q5423" s="14"/>
      <c r="R5423" s="14"/>
      <c r="S5423" s="14"/>
      <c r="T5423" s="14"/>
    </row>
    <row r="5424" spans="13:20" x14ac:dyDescent="0.25">
      <c r="M5424" s="21"/>
      <c r="N5424" s="21"/>
      <c r="O5424" s="21"/>
      <c r="P5424" s="21"/>
      <c r="Q5424" s="21"/>
      <c r="R5424" s="27"/>
      <c r="S5424" s="29"/>
      <c r="T5424" s="29"/>
    </row>
    <row r="5425" spans="13:20" x14ac:dyDescent="0.25">
      <c r="M5425" s="21"/>
      <c r="N5425" s="21"/>
      <c r="O5425" s="21"/>
      <c r="P5425" s="14"/>
      <c r="Q5425" s="21"/>
      <c r="R5425" s="28"/>
      <c r="S5425" s="29"/>
      <c r="T5425" s="29"/>
    </row>
    <row r="5426" spans="13:20" x14ac:dyDescent="0.25">
      <c r="M5426" s="21"/>
      <c r="N5426" s="21"/>
      <c r="O5426" s="21"/>
      <c r="P5426" s="14"/>
      <c r="Q5426" s="21"/>
      <c r="R5426" s="28"/>
      <c r="S5426" s="29"/>
      <c r="T5426" s="29"/>
    </row>
    <row r="5427" spans="13:20" ht="14.4" x14ac:dyDescent="0.3">
      <c r="M5427" s="32"/>
      <c r="N5427" s="32"/>
      <c r="O5427" s="32"/>
      <c r="P5427" s="33"/>
      <c r="Q5427" s="32"/>
      <c r="R5427" s="27"/>
      <c r="S5427" s="29"/>
      <c r="T5427" s="29"/>
    </row>
    <row r="5428" spans="13:20" x14ac:dyDescent="0.25">
      <c r="M5428" s="32"/>
      <c r="N5428" s="32"/>
      <c r="O5428" s="32"/>
      <c r="P5428" s="21"/>
      <c r="Q5428" s="32"/>
      <c r="R5428" s="27"/>
      <c r="S5428" s="29"/>
      <c r="T5428" s="29"/>
    </row>
    <row r="5429" spans="13:20" x14ac:dyDescent="0.25">
      <c r="M5429" s="32"/>
      <c r="N5429" s="32"/>
      <c r="O5429" s="32"/>
      <c r="P5429" s="34"/>
      <c r="Q5429" s="32"/>
      <c r="R5429" s="27"/>
      <c r="S5429" s="14"/>
      <c r="T5429" s="29"/>
    </row>
    <row r="5430" spans="13:20" x14ac:dyDescent="0.25">
      <c r="M5430" s="32"/>
      <c r="N5430" s="32"/>
      <c r="O5430" s="32"/>
      <c r="P5430" s="34"/>
      <c r="Q5430" s="32"/>
      <c r="R5430" s="27"/>
      <c r="S5430" s="14"/>
      <c r="T5430" s="29"/>
    </row>
    <row r="5431" spans="13:20" x14ac:dyDescent="0.25">
      <c r="M5431" s="32"/>
      <c r="N5431" s="32"/>
      <c r="O5431" s="32"/>
      <c r="P5431" s="34"/>
      <c r="Q5431" s="32"/>
      <c r="R5431" s="27"/>
      <c r="S5431" s="14"/>
      <c r="T5431" s="14"/>
    </row>
    <row r="5432" spans="13:20" x14ac:dyDescent="0.25">
      <c r="M5432" s="32"/>
      <c r="N5432" s="32"/>
      <c r="O5432" s="32"/>
      <c r="P5432" s="35"/>
      <c r="Q5432" s="32"/>
      <c r="R5432" s="27"/>
      <c r="S5432" s="21"/>
      <c r="T5432" s="14"/>
    </row>
    <row r="5433" spans="13:20" x14ac:dyDescent="0.25">
      <c r="M5433" s="36"/>
      <c r="N5433" s="36"/>
      <c r="O5433" s="36"/>
      <c r="P5433" s="14"/>
      <c r="Q5433" s="14"/>
      <c r="R5433" s="37"/>
      <c r="S5433" s="29"/>
      <c r="T5433" s="28"/>
    </row>
    <row r="5434" spans="13:20" x14ac:dyDescent="0.25">
      <c r="M5434" s="21"/>
      <c r="N5434" s="21"/>
      <c r="O5434" s="21"/>
      <c r="P5434" s="14"/>
      <c r="Q5434" s="21"/>
      <c r="R5434" s="28"/>
      <c r="S5434" s="29"/>
      <c r="T5434" s="28"/>
    </row>
    <row r="5435" spans="13:20" x14ac:dyDescent="0.25">
      <c r="M5435" s="14"/>
      <c r="N5435" s="14"/>
      <c r="O5435" s="14"/>
      <c r="P5435" s="14"/>
      <c r="Q5435" s="14"/>
      <c r="R5435" s="14"/>
      <c r="S5435" s="26"/>
      <c r="T5435" s="26"/>
    </row>
    <row r="5436" spans="13:20" ht="13.8" x14ac:dyDescent="0.25">
      <c r="M5436" s="30"/>
      <c r="N5436" s="30"/>
      <c r="O5436" s="30"/>
      <c r="P5436" s="14"/>
      <c r="Q5436" s="14"/>
      <c r="R5436" s="27"/>
      <c r="S5436" s="26"/>
      <c r="T5436" s="26"/>
    </row>
    <row r="5437" spans="13:20" x14ac:dyDescent="0.25">
      <c r="M5437" s="14"/>
      <c r="N5437" s="14"/>
      <c r="O5437" s="14"/>
      <c r="P5437" s="14"/>
      <c r="Q5437" s="14"/>
      <c r="R5437" s="14"/>
      <c r="S5437" s="14"/>
      <c r="T5437" s="14"/>
    </row>
    <row r="5438" spans="13:20" x14ac:dyDescent="0.25">
      <c r="M5438" s="21"/>
      <c r="N5438" s="21"/>
      <c r="O5438" s="21"/>
      <c r="P5438" s="21"/>
      <c r="Q5438" s="21"/>
      <c r="R5438" s="27"/>
      <c r="S5438" s="29"/>
      <c r="T5438" s="29"/>
    </row>
    <row r="5439" spans="13:20" x14ac:dyDescent="0.25">
      <c r="M5439" s="21"/>
      <c r="N5439" s="21"/>
      <c r="O5439" s="21"/>
      <c r="P5439" s="14"/>
      <c r="Q5439" s="21"/>
      <c r="R5439" s="28"/>
      <c r="S5439" s="29"/>
      <c r="T5439" s="29"/>
    </row>
    <row r="5440" spans="13:20" x14ac:dyDescent="0.25">
      <c r="M5440" s="21"/>
      <c r="N5440" s="21"/>
      <c r="O5440" s="21"/>
      <c r="P5440" s="14"/>
      <c r="Q5440" s="21"/>
      <c r="R5440" s="28"/>
      <c r="S5440" s="29"/>
      <c r="T5440" s="29"/>
    </row>
    <row r="5441" spans="13:20" ht="14.4" x14ac:dyDescent="0.3">
      <c r="M5441" s="32"/>
      <c r="N5441" s="32"/>
      <c r="O5441" s="32"/>
      <c r="P5441" s="33"/>
      <c r="Q5441" s="32"/>
      <c r="R5441" s="27"/>
      <c r="S5441" s="29"/>
      <c r="T5441" s="29"/>
    </row>
    <row r="5442" spans="13:20" x14ac:dyDescent="0.25">
      <c r="M5442" s="32"/>
      <c r="N5442" s="32"/>
      <c r="O5442" s="32"/>
      <c r="P5442" s="21"/>
      <c r="Q5442" s="32"/>
      <c r="R5442" s="27"/>
      <c r="S5442" s="29"/>
      <c r="T5442" s="29"/>
    </row>
    <row r="5443" spans="13:20" x14ac:dyDescent="0.25">
      <c r="M5443" s="32"/>
      <c r="N5443" s="32"/>
      <c r="O5443" s="32"/>
      <c r="P5443" s="34"/>
      <c r="Q5443" s="32"/>
      <c r="R5443" s="27"/>
      <c r="S5443" s="14"/>
      <c r="T5443" s="29"/>
    </row>
    <row r="5444" spans="13:20" x14ac:dyDescent="0.25">
      <c r="M5444" s="32"/>
      <c r="N5444" s="32"/>
      <c r="O5444" s="32"/>
      <c r="P5444" s="34"/>
      <c r="Q5444" s="32"/>
      <c r="R5444" s="27"/>
      <c r="S5444" s="14"/>
      <c r="T5444" s="29"/>
    </row>
    <row r="5445" spans="13:20" x14ac:dyDescent="0.25">
      <c r="M5445" s="32"/>
      <c r="N5445" s="32"/>
      <c r="O5445" s="32"/>
      <c r="P5445" s="34"/>
      <c r="Q5445" s="32"/>
      <c r="R5445" s="27"/>
      <c r="S5445" s="14"/>
      <c r="T5445" s="14"/>
    </row>
    <row r="5446" spans="13:20" x14ac:dyDescent="0.25">
      <c r="M5446" s="32"/>
      <c r="N5446" s="32"/>
      <c r="O5446" s="32"/>
      <c r="P5446" s="35"/>
      <c r="Q5446" s="32"/>
      <c r="R5446" s="27"/>
      <c r="S5446" s="21"/>
      <c r="T5446" s="14"/>
    </row>
    <row r="5447" spans="13:20" x14ac:dyDescent="0.25">
      <c r="M5447" s="36"/>
      <c r="N5447" s="36"/>
      <c r="O5447" s="36"/>
      <c r="P5447" s="14"/>
      <c r="Q5447" s="14"/>
      <c r="R5447" s="37"/>
      <c r="S5447" s="29"/>
      <c r="T5447" s="28"/>
    </row>
    <row r="5448" spans="13:20" x14ac:dyDescent="0.25">
      <c r="M5448" s="21"/>
      <c r="N5448" s="21"/>
      <c r="O5448" s="21"/>
      <c r="P5448" s="14"/>
      <c r="Q5448" s="21"/>
      <c r="R5448" s="28"/>
      <c r="S5448" s="29"/>
      <c r="T5448" s="28"/>
    </row>
    <row r="5449" spans="13:20" x14ac:dyDescent="0.25">
      <c r="M5449" s="14"/>
      <c r="N5449" s="14"/>
      <c r="O5449" s="14"/>
      <c r="P5449" s="14"/>
      <c r="Q5449" s="14"/>
      <c r="R5449" s="14"/>
      <c r="S5449" s="26"/>
      <c r="T5449" s="26"/>
    </row>
    <row r="5450" spans="13:20" ht="13.8" x14ac:dyDescent="0.25">
      <c r="M5450" s="30"/>
      <c r="N5450" s="30"/>
      <c r="O5450" s="30"/>
      <c r="P5450" s="14"/>
      <c r="Q5450" s="14"/>
      <c r="R5450" s="27"/>
      <c r="S5450" s="26"/>
      <c r="T5450" s="26"/>
    </row>
    <row r="5451" spans="13:20" x14ac:dyDescent="0.25">
      <c r="M5451" s="14"/>
      <c r="N5451" s="14"/>
      <c r="O5451" s="14"/>
      <c r="P5451" s="14"/>
      <c r="Q5451" s="14"/>
      <c r="R5451" s="14"/>
      <c r="S5451" s="14"/>
      <c r="T5451" s="14"/>
    </row>
    <row r="5452" spans="13:20" x14ac:dyDescent="0.25">
      <c r="M5452" s="21"/>
      <c r="N5452" s="21"/>
      <c r="O5452" s="21"/>
      <c r="P5452" s="21"/>
      <c r="Q5452" s="21"/>
      <c r="R5452" s="27"/>
      <c r="S5452" s="29"/>
      <c r="T5452" s="29"/>
    </row>
    <row r="5453" spans="13:20" x14ac:dyDescent="0.25">
      <c r="M5453" s="21"/>
      <c r="N5453" s="21"/>
      <c r="O5453" s="21"/>
      <c r="P5453" s="14"/>
      <c r="Q5453" s="21"/>
      <c r="R5453" s="28"/>
      <c r="S5453" s="29"/>
      <c r="T5453" s="29"/>
    </row>
    <row r="5454" spans="13:20" x14ac:dyDescent="0.25">
      <c r="M5454" s="21"/>
      <c r="N5454" s="21"/>
      <c r="O5454" s="21"/>
      <c r="P5454" s="14"/>
      <c r="Q5454" s="21"/>
      <c r="R5454" s="28"/>
      <c r="S5454" s="29"/>
      <c r="T5454" s="29"/>
    </row>
    <row r="5455" spans="13:20" ht="14.4" x14ac:dyDescent="0.3">
      <c r="M5455" s="32"/>
      <c r="N5455" s="32"/>
      <c r="O5455" s="32"/>
      <c r="P5455" s="33"/>
      <c r="Q5455" s="32"/>
      <c r="R5455" s="27"/>
      <c r="S5455" s="29"/>
      <c r="T5455" s="29"/>
    </row>
    <row r="5456" spans="13:20" x14ac:dyDescent="0.25">
      <c r="M5456" s="32"/>
      <c r="N5456" s="32"/>
      <c r="O5456" s="32"/>
      <c r="P5456" s="21"/>
      <c r="Q5456" s="32"/>
      <c r="R5456" s="27"/>
      <c r="S5456" s="29"/>
      <c r="T5456" s="29"/>
    </row>
    <row r="5457" spans="13:20" x14ac:dyDescent="0.25">
      <c r="M5457" s="32"/>
      <c r="N5457" s="32"/>
      <c r="O5457" s="32"/>
      <c r="P5457" s="34"/>
      <c r="Q5457" s="32"/>
      <c r="R5457" s="27"/>
      <c r="S5457" s="14"/>
      <c r="T5457" s="29"/>
    </row>
    <row r="5458" spans="13:20" x14ac:dyDescent="0.25">
      <c r="M5458" s="32"/>
      <c r="N5458" s="32"/>
      <c r="O5458" s="32"/>
      <c r="P5458" s="34"/>
      <c r="Q5458" s="32"/>
      <c r="R5458" s="27"/>
      <c r="S5458" s="14"/>
      <c r="T5458" s="29"/>
    </row>
    <row r="5459" spans="13:20" x14ac:dyDescent="0.25">
      <c r="M5459" s="32"/>
      <c r="N5459" s="32"/>
      <c r="O5459" s="32"/>
      <c r="P5459" s="34"/>
      <c r="Q5459" s="32"/>
      <c r="R5459" s="27"/>
      <c r="S5459" s="14"/>
      <c r="T5459" s="14"/>
    </row>
    <row r="5460" spans="13:20" x14ac:dyDescent="0.25">
      <c r="M5460" s="32"/>
      <c r="N5460" s="32"/>
      <c r="O5460" s="32"/>
      <c r="P5460" s="35"/>
      <c r="Q5460" s="32"/>
      <c r="R5460" s="27"/>
      <c r="S5460" s="21"/>
      <c r="T5460" s="14"/>
    </row>
    <row r="5461" spans="13:20" x14ac:dyDescent="0.25">
      <c r="M5461" s="36"/>
      <c r="N5461" s="36"/>
      <c r="O5461" s="36"/>
      <c r="P5461" s="14"/>
      <c r="Q5461" s="14"/>
      <c r="R5461" s="37"/>
      <c r="S5461" s="29"/>
      <c r="T5461" s="28"/>
    </row>
    <row r="5462" spans="13:20" x14ac:dyDescent="0.25">
      <c r="M5462" s="21"/>
      <c r="N5462" s="21"/>
      <c r="O5462" s="21"/>
      <c r="P5462" s="14"/>
      <c r="Q5462" s="21"/>
      <c r="R5462" s="28"/>
      <c r="S5462" s="29"/>
      <c r="T5462" s="28"/>
    </row>
    <row r="5463" spans="13:20" x14ac:dyDescent="0.25">
      <c r="M5463" s="14"/>
      <c r="N5463" s="14"/>
      <c r="O5463" s="14"/>
      <c r="P5463" s="14"/>
      <c r="Q5463" s="14"/>
      <c r="R5463" s="14"/>
      <c r="S5463" s="26"/>
      <c r="T5463" s="26"/>
    </row>
    <row r="5464" spans="13:20" ht="13.8" x14ac:dyDescent="0.25">
      <c r="M5464" s="30"/>
      <c r="N5464" s="30"/>
      <c r="O5464" s="30"/>
      <c r="P5464" s="14"/>
      <c r="Q5464" s="14"/>
      <c r="R5464" s="27"/>
      <c r="S5464" s="26"/>
      <c r="T5464" s="26"/>
    </row>
    <row r="5465" spans="13:20" x14ac:dyDescent="0.25">
      <c r="M5465" s="14"/>
      <c r="N5465" s="14"/>
      <c r="O5465" s="14"/>
      <c r="P5465" s="14"/>
      <c r="Q5465" s="14"/>
      <c r="R5465" s="14"/>
      <c r="S5465" s="14"/>
      <c r="T5465" s="14"/>
    </row>
    <row r="5466" spans="13:20" x14ac:dyDescent="0.25">
      <c r="M5466" s="21"/>
      <c r="N5466" s="21"/>
      <c r="O5466" s="21"/>
      <c r="P5466" s="21"/>
      <c r="Q5466" s="21"/>
      <c r="R5466" s="27"/>
      <c r="S5466" s="29"/>
      <c r="T5466" s="29"/>
    </row>
    <row r="5467" spans="13:20" x14ac:dyDescent="0.25">
      <c r="M5467" s="21"/>
      <c r="N5467" s="21"/>
      <c r="O5467" s="21"/>
      <c r="P5467" s="14"/>
      <c r="Q5467" s="21"/>
      <c r="R5467" s="28"/>
      <c r="S5467" s="29"/>
      <c r="T5467" s="29"/>
    </row>
    <row r="5468" spans="13:20" x14ac:dyDescent="0.25">
      <c r="M5468" s="21"/>
      <c r="N5468" s="21"/>
      <c r="O5468" s="21"/>
      <c r="P5468" s="14"/>
      <c r="Q5468" s="21"/>
      <c r="R5468" s="28"/>
      <c r="S5468" s="29"/>
      <c r="T5468" s="29"/>
    </row>
    <row r="5469" spans="13:20" ht="14.4" x14ac:dyDescent="0.3">
      <c r="M5469" s="32"/>
      <c r="N5469" s="32"/>
      <c r="O5469" s="32"/>
      <c r="P5469" s="33"/>
      <c r="Q5469" s="32"/>
      <c r="R5469" s="27"/>
      <c r="S5469" s="29"/>
      <c r="T5469" s="29"/>
    </row>
    <row r="5470" spans="13:20" x14ac:dyDescent="0.25">
      <c r="M5470" s="32"/>
      <c r="N5470" s="32"/>
      <c r="O5470" s="32"/>
      <c r="P5470" s="21"/>
      <c r="Q5470" s="32"/>
      <c r="R5470" s="27"/>
      <c r="S5470" s="29"/>
      <c r="T5470" s="29"/>
    </row>
    <row r="5471" spans="13:20" x14ac:dyDescent="0.25">
      <c r="M5471" s="32"/>
      <c r="N5471" s="32"/>
      <c r="O5471" s="32"/>
      <c r="P5471" s="34"/>
      <c r="Q5471" s="32"/>
      <c r="R5471" s="27"/>
      <c r="S5471" s="14"/>
      <c r="T5471" s="29"/>
    </row>
    <row r="5472" spans="13:20" x14ac:dyDescent="0.25">
      <c r="M5472" s="32"/>
      <c r="N5472" s="32"/>
      <c r="O5472" s="32"/>
      <c r="P5472" s="34"/>
      <c r="Q5472" s="32"/>
      <c r="R5472" s="27"/>
      <c r="S5472" s="14"/>
      <c r="T5472" s="29"/>
    </row>
    <row r="5473" spans="13:20" x14ac:dyDescent="0.25">
      <c r="M5473" s="32"/>
      <c r="N5473" s="32"/>
      <c r="O5473" s="32"/>
      <c r="P5473" s="34"/>
      <c r="Q5473" s="32"/>
      <c r="R5473" s="27"/>
      <c r="S5473" s="14"/>
      <c r="T5473" s="14"/>
    </row>
    <row r="5474" spans="13:20" x14ac:dyDescent="0.25">
      <c r="M5474" s="32"/>
      <c r="N5474" s="32"/>
      <c r="O5474" s="32"/>
      <c r="P5474" s="35"/>
      <c r="Q5474" s="32"/>
      <c r="R5474" s="27"/>
      <c r="S5474" s="21"/>
      <c r="T5474" s="14"/>
    </row>
    <row r="5475" spans="13:20" x14ac:dyDescent="0.25">
      <c r="M5475" s="36"/>
      <c r="N5475" s="36"/>
      <c r="O5475" s="36"/>
      <c r="P5475" s="14"/>
      <c r="Q5475" s="14"/>
      <c r="R5475" s="37"/>
      <c r="S5475" s="29"/>
      <c r="T5475" s="28"/>
    </row>
    <row r="5476" spans="13:20" x14ac:dyDescent="0.25">
      <c r="M5476" s="21"/>
      <c r="N5476" s="21"/>
      <c r="O5476" s="21"/>
      <c r="P5476" s="14"/>
      <c r="Q5476" s="21"/>
      <c r="R5476" s="28"/>
      <c r="S5476" s="29"/>
      <c r="T5476" s="28"/>
    </row>
    <row r="5477" spans="13:20" x14ac:dyDescent="0.25">
      <c r="M5477" s="14"/>
      <c r="N5477" s="14"/>
      <c r="O5477" s="14"/>
      <c r="P5477" s="14"/>
      <c r="Q5477" s="14"/>
      <c r="R5477" s="14"/>
      <c r="S5477" s="26"/>
      <c r="T5477" s="26"/>
    </row>
    <row r="5478" spans="13:20" ht="13.8" x14ac:dyDescent="0.25">
      <c r="M5478" s="30"/>
      <c r="N5478" s="30"/>
      <c r="O5478" s="30"/>
      <c r="P5478" s="14"/>
      <c r="Q5478" s="14"/>
      <c r="R5478" s="27"/>
      <c r="S5478" s="26"/>
      <c r="T5478" s="26"/>
    </row>
    <row r="5479" spans="13:20" x14ac:dyDescent="0.25">
      <c r="M5479" s="14"/>
      <c r="N5479" s="14"/>
      <c r="O5479" s="14"/>
      <c r="P5479" s="14"/>
      <c r="Q5479" s="14"/>
      <c r="R5479" s="14"/>
      <c r="S5479" s="14"/>
      <c r="T5479" s="14"/>
    </row>
    <row r="5480" spans="13:20" x14ac:dyDescent="0.25">
      <c r="M5480" s="21"/>
      <c r="N5480" s="21"/>
      <c r="O5480" s="21"/>
      <c r="P5480" s="21"/>
      <c r="Q5480" s="21"/>
      <c r="R5480" s="27"/>
      <c r="S5480" s="29"/>
      <c r="T5480" s="29"/>
    </row>
    <row r="5481" spans="13:20" x14ac:dyDescent="0.25">
      <c r="M5481" s="21"/>
      <c r="N5481" s="21"/>
      <c r="O5481" s="21"/>
      <c r="P5481" s="14"/>
      <c r="Q5481" s="21"/>
      <c r="R5481" s="28"/>
      <c r="S5481" s="29"/>
      <c r="T5481" s="29"/>
    </row>
    <row r="5482" spans="13:20" x14ac:dyDescent="0.25">
      <c r="M5482" s="21"/>
      <c r="N5482" s="21"/>
      <c r="O5482" s="21"/>
      <c r="P5482" s="14"/>
      <c r="Q5482" s="21"/>
      <c r="R5482" s="28"/>
      <c r="S5482" s="29"/>
      <c r="T5482" s="29"/>
    </row>
    <row r="5483" spans="13:20" ht="14.4" x14ac:dyDescent="0.3">
      <c r="M5483" s="32"/>
      <c r="N5483" s="32"/>
      <c r="O5483" s="32"/>
      <c r="P5483" s="33"/>
      <c r="Q5483" s="32"/>
      <c r="R5483" s="27"/>
      <c r="S5483" s="29"/>
      <c r="T5483" s="29"/>
    </row>
    <row r="5484" spans="13:20" x14ac:dyDescent="0.25">
      <c r="M5484" s="32"/>
      <c r="N5484" s="32"/>
      <c r="O5484" s="32"/>
      <c r="P5484" s="21"/>
      <c r="Q5484" s="32"/>
      <c r="R5484" s="27"/>
      <c r="S5484" s="29"/>
      <c r="T5484" s="29"/>
    </row>
    <row r="5485" spans="13:20" x14ac:dyDescent="0.25">
      <c r="M5485" s="32"/>
      <c r="N5485" s="32"/>
      <c r="O5485" s="32"/>
      <c r="P5485" s="34"/>
      <c r="Q5485" s="32"/>
      <c r="R5485" s="27"/>
      <c r="S5485" s="14"/>
      <c r="T5485" s="29"/>
    </row>
    <row r="5486" spans="13:20" x14ac:dyDescent="0.25">
      <c r="M5486" s="32"/>
      <c r="N5486" s="32"/>
      <c r="O5486" s="32"/>
      <c r="P5486" s="34"/>
      <c r="Q5486" s="32"/>
      <c r="R5486" s="27"/>
      <c r="S5486" s="14"/>
      <c r="T5486" s="29"/>
    </row>
    <row r="5487" spans="13:20" x14ac:dyDescent="0.25">
      <c r="M5487" s="32"/>
      <c r="N5487" s="32"/>
      <c r="O5487" s="32"/>
      <c r="P5487" s="34"/>
      <c r="Q5487" s="32"/>
      <c r="R5487" s="27"/>
      <c r="S5487" s="14"/>
      <c r="T5487" s="14"/>
    </row>
    <row r="5488" spans="13:20" x14ac:dyDescent="0.25">
      <c r="M5488" s="32"/>
      <c r="N5488" s="32"/>
      <c r="O5488" s="32"/>
      <c r="P5488" s="35"/>
      <c r="Q5488" s="32"/>
      <c r="R5488" s="27"/>
      <c r="S5488" s="21"/>
      <c r="T5488" s="14"/>
    </row>
    <row r="5489" spans="13:20" x14ac:dyDescent="0.25">
      <c r="M5489" s="36"/>
      <c r="N5489" s="36"/>
      <c r="O5489" s="36"/>
      <c r="P5489" s="14"/>
      <c r="Q5489" s="14"/>
      <c r="R5489" s="37"/>
      <c r="S5489" s="29"/>
      <c r="T5489" s="28"/>
    </row>
    <row r="5490" spans="13:20" ht="13.8" x14ac:dyDescent="0.25">
      <c r="M5490" s="21"/>
      <c r="N5490" s="21"/>
      <c r="O5490" s="21"/>
      <c r="P5490" s="21"/>
      <c r="Q5490" s="21"/>
      <c r="R5490" s="24"/>
      <c r="S5490" s="24"/>
      <c r="T5490" s="25"/>
    </row>
    <row r="5491" spans="13:20" x14ac:dyDescent="0.25">
      <c r="M5491" s="14"/>
      <c r="N5491" s="14"/>
      <c r="O5491" s="14"/>
      <c r="P5491" s="14"/>
      <c r="Q5491" s="14"/>
      <c r="R5491" s="14"/>
      <c r="S5491" s="26"/>
      <c r="T5491" s="26"/>
    </row>
    <row r="5492" spans="13:20" ht="13.8" x14ac:dyDescent="0.25">
      <c r="M5492" s="30"/>
      <c r="N5492" s="30"/>
      <c r="O5492" s="30"/>
      <c r="P5492" s="14"/>
      <c r="Q5492" s="14"/>
      <c r="R5492" s="27"/>
      <c r="S5492" s="26"/>
      <c r="T5492" s="26"/>
    </row>
    <row r="5493" spans="13:20" x14ac:dyDescent="0.25">
      <c r="M5493" s="14"/>
      <c r="N5493" s="14"/>
      <c r="O5493" s="14"/>
      <c r="P5493" s="14"/>
      <c r="Q5493" s="14"/>
      <c r="R5493" s="14"/>
      <c r="S5493" s="14"/>
      <c r="T5493" s="14"/>
    </row>
    <row r="5494" spans="13:20" x14ac:dyDescent="0.25">
      <c r="M5494" s="21"/>
      <c r="N5494" s="21"/>
      <c r="O5494" s="21"/>
      <c r="P5494" s="21"/>
      <c r="Q5494" s="21"/>
      <c r="R5494" s="27"/>
      <c r="S5494" s="29"/>
      <c r="T5494" s="29"/>
    </row>
    <row r="5495" spans="13:20" x14ac:dyDescent="0.25">
      <c r="M5495" s="21"/>
      <c r="N5495" s="21"/>
      <c r="O5495" s="21"/>
      <c r="P5495" s="14"/>
      <c r="Q5495" s="21"/>
      <c r="R5495" s="28"/>
      <c r="S5495" s="29"/>
      <c r="T5495" s="29"/>
    </row>
    <row r="5496" spans="13:20" x14ac:dyDescent="0.25">
      <c r="M5496" s="21"/>
      <c r="N5496" s="21"/>
      <c r="O5496" s="21"/>
      <c r="P5496" s="14"/>
      <c r="Q5496" s="21"/>
      <c r="R5496" s="28"/>
      <c r="S5496" s="29"/>
      <c r="T5496" s="29"/>
    </row>
    <row r="5497" spans="13:20" ht="14.4" x14ac:dyDescent="0.3">
      <c r="M5497" s="32"/>
      <c r="N5497" s="32"/>
      <c r="O5497" s="32"/>
      <c r="P5497" s="33"/>
      <c r="Q5497" s="32"/>
      <c r="R5497" s="27"/>
      <c r="S5497" s="29"/>
      <c r="T5497" s="29"/>
    </row>
    <row r="5498" spans="13:20" x14ac:dyDescent="0.25">
      <c r="M5498" s="32"/>
      <c r="N5498" s="32"/>
      <c r="O5498" s="32"/>
      <c r="P5498" s="21"/>
      <c r="Q5498" s="32"/>
      <c r="R5498" s="27"/>
      <c r="S5498" s="29"/>
      <c r="T5498" s="29"/>
    </row>
    <row r="5499" spans="13:20" x14ac:dyDescent="0.25">
      <c r="M5499" s="32"/>
      <c r="N5499" s="32"/>
      <c r="O5499" s="32"/>
      <c r="P5499" s="34"/>
      <c r="Q5499" s="32"/>
      <c r="R5499" s="27"/>
      <c r="S5499" s="14"/>
      <c r="T5499" s="29"/>
    </row>
    <row r="5500" spans="13:20" x14ac:dyDescent="0.25">
      <c r="M5500" s="32"/>
      <c r="N5500" s="32"/>
      <c r="O5500" s="32"/>
      <c r="P5500" s="34"/>
      <c r="Q5500" s="32"/>
      <c r="R5500" s="27"/>
      <c r="S5500" s="14"/>
      <c r="T5500" s="29"/>
    </row>
    <row r="5501" spans="13:20" x14ac:dyDescent="0.25">
      <c r="M5501" s="32"/>
      <c r="N5501" s="32"/>
      <c r="O5501" s="32"/>
      <c r="P5501" s="34"/>
      <c r="Q5501" s="32"/>
      <c r="R5501" s="27"/>
      <c r="S5501" s="14"/>
      <c r="T5501" s="14"/>
    </row>
    <row r="5502" spans="13:20" x14ac:dyDescent="0.25">
      <c r="M5502" s="32"/>
      <c r="N5502" s="32"/>
      <c r="O5502" s="32"/>
      <c r="P5502" s="35"/>
      <c r="Q5502" s="32"/>
      <c r="R5502" s="27"/>
      <c r="S5502" s="21"/>
      <c r="T5502" s="14"/>
    </row>
    <row r="5503" spans="13:20" x14ac:dyDescent="0.25">
      <c r="M5503" s="36"/>
      <c r="N5503" s="36"/>
      <c r="O5503" s="36"/>
      <c r="P5503" s="14"/>
      <c r="Q5503" s="14"/>
      <c r="R5503" s="37"/>
      <c r="S5503" s="29"/>
      <c r="T5503" s="28"/>
    </row>
    <row r="5504" spans="13:20" x14ac:dyDescent="0.25">
      <c r="M5504" s="21"/>
      <c r="N5504" s="21"/>
      <c r="O5504" s="21"/>
      <c r="P5504" s="14"/>
      <c r="Q5504" s="21"/>
      <c r="R5504" s="28"/>
      <c r="S5504" s="29"/>
      <c r="T5504" s="28"/>
    </row>
    <row r="5505" spans="13:20" x14ac:dyDescent="0.25">
      <c r="M5505" s="14"/>
      <c r="N5505" s="14"/>
      <c r="O5505" s="14"/>
      <c r="P5505" s="14"/>
      <c r="Q5505" s="14"/>
      <c r="R5505" s="14"/>
      <c r="S5505" s="26"/>
      <c r="T5505" s="26"/>
    </row>
    <row r="5506" spans="13:20" ht="13.8" x14ac:dyDescent="0.25">
      <c r="M5506" s="30"/>
      <c r="N5506" s="30"/>
      <c r="O5506" s="30"/>
      <c r="P5506" s="14"/>
      <c r="Q5506" s="14"/>
      <c r="R5506" s="27"/>
      <c r="S5506" s="26"/>
      <c r="T5506" s="26"/>
    </row>
    <row r="5507" spans="13:20" x14ac:dyDescent="0.25">
      <c r="M5507" s="14"/>
      <c r="N5507" s="14"/>
      <c r="O5507" s="14"/>
      <c r="P5507" s="14"/>
      <c r="Q5507" s="14"/>
      <c r="R5507" s="14"/>
      <c r="S5507" s="14"/>
      <c r="T5507" s="14"/>
    </row>
    <row r="5508" spans="13:20" x14ac:dyDescent="0.25">
      <c r="M5508" s="21"/>
      <c r="N5508" s="21"/>
      <c r="O5508" s="21"/>
      <c r="P5508" s="21"/>
      <c r="Q5508" s="21"/>
      <c r="R5508" s="27"/>
      <c r="S5508" s="29"/>
      <c r="T5508" s="29"/>
    </row>
    <row r="5509" spans="13:20" x14ac:dyDescent="0.25">
      <c r="M5509" s="21"/>
      <c r="N5509" s="21"/>
      <c r="O5509" s="21"/>
      <c r="P5509" s="14"/>
      <c r="Q5509" s="21"/>
      <c r="R5509" s="28"/>
      <c r="S5509" s="29"/>
      <c r="T5509" s="29"/>
    </row>
    <row r="5510" spans="13:20" x14ac:dyDescent="0.25">
      <c r="M5510" s="21"/>
      <c r="N5510" s="21"/>
      <c r="O5510" s="21"/>
      <c r="P5510" s="14"/>
      <c r="Q5510" s="21"/>
      <c r="R5510" s="28"/>
      <c r="S5510" s="29"/>
      <c r="T5510" s="29"/>
    </row>
    <row r="5511" spans="13:20" ht="14.4" x14ac:dyDescent="0.3">
      <c r="M5511" s="32"/>
      <c r="N5511" s="32"/>
      <c r="O5511" s="32"/>
      <c r="P5511" s="33"/>
      <c r="Q5511" s="32"/>
      <c r="R5511" s="27"/>
      <c r="S5511" s="29"/>
      <c r="T5511" s="29"/>
    </row>
    <row r="5512" spans="13:20" x14ac:dyDescent="0.25">
      <c r="M5512" s="32"/>
      <c r="N5512" s="32"/>
      <c r="O5512" s="32"/>
      <c r="P5512" s="21"/>
      <c r="Q5512" s="32"/>
      <c r="R5512" s="27"/>
      <c r="S5512" s="29"/>
      <c r="T5512" s="29"/>
    </row>
    <row r="5513" spans="13:20" x14ac:dyDescent="0.25">
      <c r="M5513" s="32"/>
      <c r="N5513" s="32"/>
      <c r="O5513" s="32"/>
      <c r="P5513" s="34"/>
      <c r="Q5513" s="32"/>
      <c r="R5513" s="27"/>
      <c r="S5513" s="14"/>
      <c r="T5513" s="29"/>
    </row>
    <row r="5514" spans="13:20" x14ac:dyDescent="0.25">
      <c r="M5514" s="32"/>
      <c r="N5514" s="32"/>
      <c r="O5514" s="32"/>
      <c r="P5514" s="34"/>
      <c r="Q5514" s="32"/>
      <c r="R5514" s="27"/>
      <c r="S5514" s="14"/>
      <c r="T5514" s="29"/>
    </row>
    <row r="5515" spans="13:20" x14ac:dyDescent="0.25">
      <c r="M5515" s="32"/>
      <c r="N5515" s="32"/>
      <c r="O5515" s="32"/>
      <c r="P5515" s="34"/>
      <c r="Q5515" s="32"/>
      <c r="R5515" s="27"/>
      <c r="S5515" s="14"/>
      <c r="T5515" s="14"/>
    </row>
    <row r="5516" spans="13:20" x14ac:dyDescent="0.25">
      <c r="M5516" s="32"/>
      <c r="N5516" s="32"/>
      <c r="O5516" s="32"/>
      <c r="P5516" s="35"/>
      <c r="Q5516" s="32"/>
      <c r="R5516" s="27"/>
      <c r="S5516" s="21"/>
      <c r="T5516" s="14"/>
    </row>
    <row r="5517" spans="13:20" x14ac:dyDescent="0.25">
      <c r="M5517" s="36"/>
      <c r="N5517" s="36"/>
      <c r="O5517" s="36"/>
      <c r="P5517" s="14"/>
      <c r="Q5517" s="14"/>
      <c r="R5517" s="37"/>
      <c r="S5517" s="29"/>
      <c r="T5517" s="28"/>
    </row>
    <row r="5518" spans="13:20" x14ac:dyDescent="0.25">
      <c r="M5518" s="21"/>
      <c r="N5518" s="21"/>
      <c r="O5518" s="21"/>
      <c r="P5518" s="14"/>
      <c r="Q5518" s="21"/>
      <c r="R5518" s="28"/>
      <c r="S5518" s="29"/>
      <c r="T5518" s="28"/>
    </row>
    <row r="5519" spans="13:20" x14ac:dyDescent="0.25">
      <c r="M5519" s="14"/>
      <c r="N5519" s="14"/>
      <c r="O5519" s="14"/>
      <c r="P5519" s="14"/>
      <c r="Q5519" s="14"/>
      <c r="R5519" s="14"/>
      <c r="S5519" s="26"/>
      <c r="T5519" s="26"/>
    </row>
    <row r="5520" spans="13:20" ht="13.8" x14ac:dyDescent="0.25">
      <c r="M5520" s="30"/>
      <c r="N5520" s="30"/>
      <c r="O5520" s="30"/>
      <c r="P5520" s="14"/>
      <c r="Q5520" s="14"/>
      <c r="R5520" s="27"/>
      <c r="S5520" s="26"/>
      <c r="T5520" s="26"/>
    </row>
    <row r="5521" spans="13:20" x14ac:dyDescent="0.25">
      <c r="M5521" s="14"/>
      <c r="N5521" s="14"/>
      <c r="O5521" s="14"/>
      <c r="P5521" s="14"/>
      <c r="Q5521" s="14"/>
      <c r="R5521" s="14"/>
      <c r="S5521" s="14"/>
      <c r="T5521" s="14"/>
    </row>
    <row r="5522" spans="13:20" x14ac:dyDescent="0.25">
      <c r="M5522" s="21"/>
      <c r="N5522" s="21"/>
      <c r="O5522" s="21"/>
      <c r="P5522" s="21"/>
      <c r="Q5522" s="21"/>
      <c r="R5522" s="27"/>
      <c r="S5522" s="29"/>
      <c r="T5522" s="29"/>
    </row>
    <row r="5523" spans="13:20" x14ac:dyDescent="0.25">
      <c r="M5523" s="21"/>
      <c r="N5523" s="21"/>
      <c r="O5523" s="21"/>
      <c r="P5523" s="14"/>
      <c r="Q5523" s="21"/>
      <c r="R5523" s="28"/>
      <c r="S5523" s="29"/>
      <c r="T5523" s="29"/>
    </row>
    <row r="5524" spans="13:20" x14ac:dyDescent="0.25">
      <c r="M5524" s="21"/>
      <c r="N5524" s="21"/>
      <c r="O5524" s="21"/>
      <c r="P5524" s="14"/>
      <c r="Q5524" s="21"/>
      <c r="R5524" s="28"/>
      <c r="S5524" s="29"/>
      <c r="T5524" s="29"/>
    </row>
    <row r="5525" spans="13:20" ht="14.4" x14ac:dyDescent="0.3">
      <c r="M5525" s="32"/>
      <c r="N5525" s="32"/>
      <c r="O5525" s="32"/>
      <c r="P5525" s="33"/>
      <c r="Q5525" s="32"/>
      <c r="R5525" s="27"/>
      <c r="S5525" s="29"/>
      <c r="T5525" s="29"/>
    </row>
    <row r="5526" spans="13:20" x14ac:dyDescent="0.25">
      <c r="M5526" s="32"/>
      <c r="N5526" s="32"/>
      <c r="O5526" s="32"/>
      <c r="P5526" s="21"/>
      <c r="Q5526" s="32"/>
      <c r="R5526" s="27"/>
      <c r="S5526" s="29"/>
      <c r="T5526" s="29"/>
    </row>
    <row r="5527" spans="13:20" x14ac:dyDescent="0.25">
      <c r="M5527" s="32"/>
      <c r="N5527" s="32"/>
      <c r="O5527" s="32"/>
      <c r="P5527" s="34"/>
      <c r="Q5527" s="32"/>
      <c r="R5527" s="27"/>
      <c r="S5527" s="14"/>
      <c r="T5527" s="29"/>
    </row>
    <row r="5528" spans="13:20" x14ac:dyDescent="0.25">
      <c r="M5528" s="32"/>
      <c r="N5528" s="32"/>
      <c r="O5528" s="32"/>
      <c r="P5528" s="34"/>
      <c r="Q5528" s="32"/>
      <c r="R5528" s="27"/>
      <c r="S5528" s="14"/>
      <c r="T5528" s="29"/>
    </row>
    <row r="5529" spans="13:20" x14ac:dyDescent="0.25">
      <c r="M5529" s="32"/>
      <c r="N5529" s="32"/>
      <c r="O5529" s="32"/>
      <c r="P5529" s="34"/>
      <c r="Q5529" s="32"/>
      <c r="R5529" s="27"/>
      <c r="S5529" s="14"/>
      <c r="T5529" s="14"/>
    </row>
    <row r="5530" spans="13:20" x14ac:dyDescent="0.25">
      <c r="M5530" s="32"/>
      <c r="N5530" s="32"/>
      <c r="O5530" s="32"/>
      <c r="P5530" s="35"/>
      <c r="Q5530" s="32"/>
      <c r="R5530" s="27"/>
      <c r="S5530" s="21"/>
      <c r="T5530" s="14"/>
    </row>
    <row r="5531" spans="13:20" x14ac:dyDescent="0.25">
      <c r="M5531" s="36"/>
      <c r="N5531" s="36"/>
      <c r="O5531" s="36"/>
      <c r="P5531" s="14"/>
      <c r="Q5531" s="14"/>
      <c r="R5531" s="37"/>
      <c r="S5531" s="29"/>
      <c r="T5531" s="28"/>
    </row>
    <row r="5532" spans="13:20" x14ac:dyDescent="0.25">
      <c r="M5532" s="21"/>
      <c r="N5532" s="21"/>
      <c r="O5532" s="21"/>
      <c r="P5532" s="14"/>
      <c r="Q5532" s="21"/>
      <c r="R5532" s="28"/>
      <c r="S5532" s="29"/>
      <c r="T5532" s="28"/>
    </row>
    <row r="5533" spans="13:20" x14ac:dyDescent="0.25">
      <c r="M5533" s="14"/>
      <c r="N5533" s="14"/>
      <c r="O5533" s="14"/>
      <c r="P5533" s="14"/>
      <c r="Q5533" s="14"/>
      <c r="R5533" s="14"/>
      <c r="S5533" s="26"/>
      <c r="T5533" s="26"/>
    </row>
    <row r="5534" spans="13:20" ht="13.8" x14ac:dyDescent="0.25">
      <c r="M5534" s="30"/>
      <c r="N5534" s="30"/>
      <c r="O5534" s="30"/>
      <c r="P5534" s="14"/>
      <c r="Q5534" s="14"/>
      <c r="R5534" s="27"/>
      <c r="S5534" s="26"/>
      <c r="T5534" s="26"/>
    </row>
    <row r="5535" spans="13:20" x14ac:dyDescent="0.25">
      <c r="M5535" s="14"/>
      <c r="N5535" s="14"/>
      <c r="O5535" s="14"/>
      <c r="P5535" s="14"/>
      <c r="Q5535" s="14"/>
      <c r="R5535" s="14"/>
      <c r="S5535" s="14"/>
      <c r="T5535" s="14"/>
    </row>
    <row r="5536" spans="13:20" x14ac:dyDescent="0.25">
      <c r="M5536" s="21"/>
      <c r="N5536" s="21"/>
      <c r="O5536" s="21"/>
      <c r="P5536" s="21"/>
      <c r="Q5536" s="21"/>
      <c r="R5536" s="27"/>
      <c r="S5536" s="29"/>
      <c r="T5536" s="29"/>
    </row>
    <row r="5537" spans="13:20" x14ac:dyDescent="0.25">
      <c r="M5537" s="21"/>
      <c r="N5537" s="21"/>
      <c r="O5537" s="21"/>
      <c r="P5537" s="14"/>
      <c r="Q5537" s="21"/>
      <c r="R5537" s="28"/>
      <c r="S5537" s="29"/>
      <c r="T5537" s="29"/>
    </row>
    <row r="5538" spans="13:20" x14ac:dyDescent="0.25">
      <c r="M5538" s="21"/>
      <c r="N5538" s="21"/>
      <c r="O5538" s="21"/>
      <c r="P5538" s="14"/>
      <c r="Q5538" s="21"/>
      <c r="R5538" s="28"/>
      <c r="S5538" s="29"/>
      <c r="T5538" s="29"/>
    </row>
    <row r="5539" spans="13:20" ht="14.4" x14ac:dyDescent="0.3">
      <c r="M5539" s="32"/>
      <c r="N5539" s="32"/>
      <c r="O5539" s="32"/>
      <c r="P5539" s="33"/>
      <c r="Q5539" s="32"/>
      <c r="R5539" s="27"/>
      <c r="S5539" s="29"/>
      <c r="T5539" s="29"/>
    </row>
    <row r="5540" spans="13:20" x14ac:dyDescent="0.25">
      <c r="M5540" s="32"/>
      <c r="N5540" s="32"/>
      <c r="O5540" s="32"/>
      <c r="P5540" s="21"/>
      <c r="Q5540" s="32"/>
      <c r="R5540" s="27"/>
      <c r="S5540" s="29"/>
      <c r="T5540" s="29"/>
    </row>
    <row r="5541" spans="13:20" x14ac:dyDescent="0.25">
      <c r="M5541" s="32"/>
      <c r="N5541" s="32"/>
      <c r="O5541" s="32"/>
      <c r="P5541" s="34"/>
      <c r="Q5541" s="32"/>
      <c r="R5541" s="27"/>
      <c r="S5541" s="14"/>
      <c r="T5541" s="29"/>
    </row>
    <row r="5542" spans="13:20" x14ac:dyDescent="0.25">
      <c r="M5542" s="32"/>
      <c r="N5542" s="32"/>
      <c r="O5542" s="32"/>
      <c r="P5542" s="34"/>
      <c r="Q5542" s="32"/>
      <c r="R5542" s="27"/>
      <c r="S5542" s="14"/>
      <c r="T5542" s="29"/>
    </row>
    <row r="5543" spans="13:20" x14ac:dyDescent="0.25">
      <c r="M5543" s="32"/>
      <c r="N5543" s="32"/>
      <c r="O5543" s="32"/>
      <c r="P5543" s="34"/>
      <c r="Q5543" s="32"/>
      <c r="R5543" s="27"/>
      <c r="S5543" s="14"/>
      <c r="T5543" s="14"/>
    </row>
    <row r="5544" spans="13:20" x14ac:dyDescent="0.25">
      <c r="M5544" s="32"/>
      <c r="N5544" s="32"/>
      <c r="O5544" s="32"/>
      <c r="P5544" s="35"/>
      <c r="Q5544" s="32"/>
      <c r="R5544" s="27"/>
      <c r="S5544" s="21"/>
      <c r="T5544" s="14"/>
    </row>
    <row r="5545" spans="13:20" x14ac:dyDescent="0.25">
      <c r="M5545" s="36"/>
      <c r="N5545" s="36"/>
      <c r="O5545" s="36"/>
      <c r="P5545" s="14"/>
      <c r="Q5545" s="14"/>
      <c r="R5545" s="37"/>
      <c r="S5545" s="29"/>
      <c r="T5545" s="28"/>
    </row>
    <row r="5546" spans="13:20" x14ac:dyDescent="0.25">
      <c r="M5546" s="21"/>
      <c r="N5546" s="21"/>
      <c r="O5546" s="21"/>
      <c r="P5546" s="14"/>
      <c r="Q5546" s="21"/>
      <c r="R5546" s="28"/>
      <c r="S5546" s="29"/>
      <c r="T5546" s="28"/>
    </row>
    <row r="5547" spans="13:20" x14ac:dyDescent="0.25">
      <c r="M5547" s="14"/>
      <c r="N5547" s="14"/>
      <c r="O5547" s="14"/>
      <c r="P5547" s="14"/>
      <c r="Q5547" s="14"/>
      <c r="R5547" s="14"/>
      <c r="S5547" s="26"/>
      <c r="T5547" s="26"/>
    </row>
    <row r="5548" spans="13:20" ht="13.8" x14ac:dyDescent="0.25">
      <c r="M5548" s="30"/>
      <c r="N5548" s="30"/>
      <c r="O5548" s="30"/>
      <c r="P5548" s="14"/>
      <c r="Q5548" s="14"/>
      <c r="R5548" s="27"/>
      <c r="S5548" s="26"/>
      <c r="T5548" s="26"/>
    </row>
    <row r="5549" spans="13:20" x14ac:dyDescent="0.25">
      <c r="M5549" s="14"/>
      <c r="N5549" s="14"/>
      <c r="O5549" s="14"/>
      <c r="P5549" s="14"/>
      <c r="Q5549" s="14"/>
      <c r="R5549" s="14"/>
      <c r="S5549" s="14"/>
      <c r="T5549" s="14"/>
    </row>
    <row r="5550" spans="13:20" x14ac:dyDescent="0.25">
      <c r="M5550" s="21"/>
      <c r="N5550" s="21"/>
      <c r="O5550" s="21"/>
      <c r="P5550" s="21"/>
      <c r="Q5550" s="21"/>
      <c r="R5550" s="27"/>
      <c r="S5550" s="29"/>
      <c r="T5550" s="29"/>
    </row>
    <row r="5551" spans="13:20" x14ac:dyDescent="0.25">
      <c r="M5551" s="21"/>
      <c r="N5551" s="21"/>
      <c r="O5551" s="21"/>
      <c r="P5551" s="14"/>
      <c r="Q5551" s="21"/>
      <c r="R5551" s="28"/>
      <c r="S5551" s="29"/>
      <c r="T5551" s="29"/>
    </row>
    <row r="5552" spans="13:20" x14ac:dyDescent="0.25">
      <c r="M5552" s="21"/>
      <c r="N5552" s="21"/>
      <c r="O5552" s="21"/>
      <c r="P5552" s="14"/>
      <c r="Q5552" s="21"/>
      <c r="R5552" s="28"/>
      <c r="S5552" s="29"/>
      <c r="T5552" s="29"/>
    </row>
    <row r="5553" spans="13:20" ht="14.4" x14ac:dyDescent="0.3">
      <c r="M5553" s="32"/>
      <c r="N5553" s="32"/>
      <c r="O5553" s="32"/>
      <c r="P5553" s="33"/>
      <c r="Q5553" s="32"/>
      <c r="R5553" s="27"/>
      <c r="S5553" s="29"/>
      <c r="T5553" s="29"/>
    </row>
    <row r="5554" spans="13:20" x14ac:dyDescent="0.25">
      <c r="M5554" s="32"/>
      <c r="N5554" s="32"/>
      <c r="O5554" s="32"/>
      <c r="P5554" s="21"/>
      <c r="Q5554" s="32"/>
      <c r="R5554" s="27"/>
      <c r="S5554" s="29"/>
      <c r="T5554" s="29"/>
    </row>
    <row r="5555" spans="13:20" x14ac:dyDescent="0.25">
      <c r="M5555" s="32"/>
      <c r="N5555" s="32"/>
      <c r="O5555" s="32"/>
      <c r="P5555" s="34"/>
      <c r="Q5555" s="32"/>
      <c r="R5555" s="27"/>
      <c r="S5555" s="14"/>
      <c r="T5555" s="29"/>
    </row>
    <row r="5556" spans="13:20" x14ac:dyDescent="0.25">
      <c r="M5556" s="32"/>
      <c r="N5556" s="32"/>
      <c r="O5556" s="32"/>
      <c r="P5556" s="34"/>
      <c r="Q5556" s="32"/>
      <c r="R5556" s="27"/>
      <c r="S5556" s="14"/>
      <c r="T5556" s="29"/>
    </row>
    <row r="5557" spans="13:20" x14ac:dyDescent="0.25">
      <c r="M5557" s="32"/>
      <c r="N5557" s="32"/>
      <c r="O5557" s="32"/>
      <c r="P5557" s="34"/>
      <c r="Q5557" s="32"/>
      <c r="R5557" s="27"/>
      <c r="S5557" s="14"/>
      <c r="T5557" s="14"/>
    </row>
    <row r="5558" spans="13:20" x14ac:dyDescent="0.25">
      <c r="M5558" s="32"/>
      <c r="N5558" s="32"/>
      <c r="O5558" s="32"/>
      <c r="P5558" s="35"/>
      <c r="Q5558" s="32"/>
      <c r="R5558" s="27"/>
      <c r="S5558" s="21"/>
      <c r="T5558" s="14"/>
    </row>
    <row r="5559" spans="13:20" x14ac:dyDescent="0.25">
      <c r="M5559" s="36"/>
      <c r="N5559" s="36"/>
      <c r="O5559" s="36"/>
      <c r="P5559" s="14"/>
      <c r="Q5559" s="14"/>
      <c r="R5559" s="37"/>
      <c r="S5559" s="29"/>
      <c r="T5559" s="28"/>
    </row>
    <row r="5560" spans="13:20" x14ac:dyDescent="0.25">
      <c r="M5560" s="21"/>
      <c r="N5560" s="21"/>
      <c r="O5560" s="21"/>
      <c r="P5560" s="14"/>
      <c r="Q5560" s="21"/>
      <c r="R5560" s="28"/>
      <c r="S5560" s="29"/>
      <c r="T5560" s="28"/>
    </row>
    <row r="5561" spans="13:20" x14ac:dyDescent="0.25">
      <c r="M5561" s="14"/>
      <c r="N5561" s="14"/>
      <c r="O5561" s="14"/>
      <c r="P5561" s="14"/>
      <c r="Q5561" s="14"/>
      <c r="R5561" s="14"/>
      <c r="S5561" s="26"/>
      <c r="T5561" s="26"/>
    </row>
    <row r="5562" spans="13:20" ht="13.8" x14ac:dyDescent="0.25">
      <c r="M5562" s="30"/>
      <c r="N5562" s="30"/>
      <c r="O5562" s="30"/>
      <c r="P5562" s="14"/>
      <c r="Q5562" s="14"/>
      <c r="R5562" s="27"/>
      <c r="S5562" s="26"/>
      <c r="T5562" s="26"/>
    </row>
    <row r="5563" spans="13:20" x14ac:dyDescent="0.25">
      <c r="M5563" s="14"/>
      <c r="N5563" s="14"/>
      <c r="O5563" s="14"/>
      <c r="P5563" s="14"/>
      <c r="Q5563" s="14"/>
      <c r="R5563" s="14"/>
      <c r="S5563" s="14"/>
      <c r="T5563" s="14"/>
    </row>
    <row r="5564" spans="13:20" x14ac:dyDescent="0.25">
      <c r="M5564" s="21"/>
      <c r="N5564" s="21"/>
      <c r="O5564" s="21"/>
      <c r="P5564" s="21"/>
      <c r="Q5564" s="21"/>
      <c r="R5564" s="27"/>
      <c r="S5564" s="29"/>
      <c r="T5564" s="29"/>
    </row>
    <row r="5565" spans="13:20" x14ac:dyDescent="0.25">
      <c r="M5565" s="21"/>
      <c r="N5565" s="21"/>
      <c r="O5565" s="21"/>
      <c r="P5565" s="14"/>
      <c r="Q5565" s="21"/>
      <c r="R5565" s="28"/>
      <c r="S5565" s="29"/>
      <c r="T5565" s="29"/>
    </row>
    <row r="5566" spans="13:20" x14ac:dyDescent="0.25">
      <c r="M5566" s="21"/>
      <c r="N5566" s="21"/>
      <c r="O5566" s="21"/>
      <c r="P5566" s="14"/>
      <c r="Q5566" s="21"/>
      <c r="R5566" s="28"/>
      <c r="S5566" s="29"/>
      <c r="T5566" s="29"/>
    </row>
    <row r="5567" spans="13:20" ht="14.4" x14ac:dyDescent="0.3">
      <c r="M5567" s="32"/>
      <c r="N5567" s="32"/>
      <c r="O5567" s="32"/>
      <c r="P5567" s="33"/>
      <c r="Q5567" s="32"/>
      <c r="R5567" s="27"/>
      <c r="S5567" s="29"/>
      <c r="T5567" s="29"/>
    </row>
    <row r="5568" spans="13:20" x14ac:dyDescent="0.25">
      <c r="M5568" s="32"/>
      <c r="N5568" s="32"/>
      <c r="O5568" s="32"/>
      <c r="P5568" s="21"/>
      <c r="Q5568" s="32"/>
      <c r="R5568" s="27"/>
      <c r="S5568" s="29"/>
      <c r="T5568" s="29"/>
    </row>
    <row r="5569" spans="13:20" x14ac:dyDescent="0.25">
      <c r="M5569" s="32"/>
      <c r="N5569" s="32"/>
      <c r="O5569" s="32"/>
      <c r="P5569" s="34"/>
      <c r="Q5569" s="32"/>
      <c r="R5569" s="27"/>
      <c r="S5569" s="14"/>
      <c r="T5569" s="29"/>
    </row>
    <row r="5570" spans="13:20" x14ac:dyDescent="0.25">
      <c r="M5570" s="32"/>
      <c r="N5570" s="32"/>
      <c r="O5570" s="32"/>
      <c r="P5570" s="34"/>
      <c r="Q5570" s="32"/>
      <c r="R5570" s="27"/>
      <c r="S5570" s="14"/>
      <c r="T5570" s="29"/>
    </row>
    <row r="5571" spans="13:20" x14ac:dyDescent="0.25">
      <c r="M5571" s="32"/>
      <c r="N5571" s="32"/>
      <c r="O5571" s="32"/>
      <c r="P5571" s="34"/>
      <c r="Q5571" s="32"/>
      <c r="R5571" s="27"/>
      <c r="S5571" s="14"/>
      <c r="T5571" s="14"/>
    </row>
    <row r="5572" spans="13:20" x14ac:dyDescent="0.25">
      <c r="M5572" s="32"/>
      <c r="N5572" s="32"/>
      <c r="O5572" s="32"/>
      <c r="P5572" s="35"/>
      <c r="Q5572" s="32"/>
      <c r="R5572" s="27"/>
      <c r="S5572" s="21"/>
      <c r="T5572" s="14"/>
    </row>
    <row r="5573" spans="13:20" x14ac:dyDescent="0.25">
      <c r="M5573" s="36"/>
      <c r="N5573" s="36"/>
      <c r="O5573" s="36"/>
      <c r="P5573" s="14"/>
      <c r="Q5573" s="14"/>
      <c r="R5573" s="37"/>
      <c r="S5573" s="29"/>
      <c r="T5573" s="28"/>
    </row>
    <row r="5574" spans="13:20" x14ac:dyDescent="0.25">
      <c r="M5574" s="21"/>
      <c r="N5574" s="21"/>
      <c r="O5574" s="21"/>
      <c r="P5574" s="14"/>
      <c r="Q5574" s="21"/>
      <c r="R5574" s="28"/>
      <c r="S5574" s="29"/>
      <c r="T5574" s="28"/>
    </row>
    <row r="5575" spans="13:20" x14ac:dyDescent="0.25">
      <c r="M5575" s="14"/>
      <c r="N5575" s="14"/>
      <c r="O5575" s="14"/>
      <c r="P5575" s="14"/>
      <c r="Q5575" s="14"/>
      <c r="R5575" s="14"/>
      <c r="S5575" s="26"/>
      <c r="T5575" s="26"/>
    </row>
    <row r="5576" spans="13:20" ht="13.8" x14ac:dyDescent="0.25">
      <c r="M5576" s="30"/>
      <c r="N5576" s="30"/>
      <c r="O5576" s="30"/>
      <c r="P5576" s="14"/>
      <c r="Q5576" s="14"/>
      <c r="R5576" s="27"/>
      <c r="S5576" s="26"/>
      <c r="T5576" s="26"/>
    </row>
    <row r="5577" spans="13:20" x14ac:dyDescent="0.25">
      <c r="M5577" s="14"/>
      <c r="N5577" s="14"/>
      <c r="O5577" s="14"/>
      <c r="P5577" s="14"/>
      <c r="Q5577" s="14"/>
      <c r="R5577" s="14"/>
      <c r="S5577" s="14"/>
      <c r="T5577" s="14"/>
    </row>
    <row r="5578" spans="13:20" x14ac:dyDescent="0.25">
      <c r="M5578" s="21"/>
      <c r="N5578" s="21"/>
      <c r="O5578" s="21"/>
      <c r="P5578" s="21"/>
      <c r="Q5578" s="21"/>
      <c r="R5578" s="27"/>
      <c r="S5578" s="29"/>
      <c r="T5578" s="29"/>
    </row>
    <row r="5579" spans="13:20" x14ac:dyDescent="0.25">
      <c r="M5579" s="21"/>
      <c r="N5579" s="21"/>
      <c r="O5579" s="21"/>
      <c r="P5579" s="14"/>
      <c r="Q5579" s="21"/>
      <c r="R5579" s="28"/>
      <c r="S5579" s="29"/>
      <c r="T5579" s="29"/>
    </row>
    <row r="5580" spans="13:20" x14ac:dyDescent="0.25">
      <c r="M5580" s="21"/>
      <c r="N5580" s="21"/>
      <c r="O5580" s="21"/>
      <c r="P5580" s="14"/>
      <c r="Q5580" s="21"/>
      <c r="R5580" s="28"/>
      <c r="S5580" s="29"/>
      <c r="T5580" s="29"/>
    </row>
    <row r="5581" spans="13:20" ht="14.4" x14ac:dyDescent="0.3">
      <c r="M5581" s="32"/>
      <c r="N5581" s="32"/>
      <c r="O5581" s="32"/>
      <c r="P5581" s="33"/>
      <c r="Q5581" s="32"/>
      <c r="R5581" s="27"/>
      <c r="S5581" s="29"/>
      <c r="T5581" s="29"/>
    </row>
    <row r="5582" spans="13:20" x14ac:dyDescent="0.25">
      <c r="M5582" s="32"/>
      <c r="N5582" s="32"/>
      <c r="O5582" s="32"/>
      <c r="P5582" s="21"/>
      <c r="Q5582" s="32"/>
      <c r="R5582" s="27"/>
      <c r="S5582" s="29"/>
      <c r="T5582" s="29"/>
    </row>
    <row r="5583" spans="13:20" x14ac:dyDescent="0.25">
      <c r="M5583" s="32"/>
      <c r="N5583" s="32"/>
      <c r="O5583" s="32"/>
      <c r="P5583" s="34"/>
      <c r="Q5583" s="32"/>
      <c r="R5583" s="27"/>
      <c r="S5583" s="14"/>
      <c r="T5583" s="29"/>
    </row>
    <row r="5584" spans="13:20" x14ac:dyDescent="0.25">
      <c r="M5584" s="32"/>
      <c r="N5584" s="32"/>
      <c r="O5584" s="32"/>
      <c r="P5584" s="34"/>
      <c r="Q5584" s="32"/>
      <c r="R5584" s="27"/>
      <c r="S5584" s="14"/>
      <c r="T5584" s="29"/>
    </row>
    <row r="5585" spans="13:20" x14ac:dyDescent="0.25">
      <c r="M5585" s="32"/>
      <c r="N5585" s="32"/>
      <c r="O5585" s="32"/>
      <c r="P5585" s="34"/>
      <c r="Q5585" s="32"/>
      <c r="R5585" s="27"/>
      <c r="S5585" s="14"/>
      <c r="T5585" s="14"/>
    </row>
    <row r="5586" spans="13:20" x14ac:dyDescent="0.25">
      <c r="M5586" s="32"/>
      <c r="N5586" s="32"/>
      <c r="O5586" s="32"/>
      <c r="P5586" s="35"/>
      <c r="Q5586" s="32"/>
      <c r="R5586" s="27"/>
      <c r="S5586" s="21"/>
      <c r="T5586" s="14"/>
    </row>
    <row r="5587" spans="13:20" x14ac:dyDescent="0.25">
      <c r="M5587" s="36"/>
      <c r="N5587" s="36"/>
      <c r="O5587" s="36"/>
      <c r="P5587" s="14"/>
      <c r="Q5587" s="14"/>
      <c r="R5587" s="37"/>
      <c r="S5587" s="29"/>
      <c r="T5587" s="28"/>
    </row>
    <row r="5588" spans="13:20" x14ac:dyDescent="0.25">
      <c r="M5588" s="21"/>
      <c r="N5588" s="21"/>
      <c r="O5588" s="21"/>
      <c r="P5588" s="14"/>
      <c r="Q5588" s="21"/>
      <c r="R5588" s="28"/>
      <c r="S5588" s="29"/>
      <c r="T5588" s="28"/>
    </row>
    <row r="5589" spans="13:20" x14ac:dyDescent="0.25">
      <c r="M5589" s="14"/>
      <c r="N5589" s="14"/>
      <c r="O5589" s="14"/>
      <c r="P5589" s="14"/>
      <c r="Q5589" s="14"/>
      <c r="R5589" s="14"/>
      <c r="S5589" s="26"/>
      <c r="T5589" s="26"/>
    </row>
    <row r="5590" spans="13:20" ht="13.8" x14ac:dyDescent="0.25">
      <c r="M5590" s="30"/>
      <c r="N5590" s="30"/>
      <c r="O5590" s="30"/>
      <c r="P5590" s="14"/>
      <c r="Q5590" s="14"/>
      <c r="R5590" s="27"/>
      <c r="S5590" s="26"/>
      <c r="T5590" s="26"/>
    </row>
    <row r="5591" spans="13:20" x14ac:dyDescent="0.25">
      <c r="M5591" s="14"/>
      <c r="N5591" s="14"/>
      <c r="O5591" s="14"/>
      <c r="P5591" s="14"/>
      <c r="Q5591" s="14"/>
      <c r="R5591" s="14"/>
      <c r="S5591" s="14"/>
      <c r="T5591" s="14"/>
    </row>
    <row r="5592" spans="13:20" x14ac:dyDescent="0.25">
      <c r="M5592" s="21"/>
      <c r="N5592" s="21"/>
      <c r="O5592" s="21"/>
      <c r="P5592" s="21"/>
      <c r="Q5592" s="21"/>
      <c r="R5592" s="27"/>
      <c r="S5592" s="29"/>
      <c r="T5592" s="29"/>
    </row>
    <row r="5593" spans="13:20" x14ac:dyDescent="0.25">
      <c r="M5593" s="21"/>
      <c r="N5593" s="21"/>
      <c r="O5593" s="21"/>
      <c r="P5593" s="14"/>
      <c r="Q5593" s="21"/>
      <c r="R5593" s="28"/>
      <c r="S5593" s="29"/>
      <c r="T5593" s="29"/>
    </row>
    <row r="5594" spans="13:20" x14ac:dyDescent="0.25">
      <c r="M5594" s="21"/>
      <c r="N5594" s="21"/>
      <c r="O5594" s="21"/>
      <c r="P5594" s="14"/>
      <c r="Q5594" s="21"/>
      <c r="R5594" s="28"/>
      <c r="S5594" s="29"/>
      <c r="T5594" s="29"/>
    </row>
    <row r="5595" spans="13:20" ht="14.4" x14ac:dyDescent="0.3">
      <c r="M5595" s="32"/>
      <c r="N5595" s="32"/>
      <c r="O5595" s="32"/>
      <c r="P5595" s="33"/>
      <c r="Q5595" s="32"/>
      <c r="R5595" s="27"/>
      <c r="S5595" s="29"/>
      <c r="T5595" s="29"/>
    </row>
    <row r="5596" spans="13:20" x14ac:dyDescent="0.25">
      <c r="M5596" s="32"/>
      <c r="N5596" s="32"/>
      <c r="O5596" s="32"/>
      <c r="P5596" s="21"/>
      <c r="Q5596" s="32"/>
      <c r="R5596" s="27"/>
      <c r="S5596" s="29"/>
      <c r="T5596" s="29"/>
    </row>
    <row r="5597" spans="13:20" x14ac:dyDescent="0.25">
      <c r="M5597" s="32"/>
      <c r="N5597" s="32"/>
      <c r="O5597" s="32"/>
      <c r="P5597" s="34"/>
      <c r="Q5597" s="32"/>
      <c r="R5597" s="27"/>
      <c r="S5597" s="14"/>
      <c r="T5597" s="29"/>
    </row>
    <row r="5598" spans="13:20" x14ac:dyDescent="0.25">
      <c r="M5598" s="32"/>
      <c r="N5598" s="32"/>
      <c r="O5598" s="32"/>
      <c r="P5598" s="34"/>
      <c r="Q5598" s="32"/>
      <c r="R5598" s="27"/>
      <c r="S5598" s="14"/>
      <c r="T5598" s="29"/>
    </row>
    <row r="5599" spans="13:20" x14ac:dyDescent="0.25">
      <c r="M5599" s="32"/>
      <c r="N5599" s="32"/>
      <c r="O5599" s="32"/>
      <c r="P5599" s="34"/>
      <c r="Q5599" s="32"/>
      <c r="R5599" s="27"/>
      <c r="S5599" s="14"/>
      <c r="T5599" s="14"/>
    </row>
    <row r="5600" spans="13:20" x14ac:dyDescent="0.25">
      <c r="M5600" s="32"/>
      <c r="N5600" s="32"/>
      <c r="O5600" s="32"/>
      <c r="P5600" s="35"/>
      <c r="Q5600" s="32"/>
      <c r="R5600" s="27"/>
      <c r="S5600" s="21"/>
      <c r="T5600" s="14"/>
    </row>
    <row r="5601" spans="13:20" x14ac:dyDescent="0.25">
      <c r="M5601" s="36"/>
      <c r="N5601" s="36"/>
      <c r="O5601" s="36"/>
      <c r="P5601" s="14"/>
      <c r="Q5601" s="14"/>
      <c r="R5601" s="37"/>
      <c r="S5601" s="29"/>
      <c r="T5601" s="28"/>
    </row>
    <row r="5602" spans="13:20" x14ac:dyDescent="0.25">
      <c r="M5602" s="21"/>
      <c r="N5602" s="21"/>
      <c r="O5602" s="21"/>
      <c r="P5602" s="14"/>
      <c r="Q5602" s="21"/>
      <c r="R5602" s="28"/>
      <c r="S5602" s="29"/>
      <c r="T5602" s="28"/>
    </row>
    <row r="5603" spans="13:20" x14ac:dyDescent="0.25">
      <c r="M5603" s="14"/>
      <c r="N5603" s="14"/>
      <c r="O5603" s="14"/>
      <c r="P5603" s="14"/>
      <c r="Q5603" s="14"/>
      <c r="R5603" s="14"/>
      <c r="S5603" s="26"/>
      <c r="T5603" s="26"/>
    </row>
    <row r="5604" spans="13:20" ht="13.8" x14ac:dyDescent="0.25">
      <c r="M5604" s="30"/>
      <c r="N5604" s="30"/>
      <c r="O5604" s="30"/>
      <c r="P5604" s="14"/>
      <c r="Q5604" s="14"/>
      <c r="R5604" s="27"/>
      <c r="S5604" s="26"/>
      <c r="T5604" s="26"/>
    </row>
    <row r="5605" spans="13:20" x14ac:dyDescent="0.25">
      <c r="M5605" s="14"/>
      <c r="N5605" s="14"/>
      <c r="O5605" s="14"/>
      <c r="P5605" s="14"/>
      <c r="Q5605" s="14"/>
      <c r="R5605" s="14"/>
      <c r="S5605" s="14"/>
      <c r="T5605" s="14"/>
    </row>
    <row r="5606" spans="13:20" x14ac:dyDescent="0.25">
      <c r="M5606" s="21"/>
      <c r="N5606" s="21"/>
      <c r="O5606" s="21"/>
      <c r="P5606" s="21"/>
      <c r="Q5606" s="21"/>
      <c r="R5606" s="27"/>
      <c r="S5606" s="29"/>
      <c r="T5606" s="29"/>
    </row>
    <row r="5607" spans="13:20" x14ac:dyDescent="0.25">
      <c r="M5607" s="21"/>
      <c r="N5607" s="21"/>
      <c r="O5607" s="21"/>
      <c r="P5607" s="14"/>
      <c r="Q5607" s="21"/>
      <c r="R5607" s="28"/>
      <c r="S5607" s="29"/>
      <c r="T5607" s="29"/>
    </row>
    <row r="5608" spans="13:20" x14ac:dyDescent="0.25">
      <c r="M5608" s="21"/>
      <c r="N5608" s="21"/>
      <c r="O5608" s="21"/>
      <c r="P5608" s="14"/>
      <c r="Q5608" s="21"/>
      <c r="R5608" s="28"/>
      <c r="S5608" s="29"/>
      <c r="T5608" s="29"/>
    </row>
    <row r="5609" spans="13:20" ht="14.4" x14ac:dyDescent="0.3">
      <c r="M5609" s="32"/>
      <c r="N5609" s="32"/>
      <c r="O5609" s="32"/>
      <c r="P5609" s="33"/>
      <c r="Q5609" s="32"/>
      <c r="R5609" s="27"/>
      <c r="S5609" s="29"/>
      <c r="T5609" s="29"/>
    </row>
    <row r="5610" spans="13:20" x14ac:dyDescent="0.25">
      <c r="M5610" s="32"/>
      <c r="N5610" s="32"/>
      <c r="O5610" s="32"/>
      <c r="P5610" s="21"/>
      <c r="Q5610" s="32"/>
      <c r="R5610" s="27"/>
      <c r="S5610" s="29"/>
      <c r="T5610" s="29"/>
    </row>
    <row r="5611" spans="13:20" x14ac:dyDescent="0.25">
      <c r="M5611" s="32"/>
      <c r="N5611" s="32"/>
      <c r="O5611" s="32"/>
      <c r="P5611" s="34"/>
      <c r="Q5611" s="32"/>
      <c r="R5611" s="27"/>
      <c r="S5611" s="14"/>
      <c r="T5611" s="29"/>
    </row>
    <row r="5612" spans="13:20" x14ac:dyDescent="0.25">
      <c r="M5612" s="32"/>
      <c r="N5612" s="32"/>
      <c r="O5612" s="32"/>
      <c r="P5612" s="34"/>
      <c r="Q5612" s="32"/>
      <c r="R5612" s="27"/>
      <c r="S5612" s="14"/>
      <c r="T5612" s="29"/>
    </row>
    <row r="5613" spans="13:20" x14ac:dyDescent="0.25">
      <c r="M5613" s="32"/>
      <c r="N5613" s="32"/>
      <c r="O5613" s="32"/>
      <c r="P5613" s="34"/>
      <c r="Q5613" s="32"/>
      <c r="R5613" s="27"/>
      <c r="S5613" s="14"/>
      <c r="T5613" s="14"/>
    </row>
    <row r="5614" spans="13:20" x14ac:dyDescent="0.25">
      <c r="M5614" s="32"/>
      <c r="N5614" s="32"/>
      <c r="O5614" s="32"/>
      <c r="P5614" s="35"/>
      <c r="Q5614" s="32"/>
      <c r="R5614" s="27"/>
      <c r="S5614" s="21"/>
      <c r="T5614" s="14"/>
    </row>
    <row r="5615" spans="13:20" x14ac:dyDescent="0.25">
      <c r="M5615" s="36"/>
      <c r="N5615" s="36"/>
      <c r="O5615" s="36"/>
      <c r="P5615" s="14"/>
      <c r="Q5615" s="14"/>
      <c r="R5615" s="37"/>
      <c r="S5615" s="29"/>
      <c r="T5615" s="28"/>
    </row>
    <row r="5616" spans="13:20" x14ac:dyDescent="0.25">
      <c r="M5616" s="21"/>
      <c r="N5616" s="21"/>
      <c r="O5616" s="21"/>
      <c r="P5616" s="14"/>
      <c r="Q5616" s="21"/>
      <c r="R5616" s="28"/>
      <c r="S5616" s="29"/>
      <c r="T5616" s="28"/>
    </row>
    <row r="5617" spans="13:20" x14ac:dyDescent="0.25">
      <c r="M5617" s="14"/>
      <c r="N5617" s="14"/>
      <c r="O5617" s="14"/>
      <c r="P5617" s="14"/>
      <c r="Q5617" s="14"/>
      <c r="R5617" s="14"/>
      <c r="S5617" s="26"/>
      <c r="T5617" s="26"/>
    </row>
    <row r="5618" spans="13:20" ht="13.8" x14ac:dyDescent="0.25">
      <c r="M5618" s="30"/>
      <c r="N5618" s="30"/>
      <c r="O5618" s="30"/>
      <c r="P5618" s="14"/>
      <c r="Q5618" s="14"/>
      <c r="R5618" s="27"/>
      <c r="S5618" s="26"/>
      <c r="T5618" s="26"/>
    </row>
    <row r="5619" spans="13:20" x14ac:dyDescent="0.25">
      <c r="M5619" s="14"/>
      <c r="N5619" s="14"/>
      <c r="O5619" s="14"/>
      <c r="P5619" s="14"/>
      <c r="Q5619" s="14"/>
      <c r="R5619" s="14"/>
      <c r="S5619" s="14"/>
      <c r="T5619" s="14"/>
    </row>
    <row r="5620" spans="13:20" x14ac:dyDescent="0.25">
      <c r="M5620" s="21"/>
      <c r="N5620" s="21"/>
      <c r="O5620" s="21"/>
      <c r="P5620" s="21"/>
      <c r="Q5620" s="21"/>
      <c r="R5620" s="27"/>
      <c r="S5620" s="29"/>
      <c r="T5620" s="29"/>
    </row>
    <row r="5621" spans="13:20" x14ac:dyDescent="0.25">
      <c r="M5621" s="21"/>
      <c r="N5621" s="21"/>
      <c r="O5621" s="21"/>
      <c r="P5621" s="14"/>
      <c r="Q5621" s="21"/>
      <c r="R5621" s="28"/>
      <c r="S5621" s="29"/>
      <c r="T5621" s="29"/>
    </row>
    <row r="5622" spans="13:20" x14ac:dyDescent="0.25">
      <c r="M5622" s="21"/>
      <c r="N5622" s="21"/>
      <c r="O5622" s="21"/>
      <c r="P5622" s="14"/>
      <c r="Q5622" s="21"/>
      <c r="R5622" s="28"/>
      <c r="S5622" s="29"/>
      <c r="T5622" s="29"/>
    </row>
    <row r="5623" spans="13:20" ht="14.4" x14ac:dyDescent="0.3">
      <c r="M5623" s="32"/>
      <c r="N5623" s="32"/>
      <c r="O5623" s="32"/>
      <c r="P5623" s="33"/>
      <c r="Q5623" s="32"/>
      <c r="R5623" s="27"/>
      <c r="S5623" s="29"/>
      <c r="T5623" s="29"/>
    </row>
    <row r="5624" spans="13:20" x14ac:dyDescent="0.25">
      <c r="M5624" s="32"/>
      <c r="N5624" s="32"/>
      <c r="O5624" s="32"/>
      <c r="P5624" s="21"/>
      <c r="Q5624" s="32"/>
      <c r="R5624" s="27"/>
      <c r="S5624" s="29"/>
      <c r="T5624" s="29"/>
    </row>
    <row r="5625" spans="13:20" x14ac:dyDescent="0.25">
      <c r="M5625" s="32"/>
      <c r="N5625" s="32"/>
      <c r="O5625" s="32"/>
      <c r="P5625" s="34"/>
      <c r="Q5625" s="32"/>
      <c r="R5625" s="27"/>
      <c r="S5625" s="14"/>
      <c r="T5625" s="29"/>
    </row>
    <row r="5626" spans="13:20" x14ac:dyDescent="0.25">
      <c r="M5626" s="32"/>
      <c r="N5626" s="32"/>
      <c r="O5626" s="32"/>
      <c r="P5626" s="34"/>
      <c r="Q5626" s="32"/>
      <c r="R5626" s="27"/>
      <c r="S5626" s="14"/>
      <c r="T5626" s="29"/>
    </row>
    <row r="5627" spans="13:20" x14ac:dyDescent="0.25">
      <c r="M5627" s="32"/>
      <c r="N5627" s="32"/>
      <c r="O5627" s="32"/>
      <c r="P5627" s="34"/>
      <c r="Q5627" s="32"/>
      <c r="R5627" s="27"/>
      <c r="S5627" s="14"/>
      <c r="T5627" s="14"/>
    </row>
    <row r="5628" spans="13:20" x14ac:dyDescent="0.25">
      <c r="M5628" s="32"/>
      <c r="N5628" s="32"/>
      <c r="O5628" s="32"/>
      <c r="P5628" s="35"/>
      <c r="Q5628" s="32"/>
      <c r="R5628" s="27"/>
      <c r="S5628" s="21"/>
      <c r="T5628" s="14"/>
    </row>
    <row r="5629" spans="13:20" x14ac:dyDescent="0.25">
      <c r="M5629" s="36"/>
      <c r="N5629" s="36"/>
      <c r="O5629" s="36"/>
      <c r="P5629" s="14"/>
      <c r="Q5629" s="14"/>
      <c r="R5629" s="37"/>
      <c r="S5629" s="29"/>
      <c r="T5629" s="28"/>
    </row>
    <row r="5630" spans="13:20" x14ac:dyDescent="0.25">
      <c r="M5630" s="21"/>
      <c r="N5630" s="21"/>
      <c r="O5630" s="21"/>
      <c r="P5630" s="14"/>
      <c r="Q5630" s="21"/>
      <c r="R5630" s="28"/>
      <c r="S5630" s="29"/>
      <c r="T5630" s="28"/>
    </row>
    <row r="5631" spans="13:20" x14ac:dyDescent="0.25">
      <c r="M5631" s="14"/>
      <c r="N5631" s="14"/>
      <c r="O5631" s="14"/>
      <c r="P5631" s="14"/>
      <c r="Q5631" s="14"/>
      <c r="R5631" s="14"/>
      <c r="S5631" s="26"/>
      <c r="T5631" s="26"/>
    </row>
    <row r="5632" spans="13:20" ht="13.8" x14ac:dyDescent="0.25">
      <c r="M5632" s="30"/>
      <c r="N5632" s="30"/>
      <c r="O5632" s="30"/>
      <c r="P5632" s="14"/>
      <c r="Q5632" s="14"/>
      <c r="R5632" s="27"/>
      <c r="S5632" s="26"/>
      <c r="T5632" s="26"/>
    </row>
    <row r="5633" spans="13:20" x14ac:dyDescent="0.25">
      <c r="M5633" s="14"/>
      <c r="N5633" s="14"/>
      <c r="O5633" s="14"/>
      <c r="P5633" s="14"/>
      <c r="Q5633" s="14"/>
      <c r="R5633" s="14"/>
      <c r="S5633" s="14"/>
      <c r="T5633" s="14"/>
    </row>
    <row r="5634" spans="13:20" x14ac:dyDescent="0.25">
      <c r="M5634" s="21"/>
      <c r="N5634" s="21"/>
      <c r="O5634" s="21"/>
      <c r="P5634" s="21"/>
      <c r="Q5634" s="21"/>
      <c r="R5634" s="27"/>
      <c r="S5634" s="29"/>
      <c r="T5634" s="29"/>
    </row>
    <row r="5635" spans="13:20" x14ac:dyDescent="0.25">
      <c r="M5635" s="21"/>
      <c r="N5635" s="21"/>
      <c r="O5635" s="21"/>
      <c r="P5635" s="14"/>
      <c r="Q5635" s="21"/>
      <c r="R5635" s="28"/>
      <c r="S5635" s="29"/>
      <c r="T5635" s="29"/>
    </row>
    <row r="5636" spans="13:20" x14ac:dyDescent="0.25">
      <c r="M5636" s="21"/>
      <c r="N5636" s="21"/>
      <c r="O5636" s="21"/>
      <c r="P5636" s="14"/>
      <c r="Q5636" s="21"/>
      <c r="R5636" s="28"/>
      <c r="S5636" s="29"/>
      <c r="T5636" s="29"/>
    </row>
    <row r="5637" spans="13:20" ht="14.4" x14ac:dyDescent="0.3">
      <c r="M5637" s="32"/>
      <c r="N5637" s="32"/>
      <c r="O5637" s="32"/>
      <c r="P5637" s="33"/>
      <c r="Q5637" s="32"/>
      <c r="R5637" s="27"/>
      <c r="S5637" s="29"/>
      <c r="T5637" s="29"/>
    </row>
    <row r="5638" spans="13:20" x14ac:dyDescent="0.25">
      <c r="M5638" s="32"/>
      <c r="N5638" s="32"/>
      <c r="O5638" s="32"/>
      <c r="P5638" s="21"/>
      <c r="Q5638" s="32"/>
      <c r="R5638" s="27"/>
      <c r="S5638" s="29"/>
      <c r="T5638" s="29"/>
    </row>
    <row r="5639" spans="13:20" x14ac:dyDescent="0.25">
      <c r="M5639" s="32"/>
      <c r="N5639" s="32"/>
      <c r="O5639" s="32"/>
      <c r="P5639" s="34"/>
      <c r="Q5639" s="32"/>
      <c r="R5639" s="27"/>
      <c r="S5639" s="14"/>
      <c r="T5639" s="29"/>
    </row>
    <row r="5640" spans="13:20" x14ac:dyDescent="0.25">
      <c r="M5640" s="32"/>
      <c r="N5640" s="32"/>
      <c r="O5640" s="32"/>
      <c r="P5640" s="34"/>
      <c r="Q5640" s="32"/>
      <c r="R5640" s="27"/>
      <c r="S5640" s="14"/>
      <c r="T5640" s="29"/>
    </row>
    <row r="5641" spans="13:20" x14ac:dyDescent="0.25">
      <c r="M5641" s="32"/>
      <c r="N5641" s="32"/>
      <c r="O5641" s="32"/>
      <c r="P5641" s="34"/>
      <c r="Q5641" s="32"/>
      <c r="R5641" s="27"/>
      <c r="S5641" s="14"/>
      <c r="T5641" s="14"/>
    </row>
    <row r="5642" spans="13:20" x14ac:dyDescent="0.25">
      <c r="M5642" s="32"/>
      <c r="N5642" s="32"/>
      <c r="O5642" s="32"/>
      <c r="P5642" s="35"/>
      <c r="Q5642" s="32"/>
      <c r="R5642" s="27"/>
      <c r="S5642" s="21"/>
      <c r="T5642" s="14"/>
    </row>
    <row r="5643" spans="13:20" x14ac:dyDescent="0.25">
      <c r="M5643" s="36"/>
      <c r="N5643" s="36"/>
      <c r="O5643" s="36"/>
      <c r="P5643" s="14"/>
      <c r="Q5643" s="14"/>
      <c r="R5643" s="37"/>
      <c r="S5643" s="29"/>
      <c r="T5643" s="28"/>
    </row>
    <row r="5644" spans="13:20" x14ac:dyDescent="0.25">
      <c r="M5644" s="21"/>
      <c r="N5644" s="21"/>
      <c r="O5644" s="21"/>
      <c r="P5644" s="14"/>
      <c r="Q5644" s="21"/>
      <c r="R5644" s="28"/>
      <c r="S5644" s="29"/>
      <c r="T5644" s="28"/>
    </row>
    <row r="5645" spans="13:20" x14ac:dyDescent="0.25">
      <c r="M5645" s="14"/>
      <c r="N5645" s="14"/>
      <c r="O5645" s="14"/>
      <c r="P5645" s="14"/>
      <c r="Q5645" s="14"/>
      <c r="R5645" s="14"/>
      <c r="S5645" s="26"/>
      <c r="T5645" s="26"/>
    </row>
    <row r="5646" spans="13:20" ht="13.8" x14ac:dyDescent="0.25">
      <c r="M5646" s="30"/>
      <c r="N5646" s="30"/>
      <c r="O5646" s="30"/>
      <c r="P5646" s="14"/>
      <c r="Q5646" s="14"/>
      <c r="R5646" s="27"/>
      <c r="S5646" s="26"/>
      <c r="T5646" s="26"/>
    </row>
    <row r="5647" spans="13:20" x14ac:dyDescent="0.25">
      <c r="M5647" s="14"/>
      <c r="N5647" s="14"/>
      <c r="O5647" s="14"/>
      <c r="P5647" s="14"/>
      <c r="Q5647" s="14"/>
      <c r="R5647" s="14"/>
      <c r="S5647" s="14"/>
      <c r="T5647" s="14"/>
    </row>
    <row r="5648" spans="13:20" x14ac:dyDescent="0.25">
      <c r="M5648" s="21"/>
      <c r="N5648" s="21"/>
      <c r="O5648" s="21"/>
      <c r="P5648" s="21"/>
      <c r="Q5648" s="21"/>
      <c r="R5648" s="27"/>
      <c r="S5648" s="29"/>
      <c r="T5648" s="29"/>
    </row>
    <row r="5649" spans="13:20" x14ac:dyDescent="0.25">
      <c r="M5649" s="21"/>
      <c r="N5649" s="21"/>
      <c r="O5649" s="21"/>
      <c r="P5649" s="14"/>
      <c r="Q5649" s="21"/>
      <c r="R5649" s="28"/>
      <c r="S5649" s="29"/>
      <c r="T5649" s="29"/>
    </row>
    <row r="5650" spans="13:20" x14ac:dyDescent="0.25">
      <c r="M5650" s="21"/>
      <c r="N5650" s="21"/>
      <c r="O5650" s="21"/>
      <c r="P5650" s="14"/>
      <c r="Q5650" s="21"/>
      <c r="R5650" s="28"/>
      <c r="S5650" s="29"/>
      <c r="T5650" s="29"/>
    </row>
    <row r="5651" spans="13:20" ht="14.4" x14ac:dyDescent="0.3">
      <c r="M5651" s="32"/>
      <c r="N5651" s="32"/>
      <c r="O5651" s="32"/>
      <c r="P5651" s="33"/>
      <c r="Q5651" s="32"/>
      <c r="R5651" s="27"/>
      <c r="S5651" s="29"/>
      <c r="T5651" s="29"/>
    </row>
    <row r="5652" spans="13:20" x14ac:dyDescent="0.25">
      <c r="M5652" s="32"/>
      <c r="N5652" s="32"/>
      <c r="O5652" s="32"/>
      <c r="P5652" s="21"/>
      <c r="Q5652" s="32"/>
      <c r="R5652" s="27"/>
      <c r="S5652" s="29"/>
      <c r="T5652" s="29"/>
    </row>
    <row r="5653" spans="13:20" x14ac:dyDescent="0.25">
      <c r="M5653" s="32"/>
      <c r="N5653" s="32"/>
      <c r="O5653" s="32"/>
      <c r="P5653" s="34"/>
      <c r="Q5653" s="32"/>
      <c r="R5653" s="27"/>
      <c r="S5653" s="14"/>
      <c r="T5653" s="29"/>
    </row>
    <row r="5654" spans="13:20" x14ac:dyDescent="0.25">
      <c r="M5654" s="32"/>
      <c r="N5654" s="32"/>
      <c r="O5654" s="32"/>
      <c r="P5654" s="34"/>
      <c r="Q5654" s="32"/>
      <c r="R5654" s="27"/>
      <c r="S5654" s="14"/>
      <c r="T5654" s="29"/>
    </row>
    <row r="5655" spans="13:20" x14ac:dyDescent="0.25">
      <c r="M5655" s="32"/>
      <c r="N5655" s="32"/>
      <c r="O5655" s="32"/>
      <c r="P5655" s="34"/>
      <c r="Q5655" s="32"/>
      <c r="R5655" s="27"/>
      <c r="S5655" s="14"/>
      <c r="T5655" s="14"/>
    </row>
    <row r="5656" spans="13:20" x14ac:dyDescent="0.25">
      <c r="M5656" s="32"/>
      <c r="N5656" s="32"/>
      <c r="O5656" s="32"/>
      <c r="P5656" s="35"/>
      <c r="Q5656" s="32"/>
      <c r="R5656" s="27"/>
      <c r="S5656" s="21"/>
      <c r="T5656" s="14"/>
    </row>
    <row r="5657" spans="13:20" x14ac:dyDescent="0.25">
      <c r="M5657" s="36"/>
      <c r="N5657" s="36"/>
      <c r="O5657" s="36"/>
      <c r="P5657" s="14"/>
      <c r="Q5657" s="14"/>
      <c r="R5657" s="37"/>
      <c r="S5657" s="29"/>
      <c r="T5657" s="28"/>
    </row>
    <row r="5658" spans="13:20" x14ac:dyDescent="0.25">
      <c r="M5658" s="14"/>
      <c r="N5658" s="14"/>
      <c r="O5658" s="21"/>
      <c r="P5658" s="14"/>
      <c r="Q5658" s="21"/>
      <c r="R5658" s="28"/>
      <c r="S5658" s="29"/>
      <c r="T5658" s="28"/>
    </row>
    <row r="5659" spans="13:20" x14ac:dyDescent="0.25">
      <c r="M5659" s="14"/>
      <c r="N5659" s="14"/>
      <c r="O5659" s="14"/>
      <c r="P5659" s="14"/>
      <c r="Q5659" s="14"/>
      <c r="R5659" s="14"/>
      <c r="S5659" s="26"/>
      <c r="T5659" s="26"/>
    </row>
    <row r="5660" spans="13:20" ht="13.8" x14ac:dyDescent="0.25">
      <c r="M5660" s="14"/>
      <c r="N5660" s="14"/>
      <c r="O5660" s="30"/>
      <c r="P5660" s="14"/>
      <c r="Q5660" s="14"/>
      <c r="R5660" s="27"/>
      <c r="S5660" s="26"/>
      <c r="T5660" s="26"/>
    </row>
    <row r="5661" spans="13:20" x14ac:dyDescent="0.25">
      <c r="M5661" s="14"/>
      <c r="N5661" s="14"/>
      <c r="O5661" s="14"/>
      <c r="P5661" s="14"/>
      <c r="Q5661" s="14"/>
      <c r="R5661" s="14"/>
      <c r="S5661" s="14"/>
      <c r="T5661" s="14"/>
    </row>
    <row r="5662" spans="13:20" x14ac:dyDescent="0.25">
      <c r="M5662" s="14"/>
      <c r="N5662" s="14"/>
      <c r="O5662" s="21"/>
      <c r="P5662" s="21"/>
      <c r="Q5662" s="21"/>
      <c r="R5662" s="27"/>
      <c r="S5662" s="29"/>
      <c r="T5662" s="29"/>
    </row>
    <row r="5663" spans="13:20" x14ac:dyDescent="0.25">
      <c r="M5663" s="14"/>
      <c r="N5663" s="14"/>
      <c r="O5663" s="21"/>
      <c r="P5663" s="14"/>
      <c r="Q5663" s="21"/>
      <c r="R5663" s="28"/>
      <c r="S5663" s="29"/>
      <c r="T5663" s="29"/>
    </row>
    <row r="5664" spans="13:20" x14ac:dyDescent="0.25">
      <c r="M5664" s="14"/>
      <c r="N5664" s="14"/>
      <c r="O5664" s="21"/>
      <c r="P5664" s="14"/>
      <c r="Q5664" s="21"/>
      <c r="R5664" s="28"/>
      <c r="S5664" s="29"/>
      <c r="T5664" s="29"/>
    </row>
    <row r="5665" spans="13:20" ht="14.4" x14ac:dyDescent="0.3">
      <c r="M5665" s="14"/>
      <c r="N5665" s="14"/>
      <c r="O5665" s="32"/>
      <c r="P5665" s="33"/>
      <c r="Q5665" s="32"/>
      <c r="R5665" s="27"/>
      <c r="S5665" s="29"/>
      <c r="T5665" s="29"/>
    </row>
    <row r="5666" spans="13:20" x14ac:dyDescent="0.25">
      <c r="M5666" s="14"/>
      <c r="N5666" s="14"/>
      <c r="O5666" s="32"/>
      <c r="P5666" s="21"/>
      <c r="Q5666" s="32"/>
      <c r="R5666" s="27"/>
      <c r="S5666" s="29"/>
      <c r="T5666" s="29"/>
    </row>
    <row r="5667" spans="13:20" x14ac:dyDescent="0.25">
      <c r="M5667" s="14"/>
      <c r="N5667" s="14"/>
      <c r="O5667" s="32"/>
      <c r="P5667" s="34"/>
      <c r="Q5667" s="32"/>
      <c r="R5667" s="27"/>
      <c r="S5667" s="14"/>
      <c r="T5667" s="29"/>
    </row>
    <row r="5668" spans="13:20" x14ac:dyDescent="0.25">
      <c r="M5668" s="14"/>
      <c r="N5668" s="14"/>
      <c r="O5668" s="32"/>
      <c r="P5668" s="34"/>
      <c r="Q5668" s="32"/>
      <c r="R5668" s="27"/>
      <c r="S5668" s="14"/>
      <c r="T5668" s="29"/>
    </row>
    <row r="5669" spans="13:20" x14ac:dyDescent="0.25">
      <c r="M5669" s="14"/>
      <c r="N5669" s="14"/>
      <c r="O5669" s="32"/>
      <c r="P5669" s="34"/>
      <c r="Q5669" s="32"/>
      <c r="R5669" s="27"/>
      <c r="S5669" s="14"/>
      <c r="T5669" s="14"/>
    </row>
    <row r="5670" spans="13:20" x14ac:dyDescent="0.25">
      <c r="M5670" s="14"/>
      <c r="N5670" s="14"/>
      <c r="O5670" s="32"/>
      <c r="P5670" s="35"/>
      <c r="Q5670" s="32"/>
      <c r="R5670" s="27"/>
      <c r="S5670" s="21"/>
      <c r="T5670" s="14"/>
    </row>
    <row r="5671" spans="13:20" x14ac:dyDescent="0.25">
      <c r="M5671" s="14"/>
      <c r="N5671" s="14"/>
      <c r="O5671" s="36"/>
      <c r="P5671" s="14"/>
      <c r="Q5671" s="14"/>
      <c r="R5671" s="37"/>
      <c r="S5671" s="29"/>
      <c r="T5671" s="28"/>
    </row>
    <row r="5672" spans="13:20" x14ac:dyDescent="0.25">
      <c r="M5672" s="14"/>
      <c r="N5672" s="14"/>
      <c r="O5672" s="21"/>
      <c r="P5672" s="14"/>
      <c r="Q5672" s="21"/>
      <c r="R5672" s="28"/>
      <c r="S5672" s="29"/>
      <c r="T5672" s="28"/>
    </row>
    <row r="5673" spans="13:20" x14ac:dyDescent="0.25">
      <c r="M5673" s="14"/>
      <c r="N5673" s="14"/>
      <c r="O5673" s="14"/>
      <c r="P5673" s="14"/>
      <c r="Q5673" s="14"/>
      <c r="R5673" s="14"/>
      <c r="S5673" s="26"/>
      <c r="T5673" s="26"/>
    </row>
    <row r="5674" spans="13:20" ht="13.8" x14ac:dyDescent="0.25">
      <c r="M5674" s="14"/>
      <c r="N5674" s="14"/>
      <c r="O5674" s="30"/>
      <c r="P5674" s="14"/>
      <c r="Q5674" s="14"/>
      <c r="R5674" s="27"/>
      <c r="S5674" s="26"/>
      <c r="T5674" s="26"/>
    </row>
    <row r="5675" spans="13:20" x14ac:dyDescent="0.25">
      <c r="M5675" s="14"/>
      <c r="N5675" s="14"/>
      <c r="O5675" s="14"/>
      <c r="P5675" s="14"/>
      <c r="Q5675" s="14"/>
      <c r="R5675" s="14"/>
      <c r="S5675" s="14"/>
      <c r="T5675" s="14"/>
    </row>
    <row r="5676" spans="13:20" x14ac:dyDescent="0.25">
      <c r="M5676" s="14"/>
      <c r="N5676" s="14"/>
      <c r="O5676" s="21"/>
      <c r="P5676" s="21"/>
      <c r="Q5676" s="21"/>
      <c r="R5676" s="27"/>
      <c r="S5676" s="29"/>
      <c r="T5676" s="29"/>
    </row>
    <row r="5677" spans="13:20" x14ac:dyDescent="0.25">
      <c r="M5677" s="14"/>
      <c r="N5677" s="14"/>
      <c r="O5677" s="21"/>
      <c r="P5677" s="14"/>
      <c r="Q5677" s="21"/>
      <c r="R5677" s="28"/>
      <c r="S5677" s="29"/>
      <c r="T5677" s="29"/>
    </row>
    <row r="5678" spans="13:20" x14ac:dyDescent="0.25">
      <c r="M5678" s="14"/>
      <c r="N5678" s="14"/>
      <c r="O5678" s="21"/>
      <c r="P5678" s="14"/>
      <c r="Q5678" s="21"/>
      <c r="R5678" s="28"/>
      <c r="S5678" s="29"/>
      <c r="T5678" s="29"/>
    </row>
    <row r="5679" spans="13:20" ht="14.4" x14ac:dyDescent="0.3">
      <c r="M5679" s="14"/>
      <c r="N5679" s="14"/>
      <c r="O5679" s="32"/>
      <c r="P5679" s="33"/>
      <c r="Q5679" s="32"/>
      <c r="R5679" s="27"/>
      <c r="S5679" s="29"/>
      <c r="T5679" s="29"/>
    </row>
    <row r="5680" spans="13:20" x14ac:dyDescent="0.25">
      <c r="M5680" s="14"/>
      <c r="N5680" s="14"/>
      <c r="O5680" s="32"/>
      <c r="P5680" s="21"/>
      <c r="Q5680" s="32"/>
      <c r="R5680" s="27"/>
      <c r="S5680" s="29"/>
      <c r="T5680" s="29"/>
    </row>
    <row r="5681" spans="13:20" x14ac:dyDescent="0.25">
      <c r="M5681" s="14"/>
      <c r="N5681" s="14"/>
      <c r="O5681" s="32"/>
      <c r="P5681" s="34"/>
      <c r="Q5681" s="32"/>
      <c r="R5681" s="27"/>
      <c r="S5681" s="14"/>
      <c r="T5681" s="29"/>
    </row>
    <row r="5682" spans="13:20" x14ac:dyDescent="0.25">
      <c r="M5682" s="14"/>
      <c r="N5682" s="14"/>
      <c r="O5682" s="32"/>
      <c r="P5682" s="34"/>
      <c r="Q5682" s="32"/>
      <c r="R5682" s="27"/>
      <c r="S5682" s="14"/>
      <c r="T5682" s="29"/>
    </row>
    <row r="5683" spans="13:20" x14ac:dyDescent="0.25">
      <c r="M5683" s="14"/>
      <c r="N5683" s="14"/>
      <c r="O5683" s="32"/>
      <c r="P5683" s="34"/>
      <c r="Q5683" s="32"/>
      <c r="R5683" s="27"/>
      <c r="S5683" s="14"/>
      <c r="T5683" s="14"/>
    </row>
    <row r="5684" spans="13:20" x14ac:dyDescent="0.25">
      <c r="M5684" s="14"/>
      <c r="N5684" s="14"/>
      <c r="O5684" s="32"/>
      <c r="P5684" s="35"/>
      <c r="Q5684" s="32"/>
      <c r="R5684" s="27"/>
      <c r="S5684" s="21"/>
      <c r="T5684" s="14"/>
    </row>
    <row r="5685" spans="13:20" x14ac:dyDescent="0.25">
      <c r="M5685" s="14"/>
      <c r="N5685" s="14"/>
      <c r="O5685" s="36"/>
      <c r="P5685" s="14"/>
      <c r="Q5685" s="14"/>
      <c r="R5685" s="37"/>
      <c r="S5685" s="29"/>
      <c r="T5685" s="28"/>
    </row>
    <row r="5686" spans="13:20" x14ac:dyDescent="0.25">
      <c r="M5686" s="14"/>
      <c r="N5686" s="14"/>
      <c r="O5686" s="21"/>
      <c r="P5686" s="14"/>
      <c r="Q5686" s="21"/>
      <c r="R5686" s="28"/>
      <c r="S5686" s="29"/>
      <c r="T5686" s="28"/>
    </row>
    <row r="5687" spans="13:20" x14ac:dyDescent="0.25">
      <c r="M5687" s="14"/>
      <c r="N5687" s="14"/>
      <c r="O5687" s="14"/>
      <c r="P5687" s="14"/>
      <c r="Q5687" s="14"/>
      <c r="R5687" s="14"/>
      <c r="S5687" s="26"/>
      <c r="T5687" s="26"/>
    </row>
    <row r="5688" spans="13:20" ht="13.8" x14ac:dyDescent="0.25">
      <c r="M5688" s="14"/>
      <c r="N5688" s="14"/>
      <c r="O5688" s="30"/>
      <c r="P5688" s="14"/>
      <c r="Q5688" s="14"/>
      <c r="R5688" s="27"/>
      <c r="S5688" s="26"/>
      <c r="T5688" s="26"/>
    </row>
    <row r="5689" spans="13:20" x14ac:dyDescent="0.25">
      <c r="M5689" s="14"/>
      <c r="N5689" s="14"/>
      <c r="O5689" s="14"/>
      <c r="P5689" s="14"/>
      <c r="Q5689" s="14"/>
      <c r="R5689" s="14"/>
      <c r="S5689" s="14"/>
      <c r="T5689" s="14"/>
    </row>
    <row r="5690" spans="13:20" x14ac:dyDescent="0.25">
      <c r="M5690" s="14"/>
      <c r="N5690" s="14"/>
      <c r="O5690" s="21"/>
      <c r="P5690" s="21"/>
      <c r="Q5690" s="21"/>
      <c r="R5690" s="27"/>
      <c r="S5690" s="29"/>
      <c r="T5690" s="29"/>
    </row>
    <row r="5691" spans="13:20" x14ac:dyDescent="0.25">
      <c r="M5691" s="14"/>
      <c r="N5691" s="14"/>
      <c r="O5691" s="21"/>
      <c r="P5691" s="14"/>
      <c r="Q5691" s="21"/>
      <c r="R5691" s="28"/>
      <c r="S5691" s="29"/>
      <c r="T5691" s="29"/>
    </row>
    <row r="5692" spans="13:20" x14ac:dyDescent="0.25">
      <c r="M5692" s="14"/>
      <c r="N5692" s="14"/>
      <c r="O5692" s="21"/>
      <c r="P5692" s="14"/>
      <c r="Q5692" s="21"/>
      <c r="R5692" s="28"/>
      <c r="S5692" s="29"/>
      <c r="T5692" s="29"/>
    </row>
    <row r="5693" spans="13:20" ht="14.4" x14ac:dyDescent="0.3">
      <c r="M5693" s="14"/>
      <c r="N5693" s="14"/>
      <c r="O5693" s="32"/>
      <c r="P5693" s="33"/>
      <c r="Q5693" s="32"/>
      <c r="R5693" s="27"/>
      <c r="S5693" s="29"/>
      <c r="T5693" s="29"/>
    </row>
    <row r="5694" spans="13:20" x14ac:dyDescent="0.25">
      <c r="M5694" s="14"/>
      <c r="N5694" s="14"/>
      <c r="O5694" s="32"/>
      <c r="P5694" s="21"/>
      <c r="Q5694" s="32"/>
      <c r="R5694" s="27"/>
      <c r="S5694" s="29"/>
      <c r="T5694" s="29"/>
    </row>
    <row r="5695" spans="13:20" x14ac:dyDescent="0.25">
      <c r="M5695" s="14"/>
      <c r="N5695" s="14"/>
      <c r="O5695" s="32"/>
      <c r="P5695" s="34"/>
      <c r="Q5695" s="32"/>
      <c r="R5695" s="27"/>
      <c r="S5695" s="14"/>
      <c r="T5695" s="29"/>
    </row>
    <row r="5696" spans="13:20" x14ac:dyDescent="0.25">
      <c r="M5696" s="14"/>
      <c r="N5696" s="14"/>
      <c r="O5696" s="32"/>
      <c r="P5696" s="34"/>
      <c r="Q5696" s="32"/>
      <c r="R5696" s="27"/>
      <c r="S5696" s="14"/>
      <c r="T5696" s="29"/>
    </row>
    <row r="5697" spans="13:20" x14ac:dyDescent="0.25">
      <c r="M5697" s="14"/>
      <c r="N5697" s="14"/>
      <c r="O5697" s="32"/>
      <c r="P5697" s="34"/>
      <c r="Q5697" s="32"/>
      <c r="R5697" s="27"/>
      <c r="S5697" s="14"/>
      <c r="T5697" s="14"/>
    </row>
    <row r="5698" spans="13:20" x14ac:dyDescent="0.25">
      <c r="M5698" s="14"/>
      <c r="N5698" s="14"/>
      <c r="O5698" s="32"/>
      <c r="P5698" s="35"/>
      <c r="Q5698" s="32"/>
      <c r="R5698" s="27"/>
      <c r="S5698" s="21"/>
      <c r="T5698" s="14"/>
    </row>
    <row r="5699" spans="13:20" x14ac:dyDescent="0.25">
      <c r="M5699" s="14"/>
      <c r="N5699" s="14"/>
      <c r="O5699" s="36"/>
      <c r="P5699" s="14"/>
      <c r="Q5699" s="14"/>
      <c r="R5699" s="37"/>
      <c r="S5699" s="29"/>
      <c r="T5699" s="28"/>
    </row>
    <row r="5700" spans="13:20" x14ac:dyDescent="0.25">
      <c r="M5700" s="14"/>
      <c r="N5700" s="14"/>
      <c r="O5700" s="21"/>
      <c r="P5700" s="14"/>
      <c r="Q5700" s="21"/>
      <c r="R5700" s="28"/>
      <c r="S5700" s="29"/>
      <c r="T5700" s="28"/>
    </row>
    <row r="5701" spans="13:20" x14ac:dyDescent="0.25">
      <c r="M5701" s="14"/>
      <c r="N5701" s="14"/>
      <c r="O5701" s="14"/>
      <c r="P5701" s="14"/>
      <c r="Q5701" s="14"/>
      <c r="R5701" s="14"/>
      <c r="S5701" s="26"/>
      <c r="T5701" s="26"/>
    </row>
    <row r="5702" spans="13:20" ht="13.8" x14ac:dyDescent="0.25">
      <c r="M5702" s="14"/>
      <c r="N5702" s="14"/>
      <c r="O5702" s="30"/>
      <c r="P5702" s="14"/>
      <c r="Q5702" s="14"/>
      <c r="R5702" s="27"/>
      <c r="S5702" s="26"/>
      <c r="T5702" s="26"/>
    </row>
    <row r="5703" spans="13:20" x14ac:dyDescent="0.25">
      <c r="M5703" s="14"/>
      <c r="N5703" s="14"/>
      <c r="O5703" s="14"/>
      <c r="P5703" s="14"/>
      <c r="Q5703" s="14"/>
      <c r="R5703" s="14"/>
      <c r="S5703" s="14"/>
      <c r="T5703" s="14"/>
    </row>
    <row r="5704" spans="13:20" x14ac:dyDescent="0.25">
      <c r="M5704" s="14"/>
      <c r="N5704" s="14"/>
      <c r="O5704" s="21"/>
      <c r="P5704" s="21"/>
      <c r="Q5704" s="21"/>
      <c r="R5704" s="27"/>
      <c r="S5704" s="29"/>
      <c r="T5704" s="29"/>
    </row>
    <row r="5705" spans="13:20" x14ac:dyDescent="0.25">
      <c r="M5705" s="14"/>
      <c r="N5705" s="14"/>
      <c r="O5705" s="21"/>
      <c r="P5705" s="14"/>
      <c r="Q5705" s="21"/>
      <c r="R5705" s="28"/>
      <c r="S5705" s="29"/>
      <c r="T5705" s="29"/>
    </row>
    <row r="5706" spans="13:20" x14ac:dyDescent="0.25">
      <c r="M5706" s="14"/>
      <c r="N5706" s="14"/>
      <c r="O5706" s="21"/>
      <c r="P5706" s="14"/>
      <c r="Q5706" s="21"/>
      <c r="R5706" s="28"/>
      <c r="S5706" s="29"/>
      <c r="T5706" s="29"/>
    </row>
    <row r="5707" spans="13:20" ht="14.4" x14ac:dyDescent="0.3">
      <c r="M5707" s="14"/>
      <c r="N5707" s="14"/>
      <c r="O5707" s="32"/>
      <c r="P5707" s="33"/>
      <c r="Q5707" s="32"/>
      <c r="R5707" s="27"/>
      <c r="S5707" s="29"/>
      <c r="T5707" s="29"/>
    </row>
    <row r="5708" spans="13:20" x14ac:dyDescent="0.25">
      <c r="M5708" s="14"/>
      <c r="N5708" s="14"/>
      <c r="O5708" s="32"/>
      <c r="P5708" s="21"/>
      <c r="Q5708" s="32"/>
      <c r="R5708" s="27"/>
      <c r="S5708" s="29"/>
      <c r="T5708" s="29"/>
    </row>
    <row r="5709" spans="13:20" x14ac:dyDescent="0.25">
      <c r="M5709" s="14"/>
      <c r="N5709" s="14"/>
      <c r="O5709" s="32"/>
      <c r="P5709" s="34"/>
      <c r="Q5709" s="32"/>
      <c r="R5709" s="27"/>
      <c r="S5709" s="14"/>
      <c r="T5709" s="29"/>
    </row>
    <row r="5710" spans="13:20" x14ac:dyDescent="0.25">
      <c r="M5710" s="14"/>
      <c r="N5710" s="14"/>
      <c r="O5710" s="32"/>
      <c r="P5710" s="34"/>
      <c r="Q5710" s="32"/>
      <c r="R5710" s="27"/>
      <c r="S5710" s="14"/>
      <c r="T5710" s="29"/>
    </row>
    <row r="5711" spans="13:20" x14ac:dyDescent="0.25">
      <c r="M5711" s="14"/>
      <c r="N5711" s="14"/>
      <c r="O5711" s="32"/>
      <c r="P5711" s="34"/>
      <c r="Q5711" s="32"/>
      <c r="R5711" s="27"/>
      <c r="S5711" s="14"/>
      <c r="T5711" s="14"/>
    </row>
    <row r="5712" spans="13:20" x14ac:dyDescent="0.25">
      <c r="M5712" s="14"/>
      <c r="N5712" s="14"/>
      <c r="O5712" s="32"/>
      <c r="P5712" s="35"/>
      <c r="Q5712" s="32"/>
      <c r="R5712" s="27"/>
      <c r="S5712" s="21"/>
      <c r="T5712" s="14"/>
    </row>
    <row r="5713" spans="13:20" x14ac:dyDescent="0.25">
      <c r="M5713" s="14"/>
      <c r="N5713" s="14"/>
      <c r="O5713" s="36"/>
      <c r="P5713" s="14"/>
      <c r="Q5713" s="14"/>
      <c r="R5713" s="37"/>
      <c r="S5713" s="29"/>
      <c r="T5713" s="28"/>
    </row>
    <row r="5714" spans="13:20" x14ac:dyDescent="0.25">
      <c r="M5714" s="14"/>
      <c r="N5714" s="14"/>
      <c r="O5714" s="21"/>
      <c r="P5714" s="14"/>
      <c r="Q5714" s="21"/>
      <c r="R5714" s="28"/>
      <c r="S5714" s="29"/>
      <c r="T5714" s="28"/>
    </row>
    <row r="5715" spans="13:20" x14ac:dyDescent="0.25">
      <c r="M5715" s="14"/>
      <c r="N5715" s="14"/>
      <c r="O5715" s="14"/>
      <c r="P5715" s="14"/>
      <c r="Q5715" s="14"/>
      <c r="R5715" s="14"/>
      <c r="S5715" s="26"/>
      <c r="T5715" s="26"/>
    </row>
    <row r="5716" spans="13:20" ht="13.8" x14ac:dyDescent="0.25">
      <c r="M5716" s="14"/>
      <c r="N5716" s="14"/>
      <c r="O5716" s="30"/>
      <c r="P5716" s="14"/>
      <c r="Q5716" s="14"/>
      <c r="R5716" s="27"/>
      <c r="S5716" s="26"/>
      <c r="T5716" s="26"/>
    </row>
    <row r="5717" spans="13:20" x14ac:dyDescent="0.25">
      <c r="M5717" s="14"/>
      <c r="N5717" s="14"/>
      <c r="O5717" s="14"/>
      <c r="P5717" s="14"/>
      <c r="Q5717" s="14"/>
      <c r="R5717" s="14"/>
      <c r="S5717" s="14"/>
      <c r="T5717" s="14"/>
    </row>
    <row r="5718" spans="13:20" x14ac:dyDescent="0.25">
      <c r="M5718" s="14"/>
      <c r="N5718" s="14"/>
      <c r="O5718" s="21"/>
      <c r="P5718" s="21"/>
      <c r="Q5718" s="21"/>
      <c r="R5718" s="27"/>
      <c r="S5718" s="29"/>
      <c r="T5718" s="29"/>
    </row>
    <row r="5719" spans="13:20" x14ac:dyDescent="0.25">
      <c r="M5719" s="14"/>
      <c r="N5719" s="14"/>
      <c r="O5719" s="21"/>
      <c r="P5719" s="14"/>
      <c r="Q5719" s="21"/>
      <c r="R5719" s="28"/>
      <c r="S5719" s="29"/>
      <c r="T5719" s="29"/>
    </row>
    <row r="5720" spans="13:20" x14ac:dyDescent="0.25">
      <c r="M5720" s="14"/>
      <c r="N5720" s="14"/>
      <c r="O5720" s="21"/>
      <c r="P5720" s="14"/>
      <c r="Q5720" s="21"/>
      <c r="R5720" s="28"/>
      <c r="S5720" s="29"/>
      <c r="T5720" s="29"/>
    </row>
    <row r="5721" spans="13:20" ht="14.4" x14ac:dyDescent="0.3">
      <c r="M5721" s="14"/>
      <c r="N5721" s="14"/>
      <c r="O5721" s="32"/>
      <c r="P5721" s="33"/>
      <c r="Q5721" s="32"/>
      <c r="R5721" s="27"/>
      <c r="S5721" s="29"/>
      <c r="T5721" s="29"/>
    </row>
    <row r="5722" spans="13:20" x14ac:dyDescent="0.25">
      <c r="M5722" s="14"/>
      <c r="N5722" s="14"/>
      <c r="O5722" s="32"/>
      <c r="P5722" s="21"/>
      <c r="Q5722" s="32"/>
      <c r="R5722" s="27"/>
      <c r="S5722" s="29"/>
      <c r="T5722" s="29"/>
    </row>
    <row r="5723" spans="13:20" x14ac:dyDescent="0.25">
      <c r="M5723" s="14"/>
      <c r="N5723" s="14"/>
      <c r="O5723" s="32"/>
      <c r="P5723" s="34"/>
      <c r="Q5723" s="32"/>
      <c r="R5723" s="27"/>
      <c r="S5723" s="14"/>
      <c r="T5723" s="29"/>
    </row>
    <row r="5724" spans="13:20" x14ac:dyDescent="0.25">
      <c r="M5724" s="14"/>
      <c r="N5724" s="14"/>
      <c r="O5724" s="32"/>
      <c r="P5724" s="34"/>
      <c r="Q5724" s="32"/>
      <c r="R5724" s="27"/>
      <c r="S5724" s="14"/>
      <c r="T5724" s="29"/>
    </row>
    <row r="5725" spans="13:20" x14ac:dyDescent="0.25">
      <c r="M5725" s="14"/>
      <c r="N5725" s="14"/>
      <c r="O5725" s="32"/>
      <c r="P5725" s="34"/>
      <c r="Q5725" s="32"/>
      <c r="R5725" s="27"/>
      <c r="S5725" s="14"/>
      <c r="T5725" s="14"/>
    </row>
    <row r="5726" spans="13:20" x14ac:dyDescent="0.25">
      <c r="M5726" s="14"/>
      <c r="N5726" s="14"/>
      <c r="O5726" s="32"/>
      <c r="P5726" s="35"/>
      <c r="Q5726" s="32"/>
      <c r="R5726" s="27"/>
      <c r="S5726" s="21"/>
      <c r="T5726" s="14"/>
    </row>
    <row r="5727" spans="13:20" x14ac:dyDescent="0.25">
      <c r="M5727" s="14"/>
      <c r="N5727" s="14"/>
      <c r="O5727" s="36"/>
      <c r="P5727" s="14"/>
      <c r="Q5727" s="14"/>
      <c r="R5727" s="37"/>
      <c r="S5727" s="29"/>
      <c r="T5727" s="28"/>
    </row>
    <row r="5728" spans="13:20" ht="13.8" x14ac:dyDescent="0.25">
      <c r="M5728" s="14"/>
      <c r="N5728" s="14"/>
      <c r="O5728" s="30"/>
      <c r="P5728" s="14"/>
      <c r="Q5728" s="14"/>
      <c r="R5728" s="27"/>
      <c r="S5728" s="26"/>
      <c r="T5728" s="26"/>
    </row>
    <row r="5729" spans="13:20" x14ac:dyDescent="0.25">
      <c r="M5729" s="14"/>
      <c r="N5729" s="14"/>
      <c r="O5729" s="14"/>
      <c r="P5729" s="14"/>
      <c r="Q5729" s="14"/>
      <c r="R5729" s="14"/>
      <c r="S5729" s="14"/>
      <c r="T5729" s="14"/>
    </row>
    <row r="5730" spans="13:20" x14ac:dyDescent="0.25">
      <c r="M5730" s="14"/>
      <c r="N5730" s="14"/>
      <c r="O5730" s="21"/>
      <c r="P5730" s="21"/>
      <c r="Q5730" s="21"/>
      <c r="R5730" s="27"/>
      <c r="S5730" s="29"/>
      <c r="T5730" s="29"/>
    </row>
    <row r="5731" spans="13:20" x14ac:dyDescent="0.25">
      <c r="M5731" s="14"/>
      <c r="N5731" s="14"/>
      <c r="O5731" s="21"/>
      <c r="P5731" s="14"/>
      <c r="Q5731" s="21"/>
      <c r="R5731" s="28"/>
      <c r="S5731" s="29"/>
      <c r="T5731" s="29"/>
    </row>
    <row r="5732" spans="13:20" x14ac:dyDescent="0.25">
      <c r="M5732" s="14"/>
      <c r="N5732" s="14"/>
      <c r="O5732" s="21"/>
      <c r="P5732" s="14"/>
      <c r="Q5732" s="21"/>
      <c r="R5732" s="28"/>
      <c r="S5732" s="29"/>
      <c r="T5732" s="29"/>
    </row>
    <row r="5733" spans="13:20" ht="14.4" x14ac:dyDescent="0.3">
      <c r="M5733" s="14"/>
      <c r="N5733" s="14"/>
      <c r="O5733" s="32"/>
      <c r="P5733" s="33"/>
      <c r="Q5733" s="32"/>
      <c r="R5733" s="27"/>
      <c r="S5733" s="29"/>
      <c r="T5733" s="29"/>
    </row>
    <row r="5734" spans="13:20" x14ac:dyDescent="0.25">
      <c r="M5734" s="14"/>
      <c r="N5734" s="14"/>
      <c r="O5734" s="32"/>
      <c r="P5734" s="21"/>
      <c r="Q5734" s="32"/>
      <c r="R5734" s="27"/>
      <c r="S5734" s="29"/>
      <c r="T5734" s="29"/>
    </row>
    <row r="5735" spans="13:20" x14ac:dyDescent="0.25">
      <c r="M5735" s="14"/>
      <c r="N5735" s="14"/>
      <c r="O5735" s="32"/>
      <c r="P5735" s="34"/>
      <c r="Q5735" s="32"/>
      <c r="R5735" s="27"/>
      <c r="S5735" s="14"/>
      <c r="T5735" s="29"/>
    </row>
    <row r="5736" spans="13:20" x14ac:dyDescent="0.25">
      <c r="M5736" s="14"/>
      <c r="N5736" s="14"/>
      <c r="O5736" s="32"/>
      <c r="P5736" s="34"/>
      <c r="Q5736" s="32"/>
      <c r="R5736" s="27"/>
      <c r="S5736" s="14"/>
      <c r="T5736" s="29"/>
    </row>
    <row r="5737" spans="13:20" x14ac:dyDescent="0.25">
      <c r="M5737" s="14"/>
      <c r="N5737" s="14"/>
      <c r="O5737" s="32"/>
      <c r="P5737" s="34"/>
      <c r="Q5737" s="32"/>
      <c r="R5737" s="27"/>
      <c r="S5737" s="14"/>
      <c r="T5737" s="14"/>
    </row>
    <row r="5738" spans="13:20" x14ac:dyDescent="0.25">
      <c r="M5738" s="14"/>
      <c r="N5738" s="14"/>
      <c r="O5738" s="32"/>
      <c r="P5738" s="35"/>
      <c r="Q5738" s="32"/>
      <c r="R5738" s="27"/>
      <c r="S5738" s="21"/>
      <c r="T5738" s="14"/>
    </row>
    <row r="5739" spans="13:20" x14ac:dyDescent="0.25">
      <c r="M5739" s="14"/>
      <c r="N5739" s="14"/>
      <c r="O5739" s="36"/>
      <c r="P5739" s="14"/>
      <c r="Q5739" s="14"/>
      <c r="R5739" s="37"/>
      <c r="S5739" s="29"/>
      <c r="T5739" s="28"/>
    </row>
    <row r="5740" spans="13:20" x14ac:dyDescent="0.25">
      <c r="M5740" s="14"/>
      <c r="N5740" s="14"/>
      <c r="O5740" s="21"/>
      <c r="P5740" s="14"/>
      <c r="Q5740" s="21"/>
      <c r="R5740" s="28"/>
      <c r="S5740" s="29"/>
      <c r="T5740" s="28"/>
    </row>
    <row r="5741" spans="13:20" x14ac:dyDescent="0.25">
      <c r="M5741" s="14"/>
      <c r="N5741" s="14"/>
      <c r="O5741" s="14"/>
      <c r="P5741" s="14"/>
      <c r="Q5741" s="14"/>
      <c r="R5741" s="14"/>
      <c r="S5741" s="26"/>
      <c r="T5741" s="26"/>
    </row>
    <row r="5742" spans="13:20" ht="13.8" x14ac:dyDescent="0.25">
      <c r="M5742" s="14"/>
      <c r="N5742" s="14"/>
      <c r="O5742" s="30"/>
      <c r="P5742" s="14"/>
      <c r="Q5742" s="14"/>
      <c r="R5742" s="27"/>
      <c r="S5742" s="26"/>
      <c r="T5742" s="26"/>
    </row>
    <row r="5743" spans="13:20" x14ac:dyDescent="0.25">
      <c r="M5743" s="14"/>
      <c r="N5743" s="14"/>
      <c r="O5743" s="14"/>
      <c r="P5743" s="14"/>
      <c r="Q5743" s="14"/>
      <c r="R5743" s="14"/>
      <c r="S5743" s="14"/>
      <c r="T5743" s="14"/>
    </row>
    <row r="5744" spans="13:20" x14ac:dyDescent="0.25">
      <c r="M5744" s="14"/>
      <c r="N5744" s="14"/>
      <c r="O5744" s="21"/>
      <c r="P5744" s="21"/>
      <c r="Q5744" s="21"/>
      <c r="R5744" s="27"/>
      <c r="S5744" s="29"/>
      <c r="T5744" s="29"/>
    </row>
    <row r="5745" spans="13:20" x14ac:dyDescent="0.25">
      <c r="M5745" s="14"/>
      <c r="N5745" s="14"/>
      <c r="O5745" s="21"/>
      <c r="P5745" s="14"/>
      <c r="Q5745" s="21"/>
      <c r="R5745" s="28"/>
      <c r="S5745" s="29"/>
      <c r="T5745" s="29"/>
    </row>
    <row r="5746" spans="13:20" x14ac:dyDescent="0.25">
      <c r="M5746" s="14"/>
      <c r="N5746" s="14"/>
      <c r="O5746" s="21"/>
      <c r="P5746" s="14"/>
      <c r="Q5746" s="21"/>
      <c r="R5746" s="28"/>
      <c r="S5746" s="29"/>
      <c r="T5746" s="29"/>
    </row>
    <row r="5747" spans="13:20" ht="14.4" x14ac:dyDescent="0.3">
      <c r="M5747" s="14"/>
      <c r="N5747" s="14"/>
      <c r="O5747" s="32"/>
      <c r="P5747" s="33"/>
      <c r="Q5747" s="32"/>
      <c r="R5747" s="27"/>
      <c r="S5747" s="29"/>
      <c r="T5747" s="29"/>
    </row>
    <row r="5748" spans="13:20" x14ac:dyDescent="0.25">
      <c r="M5748" s="14"/>
      <c r="N5748" s="14"/>
      <c r="O5748" s="32"/>
      <c r="P5748" s="21"/>
      <c r="Q5748" s="32"/>
      <c r="R5748" s="27"/>
      <c r="S5748" s="29"/>
      <c r="T5748" s="29"/>
    </row>
    <row r="5749" spans="13:20" x14ac:dyDescent="0.25">
      <c r="M5749" s="14"/>
      <c r="N5749" s="14"/>
      <c r="O5749" s="32"/>
      <c r="P5749" s="34"/>
      <c r="Q5749" s="32"/>
      <c r="R5749" s="27"/>
      <c r="S5749" s="14"/>
      <c r="T5749" s="29"/>
    </row>
    <row r="5750" spans="13:20" x14ac:dyDescent="0.25">
      <c r="M5750" s="14"/>
      <c r="N5750" s="14"/>
      <c r="O5750" s="32"/>
      <c r="P5750" s="34"/>
      <c r="Q5750" s="32"/>
      <c r="R5750" s="27"/>
      <c r="S5750" s="14"/>
      <c r="T5750" s="29"/>
    </row>
    <row r="5751" spans="13:20" x14ac:dyDescent="0.25">
      <c r="M5751" s="14"/>
      <c r="N5751" s="14"/>
      <c r="O5751" s="32"/>
      <c r="P5751" s="34"/>
      <c r="Q5751" s="32"/>
      <c r="R5751" s="27"/>
      <c r="S5751" s="14"/>
      <c r="T5751" s="14"/>
    </row>
    <row r="5752" spans="13:20" x14ac:dyDescent="0.25">
      <c r="M5752" s="14"/>
      <c r="N5752" s="14"/>
      <c r="O5752" s="32"/>
      <c r="P5752" s="35"/>
      <c r="Q5752" s="32"/>
      <c r="R5752" s="27"/>
      <c r="S5752" s="21"/>
      <c r="T5752" s="14"/>
    </row>
    <row r="5753" spans="13:20" x14ac:dyDescent="0.25">
      <c r="M5753" s="14"/>
      <c r="N5753" s="14"/>
      <c r="O5753" s="36"/>
      <c r="P5753" s="14"/>
      <c r="Q5753" s="14"/>
      <c r="R5753" s="37"/>
      <c r="S5753" s="29"/>
      <c r="T5753" s="28"/>
    </row>
    <row r="5754" spans="13:20" x14ac:dyDescent="0.25">
      <c r="M5754" s="14"/>
      <c r="N5754" s="14"/>
      <c r="O5754" s="21"/>
      <c r="P5754" s="14"/>
      <c r="Q5754" s="21"/>
      <c r="R5754" s="28"/>
      <c r="S5754" s="29"/>
      <c r="T5754" s="28"/>
    </row>
    <row r="5755" spans="13:20" x14ac:dyDescent="0.25">
      <c r="M5755" s="14"/>
      <c r="N5755" s="14"/>
      <c r="O5755" s="14"/>
      <c r="P5755" s="14"/>
      <c r="Q5755" s="14"/>
      <c r="R5755" s="14"/>
      <c r="S5755" s="26"/>
      <c r="T5755" s="26"/>
    </row>
    <row r="5756" spans="13:20" ht="13.8" x14ac:dyDescent="0.25">
      <c r="M5756" s="14"/>
      <c r="N5756" s="14"/>
      <c r="O5756" s="30"/>
      <c r="P5756" s="14"/>
      <c r="Q5756" s="14"/>
      <c r="R5756" s="27"/>
      <c r="S5756" s="26"/>
      <c r="T5756" s="26"/>
    </row>
    <row r="5757" spans="13:20" x14ac:dyDescent="0.25">
      <c r="M5757" s="14"/>
      <c r="N5757" s="14"/>
      <c r="O5757" s="14"/>
      <c r="P5757" s="14"/>
      <c r="Q5757" s="14"/>
      <c r="R5757" s="14"/>
      <c r="S5757" s="14"/>
      <c r="T5757" s="14"/>
    </row>
    <row r="5758" spans="13:20" x14ac:dyDescent="0.25">
      <c r="M5758" s="14"/>
      <c r="N5758" s="14"/>
      <c r="O5758" s="21"/>
      <c r="P5758" s="21"/>
      <c r="Q5758" s="21"/>
      <c r="R5758" s="27"/>
      <c r="S5758" s="29"/>
      <c r="T5758" s="29"/>
    </row>
    <row r="5759" spans="13:20" x14ac:dyDescent="0.25">
      <c r="M5759" s="14"/>
      <c r="N5759" s="14"/>
      <c r="O5759" s="21"/>
      <c r="P5759" s="14"/>
      <c r="Q5759" s="21"/>
      <c r="R5759" s="28"/>
      <c r="S5759" s="29"/>
      <c r="T5759" s="29"/>
    </row>
    <row r="5760" spans="13:20" x14ac:dyDescent="0.25">
      <c r="M5760" s="14"/>
      <c r="N5760" s="14"/>
      <c r="O5760" s="21"/>
      <c r="P5760" s="14"/>
      <c r="Q5760" s="21"/>
      <c r="R5760" s="28"/>
      <c r="S5760" s="29"/>
      <c r="T5760" s="29"/>
    </row>
    <row r="5761" spans="13:20" ht="14.4" x14ac:dyDescent="0.3">
      <c r="M5761" s="14"/>
      <c r="N5761" s="14"/>
      <c r="O5761" s="32"/>
      <c r="P5761" s="33"/>
      <c r="Q5761" s="32"/>
      <c r="R5761" s="27"/>
      <c r="S5761" s="29"/>
      <c r="T5761" s="29"/>
    </row>
    <row r="5762" spans="13:20" x14ac:dyDescent="0.25">
      <c r="M5762" s="14"/>
      <c r="N5762" s="14"/>
      <c r="O5762" s="32"/>
      <c r="P5762" s="21"/>
      <c r="Q5762" s="32"/>
      <c r="R5762" s="27"/>
      <c r="S5762" s="29"/>
      <c r="T5762" s="29"/>
    </row>
    <row r="5763" spans="13:20" x14ac:dyDescent="0.25">
      <c r="M5763" s="14"/>
      <c r="N5763" s="14"/>
      <c r="O5763" s="32"/>
      <c r="P5763" s="34"/>
      <c r="Q5763" s="32"/>
      <c r="R5763" s="27"/>
      <c r="S5763" s="14"/>
      <c r="T5763" s="29"/>
    </row>
    <row r="5764" spans="13:20" x14ac:dyDescent="0.25">
      <c r="M5764" s="14"/>
      <c r="N5764" s="14"/>
      <c r="O5764" s="32"/>
      <c r="P5764" s="34"/>
      <c r="Q5764" s="32"/>
      <c r="R5764" s="27"/>
      <c r="S5764" s="14"/>
      <c r="T5764" s="29"/>
    </row>
    <row r="5765" spans="13:20" x14ac:dyDescent="0.25">
      <c r="M5765" s="14"/>
      <c r="N5765" s="14"/>
      <c r="O5765" s="32"/>
      <c r="P5765" s="34"/>
      <c r="Q5765" s="32"/>
      <c r="R5765" s="27"/>
      <c r="S5765" s="14"/>
      <c r="T5765" s="14"/>
    </row>
    <row r="5766" spans="13:20" x14ac:dyDescent="0.25">
      <c r="M5766" s="14"/>
      <c r="N5766" s="14"/>
      <c r="O5766" s="32"/>
      <c r="P5766" s="35"/>
      <c r="Q5766" s="32"/>
      <c r="R5766" s="27"/>
      <c r="S5766" s="21"/>
      <c r="T5766" s="14"/>
    </row>
    <row r="5767" spans="13:20" x14ac:dyDescent="0.25">
      <c r="M5767" s="14"/>
      <c r="N5767" s="14"/>
      <c r="O5767" s="36"/>
      <c r="P5767" s="14"/>
      <c r="Q5767" s="14"/>
      <c r="R5767" s="37"/>
      <c r="S5767" s="29"/>
      <c r="T5767" s="28"/>
    </row>
    <row r="5768" spans="13:20" x14ac:dyDescent="0.25">
      <c r="M5768" s="14"/>
      <c r="N5768" s="14"/>
      <c r="O5768" s="21"/>
      <c r="P5768" s="14"/>
      <c r="Q5768" s="21"/>
      <c r="R5768" s="28"/>
      <c r="S5768" s="29"/>
      <c r="T5768" s="28"/>
    </row>
    <row r="5769" spans="13:20" x14ac:dyDescent="0.25">
      <c r="M5769" s="14"/>
      <c r="N5769" s="14"/>
      <c r="O5769" s="14"/>
      <c r="P5769" s="14"/>
      <c r="Q5769" s="14"/>
      <c r="R5769" s="14"/>
      <c r="S5769" s="26"/>
      <c r="T5769" s="26"/>
    </row>
    <row r="5770" spans="13:20" ht="13.8" x14ac:dyDescent="0.25">
      <c r="M5770" s="14"/>
      <c r="N5770" s="14"/>
      <c r="O5770" s="30"/>
      <c r="P5770" s="14"/>
      <c r="Q5770" s="14"/>
      <c r="R5770" s="27"/>
      <c r="S5770" s="26"/>
      <c r="T5770" s="26"/>
    </row>
    <row r="5771" spans="13:20" x14ac:dyDescent="0.25">
      <c r="M5771" s="14"/>
      <c r="N5771" s="14"/>
      <c r="O5771" s="14"/>
      <c r="P5771" s="14"/>
      <c r="Q5771" s="14"/>
      <c r="R5771" s="14"/>
      <c r="S5771" s="14"/>
      <c r="T5771" s="14"/>
    </row>
    <row r="5772" spans="13:20" x14ac:dyDescent="0.25">
      <c r="M5772" s="14"/>
      <c r="N5772" s="14"/>
      <c r="O5772" s="21"/>
      <c r="P5772" s="21"/>
      <c r="Q5772" s="21"/>
      <c r="R5772" s="27"/>
      <c r="S5772" s="29"/>
      <c r="T5772" s="29"/>
    </row>
    <row r="5773" spans="13:20" x14ac:dyDescent="0.25">
      <c r="M5773" s="14"/>
      <c r="N5773" s="14"/>
      <c r="O5773" s="21"/>
      <c r="P5773" s="14"/>
      <c r="Q5773" s="21"/>
      <c r="R5773" s="28"/>
      <c r="S5773" s="29"/>
      <c r="T5773" s="29"/>
    </row>
    <row r="5774" spans="13:20" x14ac:dyDescent="0.25">
      <c r="M5774" s="14"/>
      <c r="N5774" s="14"/>
      <c r="O5774" s="21"/>
      <c r="P5774" s="14"/>
      <c r="Q5774" s="21"/>
      <c r="R5774" s="28"/>
      <c r="S5774" s="29"/>
      <c r="T5774" s="29"/>
    </row>
    <row r="5775" spans="13:20" ht="14.4" x14ac:dyDescent="0.3">
      <c r="M5775" s="14"/>
      <c r="N5775" s="14"/>
      <c r="O5775" s="32"/>
      <c r="P5775" s="33"/>
      <c r="Q5775" s="32"/>
      <c r="R5775" s="27"/>
      <c r="S5775" s="29"/>
      <c r="T5775" s="29"/>
    </row>
    <row r="5776" spans="13:20" x14ac:dyDescent="0.25">
      <c r="M5776" s="14"/>
      <c r="N5776" s="14"/>
      <c r="O5776" s="32"/>
      <c r="P5776" s="21"/>
      <c r="Q5776" s="32"/>
      <c r="R5776" s="27"/>
      <c r="S5776" s="29"/>
      <c r="T5776" s="29"/>
    </row>
    <row r="5777" spans="13:20" x14ac:dyDescent="0.25">
      <c r="M5777" s="14"/>
      <c r="N5777" s="14"/>
      <c r="O5777" s="32"/>
      <c r="P5777" s="34"/>
      <c r="Q5777" s="32"/>
      <c r="R5777" s="27"/>
      <c r="S5777" s="14"/>
      <c r="T5777" s="29"/>
    </row>
    <row r="5778" spans="13:20" x14ac:dyDescent="0.25">
      <c r="M5778" s="14"/>
      <c r="N5778" s="14"/>
      <c r="O5778" s="32"/>
      <c r="P5778" s="34"/>
      <c r="Q5778" s="32"/>
      <c r="R5778" s="27"/>
      <c r="S5778" s="14"/>
      <c r="T5778" s="29"/>
    </row>
    <row r="5779" spans="13:20" x14ac:dyDescent="0.25">
      <c r="M5779" s="14"/>
      <c r="N5779" s="14"/>
      <c r="O5779" s="32"/>
      <c r="P5779" s="34"/>
      <c r="Q5779" s="32"/>
      <c r="R5779" s="27"/>
      <c r="S5779" s="14"/>
      <c r="T5779" s="14"/>
    </row>
    <row r="5780" spans="13:20" x14ac:dyDescent="0.25">
      <c r="M5780" s="14"/>
      <c r="N5780" s="14"/>
      <c r="O5780" s="32"/>
      <c r="P5780" s="35"/>
      <c r="Q5780" s="32"/>
      <c r="R5780" s="27"/>
      <c r="S5780" s="21"/>
      <c r="T5780" s="14"/>
    </row>
    <row r="5781" spans="13:20" x14ac:dyDescent="0.25">
      <c r="M5781" s="14"/>
      <c r="N5781" s="14"/>
      <c r="O5781" s="36"/>
      <c r="P5781" s="14"/>
      <c r="Q5781" s="14"/>
      <c r="R5781" s="37"/>
      <c r="S5781" s="29"/>
      <c r="T5781" s="28"/>
    </row>
    <row r="5782" spans="13:20" x14ac:dyDescent="0.25">
      <c r="M5782" s="14"/>
      <c r="N5782" s="14"/>
      <c r="O5782" s="21"/>
      <c r="P5782" s="14"/>
      <c r="Q5782" s="21"/>
      <c r="R5782" s="28"/>
      <c r="S5782" s="29"/>
      <c r="T5782" s="28"/>
    </row>
    <row r="5783" spans="13:20" x14ac:dyDescent="0.25">
      <c r="M5783" s="14"/>
      <c r="N5783" s="14"/>
      <c r="O5783" s="14"/>
      <c r="P5783" s="14"/>
      <c r="Q5783" s="14"/>
      <c r="R5783" s="14"/>
      <c r="S5783" s="26"/>
      <c r="T5783" s="26"/>
    </row>
    <row r="5784" spans="13:20" ht="13.8" x14ac:dyDescent="0.25">
      <c r="M5784" s="14"/>
      <c r="N5784" s="14"/>
      <c r="O5784" s="30"/>
      <c r="P5784" s="14"/>
      <c r="Q5784" s="14"/>
      <c r="R5784" s="27"/>
      <c r="S5784" s="26"/>
      <c r="T5784" s="26"/>
    </row>
    <row r="5785" spans="13:20" x14ac:dyDescent="0.25">
      <c r="M5785" s="14"/>
      <c r="N5785" s="14"/>
      <c r="O5785" s="14"/>
      <c r="P5785" s="14"/>
      <c r="Q5785" s="14"/>
      <c r="R5785" s="14"/>
      <c r="S5785" s="14"/>
      <c r="T5785" s="14"/>
    </row>
    <row r="5786" spans="13:20" x14ac:dyDescent="0.25">
      <c r="M5786" s="14"/>
      <c r="N5786" s="14"/>
      <c r="O5786" s="21"/>
      <c r="P5786" s="21"/>
      <c r="Q5786" s="21"/>
      <c r="R5786" s="27"/>
      <c r="S5786" s="29"/>
      <c r="T5786" s="29"/>
    </row>
    <row r="5787" spans="13:20" x14ac:dyDescent="0.25">
      <c r="M5787" s="14"/>
      <c r="N5787" s="14"/>
      <c r="O5787" s="21"/>
      <c r="P5787" s="14"/>
      <c r="Q5787" s="21"/>
      <c r="R5787" s="28"/>
      <c r="S5787" s="29"/>
      <c r="T5787" s="29"/>
    </row>
    <row r="5788" spans="13:20" x14ac:dyDescent="0.25">
      <c r="M5788" s="14"/>
      <c r="N5788" s="14"/>
      <c r="O5788" s="21"/>
      <c r="P5788" s="14"/>
      <c r="Q5788" s="21"/>
      <c r="R5788" s="28"/>
      <c r="S5788" s="29"/>
      <c r="T5788" s="29"/>
    </row>
    <row r="5789" spans="13:20" ht="14.4" x14ac:dyDescent="0.3">
      <c r="M5789" s="14"/>
      <c r="N5789" s="14"/>
      <c r="O5789" s="32"/>
      <c r="P5789" s="33"/>
      <c r="Q5789" s="32"/>
      <c r="R5789" s="27"/>
      <c r="S5789" s="29"/>
      <c r="T5789" s="29"/>
    </row>
    <row r="5790" spans="13:20" x14ac:dyDescent="0.25">
      <c r="M5790" s="14"/>
      <c r="N5790" s="14"/>
      <c r="O5790" s="32"/>
      <c r="P5790" s="21"/>
      <c r="Q5790" s="32"/>
      <c r="R5790" s="27"/>
      <c r="S5790" s="29"/>
      <c r="T5790" s="29"/>
    </row>
    <row r="5791" spans="13:20" x14ac:dyDescent="0.25">
      <c r="M5791" s="14"/>
      <c r="N5791" s="14"/>
      <c r="O5791" s="32"/>
      <c r="P5791" s="34"/>
      <c r="Q5791" s="32"/>
      <c r="R5791" s="27"/>
      <c r="S5791" s="14"/>
      <c r="T5791" s="29"/>
    </row>
    <row r="5792" spans="13:20" x14ac:dyDescent="0.25">
      <c r="M5792" s="14"/>
      <c r="N5792" s="14"/>
      <c r="O5792" s="32"/>
      <c r="P5792" s="34"/>
      <c r="Q5792" s="32"/>
      <c r="R5792" s="27"/>
      <c r="S5792" s="14"/>
      <c r="T5792" s="29"/>
    </row>
    <row r="5793" spans="13:20" x14ac:dyDescent="0.25">
      <c r="M5793" s="14"/>
      <c r="N5793" s="14"/>
      <c r="O5793" s="32"/>
      <c r="P5793" s="34"/>
      <c r="Q5793" s="32"/>
      <c r="R5793" s="27"/>
      <c r="S5793" s="14"/>
      <c r="T5793" s="14"/>
    </row>
    <row r="5794" spans="13:20" x14ac:dyDescent="0.25">
      <c r="M5794" s="14"/>
      <c r="N5794" s="14"/>
      <c r="O5794" s="32"/>
      <c r="P5794" s="35"/>
      <c r="Q5794" s="32"/>
      <c r="R5794" s="27"/>
      <c r="S5794" s="21"/>
      <c r="T5794" s="14"/>
    </row>
    <row r="5795" spans="13:20" x14ac:dyDescent="0.25">
      <c r="M5795" s="14"/>
      <c r="N5795" s="14"/>
      <c r="O5795" s="36"/>
      <c r="P5795" s="14"/>
      <c r="Q5795" s="14"/>
      <c r="R5795" s="37"/>
      <c r="S5795" s="29"/>
      <c r="T5795" s="28"/>
    </row>
    <row r="5796" spans="13:20" x14ac:dyDescent="0.25">
      <c r="M5796" s="14"/>
      <c r="N5796" s="14"/>
      <c r="O5796" s="21"/>
      <c r="P5796" s="14"/>
      <c r="Q5796" s="21"/>
      <c r="R5796" s="28"/>
      <c r="S5796" s="29"/>
      <c r="T5796" s="28"/>
    </row>
    <row r="5797" spans="13:20" x14ac:dyDescent="0.25">
      <c r="M5797" s="14"/>
      <c r="N5797" s="14"/>
      <c r="O5797" s="14"/>
      <c r="P5797" s="14"/>
      <c r="Q5797" s="14"/>
      <c r="R5797" s="14"/>
      <c r="S5797" s="26"/>
      <c r="T5797" s="26"/>
    </row>
    <row r="5798" spans="13:20" ht="13.8" x14ac:dyDescent="0.25">
      <c r="M5798" s="14"/>
      <c r="N5798" s="14"/>
      <c r="O5798" s="30"/>
      <c r="P5798" s="14"/>
      <c r="Q5798" s="14"/>
      <c r="R5798" s="27"/>
      <c r="S5798" s="26"/>
      <c r="T5798" s="26"/>
    </row>
    <row r="5799" spans="13:20" x14ac:dyDescent="0.25">
      <c r="M5799" s="14"/>
      <c r="N5799" s="14"/>
      <c r="O5799" s="14"/>
      <c r="P5799" s="14"/>
      <c r="Q5799" s="14"/>
      <c r="R5799" s="14"/>
      <c r="S5799" s="14"/>
      <c r="T5799" s="14"/>
    </row>
    <row r="5800" spans="13:20" x14ac:dyDescent="0.25">
      <c r="M5800" s="14"/>
      <c r="N5800" s="14"/>
      <c r="O5800" s="21"/>
      <c r="P5800" s="21"/>
      <c r="Q5800" s="21"/>
      <c r="R5800" s="27"/>
      <c r="S5800" s="29"/>
      <c r="T5800" s="29"/>
    </row>
    <row r="5801" spans="13:20" x14ac:dyDescent="0.25">
      <c r="M5801" s="14"/>
      <c r="N5801" s="14"/>
      <c r="O5801" s="21"/>
      <c r="P5801" s="14"/>
      <c r="Q5801" s="21"/>
      <c r="R5801" s="28"/>
      <c r="S5801" s="29"/>
      <c r="T5801" s="29"/>
    </row>
    <row r="5802" spans="13:20" x14ac:dyDescent="0.25">
      <c r="M5802" s="14"/>
      <c r="N5802" s="14"/>
      <c r="O5802" s="21"/>
      <c r="P5802" s="14"/>
      <c r="Q5802" s="21"/>
      <c r="R5802" s="28"/>
      <c r="S5802" s="29"/>
      <c r="T5802" s="29"/>
    </row>
    <row r="5803" spans="13:20" ht="14.4" x14ac:dyDescent="0.3">
      <c r="M5803" s="14"/>
      <c r="N5803" s="14"/>
      <c r="O5803" s="32"/>
      <c r="P5803" s="33"/>
      <c r="Q5803" s="32"/>
      <c r="R5803" s="27"/>
      <c r="S5803" s="29"/>
      <c r="T5803" s="29"/>
    </row>
    <row r="5804" spans="13:20" x14ac:dyDescent="0.25">
      <c r="M5804" s="14"/>
      <c r="N5804" s="14"/>
      <c r="O5804" s="32"/>
      <c r="P5804" s="21"/>
      <c r="Q5804" s="32"/>
      <c r="R5804" s="27"/>
      <c r="S5804" s="29"/>
      <c r="T5804" s="29"/>
    </row>
    <row r="5805" spans="13:20" x14ac:dyDescent="0.25">
      <c r="M5805" s="14"/>
      <c r="N5805" s="14"/>
      <c r="O5805" s="32"/>
      <c r="P5805" s="34"/>
      <c r="Q5805" s="32"/>
      <c r="R5805" s="27"/>
      <c r="S5805" s="14"/>
      <c r="T5805" s="29"/>
    </row>
    <row r="5806" spans="13:20" x14ac:dyDescent="0.25">
      <c r="M5806" s="14"/>
      <c r="N5806" s="14"/>
      <c r="O5806" s="32"/>
      <c r="P5806" s="34"/>
      <c r="Q5806" s="32"/>
      <c r="R5806" s="27"/>
      <c r="S5806" s="14"/>
      <c r="T5806" s="29"/>
    </row>
    <row r="5807" spans="13:20" x14ac:dyDescent="0.25">
      <c r="M5807" s="14"/>
      <c r="N5807" s="14"/>
      <c r="O5807" s="32"/>
      <c r="P5807" s="34"/>
      <c r="Q5807" s="32"/>
      <c r="R5807" s="27"/>
      <c r="S5807" s="14"/>
      <c r="T5807" s="14"/>
    </row>
    <row r="5808" spans="13:20" x14ac:dyDescent="0.25">
      <c r="M5808" s="14"/>
      <c r="N5808" s="14"/>
      <c r="O5808" s="32"/>
      <c r="P5808" s="35"/>
      <c r="Q5808" s="32"/>
      <c r="R5808" s="27"/>
      <c r="S5808" s="21"/>
      <c r="T5808" s="14"/>
    </row>
    <row r="5809" spans="13:20" x14ac:dyDescent="0.25">
      <c r="M5809" s="14"/>
      <c r="N5809" s="14"/>
      <c r="O5809" s="36"/>
      <c r="P5809" s="14"/>
      <c r="Q5809" s="14"/>
      <c r="R5809" s="37"/>
      <c r="S5809" s="29"/>
      <c r="T5809" s="28"/>
    </row>
    <row r="5810" spans="13:20" x14ac:dyDescent="0.25">
      <c r="M5810" s="14"/>
      <c r="N5810" s="14"/>
      <c r="O5810" s="21"/>
      <c r="P5810" s="14"/>
      <c r="Q5810" s="21"/>
      <c r="R5810" s="28"/>
      <c r="S5810" s="29"/>
      <c r="T5810" s="28"/>
    </row>
    <row r="5811" spans="13:20" x14ac:dyDescent="0.25">
      <c r="M5811" s="14"/>
      <c r="N5811" s="14"/>
      <c r="O5811" s="14"/>
      <c r="P5811" s="14"/>
      <c r="Q5811" s="14"/>
      <c r="R5811" s="14"/>
      <c r="S5811" s="26"/>
      <c r="T5811" s="26"/>
    </row>
    <row r="5812" spans="13:20" ht="13.8" x14ac:dyDescent="0.25">
      <c r="M5812" s="14"/>
      <c r="N5812" s="14"/>
      <c r="O5812" s="30"/>
      <c r="P5812" s="14"/>
      <c r="Q5812" s="14"/>
      <c r="R5812" s="27"/>
      <c r="S5812" s="26"/>
      <c r="T5812" s="26"/>
    </row>
    <row r="5813" spans="13:20" x14ac:dyDescent="0.25">
      <c r="M5813" s="14"/>
      <c r="N5813" s="14"/>
      <c r="O5813" s="14"/>
      <c r="P5813" s="14"/>
      <c r="Q5813" s="14"/>
      <c r="R5813" s="14"/>
      <c r="S5813" s="14"/>
      <c r="T5813" s="14"/>
    </row>
    <row r="5814" spans="13:20" x14ac:dyDescent="0.25">
      <c r="M5814" s="14"/>
      <c r="N5814" s="14"/>
      <c r="O5814" s="21"/>
      <c r="P5814" s="21"/>
      <c r="Q5814" s="21"/>
      <c r="R5814" s="27"/>
      <c r="S5814" s="29"/>
      <c r="T5814" s="29"/>
    </row>
    <row r="5815" spans="13:20" x14ac:dyDescent="0.25">
      <c r="M5815" s="14"/>
      <c r="N5815" s="14"/>
      <c r="O5815" s="21"/>
      <c r="P5815" s="14"/>
      <c r="Q5815" s="21"/>
      <c r="R5815" s="28"/>
      <c r="S5815" s="29"/>
      <c r="T5815" s="29"/>
    </row>
    <row r="5816" spans="13:20" x14ac:dyDescent="0.25">
      <c r="M5816" s="14"/>
      <c r="N5816" s="14"/>
      <c r="O5816" s="21"/>
      <c r="P5816" s="14"/>
      <c r="Q5816" s="21"/>
      <c r="R5816" s="28"/>
      <c r="S5816" s="29"/>
      <c r="T5816" s="29"/>
    </row>
    <row r="5817" spans="13:20" ht="14.4" x14ac:dyDescent="0.3">
      <c r="M5817" s="14"/>
      <c r="N5817" s="14"/>
      <c r="O5817" s="32"/>
      <c r="P5817" s="33"/>
      <c r="Q5817" s="32"/>
      <c r="R5817" s="27"/>
      <c r="S5817" s="29"/>
      <c r="T5817" s="29"/>
    </row>
    <row r="5818" spans="13:20" x14ac:dyDescent="0.25">
      <c r="M5818" s="14"/>
      <c r="N5818" s="14"/>
      <c r="O5818" s="32"/>
      <c r="P5818" s="21"/>
      <c r="Q5818" s="32"/>
      <c r="R5818" s="27"/>
      <c r="S5818" s="29"/>
      <c r="T5818" s="29"/>
    </row>
    <row r="5819" spans="13:20" x14ac:dyDescent="0.25">
      <c r="M5819" s="14"/>
      <c r="N5819" s="14"/>
      <c r="O5819" s="32"/>
      <c r="P5819" s="34"/>
      <c r="Q5819" s="32"/>
      <c r="R5819" s="27"/>
      <c r="S5819" s="14"/>
      <c r="T5819" s="29"/>
    </row>
    <row r="5820" spans="13:20" x14ac:dyDescent="0.25">
      <c r="M5820" s="14"/>
      <c r="N5820" s="14"/>
      <c r="O5820" s="32"/>
      <c r="P5820" s="34"/>
      <c r="Q5820" s="32"/>
      <c r="R5820" s="27"/>
      <c r="S5820" s="14"/>
      <c r="T5820" s="29"/>
    </row>
    <row r="5821" spans="13:20" x14ac:dyDescent="0.25">
      <c r="M5821" s="14"/>
      <c r="N5821" s="14"/>
      <c r="O5821" s="32"/>
      <c r="P5821" s="34"/>
      <c r="Q5821" s="32"/>
      <c r="R5821" s="27"/>
      <c r="S5821" s="14"/>
      <c r="T5821" s="14"/>
    </row>
    <row r="5822" spans="13:20" x14ac:dyDescent="0.25">
      <c r="M5822" s="14"/>
      <c r="N5822" s="14"/>
      <c r="O5822" s="32"/>
      <c r="P5822" s="35"/>
      <c r="Q5822" s="32"/>
      <c r="R5822" s="27"/>
      <c r="S5822" s="21"/>
      <c r="T5822" s="14"/>
    </row>
    <row r="5823" spans="13:20" x14ac:dyDescent="0.25">
      <c r="M5823" s="14"/>
      <c r="N5823" s="14"/>
      <c r="O5823" s="36"/>
      <c r="P5823" s="14"/>
      <c r="Q5823" s="14"/>
      <c r="R5823" s="37"/>
      <c r="S5823" s="29"/>
      <c r="T5823" s="28"/>
    </row>
    <row r="5824" spans="13:20" x14ac:dyDescent="0.25">
      <c r="M5824" s="14"/>
      <c r="N5824" s="14"/>
      <c r="O5824" s="21"/>
      <c r="P5824" s="14"/>
      <c r="Q5824" s="21"/>
      <c r="R5824" s="28"/>
      <c r="S5824" s="29"/>
      <c r="T5824" s="28"/>
    </row>
    <row r="5825" spans="13:20" x14ac:dyDescent="0.25">
      <c r="M5825" s="14"/>
      <c r="N5825" s="14"/>
      <c r="O5825" s="14"/>
      <c r="P5825" s="14"/>
      <c r="Q5825" s="14"/>
      <c r="R5825" s="14"/>
      <c r="S5825" s="26"/>
      <c r="T5825" s="26"/>
    </row>
    <row r="5826" spans="13:20" ht="13.8" x14ac:dyDescent="0.25">
      <c r="M5826" s="14"/>
      <c r="N5826" s="14"/>
      <c r="O5826" s="30"/>
      <c r="P5826" s="14"/>
      <c r="Q5826" s="14"/>
      <c r="R5826" s="27"/>
      <c r="S5826" s="26"/>
      <c r="T5826" s="26"/>
    </row>
    <row r="5827" spans="13:20" x14ac:dyDescent="0.25">
      <c r="M5827" s="14"/>
      <c r="N5827" s="14"/>
      <c r="O5827" s="14"/>
      <c r="P5827" s="14"/>
      <c r="Q5827" s="14"/>
      <c r="R5827" s="14"/>
      <c r="S5827" s="14"/>
      <c r="T5827" s="14"/>
    </row>
    <row r="5828" spans="13:20" x14ac:dyDescent="0.25">
      <c r="M5828" s="14"/>
      <c r="N5828" s="14"/>
      <c r="O5828" s="21"/>
      <c r="P5828" s="21"/>
      <c r="Q5828" s="21"/>
      <c r="R5828" s="27"/>
      <c r="S5828" s="29"/>
      <c r="T5828" s="29"/>
    </row>
    <row r="5829" spans="13:20" x14ac:dyDescent="0.25">
      <c r="M5829" s="14"/>
      <c r="N5829" s="14"/>
      <c r="O5829" s="21"/>
      <c r="P5829" s="14"/>
      <c r="Q5829" s="21"/>
      <c r="R5829" s="28"/>
      <c r="S5829" s="29"/>
      <c r="T5829" s="29"/>
    </row>
    <row r="5830" spans="13:20" x14ac:dyDescent="0.25">
      <c r="M5830" s="14"/>
      <c r="N5830" s="14"/>
      <c r="O5830" s="21"/>
      <c r="P5830" s="14"/>
      <c r="Q5830" s="21"/>
      <c r="R5830" s="28"/>
      <c r="S5830" s="29"/>
      <c r="T5830" s="29"/>
    </row>
    <row r="5831" spans="13:20" ht="14.4" x14ac:dyDescent="0.3">
      <c r="M5831" s="14"/>
      <c r="N5831" s="14"/>
      <c r="O5831" s="32"/>
      <c r="P5831" s="33"/>
      <c r="Q5831" s="32"/>
      <c r="R5831" s="27"/>
      <c r="S5831" s="29"/>
      <c r="T5831" s="29"/>
    </row>
    <row r="5832" spans="13:20" x14ac:dyDescent="0.25">
      <c r="M5832" s="14"/>
      <c r="N5832" s="14"/>
      <c r="O5832" s="32"/>
      <c r="P5832" s="21"/>
      <c r="Q5832" s="32"/>
      <c r="R5832" s="27"/>
      <c r="S5832" s="29"/>
      <c r="T5832" s="29"/>
    </row>
    <row r="5833" spans="13:20" x14ac:dyDescent="0.25">
      <c r="M5833" s="14"/>
      <c r="N5833" s="14"/>
      <c r="O5833" s="32"/>
      <c r="P5833" s="34"/>
      <c r="Q5833" s="32"/>
      <c r="R5833" s="27"/>
      <c r="S5833" s="14"/>
      <c r="T5833" s="29"/>
    </row>
    <row r="5834" spans="13:20" x14ac:dyDescent="0.25">
      <c r="M5834" s="14"/>
      <c r="N5834" s="14"/>
      <c r="O5834" s="32"/>
      <c r="P5834" s="34"/>
      <c r="Q5834" s="32"/>
      <c r="R5834" s="27"/>
      <c r="S5834" s="14"/>
      <c r="T5834" s="29"/>
    </row>
    <row r="5835" spans="13:20" x14ac:dyDescent="0.25">
      <c r="M5835" s="14"/>
      <c r="N5835" s="14"/>
      <c r="O5835" s="32"/>
      <c r="P5835" s="34"/>
      <c r="Q5835" s="32"/>
      <c r="R5835" s="27"/>
      <c r="S5835" s="14"/>
      <c r="T5835" s="14"/>
    </row>
    <row r="5836" spans="13:20" x14ac:dyDescent="0.25">
      <c r="M5836" s="14"/>
      <c r="N5836" s="14"/>
      <c r="O5836" s="32"/>
      <c r="P5836" s="35"/>
      <c r="Q5836" s="32"/>
      <c r="R5836" s="27"/>
      <c r="S5836" s="21"/>
      <c r="T5836" s="14"/>
    </row>
    <row r="5837" spans="13:20" x14ac:dyDescent="0.25">
      <c r="M5837" s="14"/>
      <c r="N5837" s="14"/>
      <c r="O5837" s="36"/>
      <c r="P5837" s="14"/>
      <c r="Q5837" s="14"/>
      <c r="R5837" s="37"/>
      <c r="S5837" s="29"/>
      <c r="T5837" s="28"/>
    </row>
    <row r="5838" spans="13:20" x14ac:dyDescent="0.25">
      <c r="M5838" s="14"/>
      <c r="N5838" s="14"/>
      <c r="O5838" s="21"/>
      <c r="P5838" s="14"/>
      <c r="Q5838" s="21"/>
      <c r="R5838" s="28"/>
      <c r="S5838" s="29"/>
      <c r="T5838" s="28"/>
    </row>
    <row r="5839" spans="13:20" x14ac:dyDescent="0.25">
      <c r="M5839" s="14"/>
      <c r="N5839" s="14"/>
      <c r="O5839" s="14"/>
      <c r="P5839" s="14"/>
      <c r="Q5839" s="14"/>
      <c r="R5839" s="14"/>
      <c r="S5839" s="26"/>
      <c r="T5839" s="26"/>
    </row>
    <row r="5840" spans="13:20" ht="13.8" x14ac:dyDescent="0.25">
      <c r="M5840" s="14"/>
      <c r="N5840" s="14"/>
      <c r="O5840" s="30"/>
      <c r="P5840" s="14"/>
      <c r="Q5840" s="14"/>
      <c r="R5840" s="27"/>
      <c r="S5840" s="26"/>
      <c r="T5840" s="26"/>
    </row>
    <row r="5841" spans="13:20" x14ac:dyDescent="0.25">
      <c r="M5841" s="14"/>
      <c r="N5841" s="14"/>
      <c r="O5841" s="14"/>
      <c r="P5841" s="14"/>
      <c r="Q5841" s="14"/>
      <c r="R5841" s="14"/>
      <c r="S5841" s="14"/>
      <c r="T5841" s="14"/>
    </row>
    <row r="5842" spans="13:20" x14ac:dyDescent="0.25">
      <c r="M5842" s="14"/>
      <c r="N5842" s="14"/>
      <c r="O5842" s="21"/>
      <c r="P5842" s="21"/>
      <c r="Q5842" s="21"/>
      <c r="R5842" s="27"/>
      <c r="S5842" s="29"/>
      <c r="T5842" s="29"/>
    </row>
    <row r="5843" spans="13:20" x14ac:dyDescent="0.25">
      <c r="M5843" s="14"/>
      <c r="N5843" s="14"/>
      <c r="O5843" s="21"/>
      <c r="P5843" s="14"/>
      <c r="Q5843" s="21"/>
      <c r="R5843" s="28"/>
      <c r="S5843" s="29"/>
      <c r="T5843" s="29"/>
    </row>
    <row r="5844" spans="13:20" x14ac:dyDescent="0.25">
      <c r="M5844" s="14"/>
      <c r="N5844" s="14"/>
      <c r="O5844" s="21"/>
      <c r="P5844" s="14"/>
      <c r="Q5844" s="21"/>
      <c r="R5844" s="28"/>
      <c r="S5844" s="29"/>
      <c r="T5844" s="29"/>
    </row>
    <row r="5845" spans="13:20" ht="14.4" x14ac:dyDescent="0.3">
      <c r="M5845" s="14"/>
      <c r="N5845" s="14"/>
      <c r="O5845" s="32"/>
      <c r="P5845" s="33"/>
      <c r="Q5845" s="32"/>
      <c r="R5845" s="27"/>
      <c r="S5845" s="29"/>
      <c r="T5845" s="29"/>
    </row>
    <row r="5846" spans="13:20" x14ac:dyDescent="0.25">
      <c r="M5846" s="14"/>
      <c r="N5846" s="14"/>
      <c r="O5846" s="32"/>
      <c r="P5846" s="21"/>
      <c r="Q5846" s="32"/>
      <c r="R5846" s="27"/>
      <c r="S5846" s="29"/>
      <c r="T5846" s="29"/>
    </row>
    <row r="5847" spans="13:20" x14ac:dyDescent="0.25">
      <c r="M5847" s="14"/>
      <c r="N5847" s="14"/>
      <c r="O5847" s="32"/>
      <c r="P5847" s="34"/>
      <c r="Q5847" s="32"/>
      <c r="R5847" s="27"/>
      <c r="S5847" s="14"/>
      <c r="T5847" s="29"/>
    </row>
    <row r="5848" spans="13:20" x14ac:dyDescent="0.25">
      <c r="M5848" s="14"/>
      <c r="N5848" s="14"/>
      <c r="O5848" s="32"/>
      <c r="P5848" s="34"/>
      <c r="Q5848" s="32"/>
      <c r="R5848" s="27"/>
      <c r="S5848" s="14"/>
      <c r="T5848" s="29"/>
    </row>
    <row r="5849" spans="13:20" x14ac:dyDescent="0.25">
      <c r="M5849" s="14"/>
      <c r="N5849" s="14"/>
      <c r="O5849" s="32"/>
      <c r="P5849" s="34"/>
      <c r="Q5849" s="32"/>
      <c r="R5849" s="27"/>
      <c r="S5849" s="14"/>
      <c r="T5849" s="14"/>
    </row>
    <row r="5850" spans="13:20" x14ac:dyDescent="0.25">
      <c r="M5850" s="14"/>
      <c r="N5850" s="14"/>
      <c r="O5850" s="32"/>
      <c r="P5850" s="35"/>
      <c r="Q5850" s="32"/>
      <c r="R5850" s="27"/>
      <c r="S5850" s="21"/>
      <c r="T5850" s="14"/>
    </row>
    <row r="5851" spans="13:20" x14ac:dyDescent="0.25">
      <c r="M5851" s="14"/>
      <c r="N5851" s="14"/>
      <c r="O5851" s="36"/>
      <c r="P5851" s="14"/>
      <c r="Q5851" s="14"/>
      <c r="R5851" s="37"/>
      <c r="S5851" s="29"/>
      <c r="T5851" s="28"/>
    </row>
    <row r="5852" spans="13:20" x14ac:dyDescent="0.25">
      <c r="M5852" s="14"/>
      <c r="N5852" s="14"/>
      <c r="O5852" s="21"/>
      <c r="P5852" s="14"/>
      <c r="Q5852" s="21"/>
      <c r="R5852" s="28"/>
      <c r="S5852" s="29"/>
      <c r="T5852" s="28"/>
    </row>
    <row r="5853" spans="13:20" x14ac:dyDescent="0.25">
      <c r="M5853" s="14"/>
      <c r="N5853" s="14"/>
      <c r="O5853" s="14"/>
      <c r="P5853" s="14"/>
      <c r="Q5853" s="14"/>
      <c r="R5853" s="14"/>
      <c r="S5853" s="26"/>
      <c r="T5853" s="26"/>
    </row>
    <row r="5854" spans="13:20" ht="13.8" x14ac:dyDescent="0.25">
      <c r="M5854" s="14"/>
      <c r="N5854" s="14"/>
      <c r="O5854" s="30"/>
      <c r="P5854" s="14"/>
      <c r="Q5854" s="14"/>
      <c r="R5854" s="27"/>
      <c r="S5854" s="26"/>
      <c r="T5854" s="26"/>
    </row>
    <row r="5855" spans="13:20" x14ac:dyDescent="0.25">
      <c r="M5855" s="14"/>
      <c r="N5855" s="14"/>
      <c r="O5855" s="14"/>
      <c r="P5855" s="14"/>
      <c r="Q5855" s="14"/>
      <c r="R5855" s="14"/>
      <c r="S5855" s="14"/>
      <c r="T5855" s="14"/>
    </row>
    <row r="5856" spans="13:20" x14ac:dyDescent="0.25">
      <c r="M5856" s="14"/>
      <c r="N5856" s="14"/>
      <c r="O5856" s="21"/>
      <c r="P5856" s="21"/>
      <c r="Q5856" s="21"/>
      <c r="R5856" s="27"/>
      <c r="S5856" s="29"/>
      <c r="T5856" s="29"/>
    </row>
    <row r="5857" spans="13:20" x14ac:dyDescent="0.25">
      <c r="M5857" s="14"/>
      <c r="N5857" s="14"/>
      <c r="O5857" s="21"/>
      <c r="P5857" s="14"/>
      <c r="Q5857" s="21"/>
      <c r="R5857" s="28"/>
      <c r="S5857" s="29"/>
      <c r="T5857" s="29"/>
    </row>
    <row r="5858" spans="13:20" x14ac:dyDescent="0.25">
      <c r="M5858" s="14"/>
      <c r="N5858" s="14"/>
      <c r="O5858" s="21"/>
      <c r="P5858" s="14"/>
      <c r="Q5858" s="21"/>
      <c r="R5858" s="28"/>
      <c r="S5858" s="29"/>
      <c r="T5858" s="29"/>
    </row>
    <row r="5859" spans="13:20" ht="14.4" x14ac:dyDescent="0.3">
      <c r="M5859" s="14"/>
      <c r="N5859" s="14"/>
      <c r="O5859" s="32"/>
      <c r="P5859" s="33"/>
      <c r="Q5859" s="32"/>
      <c r="R5859" s="27"/>
      <c r="S5859" s="29"/>
      <c r="T5859" s="29"/>
    </row>
    <row r="5860" spans="13:20" x14ac:dyDescent="0.25">
      <c r="M5860" s="14"/>
      <c r="N5860" s="14"/>
      <c r="O5860" s="32"/>
      <c r="P5860" s="21"/>
      <c r="Q5860" s="32"/>
      <c r="R5860" s="27"/>
      <c r="S5860" s="29"/>
      <c r="T5860" s="29"/>
    </row>
    <row r="5861" spans="13:20" x14ac:dyDescent="0.25">
      <c r="M5861" s="14"/>
      <c r="N5861" s="14"/>
      <c r="O5861" s="32"/>
      <c r="P5861" s="34"/>
      <c r="Q5861" s="32"/>
      <c r="R5861" s="27"/>
      <c r="S5861" s="14"/>
      <c r="T5861" s="29"/>
    </row>
    <row r="5862" spans="13:20" x14ac:dyDescent="0.25">
      <c r="M5862" s="14"/>
      <c r="N5862" s="14"/>
      <c r="O5862" s="32"/>
      <c r="P5862" s="34"/>
      <c r="Q5862" s="32"/>
      <c r="R5862" s="27"/>
      <c r="S5862" s="14"/>
      <c r="T5862" s="29"/>
    </row>
    <row r="5863" spans="13:20" x14ac:dyDescent="0.25">
      <c r="M5863" s="14"/>
      <c r="N5863" s="14"/>
      <c r="O5863" s="32"/>
      <c r="P5863" s="34"/>
      <c r="Q5863" s="32"/>
      <c r="R5863" s="27"/>
      <c r="S5863" s="14"/>
      <c r="T5863" s="14"/>
    </row>
    <row r="5864" spans="13:20" x14ac:dyDescent="0.25">
      <c r="M5864" s="14"/>
      <c r="N5864" s="14"/>
      <c r="O5864" s="32"/>
      <c r="P5864" s="35"/>
      <c r="Q5864" s="32"/>
      <c r="R5864" s="27"/>
      <c r="S5864" s="21"/>
      <c r="T5864" s="14"/>
    </row>
    <row r="5865" spans="13:20" x14ac:dyDescent="0.25">
      <c r="M5865" s="14"/>
      <c r="N5865" s="14"/>
      <c r="O5865" s="36"/>
      <c r="P5865" s="14"/>
      <c r="Q5865" s="14"/>
      <c r="R5865" s="37"/>
      <c r="S5865" s="29"/>
      <c r="T5865" s="28"/>
    </row>
    <row r="5866" spans="13:20" ht="13.8" x14ac:dyDescent="0.25">
      <c r="M5866" s="14"/>
      <c r="N5866" s="14"/>
      <c r="O5866" s="21"/>
      <c r="P5866" s="21"/>
      <c r="Q5866" s="21"/>
      <c r="R5866" s="24"/>
      <c r="S5866" s="24"/>
      <c r="T5866" s="25"/>
    </row>
    <row r="5867" spans="13:20" x14ac:dyDescent="0.25">
      <c r="M5867" s="14"/>
      <c r="N5867" s="14"/>
      <c r="O5867" s="14"/>
      <c r="P5867" s="14"/>
      <c r="Q5867" s="14"/>
      <c r="R5867" s="14"/>
      <c r="S5867" s="26"/>
      <c r="T5867" s="26"/>
    </row>
    <row r="5868" spans="13:20" ht="13.8" x14ac:dyDescent="0.25">
      <c r="M5868" s="14"/>
      <c r="N5868" s="14"/>
      <c r="O5868" s="30"/>
      <c r="P5868" s="14"/>
      <c r="Q5868" s="14"/>
      <c r="R5868" s="27"/>
      <c r="S5868" s="26"/>
      <c r="T5868" s="26"/>
    </row>
    <row r="5869" spans="13:20" x14ac:dyDescent="0.25">
      <c r="M5869" s="14"/>
      <c r="N5869" s="14"/>
      <c r="O5869" s="14"/>
      <c r="P5869" s="14"/>
      <c r="Q5869" s="14"/>
      <c r="R5869" s="14"/>
      <c r="S5869" s="14"/>
      <c r="T5869" s="14"/>
    </row>
    <row r="5870" spans="13:20" x14ac:dyDescent="0.25">
      <c r="M5870" s="14"/>
      <c r="N5870" s="14"/>
      <c r="O5870" s="21"/>
      <c r="P5870" s="21"/>
      <c r="Q5870" s="21"/>
      <c r="R5870" s="27"/>
      <c r="S5870" s="29"/>
      <c r="T5870" s="29"/>
    </row>
    <row r="5871" spans="13:20" x14ac:dyDescent="0.25">
      <c r="M5871" s="14"/>
      <c r="N5871" s="14"/>
      <c r="O5871" s="21"/>
      <c r="P5871" s="14"/>
      <c r="Q5871" s="21"/>
      <c r="R5871" s="28"/>
      <c r="S5871" s="29"/>
      <c r="T5871" s="29"/>
    </row>
    <row r="5872" spans="13:20" x14ac:dyDescent="0.25">
      <c r="M5872" s="14"/>
      <c r="N5872" s="14"/>
      <c r="O5872" s="21"/>
      <c r="P5872" s="14"/>
      <c r="Q5872" s="21"/>
      <c r="R5872" s="28"/>
      <c r="S5872" s="29"/>
      <c r="T5872" s="29"/>
    </row>
    <row r="5873" spans="13:20" ht="14.4" x14ac:dyDescent="0.3">
      <c r="M5873" s="14"/>
      <c r="N5873" s="14"/>
      <c r="O5873" s="32"/>
      <c r="P5873" s="33"/>
      <c r="Q5873" s="32"/>
      <c r="R5873" s="27"/>
      <c r="S5873" s="29"/>
      <c r="T5873" s="29"/>
    </row>
    <row r="5874" spans="13:20" x14ac:dyDescent="0.25">
      <c r="M5874" s="14"/>
      <c r="N5874" s="14"/>
      <c r="O5874" s="32"/>
      <c r="P5874" s="21"/>
      <c r="Q5874" s="32"/>
      <c r="R5874" s="27"/>
      <c r="S5874" s="29"/>
      <c r="T5874" s="29"/>
    </row>
    <row r="5875" spans="13:20" x14ac:dyDescent="0.25">
      <c r="M5875" s="14"/>
      <c r="N5875" s="14"/>
      <c r="O5875" s="32"/>
      <c r="P5875" s="34"/>
      <c r="Q5875" s="32"/>
      <c r="R5875" s="27"/>
      <c r="S5875" s="14"/>
      <c r="T5875" s="29"/>
    </row>
    <row r="5876" spans="13:20" x14ac:dyDescent="0.25">
      <c r="M5876" s="14"/>
      <c r="N5876" s="14"/>
      <c r="O5876" s="32"/>
      <c r="P5876" s="34"/>
      <c r="Q5876" s="32"/>
      <c r="R5876" s="27"/>
      <c r="S5876" s="14"/>
      <c r="T5876" s="29"/>
    </row>
    <row r="5877" spans="13:20" x14ac:dyDescent="0.25">
      <c r="M5877" s="14"/>
      <c r="N5877" s="14"/>
      <c r="O5877" s="32"/>
      <c r="P5877" s="34"/>
      <c r="Q5877" s="32"/>
      <c r="R5877" s="27"/>
      <c r="S5877" s="14"/>
      <c r="T5877" s="14"/>
    </row>
    <row r="5878" spans="13:20" x14ac:dyDescent="0.25">
      <c r="M5878" s="14"/>
      <c r="N5878" s="14"/>
      <c r="O5878" s="32"/>
      <c r="P5878" s="35"/>
      <c r="Q5878" s="32"/>
      <c r="R5878" s="27"/>
      <c r="S5878" s="21"/>
      <c r="T5878" s="14"/>
    </row>
    <row r="5879" spans="13:20" x14ac:dyDescent="0.25">
      <c r="M5879" s="14"/>
      <c r="N5879" s="14"/>
      <c r="O5879" s="36"/>
      <c r="P5879" s="14"/>
      <c r="Q5879" s="14"/>
      <c r="R5879" s="37"/>
      <c r="S5879" s="29"/>
      <c r="T5879" s="28"/>
    </row>
    <row r="5880" spans="13:20" x14ac:dyDescent="0.25">
      <c r="M5880" s="14"/>
      <c r="N5880" s="14"/>
      <c r="O5880" s="21"/>
      <c r="P5880" s="14"/>
      <c r="Q5880" s="21"/>
      <c r="R5880" s="28"/>
      <c r="S5880" s="29"/>
      <c r="T5880" s="28"/>
    </row>
    <row r="5881" spans="13:20" x14ac:dyDescent="0.25">
      <c r="M5881" s="14"/>
      <c r="N5881" s="14"/>
      <c r="O5881" s="14"/>
      <c r="P5881" s="14"/>
      <c r="Q5881" s="14"/>
      <c r="R5881" s="14"/>
      <c r="S5881" s="26"/>
      <c r="T5881" s="26"/>
    </row>
    <row r="5882" spans="13:20" ht="13.8" x14ac:dyDescent="0.25">
      <c r="M5882" s="14"/>
      <c r="N5882" s="14"/>
      <c r="O5882" s="30"/>
      <c r="P5882" s="14"/>
      <c r="Q5882" s="14"/>
      <c r="R5882" s="27"/>
      <c r="S5882" s="26"/>
      <c r="T5882" s="26"/>
    </row>
    <row r="5883" spans="13:20" x14ac:dyDescent="0.25">
      <c r="M5883" s="14"/>
      <c r="N5883" s="14"/>
      <c r="O5883" s="14"/>
      <c r="P5883" s="14"/>
      <c r="Q5883" s="14"/>
      <c r="R5883" s="14"/>
      <c r="S5883" s="14"/>
      <c r="T5883" s="14"/>
    </row>
    <row r="5884" spans="13:20" x14ac:dyDescent="0.25">
      <c r="M5884" s="14"/>
      <c r="N5884" s="14"/>
      <c r="O5884" s="21"/>
      <c r="P5884" s="21"/>
      <c r="Q5884" s="21"/>
      <c r="R5884" s="27"/>
      <c r="S5884" s="29"/>
      <c r="T5884" s="29"/>
    </row>
    <row r="5885" spans="13:20" x14ac:dyDescent="0.25">
      <c r="M5885" s="14"/>
      <c r="N5885" s="14"/>
      <c r="O5885" s="21"/>
      <c r="P5885" s="14"/>
      <c r="Q5885" s="21"/>
      <c r="R5885" s="28"/>
      <c r="S5885" s="29"/>
      <c r="T5885" s="29"/>
    </row>
    <row r="5886" spans="13:20" x14ac:dyDescent="0.25">
      <c r="M5886" s="14"/>
      <c r="N5886" s="14"/>
      <c r="O5886" s="21"/>
      <c r="P5886" s="14"/>
      <c r="Q5886" s="21"/>
      <c r="R5886" s="28"/>
      <c r="S5886" s="29"/>
      <c r="T5886" s="29"/>
    </row>
    <row r="5887" spans="13:20" ht="14.4" x14ac:dyDescent="0.3">
      <c r="M5887" s="14"/>
      <c r="N5887" s="14"/>
      <c r="O5887" s="32"/>
      <c r="P5887" s="33"/>
      <c r="Q5887" s="32"/>
      <c r="R5887" s="27"/>
      <c r="S5887" s="29"/>
      <c r="T5887" s="29"/>
    </row>
    <row r="5888" spans="13:20" x14ac:dyDescent="0.25">
      <c r="M5888" s="14"/>
      <c r="N5888" s="14"/>
      <c r="O5888" s="32"/>
      <c r="P5888" s="21"/>
      <c r="Q5888" s="32"/>
      <c r="R5888" s="27"/>
      <c r="S5888" s="29"/>
      <c r="T5888" s="29"/>
    </row>
    <row r="5889" spans="13:20" x14ac:dyDescent="0.25">
      <c r="M5889" s="14"/>
      <c r="N5889" s="14"/>
      <c r="O5889" s="32"/>
      <c r="P5889" s="34"/>
      <c r="Q5889" s="32"/>
      <c r="R5889" s="27"/>
      <c r="S5889" s="14"/>
      <c r="T5889" s="29"/>
    </row>
    <row r="5890" spans="13:20" x14ac:dyDescent="0.25">
      <c r="M5890" s="14"/>
      <c r="N5890" s="14"/>
      <c r="O5890" s="32"/>
      <c r="P5890" s="34"/>
      <c r="Q5890" s="32"/>
      <c r="R5890" s="27"/>
      <c r="S5890" s="14"/>
      <c r="T5890" s="29"/>
    </row>
    <row r="5891" spans="13:20" x14ac:dyDescent="0.25">
      <c r="M5891" s="14"/>
      <c r="N5891" s="14"/>
      <c r="O5891" s="32"/>
      <c r="P5891" s="34"/>
      <c r="Q5891" s="32"/>
      <c r="R5891" s="27"/>
      <c r="S5891" s="14"/>
      <c r="T5891" s="14"/>
    </row>
    <row r="5892" spans="13:20" x14ac:dyDescent="0.25">
      <c r="M5892" s="14"/>
      <c r="N5892" s="14"/>
      <c r="O5892" s="32"/>
      <c r="P5892" s="35"/>
      <c r="Q5892" s="32"/>
      <c r="R5892" s="27"/>
      <c r="S5892" s="21"/>
      <c r="T5892" s="14"/>
    </row>
    <row r="5893" spans="13:20" x14ac:dyDescent="0.25">
      <c r="M5893" s="14"/>
      <c r="N5893" s="14"/>
      <c r="O5893" s="36"/>
      <c r="P5893" s="14"/>
      <c r="Q5893" s="14"/>
      <c r="R5893" s="37"/>
      <c r="S5893" s="29"/>
      <c r="T5893" s="28"/>
    </row>
    <row r="5894" spans="13:20" x14ac:dyDescent="0.25">
      <c r="M5894" s="14"/>
      <c r="N5894" s="14"/>
      <c r="O5894" s="21"/>
      <c r="P5894" s="14"/>
      <c r="Q5894" s="21"/>
      <c r="R5894" s="28"/>
      <c r="S5894" s="29"/>
      <c r="T5894" s="28"/>
    </row>
    <row r="5895" spans="13:20" x14ac:dyDescent="0.25">
      <c r="M5895" s="14"/>
      <c r="N5895" s="14"/>
      <c r="O5895" s="14"/>
      <c r="P5895" s="14"/>
      <c r="Q5895" s="14"/>
      <c r="R5895" s="14"/>
      <c r="S5895" s="26"/>
      <c r="T5895" s="26"/>
    </row>
    <row r="5896" spans="13:20" ht="13.8" x14ac:dyDescent="0.25">
      <c r="M5896" s="14"/>
      <c r="N5896" s="14"/>
      <c r="O5896" s="30"/>
      <c r="P5896" s="14"/>
      <c r="Q5896" s="14"/>
      <c r="R5896" s="27"/>
      <c r="S5896" s="26"/>
      <c r="T5896" s="26"/>
    </row>
    <row r="5897" spans="13:20" x14ac:dyDescent="0.25">
      <c r="M5897" s="14"/>
      <c r="N5897" s="14"/>
      <c r="O5897" s="14"/>
      <c r="P5897" s="14"/>
      <c r="Q5897" s="14"/>
      <c r="R5897" s="14"/>
      <c r="S5897" s="14"/>
      <c r="T5897" s="14"/>
    </row>
    <row r="5898" spans="13:20" x14ac:dyDescent="0.25">
      <c r="M5898" s="14"/>
      <c r="N5898" s="14"/>
      <c r="O5898" s="21"/>
      <c r="P5898" s="21"/>
      <c r="Q5898" s="21"/>
      <c r="R5898" s="27"/>
      <c r="S5898" s="29"/>
      <c r="T5898" s="29"/>
    </row>
    <row r="5899" spans="13:20" x14ac:dyDescent="0.25">
      <c r="M5899" s="14"/>
      <c r="N5899" s="14"/>
      <c r="O5899" s="21"/>
      <c r="P5899" s="14"/>
      <c r="Q5899" s="21"/>
      <c r="R5899" s="28"/>
      <c r="S5899" s="29"/>
      <c r="T5899" s="29"/>
    </row>
    <row r="5900" spans="13:20" x14ac:dyDescent="0.25">
      <c r="M5900" s="14"/>
      <c r="N5900" s="14"/>
      <c r="O5900" s="21"/>
      <c r="P5900" s="14"/>
      <c r="Q5900" s="21"/>
      <c r="R5900" s="28"/>
      <c r="S5900" s="29"/>
      <c r="T5900" s="29"/>
    </row>
    <row r="5901" spans="13:20" ht="14.4" x14ac:dyDescent="0.3">
      <c r="M5901" s="14"/>
      <c r="N5901" s="14"/>
      <c r="O5901" s="32"/>
      <c r="P5901" s="33"/>
      <c r="Q5901" s="32"/>
      <c r="R5901" s="27"/>
      <c r="S5901" s="29"/>
      <c r="T5901" s="29"/>
    </row>
    <row r="5902" spans="13:20" x14ac:dyDescent="0.25">
      <c r="M5902" s="14"/>
      <c r="N5902" s="14"/>
      <c r="O5902" s="32"/>
      <c r="P5902" s="21"/>
      <c r="Q5902" s="32"/>
      <c r="R5902" s="27"/>
      <c r="S5902" s="29"/>
      <c r="T5902" s="29"/>
    </row>
    <row r="5903" spans="13:20" x14ac:dyDescent="0.25">
      <c r="M5903" s="14"/>
      <c r="N5903" s="14"/>
      <c r="O5903" s="32"/>
      <c r="P5903" s="34"/>
      <c r="Q5903" s="32"/>
      <c r="R5903" s="27"/>
      <c r="S5903" s="14"/>
      <c r="T5903" s="29"/>
    </row>
    <row r="5904" spans="13:20" x14ac:dyDescent="0.25">
      <c r="M5904" s="14"/>
      <c r="N5904" s="14"/>
      <c r="O5904" s="32"/>
      <c r="P5904" s="34"/>
      <c r="Q5904" s="32"/>
      <c r="R5904" s="27"/>
      <c r="S5904" s="14"/>
      <c r="T5904" s="29"/>
    </row>
    <row r="5905" spans="13:20" x14ac:dyDescent="0.25">
      <c r="M5905" s="14"/>
      <c r="N5905" s="14"/>
      <c r="O5905" s="32"/>
      <c r="P5905" s="34"/>
      <c r="Q5905" s="32"/>
      <c r="R5905" s="27"/>
      <c r="S5905" s="14"/>
      <c r="T5905" s="14"/>
    </row>
    <row r="5906" spans="13:20" x14ac:dyDescent="0.25">
      <c r="M5906" s="14"/>
      <c r="N5906" s="14"/>
      <c r="O5906" s="32"/>
      <c r="P5906" s="35"/>
      <c r="Q5906" s="32"/>
      <c r="R5906" s="27"/>
      <c r="S5906" s="21"/>
      <c r="T5906" s="14"/>
    </row>
    <row r="5907" spans="13:20" x14ac:dyDescent="0.25">
      <c r="M5907" s="14"/>
      <c r="N5907" s="14"/>
      <c r="O5907" s="36"/>
      <c r="P5907" s="14"/>
      <c r="Q5907" s="14"/>
      <c r="R5907" s="37"/>
      <c r="S5907" s="29"/>
      <c r="T5907" s="28"/>
    </row>
    <row r="5908" spans="13:20" x14ac:dyDescent="0.25">
      <c r="M5908" s="14"/>
      <c r="N5908" s="14"/>
      <c r="O5908" s="21"/>
      <c r="P5908" s="14"/>
      <c r="Q5908" s="21"/>
      <c r="R5908" s="28"/>
      <c r="S5908" s="29"/>
      <c r="T5908" s="28"/>
    </row>
    <row r="5909" spans="13:20" x14ac:dyDescent="0.25">
      <c r="M5909" s="14"/>
      <c r="N5909" s="14"/>
      <c r="O5909" s="14"/>
      <c r="P5909" s="14"/>
      <c r="Q5909" s="14"/>
      <c r="R5909" s="14"/>
      <c r="S5909" s="26"/>
      <c r="T5909" s="26"/>
    </row>
    <row r="5910" spans="13:20" ht="13.8" x14ac:dyDescent="0.25">
      <c r="M5910" s="14"/>
      <c r="N5910" s="14"/>
      <c r="O5910" s="30"/>
      <c r="P5910" s="14"/>
      <c r="Q5910" s="14"/>
      <c r="R5910" s="27"/>
      <c r="S5910" s="26"/>
      <c r="T5910" s="26"/>
    </row>
    <row r="5911" spans="13:20" x14ac:dyDescent="0.25">
      <c r="M5911" s="14"/>
      <c r="N5911" s="14"/>
      <c r="O5911" s="14"/>
      <c r="P5911" s="14"/>
      <c r="Q5911" s="14"/>
      <c r="R5911" s="14"/>
      <c r="S5911" s="14"/>
      <c r="T5911" s="14"/>
    </row>
    <row r="5912" spans="13:20" x14ac:dyDescent="0.25">
      <c r="M5912" s="14"/>
      <c r="N5912" s="14"/>
      <c r="O5912" s="21"/>
      <c r="P5912" s="21"/>
      <c r="Q5912" s="21"/>
      <c r="R5912" s="27"/>
      <c r="S5912" s="29"/>
      <c r="T5912" s="29"/>
    </row>
    <row r="5913" spans="13:20" x14ac:dyDescent="0.25">
      <c r="M5913" s="14"/>
      <c r="N5913" s="14"/>
      <c r="O5913" s="21"/>
      <c r="P5913" s="14"/>
      <c r="Q5913" s="21"/>
      <c r="R5913" s="28"/>
      <c r="S5913" s="29"/>
      <c r="T5913" s="29"/>
    </row>
    <row r="5914" spans="13:20" x14ac:dyDescent="0.25">
      <c r="M5914" s="14"/>
      <c r="N5914" s="14"/>
      <c r="O5914" s="21"/>
      <c r="P5914" s="14"/>
      <c r="Q5914" s="21"/>
      <c r="R5914" s="28"/>
      <c r="S5914" s="29"/>
      <c r="T5914" s="29"/>
    </row>
    <row r="5915" spans="13:20" ht="14.4" x14ac:dyDescent="0.3">
      <c r="M5915" s="14"/>
      <c r="N5915" s="14"/>
      <c r="O5915" s="32"/>
      <c r="P5915" s="33"/>
      <c r="Q5915" s="32"/>
      <c r="R5915" s="27"/>
      <c r="S5915" s="29"/>
      <c r="T5915" s="29"/>
    </row>
    <row r="5916" spans="13:20" x14ac:dyDescent="0.25">
      <c r="M5916" s="14"/>
      <c r="N5916" s="14"/>
      <c r="O5916" s="32"/>
      <c r="P5916" s="21"/>
      <c r="Q5916" s="32"/>
      <c r="R5916" s="27"/>
      <c r="S5916" s="29"/>
      <c r="T5916" s="29"/>
    </row>
    <row r="5917" spans="13:20" x14ac:dyDescent="0.25">
      <c r="M5917" s="14"/>
      <c r="N5917" s="14"/>
      <c r="O5917" s="32"/>
      <c r="P5917" s="34"/>
      <c r="Q5917" s="32"/>
      <c r="R5917" s="27"/>
      <c r="S5917" s="14"/>
      <c r="T5917" s="29"/>
    </row>
    <row r="5918" spans="13:20" x14ac:dyDescent="0.25">
      <c r="M5918" s="14"/>
      <c r="N5918" s="14"/>
      <c r="O5918" s="32"/>
      <c r="P5918" s="34"/>
      <c r="Q5918" s="32"/>
      <c r="R5918" s="27"/>
      <c r="S5918" s="14"/>
      <c r="T5918" s="29"/>
    </row>
    <row r="5919" spans="13:20" x14ac:dyDescent="0.25">
      <c r="M5919" s="14"/>
      <c r="N5919" s="14"/>
      <c r="O5919" s="32"/>
      <c r="P5919" s="34"/>
      <c r="Q5919" s="32"/>
      <c r="R5919" s="27"/>
      <c r="S5919" s="14"/>
      <c r="T5919" s="14"/>
    </row>
    <row r="5920" spans="13:20" x14ac:dyDescent="0.25">
      <c r="M5920" s="14"/>
      <c r="N5920" s="14"/>
      <c r="O5920" s="32"/>
      <c r="P5920" s="35"/>
      <c r="Q5920" s="32"/>
      <c r="R5920" s="27"/>
      <c r="S5920" s="21"/>
      <c r="T5920" s="14"/>
    </row>
    <row r="5921" spans="13:20" x14ac:dyDescent="0.25">
      <c r="M5921" s="14"/>
      <c r="N5921" s="14"/>
      <c r="O5921" s="36"/>
      <c r="P5921" s="14"/>
      <c r="Q5921" s="14"/>
      <c r="R5921" s="37"/>
      <c r="S5921" s="29"/>
      <c r="T5921" s="28"/>
    </row>
    <row r="5922" spans="13:20" x14ac:dyDescent="0.25">
      <c r="M5922" s="14"/>
      <c r="N5922" s="14"/>
      <c r="O5922" s="21"/>
      <c r="P5922" s="14"/>
      <c r="Q5922" s="21"/>
      <c r="R5922" s="28"/>
      <c r="S5922" s="29"/>
      <c r="T5922" s="28"/>
    </row>
    <row r="5923" spans="13:20" x14ac:dyDescent="0.25">
      <c r="M5923" s="14"/>
      <c r="N5923" s="14"/>
      <c r="O5923" s="14"/>
      <c r="P5923" s="14"/>
      <c r="Q5923" s="14"/>
      <c r="R5923" s="14"/>
      <c r="S5923" s="26"/>
      <c r="T5923" s="26"/>
    </row>
    <row r="5924" spans="13:20" ht="13.8" x14ac:dyDescent="0.25">
      <c r="M5924" s="14"/>
      <c r="N5924" s="14"/>
      <c r="O5924" s="30"/>
      <c r="P5924" s="14"/>
      <c r="Q5924" s="14"/>
      <c r="R5924" s="27"/>
      <c r="S5924" s="26"/>
      <c r="T5924" s="26"/>
    </row>
    <row r="5925" spans="13:20" x14ac:dyDescent="0.25">
      <c r="M5925" s="14"/>
      <c r="N5925" s="14"/>
      <c r="O5925" s="14"/>
      <c r="P5925" s="14"/>
      <c r="Q5925" s="14"/>
      <c r="R5925" s="14"/>
      <c r="S5925" s="14"/>
      <c r="T5925" s="14"/>
    </row>
    <row r="5926" spans="13:20" x14ac:dyDescent="0.25">
      <c r="M5926" s="14"/>
      <c r="N5926" s="14"/>
      <c r="O5926" s="21"/>
      <c r="P5926" s="21"/>
      <c r="Q5926" s="21"/>
      <c r="R5926" s="27"/>
      <c r="S5926" s="29"/>
      <c r="T5926" s="29"/>
    </row>
    <row r="5927" spans="13:20" x14ac:dyDescent="0.25">
      <c r="M5927" s="14"/>
      <c r="N5927" s="14"/>
      <c r="O5927" s="21"/>
      <c r="P5927" s="14"/>
      <c r="Q5927" s="21"/>
      <c r="R5927" s="28"/>
      <c r="S5927" s="29"/>
      <c r="T5927" s="29"/>
    </row>
    <row r="5928" spans="13:20" x14ac:dyDescent="0.25">
      <c r="M5928" s="14"/>
      <c r="N5928" s="14"/>
      <c r="O5928" s="21"/>
      <c r="P5928" s="14"/>
      <c r="Q5928" s="21"/>
      <c r="R5928" s="28"/>
      <c r="S5928" s="29"/>
      <c r="T5928" s="29"/>
    </row>
    <row r="5929" spans="13:20" ht="14.4" x14ac:dyDescent="0.3">
      <c r="M5929" s="14"/>
      <c r="N5929" s="14"/>
      <c r="O5929" s="32"/>
      <c r="P5929" s="33"/>
      <c r="Q5929" s="32"/>
      <c r="R5929" s="27"/>
      <c r="S5929" s="29"/>
      <c r="T5929" s="29"/>
    </row>
    <row r="5930" spans="13:20" x14ac:dyDescent="0.25">
      <c r="M5930" s="14"/>
      <c r="N5930" s="14"/>
      <c r="O5930" s="32"/>
      <c r="P5930" s="21"/>
      <c r="Q5930" s="32"/>
      <c r="R5930" s="27"/>
      <c r="S5930" s="29"/>
      <c r="T5930" s="29"/>
    </row>
    <row r="5931" spans="13:20" x14ac:dyDescent="0.25">
      <c r="M5931" s="14"/>
      <c r="N5931" s="14"/>
      <c r="O5931" s="32"/>
      <c r="P5931" s="34"/>
      <c r="Q5931" s="32"/>
      <c r="R5931" s="27"/>
      <c r="S5931" s="14"/>
      <c r="T5931" s="29"/>
    </row>
    <row r="5932" spans="13:20" x14ac:dyDescent="0.25">
      <c r="M5932" s="14"/>
      <c r="N5932" s="14"/>
      <c r="O5932" s="32"/>
      <c r="P5932" s="34"/>
      <c r="Q5932" s="32"/>
      <c r="R5932" s="27"/>
      <c r="S5932" s="14"/>
      <c r="T5932" s="29"/>
    </row>
    <row r="5933" spans="13:20" x14ac:dyDescent="0.25">
      <c r="M5933" s="14"/>
      <c r="N5933" s="14"/>
      <c r="O5933" s="32"/>
      <c r="P5933" s="34"/>
      <c r="Q5933" s="32"/>
      <c r="R5933" s="27"/>
      <c r="S5933" s="14"/>
      <c r="T5933" s="14"/>
    </row>
    <row r="5934" spans="13:20" x14ac:dyDescent="0.25">
      <c r="M5934" s="14"/>
      <c r="N5934" s="14"/>
      <c r="O5934" s="32"/>
      <c r="P5934" s="35"/>
      <c r="Q5934" s="32"/>
      <c r="R5934" s="27"/>
      <c r="S5934" s="21"/>
      <c r="T5934" s="14"/>
    </row>
    <row r="5935" spans="13:20" x14ac:dyDescent="0.25">
      <c r="M5935" s="14"/>
      <c r="N5935" s="14"/>
      <c r="O5935" s="36"/>
      <c r="P5935" s="14"/>
      <c r="Q5935" s="14"/>
      <c r="R5935" s="37"/>
      <c r="S5935" s="29"/>
      <c r="T5935" s="28"/>
    </row>
    <row r="5936" spans="13:20" x14ac:dyDescent="0.25">
      <c r="M5936" s="14"/>
      <c r="N5936" s="14"/>
      <c r="O5936" s="21"/>
      <c r="P5936" s="14"/>
      <c r="Q5936" s="21"/>
      <c r="R5936" s="28"/>
      <c r="S5936" s="29"/>
      <c r="T5936" s="28"/>
    </row>
    <row r="5937" spans="13:20" x14ac:dyDescent="0.25">
      <c r="M5937" s="14"/>
      <c r="N5937" s="14"/>
      <c r="O5937" s="14"/>
      <c r="P5937" s="14"/>
      <c r="Q5937" s="14"/>
      <c r="R5937" s="14"/>
      <c r="S5937" s="26"/>
      <c r="T5937" s="26"/>
    </row>
    <row r="5938" spans="13:20" ht="13.8" x14ac:dyDescent="0.25">
      <c r="M5938" s="14"/>
      <c r="N5938" s="14"/>
      <c r="O5938" s="30"/>
      <c r="P5938" s="14"/>
      <c r="Q5938" s="14"/>
      <c r="R5938" s="27"/>
      <c r="S5938" s="26"/>
      <c r="T5938" s="26"/>
    </row>
    <row r="5939" spans="13:20" x14ac:dyDescent="0.25">
      <c r="M5939" s="14"/>
      <c r="N5939" s="14"/>
      <c r="O5939" s="14"/>
      <c r="P5939" s="14"/>
      <c r="Q5939" s="14"/>
      <c r="R5939" s="14"/>
      <c r="S5939" s="14"/>
      <c r="T5939" s="14"/>
    </row>
    <row r="5940" spans="13:20" x14ac:dyDescent="0.25">
      <c r="M5940" s="14"/>
      <c r="N5940" s="14"/>
      <c r="O5940" s="21"/>
      <c r="P5940" s="21"/>
      <c r="Q5940" s="21"/>
      <c r="R5940" s="27"/>
      <c r="S5940" s="29"/>
      <c r="T5940" s="29"/>
    </row>
    <row r="5941" spans="13:20" x14ac:dyDescent="0.25">
      <c r="M5941" s="14"/>
      <c r="N5941" s="14"/>
      <c r="O5941" s="21"/>
      <c r="P5941" s="14"/>
      <c r="Q5941" s="21"/>
      <c r="R5941" s="28"/>
      <c r="S5941" s="29"/>
      <c r="T5941" s="29"/>
    </row>
    <row r="5942" spans="13:20" x14ac:dyDescent="0.25">
      <c r="M5942" s="14"/>
      <c r="N5942" s="14"/>
      <c r="O5942" s="21"/>
      <c r="P5942" s="14"/>
      <c r="Q5942" s="21"/>
      <c r="R5942" s="28"/>
      <c r="S5942" s="29"/>
      <c r="T5942" s="29"/>
    </row>
    <row r="5943" spans="13:20" ht="14.4" x14ac:dyDescent="0.3">
      <c r="M5943" s="14"/>
      <c r="N5943" s="14"/>
      <c r="O5943" s="32"/>
      <c r="P5943" s="33"/>
      <c r="Q5943" s="32"/>
      <c r="R5943" s="27"/>
      <c r="S5943" s="29"/>
      <c r="T5943" s="29"/>
    </row>
    <row r="5944" spans="13:20" x14ac:dyDescent="0.25">
      <c r="M5944" s="14"/>
      <c r="N5944" s="14"/>
      <c r="O5944" s="32"/>
      <c r="P5944" s="21"/>
      <c r="Q5944" s="32"/>
      <c r="R5944" s="27"/>
      <c r="S5944" s="29"/>
      <c r="T5944" s="29"/>
    </row>
    <row r="5945" spans="13:20" x14ac:dyDescent="0.25">
      <c r="M5945" s="14"/>
      <c r="N5945" s="14"/>
      <c r="O5945" s="32"/>
      <c r="P5945" s="34"/>
      <c r="Q5945" s="32"/>
      <c r="R5945" s="27"/>
      <c r="S5945" s="14"/>
      <c r="T5945" s="29"/>
    </row>
    <row r="5946" spans="13:20" x14ac:dyDescent="0.25">
      <c r="M5946" s="14"/>
      <c r="N5946" s="14"/>
      <c r="O5946" s="32"/>
      <c r="P5946" s="34"/>
      <c r="Q5946" s="32"/>
      <c r="R5946" s="27"/>
      <c r="S5946" s="14"/>
      <c r="T5946" s="29"/>
    </row>
    <row r="5947" spans="13:20" x14ac:dyDescent="0.25">
      <c r="M5947" s="14"/>
      <c r="N5947" s="14"/>
      <c r="O5947" s="32"/>
      <c r="P5947" s="34"/>
      <c r="Q5947" s="32"/>
      <c r="R5947" s="27"/>
      <c r="S5947" s="14"/>
      <c r="T5947" s="14"/>
    </row>
    <row r="5948" spans="13:20" x14ac:dyDescent="0.25">
      <c r="M5948" s="14"/>
      <c r="N5948" s="14"/>
      <c r="O5948" s="32"/>
      <c r="P5948" s="35"/>
      <c r="Q5948" s="32"/>
      <c r="R5948" s="27"/>
      <c r="S5948" s="21"/>
      <c r="T5948" s="14"/>
    </row>
    <row r="5949" spans="13:20" x14ac:dyDescent="0.25">
      <c r="M5949" s="14"/>
      <c r="N5949" s="14"/>
      <c r="O5949" s="36"/>
      <c r="P5949" s="14"/>
      <c r="Q5949" s="14"/>
      <c r="R5949" s="37"/>
      <c r="S5949" s="29"/>
      <c r="T5949" s="28"/>
    </row>
    <row r="5950" spans="13:20" x14ac:dyDescent="0.25">
      <c r="M5950" s="14"/>
      <c r="N5950" s="14"/>
      <c r="O5950" s="21"/>
      <c r="P5950" s="14"/>
      <c r="Q5950" s="21"/>
      <c r="R5950" s="28"/>
      <c r="S5950" s="29"/>
      <c r="T5950" s="28"/>
    </row>
    <row r="5951" spans="13:20" x14ac:dyDescent="0.25">
      <c r="M5951" s="14"/>
      <c r="N5951" s="14"/>
      <c r="O5951" s="14"/>
      <c r="P5951" s="14"/>
      <c r="Q5951" s="14"/>
      <c r="R5951" s="14"/>
      <c r="S5951" s="26"/>
      <c r="T5951" s="26"/>
    </row>
    <row r="5952" spans="13:20" ht="13.8" x14ac:dyDescent="0.25">
      <c r="M5952" s="14"/>
      <c r="N5952" s="14"/>
      <c r="O5952" s="30"/>
      <c r="P5952" s="14"/>
      <c r="Q5952" s="14"/>
      <c r="R5952" s="27"/>
      <c r="S5952" s="26"/>
      <c r="T5952" s="26"/>
    </row>
    <row r="5953" spans="13:20" x14ac:dyDescent="0.25">
      <c r="M5953" s="14"/>
      <c r="N5953" s="14"/>
      <c r="O5953" s="14"/>
      <c r="P5953" s="14"/>
      <c r="Q5953" s="14"/>
      <c r="R5953" s="14"/>
      <c r="S5953" s="14"/>
      <c r="T5953" s="14"/>
    </row>
    <row r="5954" spans="13:20" x14ac:dyDescent="0.25">
      <c r="M5954" s="14"/>
      <c r="N5954" s="14"/>
      <c r="O5954" s="21"/>
      <c r="P5954" s="21"/>
      <c r="Q5954" s="21"/>
      <c r="R5954" s="27"/>
      <c r="S5954" s="29"/>
      <c r="T5954" s="29"/>
    </row>
    <row r="5955" spans="13:20" x14ac:dyDescent="0.25">
      <c r="M5955" s="14"/>
      <c r="N5955" s="14"/>
      <c r="O5955" s="21"/>
      <c r="P5955" s="14"/>
      <c r="Q5955" s="21"/>
      <c r="R5955" s="28"/>
      <c r="S5955" s="29"/>
      <c r="T5955" s="29"/>
    </row>
    <row r="5956" spans="13:20" x14ac:dyDescent="0.25">
      <c r="M5956" s="14"/>
      <c r="N5956" s="14"/>
      <c r="O5956" s="21"/>
      <c r="P5956" s="14"/>
      <c r="Q5956" s="21"/>
      <c r="R5956" s="28"/>
      <c r="S5956" s="29"/>
      <c r="T5956" s="29"/>
    </row>
    <row r="5957" spans="13:20" ht="14.4" x14ac:dyDescent="0.3">
      <c r="M5957" s="14"/>
      <c r="N5957" s="14"/>
      <c r="O5957" s="32"/>
      <c r="P5957" s="33"/>
      <c r="Q5957" s="32"/>
      <c r="R5957" s="27"/>
      <c r="S5957" s="29"/>
      <c r="T5957" s="29"/>
    </row>
    <row r="5958" spans="13:20" x14ac:dyDescent="0.25">
      <c r="M5958" s="14"/>
      <c r="N5958" s="14"/>
      <c r="O5958" s="32"/>
      <c r="P5958" s="21"/>
      <c r="Q5958" s="32"/>
      <c r="R5958" s="27"/>
      <c r="S5958" s="29"/>
      <c r="T5958" s="29"/>
    </row>
    <row r="5959" spans="13:20" x14ac:dyDescent="0.25">
      <c r="M5959" s="14"/>
      <c r="N5959" s="14"/>
      <c r="O5959" s="32"/>
      <c r="P5959" s="34"/>
      <c r="Q5959" s="32"/>
      <c r="R5959" s="27"/>
      <c r="S5959" s="14"/>
      <c r="T5959" s="29"/>
    </row>
    <row r="5960" spans="13:20" x14ac:dyDescent="0.25">
      <c r="M5960" s="14"/>
      <c r="N5960" s="14"/>
      <c r="O5960" s="32"/>
      <c r="P5960" s="34"/>
      <c r="Q5960" s="32"/>
      <c r="R5960" s="27"/>
      <c r="S5960" s="14"/>
      <c r="T5960" s="29"/>
    </row>
    <row r="5961" spans="13:20" x14ac:dyDescent="0.25">
      <c r="M5961" s="14"/>
      <c r="N5961" s="14"/>
      <c r="O5961" s="32"/>
      <c r="P5961" s="34"/>
      <c r="Q5961" s="32"/>
      <c r="R5961" s="27"/>
      <c r="S5961" s="14"/>
      <c r="T5961" s="14"/>
    </row>
    <row r="5962" spans="13:20" x14ac:dyDescent="0.25">
      <c r="M5962" s="14"/>
      <c r="N5962" s="14"/>
      <c r="O5962" s="32"/>
      <c r="P5962" s="35"/>
      <c r="Q5962" s="32"/>
      <c r="R5962" s="27"/>
      <c r="S5962" s="21"/>
      <c r="T5962" s="14"/>
    </row>
    <row r="5963" spans="13:20" x14ac:dyDescent="0.25">
      <c r="M5963" s="14"/>
      <c r="N5963" s="14"/>
      <c r="O5963" s="36"/>
      <c r="P5963" s="14"/>
      <c r="Q5963" s="14"/>
      <c r="R5963" s="37"/>
      <c r="S5963" s="29"/>
      <c r="T5963" s="28"/>
    </row>
    <row r="5964" spans="13:20" x14ac:dyDescent="0.25">
      <c r="M5964" s="14"/>
      <c r="N5964" s="14"/>
      <c r="O5964" s="21"/>
      <c r="P5964" s="14"/>
      <c r="Q5964" s="21"/>
      <c r="R5964" s="28"/>
      <c r="S5964" s="29"/>
      <c r="T5964" s="28"/>
    </row>
    <row r="5965" spans="13:20" x14ac:dyDescent="0.25">
      <c r="M5965" s="14"/>
      <c r="N5965" s="14"/>
      <c r="O5965" s="14"/>
      <c r="P5965" s="14"/>
      <c r="Q5965" s="14"/>
      <c r="R5965" s="14"/>
      <c r="S5965" s="26"/>
      <c r="T5965" s="26"/>
    </row>
    <row r="5966" spans="13:20" ht="13.8" x14ac:dyDescent="0.25">
      <c r="M5966" s="14"/>
      <c r="N5966" s="14"/>
      <c r="O5966" s="30"/>
      <c r="P5966" s="14"/>
      <c r="Q5966" s="14"/>
      <c r="R5966" s="27"/>
      <c r="S5966" s="26"/>
      <c r="T5966" s="26"/>
    </row>
    <row r="5967" spans="13:20" x14ac:dyDescent="0.25">
      <c r="M5967" s="14"/>
      <c r="N5967" s="14"/>
      <c r="O5967" s="14"/>
      <c r="P5967" s="14"/>
      <c r="Q5967" s="14"/>
      <c r="R5967" s="14"/>
      <c r="S5967" s="14"/>
      <c r="T5967" s="14"/>
    </row>
    <row r="5968" spans="13:20" x14ac:dyDescent="0.25">
      <c r="M5968" s="14"/>
      <c r="N5968" s="14"/>
      <c r="O5968" s="21"/>
      <c r="P5968" s="21"/>
      <c r="Q5968" s="21"/>
      <c r="R5968" s="27"/>
      <c r="S5968" s="29"/>
      <c r="T5968" s="29"/>
    </row>
    <row r="5969" spans="13:20" x14ac:dyDescent="0.25">
      <c r="M5969" s="14"/>
      <c r="N5969" s="14"/>
      <c r="O5969" s="21"/>
      <c r="P5969" s="14"/>
      <c r="Q5969" s="21"/>
      <c r="R5969" s="28"/>
      <c r="S5969" s="29"/>
      <c r="T5969" s="29"/>
    </row>
    <row r="5970" spans="13:20" x14ac:dyDescent="0.25">
      <c r="M5970" s="14"/>
      <c r="N5970" s="14"/>
      <c r="O5970" s="21"/>
      <c r="P5970" s="14"/>
      <c r="Q5970" s="21"/>
      <c r="R5970" s="28"/>
      <c r="S5970" s="29"/>
      <c r="T5970" s="29"/>
    </row>
    <row r="5971" spans="13:20" ht="14.4" x14ac:dyDescent="0.3">
      <c r="M5971" s="14"/>
      <c r="N5971" s="14"/>
      <c r="O5971" s="32"/>
      <c r="P5971" s="33"/>
      <c r="Q5971" s="32"/>
      <c r="R5971" s="27"/>
      <c r="S5971" s="29"/>
      <c r="T5971" s="29"/>
    </row>
    <row r="5972" spans="13:20" x14ac:dyDescent="0.25">
      <c r="M5972" s="14"/>
      <c r="N5972" s="14"/>
      <c r="O5972" s="32"/>
      <c r="P5972" s="21"/>
      <c r="Q5972" s="32"/>
      <c r="R5972" s="27"/>
      <c r="S5972" s="29"/>
      <c r="T5972" s="29"/>
    </row>
    <row r="5973" spans="13:20" x14ac:dyDescent="0.25">
      <c r="M5973" s="14"/>
      <c r="N5973" s="14"/>
      <c r="O5973" s="32"/>
      <c r="P5973" s="34"/>
      <c r="Q5973" s="32"/>
      <c r="R5973" s="27"/>
      <c r="S5973" s="14"/>
      <c r="T5973" s="29"/>
    </row>
    <row r="5974" spans="13:20" x14ac:dyDescent="0.25">
      <c r="M5974" s="14"/>
      <c r="N5974" s="14"/>
      <c r="O5974" s="32"/>
      <c r="P5974" s="34"/>
      <c r="Q5974" s="32"/>
      <c r="R5974" s="27"/>
      <c r="S5974" s="14"/>
      <c r="T5974" s="29"/>
    </row>
    <row r="5975" spans="13:20" x14ac:dyDescent="0.25">
      <c r="M5975" s="14"/>
      <c r="N5975" s="14"/>
      <c r="O5975" s="32"/>
      <c r="P5975" s="34"/>
      <c r="Q5975" s="32"/>
      <c r="R5975" s="27"/>
      <c r="S5975" s="14"/>
      <c r="T5975" s="14"/>
    </row>
    <row r="5976" spans="13:20" x14ac:dyDescent="0.25">
      <c r="M5976" s="14"/>
      <c r="N5976" s="14"/>
      <c r="O5976" s="32"/>
      <c r="P5976" s="35"/>
      <c r="Q5976" s="32"/>
      <c r="R5976" s="27"/>
      <c r="S5976" s="21"/>
      <c r="T5976" s="14"/>
    </row>
    <row r="5977" spans="13:20" x14ac:dyDescent="0.25">
      <c r="M5977" s="14"/>
      <c r="N5977" s="14"/>
      <c r="O5977" s="36"/>
      <c r="P5977" s="14"/>
      <c r="Q5977" s="14"/>
      <c r="R5977" s="37"/>
      <c r="S5977" s="29"/>
      <c r="T5977" s="28"/>
    </row>
    <row r="5978" spans="13:20" x14ac:dyDescent="0.25">
      <c r="M5978" s="14"/>
      <c r="N5978" s="14"/>
      <c r="O5978" s="21"/>
      <c r="P5978" s="14"/>
      <c r="Q5978" s="21"/>
      <c r="R5978" s="28"/>
      <c r="S5978" s="29"/>
      <c r="T5978" s="28"/>
    </row>
    <row r="5979" spans="13:20" x14ac:dyDescent="0.25">
      <c r="M5979" s="14"/>
      <c r="N5979" s="14"/>
      <c r="O5979" s="14"/>
      <c r="P5979" s="14"/>
      <c r="Q5979" s="14"/>
      <c r="R5979" s="14"/>
      <c r="S5979" s="26"/>
      <c r="T5979" s="26"/>
    </row>
    <row r="5980" spans="13:20" ht="13.8" x14ac:dyDescent="0.25">
      <c r="M5980" s="14"/>
      <c r="N5980" s="14"/>
      <c r="O5980" s="30"/>
      <c r="P5980" s="14"/>
      <c r="Q5980" s="14"/>
      <c r="R5980" s="27"/>
      <c r="S5980" s="26"/>
      <c r="T5980" s="26"/>
    </row>
    <row r="5981" spans="13:20" x14ac:dyDescent="0.25">
      <c r="M5981" s="14"/>
      <c r="N5981" s="14"/>
      <c r="O5981" s="14"/>
      <c r="P5981" s="14"/>
      <c r="Q5981" s="14"/>
      <c r="R5981" s="14"/>
      <c r="S5981" s="14"/>
      <c r="T5981" s="14"/>
    </row>
    <row r="5982" spans="13:20" x14ac:dyDescent="0.25">
      <c r="M5982" s="14"/>
      <c r="N5982" s="14"/>
      <c r="O5982" s="21"/>
      <c r="P5982" s="21"/>
      <c r="Q5982" s="21"/>
      <c r="R5982" s="27"/>
      <c r="S5982" s="29"/>
      <c r="T5982" s="29"/>
    </row>
    <row r="5983" spans="13:20" x14ac:dyDescent="0.25">
      <c r="O5983" s="21"/>
      <c r="P5983" s="14"/>
      <c r="Q5983" s="21"/>
      <c r="R5983" s="28"/>
      <c r="S5983" s="29"/>
      <c r="T5983" s="29"/>
    </row>
    <row r="5984" spans="13:20" x14ac:dyDescent="0.25">
      <c r="O5984" s="21"/>
      <c r="P5984" s="14"/>
      <c r="Q5984" s="21"/>
      <c r="R5984" s="28"/>
      <c r="S5984" s="29"/>
      <c r="T5984" s="29"/>
    </row>
    <row r="5985" spans="15:20" ht="14.4" x14ac:dyDescent="0.3">
      <c r="O5985" s="32"/>
      <c r="P5985" s="33"/>
      <c r="Q5985" s="32"/>
      <c r="R5985" s="27"/>
      <c r="S5985" s="29"/>
      <c r="T5985" s="29"/>
    </row>
    <row r="5986" spans="15:20" x14ac:dyDescent="0.25">
      <c r="O5986" s="32"/>
      <c r="P5986" s="21"/>
      <c r="Q5986" s="32"/>
      <c r="R5986" s="27"/>
      <c r="S5986" s="29"/>
      <c r="T5986" s="29"/>
    </row>
    <row r="5987" spans="15:20" x14ac:dyDescent="0.25">
      <c r="O5987" s="32"/>
      <c r="P5987" s="34"/>
      <c r="Q5987" s="32"/>
      <c r="R5987" s="27"/>
      <c r="S5987" s="14"/>
      <c r="T5987" s="29"/>
    </row>
    <row r="5988" spans="15:20" x14ac:dyDescent="0.25">
      <c r="O5988" s="32"/>
      <c r="P5988" s="34"/>
      <c r="Q5988" s="32"/>
      <c r="R5988" s="27"/>
      <c r="S5988" s="14"/>
      <c r="T5988" s="29"/>
    </row>
    <row r="5989" spans="15:20" x14ac:dyDescent="0.25">
      <c r="O5989" s="32"/>
      <c r="P5989" s="34"/>
      <c r="Q5989" s="32"/>
      <c r="R5989" s="27"/>
      <c r="S5989" s="14"/>
      <c r="T5989" s="14"/>
    </row>
    <row r="5990" spans="15:20" x14ac:dyDescent="0.25">
      <c r="O5990" s="32"/>
      <c r="P5990" s="35"/>
      <c r="Q5990" s="32"/>
      <c r="R5990" s="27"/>
      <c r="S5990" s="21"/>
      <c r="T5990" s="14"/>
    </row>
    <row r="5991" spans="15:20" x14ac:dyDescent="0.25">
      <c r="O5991" s="36"/>
      <c r="P5991" s="14"/>
      <c r="Q5991" s="14"/>
      <c r="R5991" s="37"/>
      <c r="S5991" s="29"/>
      <c r="T5991" s="28"/>
    </row>
    <row r="5992" spans="15:20" x14ac:dyDescent="0.25">
      <c r="O5992" s="21"/>
      <c r="P5992" s="14"/>
      <c r="Q5992" s="21"/>
      <c r="R5992" s="28"/>
      <c r="S5992" s="29"/>
      <c r="T5992" s="28"/>
    </row>
    <row r="5993" spans="15:20" x14ac:dyDescent="0.25">
      <c r="O5993" s="14"/>
      <c r="P5993" s="14"/>
      <c r="Q5993" s="14"/>
      <c r="R5993" s="14"/>
      <c r="S5993" s="26"/>
      <c r="T5993" s="26"/>
    </row>
    <row r="5994" spans="15:20" ht="13.8" x14ac:dyDescent="0.25">
      <c r="O5994" s="30"/>
      <c r="P5994" s="14"/>
      <c r="Q5994" s="14"/>
      <c r="R5994" s="27"/>
      <c r="S5994" s="26"/>
      <c r="T5994" s="26"/>
    </row>
    <row r="5995" spans="15:20" x14ac:dyDescent="0.25">
      <c r="O5995" s="14"/>
      <c r="P5995" s="14"/>
      <c r="Q5995" s="14"/>
      <c r="R5995" s="14"/>
      <c r="S5995" s="14"/>
      <c r="T5995" s="14"/>
    </row>
    <row r="5996" spans="15:20" x14ac:dyDescent="0.25">
      <c r="O5996" s="21"/>
      <c r="P5996" s="21"/>
      <c r="Q5996" s="21"/>
      <c r="R5996" s="27"/>
      <c r="S5996" s="29"/>
      <c r="T5996" s="29"/>
    </row>
    <row r="5997" spans="15:20" x14ac:dyDescent="0.25">
      <c r="O5997" s="21"/>
      <c r="P5997" s="14"/>
      <c r="Q5997" s="21"/>
      <c r="R5997" s="28"/>
      <c r="S5997" s="29"/>
      <c r="T5997" s="29"/>
    </row>
    <row r="5998" spans="15:20" x14ac:dyDescent="0.25">
      <c r="O5998" s="21"/>
      <c r="P5998" s="14"/>
      <c r="Q5998" s="21"/>
      <c r="R5998" s="28"/>
      <c r="S5998" s="29"/>
      <c r="T5998" s="29"/>
    </row>
    <row r="5999" spans="15:20" ht="14.4" x14ac:dyDescent="0.3">
      <c r="O5999" s="32"/>
      <c r="P5999" s="33"/>
      <c r="Q5999" s="32"/>
      <c r="R5999" s="27"/>
      <c r="S5999" s="29"/>
      <c r="T5999" s="29"/>
    </row>
    <row r="6000" spans="15:20" x14ac:dyDescent="0.25">
      <c r="O6000" s="32"/>
      <c r="P6000" s="21"/>
      <c r="Q6000" s="32"/>
      <c r="R6000" s="27"/>
      <c r="S6000" s="29"/>
      <c r="T6000" s="29"/>
    </row>
    <row r="6001" spans="15:20" x14ac:dyDescent="0.25">
      <c r="O6001" s="32"/>
      <c r="P6001" s="34"/>
      <c r="Q6001" s="32"/>
      <c r="R6001" s="27"/>
      <c r="S6001" s="14"/>
      <c r="T6001" s="29"/>
    </row>
    <row r="6002" spans="15:20" x14ac:dyDescent="0.25">
      <c r="O6002" s="32"/>
      <c r="P6002" s="34"/>
      <c r="Q6002" s="32"/>
      <c r="R6002" s="27"/>
      <c r="S6002" s="14"/>
      <c r="T6002" s="29"/>
    </row>
    <row r="6003" spans="15:20" x14ac:dyDescent="0.25">
      <c r="O6003" s="32"/>
      <c r="P6003" s="34"/>
      <c r="Q6003" s="32"/>
      <c r="R6003" s="27"/>
      <c r="S6003" s="14"/>
      <c r="T6003" s="14"/>
    </row>
    <row r="6004" spans="15:20" x14ac:dyDescent="0.25">
      <c r="O6004" s="32"/>
      <c r="P6004" s="35"/>
      <c r="Q6004" s="32"/>
      <c r="R6004" s="27"/>
      <c r="S6004" s="21"/>
      <c r="T6004" s="14"/>
    </row>
    <row r="6005" spans="15:20" x14ac:dyDescent="0.25">
      <c r="O6005" s="36"/>
      <c r="P6005" s="14"/>
      <c r="Q6005" s="14"/>
      <c r="R6005" s="37"/>
      <c r="S6005" s="29"/>
      <c r="T6005" s="28"/>
    </row>
    <row r="6006" spans="15:20" x14ac:dyDescent="0.25">
      <c r="O6006" s="21"/>
      <c r="P6006" s="14"/>
      <c r="Q6006" s="21"/>
      <c r="R6006" s="28"/>
      <c r="S6006" s="29"/>
      <c r="T6006" s="28"/>
    </row>
    <row r="6007" spans="15:20" x14ac:dyDescent="0.25">
      <c r="O6007" s="14"/>
      <c r="P6007" s="14"/>
      <c r="Q6007" s="14"/>
      <c r="R6007" s="14"/>
      <c r="S6007" s="26"/>
      <c r="T6007" s="26"/>
    </row>
    <row r="6008" spans="15:20" ht="13.8" x14ac:dyDescent="0.25">
      <c r="O6008" s="30"/>
      <c r="P6008" s="14"/>
      <c r="Q6008" s="14"/>
      <c r="R6008" s="27"/>
      <c r="S6008" s="26"/>
      <c r="T6008" s="26"/>
    </row>
    <row r="6009" spans="15:20" x14ac:dyDescent="0.25">
      <c r="O6009" s="14"/>
      <c r="P6009" s="14"/>
      <c r="Q6009" s="14"/>
      <c r="R6009" s="14"/>
      <c r="S6009" s="14"/>
      <c r="T6009" s="14"/>
    </row>
    <row r="6010" spans="15:20" x14ac:dyDescent="0.25">
      <c r="O6010" s="21"/>
      <c r="P6010" s="21"/>
      <c r="Q6010" s="21"/>
      <c r="R6010" s="27"/>
      <c r="S6010" s="29"/>
      <c r="T6010" s="29"/>
    </row>
    <row r="6011" spans="15:20" x14ac:dyDescent="0.25">
      <c r="O6011" s="21"/>
      <c r="P6011" s="14"/>
      <c r="Q6011" s="21"/>
      <c r="R6011" s="28"/>
      <c r="S6011" s="29"/>
      <c r="T6011" s="29"/>
    </row>
    <row r="6012" spans="15:20" x14ac:dyDescent="0.25">
      <c r="O6012" s="21"/>
      <c r="P6012" s="14"/>
      <c r="Q6012" s="21"/>
      <c r="R6012" s="28"/>
      <c r="S6012" s="29"/>
      <c r="T6012" s="29"/>
    </row>
    <row r="6013" spans="15:20" ht="14.4" x14ac:dyDescent="0.3">
      <c r="O6013" s="32"/>
      <c r="P6013" s="33"/>
      <c r="Q6013" s="32"/>
      <c r="R6013" s="27"/>
      <c r="S6013" s="29"/>
      <c r="T6013" s="29"/>
    </row>
    <row r="6014" spans="15:20" x14ac:dyDescent="0.25">
      <c r="O6014" s="32"/>
      <c r="P6014" s="21"/>
      <c r="Q6014" s="32"/>
      <c r="R6014" s="27"/>
      <c r="S6014" s="29"/>
      <c r="T6014" s="29"/>
    </row>
    <row r="6015" spans="15:20" x14ac:dyDescent="0.25">
      <c r="O6015" s="32"/>
      <c r="P6015" s="34"/>
      <c r="Q6015" s="32"/>
      <c r="R6015" s="27"/>
      <c r="S6015" s="14"/>
      <c r="T6015" s="29"/>
    </row>
    <row r="6016" spans="15:20" x14ac:dyDescent="0.25">
      <c r="O6016" s="32"/>
      <c r="P6016" s="34"/>
      <c r="Q6016" s="32"/>
      <c r="R6016" s="27"/>
      <c r="S6016" s="14"/>
      <c r="T6016" s="29"/>
    </row>
    <row r="6017" spans="15:20" x14ac:dyDescent="0.25">
      <c r="O6017" s="32"/>
      <c r="P6017" s="34"/>
      <c r="Q6017" s="32"/>
      <c r="R6017" s="27"/>
      <c r="S6017" s="14"/>
      <c r="T6017" s="14"/>
    </row>
    <row r="6018" spans="15:20" x14ac:dyDescent="0.25">
      <c r="O6018" s="32"/>
      <c r="P6018" s="35"/>
      <c r="Q6018" s="32"/>
      <c r="R6018" s="27"/>
      <c r="S6018" s="21"/>
      <c r="T6018" s="14"/>
    </row>
    <row r="6019" spans="15:20" x14ac:dyDescent="0.25">
      <c r="O6019" s="36"/>
      <c r="P6019" s="14"/>
      <c r="Q6019" s="14"/>
      <c r="R6019" s="37"/>
      <c r="S6019" s="29"/>
      <c r="T6019" s="28"/>
    </row>
    <row r="6020" spans="15:20" x14ac:dyDescent="0.25">
      <c r="O6020" s="21"/>
      <c r="P6020" s="14"/>
      <c r="Q6020" s="21"/>
      <c r="R6020" s="28"/>
      <c r="S6020" s="29"/>
      <c r="T6020" s="28"/>
    </row>
    <row r="6021" spans="15:20" x14ac:dyDescent="0.25">
      <c r="O6021" s="14"/>
      <c r="P6021" s="14"/>
      <c r="Q6021" s="14"/>
      <c r="R6021" s="14"/>
      <c r="S6021" s="26"/>
      <c r="T6021" s="26"/>
    </row>
    <row r="6022" spans="15:20" ht="13.8" x14ac:dyDescent="0.25">
      <c r="O6022" s="30"/>
      <c r="P6022" s="14"/>
      <c r="Q6022" s="14"/>
      <c r="R6022" s="27"/>
      <c r="S6022" s="26"/>
      <c r="T6022" s="26"/>
    </row>
    <row r="6023" spans="15:20" x14ac:dyDescent="0.25">
      <c r="O6023" s="14"/>
      <c r="P6023" s="14"/>
      <c r="Q6023" s="14"/>
      <c r="R6023" s="14"/>
      <c r="S6023" s="14"/>
      <c r="T6023" s="14"/>
    </row>
    <row r="6024" spans="15:20" x14ac:dyDescent="0.25">
      <c r="O6024" s="21"/>
      <c r="P6024" s="21"/>
      <c r="Q6024" s="21"/>
      <c r="R6024" s="27"/>
      <c r="S6024" s="29"/>
      <c r="T6024" s="29"/>
    </row>
    <row r="6025" spans="15:20" x14ac:dyDescent="0.25">
      <c r="O6025" s="21"/>
      <c r="P6025" s="14"/>
      <c r="Q6025" s="21"/>
      <c r="R6025" s="28"/>
      <c r="S6025" s="29"/>
      <c r="T6025" s="29"/>
    </row>
    <row r="6026" spans="15:20" x14ac:dyDescent="0.25">
      <c r="O6026" s="21"/>
      <c r="P6026" s="14"/>
      <c r="Q6026" s="21"/>
      <c r="R6026" s="28"/>
      <c r="S6026" s="29"/>
      <c r="T6026" s="29"/>
    </row>
    <row r="6027" spans="15:20" ht="14.4" x14ac:dyDescent="0.3">
      <c r="O6027" s="32"/>
      <c r="P6027" s="33"/>
      <c r="Q6027" s="32"/>
      <c r="R6027" s="27"/>
      <c r="S6027" s="29"/>
      <c r="T6027" s="29"/>
    </row>
    <row r="6028" spans="15:20" x14ac:dyDescent="0.25">
      <c r="O6028" s="32"/>
      <c r="P6028" s="21"/>
      <c r="Q6028" s="32"/>
      <c r="R6028" s="27"/>
      <c r="S6028" s="29"/>
      <c r="T6028" s="29"/>
    </row>
    <row r="6029" spans="15:20" x14ac:dyDescent="0.25">
      <c r="O6029" s="32"/>
      <c r="P6029" s="34"/>
      <c r="Q6029" s="32"/>
      <c r="R6029" s="27"/>
      <c r="S6029" s="14"/>
      <c r="T6029" s="29"/>
    </row>
    <row r="6030" spans="15:20" x14ac:dyDescent="0.25">
      <c r="O6030" s="32"/>
      <c r="P6030" s="34"/>
      <c r="Q6030" s="32"/>
      <c r="R6030" s="27"/>
      <c r="S6030" s="14"/>
      <c r="T6030" s="29"/>
    </row>
    <row r="6031" spans="15:20" x14ac:dyDescent="0.25">
      <c r="O6031" s="32"/>
      <c r="P6031" s="34"/>
      <c r="Q6031" s="32"/>
      <c r="R6031" s="27"/>
      <c r="S6031" s="14"/>
      <c r="T6031" s="14"/>
    </row>
    <row r="6032" spans="15:20" x14ac:dyDescent="0.25">
      <c r="O6032" s="32"/>
      <c r="P6032" s="35"/>
      <c r="Q6032" s="32"/>
      <c r="R6032" s="27"/>
      <c r="S6032" s="21"/>
      <c r="T6032" s="14"/>
    </row>
    <row r="6033" spans="15:20" x14ac:dyDescent="0.25">
      <c r="O6033" s="36"/>
      <c r="P6033" s="14"/>
      <c r="Q6033" s="14"/>
      <c r="R6033" s="37"/>
      <c r="S6033" s="29"/>
      <c r="T6033" s="28"/>
    </row>
    <row r="6034" spans="15:20" x14ac:dyDescent="0.25">
      <c r="O6034" s="21"/>
      <c r="P6034" s="14"/>
      <c r="Q6034" s="21"/>
      <c r="R6034" s="28"/>
      <c r="S6034" s="29"/>
      <c r="T6034" s="28"/>
    </row>
    <row r="6035" spans="15:20" x14ac:dyDescent="0.25">
      <c r="O6035" s="14"/>
      <c r="P6035" s="14"/>
      <c r="Q6035" s="14"/>
      <c r="R6035" s="14"/>
      <c r="S6035" s="26"/>
      <c r="T6035" s="26"/>
    </row>
    <row r="6036" spans="15:20" ht="13.8" x14ac:dyDescent="0.25">
      <c r="O6036" s="30"/>
      <c r="P6036" s="14"/>
      <c r="Q6036" s="14"/>
      <c r="R6036" s="27"/>
      <c r="S6036" s="26"/>
      <c r="T6036" s="26"/>
    </row>
    <row r="6037" spans="15:20" x14ac:dyDescent="0.25">
      <c r="O6037" s="14"/>
      <c r="P6037" s="14"/>
      <c r="Q6037" s="14"/>
      <c r="R6037" s="14"/>
      <c r="S6037" s="14"/>
      <c r="T6037" s="14"/>
    </row>
    <row r="6038" spans="15:20" x14ac:dyDescent="0.25">
      <c r="O6038" s="21"/>
      <c r="P6038" s="21"/>
      <c r="Q6038" s="21"/>
      <c r="R6038" s="27"/>
      <c r="S6038" s="29"/>
      <c r="T6038" s="29"/>
    </row>
    <row r="6039" spans="15:20" x14ac:dyDescent="0.25">
      <c r="O6039" s="21"/>
      <c r="P6039" s="14"/>
      <c r="Q6039" s="21"/>
      <c r="R6039" s="28"/>
      <c r="S6039" s="29"/>
      <c r="T6039" s="29"/>
    </row>
    <row r="6040" spans="15:20" x14ac:dyDescent="0.25">
      <c r="O6040" s="21"/>
      <c r="P6040" s="14"/>
      <c r="Q6040" s="21"/>
      <c r="R6040" s="28"/>
      <c r="S6040" s="29"/>
      <c r="T6040" s="29"/>
    </row>
    <row r="6041" spans="15:20" ht="14.4" x14ac:dyDescent="0.3">
      <c r="O6041" s="32"/>
      <c r="P6041" s="33"/>
      <c r="Q6041" s="32"/>
      <c r="R6041" s="27"/>
      <c r="S6041" s="29"/>
      <c r="T6041" s="29"/>
    </row>
    <row r="6042" spans="15:20" x14ac:dyDescent="0.25">
      <c r="O6042" s="32"/>
      <c r="P6042" s="21"/>
      <c r="Q6042" s="32"/>
      <c r="R6042" s="27"/>
      <c r="S6042" s="29"/>
      <c r="T6042" s="29"/>
    </row>
    <row r="6043" spans="15:20" x14ac:dyDescent="0.25">
      <c r="O6043" s="32"/>
      <c r="P6043" s="34"/>
      <c r="Q6043" s="32"/>
      <c r="R6043" s="27"/>
      <c r="S6043" s="14"/>
      <c r="T6043" s="29"/>
    </row>
    <row r="6044" spans="15:20" x14ac:dyDescent="0.25">
      <c r="O6044" s="32"/>
      <c r="P6044" s="34"/>
      <c r="Q6044" s="32"/>
      <c r="R6044" s="27"/>
      <c r="S6044" s="14"/>
      <c r="T6044" s="29"/>
    </row>
    <row r="6045" spans="15:20" x14ac:dyDescent="0.25">
      <c r="O6045" s="32"/>
      <c r="P6045" s="34"/>
      <c r="Q6045" s="32"/>
      <c r="R6045" s="27"/>
      <c r="S6045" s="14"/>
      <c r="T6045" s="14"/>
    </row>
    <row r="6046" spans="15:20" x14ac:dyDescent="0.25">
      <c r="O6046" s="32"/>
      <c r="P6046" s="35"/>
      <c r="Q6046" s="32"/>
      <c r="R6046" s="27"/>
      <c r="S6046" s="21"/>
      <c r="T6046" s="14"/>
    </row>
    <row r="6047" spans="15:20" x14ac:dyDescent="0.25">
      <c r="O6047" s="36"/>
      <c r="P6047" s="14"/>
      <c r="Q6047" s="14"/>
      <c r="R6047" s="37"/>
      <c r="S6047" s="29"/>
      <c r="T6047" s="28"/>
    </row>
    <row r="6048" spans="15:20" x14ac:dyDescent="0.25">
      <c r="O6048" s="21"/>
      <c r="P6048" s="14"/>
      <c r="Q6048" s="21"/>
      <c r="R6048" s="28"/>
      <c r="S6048" s="29"/>
      <c r="T6048" s="28"/>
    </row>
    <row r="6049" spans="15:20" x14ac:dyDescent="0.25">
      <c r="O6049" s="14"/>
      <c r="P6049" s="14"/>
      <c r="Q6049" s="14"/>
      <c r="R6049" s="14"/>
      <c r="S6049" s="26"/>
      <c r="T6049" s="26"/>
    </row>
    <row r="6050" spans="15:20" ht="13.8" x14ac:dyDescent="0.25">
      <c r="O6050" s="30"/>
      <c r="P6050" s="14"/>
      <c r="Q6050" s="14"/>
      <c r="R6050" s="27"/>
      <c r="S6050" s="26"/>
      <c r="T6050" s="26"/>
    </row>
    <row r="6051" spans="15:20" x14ac:dyDescent="0.25">
      <c r="O6051" s="14"/>
      <c r="P6051" s="14"/>
      <c r="Q6051" s="14"/>
      <c r="R6051" s="14"/>
      <c r="S6051" s="14"/>
      <c r="T6051" s="14"/>
    </row>
    <row r="6052" spans="15:20" x14ac:dyDescent="0.25">
      <c r="O6052" s="21"/>
      <c r="P6052" s="21"/>
      <c r="Q6052" s="21"/>
      <c r="R6052" s="27"/>
      <c r="S6052" s="29"/>
      <c r="T6052" s="29"/>
    </row>
    <row r="6053" spans="15:20" x14ac:dyDescent="0.25">
      <c r="O6053" s="21"/>
      <c r="P6053" s="14"/>
      <c r="Q6053" s="21"/>
      <c r="R6053" s="28"/>
      <c r="S6053" s="29"/>
      <c r="T6053" s="29"/>
    </row>
    <row r="6054" spans="15:20" x14ac:dyDescent="0.25">
      <c r="O6054" s="21"/>
      <c r="P6054" s="14"/>
      <c r="Q6054" s="21"/>
      <c r="R6054" s="28"/>
      <c r="S6054" s="29"/>
      <c r="T6054" s="29"/>
    </row>
    <row r="6055" spans="15:20" ht="14.4" x14ac:dyDescent="0.3">
      <c r="O6055" s="32"/>
      <c r="P6055" s="33"/>
      <c r="Q6055" s="32"/>
      <c r="R6055" s="27"/>
      <c r="S6055" s="29"/>
      <c r="T6055" s="29"/>
    </row>
    <row r="6056" spans="15:20" x14ac:dyDescent="0.25">
      <c r="O6056" s="32"/>
      <c r="P6056" s="21"/>
      <c r="Q6056" s="32"/>
      <c r="R6056" s="27"/>
      <c r="S6056" s="29"/>
      <c r="T6056" s="29"/>
    </row>
    <row r="6057" spans="15:20" x14ac:dyDescent="0.25">
      <c r="O6057" s="32"/>
      <c r="P6057" s="34"/>
      <c r="Q6057" s="32"/>
      <c r="R6057" s="27"/>
      <c r="S6057" s="14"/>
      <c r="T6057" s="29"/>
    </row>
    <row r="6058" spans="15:20" x14ac:dyDescent="0.25">
      <c r="O6058" s="32"/>
      <c r="P6058" s="34"/>
      <c r="Q6058" s="32"/>
      <c r="R6058" s="27"/>
      <c r="S6058" s="14"/>
      <c r="T6058" s="29"/>
    </row>
    <row r="6059" spans="15:20" x14ac:dyDescent="0.25">
      <c r="O6059" s="32"/>
      <c r="P6059" s="34"/>
      <c r="Q6059" s="32"/>
      <c r="R6059" s="27"/>
      <c r="S6059" s="14"/>
      <c r="T6059" s="14"/>
    </row>
    <row r="6060" spans="15:20" x14ac:dyDescent="0.25">
      <c r="O6060" s="32"/>
      <c r="P6060" s="35"/>
      <c r="Q6060" s="32"/>
      <c r="R6060" s="27"/>
      <c r="S6060" s="21"/>
      <c r="T6060" s="14"/>
    </row>
    <row r="6061" spans="15:20" x14ac:dyDescent="0.25">
      <c r="O6061" s="36"/>
      <c r="P6061" s="14"/>
      <c r="Q6061" s="14"/>
      <c r="R6061" s="37"/>
      <c r="S6061" s="29"/>
      <c r="T6061" s="28"/>
    </row>
    <row r="6062" spans="15:20" x14ac:dyDescent="0.25">
      <c r="O6062" s="21"/>
      <c r="P6062" s="14"/>
      <c r="Q6062" s="21"/>
      <c r="R6062" s="28"/>
      <c r="S6062" s="29"/>
      <c r="T6062" s="28"/>
    </row>
    <row r="6063" spans="15:20" x14ac:dyDescent="0.25">
      <c r="O6063" s="14"/>
      <c r="P6063" s="14"/>
      <c r="Q6063" s="14"/>
      <c r="R6063" s="14"/>
      <c r="S6063" s="26"/>
      <c r="T6063" s="26"/>
    </row>
    <row r="6064" spans="15:20" ht="13.8" x14ac:dyDescent="0.25">
      <c r="O6064" s="30"/>
      <c r="P6064" s="14"/>
      <c r="Q6064" s="14"/>
      <c r="R6064" s="27"/>
      <c r="S6064" s="26"/>
      <c r="T6064" s="26"/>
    </row>
    <row r="6065" spans="15:20" x14ac:dyDescent="0.25">
      <c r="O6065" s="14"/>
      <c r="P6065" s="14"/>
      <c r="Q6065" s="14"/>
      <c r="R6065" s="14"/>
      <c r="S6065" s="14"/>
      <c r="T6065" s="14"/>
    </row>
    <row r="6066" spans="15:20" x14ac:dyDescent="0.25">
      <c r="O6066" s="21"/>
      <c r="P6066" s="21"/>
      <c r="Q6066" s="21"/>
      <c r="R6066" s="27"/>
      <c r="S6066" s="29"/>
      <c r="T6066" s="29"/>
    </row>
    <row r="6067" spans="15:20" x14ac:dyDescent="0.25">
      <c r="O6067" s="21"/>
      <c r="P6067" s="14"/>
      <c r="Q6067" s="21"/>
      <c r="R6067" s="28"/>
      <c r="S6067" s="29"/>
      <c r="T6067" s="29"/>
    </row>
    <row r="6068" spans="15:20" x14ac:dyDescent="0.25">
      <c r="O6068" s="21"/>
      <c r="P6068" s="14"/>
      <c r="Q6068" s="21"/>
      <c r="R6068" s="28"/>
      <c r="S6068" s="29"/>
      <c r="T6068" s="29"/>
    </row>
    <row r="6069" spans="15:20" ht="14.4" x14ac:dyDescent="0.3">
      <c r="O6069" s="32"/>
      <c r="P6069" s="33"/>
      <c r="Q6069" s="32"/>
      <c r="R6069" s="27"/>
      <c r="S6069" s="29"/>
      <c r="T6069" s="29"/>
    </row>
    <row r="6070" spans="15:20" x14ac:dyDescent="0.25">
      <c r="O6070" s="32"/>
      <c r="P6070" s="21"/>
      <c r="Q6070" s="32"/>
      <c r="R6070" s="27"/>
      <c r="S6070" s="29"/>
      <c r="T6070" s="29"/>
    </row>
    <row r="6071" spans="15:20" x14ac:dyDescent="0.25">
      <c r="O6071" s="32"/>
      <c r="P6071" s="34"/>
      <c r="Q6071" s="32"/>
      <c r="R6071" s="27"/>
      <c r="S6071" s="14"/>
      <c r="T6071" s="29"/>
    </row>
    <row r="6072" spans="15:20" x14ac:dyDescent="0.25">
      <c r="O6072" s="32"/>
      <c r="P6072" s="34"/>
      <c r="Q6072" s="32"/>
      <c r="R6072" s="27"/>
      <c r="S6072" s="14"/>
      <c r="T6072" s="29"/>
    </row>
    <row r="6073" spans="15:20" x14ac:dyDescent="0.25">
      <c r="O6073" s="32"/>
      <c r="P6073" s="34"/>
      <c r="Q6073" s="32"/>
      <c r="R6073" s="27"/>
      <c r="S6073" s="14"/>
      <c r="T6073" s="14"/>
    </row>
    <row r="6074" spans="15:20" x14ac:dyDescent="0.25">
      <c r="O6074" s="32"/>
      <c r="P6074" s="35"/>
      <c r="Q6074" s="32"/>
      <c r="R6074" s="27"/>
      <c r="S6074" s="21"/>
      <c r="T6074" s="14"/>
    </row>
    <row r="6075" spans="15:20" x14ac:dyDescent="0.25">
      <c r="O6075" s="36"/>
      <c r="P6075" s="14"/>
      <c r="Q6075" s="14"/>
      <c r="R6075" s="37"/>
      <c r="S6075" s="29"/>
      <c r="T6075" s="28"/>
    </row>
    <row r="6076" spans="15:20" x14ac:dyDescent="0.25">
      <c r="O6076" s="21"/>
      <c r="P6076" s="14"/>
      <c r="Q6076" s="21"/>
      <c r="R6076" s="28"/>
      <c r="S6076" s="29"/>
      <c r="T6076" s="28"/>
    </row>
    <row r="6077" spans="15:20" x14ac:dyDescent="0.25">
      <c r="O6077" s="14"/>
      <c r="P6077" s="14"/>
      <c r="Q6077" s="14"/>
      <c r="R6077" s="14"/>
      <c r="S6077" s="26"/>
      <c r="T6077" s="26"/>
    </row>
    <row r="6078" spans="15:20" ht="13.8" x14ac:dyDescent="0.25">
      <c r="O6078" s="30"/>
      <c r="P6078" s="14"/>
      <c r="Q6078" s="14"/>
      <c r="R6078" s="27"/>
      <c r="S6078" s="26"/>
      <c r="T6078" s="26"/>
    </row>
    <row r="6079" spans="15:20" x14ac:dyDescent="0.25">
      <c r="O6079" s="14"/>
      <c r="P6079" s="14"/>
      <c r="Q6079" s="14"/>
      <c r="R6079" s="14"/>
      <c r="S6079" s="14"/>
      <c r="T6079" s="14"/>
    </row>
    <row r="6080" spans="15:20" x14ac:dyDescent="0.25">
      <c r="O6080" s="21"/>
      <c r="P6080" s="21"/>
      <c r="Q6080" s="21"/>
      <c r="R6080" s="27"/>
      <c r="S6080" s="29"/>
      <c r="T6080" s="29"/>
    </row>
    <row r="6081" spans="15:20" x14ac:dyDescent="0.25">
      <c r="O6081" s="21"/>
      <c r="P6081" s="14"/>
      <c r="Q6081" s="21"/>
      <c r="R6081" s="28"/>
      <c r="S6081" s="29"/>
      <c r="T6081" s="29"/>
    </row>
    <row r="6082" spans="15:20" x14ac:dyDescent="0.25">
      <c r="O6082" s="21"/>
      <c r="P6082" s="14"/>
      <c r="Q6082" s="21"/>
      <c r="R6082" s="28"/>
      <c r="S6082" s="29"/>
      <c r="T6082" s="29"/>
    </row>
    <row r="6083" spans="15:20" ht="14.4" x14ac:dyDescent="0.3">
      <c r="O6083" s="32"/>
      <c r="P6083" s="33"/>
      <c r="Q6083" s="32"/>
      <c r="R6083" s="27"/>
      <c r="S6083" s="29"/>
      <c r="T6083" s="29"/>
    </row>
    <row r="6084" spans="15:20" x14ac:dyDescent="0.25">
      <c r="O6084" s="32"/>
      <c r="P6084" s="21"/>
      <c r="Q6084" s="32"/>
      <c r="R6084" s="27"/>
      <c r="S6084" s="29"/>
      <c r="T6084" s="29"/>
    </row>
    <row r="6085" spans="15:20" x14ac:dyDescent="0.25">
      <c r="O6085" s="32"/>
      <c r="P6085" s="34"/>
      <c r="Q6085" s="32"/>
      <c r="R6085" s="27"/>
      <c r="S6085" s="14"/>
      <c r="T6085" s="29"/>
    </row>
    <row r="6086" spans="15:20" x14ac:dyDescent="0.25">
      <c r="O6086" s="32"/>
      <c r="P6086" s="34"/>
      <c r="Q6086" s="32"/>
      <c r="R6086" s="27"/>
      <c r="S6086" s="14"/>
      <c r="T6086" s="29"/>
    </row>
    <row r="6087" spans="15:20" x14ac:dyDescent="0.25">
      <c r="O6087" s="32"/>
      <c r="P6087" s="34"/>
      <c r="Q6087" s="32"/>
      <c r="R6087" s="27"/>
      <c r="S6087" s="14"/>
      <c r="T6087" s="14"/>
    </row>
    <row r="6088" spans="15:20" x14ac:dyDescent="0.25">
      <c r="O6088" s="32"/>
      <c r="P6088" s="35"/>
      <c r="Q6088" s="32"/>
      <c r="R6088" s="27"/>
      <c r="S6088" s="21"/>
      <c r="T6088" s="14"/>
    </row>
    <row r="6089" spans="15:20" x14ac:dyDescent="0.25">
      <c r="O6089" s="36"/>
      <c r="P6089" s="14"/>
      <c r="Q6089" s="14"/>
      <c r="R6089" s="37"/>
      <c r="S6089" s="29"/>
      <c r="T6089" s="28"/>
    </row>
    <row r="6090" spans="15:20" x14ac:dyDescent="0.25">
      <c r="O6090" s="21"/>
      <c r="P6090" s="14"/>
      <c r="Q6090" s="21"/>
      <c r="R6090" s="28"/>
      <c r="S6090" s="29"/>
      <c r="T6090" s="28"/>
    </row>
    <row r="6091" spans="15:20" x14ac:dyDescent="0.25">
      <c r="O6091" s="14"/>
      <c r="P6091" s="14"/>
      <c r="Q6091" s="14"/>
      <c r="R6091" s="14"/>
      <c r="S6091" s="26"/>
      <c r="T6091" s="26"/>
    </row>
    <row r="6092" spans="15:20" ht="13.8" x14ac:dyDescent="0.25">
      <c r="O6092" s="30"/>
      <c r="P6092" s="14"/>
      <c r="Q6092" s="14"/>
      <c r="R6092" s="27"/>
      <c r="S6092" s="26"/>
      <c r="T6092" s="26"/>
    </row>
    <row r="6093" spans="15:20" x14ac:dyDescent="0.25">
      <c r="O6093" s="14"/>
      <c r="P6093" s="14"/>
      <c r="Q6093" s="14"/>
      <c r="R6093" s="14"/>
      <c r="S6093" s="14"/>
      <c r="T6093" s="14"/>
    </row>
    <row r="6094" spans="15:20" x14ac:dyDescent="0.25">
      <c r="O6094" s="21"/>
      <c r="P6094" s="21"/>
      <c r="Q6094" s="21"/>
      <c r="R6094" s="27"/>
      <c r="S6094" s="29"/>
      <c r="T6094" s="29"/>
    </row>
    <row r="6095" spans="15:20" x14ac:dyDescent="0.25">
      <c r="O6095" s="21"/>
      <c r="P6095" s="14"/>
      <c r="Q6095" s="21"/>
      <c r="R6095" s="28"/>
      <c r="S6095" s="29"/>
      <c r="T6095" s="29"/>
    </row>
    <row r="6096" spans="15:20" x14ac:dyDescent="0.25">
      <c r="O6096" s="21"/>
      <c r="P6096" s="14"/>
      <c r="Q6096" s="21"/>
      <c r="R6096" s="28"/>
      <c r="S6096" s="29"/>
      <c r="T6096" s="29"/>
    </row>
    <row r="6097" spans="15:20" ht="14.4" x14ac:dyDescent="0.3">
      <c r="O6097" s="32"/>
      <c r="P6097" s="33"/>
      <c r="Q6097" s="32"/>
      <c r="R6097" s="27"/>
      <c r="S6097" s="29"/>
      <c r="T6097" s="29"/>
    </row>
    <row r="6098" spans="15:20" x14ac:dyDescent="0.25">
      <c r="O6098" s="32"/>
      <c r="P6098" s="21"/>
      <c r="Q6098" s="32"/>
      <c r="R6098" s="27"/>
      <c r="S6098" s="29"/>
      <c r="T6098" s="29"/>
    </row>
    <row r="6099" spans="15:20" x14ac:dyDescent="0.25">
      <c r="O6099" s="32"/>
      <c r="P6099" s="34"/>
      <c r="Q6099" s="32"/>
      <c r="R6099" s="27"/>
      <c r="S6099" s="14"/>
      <c r="T6099" s="29"/>
    </row>
    <row r="6100" spans="15:20" x14ac:dyDescent="0.25">
      <c r="O6100" s="32"/>
      <c r="P6100" s="34"/>
      <c r="Q6100" s="32"/>
      <c r="R6100" s="27"/>
      <c r="S6100" s="14"/>
      <c r="T6100" s="29"/>
    </row>
    <row r="6101" spans="15:20" x14ac:dyDescent="0.25">
      <c r="O6101" s="32"/>
      <c r="P6101" s="34"/>
      <c r="Q6101" s="32"/>
      <c r="R6101" s="27"/>
      <c r="S6101" s="14"/>
      <c r="T6101" s="14"/>
    </row>
    <row r="6102" spans="15:20" x14ac:dyDescent="0.25">
      <c r="O6102" s="32"/>
      <c r="P6102" s="35"/>
      <c r="Q6102" s="32"/>
      <c r="R6102" s="27"/>
      <c r="S6102" s="21"/>
      <c r="T6102" s="14"/>
    </row>
    <row r="6103" spans="15:20" x14ac:dyDescent="0.25">
      <c r="O6103" s="36"/>
      <c r="P6103" s="14"/>
      <c r="Q6103" s="14"/>
      <c r="R6103" s="37"/>
      <c r="S6103" s="29"/>
      <c r="T6103" s="28"/>
    </row>
    <row r="6104" spans="15:20" x14ac:dyDescent="0.25">
      <c r="O6104" s="21"/>
      <c r="P6104" s="14"/>
      <c r="Q6104" s="21"/>
      <c r="R6104" s="28"/>
      <c r="S6104" s="29"/>
      <c r="T6104" s="28"/>
    </row>
    <row r="6105" spans="15:20" x14ac:dyDescent="0.25">
      <c r="O6105" s="14"/>
      <c r="P6105" s="14"/>
      <c r="Q6105" s="14"/>
      <c r="R6105" s="14"/>
      <c r="S6105" s="26"/>
      <c r="T6105" s="26"/>
    </row>
    <row r="6106" spans="15:20" ht="13.8" x14ac:dyDescent="0.25">
      <c r="O6106" s="30"/>
      <c r="P6106" s="14"/>
      <c r="Q6106" s="14"/>
      <c r="R6106" s="27"/>
      <c r="S6106" s="26"/>
      <c r="T6106" s="26"/>
    </row>
    <row r="6107" spans="15:20" x14ac:dyDescent="0.25">
      <c r="O6107" s="14"/>
      <c r="P6107" s="14"/>
      <c r="Q6107" s="14"/>
      <c r="R6107" s="14"/>
      <c r="S6107" s="14"/>
      <c r="T6107" s="14"/>
    </row>
    <row r="6108" spans="15:20" x14ac:dyDescent="0.25">
      <c r="O6108" s="21"/>
      <c r="P6108" s="21"/>
      <c r="Q6108" s="21"/>
      <c r="R6108" s="27"/>
      <c r="S6108" s="29"/>
      <c r="T6108" s="29"/>
    </row>
    <row r="6109" spans="15:20" x14ac:dyDescent="0.25">
      <c r="O6109" s="21"/>
      <c r="P6109" s="14"/>
      <c r="Q6109" s="21"/>
      <c r="R6109" s="28"/>
      <c r="S6109" s="29"/>
      <c r="T6109" s="29"/>
    </row>
    <row r="6110" spans="15:20" x14ac:dyDescent="0.25">
      <c r="O6110" s="21"/>
      <c r="P6110" s="14"/>
      <c r="Q6110" s="21"/>
      <c r="R6110" s="28"/>
      <c r="S6110" s="29"/>
      <c r="T6110" s="29"/>
    </row>
    <row r="6111" spans="15:20" ht="14.4" x14ac:dyDescent="0.3">
      <c r="O6111" s="32"/>
      <c r="P6111" s="33"/>
      <c r="Q6111" s="32"/>
      <c r="R6111" s="27"/>
      <c r="S6111" s="29"/>
      <c r="T6111" s="29"/>
    </row>
    <row r="6112" spans="15:20" x14ac:dyDescent="0.25">
      <c r="O6112" s="32"/>
      <c r="P6112" s="21"/>
      <c r="Q6112" s="32"/>
      <c r="R6112" s="27"/>
      <c r="S6112" s="29"/>
      <c r="T6112" s="29"/>
    </row>
    <row r="6113" spans="15:20" x14ac:dyDescent="0.25">
      <c r="O6113" s="32"/>
      <c r="P6113" s="34"/>
      <c r="Q6113" s="32"/>
      <c r="R6113" s="27"/>
      <c r="S6113" s="14"/>
      <c r="T6113" s="29"/>
    </row>
    <row r="6114" spans="15:20" x14ac:dyDescent="0.25">
      <c r="O6114" s="32"/>
      <c r="P6114" s="34"/>
      <c r="Q6114" s="32"/>
      <c r="R6114" s="27"/>
      <c r="S6114" s="14"/>
      <c r="T6114" s="29"/>
    </row>
    <row r="6115" spans="15:20" x14ac:dyDescent="0.25">
      <c r="O6115" s="32"/>
      <c r="P6115" s="34"/>
      <c r="Q6115" s="32"/>
      <c r="R6115" s="27"/>
      <c r="S6115" s="14"/>
      <c r="T6115" s="14"/>
    </row>
    <row r="6116" spans="15:20" x14ac:dyDescent="0.25">
      <c r="O6116" s="32"/>
      <c r="P6116" s="35"/>
      <c r="Q6116" s="32"/>
      <c r="R6116" s="27"/>
      <c r="S6116" s="21"/>
      <c r="T6116" s="14"/>
    </row>
    <row r="6117" spans="15:20" x14ac:dyDescent="0.25">
      <c r="O6117" s="36"/>
      <c r="P6117" s="14"/>
      <c r="Q6117" s="14"/>
      <c r="R6117" s="37"/>
      <c r="S6117" s="29"/>
      <c r="T6117" s="28"/>
    </row>
    <row r="6118" spans="15:20" x14ac:dyDescent="0.25">
      <c r="O6118" s="21"/>
      <c r="P6118" s="14"/>
      <c r="Q6118" s="21"/>
      <c r="R6118" s="28"/>
      <c r="S6118" s="29"/>
      <c r="T6118" s="28"/>
    </row>
    <row r="6119" spans="15:20" x14ac:dyDescent="0.25">
      <c r="O6119" s="14"/>
      <c r="P6119" s="14"/>
      <c r="Q6119" s="14"/>
      <c r="R6119" s="14"/>
      <c r="S6119" s="26"/>
      <c r="T6119" s="26"/>
    </row>
    <row r="6120" spans="15:20" ht="13.8" x14ac:dyDescent="0.25">
      <c r="O6120" s="30"/>
      <c r="P6120" s="14"/>
      <c r="Q6120" s="14"/>
      <c r="R6120" s="27"/>
      <c r="S6120" s="26"/>
      <c r="T6120" s="26"/>
    </row>
    <row r="6121" spans="15:20" x14ac:dyDescent="0.25">
      <c r="O6121" s="14"/>
      <c r="P6121" s="14"/>
      <c r="Q6121" s="14"/>
      <c r="R6121" s="14"/>
      <c r="S6121" s="14"/>
      <c r="T6121" s="14"/>
    </row>
    <row r="6122" spans="15:20" x14ac:dyDescent="0.25">
      <c r="O6122" s="21"/>
      <c r="P6122" s="21"/>
      <c r="Q6122" s="21"/>
      <c r="R6122" s="27"/>
      <c r="S6122" s="29"/>
      <c r="T6122" s="29"/>
    </row>
    <row r="6123" spans="15:20" x14ac:dyDescent="0.25">
      <c r="O6123" s="21"/>
      <c r="P6123" s="14"/>
      <c r="Q6123" s="21"/>
      <c r="R6123" s="28"/>
      <c r="S6123" s="29"/>
      <c r="T6123" s="29"/>
    </row>
    <row r="6124" spans="15:20" x14ac:dyDescent="0.25">
      <c r="O6124" s="21"/>
      <c r="P6124" s="14"/>
      <c r="Q6124" s="21"/>
      <c r="R6124" s="28"/>
      <c r="S6124" s="29"/>
      <c r="T6124" s="29"/>
    </row>
    <row r="6125" spans="15:20" ht="14.4" x14ac:dyDescent="0.3">
      <c r="O6125" s="32"/>
      <c r="P6125" s="33"/>
      <c r="Q6125" s="32"/>
      <c r="R6125" s="27"/>
      <c r="S6125" s="29"/>
      <c r="T6125" s="29"/>
    </row>
    <row r="6126" spans="15:20" x14ac:dyDescent="0.25">
      <c r="O6126" s="32"/>
      <c r="P6126" s="21"/>
      <c r="Q6126" s="32"/>
      <c r="R6126" s="27"/>
      <c r="S6126" s="29"/>
      <c r="T6126" s="29"/>
    </row>
    <row r="6127" spans="15:20" x14ac:dyDescent="0.25">
      <c r="O6127" s="32"/>
      <c r="P6127" s="34"/>
      <c r="Q6127" s="32"/>
      <c r="R6127" s="27"/>
      <c r="S6127" s="14"/>
      <c r="T6127" s="29"/>
    </row>
    <row r="6128" spans="15:20" x14ac:dyDescent="0.25">
      <c r="O6128" s="32"/>
      <c r="P6128" s="34"/>
      <c r="Q6128" s="32"/>
      <c r="R6128" s="27"/>
      <c r="S6128" s="14"/>
      <c r="T6128" s="29"/>
    </row>
    <row r="6129" spans="15:20" x14ac:dyDescent="0.25">
      <c r="O6129" s="32"/>
      <c r="P6129" s="34"/>
      <c r="Q6129" s="32"/>
      <c r="R6129" s="27"/>
      <c r="S6129" s="14"/>
      <c r="T6129" s="14"/>
    </row>
    <row r="6130" spans="15:20" x14ac:dyDescent="0.25">
      <c r="O6130" s="32"/>
      <c r="P6130" s="35"/>
      <c r="Q6130" s="32"/>
      <c r="R6130" s="27"/>
      <c r="S6130" s="21"/>
      <c r="T6130" s="14"/>
    </row>
    <row r="6131" spans="15:20" x14ac:dyDescent="0.25">
      <c r="O6131" s="36"/>
      <c r="P6131" s="14"/>
      <c r="Q6131" s="14"/>
      <c r="R6131" s="37"/>
      <c r="S6131" s="29"/>
      <c r="T6131" s="28"/>
    </row>
    <row r="6132" spans="15:20" x14ac:dyDescent="0.25">
      <c r="O6132" s="21"/>
      <c r="P6132" s="14"/>
      <c r="Q6132" s="21"/>
      <c r="R6132" s="28"/>
      <c r="S6132" s="29"/>
      <c r="T6132" s="28"/>
    </row>
    <row r="6133" spans="15:20" x14ac:dyDescent="0.25">
      <c r="O6133" s="14"/>
      <c r="P6133" s="14"/>
      <c r="Q6133" s="14"/>
      <c r="R6133" s="14"/>
      <c r="S6133" s="26"/>
      <c r="T6133" s="26"/>
    </row>
    <row r="6134" spans="15:20" ht="13.8" x14ac:dyDescent="0.25">
      <c r="O6134" s="30"/>
      <c r="P6134" s="14"/>
      <c r="Q6134" s="14"/>
      <c r="R6134" s="27"/>
      <c r="S6134" s="26"/>
      <c r="T6134" s="26"/>
    </row>
    <row r="6135" spans="15:20" x14ac:dyDescent="0.25">
      <c r="O6135" s="14"/>
      <c r="P6135" s="14"/>
      <c r="Q6135" s="14"/>
      <c r="R6135" s="14"/>
      <c r="S6135" s="14"/>
      <c r="T6135" s="14"/>
    </row>
    <row r="6136" spans="15:20" x14ac:dyDescent="0.25">
      <c r="O6136" s="21"/>
      <c r="P6136" s="21"/>
      <c r="Q6136" s="21"/>
      <c r="R6136" s="27"/>
      <c r="S6136" s="29"/>
      <c r="T6136" s="29"/>
    </row>
    <row r="6137" spans="15:20" x14ac:dyDescent="0.25">
      <c r="O6137" s="21"/>
      <c r="P6137" s="14"/>
      <c r="Q6137" s="21"/>
      <c r="R6137" s="28"/>
      <c r="S6137" s="29"/>
      <c r="T6137" s="29"/>
    </row>
    <row r="6138" spans="15:20" x14ac:dyDescent="0.25">
      <c r="O6138" s="21"/>
      <c r="P6138" s="14"/>
      <c r="Q6138" s="21"/>
      <c r="R6138" s="28"/>
      <c r="S6138" s="29"/>
      <c r="T6138" s="29"/>
    </row>
    <row r="6139" spans="15:20" ht="14.4" x14ac:dyDescent="0.3">
      <c r="O6139" s="32"/>
      <c r="P6139" s="33"/>
      <c r="Q6139" s="32"/>
      <c r="R6139" s="27"/>
      <c r="S6139" s="29"/>
      <c r="T6139" s="29"/>
    </row>
    <row r="6140" spans="15:20" x14ac:dyDescent="0.25">
      <c r="O6140" s="32"/>
      <c r="P6140" s="21"/>
      <c r="Q6140" s="32"/>
      <c r="R6140" s="27"/>
      <c r="S6140" s="29"/>
      <c r="T6140" s="29"/>
    </row>
    <row r="6141" spans="15:20" x14ac:dyDescent="0.25">
      <c r="O6141" s="32"/>
      <c r="P6141" s="34"/>
      <c r="Q6141" s="32"/>
      <c r="R6141" s="27"/>
      <c r="S6141" s="14"/>
      <c r="T6141" s="29"/>
    </row>
    <row r="6142" spans="15:20" x14ac:dyDescent="0.25">
      <c r="O6142" s="32"/>
      <c r="P6142" s="34"/>
      <c r="Q6142" s="32"/>
      <c r="R6142" s="27"/>
      <c r="S6142" s="14"/>
      <c r="T6142" s="29"/>
    </row>
    <row r="6143" spans="15:20" x14ac:dyDescent="0.25">
      <c r="O6143" s="32"/>
      <c r="P6143" s="34"/>
      <c r="Q6143" s="32"/>
      <c r="R6143" s="27"/>
      <c r="S6143" s="14"/>
      <c r="T6143" s="14"/>
    </row>
    <row r="6144" spans="15:20" x14ac:dyDescent="0.25">
      <c r="O6144" s="32"/>
      <c r="P6144" s="35"/>
      <c r="Q6144" s="32"/>
      <c r="R6144" s="27"/>
      <c r="S6144" s="21"/>
      <c r="T6144" s="14"/>
    </row>
    <row r="6145" spans="15:20" x14ac:dyDescent="0.25">
      <c r="O6145" s="36"/>
      <c r="P6145" s="14"/>
      <c r="Q6145" s="14"/>
      <c r="R6145" s="37"/>
      <c r="S6145" s="29"/>
      <c r="T6145" s="28"/>
    </row>
    <row r="6146" spans="15:20" x14ac:dyDescent="0.25">
      <c r="O6146" s="21"/>
      <c r="P6146" s="14"/>
      <c r="Q6146" s="21"/>
      <c r="R6146" s="28"/>
      <c r="S6146" s="29"/>
      <c r="T6146" s="28"/>
    </row>
    <row r="6147" spans="15:20" x14ac:dyDescent="0.25">
      <c r="O6147" s="14"/>
      <c r="P6147" s="14"/>
      <c r="Q6147" s="14"/>
      <c r="R6147" s="14"/>
      <c r="S6147" s="26"/>
      <c r="T6147" s="26"/>
    </row>
    <row r="6148" spans="15:20" ht="13.8" x14ac:dyDescent="0.25">
      <c r="O6148" s="30"/>
      <c r="P6148" s="14"/>
      <c r="Q6148" s="14"/>
      <c r="R6148" s="27"/>
      <c r="S6148" s="26"/>
      <c r="T6148" s="26"/>
    </row>
    <row r="6149" spans="15:20" x14ac:dyDescent="0.25">
      <c r="O6149" s="14"/>
      <c r="P6149" s="14"/>
      <c r="Q6149" s="14"/>
      <c r="R6149" s="14"/>
      <c r="S6149" s="14"/>
      <c r="T6149" s="14"/>
    </row>
    <row r="6150" spans="15:20" x14ac:dyDescent="0.25">
      <c r="O6150" s="21"/>
      <c r="P6150" s="21"/>
      <c r="Q6150" s="21"/>
      <c r="R6150" s="27"/>
      <c r="S6150" s="29"/>
      <c r="T6150" s="29"/>
    </row>
    <row r="6151" spans="15:20" x14ac:dyDescent="0.25">
      <c r="O6151" s="21"/>
      <c r="P6151" s="14"/>
      <c r="Q6151" s="21"/>
      <c r="R6151" s="28"/>
      <c r="S6151" s="29"/>
      <c r="T6151" s="29"/>
    </row>
    <row r="6152" spans="15:20" x14ac:dyDescent="0.25">
      <c r="O6152" s="21"/>
      <c r="P6152" s="14"/>
      <c r="Q6152" s="21"/>
      <c r="R6152" s="28"/>
      <c r="S6152" s="29"/>
      <c r="T6152" s="29"/>
    </row>
    <row r="6153" spans="15:20" ht="14.4" x14ac:dyDescent="0.3">
      <c r="O6153" s="32"/>
      <c r="P6153" s="33"/>
      <c r="Q6153" s="32"/>
      <c r="R6153" s="27"/>
      <c r="S6153" s="29"/>
      <c r="T6153" s="29"/>
    </row>
    <row r="6154" spans="15:20" x14ac:dyDescent="0.25">
      <c r="O6154" s="32"/>
      <c r="P6154" s="21"/>
      <c r="Q6154" s="32"/>
      <c r="R6154" s="27"/>
      <c r="S6154" s="29"/>
      <c r="T6154" s="29"/>
    </row>
    <row r="6155" spans="15:20" x14ac:dyDescent="0.25">
      <c r="O6155" s="32"/>
      <c r="P6155" s="34"/>
      <c r="Q6155" s="32"/>
      <c r="R6155" s="27"/>
      <c r="S6155" s="14"/>
      <c r="T6155" s="29"/>
    </row>
    <row r="6156" spans="15:20" x14ac:dyDescent="0.25">
      <c r="O6156" s="32"/>
      <c r="P6156" s="34"/>
      <c r="Q6156" s="32"/>
      <c r="R6156" s="27"/>
      <c r="S6156" s="14"/>
      <c r="T6156" s="29"/>
    </row>
    <row r="6157" spans="15:20" x14ac:dyDescent="0.25">
      <c r="O6157" s="32"/>
      <c r="P6157" s="34"/>
      <c r="Q6157" s="32"/>
      <c r="R6157" s="27"/>
      <c r="S6157" s="14"/>
      <c r="T6157" s="14"/>
    </row>
    <row r="6158" spans="15:20" x14ac:dyDescent="0.25">
      <c r="O6158" s="32"/>
      <c r="P6158" s="35"/>
      <c r="Q6158" s="32"/>
      <c r="R6158" s="27"/>
      <c r="S6158" s="21"/>
      <c r="T6158" s="14"/>
    </row>
    <row r="6159" spans="15:20" x14ac:dyDescent="0.25">
      <c r="O6159" s="36"/>
      <c r="P6159" s="14"/>
      <c r="Q6159" s="14"/>
      <c r="R6159" s="37"/>
      <c r="S6159" s="29"/>
      <c r="T6159" s="28"/>
    </row>
    <row r="6160" spans="15:20" x14ac:dyDescent="0.25">
      <c r="O6160" s="21"/>
      <c r="P6160" s="14"/>
      <c r="Q6160" s="21"/>
      <c r="R6160" s="28"/>
      <c r="S6160" s="29"/>
      <c r="T6160" s="28"/>
    </row>
    <row r="6161" spans="15:20" x14ac:dyDescent="0.25">
      <c r="O6161" s="14"/>
      <c r="P6161" s="14"/>
      <c r="Q6161" s="14"/>
      <c r="R6161" s="14"/>
      <c r="S6161" s="26"/>
      <c r="T6161" s="26"/>
    </row>
    <row r="6162" spans="15:20" ht="13.8" x14ac:dyDescent="0.25">
      <c r="O6162" s="30"/>
      <c r="P6162" s="14"/>
      <c r="Q6162" s="14"/>
      <c r="R6162" s="27"/>
      <c r="S6162" s="26"/>
      <c r="T6162" s="26"/>
    </row>
    <row r="6163" spans="15:20" x14ac:dyDescent="0.25">
      <c r="O6163" s="14"/>
      <c r="P6163" s="14"/>
      <c r="Q6163" s="14"/>
      <c r="R6163" s="14"/>
      <c r="S6163" s="14"/>
      <c r="T6163" s="14"/>
    </row>
    <row r="6164" spans="15:20" x14ac:dyDescent="0.25">
      <c r="O6164" s="21"/>
      <c r="P6164" s="21"/>
      <c r="Q6164" s="21"/>
      <c r="R6164" s="27"/>
      <c r="S6164" s="29"/>
      <c r="T6164" s="29"/>
    </row>
    <row r="6165" spans="15:20" x14ac:dyDescent="0.25">
      <c r="O6165" s="21"/>
      <c r="P6165" s="14"/>
      <c r="Q6165" s="21"/>
      <c r="R6165" s="28"/>
      <c r="S6165" s="29"/>
      <c r="T6165" s="29"/>
    </row>
    <row r="6166" spans="15:20" x14ac:dyDescent="0.25">
      <c r="O6166" s="21"/>
      <c r="P6166" s="14"/>
      <c r="Q6166" s="21"/>
      <c r="R6166" s="28"/>
      <c r="S6166" s="29"/>
      <c r="T6166" s="29"/>
    </row>
    <row r="6167" spans="15:20" ht="14.4" x14ac:dyDescent="0.3">
      <c r="O6167" s="32"/>
      <c r="P6167" s="33"/>
      <c r="Q6167" s="32"/>
      <c r="R6167" s="27"/>
      <c r="S6167" s="29"/>
      <c r="T6167" s="29"/>
    </row>
    <row r="6168" spans="15:20" x14ac:dyDescent="0.25">
      <c r="O6168" s="32"/>
      <c r="P6168" s="21"/>
      <c r="Q6168" s="32"/>
      <c r="R6168" s="27"/>
      <c r="S6168" s="29"/>
      <c r="T6168" s="29"/>
    </row>
    <row r="6169" spans="15:20" x14ac:dyDescent="0.25">
      <c r="O6169" s="32"/>
      <c r="P6169" s="34"/>
      <c r="Q6169" s="32"/>
      <c r="R6169" s="27"/>
      <c r="S6169" s="14"/>
      <c r="T6169" s="29"/>
    </row>
    <row r="6170" spans="15:20" x14ac:dyDescent="0.25">
      <c r="O6170" s="32"/>
      <c r="P6170" s="34"/>
      <c r="Q6170" s="32"/>
      <c r="R6170" s="27"/>
      <c r="S6170" s="14"/>
      <c r="T6170" s="29"/>
    </row>
    <row r="6171" spans="15:20" x14ac:dyDescent="0.25">
      <c r="O6171" s="32"/>
      <c r="P6171" s="34"/>
      <c r="Q6171" s="32"/>
      <c r="R6171" s="27"/>
      <c r="S6171" s="14"/>
      <c r="T6171" s="14"/>
    </row>
    <row r="6172" spans="15:20" x14ac:dyDescent="0.25">
      <c r="O6172" s="32"/>
      <c r="P6172" s="35"/>
      <c r="Q6172" s="32"/>
      <c r="R6172" s="27"/>
      <c r="S6172" s="21"/>
      <c r="T6172" s="14"/>
    </row>
    <row r="6173" spans="15:20" x14ac:dyDescent="0.25">
      <c r="O6173" s="36"/>
      <c r="P6173" s="14"/>
      <c r="Q6173" s="14"/>
      <c r="R6173" s="37"/>
      <c r="S6173" s="29"/>
      <c r="T6173" s="28"/>
    </row>
    <row r="6174" spans="15:20" x14ac:dyDescent="0.25">
      <c r="O6174" s="21"/>
      <c r="P6174" s="14"/>
      <c r="Q6174" s="21"/>
      <c r="R6174" s="28"/>
      <c r="S6174" s="29"/>
      <c r="T6174" s="28"/>
    </row>
    <row r="6175" spans="15:20" x14ac:dyDescent="0.25">
      <c r="O6175" s="14"/>
      <c r="P6175" s="14"/>
      <c r="Q6175" s="14"/>
      <c r="R6175" s="14"/>
      <c r="S6175" s="26"/>
      <c r="T6175" s="26"/>
    </row>
    <row r="6176" spans="15:20" ht="13.8" x14ac:dyDescent="0.25">
      <c r="O6176" s="30"/>
      <c r="P6176" s="14"/>
      <c r="Q6176" s="14"/>
      <c r="R6176" s="27"/>
      <c r="S6176" s="26"/>
      <c r="T6176" s="26"/>
    </row>
    <row r="6177" spans="15:20" x14ac:dyDescent="0.25">
      <c r="O6177" s="14"/>
      <c r="P6177" s="14"/>
      <c r="Q6177" s="14"/>
      <c r="R6177" s="14"/>
      <c r="S6177" s="14"/>
      <c r="T6177" s="14"/>
    </row>
    <row r="6178" spans="15:20" x14ac:dyDescent="0.25">
      <c r="O6178" s="21"/>
      <c r="P6178" s="21"/>
      <c r="Q6178" s="21"/>
      <c r="R6178" s="27"/>
      <c r="S6178" s="29"/>
      <c r="T6178" s="29"/>
    </row>
    <row r="6179" spans="15:20" x14ac:dyDescent="0.25">
      <c r="O6179" s="21"/>
      <c r="P6179" s="14"/>
      <c r="Q6179" s="21"/>
      <c r="R6179" s="28"/>
      <c r="S6179" s="29"/>
      <c r="T6179" s="29"/>
    </row>
    <row r="6180" spans="15:20" x14ac:dyDescent="0.25">
      <c r="O6180" s="21"/>
      <c r="P6180" s="14"/>
      <c r="Q6180" s="21"/>
      <c r="R6180" s="28"/>
      <c r="S6180" s="29"/>
      <c r="T6180" s="29"/>
    </row>
    <row r="6181" spans="15:20" ht="14.4" x14ac:dyDescent="0.3">
      <c r="O6181" s="32"/>
      <c r="P6181" s="33"/>
      <c r="Q6181" s="32"/>
      <c r="R6181" s="27"/>
      <c r="S6181" s="29"/>
      <c r="T6181" s="29"/>
    </row>
    <row r="6182" spans="15:20" x14ac:dyDescent="0.25">
      <c r="O6182" s="32"/>
      <c r="P6182" s="21"/>
      <c r="Q6182" s="32"/>
      <c r="R6182" s="27"/>
      <c r="S6182" s="29"/>
      <c r="T6182" s="29"/>
    </row>
    <row r="6183" spans="15:20" x14ac:dyDescent="0.25">
      <c r="O6183" s="32"/>
      <c r="P6183" s="34"/>
      <c r="Q6183" s="32"/>
      <c r="R6183" s="27"/>
      <c r="S6183" s="14"/>
      <c r="T6183" s="29"/>
    </row>
    <row r="6184" spans="15:20" x14ac:dyDescent="0.25">
      <c r="O6184" s="32"/>
      <c r="P6184" s="34"/>
      <c r="Q6184" s="32"/>
      <c r="R6184" s="27"/>
      <c r="S6184" s="14"/>
      <c r="T6184" s="29"/>
    </row>
    <row r="6185" spans="15:20" x14ac:dyDescent="0.25">
      <c r="O6185" s="32"/>
      <c r="P6185" s="34"/>
      <c r="Q6185" s="32"/>
      <c r="R6185" s="27"/>
      <c r="S6185" s="14"/>
      <c r="T6185" s="14"/>
    </row>
    <row r="6186" spans="15:20" x14ac:dyDescent="0.25">
      <c r="O6186" s="32"/>
      <c r="P6186" s="35"/>
      <c r="Q6186" s="32"/>
      <c r="R6186" s="27"/>
      <c r="S6186" s="21"/>
      <c r="T6186" s="14"/>
    </row>
    <row r="6187" spans="15:20" x14ac:dyDescent="0.25">
      <c r="O6187" s="36"/>
      <c r="P6187" s="14"/>
      <c r="Q6187" s="14"/>
      <c r="R6187" s="37"/>
      <c r="S6187" s="29"/>
      <c r="T6187" s="28"/>
    </row>
    <row r="6188" spans="15:20" x14ac:dyDescent="0.25">
      <c r="O6188" s="21"/>
      <c r="P6188" s="14"/>
      <c r="Q6188" s="21"/>
      <c r="R6188" s="28"/>
      <c r="S6188" s="29"/>
      <c r="T6188" s="28"/>
    </row>
    <row r="6189" spans="15:20" x14ac:dyDescent="0.25">
      <c r="O6189" s="14"/>
      <c r="P6189" s="14"/>
      <c r="Q6189" s="14"/>
      <c r="R6189" s="14"/>
      <c r="S6189" s="26"/>
      <c r="T6189" s="26"/>
    </row>
    <row r="6190" spans="15:20" ht="13.8" x14ac:dyDescent="0.25">
      <c r="O6190" s="30"/>
      <c r="P6190" s="14"/>
      <c r="Q6190" s="14"/>
      <c r="R6190" s="27"/>
      <c r="S6190" s="26"/>
      <c r="T6190" s="26"/>
    </row>
    <row r="6191" spans="15:20" x14ac:dyDescent="0.25">
      <c r="O6191" s="14"/>
      <c r="P6191" s="14"/>
      <c r="Q6191" s="14"/>
      <c r="R6191" s="14"/>
      <c r="S6191" s="14"/>
      <c r="T6191" s="14"/>
    </row>
    <row r="6192" spans="15:20" x14ac:dyDescent="0.25">
      <c r="O6192" s="21"/>
      <c r="P6192" s="21"/>
      <c r="Q6192" s="21"/>
      <c r="R6192" s="27"/>
      <c r="S6192" s="29"/>
      <c r="T6192" s="29"/>
    </row>
    <row r="6193" spans="15:20" x14ac:dyDescent="0.25">
      <c r="O6193" s="21"/>
      <c r="P6193" s="14"/>
      <c r="Q6193" s="21"/>
      <c r="R6193" s="28"/>
      <c r="S6193" s="29"/>
      <c r="T6193" s="29"/>
    </row>
    <row r="6194" spans="15:20" x14ac:dyDescent="0.25">
      <c r="O6194" s="21"/>
      <c r="P6194" s="14"/>
      <c r="Q6194" s="21"/>
      <c r="R6194" s="28"/>
      <c r="S6194" s="29"/>
      <c r="T6194" s="29"/>
    </row>
    <row r="6195" spans="15:20" ht="14.4" x14ac:dyDescent="0.3">
      <c r="O6195" s="32"/>
      <c r="P6195" s="33"/>
      <c r="Q6195" s="32"/>
      <c r="R6195" s="27"/>
      <c r="S6195" s="29"/>
      <c r="T6195" s="29"/>
    </row>
    <row r="6196" spans="15:20" x14ac:dyDescent="0.25">
      <c r="O6196" s="32"/>
      <c r="P6196" s="21"/>
      <c r="Q6196" s="32"/>
      <c r="R6196" s="27"/>
      <c r="S6196" s="29"/>
      <c r="T6196" s="29"/>
    </row>
    <row r="6197" spans="15:20" x14ac:dyDescent="0.25">
      <c r="O6197" s="32"/>
      <c r="P6197" s="34"/>
      <c r="Q6197" s="32"/>
      <c r="R6197" s="27"/>
      <c r="S6197" s="14"/>
      <c r="T6197" s="29"/>
    </row>
    <row r="6198" spans="15:20" x14ac:dyDescent="0.25">
      <c r="O6198" s="32"/>
      <c r="P6198" s="34"/>
      <c r="Q6198" s="32"/>
      <c r="R6198" s="27"/>
      <c r="S6198" s="14"/>
      <c r="T6198" s="29"/>
    </row>
    <row r="6199" spans="15:20" x14ac:dyDescent="0.25">
      <c r="O6199" s="32"/>
      <c r="P6199" s="34"/>
      <c r="Q6199" s="32"/>
      <c r="R6199" s="27"/>
      <c r="S6199" s="14"/>
      <c r="T6199" s="14"/>
    </row>
    <row r="6200" spans="15:20" x14ac:dyDescent="0.25">
      <c r="O6200" s="32"/>
      <c r="P6200" s="35"/>
      <c r="Q6200" s="32"/>
      <c r="R6200" s="27"/>
      <c r="S6200" s="21"/>
      <c r="T6200" s="14"/>
    </row>
    <row r="6201" spans="15:20" x14ac:dyDescent="0.25">
      <c r="O6201" s="36"/>
      <c r="P6201" s="14"/>
      <c r="Q6201" s="14"/>
      <c r="R6201" s="37"/>
      <c r="S6201" s="29"/>
      <c r="T6201" s="28"/>
    </row>
    <row r="6202" spans="15:20" x14ac:dyDescent="0.25">
      <c r="O6202" s="21"/>
      <c r="P6202" s="14"/>
      <c r="Q6202" s="21"/>
      <c r="R6202" s="28"/>
      <c r="S6202" s="29"/>
      <c r="T6202" s="28"/>
    </row>
    <row r="6203" spans="15:20" x14ac:dyDescent="0.25">
      <c r="O6203" s="14"/>
      <c r="P6203" s="14"/>
      <c r="Q6203" s="14"/>
      <c r="R6203" s="14"/>
      <c r="S6203" s="26"/>
      <c r="T6203" s="26"/>
    </row>
    <row r="6204" spans="15:20" ht="13.8" x14ac:dyDescent="0.25">
      <c r="O6204" s="30"/>
      <c r="P6204" s="14"/>
      <c r="Q6204" s="14"/>
      <c r="R6204" s="27"/>
      <c r="S6204" s="26"/>
      <c r="T6204" s="26"/>
    </row>
    <row r="6205" spans="15:20" x14ac:dyDescent="0.25">
      <c r="O6205" s="14"/>
      <c r="P6205" s="14"/>
      <c r="Q6205" s="14"/>
      <c r="R6205" s="14"/>
      <c r="S6205" s="14"/>
      <c r="T6205" s="14"/>
    </row>
    <row r="6206" spans="15:20" x14ac:dyDescent="0.25">
      <c r="O6206" s="21"/>
      <c r="P6206" s="21"/>
      <c r="Q6206" s="21"/>
      <c r="R6206" s="27"/>
      <c r="S6206" s="29"/>
      <c r="T6206" s="29"/>
    </row>
    <row r="6207" spans="15:20" x14ac:dyDescent="0.25">
      <c r="O6207" s="21"/>
      <c r="P6207" s="14"/>
      <c r="Q6207" s="21"/>
      <c r="R6207" s="28"/>
      <c r="S6207" s="29"/>
      <c r="T6207" s="29"/>
    </row>
    <row r="6208" spans="15:20" x14ac:dyDescent="0.25">
      <c r="O6208" s="21"/>
      <c r="P6208" s="14"/>
      <c r="Q6208" s="21"/>
      <c r="R6208" s="28"/>
      <c r="S6208" s="29"/>
      <c r="T6208" s="29"/>
    </row>
    <row r="6209" spans="15:20" ht="14.4" x14ac:dyDescent="0.3">
      <c r="O6209" s="32"/>
      <c r="P6209" s="33"/>
      <c r="Q6209" s="32"/>
      <c r="R6209" s="27"/>
      <c r="S6209" s="29"/>
      <c r="T6209" s="29"/>
    </row>
    <row r="6210" spans="15:20" x14ac:dyDescent="0.25">
      <c r="O6210" s="32"/>
      <c r="P6210" s="21"/>
      <c r="Q6210" s="32"/>
      <c r="R6210" s="27"/>
      <c r="S6210" s="29"/>
      <c r="T6210" s="29"/>
    </row>
    <row r="6211" spans="15:20" x14ac:dyDescent="0.25">
      <c r="O6211" s="32"/>
      <c r="P6211" s="34"/>
      <c r="Q6211" s="32"/>
      <c r="R6211" s="27"/>
      <c r="S6211" s="14"/>
      <c r="T6211" s="29"/>
    </row>
    <row r="6212" spans="15:20" x14ac:dyDescent="0.25">
      <c r="O6212" s="32"/>
      <c r="P6212" s="34"/>
      <c r="Q6212" s="32"/>
      <c r="R6212" s="27"/>
      <c r="S6212" s="14"/>
      <c r="T6212" s="29"/>
    </row>
    <row r="6213" spans="15:20" x14ac:dyDescent="0.25">
      <c r="O6213" s="32"/>
      <c r="P6213" s="34"/>
      <c r="Q6213" s="32"/>
      <c r="R6213" s="27"/>
      <c r="S6213" s="14"/>
      <c r="T6213" s="14"/>
    </row>
    <row r="6214" spans="15:20" x14ac:dyDescent="0.25">
      <c r="O6214" s="32"/>
      <c r="P6214" s="35"/>
      <c r="Q6214" s="32"/>
      <c r="R6214" s="27"/>
      <c r="S6214" s="21"/>
      <c r="T6214" s="14"/>
    </row>
    <row r="6215" spans="15:20" x14ac:dyDescent="0.25">
      <c r="O6215" s="36"/>
      <c r="P6215" s="14"/>
      <c r="Q6215" s="14"/>
      <c r="R6215" s="37"/>
      <c r="S6215" s="29"/>
      <c r="T6215" s="28"/>
    </row>
    <row r="6216" spans="15:20" x14ac:dyDescent="0.25">
      <c r="O6216" s="21"/>
      <c r="P6216" s="14"/>
      <c r="Q6216" s="21"/>
      <c r="R6216" s="28"/>
      <c r="S6216" s="29"/>
      <c r="T6216" s="28"/>
    </row>
    <row r="6217" spans="15:20" x14ac:dyDescent="0.25">
      <c r="O6217" s="14"/>
      <c r="P6217" s="14"/>
      <c r="Q6217" s="14"/>
      <c r="R6217" s="14"/>
      <c r="S6217" s="26"/>
      <c r="T6217" s="26"/>
    </row>
    <row r="6218" spans="15:20" ht="13.8" x14ac:dyDescent="0.25">
      <c r="O6218" s="30"/>
      <c r="P6218" s="14"/>
      <c r="Q6218" s="14"/>
      <c r="R6218" s="27"/>
      <c r="S6218" s="26"/>
      <c r="T6218" s="26"/>
    </row>
    <row r="6219" spans="15:20" x14ac:dyDescent="0.25">
      <c r="O6219" s="14"/>
      <c r="P6219" s="14"/>
      <c r="Q6219" s="14"/>
      <c r="R6219" s="14"/>
      <c r="S6219" s="14"/>
      <c r="T6219" s="14"/>
    </row>
    <row r="6220" spans="15:20" x14ac:dyDescent="0.25">
      <c r="O6220" s="21"/>
      <c r="P6220" s="21"/>
      <c r="Q6220" s="21"/>
      <c r="R6220" s="27"/>
      <c r="S6220" s="29"/>
      <c r="T6220" s="29"/>
    </row>
    <row r="6221" spans="15:20" x14ac:dyDescent="0.25">
      <c r="O6221" s="21"/>
      <c r="P6221" s="14"/>
      <c r="Q6221" s="21"/>
      <c r="R6221" s="28"/>
      <c r="S6221" s="29"/>
      <c r="T6221" s="29"/>
    </row>
    <row r="6222" spans="15:20" x14ac:dyDescent="0.25">
      <c r="O6222" s="21"/>
      <c r="P6222" s="14"/>
      <c r="Q6222" s="21"/>
      <c r="R6222" s="28"/>
      <c r="S6222" s="29"/>
      <c r="T6222" s="29"/>
    </row>
    <row r="6223" spans="15:20" ht="14.4" x14ac:dyDescent="0.3">
      <c r="O6223" s="32"/>
      <c r="P6223" s="33"/>
      <c r="Q6223" s="32"/>
      <c r="R6223" s="27"/>
      <c r="S6223" s="29"/>
      <c r="T6223" s="29"/>
    </row>
    <row r="6224" spans="15:20" x14ac:dyDescent="0.25">
      <c r="O6224" s="32"/>
      <c r="P6224" s="21"/>
      <c r="Q6224" s="32"/>
      <c r="R6224" s="27"/>
      <c r="S6224" s="29"/>
      <c r="T6224" s="29"/>
    </row>
    <row r="6225" spans="15:20" x14ac:dyDescent="0.25">
      <c r="O6225" s="32"/>
      <c r="P6225" s="34"/>
      <c r="Q6225" s="32"/>
      <c r="R6225" s="27"/>
      <c r="S6225" s="14"/>
      <c r="T6225" s="29"/>
    </row>
    <row r="6226" spans="15:20" x14ac:dyDescent="0.25">
      <c r="O6226" s="32"/>
      <c r="P6226" s="34"/>
      <c r="Q6226" s="32"/>
      <c r="R6226" s="27"/>
      <c r="S6226" s="14"/>
      <c r="T6226" s="29"/>
    </row>
    <row r="6227" spans="15:20" x14ac:dyDescent="0.25">
      <c r="O6227" s="32"/>
      <c r="P6227" s="34"/>
      <c r="Q6227" s="32"/>
      <c r="R6227" s="27"/>
      <c r="S6227" s="14"/>
      <c r="T6227" s="14"/>
    </row>
    <row r="6228" spans="15:20" x14ac:dyDescent="0.25">
      <c r="O6228" s="32"/>
      <c r="P6228" s="35"/>
      <c r="Q6228" s="32"/>
      <c r="R6228" s="27"/>
      <c r="S6228" s="21"/>
      <c r="T6228" s="14"/>
    </row>
    <row r="6229" spans="15:20" x14ac:dyDescent="0.25">
      <c r="O6229" s="36"/>
      <c r="P6229" s="14"/>
      <c r="Q6229" s="14"/>
      <c r="R6229" s="37"/>
      <c r="S6229" s="29"/>
      <c r="T6229" s="28"/>
    </row>
    <row r="6230" spans="15:20" x14ac:dyDescent="0.25">
      <c r="O6230" s="21"/>
      <c r="P6230" s="14"/>
      <c r="Q6230" s="21"/>
      <c r="R6230" s="28"/>
      <c r="S6230" s="29"/>
      <c r="T6230" s="28"/>
    </row>
    <row r="6231" spans="15:20" x14ac:dyDescent="0.25">
      <c r="O6231" s="14"/>
      <c r="P6231" s="14"/>
      <c r="Q6231" s="14"/>
      <c r="R6231" s="14"/>
      <c r="S6231" s="26"/>
      <c r="T6231" s="26"/>
    </row>
    <row r="6232" spans="15:20" ht="13.8" x14ac:dyDescent="0.25">
      <c r="O6232" s="30"/>
      <c r="P6232" s="14"/>
      <c r="Q6232" s="14"/>
      <c r="R6232" s="27"/>
      <c r="S6232" s="26"/>
      <c r="T6232" s="26"/>
    </row>
    <row r="6233" spans="15:20" x14ac:dyDescent="0.25">
      <c r="O6233" s="14"/>
      <c r="P6233" s="14"/>
      <c r="Q6233" s="14"/>
      <c r="R6233" s="14"/>
      <c r="S6233" s="14"/>
      <c r="T6233" s="14"/>
    </row>
    <row r="6234" spans="15:20" x14ac:dyDescent="0.25">
      <c r="O6234" s="21"/>
      <c r="P6234" s="21"/>
      <c r="Q6234" s="21"/>
      <c r="R6234" s="27"/>
      <c r="S6234" s="29"/>
      <c r="T6234" s="29"/>
    </row>
    <row r="6235" spans="15:20" x14ac:dyDescent="0.25">
      <c r="O6235" s="21"/>
      <c r="P6235" s="14"/>
      <c r="Q6235" s="21"/>
      <c r="R6235" s="28"/>
      <c r="S6235" s="29"/>
      <c r="T6235" s="29"/>
    </row>
    <row r="6236" spans="15:20" x14ac:dyDescent="0.25">
      <c r="O6236" s="21"/>
      <c r="P6236" s="14"/>
      <c r="Q6236" s="21"/>
      <c r="R6236" s="28"/>
      <c r="S6236" s="29"/>
      <c r="T6236" s="29"/>
    </row>
    <row r="6237" spans="15:20" ht="14.4" x14ac:dyDescent="0.3">
      <c r="O6237" s="32"/>
      <c r="P6237" s="33"/>
      <c r="Q6237" s="32"/>
      <c r="R6237" s="27"/>
      <c r="S6237" s="29"/>
      <c r="T6237" s="29"/>
    </row>
    <row r="6238" spans="15:20" x14ac:dyDescent="0.25">
      <c r="O6238" s="32"/>
      <c r="P6238" s="21"/>
      <c r="Q6238" s="32"/>
      <c r="R6238" s="27"/>
      <c r="S6238" s="29"/>
      <c r="T6238" s="29"/>
    </row>
    <row r="6239" spans="15:20" x14ac:dyDescent="0.25">
      <c r="O6239" s="32"/>
      <c r="P6239" s="34"/>
      <c r="Q6239" s="32"/>
      <c r="R6239" s="27"/>
      <c r="S6239" s="14"/>
      <c r="T6239" s="29"/>
    </row>
    <row r="6240" spans="15:20" x14ac:dyDescent="0.25">
      <c r="O6240" s="32"/>
      <c r="P6240" s="34"/>
      <c r="Q6240" s="32"/>
      <c r="R6240" s="27"/>
      <c r="S6240" s="14"/>
      <c r="T6240" s="29"/>
    </row>
    <row r="6241" spans="15:20" x14ac:dyDescent="0.25">
      <c r="O6241" s="32"/>
      <c r="P6241" s="34"/>
      <c r="Q6241" s="32"/>
      <c r="R6241" s="27"/>
      <c r="S6241" s="14"/>
      <c r="T6241" s="14"/>
    </row>
    <row r="6242" spans="15:20" x14ac:dyDescent="0.25">
      <c r="O6242" s="32"/>
      <c r="P6242" s="35"/>
      <c r="Q6242" s="32"/>
      <c r="R6242" s="27"/>
      <c r="S6242" s="21"/>
      <c r="T6242" s="14"/>
    </row>
    <row r="6243" spans="15:20" x14ac:dyDescent="0.25">
      <c r="O6243" s="36"/>
      <c r="P6243" s="14"/>
      <c r="Q6243" s="14"/>
      <c r="R6243" s="37"/>
      <c r="S6243" s="29"/>
      <c r="T6243" s="28"/>
    </row>
    <row r="6244" spans="15:20" ht="13.8" x14ac:dyDescent="0.25">
      <c r="O6244" s="21"/>
      <c r="P6244" s="21"/>
      <c r="Q6244" s="21"/>
      <c r="R6244" s="24"/>
      <c r="S6244" s="24"/>
      <c r="T6244" s="25"/>
    </row>
    <row r="6245" spans="15:20" x14ac:dyDescent="0.25">
      <c r="O6245" s="14"/>
      <c r="P6245" s="14"/>
      <c r="Q6245" s="14"/>
      <c r="R6245" s="14"/>
      <c r="S6245" s="26"/>
      <c r="T6245" s="26"/>
    </row>
    <row r="6246" spans="15:20" ht="13.8" x14ac:dyDescent="0.25">
      <c r="O6246" s="30"/>
      <c r="P6246" s="14"/>
      <c r="Q6246" s="14"/>
      <c r="R6246" s="27"/>
      <c r="S6246" s="26"/>
      <c r="T6246" s="26"/>
    </row>
    <row r="6247" spans="15:20" x14ac:dyDescent="0.25">
      <c r="O6247" s="14"/>
      <c r="P6247" s="14"/>
      <c r="Q6247" s="14"/>
      <c r="R6247" s="14"/>
      <c r="S6247" s="14"/>
      <c r="T6247" s="14"/>
    </row>
    <row r="6248" spans="15:20" x14ac:dyDescent="0.25">
      <c r="O6248" s="21"/>
      <c r="P6248" s="21"/>
      <c r="Q6248" s="21"/>
      <c r="R6248" s="27"/>
      <c r="S6248" s="29"/>
      <c r="T6248" s="29"/>
    </row>
    <row r="6249" spans="15:20" x14ac:dyDescent="0.25">
      <c r="O6249" s="21"/>
      <c r="P6249" s="14"/>
      <c r="Q6249" s="21"/>
      <c r="R6249" s="28"/>
      <c r="S6249" s="29"/>
      <c r="T6249" s="29"/>
    </row>
    <row r="6250" spans="15:20" x14ac:dyDescent="0.25">
      <c r="O6250" s="21"/>
      <c r="P6250" s="14"/>
      <c r="Q6250" s="21"/>
      <c r="R6250" s="28"/>
      <c r="S6250" s="29"/>
      <c r="T6250" s="29"/>
    </row>
    <row r="6251" spans="15:20" ht="14.4" x14ac:dyDescent="0.3">
      <c r="O6251" s="32"/>
      <c r="P6251" s="33"/>
      <c r="Q6251" s="32"/>
      <c r="R6251" s="27"/>
      <c r="S6251" s="29"/>
      <c r="T6251" s="29"/>
    </row>
    <row r="6252" spans="15:20" x14ac:dyDescent="0.25">
      <c r="O6252" s="32"/>
      <c r="P6252" s="21"/>
      <c r="Q6252" s="32"/>
      <c r="R6252" s="27"/>
      <c r="S6252" s="29"/>
      <c r="T6252" s="29"/>
    </row>
    <row r="6253" spans="15:20" x14ac:dyDescent="0.25">
      <c r="O6253" s="32"/>
      <c r="P6253" s="34"/>
      <c r="Q6253" s="32"/>
      <c r="R6253" s="27"/>
      <c r="S6253" s="14"/>
      <c r="T6253" s="29"/>
    </row>
    <row r="6254" spans="15:20" x14ac:dyDescent="0.25">
      <c r="O6254" s="32"/>
      <c r="P6254" s="34"/>
      <c r="Q6254" s="32"/>
      <c r="R6254" s="27"/>
      <c r="S6254" s="14"/>
      <c r="T6254" s="29"/>
    </row>
    <row r="6255" spans="15:20" x14ac:dyDescent="0.25">
      <c r="O6255" s="32"/>
      <c r="P6255" s="34"/>
      <c r="Q6255" s="32"/>
      <c r="R6255" s="27"/>
      <c r="S6255" s="14"/>
      <c r="T6255" s="14"/>
    </row>
    <row r="6256" spans="15:20" x14ac:dyDescent="0.25">
      <c r="O6256" s="32"/>
      <c r="P6256" s="35"/>
      <c r="Q6256" s="32"/>
      <c r="R6256" s="27"/>
      <c r="S6256" s="21"/>
      <c r="T6256" s="14"/>
    </row>
    <row r="6257" spans="15:20" x14ac:dyDescent="0.25">
      <c r="O6257" s="36"/>
      <c r="P6257" s="14"/>
      <c r="Q6257" s="14"/>
      <c r="R6257" s="37"/>
      <c r="S6257" s="29"/>
      <c r="T6257" s="28"/>
    </row>
    <row r="6258" spans="15:20" x14ac:dyDescent="0.25">
      <c r="O6258" s="21"/>
      <c r="P6258" s="14"/>
      <c r="Q6258" s="21"/>
      <c r="R6258" s="28"/>
      <c r="S6258" s="29"/>
      <c r="T6258" s="28"/>
    </row>
    <row r="6259" spans="15:20" x14ac:dyDescent="0.25">
      <c r="O6259" s="14"/>
      <c r="P6259" s="14"/>
      <c r="Q6259" s="14"/>
      <c r="R6259" s="14"/>
      <c r="S6259" s="26"/>
      <c r="T6259" s="26"/>
    </row>
    <row r="6260" spans="15:20" ht="13.8" x14ac:dyDescent="0.25">
      <c r="O6260" s="30"/>
      <c r="P6260" s="14"/>
      <c r="Q6260" s="14"/>
      <c r="R6260" s="27"/>
      <c r="S6260" s="26"/>
      <c r="T6260" s="26"/>
    </row>
    <row r="6261" spans="15:20" x14ac:dyDescent="0.25">
      <c r="O6261" s="14"/>
      <c r="P6261" s="14"/>
      <c r="Q6261" s="14"/>
      <c r="R6261" s="14"/>
      <c r="S6261" s="14"/>
      <c r="T6261" s="14"/>
    </row>
    <row r="6262" spans="15:20" x14ac:dyDescent="0.25">
      <c r="O6262" s="21"/>
      <c r="P6262" s="21"/>
      <c r="Q6262" s="21"/>
      <c r="R6262" s="27"/>
      <c r="S6262" s="29"/>
      <c r="T6262" s="29"/>
    </row>
    <row r="6263" spans="15:20" x14ac:dyDescent="0.25">
      <c r="O6263" s="21"/>
      <c r="P6263" s="14"/>
      <c r="Q6263" s="21"/>
      <c r="R6263" s="28"/>
      <c r="S6263" s="29"/>
      <c r="T6263" s="29"/>
    </row>
    <row r="6264" spans="15:20" x14ac:dyDescent="0.25">
      <c r="O6264" s="21"/>
      <c r="P6264" s="14"/>
      <c r="Q6264" s="21"/>
      <c r="R6264" s="28"/>
      <c r="S6264" s="29"/>
      <c r="T6264" s="29"/>
    </row>
    <row r="6265" spans="15:20" ht="14.4" x14ac:dyDescent="0.3">
      <c r="O6265" s="32"/>
      <c r="P6265" s="33"/>
      <c r="Q6265" s="32"/>
      <c r="R6265" s="27"/>
      <c r="S6265" s="29"/>
      <c r="T6265" s="29"/>
    </row>
    <row r="6266" spans="15:20" x14ac:dyDescent="0.25">
      <c r="O6266" s="32"/>
      <c r="P6266" s="21"/>
      <c r="Q6266" s="32"/>
      <c r="R6266" s="27"/>
      <c r="S6266" s="29"/>
      <c r="T6266" s="29"/>
    </row>
    <row r="6267" spans="15:20" x14ac:dyDescent="0.25">
      <c r="O6267" s="32"/>
      <c r="P6267" s="34"/>
      <c r="Q6267" s="32"/>
      <c r="R6267" s="27"/>
      <c r="S6267" s="14"/>
      <c r="T6267" s="29"/>
    </row>
    <row r="6268" spans="15:20" x14ac:dyDescent="0.25">
      <c r="O6268" s="32"/>
      <c r="P6268" s="34"/>
      <c r="Q6268" s="32"/>
      <c r="R6268" s="27"/>
      <c r="S6268" s="14"/>
      <c r="T6268" s="29"/>
    </row>
    <row r="6269" spans="15:20" x14ac:dyDescent="0.25">
      <c r="O6269" s="32"/>
      <c r="P6269" s="34"/>
      <c r="Q6269" s="32"/>
      <c r="R6269" s="27"/>
      <c r="S6269" s="14"/>
      <c r="T6269" s="14"/>
    </row>
    <row r="6270" spans="15:20" x14ac:dyDescent="0.25">
      <c r="O6270" s="32"/>
      <c r="P6270" s="35"/>
      <c r="Q6270" s="32"/>
      <c r="R6270" s="27"/>
      <c r="S6270" s="21"/>
      <c r="T6270" s="14"/>
    </row>
    <row r="6271" spans="15:20" x14ac:dyDescent="0.25">
      <c r="O6271" s="36"/>
      <c r="P6271" s="14"/>
      <c r="Q6271" s="14"/>
      <c r="R6271" s="37"/>
      <c r="S6271" s="29"/>
      <c r="T6271" s="28"/>
    </row>
    <row r="6272" spans="15:20" x14ac:dyDescent="0.25">
      <c r="O6272" s="21"/>
      <c r="P6272" s="14"/>
      <c r="Q6272" s="21"/>
      <c r="R6272" s="28"/>
      <c r="S6272" s="29"/>
      <c r="T6272" s="28"/>
    </row>
    <row r="6273" spans="15:20" x14ac:dyDescent="0.25">
      <c r="O6273" s="14"/>
      <c r="P6273" s="14"/>
      <c r="Q6273" s="14"/>
      <c r="R6273" s="14"/>
      <c r="S6273" s="26"/>
      <c r="T6273" s="26"/>
    </row>
    <row r="6274" spans="15:20" ht="13.8" x14ac:dyDescent="0.25">
      <c r="O6274" s="30"/>
      <c r="P6274" s="14"/>
      <c r="Q6274" s="14"/>
      <c r="R6274" s="27"/>
      <c r="S6274" s="26"/>
      <c r="T6274" s="26"/>
    </row>
    <row r="6275" spans="15:20" x14ac:dyDescent="0.25">
      <c r="O6275" s="14"/>
      <c r="P6275" s="14"/>
      <c r="Q6275" s="14"/>
      <c r="R6275" s="14"/>
      <c r="S6275" s="14"/>
      <c r="T6275" s="14"/>
    </row>
    <row r="6276" spans="15:20" x14ac:dyDescent="0.25">
      <c r="O6276" s="21"/>
      <c r="P6276" s="21"/>
      <c r="Q6276" s="21"/>
      <c r="R6276" s="27"/>
      <c r="S6276" s="29"/>
      <c r="T6276" s="29"/>
    </row>
    <row r="6277" spans="15:20" x14ac:dyDescent="0.25">
      <c r="O6277" s="21"/>
      <c r="P6277" s="14"/>
      <c r="Q6277" s="21"/>
      <c r="R6277" s="28"/>
      <c r="S6277" s="29"/>
      <c r="T6277" s="29"/>
    </row>
    <row r="6278" spans="15:20" x14ac:dyDescent="0.25">
      <c r="O6278" s="21"/>
      <c r="P6278" s="14"/>
      <c r="Q6278" s="21"/>
      <c r="R6278" s="28"/>
      <c r="S6278" s="29"/>
      <c r="T6278" s="29"/>
    </row>
    <row r="6279" spans="15:20" ht="14.4" x14ac:dyDescent="0.3">
      <c r="O6279" s="32"/>
      <c r="P6279" s="33"/>
      <c r="Q6279" s="32"/>
      <c r="R6279" s="27"/>
      <c r="S6279" s="29"/>
      <c r="T6279" s="29"/>
    </row>
    <row r="6280" spans="15:20" x14ac:dyDescent="0.25">
      <c r="O6280" s="32"/>
      <c r="P6280" s="21"/>
      <c r="Q6280" s="32"/>
      <c r="R6280" s="27"/>
      <c r="S6280" s="29"/>
      <c r="T6280" s="29"/>
    </row>
    <row r="6281" spans="15:20" x14ac:dyDescent="0.25">
      <c r="O6281" s="32"/>
      <c r="P6281" s="34"/>
      <c r="Q6281" s="32"/>
      <c r="R6281" s="27"/>
      <c r="S6281" s="14"/>
      <c r="T6281" s="29"/>
    </row>
    <row r="6282" spans="15:20" x14ac:dyDescent="0.25">
      <c r="O6282" s="32"/>
      <c r="P6282" s="34"/>
      <c r="Q6282" s="32"/>
      <c r="R6282" s="27"/>
      <c r="S6282" s="14"/>
      <c r="T6282" s="29"/>
    </row>
    <row r="6283" spans="15:20" x14ac:dyDescent="0.25">
      <c r="O6283" s="32"/>
      <c r="P6283" s="34"/>
      <c r="Q6283" s="32"/>
      <c r="R6283" s="27"/>
      <c r="S6283" s="14"/>
      <c r="T6283" s="14"/>
    </row>
    <row r="6284" spans="15:20" x14ac:dyDescent="0.25">
      <c r="O6284" s="32"/>
      <c r="P6284" s="35"/>
      <c r="Q6284" s="32"/>
      <c r="R6284" s="27"/>
      <c r="S6284" s="21"/>
      <c r="T6284" s="14"/>
    </row>
    <row r="6285" spans="15:20" x14ac:dyDescent="0.25">
      <c r="O6285" s="36"/>
      <c r="P6285" s="14"/>
      <c r="Q6285" s="14"/>
      <c r="R6285" s="37"/>
      <c r="S6285" s="29"/>
      <c r="T6285" s="28"/>
    </row>
    <row r="6286" spans="15:20" x14ac:dyDescent="0.25">
      <c r="O6286" s="21"/>
      <c r="P6286" s="14"/>
      <c r="Q6286" s="21"/>
      <c r="R6286" s="28"/>
      <c r="S6286" s="29"/>
      <c r="T6286" s="28"/>
    </row>
    <row r="6287" spans="15:20" x14ac:dyDescent="0.25">
      <c r="O6287" s="14"/>
      <c r="P6287" s="14"/>
      <c r="Q6287" s="14"/>
      <c r="R6287" s="14"/>
      <c r="S6287" s="26"/>
      <c r="T6287" s="26"/>
    </row>
    <row r="6288" spans="15:20" ht="13.8" x14ac:dyDescent="0.25">
      <c r="O6288" s="30"/>
      <c r="P6288" s="14"/>
      <c r="Q6288" s="14"/>
      <c r="R6288" s="27"/>
      <c r="S6288" s="26"/>
      <c r="T6288" s="26"/>
    </row>
    <row r="6289" spans="15:20" x14ac:dyDescent="0.25">
      <c r="O6289" s="14"/>
      <c r="P6289" s="14"/>
      <c r="Q6289" s="14"/>
      <c r="R6289" s="14"/>
      <c r="S6289" s="14"/>
      <c r="T6289" s="14"/>
    </row>
    <row r="6290" spans="15:20" x14ac:dyDescent="0.25">
      <c r="O6290" s="21"/>
      <c r="P6290" s="21"/>
      <c r="Q6290" s="21"/>
      <c r="R6290" s="27"/>
      <c r="S6290" s="29"/>
      <c r="T6290" s="29"/>
    </row>
    <row r="6291" spans="15:20" x14ac:dyDescent="0.25">
      <c r="O6291" s="21"/>
      <c r="P6291" s="14"/>
      <c r="Q6291" s="21"/>
      <c r="R6291" s="28"/>
      <c r="S6291" s="29"/>
      <c r="T6291" s="29"/>
    </row>
    <row r="6292" spans="15:20" x14ac:dyDescent="0.25">
      <c r="O6292" s="21"/>
      <c r="P6292" s="14"/>
      <c r="Q6292" s="21"/>
      <c r="R6292" s="28"/>
      <c r="S6292" s="29"/>
      <c r="T6292" s="29"/>
    </row>
    <row r="6293" spans="15:20" ht="14.4" x14ac:dyDescent="0.3">
      <c r="O6293" s="32"/>
      <c r="P6293" s="33"/>
      <c r="Q6293" s="32"/>
      <c r="R6293" s="27"/>
      <c r="S6293" s="29"/>
      <c r="T6293" s="29"/>
    </row>
    <row r="6294" spans="15:20" x14ac:dyDescent="0.25">
      <c r="O6294" s="32"/>
      <c r="P6294" s="21"/>
      <c r="Q6294" s="32"/>
      <c r="R6294" s="27"/>
      <c r="S6294" s="29"/>
      <c r="T6294" s="29"/>
    </row>
    <row r="6295" spans="15:20" x14ac:dyDescent="0.25">
      <c r="O6295" s="32"/>
      <c r="P6295" s="34"/>
      <c r="Q6295" s="32"/>
      <c r="R6295" s="27"/>
      <c r="S6295" s="14"/>
      <c r="T6295" s="29"/>
    </row>
    <row r="6296" spans="15:20" x14ac:dyDescent="0.25">
      <c r="O6296" s="32"/>
      <c r="P6296" s="34"/>
      <c r="Q6296" s="32"/>
      <c r="R6296" s="27"/>
      <c r="S6296" s="14"/>
      <c r="T6296" s="29"/>
    </row>
    <row r="6297" spans="15:20" x14ac:dyDescent="0.25">
      <c r="O6297" s="32"/>
      <c r="P6297" s="34"/>
      <c r="Q6297" s="32"/>
      <c r="R6297" s="27"/>
      <c r="S6297" s="14"/>
      <c r="T6297" s="14"/>
    </row>
    <row r="6298" spans="15:20" x14ac:dyDescent="0.25">
      <c r="O6298" s="32"/>
      <c r="P6298" s="35"/>
      <c r="Q6298" s="32"/>
      <c r="R6298" s="27"/>
      <c r="S6298" s="21"/>
      <c r="T6298" s="14"/>
    </row>
    <row r="6299" spans="15:20" x14ac:dyDescent="0.25">
      <c r="O6299" s="36"/>
      <c r="P6299" s="14"/>
      <c r="Q6299" s="14"/>
      <c r="R6299" s="37"/>
      <c r="S6299" s="29"/>
      <c r="T6299" s="28"/>
    </row>
    <row r="6300" spans="15:20" x14ac:dyDescent="0.25">
      <c r="O6300" s="21"/>
      <c r="P6300" s="14"/>
      <c r="Q6300" s="21"/>
      <c r="R6300" s="28"/>
      <c r="S6300" s="29"/>
      <c r="T6300" s="28"/>
    </row>
    <row r="6301" spans="15:20" x14ac:dyDescent="0.25">
      <c r="O6301" s="14"/>
      <c r="P6301" s="14"/>
      <c r="Q6301" s="14"/>
      <c r="R6301" s="14"/>
      <c r="S6301" s="26"/>
      <c r="T6301" s="26"/>
    </row>
    <row r="6302" spans="15:20" ht="13.8" x14ac:dyDescent="0.25">
      <c r="O6302" s="30"/>
      <c r="P6302" s="14"/>
      <c r="Q6302" s="14"/>
      <c r="R6302" s="27"/>
      <c r="S6302" s="26"/>
      <c r="T6302" s="26"/>
    </row>
    <row r="6303" spans="15:20" x14ac:dyDescent="0.25">
      <c r="O6303" s="14"/>
      <c r="P6303" s="14"/>
      <c r="Q6303" s="14"/>
      <c r="R6303" s="14"/>
      <c r="S6303" s="14"/>
      <c r="T6303" s="14"/>
    </row>
    <row r="6304" spans="15:20" x14ac:dyDescent="0.25">
      <c r="O6304" s="21"/>
      <c r="P6304" s="21"/>
      <c r="Q6304" s="21"/>
      <c r="R6304" s="27"/>
      <c r="S6304" s="29"/>
      <c r="T6304" s="29"/>
    </row>
    <row r="6305" spans="15:20" x14ac:dyDescent="0.25">
      <c r="O6305" s="21"/>
      <c r="P6305" s="14"/>
      <c r="Q6305" s="21"/>
      <c r="R6305" s="28"/>
      <c r="S6305" s="29"/>
      <c r="T6305" s="29"/>
    </row>
    <row r="6306" spans="15:20" x14ac:dyDescent="0.25">
      <c r="O6306" s="21"/>
      <c r="P6306" s="14"/>
      <c r="Q6306" s="21"/>
      <c r="R6306" s="28"/>
      <c r="S6306" s="29"/>
      <c r="T6306" s="29"/>
    </row>
    <row r="6307" spans="15:20" ht="14.4" x14ac:dyDescent="0.3">
      <c r="O6307" s="32"/>
      <c r="P6307" s="33"/>
      <c r="Q6307" s="32"/>
      <c r="R6307" s="27"/>
      <c r="S6307" s="29"/>
      <c r="T6307" s="29"/>
    </row>
    <row r="6308" spans="15:20" x14ac:dyDescent="0.25">
      <c r="O6308" s="32"/>
      <c r="P6308" s="21"/>
      <c r="Q6308" s="32"/>
      <c r="R6308" s="27"/>
      <c r="S6308" s="29"/>
      <c r="T6308" s="29"/>
    </row>
    <row r="6309" spans="15:20" x14ac:dyDescent="0.25">
      <c r="O6309" s="32"/>
      <c r="P6309" s="34"/>
      <c r="Q6309" s="32"/>
      <c r="R6309" s="27"/>
      <c r="S6309" s="14"/>
      <c r="T6309" s="29"/>
    </row>
    <row r="6310" spans="15:20" x14ac:dyDescent="0.25">
      <c r="O6310" s="32"/>
      <c r="P6310" s="34"/>
      <c r="Q6310" s="32"/>
      <c r="R6310" s="27"/>
      <c r="S6310" s="14"/>
      <c r="T6310" s="29"/>
    </row>
    <row r="6311" spans="15:20" x14ac:dyDescent="0.25">
      <c r="O6311" s="32"/>
      <c r="P6311" s="34"/>
      <c r="Q6311" s="32"/>
      <c r="R6311" s="27"/>
      <c r="S6311" s="14"/>
      <c r="T6311" s="14"/>
    </row>
    <row r="6312" spans="15:20" x14ac:dyDescent="0.25">
      <c r="O6312" s="32"/>
      <c r="P6312" s="35"/>
      <c r="Q6312" s="32"/>
      <c r="R6312" s="27"/>
      <c r="S6312" s="21"/>
      <c r="T6312" s="14"/>
    </row>
    <row r="6313" spans="15:20" x14ac:dyDescent="0.25">
      <c r="O6313" s="36"/>
      <c r="P6313" s="14"/>
      <c r="Q6313" s="14"/>
      <c r="R6313" s="37"/>
      <c r="S6313" s="29"/>
      <c r="T6313" s="28"/>
    </row>
    <row r="6314" spans="15:20" x14ac:dyDescent="0.25">
      <c r="O6314" s="21"/>
      <c r="P6314" s="14"/>
      <c r="Q6314" s="21"/>
      <c r="R6314" s="28"/>
      <c r="S6314" s="29"/>
      <c r="T6314" s="28"/>
    </row>
    <row r="6315" spans="15:20" x14ac:dyDescent="0.25">
      <c r="O6315" s="14"/>
      <c r="P6315" s="14"/>
      <c r="Q6315" s="14"/>
      <c r="R6315" s="14"/>
      <c r="S6315" s="26"/>
      <c r="T6315" s="26"/>
    </row>
    <row r="6316" spans="15:20" ht="13.8" x14ac:dyDescent="0.25">
      <c r="O6316" s="30"/>
      <c r="P6316" s="14"/>
      <c r="Q6316" s="14"/>
      <c r="R6316" s="27"/>
      <c r="S6316" s="26"/>
      <c r="T6316" s="26"/>
    </row>
    <row r="6317" spans="15:20" x14ac:dyDescent="0.25">
      <c r="O6317" s="14"/>
      <c r="P6317" s="14"/>
      <c r="Q6317" s="14"/>
      <c r="R6317" s="14"/>
      <c r="S6317" s="14"/>
      <c r="T6317" s="14"/>
    </row>
    <row r="6318" spans="15:20" x14ac:dyDescent="0.25">
      <c r="O6318" s="21"/>
      <c r="P6318" s="21"/>
      <c r="Q6318" s="21"/>
      <c r="R6318" s="27"/>
      <c r="S6318" s="29"/>
      <c r="T6318" s="29"/>
    </row>
    <row r="6319" spans="15:20" x14ac:dyDescent="0.25">
      <c r="O6319" s="21"/>
      <c r="P6319" s="14"/>
      <c r="Q6319" s="21"/>
      <c r="R6319" s="28"/>
      <c r="S6319" s="29"/>
      <c r="T6319" s="29"/>
    </row>
    <row r="6320" spans="15:20" x14ac:dyDescent="0.25">
      <c r="O6320" s="21"/>
      <c r="P6320" s="14"/>
      <c r="Q6320" s="21"/>
      <c r="R6320" s="28"/>
      <c r="S6320" s="29"/>
      <c r="T6320" s="29"/>
    </row>
    <row r="6321" spans="15:20" ht="14.4" x14ac:dyDescent="0.3">
      <c r="O6321" s="32"/>
      <c r="P6321" s="33"/>
      <c r="Q6321" s="32"/>
      <c r="R6321" s="27"/>
      <c r="S6321" s="29"/>
      <c r="T6321" s="29"/>
    </row>
    <row r="6322" spans="15:20" x14ac:dyDescent="0.25">
      <c r="O6322" s="32"/>
      <c r="P6322" s="21"/>
      <c r="Q6322" s="32"/>
      <c r="R6322" s="27"/>
      <c r="S6322" s="29"/>
      <c r="T6322" s="29"/>
    </row>
    <row r="6323" spans="15:20" x14ac:dyDescent="0.25">
      <c r="O6323" s="32"/>
      <c r="P6323" s="34"/>
      <c r="Q6323" s="32"/>
      <c r="R6323" s="27"/>
      <c r="S6323" s="14"/>
      <c r="T6323" s="29"/>
    </row>
    <row r="6324" spans="15:20" x14ac:dyDescent="0.25">
      <c r="O6324" s="32"/>
      <c r="P6324" s="34"/>
      <c r="Q6324" s="32"/>
      <c r="R6324" s="27"/>
      <c r="S6324" s="14"/>
      <c r="T6324" s="29"/>
    </row>
    <row r="6325" spans="15:20" x14ac:dyDescent="0.25">
      <c r="O6325" s="32"/>
      <c r="P6325" s="34"/>
      <c r="Q6325" s="32"/>
      <c r="R6325" s="27"/>
      <c r="S6325" s="14"/>
      <c r="T6325" s="14"/>
    </row>
    <row r="6326" spans="15:20" x14ac:dyDescent="0.25">
      <c r="O6326" s="32"/>
      <c r="P6326" s="35"/>
      <c r="Q6326" s="32"/>
      <c r="R6326" s="27"/>
      <c r="S6326" s="21"/>
      <c r="T6326" s="14"/>
    </row>
    <row r="6327" spans="15:20" x14ac:dyDescent="0.25">
      <c r="O6327" s="36"/>
      <c r="P6327" s="14"/>
      <c r="Q6327" s="14"/>
      <c r="R6327" s="37"/>
      <c r="S6327" s="29"/>
      <c r="T6327" s="28"/>
    </row>
    <row r="6328" spans="15:20" x14ac:dyDescent="0.25">
      <c r="O6328" s="21"/>
      <c r="P6328" s="14"/>
      <c r="Q6328" s="21"/>
      <c r="R6328" s="28"/>
      <c r="S6328" s="29"/>
      <c r="T6328" s="28"/>
    </row>
    <row r="6329" spans="15:20" x14ac:dyDescent="0.25">
      <c r="O6329" s="14"/>
      <c r="P6329" s="14"/>
      <c r="Q6329" s="14"/>
      <c r="R6329" s="14"/>
      <c r="S6329" s="26"/>
      <c r="T6329" s="26"/>
    </row>
    <row r="6330" spans="15:20" ht="13.8" x14ac:dyDescent="0.25">
      <c r="O6330" s="30"/>
      <c r="P6330" s="14"/>
      <c r="Q6330" s="14"/>
      <c r="R6330" s="27"/>
      <c r="S6330" s="26"/>
      <c r="T6330" s="26"/>
    </row>
    <row r="6331" spans="15:20" x14ac:dyDescent="0.25">
      <c r="O6331" s="14"/>
      <c r="P6331" s="14"/>
      <c r="Q6331" s="14"/>
      <c r="R6331" s="14"/>
      <c r="S6331" s="14"/>
      <c r="T6331" s="14"/>
    </row>
    <row r="6332" spans="15:20" x14ac:dyDescent="0.25">
      <c r="O6332" s="21"/>
      <c r="P6332" s="21"/>
      <c r="Q6332" s="21"/>
      <c r="R6332" s="27"/>
      <c r="S6332" s="29"/>
      <c r="T6332" s="29"/>
    </row>
    <row r="6333" spans="15:20" x14ac:dyDescent="0.25">
      <c r="O6333" s="21"/>
      <c r="P6333" s="14"/>
      <c r="Q6333" s="21"/>
      <c r="R6333" s="28"/>
      <c r="S6333" s="29"/>
      <c r="T6333" s="29"/>
    </row>
    <row r="6334" spans="15:20" x14ac:dyDescent="0.25">
      <c r="O6334" s="21"/>
      <c r="P6334" s="14"/>
      <c r="Q6334" s="21"/>
      <c r="R6334" s="28"/>
      <c r="S6334" s="29"/>
      <c r="T6334" s="29"/>
    </row>
    <row r="6335" spans="15:20" ht="14.4" x14ac:dyDescent="0.3">
      <c r="O6335" s="32"/>
      <c r="P6335" s="33"/>
      <c r="Q6335" s="32"/>
      <c r="R6335" s="27"/>
      <c r="S6335" s="29"/>
      <c r="T6335" s="29"/>
    </row>
    <row r="6336" spans="15:20" x14ac:dyDescent="0.25">
      <c r="O6336" s="32"/>
      <c r="P6336" s="21"/>
      <c r="Q6336" s="32"/>
      <c r="R6336" s="27"/>
      <c r="S6336" s="29"/>
      <c r="T6336" s="29"/>
    </row>
    <row r="6337" spans="15:20" x14ac:dyDescent="0.25">
      <c r="O6337" s="32"/>
      <c r="P6337" s="34"/>
      <c r="Q6337" s="32"/>
      <c r="R6337" s="27"/>
      <c r="S6337" s="14"/>
      <c r="T6337" s="29"/>
    </row>
    <row r="6338" spans="15:20" x14ac:dyDescent="0.25">
      <c r="O6338" s="32"/>
      <c r="P6338" s="34"/>
      <c r="Q6338" s="32"/>
      <c r="R6338" s="27"/>
      <c r="S6338" s="14"/>
      <c r="T6338" s="29"/>
    </row>
    <row r="6339" spans="15:20" x14ac:dyDescent="0.25">
      <c r="O6339" s="32"/>
      <c r="P6339" s="34"/>
      <c r="Q6339" s="32"/>
      <c r="R6339" s="27"/>
      <c r="S6339" s="14"/>
      <c r="T6339" s="14"/>
    </row>
    <row r="6340" spans="15:20" x14ac:dyDescent="0.25">
      <c r="O6340" s="32"/>
      <c r="P6340" s="35"/>
      <c r="Q6340" s="32"/>
      <c r="R6340" s="27"/>
      <c r="S6340" s="21"/>
      <c r="T6340" s="14"/>
    </row>
    <row r="6341" spans="15:20" x14ac:dyDescent="0.25">
      <c r="O6341" s="36"/>
      <c r="P6341" s="14"/>
      <c r="Q6341" s="14"/>
      <c r="R6341" s="37"/>
      <c r="S6341" s="29"/>
      <c r="T6341" s="28"/>
    </row>
    <row r="6342" spans="15:20" x14ac:dyDescent="0.25">
      <c r="O6342" s="21"/>
      <c r="P6342" s="14"/>
      <c r="Q6342" s="21"/>
      <c r="R6342" s="28"/>
      <c r="S6342" s="29"/>
      <c r="T6342" s="28"/>
    </row>
    <row r="6343" spans="15:20" x14ac:dyDescent="0.25">
      <c r="O6343" s="14"/>
      <c r="P6343" s="14"/>
      <c r="Q6343" s="14"/>
      <c r="R6343" s="14"/>
      <c r="S6343" s="26"/>
      <c r="T6343" s="26"/>
    </row>
    <row r="6344" spans="15:20" ht="13.8" x14ac:dyDescent="0.25">
      <c r="O6344" s="30"/>
      <c r="P6344" s="14"/>
      <c r="Q6344" s="14"/>
      <c r="R6344" s="27"/>
      <c r="S6344" s="26"/>
      <c r="T6344" s="26"/>
    </row>
    <row r="6345" spans="15:20" x14ac:dyDescent="0.25">
      <c r="O6345" s="14"/>
      <c r="P6345" s="14"/>
      <c r="Q6345" s="14"/>
      <c r="R6345" s="14"/>
      <c r="S6345" s="14"/>
      <c r="T6345" s="14"/>
    </row>
    <row r="6346" spans="15:20" x14ac:dyDescent="0.25">
      <c r="O6346" s="21"/>
      <c r="P6346" s="21"/>
      <c r="Q6346" s="21"/>
      <c r="R6346" s="27"/>
      <c r="S6346" s="29"/>
      <c r="T6346" s="29"/>
    </row>
    <row r="6347" spans="15:20" x14ac:dyDescent="0.25">
      <c r="O6347" s="21"/>
      <c r="P6347" s="14"/>
      <c r="Q6347" s="21"/>
      <c r="R6347" s="28"/>
      <c r="S6347" s="29"/>
      <c r="T6347" s="29"/>
    </row>
    <row r="6348" spans="15:20" x14ac:dyDescent="0.25">
      <c r="O6348" s="21"/>
      <c r="P6348" s="14"/>
      <c r="Q6348" s="21"/>
      <c r="R6348" s="28"/>
      <c r="S6348" s="29"/>
      <c r="T6348" s="29"/>
    </row>
    <row r="6349" spans="15:20" ht="14.4" x14ac:dyDescent="0.3">
      <c r="O6349" s="32"/>
      <c r="P6349" s="33"/>
      <c r="Q6349" s="32"/>
      <c r="R6349" s="27"/>
      <c r="S6349" s="29"/>
      <c r="T6349" s="29"/>
    </row>
    <row r="6350" spans="15:20" x14ac:dyDescent="0.25">
      <c r="O6350" s="32"/>
      <c r="P6350" s="21"/>
      <c r="Q6350" s="32"/>
      <c r="R6350" s="27"/>
      <c r="S6350" s="29"/>
      <c r="T6350" s="29"/>
    </row>
    <row r="6351" spans="15:20" x14ac:dyDescent="0.25">
      <c r="O6351" s="32"/>
      <c r="P6351" s="34"/>
      <c r="Q6351" s="32"/>
      <c r="R6351" s="27"/>
      <c r="S6351" s="14"/>
      <c r="T6351" s="29"/>
    </row>
    <row r="6352" spans="15:20" x14ac:dyDescent="0.25">
      <c r="O6352" s="32"/>
      <c r="P6352" s="34"/>
      <c r="Q6352" s="32"/>
      <c r="R6352" s="27"/>
      <c r="S6352" s="14"/>
      <c r="T6352" s="29"/>
    </row>
    <row r="6353" spans="15:20" x14ac:dyDescent="0.25">
      <c r="O6353" s="32"/>
      <c r="P6353" s="34"/>
      <c r="Q6353" s="32"/>
      <c r="R6353" s="27"/>
      <c r="S6353" s="14"/>
      <c r="T6353" s="14"/>
    </row>
    <row r="6354" spans="15:20" x14ac:dyDescent="0.25">
      <c r="O6354" s="32"/>
      <c r="P6354" s="35"/>
      <c r="Q6354" s="32"/>
      <c r="R6354" s="27"/>
      <c r="S6354" s="21"/>
      <c r="T6354" s="14"/>
    </row>
    <row r="6355" spans="15:20" x14ac:dyDescent="0.25">
      <c r="O6355" s="36"/>
      <c r="P6355" s="14"/>
      <c r="Q6355" s="14"/>
      <c r="R6355" s="37"/>
      <c r="S6355" s="29"/>
      <c r="T6355" s="28"/>
    </row>
    <row r="6356" spans="15:20" x14ac:dyDescent="0.25">
      <c r="O6356" s="21"/>
      <c r="P6356" s="14"/>
      <c r="Q6356" s="21"/>
      <c r="R6356" s="28"/>
      <c r="S6356" s="29"/>
      <c r="T6356" s="28"/>
    </row>
    <row r="6357" spans="15:20" x14ac:dyDescent="0.25">
      <c r="O6357" s="14"/>
      <c r="P6357" s="14"/>
      <c r="Q6357" s="14"/>
      <c r="R6357" s="14"/>
      <c r="S6357" s="26"/>
      <c r="T6357" s="26"/>
    </row>
    <row r="6358" spans="15:20" ht="13.8" x14ac:dyDescent="0.25">
      <c r="O6358" s="30"/>
      <c r="P6358" s="14"/>
      <c r="Q6358" s="14"/>
      <c r="R6358" s="27"/>
      <c r="S6358" s="26"/>
      <c r="T6358" s="26"/>
    </row>
    <row r="6359" spans="15:20" x14ac:dyDescent="0.25">
      <c r="O6359" s="14"/>
      <c r="P6359" s="14"/>
      <c r="Q6359" s="14"/>
      <c r="R6359" s="14"/>
      <c r="S6359" s="14"/>
      <c r="T6359" s="14"/>
    </row>
    <row r="6360" spans="15:20" x14ac:dyDescent="0.25">
      <c r="O6360" s="21"/>
      <c r="P6360" s="21"/>
      <c r="Q6360" s="21"/>
      <c r="R6360" s="27"/>
      <c r="S6360" s="29"/>
      <c r="T6360" s="29"/>
    </row>
    <row r="6361" spans="15:20" x14ac:dyDescent="0.25">
      <c r="O6361" s="21"/>
      <c r="P6361" s="14"/>
      <c r="Q6361" s="21"/>
      <c r="R6361" s="28"/>
      <c r="S6361" s="29"/>
      <c r="T6361" s="29"/>
    </row>
    <row r="6362" spans="15:20" x14ac:dyDescent="0.25">
      <c r="O6362" s="21"/>
      <c r="P6362" s="14"/>
      <c r="Q6362" s="21"/>
      <c r="R6362" s="28"/>
      <c r="S6362" s="29"/>
      <c r="T6362" s="29"/>
    </row>
    <row r="6363" spans="15:20" ht="14.4" x14ac:dyDescent="0.3">
      <c r="O6363" s="32"/>
      <c r="P6363" s="33"/>
      <c r="Q6363" s="32"/>
      <c r="R6363" s="27"/>
      <c r="S6363" s="29"/>
      <c r="T6363" s="29"/>
    </row>
    <row r="6364" spans="15:20" x14ac:dyDescent="0.25">
      <c r="O6364" s="32"/>
      <c r="P6364" s="21"/>
      <c r="Q6364" s="32"/>
      <c r="R6364" s="27"/>
      <c r="S6364" s="29"/>
      <c r="T6364" s="29"/>
    </row>
    <row r="6365" spans="15:20" x14ac:dyDescent="0.25">
      <c r="O6365" s="32"/>
      <c r="P6365" s="34"/>
      <c r="Q6365" s="32"/>
      <c r="R6365" s="27"/>
      <c r="S6365" s="14"/>
      <c r="T6365" s="29"/>
    </row>
    <row r="6366" spans="15:20" x14ac:dyDescent="0.25">
      <c r="O6366" s="32"/>
      <c r="P6366" s="34"/>
      <c r="Q6366" s="32"/>
      <c r="R6366" s="27"/>
      <c r="S6366" s="14"/>
      <c r="T6366" s="29"/>
    </row>
    <row r="6367" spans="15:20" x14ac:dyDescent="0.25">
      <c r="O6367" s="32"/>
      <c r="P6367" s="34"/>
      <c r="Q6367" s="32"/>
      <c r="R6367" s="27"/>
      <c r="S6367" s="14"/>
      <c r="T6367" s="14"/>
    </row>
    <row r="6368" spans="15:20" x14ac:dyDescent="0.25">
      <c r="O6368" s="32"/>
      <c r="P6368" s="35"/>
      <c r="Q6368" s="32"/>
      <c r="R6368" s="27"/>
      <c r="S6368" s="21"/>
      <c r="T6368" s="14"/>
    </row>
    <row r="6369" spans="15:20" x14ac:dyDescent="0.25">
      <c r="O6369" s="36"/>
      <c r="P6369" s="14"/>
      <c r="Q6369" s="14"/>
      <c r="R6369" s="37"/>
      <c r="S6369" s="29"/>
      <c r="T6369" s="28"/>
    </row>
    <row r="6370" spans="15:20" x14ac:dyDescent="0.25">
      <c r="O6370" s="21"/>
      <c r="P6370" s="14"/>
      <c r="Q6370" s="21"/>
      <c r="R6370" s="28"/>
      <c r="S6370" s="29"/>
      <c r="T6370" s="28"/>
    </row>
    <row r="6371" spans="15:20" x14ac:dyDescent="0.25">
      <c r="O6371" s="14"/>
      <c r="P6371" s="14"/>
      <c r="Q6371" s="14"/>
      <c r="R6371" s="14"/>
      <c r="S6371" s="26"/>
      <c r="T6371" s="26"/>
    </row>
    <row r="6372" spans="15:20" ht="13.8" x14ac:dyDescent="0.25">
      <c r="O6372" s="30"/>
      <c r="P6372" s="14"/>
      <c r="Q6372" s="14"/>
      <c r="R6372" s="27"/>
      <c r="S6372" s="26"/>
      <c r="T6372" s="26"/>
    </row>
    <row r="6373" spans="15:20" x14ac:dyDescent="0.25">
      <c r="O6373" s="14"/>
      <c r="P6373" s="14"/>
      <c r="Q6373" s="14"/>
      <c r="R6373" s="14"/>
      <c r="S6373" s="14"/>
      <c r="T6373" s="14"/>
    </row>
    <row r="6374" spans="15:20" x14ac:dyDescent="0.25">
      <c r="O6374" s="21"/>
      <c r="P6374" s="21"/>
      <c r="Q6374" s="21"/>
      <c r="R6374" s="27"/>
      <c r="S6374" s="29"/>
      <c r="T6374" s="29"/>
    </row>
    <row r="6375" spans="15:20" x14ac:dyDescent="0.25">
      <c r="O6375" s="21"/>
      <c r="P6375" s="14"/>
      <c r="Q6375" s="21"/>
      <c r="R6375" s="28"/>
      <c r="S6375" s="29"/>
      <c r="T6375" s="29"/>
    </row>
    <row r="6376" spans="15:20" x14ac:dyDescent="0.25">
      <c r="O6376" s="21"/>
      <c r="P6376" s="14"/>
      <c r="Q6376" s="21"/>
      <c r="R6376" s="28"/>
      <c r="S6376" s="29"/>
      <c r="T6376" s="29"/>
    </row>
    <row r="6377" spans="15:20" ht="14.4" x14ac:dyDescent="0.3">
      <c r="O6377" s="32"/>
      <c r="P6377" s="33"/>
      <c r="Q6377" s="32"/>
      <c r="R6377" s="27"/>
      <c r="S6377" s="29"/>
      <c r="T6377" s="29"/>
    </row>
    <row r="6378" spans="15:20" x14ac:dyDescent="0.25">
      <c r="O6378" s="32"/>
      <c r="P6378" s="21"/>
      <c r="Q6378" s="32"/>
      <c r="R6378" s="27"/>
      <c r="S6378" s="29"/>
      <c r="T6378" s="29"/>
    </row>
    <row r="6379" spans="15:20" x14ac:dyDescent="0.25">
      <c r="O6379" s="32"/>
      <c r="P6379" s="34"/>
      <c r="Q6379" s="32"/>
      <c r="R6379" s="27"/>
      <c r="S6379" s="14"/>
      <c r="T6379" s="29"/>
    </row>
    <row r="6380" spans="15:20" x14ac:dyDescent="0.25">
      <c r="O6380" s="32"/>
      <c r="P6380" s="34"/>
      <c r="Q6380" s="32"/>
      <c r="R6380" s="27"/>
      <c r="S6380" s="14"/>
      <c r="T6380" s="29"/>
    </row>
    <row r="6381" spans="15:20" x14ac:dyDescent="0.25">
      <c r="O6381" s="32"/>
      <c r="P6381" s="34"/>
      <c r="Q6381" s="32"/>
      <c r="R6381" s="27"/>
      <c r="S6381" s="14"/>
      <c r="T6381" s="14"/>
    </row>
    <row r="6382" spans="15:20" x14ac:dyDescent="0.25">
      <c r="O6382" s="32"/>
      <c r="P6382" s="35"/>
      <c r="Q6382" s="32"/>
      <c r="R6382" s="27"/>
      <c r="S6382" s="21"/>
      <c r="T6382" s="14"/>
    </row>
    <row r="6383" spans="15:20" x14ac:dyDescent="0.25">
      <c r="O6383" s="36"/>
      <c r="P6383" s="14"/>
      <c r="Q6383" s="14"/>
      <c r="R6383" s="37"/>
      <c r="S6383" s="29"/>
      <c r="T6383" s="28"/>
    </row>
    <row r="6384" spans="15:20" x14ac:dyDescent="0.25">
      <c r="O6384" s="21"/>
      <c r="P6384" s="14"/>
      <c r="Q6384" s="21"/>
      <c r="R6384" s="28"/>
      <c r="S6384" s="29"/>
      <c r="T6384" s="28"/>
    </row>
    <row r="6385" spans="15:20" x14ac:dyDescent="0.25">
      <c r="O6385" s="14"/>
      <c r="P6385" s="14"/>
      <c r="Q6385" s="14"/>
      <c r="R6385" s="14"/>
      <c r="S6385" s="26"/>
      <c r="T6385" s="26"/>
    </row>
    <row r="6386" spans="15:20" ht="13.8" x14ac:dyDescent="0.25">
      <c r="O6386" s="30"/>
      <c r="P6386" s="14"/>
      <c r="Q6386" s="14"/>
      <c r="R6386" s="27"/>
      <c r="S6386" s="26"/>
      <c r="T6386" s="26"/>
    </row>
    <row r="6387" spans="15:20" x14ac:dyDescent="0.25">
      <c r="O6387" s="14"/>
      <c r="P6387" s="14"/>
      <c r="Q6387" s="14"/>
      <c r="R6387" s="14"/>
      <c r="S6387" s="14"/>
      <c r="T6387" s="14"/>
    </row>
    <row r="6388" spans="15:20" x14ac:dyDescent="0.25">
      <c r="O6388" s="21"/>
      <c r="P6388" s="21"/>
      <c r="Q6388" s="21"/>
      <c r="R6388" s="27"/>
      <c r="S6388" s="29"/>
      <c r="T6388" s="29"/>
    </row>
    <row r="6389" spans="15:20" x14ac:dyDescent="0.25">
      <c r="O6389" s="21"/>
      <c r="P6389" s="14"/>
      <c r="Q6389" s="21"/>
      <c r="R6389" s="28"/>
      <c r="S6389" s="29"/>
      <c r="T6389" s="29"/>
    </row>
    <row r="6390" spans="15:20" x14ac:dyDescent="0.25">
      <c r="O6390" s="21"/>
      <c r="P6390" s="14"/>
      <c r="Q6390" s="21"/>
      <c r="R6390" s="28"/>
      <c r="S6390" s="29"/>
      <c r="T6390" s="29"/>
    </row>
    <row r="6391" spans="15:20" ht="14.4" x14ac:dyDescent="0.3">
      <c r="O6391" s="32"/>
      <c r="P6391" s="33"/>
      <c r="Q6391" s="32"/>
      <c r="R6391" s="27"/>
      <c r="S6391" s="29"/>
      <c r="T6391" s="29"/>
    </row>
    <row r="6392" spans="15:20" x14ac:dyDescent="0.25">
      <c r="O6392" s="32"/>
      <c r="P6392" s="21"/>
      <c r="Q6392" s="32"/>
      <c r="R6392" s="27"/>
      <c r="S6392" s="29"/>
      <c r="T6392" s="29"/>
    </row>
    <row r="6393" spans="15:20" x14ac:dyDescent="0.25">
      <c r="O6393" s="32"/>
      <c r="P6393" s="34"/>
      <c r="Q6393" s="32"/>
      <c r="R6393" s="27"/>
      <c r="S6393" s="14"/>
      <c r="T6393" s="29"/>
    </row>
    <row r="6394" spans="15:20" x14ac:dyDescent="0.25">
      <c r="O6394" s="32"/>
      <c r="P6394" s="34"/>
      <c r="Q6394" s="32"/>
      <c r="R6394" s="27"/>
      <c r="S6394" s="14"/>
      <c r="T6394" s="29"/>
    </row>
    <row r="6395" spans="15:20" x14ac:dyDescent="0.25">
      <c r="O6395" s="32"/>
      <c r="P6395" s="34"/>
      <c r="Q6395" s="32"/>
      <c r="R6395" s="27"/>
      <c r="S6395" s="14"/>
      <c r="T6395" s="14"/>
    </row>
    <row r="6396" spans="15:20" x14ac:dyDescent="0.25">
      <c r="O6396" s="32"/>
      <c r="P6396" s="35"/>
      <c r="Q6396" s="32"/>
      <c r="R6396" s="27"/>
      <c r="S6396" s="21"/>
      <c r="T6396" s="14"/>
    </row>
    <row r="6397" spans="15:20" x14ac:dyDescent="0.25">
      <c r="O6397" s="36"/>
      <c r="P6397" s="14"/>
      <c r="Q6397" s="14"/>
      <c r="R6397" s="37"/>
      <c r="S6397" s="29"/>
      <c r="T6397" s="28"/>
    </row>
    <row r="6398" spans="15:20" x14ac:dyDescent="0.25">
      <c r="O6398" s="21"/>
      <c r="P6398" s="14"/>
      <c r="Q6398" s="21"/>
      <c r="R6398" s="28"/>
      <c r="S6398" s="29"/>
      <c r="T6398" s="28"/>
    </row>
    <row r="6399" spans="15:20" x14ac:dyDescent="0.25">
      <c r="O6399" s="14"/>
      <c r="P6399" s="14"/>
      <c r="Q6399" s="14"/>
      <c r="R6399" s="14"/>
      <c r="S6399" s="26"/>
      <c r="T6399" s="26"/>
    </row>
    <row r="6400" spans="15:20" ht="13.8" x14ac:dyDescent="0.25">
      <c r="O6400" s="30"/>
      <c r="P6400" s="14"/>
      <c r="Q6400" s="14"/>
      <c r="R6400" s="27"/>
      <c r="S6400" s="26"/>
      <c r="T6400" s="26"/>
    </row>
    <row r="6401" spans="15:20" x14ac:dyDescent="0.25">
      <c r="O6401" s="14"/>
      <c r="P6401" s="14"/>
      <c r="Q6401" s="14"/>
      <c r="R6401" s="14"/>
      <c r="S6401" s="14"/>
      <c r="T6401" s="14"/>
    </row>
    <row r="6402" spans="15:20" x14ac:dyDescent="0.25">
      <c r="O6402" s="21"/>
      <c r="P6402" s="21"/>
      <c r="Q6402" s="21"/>
      <c r="R6402" s="27"/>
      <c r="S6402" s="29"/>
      <c r="T6402" s="29"/>
    </row>
    <row r="6403" spans="15:20" x14ac:dyDescent="0.25">
      <c r="O6403" s="21"/>
      <c r="P6403" s="14"/>
      <c r="Q6403" s="21"/>
      <c r="R6403" s="28"/>
      <c r="S6403" s="29"/>
      <c r="T6403" s="29"/>
    </row>
    <row r="6404" spans="15:20" x14ac:dyDescent="0.25">
      <c r="O6404" s="21"/>
      <c r="P6404" s="14"/>
      <c r="Q6404" s="21"/>
      <c r="R6404" s="28"/>
      <c r="S6404" s="29"/>
      <c r="T6404" s="29"/>
    </row>
    <row r="6405" spans="15:20" ht="14.4" x14ac:dyDescent="0.3">
      <c r="O6405" s="32"/>
      <c r="P6405" s="33"/>
      <c r="Q6405" s="32"/>
      <c r="R6405" s="27"/>
      <c r="S6405" s="29"/>
      <c r="T6405" s="29"/>
    </row>
    <row r="6406" spans="15:20" x14ac:dyDescent="0.25">
      <c r="O6406" s="32"/>
      <c r="P6406" s="21"/>
      <c r="Q6406" s="32"/>
      <c r="R6406" s="27"/>
      <c r="S6406" s="29"/>
      <c r="T6406" s="29"/>
    </row>
    <row r="6407" spans="15:20" x14ac:dyDescent="0.25">
      <c r="O6407" s="32"/>
      <c r="P6407" s="34"/>
      <c r="Q6407" s="32"/>
      <c r="R6407" s="27"/>
      <c r="S6407" s="14"/>
      <c r="T6407" s="29"/>
    </row>
    <row r="6408" spans="15:20" x14ac:dyDescent="0.25">
      <c r="O6408" s="32"/>
      <c r="P6408" s="34"/>
      <c r="Q6408" s="32"/>
      <c r="R6408" s="27"/>
      <c r="S6408" s="14"/>
      <c r="T6408" s="29"/>
    </row>
    <row r="6409" spans="15:20" x14ac:dyDescent="0.25">
      <c r="O6409" s="32"/>
      <c r="P6409" s="34"/>
      <c r="Q6409" s="32"/>
      <c r="R6409" s="27"/>
      <c r="S6409" s="14"/>
      <c r="T6409" s="14"/>
    </row>
    <row r="6410" spans="15:20" x14ac:dyDescent="0.25">
      <c r="O6410" s="32"/>
      <c r="P6410" s="35"/>
      <c r="Q6410" s="32"/>
      <c r="R6410" s="27"/>
      <c r="S6410" s="21"/>
      <c r="T6410" s="14"/>
    </row>
    <row r="6411" spans="15:20" x14ac:dyDescent="0.25">
      <c r="O6411" s="36"/>
      <c r="P6411" s="14"/>
      <c r="Q6411" s="14"/>
      <c r="R6411" s="37"/>
      <c r="S6411" s="29"/>
      <c r="T6411" s="28"/>
    </row>
    <row r="6412" spans="15:20" x14ac:dyDescent="0.25">
      <c r="O6412" s="21"/>
      <c r="P6412" s="14"/>
      <c r="Q6412" s="21"/>
      <c r="R6412" s="28"/>
      <c r="S6412" s="29"/>
      <c r="T6412" s="28"/>
    </row>
    <row r="6413" spans="15:20" x14ac:dyDescent="0.25">
      <c r="O6413" s="14"/>
      <c r="P6413" s="14"/>
      <c r="Q6413" s="14"/>
      <c r="R6413" s="14"/>
      <c r="S6413" s="26"/>
      <c r="T6413" s="26"/>
    </row>
    <row r="6414" spans="15:20" ht="13.8" x14ac:dyDescent="0.25">
      <c r="O6414" s="30"/>
      <c r="P6414" s="14"/>
      <c r="Q6414" s="14"/>
      <c r="R6414" s="27"/>
      <c r="S6414" s="26"/>
      <c r="T6414" s="26"/>
    </row>
    <row r="6415" spans="15:20" x14ac:dyDescent="0.25">
      <c r="O6415" s="14"/>
      <c r="P6415" s="14"/>
      <c r="Q6415" s="14"/>
      <c r="R6415" s="14"/>
      <c r="S6415" s="14"/>
      <c r="T6415" s="14"/>
    </row>
    <row r="6416" spans="15:20" x14ac:dyDescent="0.25">
      <c r="O6416" s="21"/>
      <c r="P6416" s="21"/>
      <c r="Q6416" s="21"/>
      <c r="R6416" s="27"/>
      <c r="S6416" s="29"/>
      <c r="T6416" s="29"/>
    </row>
    <row r="6417" spans="15:20" x14ac:dyDescent="0.25">
      <c r="O6417" s="21"/>
      <c r="P6417" s="14"/>
      <c r="Q6417" s="21"/>
      <c r="R6417" s="28"/>
      <c r="S6417" s="29"/>
      <c r="T6417" s="29"/>
    </row>
    <row r="6418" spans="15:20" x14ac:dyDescent="0.25">
      <c r="O6418" s="21"/>
      <c r="P6418" s="14"/>
      <c r="Q6418" s="21"/>
      <c r="R6418" s="28"/>
      <c r="S6418" s="29"/>
      <c r="T6418" s="29"/>
    </row>
    <row r="6419" spans="15:20" ht="14.4" x14ac:dyDescent="0.3">
      <c r="O6419" s="32"/>
      <c r="P6419" s="33"/>
      <c r="Q6419" s="32"/>
      <c r="R6419" s="27"/>
      <c r="S6419" s="29"/>
      <c r="T6419" s="29"/>
    </row>
    <row r="6420" spans="15:20" x14ac:dyDescent="0.25">
      <c r="O6420" s="32"/>
      <c r="P6420" s="21"/>
      <c r="Q6420" s="32"/>
      <c r="R6420" s="27"/>
      <c r="S6420" s="29"/>
      <c r="T6420" s="29"/>
    </row>
    <row r="6421" spans="15:20" x14ac:dyDescent="0.25">
      <c r="O6421" s="32"/>
      <c r="P6421" s="34"/>
      <c r="Q6421" s="32"/>
      <c r="R6421" s="27"/>
      <c r="S6421" s="14"/>
      <c r="T6421" s="29"/>
    </row>
    <row r="6422" spans="15:20" x14ac:dyDescent="0.25">
      <c r="O6422" s="32"/>
      <c r="P6422" s="34"/>
      <c r="Q6422" s="32"/>
      <c r="R6422" s="27"/>
      <c r="S6422" s="14"/>
      <c r="T6422" s="29"/>
    </row>
    <row r="6423" spans="15:20" x14ac:dyDescent="0.25">
      <c r="O6423" s="32"/>
      <c r="P6423" s="34"/>
      <c r="Q6423" s="32"/>
      <c r="R6423" s="27"/>
      <c r="S6423" s="14"/>
      <c r="T6423" s="14"/>
    </row>
    <row r="6424" spans="15:20" x14ac:dyDescent="0.25">
      <c r="O6424" s="32"/>
      <c r="P6424" s="35"/>
      <c r="Q6424" s="32"/>
      <c r="R6424" s="27"/>
      <c r="S6424" s="21"/>
      <c r="T6424" s="14"/>
    </row>
    <row r="6425" spans="15:20" x14ac:dyDescent="0.25">
      <c r="O6425" s="36"/>
      <c r="P6425" s="14"/>
      <c r="Q6425" s="14"/>
      <c r="R6425" s="37"/>
      <c r="S6425" s="29"/>
      <c r="T6425" s="28"/>
    </row>
    <row r="6426" spans="15:20" x14ac:dyDescent="0.25">
      <c r="O6426" s="21"/>
      <c r="P6426" s="14"/>
      <c r="Q6426" s="21"/>
      <c r="R6426" s="28"/>
      <c r="S6426" s="29"/>
      <c r="T6426" s="28"/>
    </row>
    <row r="6427" spans="15:20" x14ac:dyDescent="0.25">
      <c r="O6427" s="14"/>
      <c r="P6427" s="14"/>
      <c r="Q6427" s="14"/>
      <c r="R6427" s="14"/>
      <c r="S6427" s="26"/>
      <c r="T6427" s="26"/>
    </row>
    <row r="6428" spans="15:20" ht="13.8" x14ac:dyDescent="0.25">
      <c r="O6428" s="30"/>
      <c r="P6428" s="14"/>
      <c r="Q6428" s="14"/>
      <c r="R6428" s="27"/>
      <c r="S6428" s="26"/>
      <c r="T6428" s="26"/>
    </row>
    <row r="6429" spans="15:20" x14ac:dyDescent="0.25">
      <c r="O6429" s="14"/>
      <c r="P6429" s="14"/>
      <c r="Q6429" s="14"/>
      <c r="R6429" s="14"/>
      <c r="S6429" s="14"/>
      <c r="T6429" s="14"/>
    </row>
    <row r="6430" spans="15:20" x14ac:dyDescent="0.25">
      <c r="O6430" s="21"/>
      <c r="P6430" s="21"/>
      <c r="Q6430" s="21"/>
      <c r="R6430" s="27"/>
      <c r="S6430" s="29"/>
      <c r="T6430" s="29"/>
    </row>
    <row r="6431" spans="15:20" x14ac:dyDescent="0.25">
      <c r="O6431" s="21"/>
      <c r="P6431" s="14"/>
      <c r="Q6431" s="21"/>
      <c r="R6431" s="28"/>
      <c r="S6431" s="29"/>
      <c r="T6431" s="29"/>
    </row>
    <row r="6432" spans="15:20" x14ac:dyDescent="0.25">
      <c r="O6432" s="21"/>
      <c r="P6432" s="14"/>
      <c r="Q6432" s="21"/>
      <c r="R6432" s="28"/>
      <c r="S6432" s="29"/>
      <c r="T6432" s="29"/>
    </row>
    <row r="6433" spans="15:20" ht="14.4" x14ac:dyDescent="0.3">
      <c r="O6433" s="32"/>
      <c r="P6433" s="33"/>
      <c r="Q6433" s="32"/>
      <c r="R6433" s="27"/>
      <c r="S6433" s="29"/>
      <c r="T6433" s="29"/>
    </row>
    <row r="6434" spans="15:20" x14ac:dyDescent="0.25">
      <c r="O6434" s="32"/>
      <c r="P6434" s="21"/>
      <c r="Q6434" s="32"/>
      <c r="R6434" s="27"/>
      <c r="S6434" s="29"/>
      <c r="T6434" s="29"/>
    </row>
    <row r="6435" spans="15:20" x14ac:dyDescent="0.25">
      <c r="O6435" s="32"/>
      <c r="P6435" s="34"/>
      <c r="Q6435" s="32"/>
      <c r="R6435" s="27"/>
      <c r="S6435" s="14"/>
      <c r="T6435" s="29"/>
    </row>
    <row r="6436" spans="15:20" x14ac:dyDescent="0.25">
      <c r="O6436" s="32"/>
      <c r="P6436" s="34"/>
      <c r="Q6436" s="32"/>
      <c r="R6436" s="27"/>
      <c r="S6436" s="14"/>
      <c r="T6436" s="29"/>
    </row>
    <row r="6437" spans="15:20" x14ac:dyDescent="0.25">
      <c r="O6437" s="32"/>
      <c r="P6437" s="34"/>
      <c r="Q6437" s="32"/>
      <c r="R6437" s="27"/>
      <c r="S6437" s="14"/>
      <c r="T6437" s="14"/>
    </row>
    <row r="6438" spans="15:20" x14ac:dyDescent="0.25">
      <c r="O6438" s="32"/>
      <c r="P6438" s="35"/>
      <c r="Q6438" s="32"/>
      <c r="R6438" s="27"/>
      <c r="S6438" s="21"/>
      <c r="T6438" s="14"/>
    </row>
    <row r="6439" spans="15:20" x14ac:dyDescent="0.25">
      <c r="O6439" s="36"/>
      <c r="P6439" s="14"/>
      <c r="Q6439" s="14"/>
      <c r="R6439" s="37"/>
      <c r="S6439" s="29"/>
      <c r="T6439" s="28"/>
    </row>
    <row r="6440" spans="15:20" x14ac:dyDescent="0.25">
      <c r="O6440" s="21"/>
      <c r="P6440" s="14"/>
      <c r="Q6440" s="21"/>
      <c r="R6440" s="28"/>
      <c r="S6440" s="29"/>
      <c r="T6440" s="28"/>
    </row>
    <row r="6441" spans="15:20" x14ac:dyDescent="0.25">
      <c r="O6441" s="14"/>
      <c r="P6441" s="14"/>
      <c r="Q6441" s="14"/>
      <c r="R6441" s="14"/>
      <c r="S6441" s="26"/>
      <c r="T6441" s="26"/>
    </row>
    <row r="6442" spans="15:20" ht="13.8" x14ac:dyDescent="0.25">
      <c r="O6442" s="30"/>
      <c r="P6442" s="14"/>
      <c r="Q6442" s="14"/>
      <c r="R6442" s="27"/>
      <c r="S6442" s="26"/>
      <c r="T6442" s="26"/>
    </row>
    <row r="6443" spans="15:20" x14ac:dyDescent="0.25">
      <c r="O6443" s="14"/>
      <c r="P6443" s="14"/>
      <c r="Q6443" s="14"/>
      <c r="R6443" s="14"/>
      <c r="S6443" s="14"/>
      <c r="T6443" s="14"/>
    </row>
    <row r="6444" spans="15:20" x14ac:dyDescent="0.25">
      <c r="O6444" s="21"/>
      <c r="P6444" s="21"/>
      <c r="Q6444" s="21"/>
      <c r="R6444" s="27"/>
      <c r="S6444" s="29"/>
      <c r="T6444" s="29"/>
    </row>
    <row r="6445" spans="15:20" x14ac:dyDescent="0.25">
      <c r="O6445" s="21"/>
      <c r="P6445" s="14"/>
      <c r="Q6445" s="21"/>
      <c r="R6445" s="28"/>
      <c r="S6445" s="29"/>
      <c r="T6445" s="29"/>
    </row>
    <row r="6446" spans="15:20" x14ac:dyDescent="0.25">
      <c r="O6446" s="21"/>
      <c r="P6446" s="14"/>
      <c r="Q6446" s="21"/>
      <c r="R6446" s="28"/>
      <c r="S6446" s="29"/>
      <c r="T6446" s="29"/>
    </row>
    <row r="6447" spans="15:20" ht="14.4" x14ac:dyDescent="0.3">
      <c r="O6447" s="32"/>
      <c r="P6447" s="33"/>
      <c r="Q6447" s="32"/>
      <c r="R6447" s="27"/>
      <c r="S6447" s="29"/>
      <c r="T6447" s="29"/>
    </row>
    <row r="6448" spans="15:20" x14ac:dyDescent="0.25">
      <c r="O6448" s="32"/>
      <c r="P6448" s="21"/>
      <c r="Q6448" s="32"/>
      <c r="R6448" s="27"/>
      <c r="S6448" s="29"/>
      <c r="T6448" s="29"/>
    </row>
    <row r="6449" spans="15:20" x14ac:dyDescent="0.25">
      <c r="O6449" s="32"/>
      <c r="P6449" s="34"/>
      <c r="Q6449" s="32"/>
      <c r="R6449" s="27"/>
      <c r="S6449" s="14"/>
      <c r="T6449" s="29"/>
    </row>
    <row r="6450" spans="15:20" x14ac:dyDescent="0.25">
      <c r="O6450" s="32"/>
      <c r="P6450" s="34"/>
      <c r="Q6450" s="32"/>
      <c r="R6450" s="27"/>
      <c r="S6450" s="14"/>
      <c r="T6450" s="29"/>
    </row>
    <row r="6451" spans="15:20" x14ac:dyDescent="0.25">
      <c r="O6451" s="32"/>
      <c r="P6451" s="34"/>
      <c r="Q6451" s="32"/>
      <c r="R6451" s="27"/>
      <c r="S6451" s="14"/>
      <c r="T6451" s="14"/>
    </row>
    <row r="6452" spans="15:20" x14ac:dyDescent="0.25">
      <c r="O6452" s="32"/>
      <c r="P6452" s="35"/>
      <c r="Q6452" s="32"/>
      <c r="R6452" s="27"/>
      <c r="S6452" s="21"/>
      <c r="T6452" s="14"/>
    </row>
    <row r="6453" spans="15:20" x14ac:dyDescent="0.25">
      <c r="O6453" s="36"/>
      <c r="P6453" s="14"/>
      <c r="Q6453" s="14"/>
      <c r="R6453" s="37"/>
      <c r="S6453" s="29"/>
      <c r="T6453" s="28"/>
    </row>
    <row r="6454" spans="15:20" x14ac:dyDescent="0.25">
      <c r="O6454" s="21"/>
      <c r="P6454" s="14"/>
      <c r="Q6454" s="21"/>
      <c r="R6454" s="28"/>
      <c r="S6454" s="29"/>
      <c r="T6454" s="28"/>
    </row>
    <row r="6455" spans="15:20" x14ac:dyDescent="0.25">
      <c r="O6455" s="14"/>
      <c r="P6455" s="14"/>
      <c r="Q6455" s="14"/>
      <c r="R6455" s="14"/>
      <c r="S6455" s="26"/>
      <c r="T6455" s="26"/>
    </row>
    <row r="6456" spans="15:20" ht="13.8" x14ac:dyDescent="0.25">
      <c r="O6456" s="30"/>
      <c r="P6456" s="14"/>
      <c r="Q6456" s="14"/>
      <c r="R6456" s="27"/>
      <c r="S6456" s="26"/>
      <c r="T6456" s="26"/>
    </row>
    <row r="6457" spans="15:20" x14ac:dyDescent="0.25">
      <c r="O6457" s="14"/>
      <c r="P6457" s="14"/>
      <c r="Q6457" s="14"/>
      <c r="R6457" s="14"/>
      <c r="S6457" s="14"/>
      <c r="T6457" s="14"/>
    </row>
    <row r="6458" spans="15:20" x14ac:dyDescent="0.25">
      <c r="O6458" s="21"/>
      <c r="P6458" s="21"/>
      <c r="Q6458" s="21"/>
      <c r="R6458" s="27"/>
      <c r="S6458" s="29"/>
      <c r="T6458" s="29"/>
    </row>
    <row r="6459" spans="15:20" x14ac:dyDescent="0.25">
      <c r="O6459" s="21"/>
      <c r="P6459" s="14"/>
      <c r="Q6459" s="21"/>
      <c r="R6459" s="28"/>
      <c r="S6459" s="29"/>
      <c r="T6459" s="29"/>
    </row>
    <row r="6460" spans="15:20" x14ac:dyDescent="0.25">
      <c r="O6460" s="21"/>
      <c r="P6460" s="14"/>
      <c r="Q6460" s="21"/>
      <c r="R6460" s="28"/>
      <c r="S6460" s="29"/>
      <c r="T6460" s="29"/>
    </row>
    <row r="6461" spans="15:20" ht="14.4" x14ac:dyDescent="0.3">
      <c r="O6461" s="32"/>
      <c r="P6461" s="33"/>
      <c r="Q6461" s="32"/>
      <c r="R6461" s="27"/>
      <c r="S6461" s="29"/>
      <c r="T6461" s="29"/>
    </row>
    <row r="6462" spans="15:20" x14ac:dyDescent="0.25">
      <c r="O6462" s="32"/>
      <c r="P6462" s="21"/>
      <c r="Q6462" s="32"/>
      <c r="R6462" s="27"/>
      <c r="S6462" s="29"/>
      <c r="T6462" s="29"/>
    </row>
    <row r="6463" spans="15:20" x14ac:dyDescent="0.25">
      <c r="O6463" s="32"/>
      <c r="P6463" s="34"/>
      <c r="Q6463" s="32"/>
      <c r="R6463" s="27"/>
      <c r="S6463" s="14"/>
      <c r="T6463" s="29"/>
    </row>
    <row r="6464" spans="15:20" x14ac:dyDescent="0.25">
      <c r="O6464" s="32"/>
      <c r="P6464" s="34"/>
      <c r="Q6464" s="32"/>
      <c r="R6464" s="27"/>
      <c r="S6464" s="14"/>
      <c r="T6464" s="29"/>
    </row>
    <row r="6465" spans="15:20" x14ac:dyDescent="0.25">
      <c r="O6465" s="32"/>
      <c r="P6465" s="34"/>
      <c r="Q6465" s="32"/>
      <c r="R6465" s="27"/>
      <c r="S6465" s="14"/>
      <c r="T6465" s="14"/>
    </row>
    <row r="6466" spans="15:20" x14ac:dyDescent="0.25">
      <c r="O6466" s="32"/>
      <c r="P6466" s="35"/>
      <c r="Q6466" s="32"/>
      <c r="R6466" s="27"/>
      <c r="S6466" s="21"/>
      <c r="T6466" s="14"/>
    </row>
    <row r="6467" spans="15:20" x14ac:dyDescent="0.25">
      <c r="O6467" s="36"/>
      <c r="P6467" s="14"/>
      <c r="Q6467" s="14"/>
      <c r="R6467" s="37"/>
      <c r="S6467" s="29"/>
      <c r="T6467" s="28"/>
    </row>
    <row r="6468" spans="15:20" x14ac:dyDescent="0.25">
      <c r="O6468" s="21"/>
      <c r="P6468" s="14"/>
      <c r="Q6468" s="21"/>
      <c r="R6468" s="28"/>
      <c r="S6468" s="29"/>
      <c r="T6468" s="28"/>
    </row>
    <row r="6469" spans="15:20" x14ac:dyDescent="0.25">
      <c r="O6469" s="14"/>
      <c r="P6469" s="14"/>
      <c r="Q6469" s="14"/>
      <c r="R6469" s="14"/>
      <c r="S6469" s="26"/>
      <c r="T6469" s="26"/>
    </row>
    <row r="6470" spans="15:20" ht="13.8" x14ac:dyDescent="0.25">
      <c r="O6470" s="30"/>
      <c r="P6470" s="14"/>
      <c r="Q6470" s="14"/>
      <c r="R6470" s="27"/>
      <c r="S6470" s="26"/>
      <c r="T6470" s="26"/>
    </row>
    <row r="6471" spans="15:20" x14ac:dyDescent="0.25">
      <c r="O6471" s="14"/>
      <c r="P6471" s="14"/>
      <c r="Q6471" s="14"/>
      <c r="R6471" s="14"/>
      <c r="S6471" s="14"/>
      <c r="T6471" s="14"/>
    </row>
    <row r="6472" spans="15:20" x14ac:dyDescent="0.25">
      <c r="O6472" s="21"/>
      <c r="P6472" s="21"/>
      <c r="Q6472" s="21"/>
      <c r="R6472" s="27"/>
      <c r="S6472" s="29"/>
      <c r="T6472" s="29"/>
    </row>
    <row r="6473" spans="15:20" x14ac:dyDescent="0.25">
      <c r="O6473" s="21"/>
      <c r="P6473" s="14"/>
      <c r="Q6473" s="21"/>
      <c r="R6473" s="28"/>
      <c r="S6473" s="29"/>
      <c r="T6473" s="29"/>
    </row>
    <row r="6474" spans="15:20" x14ac:dyDescent="0.25">
      <c r="O6474" s="21"/>
      <c r="P6474" s="14"/>
      <c r="Q6474" s="21"/>
      <c r="R6474" s="28"/>
      <c r="S6474" s="29"/>
      <c r="T6474" s="29"/>
    </row>
    <row r="6475" spans="15:20" ht="14.4" x14ac:dyDescent="0.3">
      <c r="O6475" s="32"/>
      <c r="P6475" s="33"/>
      <c r="Q6475" s="32"/>
      <c r="R6475" s="27"/>
      <c r="S6475" s="29"/>
      <c r="T6475" s="29"/>
    </row>
    <row r="6476" spans="15:20" x14ac:dyDescent="0.25">
      <c r="O6476" s="32"/>
      <c r="P6476" s="21"/>
      <c r="Q6476" s="32"/>
      <c r="R6476" s="27"/>
      <c r="S6476" s="29"/>
      <c r="T6476" s="29"/>
    </row>
    <row r="6477" spans="15:20" x14ac:dyDescent="0.25">
      <c r="O6477" s="32"/>
      <c r="P6477" s="34"/>
      <c r="Q6477" s="32"/>
      <c r="R6477" s="27"/>
      <c r="S6477" s="14"/>
      <c r="T6477" s="29"/>
    </row>
    <row r="6478" spans="15:20" x14ac:dyDescent="0.25">
      <c r="O6478" s="32"/>
      <c r="P6478" s="34"/>
      <c r="Q6478" s="32"/>
      <c r="R6478" s="27"/>
      <c r="S6478" s="14"/>
      <c r="T6478" s="29"/>
    </row>
    <row r="6479" spans="15:20" x14ac:dyDescent="0.25">
      <c r="O6479" s="32"/>
      <c r="P6479" s="34"/>
      <c r="Q6479" s="32"/>
      <c r="R6479" s="27"/>
      <c r="S6479" s="14"/>
      <c r="T6479" s="14"/>
    </row>
    <row r="6480" spans="15:20" x14ac:dyDescent="0.25">
      <c r="O6480" s="32"/>
      <c r="P6480" s="35"/>
      <c r="Q6480" s="32"/>
      <c r="R6480" s="27"/>
      <c r="S6480" s="21"/>
      <c r="T6480" s="14"/>
    </row>
    <row r="6481" spans="15:20" x14ac:dyDescent="0.25">
      <c r="O6481" s="36"/>
      <c r="P6481" s="14"/>
      <c r="Q6481" s="14"/>
      <c r="R6481" s="37"/>
      <c r="S6481" s="29"/>
      <c r="T6481" s="28"/>
    </row>
    <row r="6482" spans="15:20" x14ac:dyDescent="0.25">
      <c r="O6482" s="14"/>
      <c r="P6482" s="14"/>
      <c r="Q6482" s="14"/>
      <c r="R6482" s="14"/>
      <c r="S6482" s="26"/>
      <c r="T6482" s="26"/>
    </row>
    <row r="6483" spans="15:20" ht="13.8" x14ac:dyDescent="0.25">
      <c r="O6483" s="30"/>
      <c r="P6483" s="14"/>
      <c r="Q6483" s="14"/>
      <c r="R6483" s="27"/>
      <c r="S6483" s="26"/>
      <c r="T6483" s="26"/>
    </row>
    <row r="6484" spans="15:20" x14ac:dyDescent="0.25">
      <c r="O6484" s="14"/>
      <c r="P6484" s="14"/>
      <c r="Q6484" s="14"/>
      <c r="R6484" s="14"/>
      <c r="S6484" s="14"/>
      <c r="T6484" s="14"/>
    </row>
    <row r="6485" spans="15:20" x14ac:dyDescent="0.25">
      <c r="O6485" s="21"/>
      <c r="P6485" s="21"/>
      <c r="Q6485" s="21"/>
      <c r="R6485" s="27"/>
      <c r="S6485" s="29"/>
      <c r="T6485" s="29"/>
    </row>
    <row r="6486" spans="15:20" x14ac:dyDescent="0.25">
      <c r="O6486" s="21"/>
      <c r="P6486" s="14"/>
      <c r="Q6486" s="21"/>
      <c r="R6486" s="28"/>
      <c r="S6486" s="29"/>
      <c r="T6486" s="29"/>
    </row>
    <row r="6487" spans="15:20" x14ac:dyDescent="0.25">
      <c r="O6487" s="21"/>
      <c r="P6487" s="14"/>
      <c r="Q6487" s="21"/>
      <c r="R6487" s="28"/>
      <c r="S6487" s="29"/>
      <c r="T6487" s="29"/>
    </row>
    <row r="6488" spans="15:20" ht="14.4" x14ac:dyDescent="0.3">
      <c r="O6488" s="32"/>
      <c r="P6488" s="33"/>
      <c r="Q6488" s="32"/>
      <c r="R6488" s="27"/>
      <c r="S6488" s="29"/>
      <c r="T6488" s="29"/>
    </row>
    <row r="6489" spans="15:20" x14ac:dyDescent="0.25">
      <c r="O6489" s="32"/>
      <c r="P6489" s="21"/>
      <c r="Q6489" s="32"/>
      <c r="R6489" s="27"/>
      <c r="S6489" s="29"/>
      <c r="T6489" s="29"/>
    </row>
    <row r="6490" spans="15:20" x14ac:dyDescent="0.25">
      <c r="O6490" s="32"/>
      <c r="P6490" s="34"/>
      <c r="Q6490" s="32"/>
      <c r="R6490" s="27"/>
      <c r="S6490" s="14"/>
      <c r="T6490" s="29"/>
    </row>
    <row r="6491" spans="15:20" x14ac:dyDescent="0.25">
      <c r="O6491" s="32"/>
      <c r="P6491" s="34"/>
      <c r="Q6491" s="32"/>
      <c r="R6491" s="27"/>
      <c r="S6491" s="14"/>
      <c r="T6491" s="29"/>
    </row>
    <row r="6492" spans="15:20" x14ac:dyDescent="0.25">
      <c r="O6492" s="32"/>
      <c r="P6492" s="34"/>
      <c r="Q6492" s="32"/>
      <c r="R6492" s="27"/>
      <c r="S6492" s="14"/>
      <c r="T6492" s="14"/>
    </row>
    <row r="6493" spans="15:20" x14ac:dyDescent="0.25">
      <c r="O6493" s="32"/>
      <c r="P6493" s="35"/>
      <c r="Q6493" s="32"/>
      <c r="R6493" s="27"/>
      <c r="S6493" s="21"/>
      <c r="T6493" s="14"/>
    </row>
    <row r="6494" spans="15:20" x14ac:dyDescent="0.25">
      <c r="O6494" s="36"/>
      <c r="P6494" s="14"/>
      <c r="Q6494" s="14"/>
      <c r="R6494" s="37"/>
      <c r="S6494" s="29"/>
      <c r="T6494" s="28"/>
    </row>
    <row r="6495" spans="15:20" x14ac:dyDescent="0.25">
      <c r="O6495" s="21"/>
      <c r="P6495" s="14"/>
      <c r="Q6495" s="21"/>
      <c r="R6495" s="28"/>
      <c r="S6495" s="29"/>
      <c r="T6495" s="28"/>
    </row>
    <row r="6496" spans="15:20" x14ac:dyDescent="0.25">
      <c r="O6496" s="14"/>
      <c r="P6496" s="14"/>
      <c r="Q6496" s="14"/>
      <c r="R6496" s="14"/>
      <c r="S6496" s="26"/>
      <c r="T6496" s="26"/>
    </row>
    <row r="6497" spans="15:20" ht="13.8" x14ac:dyDescent="0.25">
      <c r="O6497" s="30"/>
      <c r="P6497" s="14"/>
      <c r="Q6497" s="14"/>
      <c r="R6497" s="27"/>
      <c r="S6497" s="26"/>
      <c r="T6497" s="26"/>
    </row>
    <row r="6498" spans="15:20" x14ac:dyDescent="0.25">
      <c r="O6498" s="14"/>
      <c r="P6498" s="14"/>
      <c r="Q6498" s="14"/>
      <c r="R6498" s="14"/>
      <c r="S6498" s="14"/>
      <c r="T6498" s="14"/>
    </row>
    <row r="6499" spans="15:20" x14ac:dyDescent="0.25">
      <c r="O6499" s="21"/>
      <c r="P6499" s="21"/>
      <c r="Q6499" s="21"/>
      <c r="R6499" s="27"/>
      <c r="S6499" s="29"/>
      <c r="T6499" s="29"/>
    </row>
    <row r="6500" spans="15:20" x14ac:dyDescent="0.25">
      <c r="O6500" s="21"/>
      <c r="P6500" s="14"/>
      <c r="Q6500" s="21"/>
      <c r="R6500" s="28"/>
      <c r="S6500" s="29"/>
      <c r="T6500" s="29"/>
    </row>
    <row r="6501" spans="15:20" x14ac:dyDescent="0.25">
      <c r="O6501" s="21"/>
      <c r="P6501" s="14"/>
      <c r="Q6501" s="21"/>
      <c r="R6501" s="28"/>
      <c r="S6501" s="29"/>
      <c r="T6501" s="29"/>
    </row>
    <row r="6502" spans="15:20" ht="14.4" x14ac:dyDescent="0.3">
      <c r="O6502" s="32"/>
      <c r="P6502" s="33"/>
      <c r="Q6502" s="32"/>
      <c r="R6502" s="27"/>
      <c r="S6502" s="29"/>
      <c r="T6502" s="29"/>
    </row>
    <row r="6503" spans="15:20" x14ac:dyDescent="0.25">
      <c r="O6503" s="32"/>
      <c r="P6503" s="21"/>
      <c r="Q6503" s="32"/>
      <c r="R6503" s="27"/>
      <c r="S6503" s="29"/>
      <c r="T6503" s="29"/>
    </row>
    <row r="6504" spans="15:20" x14ac:dyDescent="0.25">
      <c r="O6504" s="32"/>
      <c r="P6504" s="34"/>
      <c r="Q6504" s="32"/>
      <c r="R6504" s="27"/>
      <c r="S6504" s="14"/>
      <c r="T6504" s="29"/>
    </row>
    <row r="6505" spans="15:20" x14ac:dyDescent="0.25">
      <c r="O6505" s="32"/>
      <c r="P6505" s="34"/>
      <c r="Q6505" s="32"/>
      <c r="R6505" s="27"/>
      <c r="S6505" s="14"/>
      <c r="T6505" s="29"/>
    </row>
    <row r="6506" spans="15:20" x14ac:dyDescent="0.25">
      <c r="O6506" s="32"/>
      <c r="P6506" s="34"/>
      <c r="Q6506" s="32"/>
      <c r="R6506" s="27"/>
      <c r="S6506" s="14"/>
      <c r="T6506" s="14"/>
    </row>
    <row r="6507" spans="15:20" x14ac:dyDescent="0.25">
      <c r="O6507" s="32"/>
      <c r="P6507" s="35"/>
      <c r="Q6507" s="32"/>
      <c r="R6507" s="27"/>
      <c r="S6507" s="21"/>
      <c r="T6507" s="14"/>
    </row>
    <row r="6508" spans="15:20" x14ac:dyDescent="0.25">
      <c r="O6508" s="36"/>
      <c r="P6508" s="14"/>
      <c r="Q6508" s="14"/>
      <c r="R6508" s="37"/>
      <c r="S6508" s="29"/>
      <c r="T6508" s="28"/>
    </row>
    <row r="6509" spans="15:20" x14ac:dyDescent="0.25">
      <c r="O6509" s="21"/>
      <c r="P6509" s="14"/>
      <c r="Q6509" s="21"/>
      <c r="R6509" s="28"/>
      <c r="S6509" s="29"/>
      <c r="T6509" s="28"/>
    </row>
    <row r="6510" spans="15:20" x14ac:dyDescent="0.25">
      <c r="O6510" s="14"/>
      <c r="P6510" s="14"/>
      <c r="Q6510" s="14"/>
      <c r="R6510" s="14"/>
      <c r="S6510" s="26"/>
      <c r="T6510" s="26"/>
    </row>
    <row r="6511" spans="15:20" ht="13.8" x14ac:dyDescent="0.25">
      <c r="O6511" s="30"/>
      <c r="P6511" s="14"/>
      <c r="Q6511" s="14"/>
      <c r="R6511" s="27"/>
      <c r="S6511" s="26"/>
      <c r="T6511" s="26"/>
    </row>
    <row r="6512" spans="15:20" x14ac:dyDescent="0.25">
      <c r="O6512" s="14"/>
      <c r="P6512" s="14"/>
      <c r="Q6512" s="14"/>
      <c r="R6512" s="14"/>
      <c r="S6512" s="14"/>
      <c r="T6512" s="14"/>
    </row>
    <row r="6513" spans="15:20" x14ac:dyDescent="0.25">
      <c r="O6513" s="21"/>
      <c r="P6513" s="21"/>
      <c r="Q6513" s="21"/>
      <c r="R6513" s="27"/>
      <c r="S6513" s="29"/>
      <c r="T6513" s="29"/>
    </row>
    <row r="6514" spans="15:20" x14ac:dyDescent="0.25">
      <c r="O6514" s="21"/>
      <c r="P6514" s="14"/>
      <c r="Q6514" s="21"/>
      <c r="R6514" s="28"/>
      <c r="S6514" s="29"/>
      <c r="T6514" s="29"/>
    </row>
    <row r="6515" spans="15:20" x14ac:dyDescent="0.25">
      <c r="O6515" s="21"/>
      <c r="P6515" s="14"/>
      <c r="Q6515" s="21"/>
      <c r="R6515" s="28"/>
      <c r="S6515" s="29"/>
      <c r="T6515" s="29"/>
    </row>
    <row r="6516" spans="15:20" ht="14.4" x14ac:dyDescent="0.3">
      <c r="O6516" s="32"/>
      <c r="P6516" s="33"/>
      <c r="Q6516" s="32"/>
      <c r="R6516" s="27"/>
      <c r="S6516" s="29"/>
      <c r="T6516" s="29"/>
    </row>
    <row r="6517" spans="15:20" x14ac:dyDescent="0.25">
      <c r="O6517" s="32"/>
      <c r="P6517" s="21"/>
      <c r="Q6517" s="32"/>
      <c r="R6517" s="27"/>
      <c r="S6517" s="29"/>
      <c r="T6517" s="29"/>
    </row>
    <row r="6518" spans="15:20" x14ac:dyDescent="0.25">
      <c r="O6518" s="32"/>
      <c r="P6518" s="34"/>
      <c r="Q6518" s="32"/>
      <c r="R6518" s="27"/>
      <c r="S6518" s="14"/>
      <c r="T6518" s="29"/>
    </row>
    <row r="6519" spans="15:20" x14ac:dyDescent="0.25">
      <c r="O6519" s="32"/>
      <c r="P6519" s="34"/>
      <c r="Q6519" s="32"/>
      <c r="R6519" s="27"/>
      <c r="S6519" s="14"/>
      <c r="T6519" s="29"/>
    </row>
    <row r="6520" spans="15:20" x14ac:dyDescent="0.25">
      <c r="O6520" s="32"/>
      <c r="P6520" s="34"/>
      <c r="Q6520" s="32"/>
      <c r="R6520" s="27"/>
      <c r="S6520" s="14"/>
      <c r="T6520" s="14"/>
    </row>
    <row r="6521" spans="15:20" x14ac:dyDescent="0.25">
      <c r="O6521" s="32"/>
      <c r="P6521" s="35"/>
      <c r="Q6521" s="32"/>
      <c r="R6521" s="27"/>
      <c r="S6521" s="21"/>
      <c r="T6521" s="14"/>
    </row>
    <row r="6522" spans="15:20" x14ac:dyDescent="0.25">
      <c r="O6522" s="36"/>
      <c r="P6522" s="14"/>
      <c r="Q6522" s="14"/>
      <c r="R6522" s="37"/>
      <c r="S6522" s="29"/>
      <c r="T6522" s="28"/>
    </row>
    <row r="6523" spans="15:20" x14ac:dyDescent="0.25">
      <c r="O6523" s="21"/>
      <c r="P6523" s="14"/>
      <c r="Q6523" s="21"/>
      <c r="R6523" s="28"/>
      <c r="S6523" s="29"/>
      <c r="T6523" s="28"/>
    </row>
    <row r="6524" spans="15:20" x14ac:dyDescent="0.25">
      <c r="O6524" s="14"/>
      <c r="P6524" s="14"/>
      <c r="Q6524" s="14"/>
      <c r="R6524" s="14"/>
      <c r="S6524" s="26"/>
      <c r="T6524" s="26"/>
    </row>
    <row r="6525" spans="15:20" ht="13.8" x14ac:dyDescent="0.25">
      <c r="O6525" s="30"/>
      <c r="P6525" s="14"/>
      <c r="Q6525" s="14"/>
      <c r="R6525" s="27"/>
      <c r="S6525" s="26"/>
      <c r="T6525" s="26"/>
    </row>
    <row r="6526" spans="15:20" x14ac:dyDescent="0.25">
      <c r="O6526" s="14"/>
      <c r="P6526" s="14"/>
      <c r="Q6526" s="14"/>
      <c r="R6526" s="14"/>
      <c r="S6526" s="14"/>
      <c r="T6526" s="14"/>
    </row>
    <row r="6527" spans="15:20" x14ac:dyDescent="0.25">
      <c r="O6527" s="21"/>
      <c r="P6527" s="21"/>
      <c r="Q6527" s="21"/>
      <c r="R6527" s="27"/>
      <c r="S6527" s="29"/>
      <c r="T6527" s="29"/>
    </row>
    <row r="6528" spans="15:20" x14ac:dyDescent="0.25">
      <c r="O6528" s="21"/>
      <c r="P6528" s="14"/>
      <c r="Q6528" s="21"/>
      <c r="R6528" s="28"/>
      <c r="S6528" s="29"/>
      <c r="T6528" s="29"/>
    </row>
    <row r="6529" spans="15:20" x14ac:dyDescent="0.25">
      <c r="O6529" s="21"/>
      <c r="P6529" s="14"/>
      <c r="Q6529" s="21"/>
      <c r="R6529" s="28"/>
      <c r="S6529" s="29"/>
      <c r="T6529" s="29"/>
    </row>
    <row r="6530" spans="15:20" ht="14.4" x14ac:dyDescent="0.3">
      <c r="O6530" s="32"/>
      <c r="P6530" s="33"/>
      <c r="Q6530" s="32"/>
      <c r="R6530" s="27"/>
      <c r="S6530" s="29"/>
      <c r="T6530" s="29"/>
    </row>
    <row r="6531" spans="15:20" x14ac:dyDescent="0.25">
      <c r="O6531" s="32"/>
      <c r="P6531" s="21"/>
      <c r="Q6531" s="32"/>
      <c r="R6531" s="27"/>
      <c r="S6531" s="29"/>
      <c r="T6531" s="29"/>
    </row>
    <row r="6532" spans="15:20" x14ac:dyDescent="0.25">
      <c r="O6532" s="32"/>
      <c r="P6532" s="34"/>
      <c r="Q6532" s="32"/>
      <c r="R6532" s="27"/>
      <c r="S6532" s="14"/>
      <c r="T6532" s="29"/>
    </row>
    <row r="6533" spans="15:20" x14ac:dyDescent="0.25">
      <c r="O6533" s="32"/>
      <c r="P6533" s="34"/>
      <c r="Q6533" s="32"/>
      <c r="R6533" s="27"/>
      <c r="S6533" s="14"/>
      <c r="T6533" s="29"/>
    </row>
    <row r="6534" spans="15:20" x14ac:dyDescent="0.25">
      <c r="O6534" s="32"/>
      <c r="P6534" s="34"/>
      <c r="Q6534" s="32"/>
      <c r="R6534" s="27"/>
      <c r="S6534" s="14"/>
      <c r="T6534" s="14"/>
    </row>
    <row r="6535" spans="15:20" x14ac:dyDescent="0.25">
      <c r="O6535" s="32"/>
      <c r="P6535" s="35"/>
      <c r="Q6535" s="32"/>
      <c r="R6535" s="27"/>
      <c r="S6535" s="21"/>
      <c r="T6535" s="14"/>
    </row>
    <row r="6536" spans="15:20" x14ac:dyDescent="0.25">
      <c r="O6536" s="36"/>
      <c r="P6536" s="14"/>
      <c r="Q6536" s="14"/>
      <c r="R6536" s="37"/>
      <c r="S6536" s="29"/>
      <c r="T6536" s="28"/>
    </row>
    <row r="6537" spans="15:20" x14ac:dyDescent="0.25">
      <c r="O6537" s="21"/>
      <c r="P6537" s="14"/>
      <c r="Q6537" s="21"/>
      <c r="R6537" s="28"/>
      <c r="S6537" s="29"/>
      <c r="T6537" s="28"/>
    </row>
    <row r="6538" spans="15:20" x14ac:dyDescent="0.25">
      <c r="O6538" s="14"/>
      <c r="P6538" s="14"/>
      <c r="Q6538" s="14"/>
      <c r="R6538" s="14"/>
      <c r="S6538" s="26"/>
      <c r="T6538" s="26"/>
    </row>
    <row r="6539" spans="15:20" ht="13.8" x14ac:dyDescent="0.25">
      <c r="O6539" s="30"/>
      <c r="P6539" s="14"/>
      <c r="Q6539" s="14"/>
      <c r="R6539" s="27"/>
      <c r="S6539" s="26"/>
      <c r="T6539" s="26"/>
    </row>
    <row r="6540" spans="15:20" x14ac:dyDescent="0.25">
      <c r="O6540" s="14"/>
      <c r="P6540" s="14"/>
      <c r="Q6540" s="14"/>
      <c r="R6540" s="14"/>
      <c r="S6540" s="14"/>
      <c r="T6540" s="14"/>
    </row>
    <row r="6541" spans="15:20" x14ac:dyDescent="0.25">
      <c r="O6541" s="21"/>
      <c r="P6541" s="21"/>
      <c r="Q6541" s="21"/>
      <c r="R6541" s="27"/>
      <c r="S6541" s="29"/>
      <c r="T6541" s="29"/>
    </row>
    <row r="6542" spans="15:20" x14ac:dyDescent="0.25">
      <c r="O6542" s="21"/>
      <c r="P6542" s="14"/>
      <c r="Q6542" s="21"/>
      <c r="R6542" s="28"/>
      <c r="S6542" s="29"/>
      <c r="T6542" s="29"/>
    </row>
    <row r="6543" spans="15:20" x14ac:dyDescent="0.25">
      <c r="O6543" s="21"/>
      <c r="P6543" s="14"/>
      <c r="Q6543" s="21"/>
      <c r="R6543" s="28"/>
      <c r="S6543" s="29"/>
      <c r="T6543" s="29"/>
    </row>
    <row r="6544" spans="15:20" ht="14.4" x14ac:dyDescent="0.3">
      <c r="O6544" s="32"/>
      <c r="P6544" s="33"/>
      <c r="Q6544" s="32"/>
      <c r="R6544" s="27"/>
      <c r="S6544" s="29"/>
      <c r="T6544" s="29"/>
    </row>
    <row r="6545" spans="15:20" x14ac:dyDescent="0.25">
      <c r="O6545" s="32"/>
      <c r="P6545" s="21"/>
      <c r="Q6545" s="32"/>
      <c r="R6545" s="27"/>
      <c r="S6545" s="29"/>
      <c r="T6545" s="29"/>
    </row>
    <row r="6546" spans="15:20" x14ac:dyDescent="0.25">
      <c r="O6546" s="32"/>
      <c r="P6546" s="34"/>
      <c r="Q6546" s="32"/>
      <c r="R6546" s="27"/>
      <c r="S6546" s="14"/>
      <c r="T6546" s="29"/>
    </row>
    <row r="6547" spans="15:20" x14ac:dyDescent="0.25">
      <c r="O6547" s="32"/>
      <c r="P6547" s="34"/>
      <c r="Q6547" s="32"/>
      <c r="R6547" s="27"/>
      <c r="S6547" s="14"/>
      <c r="T6547" s="29"/>
    </row>
    <row r="6548" spans="15:20" x14ac:dyDescent="0.25">
      <c r="O6548" s="32"/>
      <c r="P6548" s="34"/>
      <c r="Q6548" s="32"/>
      <c r="R6548" s="27"/>
      <c r="S6548" s="14"/>
      <c r="T6548" s="14"/>
    </row>
    <row r="6549" spans="15:20" x14ac:dyDescent="0.25">
      <c r="O6549" s="32"/>
      <c r="P6549" s="35"/>
      <c r="Q6549" s="32"/>
      <c r="R6549" s="27"/>
      <c r="S6549" s="21"/>
      <c r="T6549" s="14"/>
    </row>
    <row r="6550" spans="15:20" x14ac:dyDescent="0.25">
      <c r="O6550" s="36"/>
      <c r="P6550" s="14"/>
      <c r="Q6550" s="14"/>
      <c r="R6550" s="37"/>
      <c r="S6550" s="29"/>
      <c r="T6550" s="28"/>
    </row>
    <row r="6551" spans="15:20" x14ac:dyDescent="0.25">
      <c r="O6551" s="21"/>
      <c r="P6551" s="14"/>
      <c r="Q6551" s="21"/>
      <c r="R6551" s="28"/>
      <c r="S6551" s="29"/>
      <c r="T6551" s="28"/>
    </row>
    <row r="6552" spans="15:20" x14ac:dyDescent="0.25">
      <c r="O6552" s="14"/>
      <c r="P6552" s="14"/>
      <c r="Q6552" s="14"/>
      <c r="R6552" s="14"/>
      <c r="S6552" s="26"/>
      <c r="T6552" s="26"/>
    </row>
    <row r="6553" spans="15:20" ht="13.8" x14ac:dyDescent="0.25">
      <c r="O6553" s="30"/>
      <c r="P6553" s="14"/>
      <c r="Q6553" s="14"/>
      <c r="R6553" s="27"/>
      <c r="S6553" s="26"/>
      <c r="T6553" s="26"/>
    </row>
    <row r="6554" spans="15:20" x14ac:dyDescent="0.25">
      <c r="O6554" s="14"/>
      <c r="P6554" s="14"/>
      <c r="Q6554" s="14"/>
      <c r="R6554" s="14"/>
      <c r="S6554" s="14"/>
      <c r="T6554" s="14"/>
    </row>
    <row r="6555" spans="15:20" x14ac:dyDescent="0.25">
      <c r="O6555" s="21"/>
      <c r="P6555" s="21"/>
      <c r="Q6555" s="21"/>
      <c r="R6555" s="27"/>
      <c r="S6555" s="29"/>
      <c r="T6555" s="29"/>
    </row>
    <row r="6556" spans="15:20" x14ac:dyDescent="0.25">
      <c r="O6556" s="21"/>
      <c r="P6556" s="14"/>
      <c r="Q6556" s="21"/>
      <c r="R6556" s="28"/>
      <c r="S6556" s="29"/>
      <c r="T6556" s="29"/>
    </row>
    <row r="6557" spans="15:20" x14ac:dyDescent="0.25">
      <c r="O6557" s="21"/>
      <c r="P6557" s="14"/>
      <c r="Q6557" s="21"/>
      <c r="R6557" s="28"/>
      <c r="S6557" s="29"/>
      <c r="T6557" s="29"/>
    </row>
    <row r="6558" spans="15:20" ht="14.4" x14ac:dyDescent="0.3">
      <c r="O6558" s="32"/>
      <c r="P6558" s="33"/>
      <c r="Q6558" s="32"/>
      <c r="R6558" s="27"/>
      <c r="S6558" s="29"/>
      <c r="T6558" s="29"/>
    </row>
    <row r="6559" spans="15:20" x14ac:dyDescent="0.25">
      <c r="O6559" s="32"/>
      <c r="P6559" s="21"/>
      <c r="Q6559" s="32"/>
      <c r="R6559" s="27"/>
      <c r="S6559" s="29"/>
      <c r="T6559" s="29"/>
    </row>
    <row r="6560" spans="15:20" x14ac:dyDescent="0.25">
      <c r="O6560" s="32"/>
      <c r="P6560" s="34"/>
      <c r="Q6560" s="32"/>
      <c r="R6560" s="27"/>
      <c r="S6560" s="14"/>
      <c r="T6560" s="29"/>
    </row>
    <row r="6561" spans="15:20" x14ac:dyDescent="0.25">
      <c r="O6561" s="32"/>
      <c r="P6561" s="34"/>
      <c r="Q6561" s="32"/>
      <c r="R6561" s="27"/>
      <c r="S6561" s="14"/>
      <c r="T6561" s="29"/>
    </row>
    <row r="6562" spans="15:20" x14ac:dyDescent="0.25">
      <c r="O6562" s="32"/>
      <c r="P6562" s="34"/>
      <c r="Q6562" s="32"/>
      <c r="R6562" s="27"/>
      <c r="S6562" s="14"/>
      <c r="T6562" s="14"/>
    </row>
    <row r="6563" spans="15:20" x14ac:dyDescent="0.25">
      <c r="O6563" s="32"/>
      <c r="P6563" s="35"/>
      <c r="Q6563" s="32"/>
      <c r="R6563" s="27"/>
      <c r="S6563" s="21"/>
      <c r="T6563" s="14"/>
    </row>
    <row r="6564" spans="15:20" x14ac:dyDescent="0.25">
      <c r="O6564" s="36"/>
      <c r="P6564" s="14"/>
      <c r="Q6564" s="14"/>
      <c r="R6564" s="37"/>
      <c r="S6564" s="29"/>
      <c r="T6564" s="28"/>
    </row>
    <row r="6565" spans="15:20" x14ac:dyDescent="0.25">
      <c r="O6565" s="21"/>
      <c r="P6565" s="14"/>
      <c r="Q6565" s="21"/>
      <c r="R6565" s="28"/>
      <c r="S6565" s="29"/>
      <c r="T6565" s="28"/>
    </row>
    <row r="6566" spans="15:20" x14ac:dyDescent="0.25">
      <c r="O6566" s="14"/>
      <c r="P6566" s="14"/>
      <c r="Q6566" s="14"/>
      <c r="R6566" s="14"/>
      <c r="S6566" s="26"/>
      <c r="T6566" s="26"/>
    </row>
    <row r="6567" spans="15:20" ht="13.8" x14ac:dyDescent="0.25">
      <c r="O6567" s="30"/>
      <c r="P6567" s="14"/>
      <c r="Q6567" s="14"/>
      <c r="R6567" s="27"/>
      <c r="S6567" s="26"/>
      <c r="T6567" s="26"/>
    </row>
    <row r="6568" spans="15:20" x14ac:dyDescent="0.25">
      <c r="O6568" s="14"/>
      <c r="P6568" s="14"/>
      <c r="Q6568" s="14"/>
      <c r="R6568" s="14"/>
      <c r="S6568" s="14"/>
      <c r="T6568" s="14"/>
    </row>
    <row r="6569" spans="15:20" x14ac:dyDescent="0.25">
      <c r="O6569" s="21"/>
      <c r="P6569" s="21"/>
      <c r="Q6569" s="21"/>
      <c r="R6569" s="27"/>
      <c r="S6569" s="29"/>
      <c r="T6569" s="29"/>
    </row>
    <row r="6570" spans="15:20" x14ac:dyDescent="0.25">
      <c r="O6570" s="21"/>
      <c r="P6570" s="14"/>
      <c r="Q6570" s="21"/>
      <c r="R6570" s="28"/>
      <c r="S6570" s="29"/>
      <c r="T6570" s="29"/>
    </row>
    <row r="6571" spans="15:20" x14ac:dyDescent="0.25">
      <c r="O6571" s="21"/>
      <c r="P6571" s="14"/>
      <c r="Q6571" s="21"/>
      <c r="R6571" s="28"/>
      <c r="S6571" s="29"/>
      <c r="T6571" s="29"/>
    </row>
    <row r="6572" spans="15:20" ht="14.4" x14ac:dyDescent="0.3">
      <c r="O6572" s="32"/>
      <c r="P6572" s="33"/>
      <c r="Q6572" s="32"/>
      <c r="R6572" s="27"/>
      <c r="S6572" s="29"/>
      <c r="T6572" s="29"/>
    </row>
    <row r="6573" spans="15:20" x14ac:dyDescent="0.25">
      <c r="O6573" s="32"/>
      <c r="P6573" s="21"/>
      <c r="Q6573" s="32"/>
      <c r="R6573" s="27"/>
      <c r="S6573" s="29"/>
      <c r="T6573" s="29"/>
    </row>
    <row r="6574" spans="15:20" x14ac:dyDescent="0.25">
      <c r="O6574" s="32"/>
      <c r="P6574" s="34"/>
      <c r="Q6574" s="32"/>
      <c r="R6574" s="27"/>
      <c r="S6574" s="14"/>
      <c r="T6574" s="29"/>
    </row>
    <row r="6575" spans="15:20" x14ac:dyDescent="0.25">
      <c r="O6575" s="32"/>
      <c r="P6575" s="34"/>
      <c r="Q6575" s="32"/>
      <c r="R6575" s="27"/>
      <c r="S6575" s="14"/>
      <c r="T6575" s="29"/>
    </row>
    <row r="6576" spans="15:20" x14ac:dyDescent="0.25">
      <c r="O6576" s="32"/>
      <c r="P6576" s="34"/>
      <c r="Q6576" s="32"/>
      <c r="R6576" s="27"/>
      <c r="S6576" s="14"/>
      <c r="T6576" s="14"/>
    </row>
    <row r="6577" spans="15:20" x14ac:dyDescent="0.25">
      <c r="O6577" s="32"/>
      <c r="P6577" s="35"/>
      <c r="Q6577" s="32"/>
      <c r="R6577" s="27"/>
      <c r="S6577" s="21"/>
      <c r="T6577" s="14"/>
    </row>
    <row r="6578" spans="15:20" x14ac:dyDescent="0.25">
      <c r="O6578" s="36"/>
      <c r="P6578" s="14"/>
      <c r="Q6578" s="14"/>
      <c r="R6578" s="37"/>
      <c r="S6578" s="29"/>
      <c r="T6578" s="28"/>
    </row>
    <row r="6579" spans="15:20" x14ac:dyDescent="0.25">
      <c r="O6579" s="21"/>
      <c r="P6579" s="14"/>
      <c r="Q6579" s="21"/>
      <c r="R6579" s="28"/>
      <c r="S6579" s="29"/>
      <c r="T6579" s="28"/>
    </row>
    <row r="6580" spans="15:20" x14ac:dyDescent="0.25">
      <c r="O6580" s="14"/>
      <c r="P6580" s="14"/>
      <c r="Q6580" s="14"/>
      <c r="R6580" s="14"/>
      <c r="S6580" s="26"/>
      <c r="T6580" s="26"/>
    </row>
    <row r="6581" spans="15:20" ht="13.8" x14ac:dyDescent="0.25">
      <c r="O6581" s="30"/>
      <c r="P6581" s="14"/>
      <c r="Q6581" s="14"/>
      <c r="R6581" s="27"/>
      <c r="S6581" s="26"/>
      <c r="T6581" s="26"/>
    </row>
    <row r="6582" spans="15:20" x14ac:dyDescent="0.25">
      <c r="O6582" s="14"/>
      <c r="P6582" s="14"/>
      <c r="Q6582" s="14"/>
      <c r="R6582" s="14"/>
      <c r="S6582" s="14"/>
      <c r="T6582" s="14"/>
    </row>
    <row r="6583" spans="15:20" x14ac:dyDescent="0.25">
      <c r="O6583" s="21"/>
      <c r="P6583" s="21"/>
      <c r="Q6583" s="21"/>
      <c r="R6583" s="27"/>
      <c r="S6583" s="29"/>
      <c r="T6583" s="29"/>
    </row>
    <row r="6584" spans="15:20" x14ac:dyDescent="0.25">
      <c r="O6584" s="21"/>
      <c r="P6584" s="14"/>
      <c r="Q6584" s="21"/>
      <c r="R6584" s="28"/>
      <c r="S6584" s="29"/>
      <c r="T6584" s="29"/>
    </row>
    <row r="6585" spans="15:20" x14ac:dyDescent="0.25">
      <c r="O6585" s="21"/>
      <c r="P6585" s="14"/>
      <c r="Q6585" s="21"/>
      <c r="R6585" s="28"/>
      <c r="S6585" s="29"/>
      <c r="T6585" s="29"/>
    </row>
    <row r="6586" spans="15:20" ht="14.4" x14ac:dyDescent="0.3">
      <c r="O6586" s="32"/>
      <c r="P6586" s="33"/>
      <c r="Q6586" s="32"/>
      <c r="R6586" s="27"/>
      <c r="S6586" s="29"/>
      <c r="T6586" s="29"/>
    </row>
    <row r="6587" spans="15:20" x14ac:dyDescent="0.25">
      <c r="O6587" s="32"/>
      <c r="P6587" s="21"/>
      <c r="Q6587" s="32"/>
      <c r="R6587" s="27"/>
      <c r="S6587" s="29"/>
      <c r="T6587" s="29"/>
    </row>
    <row r="6588" spans="15:20" x14ac:dyDescent="0.25">
      <c r="O6588" s="32"/>
      <c r="P6588" s="34"/>
      <c r="Q6588" s="32"/>
      <c r="R6588" s="27"/>
      <c r="S6588" s="14"/>
      <c r="T6588" s="29"/>
    </row>
    <row r="6589" spans="15:20" x14ac:dyDescent="0.25">
      <c r="O6589" s="32"/>
      <c r="P6589" s="34"/>
      <c r="Q6589" s="32"/>
      <c r="R6589" s="27"/>
      <c r="S6589" s="14"/>
      <c r="T6589" s="29"/>
    </row>
    <row r="6590" spans="15:20" x14ac:dyDescent="0.25">
      <c r="O6590" s="32"/>
      <c r="P6590" s="34"/>
      <c r="Q6590" s="32"/>
      <c r="R6590" s="27"/>
      <c r="S6590" s="14"/>
      <c r="T6590" s="14"/>
    </row>
    <row r="6591" spans="15:20" x14ac:dyDescent="0.25">
      <c r="O6591" s="32"/>
      <c r="P6591" s="35"/>
      <c r="Q6591" s="32"/>
      <c r="R6591" s="27"/>
      <c r="S6591" s="21"/>
      <c r="T6591" s="14"/>
    </row>
    <row r="6592" spans="15:20" x14ac:dyDescent="0.25">
      <c r="O6592" s="36"/>
      <c r="P6592" s="14"/>
      <c r="Q6592" s="14"/>
      <c r="R6592" s="37"/>
      <c r="S6592" s="29"/>
      <c r="T6592" s="28"/>
    </row>
    <row r="6593" spans="15:20" x14ac:dyDescent="0.25">
      <c r="O6593" s="21"/>
      <c r="P6593" s="14"/>
      <c r="Q6593" s="21"/>
      <c r="R6593" s="28"/>
      <c r="S6593" s="29"/>
      <c r="T6593" s="28"/>
    </row>
    <row r="6594" spans="15:20" x14ac:dyDescent="0.25">
      <c r="O6594" s="14"/>
      <c r="P6594" s="14"/>
      <c r="Q6594" s="14"/>
      <c r="R6594" s="14"/>
      <c r="S6594" s="26"/>
      <c r="T6594" s="26"/>
    </row>
    <row r="6595" spans="15:20" ht="13.8" x14ac:dyDescent="0.25">
      <c r="O6595" s="30"/>
      <c r="P6595" s="14"/>
      <c r="Q6595" s="14"/>
      <c r="R6595" s="27"/>
      <c r="S6595" s="26"/>
      <c r="T6595" s="26"/>
    </row>
    <row r="6596" spans="15:20" x14ac:dyDescent="0.25">
      <c r="O6596" s="14"/>
      <c r="P6596" s="14"/>
      <c r="Q6596" s="14"/>
      <c r="R6596" s="14"/>
      <c r="S6596" s="14"/>
      <c r="T6596" s="14"/>
    </row>
    <row r="6597" spans="15:20" x14ac:dyDescent="0.25">
      <c r="O6597" s="21"/>
      <c r="P6597" s="21"/>
      <c r="Q6597" s="21"/>
      <c r="R6597" s="27"/>
      <c r="S6597" s="29"/>
      <c r="T6597" s="29"/>
    </row>
    <row r="6598" spans="15:20" x14ac:dyDescent="0.25">
      <c r="O6598" s="21"/>
      <c r="P6598" s="14"/>
      <c r="Q6598" s="21"/>
      <c r="R6598" s="28"/>
      <c r="S6598" s="29"/>
      <c r="T6598" s="29"/>
    </row>
    <row r="6599" spans="15:20" x14ac:dyDescent="0.25">
      <c r="O6599" s="21"/>
      <c r="P6599" s="14"/>
      <c r="Q6599" s="21"/>
      <c r="R6599" s="28"/>
      <c r="S6599" s="29"/>
      <c r="T6599" s="29"/>
    </row>
    <row r="6600" spans="15:20" ht="14.4" x14ac:dyDescent="0.3">
      <c r="O6600" s="32"/>
      <c r="P6600" s="33"/>
      <c r="Q6600" s="32"/>
      <c r="R6600" s="27"/>
      <c r="S6600" s="29"/>
      <c r="T6600" s="29"/>
    </row>
    <row r="6601" spans="15:20" x14ac:dyDescent="0.25">
      <c r="O6601" s="32"/>
      <c r="P6601" s="21"/>
      <c r="Q6601" s="32"/>
      <c r="R6601" s="27"/>
      <c r="S6601" s="29"/>
      <c r="T6601" s="29"/>
    </row>
    <row r="6602" spans="15:20" x14ac:dyDescent="0.25">
      <c r="O6602" s="32"/>
      <c r="P6602" s="34"/>
      <c r="Q6602" s="32"/>
      <c r="R6602" s="27"/>
      <c r="S6602" s="14"/>
      <c r="T6602" s="29"/>
    </row>
    <row r="6603" spans="15:20" x14ac:dyDescent="0.25">
      <c r="O6603" s="32"/>
      <c r="P6603" s="34"/>
      <c r="Q6603" s="32"/>
      <c r="R6603" s="27"/>
      <c r="S6603" s="14"/>
      <c r="T6603" s="29"/>
    </row>
    <row r="6604" spans="15:20" x14ac:dyDescent="0.25">
      <c r="O6604" s="32"/>
      <c r="P6604" s="34"/>
      <c r="Q6604" s="32"/>
      <c r="R6604" s="27"/>
      <c r="S6604" s="14"/>
      <c r="T6604" s="14"/>
    </row>
    <row r="6605" spans="15:20" x14ac:dyDescent="0.25">
      <c r="O6605" s="32"/>
      <c r="P6605" s="35"/>
      <c r="Q6605" s="32"/>
      <c r="R6605" s="27"/>
      <c r="S6605" s="21"/>
      <c r="T6605" s="14"/>
    </row>
    <row r="6606" spans="15:20" x14ac:dyDescent="0.25">
      <c r="O6606" s="36"/>
      <c r="P6606" s="14"/>
      <c r="Q6606" s="14"/>
      <c r="R6606" s="37"/>
      <c r="S6606" s="29"/>
      <c r="T6606" s="28"/>
    </row>
    <row r="6607" spans="15:20" x14ac:dyDescent="0.25">
      <c r="O6607" s="21"/>
      <c r="P6607" s="14"/>
      <c r="Q6607" s="21"/>
      <c r="R6607" s="28"/>
      <c r="S6607" s="29"/>
      <c r="T6607" s="28"/>
    </row>
    <row r="6608" spans="15:20" x14ac:dyDescent="0.25">
      <c r="O6608" s="14"/>
      <c r="P6608" s="14"/>
      <c r="Q6608" s="14"/>
      <c r="R6608" s="14"/>
      <c r="S6608" s="26"/>
      <c r="T6608" s="26"/>
    </row>
    <row r="6609" spans="15:20" ht="13.8" x14ac:dyDescent="0.25">
      <c r="O6609" s="30"/>
      <c r="P6609" s="14"/>
      <c r="Q6609" s="14"/>
      <c r="R6609" s="27"/>
      <c r="S6609" s="26"/>
      <c r="T6609" s="26"/>
    </row>
    <row r="6610" spans="15:20" x14ac:dyDescent="0.25">
      <c r="O6610" s="14"/>
      <c r="P6610" s="14"/>
      <c r="Q6610" s="14"/>
      <c r="R6610" s="14"/>
      <c r="S6610" s="14"/>
      <c r="T6610" s="14"/>
    </row>
    <row r="6611" spans="15:20" x14ac:dyDescent="0.25">
      <c r="O6611" s="21"/>
      <c r="P6611" s="21"/>
      <c r="Q6611" s="21"/>
      <c r="R6611" s="27"/>
      <c r="S6611" s="29"/>
      <c r="T6611" s="29"/>
    </row>
    <row r="6612" spans="15:20" x14ac:dyDescent="0.25">
      <c r="O6612" s="21"/>
      <c r="P6612" s="14"/>
      <c r="Q6612" s="21"/>
      <c r="R6612" s="28"/>
      <c r="S6612" s="29"/>
      <c r="T6612" s="29"/>
    </row>
    <row r="6613" spans="15:20" x14ac:dyDescent="0.25">
      <c r="O6613" s="21"/>
      <c r="P6613" s="14"/>
      <c r="Q6613" s="21"/>
      <c r="R6613" s="28"/>
      <c r="S6613" s="29"/>
      <c r="T6613" s="29"/>
    </row>
    <row r="6614" spans="15:20" ht="14.4" x14ac:dyDescent="0.3">
      <c r="O6614" s="32"/>
      <c r="P6614" s="33"/>
      <c r="Q6614" s="32"/>
      <c r="R6614" s="27"/>
      <c r="S6614" s="29"/>
      <c r="T6614" s="29"/>
    </row>
    <row r="6615" spans="15:20" x14ac:dyDescent="0.25">
      <c r="O6615" s="32"/>
      <c r="P6615" s="21"/>
      <c r="Q6615" s="32"/>
      <c r="R6615" s="27"/>
      <c r="S6615" s="29"/>
      <c r="T6615" s="29"/>
    </row>
    <row r="6616" spans="15:20" x14ac:dyDescent="0.25">
      <c r="O6616" s="32"/>
      <c r="P6616" s="34"/>
      <c r="Q6616" s="32"/>
      <c r="R6616" s="27"/>
      <c r="S6616" s="14"/>
      <c r="T6616" s="29"/>
    </row>
    <row r="6617" spans="15:20" x14ac:dyDescent="0.25">
      <c r="O6617" s="32"/>
      <c r="P6617" s="34"/>
      <c r="Q6617" s="32"/>
      <c r="R6617" s="27"/>
      <c r="S6617" s="14"/>
      <c r="T6617" s="29"/>
    </row>
    <row r="6618" spans="15:20" x14ac:dyDescent="0.25">
      <c r="O6618" s="32"/>
      <c r="P6618" s="34"/>
      <c r="Q6618" s="32"/>
      <c r="R6618" s="27"/>
      <c r="S6618" s="14"/>
      <c r="T6618" s="14"/>
    </row>
    <row r="6619" spans="15:20" x14ac:dyDescent="0.25">
      <c r="O6619" s="32"/>
      <c r="P6619" s="35"/>
      <c r="Q6619" s="32"/>
      <c r="R6619" s="27"/>
      <c r="S6619" s="21"/>
      <c r="T6619" s="14"/>
    </row>
    <row r="6620" spans="15:20" x14ac:dyDescent="0.25">
      <c r="O6620" s="36"/>
      <c r="P6620" s="14"/>
      <c r="Q6620" s="14"/>
      <c r="R6620" s="37"/>
      <c r="S6620" s="29"/>
      <c r="T6620" s="28"/>
    </row>
    <row r="6621" spans="15:20" ht="13.8" x14ac:dyDescent="0.25">
      <c r="O6621" s="21"/>
      <c r="P6621" s="21"/>
      <c r="Q6621" s="21"/>
      <c r="R6621" s="24"/>
      <c r="S6621" s="24"/>
      <c r="T6621" s="25"/>
    </row>
    <row r="6622" spans="15:20" x14ac:dyDescent="0.25">
      <c r="O6622" s="14"/>
      <c r="P6622" s="14"/>
      <c r="Q6622" s="14"/>
      <c r="R6622" s="14"/>
      <c r="S6622" s="26"/>
      <c r="T6622" s="26"/>
    </row>
    <row r="6623" spans="15:20" ht="13.8" x14ac:dyDescent="0.25">
      <c r="O6623" s="30"/>
      <c r="P6623" s="14"/>
      <c r="Q6623" s="14"/>
      <c r="R6623" s="27"/>
      <c r="S6623" s="26"/>
      <c r="T6623" s="26"/>
    </row>
    <row r="6624" spans="15:20" x14ac:dyDescent="0.25">
      <c r="O6624" s="14"/>
      <c r="P6624" s="14"/>
      <c r="Q6624" s="14"/>
      <c r="R6624" s="14"/>
      <c r="S6624" s="14"/>
      <c r="T6624" s="14"/>
    </row>
    <row r="6625" spans="15:20" x14ac:dyDescent="0.25">
      <c r="O6625" s="21"/>
      <c r="P6625" s="21"/>
      <c r="Q6625" s="21"/>
      <c r="R6625" s="27"/>
      <c r="S6625" s="29"/>
      <c r="T6625" s="29"/>
    </row>
    <row r="6626" spans="15:20" x14ac:dyDescent="0.25">
      <c r="O6626" s="21"/>
      <c r="P6626" s="14"/>
      <c r="Q6626" s="21"/>
      <c r="R6626" s="28"/>
      <c r="S6626" s="29"/>
      <c r="T6626" s="29"/>
    </row>
    <row r="6627" spans="15:20" x14ac:dyDescent="0.25">
      <c r="O6627" s="21"/>
      <c r="P6627" s="14"/>
      <c r="Q6627" s="21"/>
      <c r="R6627" s="28"/>
      <c r="S6627" s="29"/>
      <c r="T6627" s="29"/>
    </row>
    <row r="6628" spans="15:20" ht="14.4" x14ac:dyDescent="0.3">
      <c r="O6628" s="32"/>
      <c r="P6628" s="33"/>
      <c r="Q6628" s="32"/>
      <c r="R6628" s="27"/>
      <c r="S6628" s="29"/>
      <c r="T6628" s="29"/>
    </row>
    <row r="6629" spans="15:20" x14ac:dyDescent="0.25">
      <c r="O6629" s="32"/>
      <c r="P6629" s="21"/>
      <c r="Q6629" s="32"/>
      <c r="R6629" s="27"/>
      <c r="S6629" s="29"/>
      <c r="T6629" s="29"/>
    </row>
    <row r="6630" spans="15:20" x14ac:dyDescent="0.25">
      <c r="O6630" s="32"/>
      <c r="P6630" s="34"/>
      <c r="Q6630" s="32"/>
      <c r="R6630" s="27"/>
      <c r="S6630" s="14"/>
      <c r="T6630" s="29"/>
    </row>
    <row r="6631" spans="15:20" x14ac:dyDescent="0.25">
      <c r="O6631" s="32"/>
      <c r="P6631" s="34"/>
      <c r="Q6631" s="32"/>
      <c r="R6631" s="27"/>
      <c r="S6631" s="14"/>
      <c r="T6631" s="29"/>
    </row>
    <row r="6632" spans="15:20" x14ac:dyDescent="0.25">
      <c r="O6632" s="32"/>
      <c r="P6632" s="34"/>
      <c r="Q6632" s="32"/>
      <c r="R6632" s="27"/>
      <c r="S6632" s="14"/>
      <c r="T6632" s="14"/>
    </row>
    <row r="6633" spans="15:20" x14ac:dyDescent="0.25">
      <c r="O6633" s="32"/>
      <c r="P6633" s="35"/>
      <c r="Q6633" s="32"/>
      <c r="R6633" s="27"/>
      <c r="S6633" s="21"/>
      <c r="T6633" s="14"/>
    </row>
    <row r="6634" spans="15:20" x14ac:dyDescent="0.25">
      <c r="O6634" s="36"/>
      <c r="P6634" s="14"/>
      <c r="Q6634" s="14"/>
      <c r="R6634" s="37"/>
      <c r="S6634" s="29"/>
      <c r="T6634" s="28"/>
    </row>
    <row r="6635" spans="15:20" x14ac:dyDescent="0.25">
      <c r="O6635" s="21"/>
      <c r="P6635" s="14"/>
      <c r="Q6635" s="21"/>
      <c r="R6635" s="28"/>
      <c r="S6635" s="29"/>
      <c r="T6635" s="28"/>
    </row>
    <row r="6636" spans="15:20" x14ac:dyDescent="0.25">
      <c r="O6636" s="14"/>
      <c r="P6636" s="14"/>
      <c r="Q6636" s="14"/>
      <c r="R6636" s="14"/>
      <c r="S6636" s="26"/>
      <c r="T6636" s="26"/>
    </row>
    <row r="6637" spans="15:20" ht="13.8" x14ac:dyDescent="0.25">
      <c r="O6637" s="30"/>
      <c r="P6637" s="14"/>
      <c r="Q6637" s="14"/>
      <c r="R6637" s="27"/>
      <c r="S6637" s="26"/>
      <c r="T6637" s="26"/>
    </row>
    <row r="6638" spans="15:20" x14ac:dyDescent="0.25">
      <c r="O6638" s="14"/>
      <c r="P6638" s="14"/>
      <c r="Q6638" s="14"/>
      <c r="R6638" s="14"/>
      <c r="S6638" s="14"/>
      <c r="T6638" s="14"/>
    </row>
    <row r="6639" spans="15:20" x14ac:dyDescent="0.25">
      <c r="O6639" s="21"/>
      <c r="P6639" s="21"/>
      <c r="Q6639" s="21"/>
      <c r="R6639" s="27"/>
      <c r="S6639" s="29"/>
      <c r="T6639" s="29"/>
    </row>
    <row r="6640" spans="15:20" x14ac:dyDescent="0.25">
      <c r="O6640" s="21"/>
      <c r="P6640" s="14"/>
      <c r="Q6640" s="21"/>
      <c r="R6640" s="28"/>
      <c r="S6640" s="29"/>
      <c r="T6640" s="29"/>
    </row>
    <row r="6641" spans="15:20" x14ac:dyDescent="0.25">
      <c r="O6641" s="21"/>
      <c r="P6641" s="14"/>
      <c r="Q6641" s="21"/>
      <c r="R6641" s="28"/>
      <c r="S6641" s="29"/>
      <c r="T6641" s="29"/>
    </row>
    <row r="6642" spans="15:20" ht="14.4" x14ac:dyDescent="0.3">
      <c r="O6642" s="32"/>
      <c r="P6642" s="33"/>
      <c r="Q6642" s="32"/>
      <c r="R6642" s="27"/>
      <c r="S6642" s="29"/>
      <c r="T6642" s="29"/>
    </row>
    <row r="6643" spans="15:20" x14ac:dyDescent="0.25">
      <c r="O6643" s="32"/>
      <c r="P6643" s="21"/>
      <c r="Q6643" s="32"/>
      <c r="R6643" s="27"/>
      <c r="S6643" s="29"/>
      <c r="T6643" s="29"/>
    </row>
    <row r="6644" spans="15:20" x14ac:dyDescent="0.25">
      <c r="O6644" s="32"/>
      <c r="P6644" s="34"/>
      <c r="Q6644" s="32"/>
      <c r="R6644" s="27"/>
      <c r="S6644" s="14"/>
      <c r="T6644" s="29"/>
    </row>
    <row r="6645" spans="15:20" x14ac:dyDescent="0.25">
      <c r="O6645" s="32"/>
      <c r="P6645" s="34"/>
      <c r="Q6645" s="32"/>
      <c r="R6645" s="27"/>
      <c r="S6645" s="14"/>
      <c r="T6645" s="29"/>
    </row>
    <row r="6646" spans="15:20" x14ac:dyDescent="0.25">
      <c r="O6646" s="32"/>
      <c r="P6646" s="34"/>
      <c r="Q6646" s="32"/>
      <c r="R6646" s="27"/>
      <c r="S6646" s="14"/>
      <c r="T6646" s="14"/>
    </row>
    <row r="6647" spans="15:20" x14ac:dyDescent="0.25">
      <c r="O6647" s="32"/>
      <c r="P6647" s="35"/>
      <c r="Q6647" s="32"/>
      <c r="R6647" s="27"/>
      <c r="S6647" s="21"/>
      <c r="T6647" s="14"/>
    </row>
    <row r="6648" spans="15:20" x14ac:dyDescent="0.25">
      <c r="O6648" s="36"/>
      <c r="P6648" s="14"/>
      <c r="Q6648" s="14"/>
      <c r="R6648" s="37"/>
      <c r="S6648" s="29"/>
      <c r="T6648" s="28"/>
    </row>
    <row r="6649" spans="15:20" x14ac:dyDescent="0.25">
      <c r="O6649" s="21"/>
      <c r="P6649" s="14"/>
      <c r="Q6649" s="21"/>
      <c r="R6649" s="28"/>
      <c r="S6649" s="29"/>
      <c r="T6649" s="28"/>
    </row>
    <row r="6650" spans="15:20" x14ac:dyDescent="0.25">
      <c r="O6650" s="14"/>
      <c r="P6650" s="14"/>
      <c r="Q6650" s="14"/>
      <c r="R6650" s="14"/>
      <c r="S6650" s="26"/>
      <c r="T6650" s="26"/>
    </row>
    <row r="6651" spans="15:20" ht="13.8" x14ac:dyDescent="0.25">
      <c r="O6651" s="30"/>
      <c r="P6651" s="14"/>
      <c r="Q6651" s="14"/>
      <c r="R6651" s="27"/>
      <c r="S6651" s="26"/>
      <c r="T6651" s="26"/>
    </row>
    <row r="6652" spans="15:20" x14ac:dyDescent="0.25">
      <c r="O6652" s="14"/>
      <c r="P6652" s="14"/>
      <c r="Q6652" s="14"/>
      <c r="R6652" s="14"/>
      <c r="S6652" s="14"/>
      <c r="T6652" s="14"/>
    </row>
    <row r="6653" spans="15:20" x14ac:dyDescent="0.25">
      <c r="O6653" s="21"/>
      <c r="P6653" s="21"/>
      <c r="Q6653" s="21"/>
      <c r="R6653" s="27"/>
      <c r="S6653" s="29"/>
      <c r="T6653" s="29"/>
    </row>
    <row r="6654" spans="15:20" x14ac:dyDescent="0.25">
      <c r="O6654" s="21"/>
      <c r="P6654" s="14"/>
      <c r="Q6654" s="21"/>
      <c r="R6654" s="28"/>
      <c r="S6654" s="29"/>
      <c r="T6654" s="29"/>
    </row>
    <row r="6655" spans="15:20" x14ac:dyDescent="0.25">
      <c r="O6655" s="21"/>
      <c r="P6655" s="14"/>
      <c r="Q6655" s="21"/>
      <c r="R6655" s="28"/>
      <c r="S6655" s="29"/>
      <c r="T6655" s="29"/>
    </row>
    <row r="6656" spans="15:20" ht="14.4" x14ac:dyDescent="0.3">
      <c r="O6656" s="32"/>
      <c r="P6656" s="33"/>
      <c r="Q6656" s="32"/>
      <c r="R6656" s="27"/>
      <c r="S6656" s="29"/>
      <c r="T6656" s="29"/>
    </row>
    <row r="6657" spans="15:20" x14ac:dyDescent="0.25">
      <c r="O6657" s="32"/>
      <c r="P6657" s="21"/>
      <c r="Q6657" s="32"/>
      <c r="R6657" s="27"/>
      <c r="S6657" s="29"/>
      <c r="T6657" s="29"/>
    </row>
    <row r="6658" spans="15:20" x14ac:dyDescent="0.25">
      <c r="O6658" s="32"/>
      <c r="P6658" s="34"/>
      <c r="Q6658" s="32"/>
      <c r="R6658" s="27"/>
      <c r="S6658" s="14"/>
      <c r="T6658" s="29"/>
    </row>
    <row r="6659" spans="15:20" x14ac:dyDescent="0.25">
      <c r="O6659" s="32"/>
      <c r="P6659" s="34"/>
      <c r="Q6659" s="32"/>
      <c r="R6659" s="27"/>
      <c r="S6659" s="14"/>
      <c r="T6659" s="29"/>
    </row>
    <row r="6660" spans="15:20" x14ac:dyDescent="0.25">
      <c r="O6660" s="32"/>
      <c r="P6660" s="34"/>
      <c r="Q6660" s="32"/>
      <c r="R6660" s="27"/>
      <c r="S6660" s="14"/>
      <c r="T6660" s="14"/>
    </row>
    <row r="6661" spans="15:20" x14ac:dyDescent="0.25">
      <c r="O6661" s="32"/>
      <c r="P6661" s="35"/>
      <c r="Q6661" s="32"/>
      <c r="R6661" s="27"/>
      <c r="S6661" s="21"/>
      <c r="T6661" s="14"/>
    </row>
    <row r="6662" spans="15:20" x14ac:dyDescent="0.25">
      <c r="O6662" s="36"/>
      <c r="P6662" s="14"/>
      <c r="Q6662" s="14"/>
      <c r="R6662" s="37"/>
      <c r="S6662" s="29"/>
      <c r="T6662" s="28"/>
    </row>
    <row r="6663" spans="15:20" x14ac:dyDescent="0.25">
      <c r="O6663" s="21"/>
      <c r="P6663" s="14"/>
      <c r="Q6663" s="21"/>
      <c r="R6663" s="28"/>
      <c r="S6663" s="29"/>
      <c r="T6663" s="28"/>
    </row>
    <row r="6664" spans="15:20" x14ac:dyDescent="0.25">
      <c r="O6664" s="14"/>
      <c r="P6664" s="14"/>
      <c r="Q6664" s="14"/>
      <c r="R6664" s="14"/>
      <c r="S6664" s="26"/>
      <c r="T6664" s="26"/>
    </row>
    <row r="6665" spans="15:20" ht="13.8" x14ac:dyDescent="0.25">
      <c r="O6665" s="30"/>
      <c r="P6665" s="14"/>
      <c r="Q6665" s="14"/>
      <c r="R6665" s="27"/>
      <c r="S6665" s="26"/>
      <c r="T6665" s="26"/>
    </row>
    <row r="6666" spans="15:20" x14ac:dyDescent="0.25">
      <c r="O6666" s="14"/>
      <c r="P6666" s="14"/>
      <c r="Q6666" s="14"/>
      <c r="R6666" s="14"/>
      <c r="S6666" s="14"/>
      <c r="T6666" s="14"/>
    </row>
    <row r="6667" spans="15:20" x14ac:dyDescent="0.25">
      <c r="O6667" s="21"/>
      <c r="P6667" s="21"/>
      <c r="Q6667" s="21"/>
      <c r="R6667" s="27"/>
      <c r="S6667" s="29"/>
      <c r="T6667" s="29"/>
    </row>
    <row r="6668" spans="15:20" x14ac:dyDescent="0.25">
      <c r="O6668" s="21"/>
      <c r="P6668" s="14"/>
      <c r="Q6668" s="21"/>
      <c r="R6668" s="28"/>
      <c r="S6668" s="29"/>
      <c r="T6668" s="29"/>
    </row>
    <row r="6669" spans="15:20" x14ac:dyDescent="0.25">
      <c r="O6669" s="21"/>
      <c r="P6669" s="14"/>
      <c r="Q6669" s="21"/>
      <c r="R6669" s="28"/>
      <c r="S6669" s="29"/>
      <c r="T6669" s="29"/>
    </row>
    <row r="6670" spans="15:20" ht="14.4" x14ac:dyDescent="0.3">
      <c r="O6670" s="32"/>
      <c r="P6670" s="33"/>
      <c r="Q6670" s="32"/>
      <c r="R6670" s="27"/>
      <c r="S6670" s="29"/>
      <c r="T6670" s="29"/>
    </row>
    <row r="6671" spans="15:20" x14ac:dyDescent="0.25">
      <c r="O6671" s="32"/>
      <c r="P6671" s="21"/>
      <c r="Q6671" s="32"/>
      <c r="R6671" s="27"/>
      <c r="S6671" s="29"/>
      <c r="T6671" s="29"/>
    </row>
    <row r="6672" spans="15:20" x14ac:dyDescent="0.25">
      <c r="O6672" s="32"/>
      <c r="P6672" s="34"/>
      <c r="Q6672" s="32"/>
      <c r="R6672" s="27"/>
      <c r="S6672" s="14"/>
      <c r="T6672" s="29"/>
    </row>
    <row r="6673" spans="15:20" x14ac:dyDescent="0.25">
      <c r="O6673" s="32"/>
      <c r="P6673" s="34"/>
      <c r="Q6673" s="32"/>
      <c r="R6673" s="27"/>
      <c r="S6673" s="14"/>
      <c r="T6673" s="29"/>
    </row>
    <row r="6674" spans="15:20" x14ac:dyDescent="0.25">
      <c r="O6674" s="32"/>
      <c r="P6674" s="34"/>
      <c r="Q6674" s="32"/>
      <c r="R6674" s="27"/>
      <c r="S6674" s="14"/>
      <c r="T6674" s="14"/>
    </row>
    <row r="6675" spans="15:20" x14ac:dyDescent="0.25">
      <c r="O6675" s="32"/>
      <c r="P6675" s="35"/>
      <c r="Q6675" s="32"/>
      <c r="R6675" s="27"/>
      <c r="S6675" s="21"/>
      <c r="T6675" s="14"/>
    </row>
    <row r="6676" spans="15:20" x14ac:dyDescent="0.25">
      <c r="O6676" s="36"/>
      <c r="P6676" s="14"/>
      <c r="Q6676" s="14"/>
      <c r="R6676" s="37"/>
      <c r="S6676" s="29"/>
      <c r="T6676" s="28"/>
    </row>
    <row r="6677" spans="15:20" x14ac:dyDescent="0.25">
      <c r="O6677" s="21"/>
      <c r="P6677" s="14"/>
      <c r="Q6677" s="21"/>
      <c r="R6677" s="28"/>
      <c r="S6677" s="29"/>
      <c r="T6677" s="28"/>
    </row>
    <row r="6678" spans="15:20" x14ac:dyDescent="0.25">
      <c r="O6678" s="14"/>
      <c r="P6678" s="14"/>
      <c r="Q6678" s="14"/>
      <c r="R6678" s="14"/>
      <c r="S6678" s="26"/>
      <c r="T6678" s="26"/>
    </row>
    <row r="6679" spans="15:20" ht="13.8" x14ac:dyDescent="0.25">
      <c r="O6679" s="30"/>
      <c r="P6679" s="14"/>
      <c r="Q6679" s="14"/>
      <c r="R6679" s="27"/>
      <c r="S6679" s="26"/>
      <c r="T6679" s="26"/>
    </row>
    <row r="6680" spans="15:20" x14ac:dyDescent="0.25">
      <c r="O6680" s="14"/>
      <c r="P6680" s="14"/>
      <c r="Q6680" s="14"/>
      <c r="R6680" s="14"/>
      <c r="S6680" s="14"/>
      <c r="T6680" s="14"/>
    </row>
    <row r="6681" spans="15:20" x14ac:dyDescent="0.25">
      <c r="O6681" s="21"/>
      <c r="P6681" s="21"/>
      <c r="Q6681" s="21"/>
      <c r="R6681" s="27"/>
      <c r="S6681" s="29"/>
      <c r="T6681" s="29"/>
    </row>
    <row r="6682" spans="15:20" x14ac:dyDescent="0.25">
      <c r="O6682" s="21"/>
      <c r="P6682" s="14"/>
      <c r="Q6682" s="21"/>
      <c r="R6682" s="28"/>
      <c r="S6682" s="29"/>
      <c r="T6682" s="29"/>
    </row>
    <row r="6683" spans="15:20" x14ac:dyDescent="0.25">
      <c r="O6683" s="21"/>
      <c r="P6683" s="14"/>
      <c r="Q6683" s="21"/>
      <c r="R6683" s="28"/>
      <c r="S6683" s="29"/>
      <c r="T6683" s="29"/>
    </row>
    <row r="6684" spans="15:20" ht="14.4" x14ac:dyDescent="0.3">
      <c r="O6684" s="32"/>
      <c r="P6684" s="33"/>
      <c r="Q6684" s="32"/>
      <c r="R6684" s="27"/>
      <c r="S6684" s="29"/>
      <c r="T6684" s="29"/>
    </row>
    <row r="6685" spans="15:20" x14ac:dyDescent="0.25">
      <c r="O6685" s="32"/>
      <c r="P6685" s="21"/>
      <c r="Q6685" s="32"/>
      <c r="R6685" s="27"/>
      <c r="S6685" s="29"/>
      <c r="T6685" s="29"/>
    </row>
    <row r="6686" spans="15:20" x14ac:dyDescent="0.25">
      <c r="O6686" s="32"/>
      <c r="P6686" s="34"/>
      <c r="Q6686" s="32"/>
      <c r="R6686" s="27"/>
      <c r="S6686" s="14"/>
      <c r="T6686" s="29"/>
    </row>
    <row r="6687" spans="15:20" x14ac:dyDescent="0.25">
      <c r="O6687" s="32"/>
      <c r="P6687" s="34"/>
      <c r="Q6687" s="32"/>
      <c r="R6687" s="27"/>
      <c r="S6687" s="14"/>
      <c r="T6687" s="29"/>
    </row>
    <row r="6688" spans="15:20" x14ac:dyDescent="0.25">
      <c r="O6688" s="32"/>
      <c r="P6688" s="34"/>
      <c r="Q6688" s="32"/>
      <c r="R6688" s="27"/>
      <c r="S6688" s="14"/>
      <c r="T6688" s="14"/>
    </row>
    <row r="6689" spans="15:20" x14ac:dyDescent="0.25">
      <c r="O6689" s="32"/>
      <c r="P6689" s="35"/>
      <c r="Q6689" s="32"/>
      <c r="R6689" s="27"/>
      <c r="S6689" s="21"/>
      <c r="T6689" s="14"/>
    </row>
    <row r="6690" spans="15:20" x14ac:dyDescent="0.25">
      <c r="O6690" s="36"/>
      <c r="P6690" s="14"/>
      <c r="Q6690" s="14"/>
      <c r="R6690" s="37"/>
      <c r="S6690" s="29"/>
      <c r="T6690" s="28"/>
    </row>
    <row r="6691" spans="15:20" x14ac:dyDescent="0.25">
      <c r="O6691" s="21"/>
      <c r="P6691" s="14"/>
      <c r="Q6691" s="21"/>
      <c r="R6691" s="28"/>
      <c r="S6691" s="29"/>
      <c r="T6691" s="28"/>
    </row>
    <row r="6692" spans="15:20" x14ac:dyDescent="0.25">
      <c r="O6692" s="14"/>
      <c r="P6692" s="14"/>
      <c r="Q6692" s="14"/>
      <c r="R6692" s="14"/>
      <c r="S6692" s="26"/>
      <c r="T6692" s="26"/>
    </row>
    <row r="6693" spans="15:20" ht="13.8" x14ac:dyDescent="0.25">
      <c r="O6693" s="30"/>
      <c r="P6693" s="14"/>
      <c r="Q6693" s="14"/>
      <c r="R6693" s="27"/>
      <c r="S6693" s="26"/>
      <c r="T6693" s="26"/>
    </row>
    <row r="6694" spans="15:20" x14ac:dyDescent="0.25">
      <c r="O6694" s="14"/>
      <c r="P6694" s="14"/>
      <c r="Q6694" s="14"/>
      <c r="R6694" s="14"/>
      <c r="S6694" s="14"/>
      <c r="T6694" s="14"/>
    </row>
    <row r="6695" spans="15:20" x14ac:dyDescent="0.25">
      <c r="O6695" s="21"/>
      <c r="P6695" s="21"/>
      <c r="Q6695" s="21"/>
      <c r="R6695" s="27"/>
      <c r="S6695" s="29"/>
      <c r="T6695" s="29"/>
    </row>
    <row r="6696" spans="15:20" x14ac:dyDescent="0.25">
      <c r="O6696" s="21"/>
      <c r="P6696" s="14"/>
      <c r="Q6696" s="21"/>
      <c r="R6696" s="28"/>
      <c r="S6696" s="29"/>
      <c r="T6696" s="29"/>
    </row>
    <row r="6697" spans="15:20" x14ac:dyDescent="0.25">
      <c r="O6697" s="21"/>
      <c r="P6697" s="14"/>
      <c r="Q6697" s="21"/>
      <c r="R6697" s="28"/>
      <c r="S6697" s="29"/>
      <c r="T6697" s="29"/>
    </row>
    <row r="6698" spans="15:20" ht="14.4" x14ac:dyDescent="0.3">
      <c r="O6698" s="32"/>
      <c r="P6698" s="33"/>
      <c r="Q6698" s="32"/>
      <c r="R6698" s="27"/>
      <c r="S6698" s="29"/>
      <c r="T6698" s="29"/>
    </row>
    <row r="6699" spans="15:20" x14ac:dyDescent="0.25">
      <c r="O6699" s="32"/>
      <c r="P6699" s="21"/>
      <c r="Q6699" s="32"/>
      <c r="R6699" s="27"/>
      <c r="S6699" s="29"/>
      <c r="T6699" s="29"/>
    </row>
    <row r="6700" spans="15:20" x14ac:dyDescent="0.25">
      <c r="O6700" s="32"/>
      <c r="P6700" s="34"/>
      <c r="Q6700" s="32"/>
      <c r="R6700" s="27"/>
      <c r="S6700" s="14"/>
      <c r="T6700" s="29"/>
    </row>
    <row r="6701" spans="15:20" x14ac:dyDescent="0.25">
      <c r="O6701" s="32"/>
      <c r="P6701" s="34"/>
      <c r="Q6701" s="32"/>
      <c r="R6701" s="27"/>
      <c r="S6701" s="14"/>
      <c r="T6701" s="29"/>
    </row>
    <row r="6702" spans="15:20" x14ac:dyDescent="0.25">
      <c r="O6702" s="32"/>
      <c r="P6702" s="34"/>
      <c r="Q6702" s="32"/>
      <c r="R6702" s="27"/>
      <c r="S6702" s="14"/>
      <c r="T6702" s="14"/>
    </row>
    <row r="6703" spans="15:20" x14ac:dyDescent="0.25">
      <c r="O6703" s="32"/>
      <c r="P6703" s="35"/>
      <c r="Q6703" s="32"/>
      <c r="R6703" s="27"/>
      <c r="S6703" s="21"/>
      <c r="T6703" s="14"/>
    </row>
    <row r="6704" spans="15:20" x14ac:dyDescent="0.25">
      <c r="O6704" s="36"/>
      <c r="P6704" s="14"/>
      <c r="Q6704" s="14"/>
      <c r="R6704" s="37"/>
      <c r="S6704" s="29"/>
      <c r="T6704" s="28"/>
    </row>
    <row r="6705" spans="15:20" x14ac:dyDescent="0.25">
      <c r="O6705" s="21"/>
      <c r="P6705" s="14"/>
      <c r="Q6705" s="21"/>
      <c r="R6705" s="28"/>
      <c r="S6705" s="29"/>
      <c r="T6705" s="28"/>
    </row>
    <row r="6706" spans="15:20" x14ac:dyDescent="0.25">
      <c r="O6706" s="14"/>
      <c r="P6706" s="14"/>
      <c r="Q6706" s="14"/>
      <c r="R6706" s="14"/>
      <c r="S6706" s="26"/>
      <c r="T6706" s="26"/>
    </row>
    <row r="6707" spans="15:20" ht="13.8" x14ac:dyDescent="0.25">
      <c r="O6707" s="30"/>
      <c r="P6707" s="14"/>
      <c r="Q6707" s="14"/>
      <c r="R6707" s="27"/>
      <c r="S6707" s="26"/>
      <c r="T6707" s="26"/>
    </row>
    <row r="6708" spans="15:20" x14ac:dyDescent="0.25">
      <c r="O6708" s="14"/>
      <c r="P6708" s="14"/>
      <c r="Q6708" s="14"/>
      <c r="R6708" s="14"/>
      <c r="S6708" s="14"/>
      <c r="T6708" s="14"/>
    </row>
    <row r="6709" spans="15:20" x14ac:dyDescent="0.25">
      <c r="O6709" s="21"/>
      <c r="P6709" s="21"/>
      <c r="Q6709" s="21"/>
      <c r="R6709" s="27"/>
      <c r="S6709" s="29"/>
      <c r="T6709" s="29"/>
    </row>
    <row r="6710" spans="15:20" x14ac:dyDescent="0.25">
      <c r="O6710" s="21"/>
      <c r="P6710" s="14"/>
      <c r="Q6710" s="21"/>
      <c r="R6710" s="28"/>
      <c r="S6710" s="29"/>
      <c r="T6710" s="29"/>
    </row>
    <row r="6711" spans="15:20" x14ac:dyDescent="0.25">
      <c r="O6711" s="21"/>
      <c r="P6711" s="14"/>
      <c r="Q6711" s="21"/>
      <c r="R6711" s="28"/>
      <c r="S6711" s="29"/>
      <c r="T6711" s="29"/>
    </row>
    <row r="6712" spans="15:20" ht="14.4" x14ac:dyDescent="0.3">
      <c r="O6712" s="32"/>
      <c r="P6712" s="33"/>
      <c r="Q6712" s="32"/>
      <c r="R6712" s="27"/>
      <c r="S6712" s="29"/>
      <c r="T6712" s="29"/>
    </row>
    <row r="6713" spans="15:20" x14ac:dyDescent="0.25">
      <c r="O6713" s="32"/>
      <c r="P6713" s="21"/>
      <c r="Q6713" s="32"/>
      <c r="R6713" s="27"/>
      <c r="S6713" s="29"/>
      <c r="T6713" s="29"/>
    </row>
    <row r="6714" spans="15:20" x14ac:dyDescent="0.25">
      <c r="O6714" s="32"/>
      <c r="P6714" s="34"/>
      <c r="Q6714" s="32"/>
      <c r="R6714" s="27"/>
      <c r="S6714" s="14"/>
      <c r="T6714" s="29"/>
    </row>
    <row r="6715" spans="15:20" x14ac:dyDescent="0.25">
      <c r="O6715" s="32"/>
      <c r="P6715" s="34"/>
      <c r="Q6715" s="32"/>
      <c r="R6715" s="27"/>
      <c r="S6715" s="14"/>
      <c r="T6715" s="29"/>
    </row>
    <row r="6716" spans="15:20" x14ac:dyDescent="0.25">
      <c r="O6716" s="32"/>
      <c r="P6716" s="34"/>
      <c r="Q6716" s="32"/>
      <c r="R6716" s="27"/>
      <c r="S6716" s="14"/>
      <c r="T6716" s="14"/>
    </row>
    <row r="6717" spans="15:20" x14ac:dyDescent="0.25">
      <c r="O6717" s="32"/>
      <c r="P6717" s="35"/>
      <c r="Q6717" s="32"/>
      <c r="R6717" s="27"/>
      <c r="S6717" s="21"/>
      <c r="T6717" s="14"/>
    </row>
    <row r="6718" spans="15:20" x14ac:dyDescent="0.25">
      <c r="O6718" s="36"/>
      <c r="P6718" s="14"/>
      <c r="Q6718" s="14"/>
      <c r="R6718" s="37"/>
      <c r="S6718" s="29"/>
      <c r="T6718" s="28"/>
    </row>
    <row r="6719" spans="15:20" x14ac:dyDescent="0.25">
      <c r="O6719" s="21"/>
      <c r="P6719" s="14"/>
      <c r="Q6719" s="21"/>
      <c r="R6719" s="28"/>
      <c r="S6719" s="29"/>
      <c r="T6719" s="28"/>
    </row>
    <row r="6720" spans="15:20" x14ac:dyDescent="0.25">
      <c r="O6720" s="14"/>
      <c r="P6720" s="14"/>
      <c r="Q6720" s="14"/>
      <c r="R6720" s="14"/>
      <c r="S6720" s="26"/>
      <c r="T6720" s="26"/>
    </row>
    <row r="6721" spans="15:20" ht="13.8" x14ac:dyDescent="0.25">
      <c r="O6721" s="30"/>
      <c r="P6721" s="14"/>
      <c r="Q6721" s="14"/>
      <c r="R6721" s="27"/>
      <c r="S6721" s="26"/>
      <c r="T6721" s="26"/>
    </row>
    <row r="6722" spans="15:20" x14ac:dyDescent="0.25">
      <c r="O6722" s="14"/>
      <c r="P6722" s="14"/>
      <c r="Q6722" s="14"/>
      <c r="R6722" s="14"/>
      <c r="S6722" s="14"/>
      <c r="T6722" s="14"/>
    </row>
    <row r="6723" spans="15:20" x14ac:dyDescent="0.25">
      <c r="O6723" s="21"/>
      <c r="P6723" s="21"/>
      <c r="Q6723" s="21"/>
      <c r="R6723" s="27"/>
      <c r="S6723" s="29"/>
      <c r="T6723" s="29"/>
    </row>
    <row r="6724" spans="15:20" x14ac:dyDescent="0.25">
      <c r="O6724" s="21"/>
      <c r="P6724" s="14"/>
      <c r="Q6724" s="21"/>
      <c r="R6724" s="28"/>
      <c r="S6724" s="29"/>
      <c r="T6724" s="29"/>
    </row>
    <row r="6725" spans="15:20" x14ac:dyDescent="0.25">
      <c r="O6725" s="21"/>
      <c r="P6725" s="14"/>
      <c r="Q6725" s="21"/>
      <c r="R6725" s="28"/>
      <c r="S6725" s="29"/>
      <c r="T6725" s="29"/>
    </row>
    <row r="6726" spans="15:20" ht="14.4" x14ac:dyDescent="0.3">
      <c r="O6726" s="32"/>
      <c r="P6726" s="33"/>
      <c r="Q6726" s="32"/>
      <c r="R6726" s="27"/>
      <c r="S6726" s="29"/>
      <c r="T6726" s="29"/>
    </row>
    <row r="6727" spans="15:20" x14ac:dyDescent="0.25">
      <c r="O6727" s="32"/>
      <c r="P6727" s="21"/>
      <c r="Q6727" s="32"/>
      <c r="R6727" s="27"/>
      <c r="S6727" s="29"/>
      <c r="T6727" s="29"/>
    </row>
    <row r="6728" spans="15:20" x14ac:dyDescent="0.25">
      <c r="O6728" s="32"/>
      <c r="P6728" s="34"/>
      <c r="Q6728" s="32"/>
      <c r="R6728" s="27"/>
      <c r="S6728" s="14"/>
      <c r="T6728" s="29"/>
    </row>
    <row r="6729" spans="15:20" x14ac:dyDescent="0.25">
      <c r="O6729" s="32"/>
      <c r="P6729" s="34"/>
      <c r="Q6729" s="32"/>
      <c r="R6729" s="27"/>
      <c r="S6729" s="14"/>
      <c r="T6729" s="29"/>
    </row>
    <row r="6730" spans="15:20" x14ac:dyDescent="0.25">
      <c r="O6730" s="32"/>
      <c r="P6730" s="34"/>
      <c r="Q6730" s="32"/>
      <c r="R6730" s="27"/>
      <c r="S6730" s="14"/>
      <c r="T6730" s="14"/>
    </row>
    <row r="6731" spans="15:20" x14ac:dyDescent="0.25">
      <c r="O6731" s="32"/>
      <c r="P6731" s="35"/>
      <c r="Q6731" s="32"/>
      <c r="R6731" s="27"/>
      <c r="S6731" s="21"/>
      <c r="T6731" s="14"/>
    </row>
    <row r="6732" spans="15:20" x14ac:dyDescent="0.25">
      <c r="O6732" s="36"/>
      <c r="P6732" s="14"/>
      <c r="Q6732" s="14"/>
      <c r="R6732" s="37"/>
      <c r="S6732" s="29"/>
      <c r="T6732" s="28"/>
    </row>
    <row r="6733" spans="15:20" x14ac:dyDescent="0.25">
      <c r="O6733" s="21"/>
      <c r="P6733" s="14"/>
      <c r="Q6733" s="21"/>
      <c r="R6733" s="28"/>
      <c r="S6733" s="29"/>
      <c r="T6733" s="28"/>
    </row>
    <row r="6734" spans="15:20" x14ac:dyDescent="0.25">
      <c r="O6734" s="14"/>
      <c r="P6734" s="14"/>
      <c r="Q6734" s="14"/>
      <c r="R6734" s="14"/>
      <c r="S6734" s="26"/>
      <c r="T6734" s="26"/>
    </row>
    <row r="6735" spans="15:20" ht="13.8" x14ac:dyDescent="0.25">
      <c r="O6735" s="30"/>
      <c r="P6735" s="14"/>
      <c r="Q6735" s="14"/>
      <c r="R6735" s="27"/>
      <c r="S6735" s="26"/>
      <c r="T6735" s="26"/>
    </row>
    <row r="6736" spans="15:20" x14ac:dyDescent="0.25">
      <c r="O6736" s="14"/>
      <c r="P6736" s="14"/>
      <c r="Q6736" s="14"/>
      <c r="R6736" s="14"/>
      <c r="S6736" s="14"/>
      <c r="T6736" s="14"/>
    </row>
    <row r="6737" spans="15:20" x14ac:dyDescent="0.25">
      <c r="O6737" s="21"/>
      <c r="P6737" s="21"/>
      <c r="Q6737" s="21"/>
      <c r="R6737" s="27"/>
      <c r="S6737" s="29"/>
      <c r="T6737" s="29"/>
    </row>
    <row r="6738" spans="15:20" x14ac:dyDescent="0.25">
      <c r="O6738" s="21"/>
      <c r="P6738" s="14"/>
      <c r="Q6738" s="21"/>
      <c r="R6738" s="28"/>
      <c r="S6738" s="29"/>
      <c r="T6738" s="29"/>
    </row>
    <row r="6739" spans="15:20" x14ac:dyDescent="0.25">
      <c r="O6739" s="21"/>
      <c r="P6739" s="14"/>
      <c r="Q6739" s="21"/>
      <c r="R6739" s="28"/>
      <c r="S6739" s="29"/>
      <c r="T6739" s="29"/>
    </row>
    <row r="6740" spans="15:20" ht="14.4" x14ac:dyDescent="0.3">
      <c r="O6740" s="32"/>
      <c r="P6740" s="33"/>
      <c r="Q6740" s="32"/>
      <c r="R6740" s="27"/>
      <c r="S6740" s="29"/>
      <c r="T6740" s="29"/>
    </row>
    <row r="6741" spans="15:20" x14ac:dyDescent="0.25">
      <c r="O6741" s="32"/>
      <c r="P6741" s="21"/>
      <c r="Q6741" s="32"/>
      <c r="R6741" s="27"/>
      <c r="S6741" s="29"/>
      <c r="T6741" s="29"/>
    </row>
    <row r="6742" spans="15:20" x14ac:dyDescent="0.25">
      <c r="O6742" s="32"/>
      <c r="P6742" s="34"/>
      <c r="Q6742" s="32"/>
      <c r="R6742" s="27"/>
      <c r="S6742" s="14"/>
      <c r="T6742" s="29"/>
    </row>
    <row r="6743" spans="15:20" x14ac:dyDescent="0.25">
      <c r="O6743" s="32"/>
      <c r="P6743" s="34"/>
      <c r="Q6743" s="32"/>
      <c r="R6743" s="27"/>
      <c r="S6743" s="14"/>
      <c r="T6743" s="29"/>
    </row>
    <row r="6744" spans="15:20" x14ac:dyDescent="0.25">
      <c r="O6744" s="32"/>
      <c r="P6744" s="34"/>
      <c r="Q6744" s="32"/>
      <c r="R6744" s="27"/>
      <c r="S6744" s="14"/>
      <c r="T6744" s="14"/>
    </row>
    <row r="6745" spans="15:20" x14ac:dyDescent="0.25">
      <c r="O6745" s="32"/>
      <c r="P6745" s="35"/>
      <c r="Q6745" s="32"/>
      <c r="R6745" s="27"/>
      <c r="S6745" s="21"/>
      <c r="T6745" s="14"/>
    </row>
    <row r="6746" spans="15:20" x14ac:dyDescent="0.25">
      <c r="O6746" s="36"/>
      <c r="P6746" s="14"/>
      <c r="Q6746" s="14"/>
      <c r="R6746" s="37"/>
      <c r="S6746" s="29"/>
      <c r="T6746" s="28"/>
    </row>
    <row r="6747" spans="15:20" x14ac:dyDescent="0.25">
      <c r="O6747" s="21"/>
      <c r="P6747" s="14"/>
      <c r="Q6747" s="21"/>
      <c r="R6747" s="28"/>
      <c r="S6747" s="29"/>
      <c r="T6747" s="28"/>
    </row>
    <row r="6748" spans="15:20" x14ac:dyDescent="0.25">
      <c r="O6748" s="14"/>
      <c r="P6748" s="14"/>
      <c r="Q6748" s="14"/>
      <c r="R6748" s="14"/>
      <c r="S6748" s="26"/>
      <c r="T6748" s="26"/>
    </row>
    <row r="6749" spans="15:20" ht="13.8" x14ac:dyDescent="0.25">
      <c r="O6749" s="30"/>
      <c r="P6749" s="14"/>
      <c r="Q6749" s="14"/>
      <c r="R6749" s="27"/>
      <c r="S6749" s="26"/>
      <c r="T6749" s="26"/>
    </row>
    <row r="6750" spans="15:20" x14ac:dyDescent="0.25">
      <c r="O6750" s="14"/>
      <c r="P6750" s="14"/>
      <c r="Q6750" s="14"/>
      <c r="R6750" s="14"/>
      <c r="S6750" s="14"/>
      <c r="T6750" s="14"/>
    </row>
    <row r="6751" spans="15:20" x14ac:dyDescent="0.25">
      <c r="O6751" s="21"/>
      <c r="P6751" s="21"/>
      <c r="Q6751" s="21"/>
      <c r="R6751" s="27"/>
      <c r="S6751" s="29"/>
      <c r="T6751" s="29"/>
    </row>
    <row r="6752" spans="15:20" x14ac:dyDescent="0.25">
      <c r="O6752" s="21"/>
      <c r="P6752" s="14"/>
      <c r="Q6752" s="21"/>
      <c r="R6752" s="28"/>
      <c r="S6752" s="29"/>
      <c r="T6752" s="29"/>
    </row>
    <row r="6753" spans="15:20" x14ac:dyDescent="0.25">
      <c r="O6753" s="21"/>
      <c r="P6753" s="14"/>
      <c r="Q6753" s="21"/>
      <c r="R6753" s="28"/>
      <c r="S6753" s="29"/>
      <c r="T6753" s="29"/>
    </row>
    <row r="6754" spans="15:20" ht="14.4" x14ac:dyDescent="0.3">
      <c r="O6754" s="32"/>
      <c r="P6754" s="33"/>
      <c r="Q6754" s="32"/>
      <c r="R6754" s="27"/>
      <c r="S6754" s="29"/>
      <c r="T6754" s="29"/>
    </row>
    <row r="6755" spans="15:20" x14ac:dyDescent="0.25">
      <c r="O6755" s="32"/>
      <c r="P6755" s="21"/>
      <c r="Q6755" s="32"/>
      <c r="R6755" s="27"/>
      <c r="S6755" s="29"/>
      <c r="T6755" s="29"/>
    </row>
    <row r="6756" spans="15:20" x14ac:dyDescent="0.25">
      <c r="O6756" s="32"/>
      <c r="P6756" s="34"/>
      <c r="Q6756" s="32"/>
      <c r="R6756" s="27"/>
      <c r="S6756" s="14"/>
      <c r="T6756" s="29"/>
    </row>
    <row r="6757" spans="15:20" x14ac:dyDescent="0.25">
      <c r="O6757" s="32"/>
      <c r="P6757" s="34"/>
      <c r="Q6757" s="32"/>
      <c r="R6757" s="27"/>
      <c r="S6757" s="14"/>
      <c r="T6757" s="29"/>
    </row>
    <row r="6758" spans="15:20" x14ac:dyDescent="0.25">
      <c r="O6758" s="32"/>
      <c r="P6758" s="34"/>
      <c r="Q6758" s="32"/>
      <c r="R6758" s="27"/>
      <c r="S6758" s="14"/>
      <c r="T6758" s="14"/>
    </row>
    <row r="6759" spans="15:20" x14ac:dyDescent="0.25">
      <c r="O6759" s="32"/>
      <c r="P6759" s="35"/>
      <c r="Q6759" s="32"/>
      <c r="R6759" s="27"/>
      <c r="S6759" s="21"/>
      <c r="T6759" s="14"/>
    </row>
    <row r="6760" spans="15:20" x14ac:dyDescent="0.25">
      <c r="O6760" s="36"/>
      <c r="P6760" s="14"/>
      <c r="Q6760" s="14"/>
      <c r="R6760" s="37"/>
      <c r="S6760" s="29"/>
      <c r="T6760" s="28"/>
    </row>
    <row r="6761" spans="15:20" x14ac:dyDescent="0.25">
      <c r="O6761" s="21"/>
      <c r="P6761" s="14"/>
      <c r="Q6761" s="21"/>
      <c r="R6761" s="28"/>
      <c r="S6761" s="29"/>
      <c r="T6761" s="28"/>
    </row>
    <row r="6762" spans="15:20" x14ac:dyDescent="0.25">
      <c r="O6762" s="14"/>
      <c r="P6762" s="14"/>
      <c r="Q6762" s="14"/>
      <c r="R6762" s="14"/>
      <c r="S6762" s="26"/>
      <c r="T6762" s="26"/>
    </row>
    <row r="6763" spans="15:20" ht="13.8" x14ac:dyDescent="0.25">
      <c r="O6763" s="30"/>
      <c r="P6763" s="14"/>
      <c r="Q6763" s="14"/>
      <c r="R6763" s="27"/>
      <c r="S6763" s="26"/>
      <c r="T6763" s="26"/>
    </row>
    <row r="6764" spans="15:20" x14ac:dyDescent="0.25">
      <c r="O6764" s="14"/>
      <c r="P6764" s="14"/>
      <c r="Q6764" s="14"/>
      <c r="R6764" s="14"/>
      <c r="S6764" s="14"/>
      <c r="T6764" s="14"/>
    </row>
    <row r="6765" spans="15:20" x14ac:dyDescent="0.25">
      <c r="O6765" s="21"/>
      <c r="P6765" s="21"/>
      <c r="Q6765" s="21"/>
      <c r="R6765" s="27"/>
      <c r="S6765" s="29"/>
      <c r="T6765" s="29"/>
    </row>
    <row r="6766" spans="15:20" x14ac:dyDescent="0.25">
      <c r="O6766" s="21"/>
      <c r="P6766" s="14"/>
      <c r="Q6766" s="21"/>
      <c r="R6766" s="28"/>
      <c r="S6766" s="29"/>
      <c r="T6766" s="29"/>
    </row>
    <row r="6767" spans="15:20" x14ac:dyDescent="0.25">
      <c r="O6767" s="21"/>
      <c r="P6767" s="14"/>
      <c r="Q6767" s="21"/>
      <c r="R6767" s="28"/>
      <c r="S6767" s="29"/>
      <c r="T6767" s="29"/>
    </row>
    <row r="6768" spans="15:20" ht="14.4" x14ac:dyDescent="0.3">
      <c r="O6768" s="32"/>
      <c r="P6768" s="33"/>
      <c r="Q6768" s="32"/>
      <c r="R6768" s="27"/>
      <c r="S6768" s="29"/>
      <c r="T6768" s="29"/>
    </row>
    <row r="6769" spans="15:20" x14ac:dyDescent="0.25">
      <c r="O6769" s="32"/>
      <c r="P6769" s="21"/>
      <c r="Q6769" s="32"/>
      <c r="R6769" s="27"/>
      <c r="S6769" s="29"/>
      <c r="T6769" s="29"/>
    </row>
    <row r="6770" spans="15:20" x14ac:dyDescent="0.25">
      <c r="O6770" s="32"/>
      <c r="P6770" s="34"/>
      <c r="Q6770" s="32"/>
      <c r="R6770" s="27"/>
      <c r="S6770" s="14"/>
      <c r="T6770" s="29"/>
    </row>
    <row r="6771" spans="15:20" x14ac:dyDescent="0.25">
      <c r="O6771" s="32"/>
      <c r="P6771" s="34"/>
      <c r="Q6771" s="32"/>
      <c r="R6771" s="27"/>
      <c r="S6771" s="14"/>
      <c r="T6771" s="29"/>
    </row>
    <row r="6772" spans="15:20" x14ac:dyDescent="0.25">
      <c r="O6772" s="32"/>
      <c r="P6772" s="34"/>
      <c r="Q6772" s="32"/>
      <c r="R6772" s="27"/>
      <c r="S6772" s="14"/>
      <c r="T6772" s="14"/>
    </row>
    <row r="6773" spans="15:20" x14ac:dyDescent="0.25">
      <c r="O6773" s="32"/>
      <c r="P6773" s="35"/>
      <c r="Q6773" s="32"/>
      <c r="R6773" s="27"/>
      <c r="S6773" s="21"/>
      <c r="T6773" s="14"/>
    </row>
    <row r="6774" spans="15:20" x14ac:dyDescent="0.25">
      <c r="O6774" s="36"/>
      <c r="P6774" s="14"/>
      <c r="Q6774" s="14"/>
      <c r="R6774" s="37"/>
      <c r="S6774" s="29"/>
      <c r="T6774" s="28"/>
    </row>
    <row r="6775" spans="15:20" x14ac:dyDescent="0.25">
      <c r="O6775" s="21"/>
      <c r="P6775" s="14"/>
      <c r="Q6775" s="21"/>
      <c r="R6775" s="28"/>
      <c r="S6775" s="29"/>
      <c r="T6775" s="28"/>
    </row>
    <row r="6776" spans="15:20" x14ac:dyDescent="0.25">
      <c r="O6776" s="14"/>
      <c r="P6776" s="14"/>
      <c r="Q6776" s="14"/>
      <c r="R6776" s="14"/>
      <c r="S6776" s="26"/>
      <c r="T6776" s="26"/>
    </row>
    <row r="6777" spans="15:20" ht="13.8" x14ac:dyDescent="0.25">
      <c r="O6777" s="30"/>
      <c r="P6777" s="14"/>
      <c r="Q6777" s="14"/>
      <c r="R6777" s="27"/>
      <c r="S6777" s="26"/>
      <c r="T6777" s="26"/>
    </row>
    <row r="6778" spans="15:20" x14ac:dyDescent="0.25">
      <c r="O6778" s="14"/>
      <c r="P6778" s="14"/>
      <c r="Q6778" s="14"/>
      <c r="R6778" s="14"/>
      <c r="S6778" s="14"/>
      <c r="T6778" s="14"/>
    </row>
    <row r="6779" spans="15:20" x14ac:dyDescent="0.25">
      <c r="O6779" s="21"/>
      <c r="P6779" s="21"/>
      <c r="Q6779" s="21"/>
      <c r="R6779" s="27"/>
      <c r="S6779" s="29"/>
      <c r="T6779" s="29"/>
    </row>
    <row r="6780" spans="15:20" x14ac:dyDescent="0.25">
      <c r="O6780" s="21"/>
      <c r="P6780" s="14"/>
      <c r="Q6780" s="21"/>
      <c r="R6780" s="28"/>
      <c r="S6780" s="29"/>
      <c r="T6780" s="29"/>
    </row>
    <row r="6781" spans="15:20" x14ac:dyDescent="0.25">
      <c r="O6781" s="21"/>
      <c r="P6781" s="14"/>
      <c r="Q6781" s="21"/>
      <c r="R6781" s="28"/>
      <c r="S6781" s="29"/>
      <c r="T6781" s="29"/>
    </row>
    <row r="6782" spans="15:20" ht="14.4" x14ac:dyDescent="0.3">
      <c r="O6782" s="32"/>
      <c r="P6782" s="33"/>
      <c r="Q6782" s="32"/>
      <c r="R6782" s="27"/>
      <c r="S6782" s="29"/>
      <c r="T6782" s="29"/>
    </row>
    <row r="6783" spans="15:20" x14ac:dyDescent="0.25">
      <c r="O6783" s="32"/>
      <c r="P6783" s="21"/>
      <c r="Q6783" s="32"/>
      <c r="R6783" s="27"/>
      <c r="S6783" s="29"/>
      <c r="T6783" s="29"/>
    </row>
    <row r="6784" spans="15:20" x14ac:dyDescent="0.25">
      <c r="O6784" s="32"/>
      <c r="P6784" s="34"/>
      <c r="Q6784" s="32"/>
      <c r="R6784" s="27"/>
      <c r="S6784" s="14"/>
      <c r="T6784" s="29"/>
    </row>
    <row r="6785" spans="15:20" x14ac:dyDescent="0.25">
      <c r="O6785" s="32"/>
      <c r="P6785" s="34"/>
      <c r="Q6785" s="32"/>
      <c r="R6785" s="27"/>
      <c r="S6785" s="14"/>
      <c r="T6785" s="29"/>
    </row>
    <row r="6786" spans="15:20" x14ac:dyDescent="0.25">
      <c r="O6786" s="32"/>
      <c r="P6786" s="34"/>
      <c r="Q6786" s="32"/>
      <c r="R6786" s="27"/>
      <c r="S6786" s="14"/>
      <c r="T6786" s="14"/>
    </row>
    <row r="6787" spans="15:20" x14ac:dyDescent="0.25">
      <c r="O6787" s="32"/>
      <c r="P6787" s="35"/>
      <c r="Q6787" s="32"/>
      <c r="R6787" s="27"/>
      <c r="S6787" s="21"/>
      <c r="T6787" s="14"/>
    </row>
    <row r="6788" spans="15:20" x14ac:dyDescent="0.25">
      <c r="O6788" s="36"/>
      <c r="P6788" s="14"/>
      <c r="Q6788" s="14"/>
      <c r="R6788" s="37"/>
      <c r="S6788" s="29"/>
      <c r="T6788" s="28"/>
    </row>
    <row r="6789" spans="15:20" x14ac:dyDescent="0.25">
      <c r="O6789" s="21"/>
      <c r="P6789" s="14"/>
      <c r="Q6789" s="21"/>
      <c r="R6789" s="28"/>
      <c r="S6789" s="29"/>
      <c r="T6789" s="28"/>
    </row>
    <row r="6790" spans="15:20" x14ac:dyDescent="0.25">
      <c r="O6790" s="14"/>
      <c r="P6790" s="14"/>
      <c r="Q6790" s="14"/>
      <c r="R6790" s="14"/>
      <c r="S6790" s="26"/>
      <c r="T6790" s="26"/>
    </row>
    <row r="6791" spans="15:20" ht="13.8" x14ac:dyDescent="0.25">
      <c r="O6791" s="30"/>
      <c r="P6791" s="14"/>
      <c r="Q6791" s="14"/>
      <c r="R6791" s="27"/>
      <c r="S6791" s="26"/>
      <c r="T6791" s="26"/>
    </row>
    <row r="6792" spans="15:20" x14ac:dyDescent="0.25">
      <c r="O6792" s="14"/>
      <c r="P6792" s="14"/>
      <c r="Q6792" s="14"/>
      <c r="R6792" s="14"/>
      <c r="S6792" s="14"/>
      <c r="T6792" s="14"/>
    </row>
    <row r="6793" spans="15:20" x14ac:dyDescent="0.25">
      <c r="O6793" s="21"/>
      <c r="P6793" s="21"/>
      <c r="Q6793" s="21"/>
      <c r="R6793" s="27"/>
      <c r="S6793" s="29"/>
      <c r="T6793" s="29"/>
    </row>
    <row r="6794" spans="15:20" x14ac:dyDescent="0.25">
      <c r="O6794" s="21"/>
      <c r="P6794" s="14"/>
      <c r="Q6794" s="21"/>
      <c r="R6794" s="28"/>
      <c r="S6794" s="29"/>
      <c r="T6794" s="29"/>
    </row>
    <row r="6795" spans="15:20" x14ac:dyDescent="0.25">
      <c r="O6795" s="21"/>
      <c r="P6795" s="14"/>
      <c r="Q6795" s="21"/>
      <c r="R6795" s="28"/>
      <c r="S6795" s="29"/>
      <c r="T6795" s="29"/>
    </row>
    <row r="6796" spans="15:20" ht="14.4" x14ac:dyDescent="0.3">
      <c r="O6796" s="32"/>
      <c r="P6796" s="33"/>
      <c r="Q6796" s="32"/>
      <c r="R6796" s="27"/>
      <c r="S6796" s="29"/>
      <c r="T6796" s="29"/>
    </row>
    <row r="6797" spans="15:20" x14ac:dyDescent="0.25">
      <c r="O6797" s="32"/>
      <c r="P6797" s="21"/>
      <c r="Q6797" s="32"/>
      <c r="R6797" s="27"/>
      <c r="S6797" s="29"/>
      <c r="T6797" s="29"/>
    </row>
    <row r="6798" spans="15:20" x14ac:dyDescent="0.25">
      <c r="O6798" s="32"/>
      <c r="P6798" s="34"/>
      <c r="Q6798" s="32"/>
      <c r="R6798" s="27"/>
      <c r="S6798" s="14"/>
      <c r="T6798" s="29"/>
    </row>
    <row r="6799" spans="15:20" x14ac:dyDescent="0.25">
      <c r="O6799" s="32"/>
      <c r="P6799" s="34"/>
      <c r="Q6799" s="32"/>
      <c r="R6799" s="27"/>
      <c r="S6799" s="14"/>
      <c r="T6799" s="29"/>
    </row>
    <row r="6800" spans="15:20" x14ac:dyDescent="0.25">
      <c r="O6800" s="32"/>
      <c r="P6800" s="34"/>
      <c r="Q6800" s="32"/>
      <c r="R6800" s="27"/>
      <c r="S6800" s="14"/>
      <c r="T6800" s="14"/>
    </row>
    <row r="6801" spans="15:20" x14ac:dyDescent="0.25">
      <c r="O6801" s="32"/>
      <c r="P6801" s="35"/>
      <c r="Q6801" s="32"/>
      <c r="R6801" s="27"/>
      <c r="S6801" s="21"/>
      <c r="T6801" s="14"/>
    </row>
    <row r="6802" spans="15:20" x14ac:dyDescent="0.25">
      <c r="O6802" s="36"/>
      <c r="P6802" s="14"/>
      <c r="Q6802" s="14"/>
      <c r="R6802" s="37"/>
      <c r="S6802" s="29"/>
      <c r="T6802" s="28"/>
    </row>
    <row r="6803" spans="15:20" x14ac:dyDescent="0.25">
      <c r="O6803" s="21"/>
      <c r="P6803" s="14"/>
      <c r="Q6803" s="21"/>
      <c r="R6803" s="28"/>
      <c r="S6803" s="29"/>
      <c r="T6803" s="28"/>
    </row>
    <row r="6804" spans="15:20" x14ac:dyDescent="0.25">
      <c r="O6804" s="14"/>
      <c r="P6804" s="14"/>
      <c r="Q6804" s="14"/>
      <c r="R6804" s="14"/>
      <c r="S6804" s="26"/>
      <c r="T6804" s="26"/>
    </row>
    <row r="6805" spans="15:20" ht="13.8" x14ac:dyDescent="0.25">
      <c r="O6805" s="30"/>
      <c r="P6805" s="14"/>
      <c r="Q6805" s="14"/>
      <c r="R6805" s="27"/>
      <c r="S6805" s="26"/>
      <c r="T6805" s="26"/>
    </row>
    <row r="6806" spans="15:20" x14ac:dyDescent="0.25">
      <c r="O6806" s="14"/>
      <c r="P6806" s="14"/>
      <c r="Q6806" s="14"/>
      <c r="R6806" s="14"/>
      <c r="S6806" s="14"/>
      <c r="T6806" s="14"/>
    </row>
    <row r="6807" spans="15:20" x14ac:dyDescent="0.25">
      <c r="O6807" s="21"/>
      <c r="P6807" s="21"/>
      <c r="Q6807" s="21"/>
      <c r="R6807" s="27"/>
      <c r="S6807" s="29"/>
      <c r="T6807" s="29"/>
    </row>
    <row r="6808" spans="15:20" x14ac:dyDescent="0.25">
      <c r="O6808" s="21"/>
      <c r="P6808" s="14"/>
      <c r="Q6808" s="21"/>
      <c r="R6808" s="28"/>
      <c r="S6808" s="29"/>
      <c r="T6808" s="29"/>
    </row>
    <row r="6809" spans="15:20" x14ac:dyDescent="0.25">
      <c r="O6809" s="21"/>
      <c r="P6809" s="14"/>
      <c r="Q6809" s="21"/>
      <c r="R6809" s="28"/>
      <c r="S6809" s="29"/>
      <c r="T6809" s="29"/>
    </row>
    <row r="6810" spans="15:20" ht="14.4" x14ac:dyDescent="0.3">
      <c r="O6810" s="32"/>
      <c r="P6810" s="33"/>
      <c r="Q6810" s="32"/>
      <c r="R6810" s="27"/>
      <c r="S6810" s="29"/>
      <c r="T6810" s="29"/>
    </row>
    <row r="6811" spans="15:20" x14ac:dyDescent="0.25">
      <c r="O6811" s="32"/>
      <c r="P6811" s="21"/>
      <c r="Q6811" s="32"/>
      <c r="R6811" s="27"/>
      <c r="S6811" s="29"/>
      <c r="T6811" s="29"/>
    </row>
    <row r="6812" spans="15:20" x14ac:dyDescent="0.25">
      <c r="O6812" s="32"/>
      <c r="P6812" s="34"/>
      <c r="Q6812" s="32"/>
      <c r="R6812" s="27"/>
      <c r="S6812" s="14"/>
      <c r="T6812" s="29"/>
    </row>
    <row r="6813" spans="15:20" x14ac:dyDescent="0.25">
      <c r="O6813" s="32"/>
      <c r="P6813" s="34"/>
      <c r="Q6813" s="32"/>
      <c r="R6813" s="27"/>
      <c r="S6813" s="14"/>
      <c r="T6813" s="29"/>
    </row>
    <row r="6814" spans="15:20" x14ac:dyDescent="0.25">
      <c r="O6814" s="32"/>
      <c r="P6814" s="34"/>
      <c r="Q6814" s="32"/>
      <c r="R6814" s="27"/>
      <c r="S6814" s="14"/>
      <c r="T6814" s="14"/>
    </row>
    <row r="6815" spans="15:20" x14ac:dyDescent="0.25">
      <c r="O6815" s="32"/>
      <c r="P6815" s="35"/>
      <c r="Q6815" s="32"/>
      <c r="R6815" s="27"/>
      <c r="S6815" s="21"/>
      <c r="T6815" s="14"/>
    </row>
    <row r="6816" spans="15:20" x14ac:dyDescent="0.25">
      <c r="O6816" s="36"/>
      <c r="P6816" s="14"/>
      <c r="Q6816" s="14"/>
      <c r="R6816" s="37"/>
      <c r="S6816" s="29"/>
      <c r="T6816" s="28"/>
    </row>
    <row r="6817" spans="15:20" x14ac:dyDescent="0.25">
      <c r="O6817" s="21"/>
      <c r="P6817" s="14"/>
      <c r="Q6817" s="21"/>
      <c r="R6817" s="28"/>
      <c r="S6817" s="29"/>
      <c r="T6817" s="28"/>
    </row>
    <row r="6818" spans="15:20" x14ac:dyDescent="0.25">
      <c r="O6818" s="14"/>
      <c r="P6818" s="14"/>
      <c r="Q6818" s="14"/>
      <c r="R6818" s="14"/>
      <c r="S6818" s="26"/>
      <c r="T6818" s="26"/>
    </row>
    <row r="6819" spans="15:20" ht="13.8" x14ac:dyDescent="0.25">
      <c r="O6819" s="30"/>
      <c r="P6819" s="14"/>
      <c r="Q6819" s="14"/>
      <c r="R6819" s="27"/>
      <c r="S6819" s="26"/>
      <c r="T6819" s="26"/>
    </row>
    <row r="6820" spans="15:20" x14ac:dyDescent="0.25">
      <c r="O6820" s="14"/>
      <c r="P6820" s="14"/>
      <c r="Q6820" s="14"/>
      <c r="R6820" s="14"/>
      <c r="S6820" s="14"/>
      <c r="T6820" s="14"/>
    </row>
    <row r="6821" spans="15:20" x14ac:dyDescent="0.25">
      <c r="O6821" s="21"/>
      <c r="P6821" s="21"/>
      <c r="Q6821" s="21"/>
      <c r="R6821" s="27"/>
      <c r="S6821" s="29"/>
      <c r="T6821" s="29"/>
    </row>
    <row r="6822" spans="15:20" x14ac:dyDescent="0.25">
      <c r="O6822" s="21"/>
      <c r="P6822" s="14"/>
      <c r="Q6822" s="21"/>
      <c r="R6822" s="28"/>
      <c r="S6822" s="29"/>
      <c r="T6822" s="29"/>
    </row>
    <row r="6823" spans="15:20" x14ac:dyDescent="0.25">
      <c r="O6823" s="21"/>
      <c r="P6823" s="14"/>
      <c r="Q6823" s="21"/>
      <c r="R6823" s="28"/>
      <c r="S6823" s="29"/>
      <c r="T6823" s="29"/>
    </row>
    <row r="6824" spans="15:20" ht="14.4" x14ac:dyDescent="0.3">
      <c r="O6824" s="32"/>
      <c r="P6824" s="33"/>
      <c r="Q6824" s="32"/>
      <c r="R6824" s="27"/>
      <c r="S6824" s="29"/>
      <c r="T6824" s="29"/>
    </row>
    <row r="6825" spans="15:20" x14ac:dyDescent="0.25">
      <c r="O6825" s="32"/>
      <c r="P6825" s="21"/>
      <c r="Q6825" s="32"/>
      <c r="R6825" s="27"/>
      <c r="S6825" s="29"/>
      <c r="T6825" s="29"/>
    </row>
    <row r="6826" spans="15:20" x14ac:dyDescent="0.25">
      <c r="O6826" s="32"/>
      <c r="P6826" s="34"/>
      <c r="Q6826" s="32"/>
      <c r="R6826" s="27"/>
      <c r="S6826" s="14"/>
      <c r="T6826" s="29"/>
    </row>
    <row r="6827" spans="15:20" x14ac:dyDescent="0.25">
      <c r="O6827" s="32"/>
      <c r="P6827" s="34"/>
      <c r="Q6827" s="32"/>
      <c r="R6827" s="27"/>
      <c r="S6827" s="14"/>
      <c r="T6827" s="29"/>
    </row>
    <row r="6828" spans="15:20" x14ac:dyDescent="0.25">
      <c r="O6828" s="32"/>
      <c r="P6828" s="34"/>
      <c r="Q6828" s="32"/>
      <c r="R6828" s="27"/>
      <c r="S6828" s="14"/>
      <c r="T6828" s="14"/>
    </row>
    <row r="6829" spans="15:20" x14ac:dyDescent="0.25">
      <c r="O6829" s="32"/>
      <c r="P6829" s="35"/>
      <c r="Q6829" s="32"/>
      <c r="R6829" s="27"/>
      <c r="S6829" s="21"/>
      <c r="T6829" s="14"/>
    </row>
    <row r="6830" spans="15:20" x14ac:dyDescent="0.25">
      <c r="O6830" s="36"/>
      <c r="P6830" s="14"/>
      <c r="Q6830" s="14"/>
      <c r="R6830" s="37"/>
      <c r="S6830" s="29"/>
      <c r="T6830" s="28"/>
    </row>
    <row r="6831" spans="15:20" x14ac:dyDescent="0.25">
      <c r="O6831" s="21"/>
      <c r="P6831" s="14"/>
      <c r="Q6831" s="21"/>
      <c r="R6831" s="28"/>
      <c r="S6831" s="29"/>
      <c r="T6831" s="28"/>
    </row>
    <row r="6832" spans="15:20" x14ac:dyDescent="0.25">
      <c r="O6832" s="14"/>
      <c r="P6832" s="14"/>
      <c r="Q6832" s="14"/>
      <c r="R6832" s="14"/>
      <c r="S6832" s="26"/>
      <c r="T6832" s="26"/>
    </row>
    <row r="6833" spans="15:20" ht="13.8" x14ac:dyDescent="0.25">
      <c r="O6833" s="30"/>
      <c r="P6833" s="14"/>
      <c r="Q6833" s="14"/>
      <c r="R6833" s="27"/>
      <c r="S6833" s="26"/>
      <c r="T6833" s="26"/>
    </row>
    <row r="6834" spans="15:20" x14ac:dyDescent="0.25">
      <c r="O6834" s="14"/>
      <c r="P6834" s="14"/>
      <c r="Q6834" s="14"/>
      <c r="R6834" s="14"/>
      <c r="S6834" s="14"/>
      <c r="T6834" s="14"/>
    </row>
    <row r="6835" spans="15:20" x14ac:dyDescent="0.25">
      <c r="O6835" s="21"/>
      <c r="P6835" s="21"/>
      <c r="Q6835" s="21"/>
      <c r="R6835" s="27"/>
      <c r="S6835" s="29"/>
      <c r="T6835" s="29"/>
    </row>
    <row r="6836" spans="15:20" x14ac:dyDescent="0.25">
      <c r="O6836" s="21"/>
      <c r="P6836" s="14"/>
      <c r="Q6836" s="21"/>
      <c r="R6836" s="28"/>
      <c r="S6836" s="29"/>
      <c r="T6836" s="29"/>
    </row>
    <row r="6837" spans="15:20" x14ac:dyDescent="0.25">
      <c r="O6837" s="21"/>
      <c r="P6837" s="14"/>
      <c r="Q6837" s="21"/>
      <c r="R6837" s="28"/>
      <c r="S6837" s="29"/>
      <c r="T6837" s="29"/>
    </row>
    <row r="6838" spans="15:20" ht="14.4" x14ac:dyDescent="0.3">
      <c r="O6838" s="32"/>
      <c r="P6838" s="33"/>
      <c r="Q6838" s="32"/>
      <c r="R6838" s="27"/>
      <c r="S6838" s="29"/>
      <c r="T6838" s="29"/>
    </row>
    <row r="6839" spans="15:20" x14ac:dyDescent="0.25">
      <c r="O6839" s="32"/>
      <c r="P6839" s="21"/>
      <c r="Q6839" s="32"/>
      <c r="R6839" s="27"/>
      <c r="S6839" s="29"/>
      <c r="T6839" s="29"/>
    </row>
    <row r="6840" spans="15:20" x14ac:dyDescent="0.25">
      <c r="O6840" s="32"/>
      <c r="P6840" s="34"/>
      <c r="Q6840" s="32"/>
      <c r="R6840" s="27"/>
      <c r="S6840" s="14"/>
      <c r="T6840" s="29"/>
    </row>
    <row r="6841" spans="15:20" x14ac:dyDescent="0.25">
      <c r="O6841" s="32"/>
      <c r="P6841" s="34"/>
      <c r="Q6841" s="32"/>
      <c r="R6841" s="27"/>
      <c r="S6841" s="14"/>
      <c r="T6841" s="29"/>
    </row>
    <row r="6842" spans="15:20" x14ac:dyDescent="0.25">
      <c r="O6842" s="32"/>
      <c r="P6842" s="34"/>
      <c r="Q6842" s="32"/>
      <c r="R6842" s="27"/>
      <c r="S6842" s="14"/>
      <c r="T6842" s="14"/>
    </row>
    <row r="6843" spans="15:20" x14ac:dyDescent="0.25">
      <c r="O6843" s="32"/>
      <c r="P6843" s="35"/>
      <c r="Q6843" s="32"/>
      <c r="R6843" s="27"/>
      <c r="S6843" s="21"/>
      <c r="T6843" s="14"/>
    </row>
    <row r="6844" spans="15:20" x14ac:dyDescent="0.25">
      <c r="O6844" s="36"/>
      <c r="P6844" s="14"/>
      <c r="Q6844" s="14"/>
      <c r="R6844" s="37"/>
      <c r="S6844" s="29"/>
      <c r="T6844" s="28"/>
    </row>
    <row r="6845" spans="15:20" x14ac:dyDescent="0.25">
      <c r="O6845" s="21"/>
      <c r="P6845" s="14"/>
      <c r="Q6845" s="21"/>
      <c r="R6845" s="28"/>
      <c r="S6845" s="29"/>
      <c r="T6845" s="28"/>
    </row>
    <row r="6846" spans="15:20" x14ac:dyDescent="0.25">
      <c r="O6846" s="14"/>
      <c r="P6846" s="14"/>
      <c r="Q6846" s="14"/>
      <c r="R6846" s="14"/>
      <c r="S6846" s="26"/>
      <c r="T6846" s="26"/>
    </row>
    <row r="6847" spans="15:20" ht="13.8" x14ac:dyDescent="0.25">
      <c r="O6847" s="30"/>
      <c r="P6847" s="14"/>
      <c r="Q6847" s="14"/>
      <c r="R6847" s="27"/>
      <c r="S6847" s="26"/>
      <c r="T6847" s="26"/>
    </row>
    <row r="6848" spans="15:20" x14ac:dyDescent="0.25">
      <c r="O6848" s="14"/>
      <c r="P6848" s="14"/>
      <c r="Q6848" s="14"/>
      <c r="R6848" s="14"/>
      <c r="S6848" s="14"/>
      <c r="T6848" s="14"/>
    </row>
    <row r="6849" spans="15:20" x14ac:dyDescent="0.25">
      <c r="O6849" s="21"/>
      <c r="P6849" s="21"/>
      <c r="Q6849" s="21"/>
      <c r="R6849" s="27"/>
      <c r="S6849" s="29"/>
      <c r="T6849" s="29"/>
    </row>
    <row r="6850" spans="15:20" x14ac:dyDescent="0.25">
      <c r="O6850" s="21"/>
      <c r="P6850" s="14"/>
      <c r="Q6850" s="21"/>
      <c r="R6850" s="28"/>
      <c r="S6850" s="29"/>
      <c r="T6850" s="29"/>
    </row>
    <row r="6851" spans="15:20" x14ac:dyDescent="0.25">
      <c r="O6851" s="21"/>
      <c r="P6851" s="14"/>
      <c r="Q6851" s="21"/>
      <c r="R6851" s="28"/>
      <c r="S6851" s="29"/>
      <c r="T6851" s="29"/>
    </row>
    <row r="6852" spans="15:20" ht="14.4" x14ac:dyDescent="0.3">
      <c r="O6852" s="32"/>
      <c r="P6852" s="33"/>
      <c r="Q6852" s="32"/>
      <c r="R6852" s="27"/>
      <c r="S6852" s="29"/>
      <c r="T6852" s="29"/>
    </row>
    <row r="6853" spans="15:20" x14ac:dyDescent="0.25">
      <c r="O6853" s="32"/>
      <c r="P6853" s="21"/>
      <c r="Q6853" s="32"/>
      <c r="R6853" s="27"/>
      <c r="S6853" s="29"/>
      <c r="T6853" s="29"/>
    </row>
    <row r="6854" spans="15:20" x14ac:dyDescent="0.25">
      <c r="O6854" s="32"/>
      <c r="P6854" s="34"/>
      <c r="Q6854" s="32"/>
      <c r="R6854" s="27"/>
      <c r="S6854" s="14"/>
      <c r="T6854" s="29"/>
    </row>
    <row r="6855" spans="15:20" x14ac:dyDescent="0.25">
      <c r="O6855" s="32"/>
      <c r="P6855" s="34"/>
      <c r="Q6855" s="32"/>
      <c r="R6855" s="27"/>
      <c r="S6855" s="14"/>
      <c r="T6855" s="29"/>
    </row>
    <row r="6856" spans="15:20" x14ac:dyDescent="0.25">
      <c r="O6856" s="32"/>
      <c r="P6856" s="34"/>
      <c r="Q6856" s="32"/>
      <c r="R6856" s="27"/>
      <c r="S6856" s="14"/>
      <c r="T6856" s="14"/>
    </row>
    <row r="6857" spans="15:20" x14ac:dyDescent="0.25">
      <c r="O6857" s="32"/>
      <c r="P6857" s="35"/>
      <c r="Q6857" s="32"/>
      <c r="R6857" s="27"/>
      <c r="S6857" s="21"/>
      <c r="T6857" s="14"/>
    </row>
    <row r="6858" spans="15:20" x14ac:dyDescent="0.25">
      <c r="O6858" s="36"/>
      <c r="P6858" s="14"/>
      <c r="Q6858" s="14"/>
      <c r="R6858" s="37"/>
      <c r="S6858" s="29"/>
      <c r="T6858" s="28"/>
    </row>
    <row r="6859" spans="15:20" x14ac:dyDescent="0.25">
      <c r="O6859" s="14"/>
      <c r="P6859" s="14"/>
      <c r="Q6859" s="14"/>
      <c r="R6859" s="14"/>
      <c r="S6859" s="14"/>
      <c r="T6859" s="14"/>
    </row>
    <row r="6860" spans="15:20" x14ac:dyDescent="0.25">
      <c r="O6860" s="14"/>
      <c r="P6860" s="14"/>
      <c r="Q6860" s="14"/>
      <c r="R6860" s="14"/>
      <c r="S6860" s="14"/>
      <c r="T6860" s="14"/>
    </row>
    <row r="6861" spans="15:20" x14ac:dyDescent="0.25">
      <c r="O6861" s="14"/>
      <c r="P6861" s="14"/>
      <c r="Q6861" s="14"/>
      <c r="R6861" s="14"/>
      <c r="S6861" s="14"/>
      <c r="T6861" s="14"/>
    </row>
    <row r="6862" spans="15:20" x14ac:dyDescent="0.25">
      <c r="O6862" s="14"/>
      <c r="P6862" s="14"/>
      <c r="Q6862" s="14"/>
      <c r="R6862" s="14"/>
      <c r="S6862" s="14"/>
      <c r="T6862" s="14"/>
    </row>
    <row r="6863" spans="15:20" x14ac:dyDescent="0.25">
      <c r="O6863" s="14"/>
      <c r="P6863" s="14"/>
      <c r="Q6863" s="14"/>
      <c r="R6863" s="14"/>
      <c r="S6863" s="14"/>
      <c r="T6863" s="14"/>
    </row>
    <row r="6864" spans="15:20" x14ac:dyDescent="0.25">
      <c r="O6864" s="14"/>
      <c r="P6864" s="14"/>
      <c r="Q6864" s="14"/>
      <c r="R6864" s="14"/>
      <c r="S6864" s="14"/>
      <c r="T6864" s="14"/>
    </row>
    <row r="6865" spans="15:20" x14ac:dyDescent="0.25">
      <c r="O6865" s="14"/>
      <c r="P6865" s="14"/>
      <c r="Q6865" s="14"/>
      <c r="R6865" s="14"/>
      <c r="S6865" s="14"/>
      <c r="T6865" s="14"/>
    </row>
    <row r="6866" spans="15:20" x14ac:dyDescent="0.25">
      <c r="O6866" s="14"/>
      <c r="P6866" s="14"/>
      <c r="Q6866" s="14"/>
      <c r="R6866" s="14"/>
      <c r="S6866" s="14"/>
      <c r="T6866" s="14"/>
    </row>
    <row r="6867" spans="15:20" x14ac:dyDescent="0.25">
      <c r="O6867" s="14"/>
      <c r="P6867" s="14"/>
      <c r="Q6867" s="14"/>
      <c r="R6867" s="14"/>
      <c r="S6867" s="14"/>
      <c r="T6867" s="14"/>
    </row>
    <row r="6868" spans="15:20" x14ac:dyDescent="0.25">
      <c r="O6868" s="14"/>
      <c r="P6868" s="14"/>
      <c r="Q6868" s="14"/>
      <c r="R6868" s="14"/>
      <c r="S6868" s="14"/>
      <c r="T6868" s="14"/>
    </row>
    <row r="6869" spans="15:20" x14ac:dyDescent="0.25">
      <c r="O6869" s="14"/>
      <c r="P6869" s="14"/>
      <c r="Q6869" s="14"/>
      <c r="R6869" s="14"/>
      <c r="S6869" s="14"/>
      <c r="T6869" s="14"/>
    </row>
    <row r="6870" spans="15:20" x14ac:dyDescent="0.25">
      <c r="O6870" s="14"/>
      <c r="P6870" s="14"/>
      <c r="Q6870" s="14"/>
      <c r="R6870" s="14"/>
      <c r="S6870" s="14"/>
      <c r="T6870" s="14"/>
    </row>
    <row r="6871" spans="15:20" x14ac:dyDescent="0.25">
      <c r="O6871" s="14"/>
      <c r="P6871" s="14"/>
      <c r="Q6871" s="14"/>
      <c r="R6871" s="14"/>
      <c r="S6871" s="14"/>
      <c r="T6871" s="14"/>
    </row>
    <row r="6872" spans="15:20" x14ac:dyDescent="0.25">
      <c r="O6872" s="14"/>
      <c r="P6872" s="14"/>
      <c r="Q6872" s="14"/>
      <c r="R6872" s="14"/>
      <c r="S6872" s="14"/>
      <c r="T6872" s="14"/>
    </row>
    <row r="6873" spans="15:20" x14ac:dyDescent="0.25">
      <c r="O6873" s="14"/>
      <c r="P6873" s="14"/>
      <c r="Q6873" s="14"/>
      <c r="R6873" s="14"/>
      <c r="S6873" s="14"/>
      <c r="T6873" s="14"/>
    </row>
    <row r="6874" spans="15:20" x14ac:dyDescent="0.25">
      <c r="O6874" s="14"/>
      <c r="P6874" s="14"/>
      <c r="Q6874" s="14"/>
      <c r="R6874" s="14"/>
      <c r="S6874" s="14"/>
      <c r="T6874" s="14"/>
    </row>
    <row r="6875" spans="15:20" x14ac:dyDescent="0.25">
      <c r="O6875" s="14"/>
      <c r="P6875" s="14"/>
      <c r="Q6875" s="14"/>
      <c r="R6875" s="14"/>
      <c r="S6875" s="14"/>
      <c r="T6875" s="14"/>
    </row>
    <row r="6876" spans="15:20" x14ac:dyDescent="0.25">
      <c r="O6876" s="14"/>
      <c r="P6876" s="14"/>
      <c r="Q6876" s="14"/>
      <c r="R6876" s="14"/>
      <c r="S6876" s="14"/>
      <c r="T6876" s="14"/>
    </row>
    <row r="6877" spans="15:20" x14ac:dyDescent="0.25">
      <c r="O6877" s="14"/>
      <c r="P6877" s="14"/>
      <c r="Q6877" s="14"/>
      <c r="R6877" s="14"/>
      <c r="S6877" s="14"/>
      <c r="T6877" s="14"/>
    </row>
    <row r="6878" spans="15:20" x14ac:dyDescent="0.25">
      <c r="O6878" s="14"/>
      <c r="P6878" s="14"/>
      <c r="Q6878" s="14"/>
      <c r="R6878" s="14"/>
      <c r="S6878" s="14"/>
      <c r="T6878" s="14"/>
    </row>
    <row r="6879" spans="15:20" x14ac:dyDescent="0.25">
      <c r="O6879" s="14"/>
      <c r="P6879" s="14"/>
      <c r="Q6879" s="14"/>
      <c r="R6879" s="14"/>
      <c r="S6879" s="14"/>
      <c r="T6879" s="14"/>
    </row>
    <row r="6880" spans="15:20" x14ac:dyDescent="0.25">
      <c r="O6880" s="14"/>
      <c r="P6880" s="14"/>
      <c r="Q6880" s="14"/>
      <c r="R6880" s="14"/>
      <c r="S6880" s="14"/>
      <c r="T6880" s="14"/>
    </row>
    <row r="6881" spans="15:20" x14ac:dyDescent="0.25">
      <c r="O6881" s="14"/>
      <c r="P6881" s="14"/>
      <c r="Q6881" s="14"/>
      <c r="R6881" s="14"/>
      <c r="S6881" s="14"/>
      <c r="T6881" s="14"/>
    </row>
    <row r="6882" spans="15:20" x14ac:dyDescent="0.25">
      <c r="O6882" s="14"/>
      <c r="P6882" s="14"/>
      <c r="Q6882" s="14"/>
      <c r="R6882" s="14"/>
      <c r="S6882" s="14"/>
      <c r="T6882" s="14"/>
    </row>
    <row r="6883" spans="15:20" x14ac:dyDescent="0.25">
      <c r="O6883" s="14"/>
      <c r="P6883" s="14"/>
      <c r="Q6883" s="14"/>
      <c r="R6883" s="14"/>
      <c r="S6883" s="14"/>
      <c r="T6883" s="14"/>
    </row>
    <row r="6884" spans="15:20" x14ac:dyDescent="0.25">
      <c r="O6884" s="14"/>
      <c r="P6884" s="14"/>
      <c r="Q6884" s="14"/>
      <c r="R6884" s="14"/>
      <c r="S6884" s="14"/>
      <c r="T6884" s="14"/>
    </row>
    <row r="6885" spans="15:20" x14ac:dyDescent="0.25">
      <c r="O6885" s="14"/>
      <c r="P6885" s="14"/>
      <c r="Q6885" s="14"/>
      <c r="R6885" s="14"/>
      <c r="S6885" s="14"/>
      <c r="T6885" s="14"/>
    </row>
    <row r="6886" spans="15:20" x14ac:dyDescent="0.25">
      <c r="O6886" s="14"/>
      <c r="P6886" s="14"/>
      <c r="Q6886" s="14"/>
      <c r="R6886" s="14"/>
      <c r="S6886" s="14"/>
      <c r="T6886" s="14"/>
    </row>
    <row r="6887" spans="15:20" x14ac:dyDescent="0.25">
      <c r="O6887" s="14"/>
      <c r="P6887" s="14"/>
      <c r="Q6887" s="14"/>
      <c r="R6887" s="14"/>
      <c r="S6887" s="14"/>
      <c r="T6887" s="14"/>
    </row>
    <row r="6888" spans="15:20" x14ac:dyDescent="0.25">
      <c r="O6888" s="14"/>
      <c r="P6888" s="14"/>
      <c r="Q6888" s="14"/>
      <c r="R6888" s="14"/>
      <c r="S6888" s="14"/>
      <c r="T6888" s="14"/>
    </row>
    <row r="6889" spans="15:20" x14ac:dyDescent="0.25">
      <c r="O6889" s="14"/>
      <c r="P6889" s="14"/>
      <c r="Q6889" s="14"/>
      <c r="R6889" s="14"/>
      <c r="S6889" s="14"/>
      <c r="T6889" s="14"/>
    </row>
    <row r="6890" spans="15:20" x14ac:dyDescent="0.25">
      <c r="O6890" s="14"/>
      <c r="P6890" s="14"/>
      <c r="Q6890" s="14"/>
      <c r="R6890" s="14"/>
      <c r="S6890" s="14"/>
      <c r="T6890" s="14"/>
    </row>
    <row r="6891" spans="15:20" x14ac:dyDescent="0.25">
      <c r="O6891" s="14"/>
      <c r="P6891" s="14"/>
      <c r="Q6891" s="14"/>
      <c r="R6891" s="14"/>
      <c r="S6891" s="14"/>
      <c r="T6891" s="14"/>
    </row>
    <row r="6892" spans="15:20" x14ac:dyDescent="0.25">
      <c r="O6892" s="14"/>
      <c r="P6892" s="14"/>
      <c r="Q6892" s="14"/>
      <c r="R6892" s="14"/>
      <c r="S6892" s="14"/>
      <c r="T6892" s="14"/>
    </row>
    <row r="6893" spans="15:20" x14ac:dyDescent="0.25">
      <c r="O6893" s="14"/>
      <c r="P6893" s="14"/>
      <c r="Q6893" s="14"/>
      <c r="R6893" s="14"/>
      <c r="S6893" s="14"/>
      <c r="T6893" s="14"/>
    </row>
    <row r="6894" spans="15:20" x14ac:dyDescent="0.25">
      <c r="O6894" s="14"/>
      <c r="P6894" s="14"/>
      <c r="Q6894" s="14"/>
      <c r="R6894" s="14"/>
      <c r="S6894" s="14"/>
      <c r="T6894" s="14"/>
    </row>
    <row r="6895" spans="15:20" x14ac:dyDescent="0.25">
      <c r="O6895" s="14"/>
      <c r="P6895" s="14"/>
      <c r="Q6895" s="14"/>
      <c r="R6895" s="14"/>
      <c r="S6895" s="14"/>
      <c r="T6895" s="14"/>
    </row>
    <row r="6896" spans="15:20" x14ac:dyDescent="0.25">
      <c r="O6896" s="14"/>
      <c r="P6896" s="14"/>
      <c r="Q6896" s="14"/>
      <c r="R6896" s="14"/>
      <c r="S6896" s="14"/>
      <c r="T6896" s="14"/>
    </row>
    <row r="6897" spans="15:20" x14ac:dyDescent="0.25">
      <c r="O6897" s="14"/>
      <c r="P6897" s="14"/>
      <c r="Q6897" s="14"/>
      <c r="R6897" s="14"/>
      <c r="S6897" s="14"/>
      <c r="T6897" s="14"/>
    </row>
    <row r="6898" spans="15:20" x14ac:dyDescent="0.25">
      <c r="O6898" s="14"/>
      <c r="P6898" s="14"/>
      <c r="Q6898" s="14"/>
      <c r="R6898" s="14"/>
      <c r="S6898" s="14"/>
      <c r="T6898" s="14"/>
    </row>
    <row r="6899" spans="15:20" x14ac:dyDescent="0.25">
      <c r="O6899" s="14"/>
      <c r="P6899" s="14"/>
      <c r="Q6899" s="14"/>
      <c r="R6899" s="14"/>
      <c r="S6899" s="14"/>
      <c r="T6899" s="14"/>
    </row>
    <row r="6900" spans="15:20" x14ac:dyDescent="0.25">
      <c r="O6900" s="14"/>
      <c r="P6900" s="14"/>
      <c r="Q6900" s="14"/>
      <c r="R6900" s="14"/>
      <c r="S6900" s="14"/>
      <c r="T6900" s="14"/>
    </row>
    <row r="6901" spans="15:20" x14ac:dyDescent="0.25">
      <c r="O6901" s="14"/>
      <c r="P6901" s="14"/>
      <c r="Q6901" s="14"/>
      <c r="R6901" s="14"/>
      <c r="S6901" s="14"/>
      <c r="T6901" s="14"/>
    </row>
    <row r="6902" spans="15:20" x14ac:dyDescent="0.25">
      <c r="O6902" s="14"/>
      <c r="P6902" s="14"/>
      <c r="Q6902" s="14"/>
      <c r="R6902" s="14"/>
      <c r="S6902" s="14"/>
      <c r="T6902" s="14"/>
    </row>
    <row r="6903" spans="15:20" x14ac:dyDescent="0.25">
      <c r="O6903" s="14"/>
      <c r="P6903" s="14"/>
      <c r="Q6903" s="14"/>
      <c r="R6903" s="14"/>
      <c r="S6903" s="14"/>
      <c r="T6903" s="14"/>
    </row>
    <row r="6904" spans="15:20" x14ac:dyDescent="0.25">
      <c r="O6904" s="14"/>
      <c r="P6904" s="14"/>
      <c r="Q6904" s="14"/>
      <c r="R6904" s="14"/>
      <c r="S6904" s="14"/>
      <c r="T6904" s="14"/>
    </row>
    <row r="6905" spans="15:20" x14ac:dyDescent="0.25">
      <c r="O6905" s="14"/>
      <c r="P6905" s="14"/>
      <c r="Q6905" s="14"/>
      <c r="R6905" s="14"/>
      <c r="S6905" s="14"/>
      <c r="T6905" s="14"/>
    </row>
    <row r="6906" spans="15:20" x14ac:dyDescent="0.25">
      <c r="O6906" s="14"/>
      <c r="P6906" s="14"/>
      <c r="Q6906" s="14"/>
      <c r="R6906" s="14"/>
      <c r="S6906" s="14"/>
      <c r="T6906" s="14"/>
    </row>
    <row r="6907" spans="15:20" x14ac:dyDescent="0.25">
      <c r="O6907" s="14"/>
      <c r="P6907" s="14"/>
      <c r="Q6907" s="14"/>
      <c r="R6907" s="14"/>
      <c r="S6907" s="14"/>
      <c r="T6907" s="14"/>
    </row>
    <row r="6908" spans="15:20" x14ac:dyDescent="0.25">
      <c r="O6908" s="14"/>
      <c r="P6908" s="14"/>
      <c r="Q6908" s="14"/>
      <c r="R6908" s="14"/>
      <c r="S6908" s="14"/>
      <c r="T6908" s="14"/>
    </row>
    <row r="6909" spans="15:20" x14ac:dyDescent="0.25">
      <c r="O6909" s="14"/>
      <c r="P6909" s="14"/>
      <c r="Q6909" s="14"/>
      <c r="R6909" s="14"/>
      <c r="S6909" s="14"/>
      <c r="T6909" s="14"/>
    </row>
    <row r="6910" spans="15:20" x14ac:dyDescent="0.25">
      <c r="O6910" s="14"/>
      <c r="P6910" s="14"/>
      <c r="Q6910" s="14"/>
      <c r="R6910" s="14"/>
      <c r="S6910" s="14"/>
      <c r="T6910" s="14"/>
    </row>
    <row r="6911" spans="15:20" x14ac:dyDescent="0.25">
      <c r="O6911" s="14"/>
      <c r="P6911" s="14"/>
      <c r="Q6911" s="14"/>
      <c r="R6911" s="14"/>
      <c r="S6911" s="14"/>
      <c r="T6911" s="14"/>
    </row>
    <row r="6912" spans="15:20" x14ac:dyDescent="0.25">
      <c r="O6912" s="14"/>
      <c r="P6912" s="14"/>
      <c r="Q6912" s="14"/>
      <c r="R6912" s="14"/>
      <c r="S6912" s="14"/>
      <c r="T6912" s="14"/>
    </row>
    <row r="6913" spans="15:20" x14ac:dyDescent="0.25">
      <c r="O6913" s="14"/>
      <c r="P6913" s="14"/>
      <c r="Q6913" s="14"/>
      <c r="R6913" s="14"/>
      <c r="S6913" s="14"/>
      <c r="T6913" s="14"/>
    </row>
    <row r="6914" spans="15:20" x14ac:dyDescent="0.25">
      <c r="O6914" s="14"/>
      <c r="P6914" s="14"/>
      <c r="Q6914" s="14"/>
      <c r="R6914" s="14"/>
      <c r="S6914" s="14"/>
      <c r="T6914" s="14"/>
    </row>
    <row r="6915" spans="15:20" x14ac:dyDescent="0.25">
      <c r="O6915" s="14"/>
      <c r="P6915" s="14"/>
      <c r="Q6915" s="14"/>
      <c r="R6915" s="14"/>
      <c r="S6915" s="14"/>
      <c r="T6915" s="14"/>
    </row>
    <row r="6916" spans="15:20" x14ac:dyDescent="0.25">
      <c r="O6916" s="14"/>
      <c r="P6916" s="14"/>
      <c r="Q6916" s="14"/>
      <c r="R6916" s="14"/>
      <c r="S6916" s="14"/>
      <c r="T6916" s="14"/>
    </row>
    <row r="6917" spans="15:20" x14ac:dyDescent="0.25">
      <c r="O6917" s="14"/>
      <c r="P6917" s="14"/>
      <c r="Q6917" s="14"/>
      <c r="R6917" s="14"/>
      <c r="S6917" s="14"/>
      <c r="T6917" s="14"/>
    </row>
    <row r="6918" spans="15:20" x14ac:dyDescent="0.25">
      <c r="O6918" s="14"/>
      <c r="P6918" s="14"/>
      <c r="Q6918" s="14"/>
      <c r="R6918" s="14"/>
      <c r="S6918" s="14"/>
      <c r="T6918" s="14"/>
    </row>
    <row r="6919" spans="15:20" x14ac:dyDescent="0.25">
      <c r="O6919" s="14"/>
      <c r="P6919" s="14"/>
      <c r="Q6919" s="14"/>
      <c r="R6919" s="14"/>
      <c r="S6919" s="14"/>
      <c r="T6919" s="14"/>
    </row>
    <row r="6920" spans="15:20" x14ac:dyDescent="0.25">
      <c r="O6920" s="14"/>
      <c r="P6920" s="14"/>
      <c r="Q6920" s="14"/>
      <c r="R6920" s="14"/>
      <c r="S6920" s="14"/>
      <c r="T6920" s="14"/>
    </row>
    <row r="6921" spans="15:20" x14ac:dyDescent="0.25">
      <c r="O6921" s="14"/>
      <c r="P6921" s="14"/>
      <c r="Q6921" s="14"/>
      <c r="R6921" s="14"/>
      <c r="S6921" s="14"/>
      <c r="T6921" s="14"/>
    </row>
    <row r="6922" spans="15:20" x14ac:dyDescent="0.25">
      <c r="O6922" s="14"/>
      <c r="P6922" s="14"/>
      <c r="Q6922" s="14"/>
      <c r="R6922" s="14"/>
      <c r="S6922" s="14"/>
      <c r="T6922" s="14"/>
    </row>
    <row r="6923" spans="15:20" x14ac:dyDescent="0.25">
      <c r="O6923" s="14"/>
      <c r="P6923" s="14"/>
      <c r="Q6923" s="14"/>
      <c r="R6923" s="14"/>
      <c r="S6923" s="14"/>
      <c r="T6923" s="14"/>
    </row>
    <row r="6924" spans="15:20" x14ac:dyDescent="0.25">
      <c r="O6924" s="14"/>
      <c r="P6924" s="14"/>
      <c r="Q6924" s="14"/>
      <c r="R6924" s="14"/>
      <c r="S6924" s="14"/>
      <c r="T6924" s="14"/>
    </row>
    <row r="6925" spans="15:20" x14ac:dyDescent="0.25">
      <c r="O6925" s="14"/>
      <c r="P6925" s="14"/>
      <c r="Q6925" s="14"/>
      <c r="R6925" s="14"/>
      <c r="S6925" s="14"/>
      <c r="T6925" s="14"/>
    </row>
    <row r="6926" spans="15:20" x14ac:dyDescent="0.25">
      <c r="O6926" s="14"/>
      <c r="P6926" s="14"/>
      <c r="Q6926" s="14"/>
      <c r="R6926" s="14"/>
      <c r="S6926" s="14"/>
      <c r="T6926" s="14"/>
    </row>
    <row r="6927" spans="15:20" x14ac:dyDescent="0.25">
      <c r="O6927" s="14"/>
      <c r="P6927" s="14"/>
      <c r="Q6927" s="14"/>
      <c r="R6927" s="14"/>
      <c r="S6927" s="14"/>
      <c r="T6927" s="14"/>
    </row>
    <row r="6928" spans="15:20" x14ac:dyDescent="0.25">
      <c r="O6928" s="14"/>
      <c r="P6928" s="14"/>
      <c r="Q6928" s="14"/>
      <c r="R6928" s="14"/>
      <c r="S6928" s="14"/>
      <c r="T6928" s="14"/>
    </row>
    <row r="6929" spans="15:20" x14ac:dyDescent="0.25">
      <c r="O6929" s="14"/>
      <c r="P6929" s="14"/>
      <c r="Q6929" s="14"/>
      <c r="R6929" s="14"/>
      <c r="S6929" s="14"/>
      <c r="T6929" s="14"/>
    </row>
    <row r="6930" spans="15:20" x14ac:dyDescent="0.25">
      <c r="O6930" s="14"/>
      <c r="P6930" s="14"/>
      <c r="Q6930" s="14"/>
      <c r="R6930" s="14"/>
      <c r="S6930" s="14"/>
      <c r="T6930" s="14"/>
    </row>
    <row r="6931" spans="15:20" x14ac:dyDescent="0.25">
      <c r="O6931" s="14"/>
      <c r="P6931" s="14"/>
      <c r="Q6931" s="14"/>
      <c r="R6931" s="14"/>
      <c r="S6931" s="14"/>
      <c r="T6931" s="14"/>
    </row>
    <row r="6932" spans="15:20" x14ac:dyDescent="0.25">
      <c r="O6932" s="14"/>
      <c r="P6932" s="14"/>
      <c r="Q6932" s="14"/>
      <c r="R6932" s="14"/>
      <c r="S6932" s="14"/>
      <c r="T6932" s="14"/>
    </row>
    <row r="6933" spans="15:20" x14ac:dyDescent="0.25">
      <c r="O6933" s="14"/>
      <c r="P6933" s="14"/>
      <c r="Q6933" s="14"/>
      <c r="R6933" s="14"/>
      <c r="S6933" s="14"/>
      <c r="T6933" s="14"/>
    </row>
    <row r="6934" spans="15:20" x14ac:dyDescent="0.25">
      <c r="O6934" s="14"/>
      <c r="P6934" s="14"/>
      <c r="Q6934" s="14"/>
      <c r="R6934" s="14"/>
      <c r="S6934" s="14"/>
      <c r="T6934" s="14"/>
    </row>
    <row r="6935" spans="15:20" x14ac:dyDescent="0.25">
      <c r="O6935" s="14"/>
      <c r="P6935" s="14"/>
      <c r="Q6935" s="14"/>
      <c r="R6935" s="14"/>
      <c r="S6935" s="14"/>
      <c r="T6935" s="14"/>
    </row>
    <row r="6936" spans="15:20" x14ac:dyDescent="0.25">
      <c r="O6936" s="14"/>
      <c r="P6936" s="14"/>
      <c r="Q6936" s="14"/>
      <c r="R6936" s="14"/>
      <c r="S6936" s="14"/>
      <c r="T6936" s="14"/>
    </row>
    <row r="6937" spans="15:20" x14ac:dyDescent="0.25">
      <c r="O6937" s="14"/>
      <c r="P6937" s="14"/>
      <c r="Q6937" s="14"/>
      <c r="R6937" s="14"/>
      <c r="S6937" s="14"/>
      <c r="T6937" s="14"/>
    </row>
    <row r="6938" spans="15:20" x14ac:dyDescent="0.25">
      <c r="O6938" s="14"/>
      <c r="P6938" s="14"/>
      <c r="Q6938" s="14"/>
      <c r="R6938" s="14"/>
      <c r="S6938" s="14"/>
      <c r="T6938" s="14"/>
    </row>
    <row r="6939" spans="15:20" x14ac:dyDescent="0.25">
      <c r="O6939" s="14"/>
      <c r="P6939" s="14"/>
      <c r="Q6939" s="14"/>
      <c r="R6939" s="14"/>
      <c r="S6939" s="14"/>
      <c r="T6939" s="14"/>
    </row>
    <row r="6940" spans="15:20" x14ac:dyDescent="0.25">
      <c r="O6940" s="14"/>
      <c r="P6940" s="14"/>
      <c r="Q6940" s="14"/>
      <c r="R6940" s="14"/>
      <c r="S6940" s="14"/>
      <c r="T6940" s="14"/>
    </row>
    <row r="6941" spans="15:20" x14ac:dyDescent="0.25">
      <c r="O6941" s="14"/>
      <c r="P6941" s="14"/>
      <c r="Q6941" s="14"/>
      <c r="R6941" s="14"/>
      <c r="S6941" s="14"/>
      <c r="T6941" s="14"/>
    </row>
    <row r="6942" spans="15:20" x14ac:dyDescent="0.25">
      <c r="O6942" s="14"/>
      <c r="P6942" s="14"/>
      <c r="Q6942" s="14"/>
      <c r="R6942" s="14"/>
      <c r="S6942" s="14"/>
      <c r="T6942" s="14"/>
    </row>
    <row r="6943" spans="15:20" x14ac:dyDescent="0.25">
      <c r="O6943" s="14"/>
      <c r="P6943" s="14"/>
      <c r="Q6943" s="14"/>
      <c r="R6943" s="14"/>
      <c r="S6943" s="14"/>
      <c r="T6943" s="14"/>
    </row>
    <row r="6944" spans="15:20" x14ac:dyDescent="0.25">
      <c r="O6944" s="14"/>
      <c r="P6944" s="14"/>
      <c r="Q6944" s="14"/>
      <c r="R6944" s="14"/>
      <c r="S6944" s="14"/>
      <c r="T6944" s="14"/>
    </row>
    <row r="6945" spans="15:20" x14ac:dyDescent="0.25">
      <c r="O6945" s="14"/>
      <c r="P6945" s="14"/>
      <c r="Q6945" s="14"/>
      <c r="R6945" s="14"/>
      <c r="S6945" s="14"/>
      <c r="T6945" s="14"/>
    </row>
    <row r="6946" spans="15:20" x14ac:dyDescent="0.25">
      <c r="O6946" s="14"/>
      <c r="P6946" s="14"/>
      <c r="Q6946" s="14"/>
      <c r="R6946" s="14"/>
      <c r="S6946" s="14"/>
      <c r="T6946" s="14"/>
    </row>
    <row r="6947" spans="15:20" x14ac:dyDescent="0.25">
      <c r="O6947" s="14"/>
      <c r="P6947" s="14"/>
      <c r="Q6947" s="14"/>
      <c r="R6947" s="14"/>
      <c r="S6947" s="14"/>
      <c r="T6947" s="14"/>
    </row>
    <row r="6948" spans="15:20" x14ac:dyDescent="0.25">
      <c r="O6948" s="14"/>
      <c r="P6948" s="14"/>
      <c r="Q6948" s="14"/>
      <c r="R6948" s="14"/>
      <c r="S6948" s="14"/>
      <c r="T6948" s="14"/>
    </row>
    <row r="6949" spans="15:20" x14ac:dyDescent="0.25">
      <c r="O6949" s="14"/>
      <c r="P6949" s="14"/>
      <c r="Q6949" s="14"/>
      <c r="R6949" s="14"/>
      <c r="S6949" s="14"/>
      <c r="T6949" s="14"/>
    </row>
    <row r="6950" spans="15:20" x14ac:dyDescent="0.25">
      <c r="O6950" s="14"/>
      <c r="P6950" s="14"/>
      <c r="Q6950" s="14"/>
      <c r="R6950" s="14"/>
      <c r="S6950" s="14"/>
      <c r="T6950" s="14"/>
    </row>
    <row r="6951" spans="15:20" x14ac:dyDescent="0.25">
      <c r="O6951" s="14"/>
      <c r="P6951" s="14"/>
      <c r="Q6951" s="14"/>
      <c r="R6951" s="14"/>
      <c r="S6951" s="14"/>
      <c r="T6951" s="14"/>
    </row>
    <row r="6952" spans="15:20" x14ac:dyDescent="0.25">
      <c r="O6952" s="14"/>
      <c r="P6952" s="14"/>
      <c r="Q6952" s="14"/>
      <c r="R6952" s="14"/>
      <c r="S6952" s="14"/>
      <c r="T6952" s="14"/>
    </row>
    <row r="6953" spans="15:20" x14ac:dyDescent="0.25">
      <c r="O6953" s="14"/>
      <c r="P6953" s="14"/>
      <c r="Q6953" s="14"/>
      <c r="R6953" s="14"/>
      <c r="S6953" s="14"/>
      <c r="T6953" s="14"/>
    </row>
    <row r="6954" spans="15:20" x14ac:dyDescent="0.25">
      <c r="O6954" s="14"/>
      <c r="P6954" s="14"/>
      <c r="Q6954" s="14"/>
      <c r="R6954" s="14"/>
      <c r="S6954" s="14"/>
      <c r="T6954" s="14"/>
    </row>
    <row r="6955" spans="15:20" x14ac:dyDescent="0.25">
      <c r="O6955" s="14"/>
      <c r="P6955" s="14"/>
      <c r="Q6955" s="14"/>
      <c r="R6955" s="14"/>
      <c r="S6955" s="14"/>
      <c r="T6955" s="14"/>
    </row>
    <row r="6956" spans="15:20" x14ac:dyDescent="0.25">
      <c r="O6956" s="14"/>
      <c r="P6956" s="14"/>
      <c r="Q6956" s="14"/>
      <c r="R6956" s="14"/>
      <c r="S6956" s="14"/>
      <c r="T6956" s="14"/>
    </row>
    <row r="6957" spans="15:20" x14ac:dyDescent="0.25">
      <c r="O6957" s="14"/>
      <c r="P6957" s="14"/>
      <c r="Q6957" s="14"/>
      <c r="R6957" s="14"/>
      <c r="S6957" s="14"/>
      <c r="T6957" s="14"/>
    </row>
    <row r="6958" spans="15:20" x14ac:dyDescent="0.25">
      <c r="O6958" s="14"/>
      <c r="P6958" s="14"/>
      <c r="Q6958" s="14"/>
      <c r="R6958" s="14"/>
      <c r="S6958" s="14"/>
      <c r="T6958" s="14"/>
    </row>
    <row r="6959" spans="15:20" x14ac:dyDescent="0.25">
      <c r="O6959" s="14"/>
      <c r="P6959" s="14"/>
      <c r="Q6959" s="14"/>
      <c r="R6959" s="14"/>
      <c r="S6959" s="14"/>
      <c r="T6959" s="14"/>
    </row>
    <row r="6960" spans="15:20" x14ac:dyDescent="0.25">
      <c r="O6960" s="14"/>
      <c r="P6960" s="14"/>
      <c r="Q6960" s="14"/>
      <c r="R6960" s="14"/>
      <c r="S6960" s="14"/>
      <c r="T6960" s="14"/>
    </row>
    <row r="6961" spans="15:20" x14ac:dyDescent="0.25">
      <c r="O6961" s="14"/>
      <c r="P6961" s="14"/>
      <c r="Q6961" s="14"/>
      <c r="R6961" s="14"/>
      <c r="S6961" s="14"/>
      <c r="T6961" s="14"/>
    </row>
    <row r="6962" spans="15:20" x14ac:dyDescent="0.25">
      <c r="O6962" s="14"/>
      <c r="P6962" s="14"/>
      <c r="Q6962" s="14"/>
      <c r="R6962" s="14"/>
      <c r="S6962" s="14"/>
      <c r="T6962" s="14"/>
    </row>
    <row r="6963" spans="15:20" x14ac:dyDescent="0.25">
      <c r="O6963" s="14"/>
      <c r="P6963" s="14"/>
      <c r="Q6963" s="14"/>
      <c r="R6963" s="14"/>
      <c r="S6963" s="14"/>
      <c r="T6963" s="14"/>
    </row>
    <row r="6964" spans="15:20" x14ac:dyDescent="0.25">
      <c r="O6964" s="14"/>
      <c r="P6964" s="14"/>
      <c r="Q6964" s="14"/>
      <c r="R6964" s="14"/>
      <c r="S6964" s="14"/>
      <c r="T6964" s="14"/>
    </row>
    <row r="6965" spans="15:20" x14ac:dyDescent="0.25">
      <c r="O6965" s="14"/>
      <c r="P6965" s="14"/>
      <c r="Q6965" s="14"/>
      <c r="R6965" s="14"/>
      <c r="S6965" s="14"/>
      <c r="T6965" s="14"/>
    </row>
    <row r="6966" spans="15:20" x14ac:dyDescent="0.25">
      <c r="O6966" s="14"/>
      <c r="P6966" s="14"/>
      <c r="Q6966" s="14"/>
      <c r="R6966" s="14"/>
      <c r="S6966" s="14"/>
      <c r="T6966" s="14"/>
    </row>
    <row r="6967" spans="15:20" x14ac:dyDescent="0.25">
      <c r="O6967" s="14"/>
      <c r="P6967" s="14"/>
      <c r="Q6967" s="14"/>
      <c r="R6967" s="14"/>
      <c r="S6967" s="14"/>
      <c r="T6967" s="14"/>
    </row>
    <row r="6968" spans="15:20" x14ac:dyDescent="0.25">
      <c r="O6968" s="14"/>
      <c r="P6968" s="14"/>
      <c r="Q6968" s="14"/>
      <c r="R6968" s="14"/>
      <c r="S6968" s="14"/>
      <c r="T6968" s="14"/>
    </row>
    <row r="6969" spans="15:20" x14ac:dyDescent="0.25">
      <c r="O6969" s="14"/>
      <c r="P6969" s="14"/>
      <c r="Q6969" s="14"/>
      <c r="R6969" s="14"/>
      <c r="S6969" s="14"/>
      <c r="T6969" s="14"/>
    </row>
    <row r="6970" spans="15:20" x14ac:dyDescent="0.25">
      <c r="O6970" s="14"/>
      <c r="P6970" s="14"/>
      <c r="Q6970" s="14"/>
      <c r="R6970" s="14"/>
      <c r="S6970" s="14"/>
      <c r="T6970" s="14"/>
    </row>
    <row r="6971" spans="15:20" x14ac:dyDescent="0.25">
      <c r="O6971" s="14"/>
      <c r="P6971" s="14"/>
      <c r="Q6971" s="14"/>
      <c r="R6971" s="14"/>
      <c r="S6971" s="14"/>
      <c r="T6971" s="14"/>
    </row>
    <row r="6972" spans="15:20" x14ac:dyDescent="0.25">
      <c r="O6972" s="14"/>
      <c r="P6972" s="14"/>
      <c r="Q6972" s="14"/>
      <c r="R6972" s="14"/>
      <c r="S6972" s="14"/>
      <c r="T6972" s="14"/>
    </row>
    <row r="6973" spans="15:20" x14ac:dyDescent="0.25">
      <c r="O6973" s="14"/>
      <c r="P6973" s="14"/>
      <c r="Q6973" s="14"/>
      <c r="R6973" s="14"/>
      <c r="S6973" s="14"/>
      <c r="T6973" s="14"/>
    </row>
    <row r="6974" spans="15:20" x14ac:dyDescent="0.25">
      <c r="O6974" s="14"/>
      <c r="P6974" s="14"/>
      <c r="Q6974" s="14"/>
      <c r="R6974" s="14"/>
      <c r="S6974" s="14"/>
      <c r="T6974" s="14"/>
    </row>
    <row r="6975" spans="15:20" x14ac:dyDescent="0.25">
      <c r="O6975" s="14"/>
      <c r="P6975" s="14"/>
      <c r="Q6975" s="14"/>
      <c r="R6975" s="14"/>
      <c r="S6975" s="14"/>
      <c r="T6975" s="14"/>
    </row>
    <row r="6976" spans="15:20" x14ac:dyDescent="0.25">
      <c r="O6976" s="14"/>
      <c r="P6976" s="14"/>
      <c r="Q6976" s="14"/>
      <c r="R6976" s="14"/>
      <c r="S6976" s="14"/>
      <c r="T6976" s="14"/>
    </row>
    <row r="6977" spans="15:20" x14ac:dyDescent="0.25">
      <c r="O6977" s="14"/>
      <c r="P6977" s="14"/>
      <c r="Q6977" s="14"/>
      <c r="R6977" s="14"/>
      <c r="S6977" s="14"/>
      <c r="T6977" s="14"/>
    </row>
    <row r="6978" spans="15:20" x14ac:dyDescent="0.25">
      <c r="O6978" s="14"/>
      <c r="P6978" s="14"/>
      <c r="Q6978" s="14"/>
      <c r="R6978" s="14"/>
      <c r="S6978" s="14"/>
      <c r="T6978" s="14"/>
    </row>
    <row r="6979" spans="15:20" x14ac:dyDescent="0.25">
      <c r="O6979" s="14"/>
      <c r="P6979" s="14"/>
      <c r="Q6979" s="14"/>
      <c r="R6979" s="14"/>
      <c r="S6979" s="14"/>
      <c r="T6979" s="14"/>
    </row>
    <row r="6980" spans="15:20" x14ac:dyDescent="0.25">
      <c r="O6980" s="14"/>
      <c r="P6980" s="14"/>
      <c r="Q6980" s="14"/>
      <c r="R6980" s="14"/>
      <c r="S6980" s="14"/>
      <c r="T6980" s="14"/>
    </row>
    <row r="6981" spans="15:20" x14ac:dyDescent="0.25">
      <c r="O6981" s="14"/>
      <c r="P6981" s="14"/>
      <c r="Q6981" s="14"/>
      <c r="R6981" s="14"/>
      <c r="S6981" s="14"/>
      <c r="T6981" s="14"/>
    </row>
    <row r="6982" spans="15:20" x14ac:dyDescent="0.25">
      <c r="O6982" s="14"/>
      <c r="P6982" s="14"/>
      <c r="Q6982" s="14"/>
      <c r="R6982" s="14"/>
      <c r="S6982" s="14"/>
      <c r="T6982" s="14"/>
    </row>
    <row r="6983" spans="15:20" x14ac:dyDescent="0.25">
      <c r="O6983" s="14"/>
      <c r="P6983" s="14"/>
      <c r="Q6983" s="14"/>
      <c r="R6983" s="14"/>
      <c r="S6983" s="14"/>
      <c r="T6983" s="14"/>
    </row>
    <row r="6984" spans="15:20" x14ac:dyDescent="0.25">
      <c r="O6984" s="14"/>
      <c r="P6984" s="14"/>
      <c r="Q6984" s="14"/>
      <c r="R6984" s="14"/>
      <c r="S6984" s="14"/>
      <c r="T6984" s="14"/>
    </row>
    <row r="6985" spans="15:20" x14ac:dyDescent="0.25">
      <c r="O6985" s="14"/>
      <c r="P6985" s="14"/>
      <c r="Q6985" s="14"/>
      <c r="R6985" s="14"/>
      <c r="S6985" s="14"/>
      <c r="T6985" s="14"/>
    </row>
    <row r="6986" spans="15:20" x14ac:dyDescent="0.25">
      <c r="O6986" s="14"/>
      <c r="P6986" s="14"/>
      <c r="Q6986" s="14"/>
      <c r="R6986" s="14"/>
      <c r="S6986" s="14"/>
      <c r="T6986" s="14"/>
    </row>
    <row r="6987" spans="15:20" x14ac:dyDescent="0.25">
      <c r="O6987" s="14"/>
      <c r="P6987" s="14"/>
      <c r="Q6987" s="14"/>
      <c r="R6987" s="14"/>
      <c r="S6987" s="14"/>
      <c r="T6987" s="14"/>
    </row>
    <row r="6988" spans="15:20" x14ac:dyDescent="0.25">
      <c r="O6988" s="14"/>
      <c r="P6988" s="14"/>
      <c r="Q6988" s="14"/>
      <c r="R6988" s="14"/>
      <c r="S6988" s="14"/>
      <c r="T6988" s="14"/>
    </row>
    <row r="6989" spans="15:20" x14ac:dyDescent="0.25">
      <c r="O6989" s="14"/>
      <c r="P6989" s="14"/>
      <c r="Q6989" s="14"/>
      <c r="R6989" s="14"/>
      <c r="S6989" s="14"/>
      <c r="T6989" s="14"/>
    </row>
    <row r="6990" spans="15:20" x14ac:dyDescent="0.25">
      <c r="O6990" s="14"/>
      <c r="P6990" s="14"/>
      <c r="Q6990" s="14"/>
      <c r="R6990" s="14"/>
      <c r="S6990" s="14"/>
      <c r="T6990" s="14"/>
    </row>
    <row r="6991" spans="15:20" x14ac:dyDescent="0.25">
      <c r="O6991" s="14"/>
      <c r="P6991" s="14"/>
      <c r="Q6991" s="14"/>
      <c r="R6991" s="14"/>
      <c r="S6991" s="14"/>
      <c r="T6991" s="14"/>
    </row>
    <row r="6992" spans="15:20" x14ac:dyDescent="0.25">
      <c r="O6992" s="14"/>
      <c r="P6992" s="14"/>
      <c r="Q6992" s="14"/>
      <c r="R6992" s="14"/>
      <c r="S6992" s="14"/>
      <c r="T6992" s="14"/>
    </row>
    <row r="6993" spans="15:20" x14ac:dyDescent="0.25">
      <c r="O6993" s="14"/>
      <c r="P6993" s="14"/>
      <c r="Q6993" s="14"/>
      <c r="R6993" s="14"/>
      <c r="S6993" s="14"/>
      <c r="T6993" s="14"/>
    </row>
    <row r="6994" spans="15:20" x14ac:dyDescent="0.25">
      <c r="O6994" s="14"/>
      <c r="P6994" s="14"/>
      <c r="Q6994" s="14"/>
      <c r="R6994" s="14"/>
      <c r="S6994" s="14"/>
      <c r="T6994" s="14"/>
    </row>
    <row r="6995" spans="15:20" x14ac:dyDescent="0.25">
      <c r="O6995" s="14"/>
      <c r="P6995" s="14"/>
      <c r="Q6995" s="14"/>
      <c r="R6995" s="14"/>
      <c r="S6995" s="14"/>
      <c r="T6995" s="14"/>
    </row>
    <row r="6996" spans="15:20" x14ac:dyDescent="0.25">
      <c r="O6996" s="14"/>
      <c r="P6996" s="14"/>
      <c r="Q6996" s="14"/>
      <c r="R6996" s="14"/>
      <c r="S6996" s="14"/>
      <c r="T6996" s="14"/>
    </row>
    <row r="6997" spans="15:20" x14ac:dyDescent="0.25">
      <c r="O6997" s="14"/>
      <c r="P6997" s="14"/>
      <c r="Q6997" s="14"/>
      <c r="R6997" s="14"/>
      <c r="S6997" s="14"/>
      <c r="T6997" s="14"/>
    </row>
    <row r="6998" spans="15:20" x14ac:dyDescent="0.25">
      <c r="O6998" s="14"/>
      <c r="P6998" s="14"/>
      <c r="Q6998" s="14"/>
      <c r="R6998" s="14"/>
      <c r="S6998" s="14"/>
      <c r="T6998" s="14"/>
    </row>
    <row r="6999" spans="15:20" x14ac:dyDescent="0.25">
      <c r="O6999" s="14"/>
      <c r="P6999" s="14"/>
      <c r="Q6999" s="14"/>
      <c r="R6999" s="14"/>
      <c r="S6999" s="14"/>
      <c r="T6999" s="14"/>
    </row>
    <row r="7000" spans="15:20" x14ac:dyDescent="0.25">
      <c r="O7000" s="14"/>
      <c r="P7000" s="14"/>
      <c r="Q7000" s="14"/>
      <c r="R7000" s="14"/>
      <c r="S7000" s="14"/>
      <c r="T7000" s="14"/>
    </row>
    <row r="7001" spans="15:20" x14ac:dyDescent="0.25">
      <c r="O7001" s="14"/>
      <c r="P7001" s="14"/>
      <c r="Q7001" s="14"/>
      <c r="R7001" s="14"/>
      <c r="S7001" s="14"/>
      <c r="T7001" s="14"/>
    </row>
    <row r="7002" spans="15:20" x14ac:dyDescent="0.25">
      <c r="O7002" s="14"/>
      <c r="P7002" s="14"/>
      <c r="Q7002" s="14"/>
      <c r="R7002" s="14"/>
      <c r="S7002" s="14"/>
      <c r="T7002" s="14"/>
    </row>
    <row r="7003" spans="15:20" x14ac:dyDescent="0.25">
      <c r="O7003" s="14"/>
      <c r="P7003" s="14"/>
      <c r="Q7003" s="14"/>
      <c r="R7003" s="14"/>
      <c r="S7003" s="14"/>
      <c r="T7003" s="14"/>
    </row>
    <row r="7004" spans="15:20" x14ac:dyDescent="0.25">
      <c r="O7004" s="14"/>
      <c r="P7004" s="14"/>
      <c r="Q7004" s="14"/>
      <c r="R7004" s="14"/>
      <c r="S7004" s="14"/>
      <c r="T7004" s="14"/>
    </row>
    <row r="7005" spans="15:20" x14ac:dyDescent="0.25">
      <c r="O7005" s="14"/>
      <c r="P7005" s="14"/>
      <c r="Q7005" s="14"/>
      <c r="R7005" s="14"/>
      <c r="S7005" s="14"/>
      <c r="T7005" s="14"/>
    </row>
    <row r="7006" spans="15:20" x14ac:dyDescent="0.25">
      <c r="O7006" s="14"/>
      <c r="P7006" s="14"/>
      <c r="Q7006" s="14"/>
      <c r="R7006" s="14"/>
      <c r="S7006" s="14"/>
      <c r="T7006" s="14"/>
    </row>
    <row r="7007" spans="15:20" x14ac:dyDescent="0.25">
      <c r="O7007" s="14"/>
      <c r="P7007" s="14"/>
      <c r="Q7007" s="14"/>
      <c r="R7007" s="14"/>
      <c r="S7007" s="14"/>
      <c r="T7007" s="14"/>
    </row>
    <row r="7008" spans="15:20" x14ac:dyDescent="0.25">
      <c r="O7008" s="14"/>
      <c r="P7008" s="14"/>
      <c r="Q7008" s="14"/>
      <c r="R7008" s="14"/>
      <c r="S7008" s="14"/>
      <c r="T7008" s="14"/>
    </row>
    <row r="7009" spans="15:20" x14ac:dyDescent="0.25">
      <c r="O7009" s="14"/>
      <c r="P7009" s="14"/>
      <c r="Q7009" s="14"/>
      <c r="R7009" s="14"/>
      <c r="S7009" s="14"/>
      <c r="T7009" s="14"/>
    </row>
    <row r="7010" spans="15:20" x14ac:dyDescent="0.25">
      <c r="O7010" s="14"/>
      <c r="P7010" s="14"/>
      <c r="Q7010" s="14"/>
      <c r="R7010" s="14"/>
      <c r="S7010" s="14"/>
      <c r="T7010" s="14"/>
    </row>
    <row r="7011" spans="15:20" x14ac:dyDescent="0.25">
      <c r="O7011" s="14"/>
      <c r="P7011" s="14"/>
      <c r="Q7011" s="14"/>
      <c r="R7011" s="14"/>
      <c r="S7011" s="14"/>
      <c r="T7011" s="14"/>
    </row>
    <row r="7012" spans="15:20" x14ac:dyDescent="0.25">
      <c r="O7012" s="14"/>
      <c r="P7012" s="14"/>
      <c r="Q7012" s="14"/>
      <c r="R7012" s="14"/>
      <c r="S7012" s="14"/>
      <c r="T7012" s="14"/>
    </row>
    <row r="7013" spans="15:20" x14ac:dyDescent="0.25">
      <c r="O7013" s="14"/>
      <c r="P7013" s="14"/>
      <c r="Q7013" s="14"/>
      <c r="R7013" s="14"/>
      <c r="S7013" s="14"/>
      <c r="T7013" s="14"/>
    </row>
    <row r="7014" spans="15:20" x14ac:dyDescent="0.25">
      <c r="O7014" s="14"/>
      <c r="P7014" s="14"/>
      <c r="Q7014" s="14"/>
      <c r="R7014" s="14"/>
      <c r="S7014" s="14"/>
      <c r="T7014" s="14"/>
    </row>
    <row r="7015" spans="15:20" x14ac:dyDescent="0.25">
      <c r="O7015" s="14"/>
      <c r="P7015" s="14"/>
      <c r="Q7015" s="14"/>
      <c r="R7015" s="14"/>
      <c r="S7015" s="14"/>
      <c r="T7015" s="14"/>
    </row>
    <row r="7016" spans="15:20" x14ac:dyDescent="0.25">
      <c r="O7016" s="14"/>
      <c r="P7016" s="14"/>
      <c r="Q7016" s="14"/>
      <c r="R7016" s="14"/>
      <c r="S7016" s="14"/>
      <c r="T7016" s="14"/>
    </row>
    <row r="7017" spans="15:20" x14ac:dyDescent="0.25">
      <c r="O7017" s="14"/>
      <c r="P7017" s="14"/>
      <c r="Q7017" s="14"/>
      <c r="R7017" s="14"/>
      <c r="S7017" s="14"/>
      <c r="T7017" s="14"/>
    </row>
    <row r="7018" spans="15:20" x14ac:dyDescent="0.25">
      <c r="O7018" s="14"/>
      <c r="P7018" s="14"/>
      <c r="Q7018" s="14"/>
      <c r="R7018" s="14"/>
      <c r="S7018" s="14"/>
      <c r="T7018" s="14"/>
    </row>
    <row r="7019" spans="15:20" x14ac:dyDescent="0.25">
      <c r="O7019" s="14"/>
      <c r="P7019" s="14"/>
      <c r="Q7019" s="14"/>
      <c r="R7019" s="14"/>
      <c r="S7019" s="14"/>
      <c r="T7019" s="14"/>
    </row>
    <row r="7020" spans="15:20" x14ac:dyDescent="0.25">
      <c r="O7020" s="14"/>
      <c r="P7020" s="14"/>
      <c r="Q7020" s="14"/>
      <c r="R7020" s="14"/>
      <c r="S7020" s="14"/>
      <c r="T7020" s="14"/>
    </row>
    <row r="7021" spans="15:20" x14ac:dyDescent="0.25">
      <c r="O7021" s="14"/>
      <c r="P7021" s="14"/>
      <c r="Q7021" s="14"/>
      <c r="R7021" s="14"/>
      <c r="S7021" s="14"/>
      <c r="T7021" s="14"/>
    </row>
    <row r="7022" spans="15:20" x14ac:dyDescent="0.25">
      <c r="O7022" s="14"/>
      <c r="P7022" s="14"/>
      <c r="Q7022" s="14"/>
      <c r="R7022" s="14"/>
      <c r="S7022" s="14"/>
      <c r="T7022" s="14"/>
    </row>
    <row r="7023" spans="15:20" x14ac:dyDescent="0.25">
      <c r="O7023" s="14"/>
      <c r="P7023" s="14"/>
      <c r="Q7023" s="14"/>
      <c r="R7023" s="14"/>
      <c r="S7023" s="14"/>
      <c r="T7023" s="14"/>
    </row>
    <row r="7024" spans="15:20" x14ac:dyDescent="0.25">
      <c r="O7024" s="14"/>
      <c r="P7024" s="14"/>
      <c r="Q7024" s="14"/>
      <c r="R7024" s="14"/>
      <c r="S7024" s="14"/>
      <c r="T7024" s="14"/>
    </row>
    <row r="7025" spans="15:20" x14ac:dyDescent="0.25">
      <c r="O7025" s="14"/>
      <c r="P7025" s="14"/>
      <c r="Q7025" s="14"/>
      <c r="R7025" s="14"/>
      <c r="S7025" s="14"/>
      <c r="T7025" s="14"/>
    </row>
    <row r="7026" spans="15:20" x14ac:dyDescent="0.25">
      <c r="O7026" s="14"/>
      <c r="P7026" s="14"/>
      <c r="Q7026" s="14"/>
      <c r="R7026" s="14"/>
      <c r="S7026" s="14"/>
      <c r="T7026" s="14"/>
    </row>
    <row r="7027" spans="15:20" x14ac:dyDescent="0.25">
      <c r="O7027" s="14"/>
      <c r="P7027" s="14"/>
      <c r="Q7027" s="14"/>
      <c r="R7027" s="14"/>
      <c r="S7027" s="14"/>
      <c r="T7027" s="14"/>
    </row>
    <row r="7028" spans="15:20" x14ac:dyDescent="0.25">
      <c r="O7028" s="14"/>
      <c r="P7028" s="14"/>
      <c r="Q7028" s="14"/>
      <c r="R7028" s="14"/>
      <c r="S7028" s="14"/>
      <c r="T7028" s="14"/>
    </row>
    <row r="7029" spans="15:20" x14ac:dyDescent="0.25">
      <c r="O7029" s="14"/>
      <c r="P7029" s="14"/>
      <c r="Q7029" s="14"/>
      <c r="R7029" s="14"/>
      <c r="S7029" s="14"/>
      <c r="T7029" s="14"/>
    </row>
    <row r="7030" spans="15:20" x14ac:dyDescent="0.25">
      <c r="O7030" s="14"/>
      <c r="P7030" s="14"/>
      <c r="Q7030" s="14"/>
      <c r="R7030" s="14"/>
      <c r="S7030" s="14"/>
      <c r="T7030" s="14"/>
    </row>
    <row r="7031" spans="15:20" x14ac:dyDescent="0.25">
      <c r="O7031" s="14"/>
      <c r="P7031" s="14"/>
      <c r="Q7031" s="14"/>
      <c r="R7031" s="14"/>
      <c r="S7031" s="14"/>
      <c r="T7031" s="14"/>
    </row>
    <row r="7032" spans="15:20" x14ac:dyDescent="0.25">
      <c r="O7032" s="14"/>
      <c r="P7032" s="14"/>
      <c r="Q7032" s="14"/>
      <c r="R7032" s="14"/>
      <c r="S7032" s="14"/>
      <c r="T7032" s="14"/>
    </row>
    <row r="7033" spans="15:20" x14ac:dyDescent="0.25">
      <c r="O7033" s="14"/>
      <c r="P7033" s="14"/>
      <c r="Q7033" s="14"/>
      <c r="R7033" s="14"/>
      <c r="S7033" s="14"/>
      <c r="T7033" s="14"/>
    </row>
    <row r="7034" spans="15:20" x14ac:dyDescent="0.25">
      <c r="O7034" s="14"/>
      <c r="P7034" s="14"/>
      <c r="Q7034" s="14"/>
      <c r="R7034" s="14"/>
      <c r="S7034" s="14"/>
      <c r="T7034" s="14"/>
    </row>
    <row r="7035" spans="15:20" x14ac:dyDescent="0.25">
      <c r="O7035" s="14"/>
      <c r="P7035" s="14"/>
      <c r="Q7035" s="14"/>
      <c r="R7035" s="14"/>
      <c r="S7035" s="14"/>
      <c r="T7035" s="14"/>
    </row>
    <row r="7036" spans="15:20" x14ac:dyDescent="0.25">
      <c r="O7036" s="14"/>
      <c r="P7036" s="14"/>
      <c r="Q7036" s="14"/>
      <c r="R7036" s="14"/>
      <c r="S7036" s="14"/>
      <c r="T7036" s="14"/>
    </row>
    <row r="7037" spans="15:20" x14ac:dyDescent="0.25">
      <c r="O7037" s="14"/>
      <c r="P7037" s="14"/>
      <c r="Q7037" s="14"/>
      <c r="R7037" s="14"/>
      <c r="S7037" s="14"/>
      <c r="T7037" s="14"/>
    </row>
    <row r="7038" spans="15:20" x14ac:dyDescent="0.25">
      <c r="O7038" s="14"/>
      <c r="P7038" s="14"/>
      <c r="Q7038" s="14"/>
      <c r="R7038" s="14"/>
      <c r="S7038" s="14"/>
      <c r="T7038" s="14"/>
    </row>
    <row r="7039" spans="15:20" x14ac:dyDescent="0.25">
      <c r="O7039" s="14"/>
      <c r="P7039" s="14"/>
      <c r="Q7039" s="14"/>
      <c r="R7039" s="14"/>
      <c r="S7039" s="14"/>
      <c r="T7039" s="14"/>
    </row>
    <row r="7040" spans="15:20" x14ac:dyDescent="0.25">
      <c r="O7040" s="14"/>
      <c r="P7040" s="14"/>
      <c r="Q7040" s="14"/>
      <c r="R7040" s="14"/>
      <c r="S7040" s="14"/>
      <c r="T7040" s="14"/>
    </row>
    <row r="7041" spans="15:20" x14ac:dyDescent="0.25">
      <c r="O7041" s="14"/>
      <c r="P7041" s="14"/>
      <c r="Q7041" s="14"/>
      <c r="R7041" s="14"/>
      <c r="S7041" s="14"/>
      <c r="T7041" s="14"/>
    </row>
    <row r="7042" spans="15:20" x14ac:dyDescent="0.25">
      <c r="O7042" s="14"/>
      <c r="P7042" s="14"/>
      <c r="Q7042" s="14"/>
      <c r="R7042" s="14"/>
      <c r="S7042" s="14"/>
      <c r="T7042" s="14"/>
    </row>
    <row r="7043" spans="15:20" x14ac:dyDescent="0.25">
      <c r="O7043" s="14"/>
      <c r="P7043" s="14"/>
      <c r="Q7043" s="14"/>
      <c r="R7043" s="14"/>
      <c r="S7043" s="14"/>
      <c r="T7043" s="14"/>
    </row>
    <row r="7044" spans="15:20" x14ac:dyDescent="0.25">
      <c r="O7044" s="14"/>
      <c r="P7044" s="14"/>
      <c r="Q7044" s="14"/>
      <c r="R7044" s="14"/>
      <c r="S7044" s="14"/>
      <c r="T7044" s="14"/>
    </row>
    <row r="7045" spans="15:20" x14ac:dyDescent="0.25">
      <c r="O7045" s="14"/>
      <c r="P7045" s="14"/>
      <c r="Q7045" s="14"/>
      <c r="R7045" s="14"/>
      <c r="S7045" s="14"/>
      <c r="T7045" s="14"/>
    </row>
    <row r="7046" spans="15:20" x14ac:dyDescent="0.25">
      <c r="O7046" s="14"/>
      <c r="P7046" s="14"/>
      <c r="Q7046" s="14"/>
      <c r="R7046" s="14"/>
      <c r="S7046" s="14"/>
      <c r="T7046" s="14"/>
    </row>
    <row r="7047" spans="15:20" x14ac:dyDescent="0.25">
      <c r="O7047" s="14"/>
      <c r="P7047" s="14"/>
      <c r="Q7047" s="14"/>
      <c r="R7047" s="14"/>
      <c r="S7047" s="14"/>
      <c r="T7047" s="14"/>
    </row>
    <row r="7048" spans="15:20" x14ac:dyDescent="0.25">
      <c r="O7048" s="14"/>
      <c r="P7048" s="14"/>
      <c r="Q7048" s="14"/>
      <c r="R7048" s="14"/>
      <c r="S7048" s="14"/>
      <c r="T7048" s="14"/>
    </row>
    <row r="7049" spans="15:20" x14ac:dyDescent="0.25">
      <c r="O7049" s="14"/>
      <c r="P7049" s="14"/>
      <c r="Q7049" s="14"/>
      <c r="R7049" s="14"/>
      <c r="S7049" s="14"/>
      <c r="T7049" s="14"/>
    </row>
    <row r="7050" spans="15:20" x14ac:dyDescent="0.25">
      <c r="O7050" s="14"/>
      <c r="P7050" s="14"/>
      <c r="Q7050" s="14"/>
      <c r="R7050" s="14"/>
      <c r="S7050" s="14"/>
      <c r="T7050" s="14"/>
    </row>
    <row r="7051" spans="15:20" x14ac:dyDescent="0.25">
      <c r="O7051" s="14"/>
      <c r="P7051" s="14"/>
      <c r="Q7051" s="14"/>
      <c r="R7051" s="14"/>
      <c r="S7051" s="14"/>
      <c r="T7051" s="14"/>
    </row>
    <row r="7052" spans="15:20" x14ac:dyDescent="0.25">
      <c r="O7052" s="14"/>
      <c r="P7052" s="14"/>
      <c r="Q7052" s="14"/>
      <c r="R7052" s="14"/>
      <c r="S7052" s="14"/>
      <c r="T7052" s="14"/>
    </row>
    <row r="7053" spans="15:20" x14ac:dyDescent="0.25">
      <c r="O7053" s="14"/>
      <c r="P7053" s="14"/>
      <c r="Q7053" s="14"/>
      <c r="R7053" s="14"/>
      <c r="S7053" s="14"/>
      <c r="T7053" s="14"/>
    </row>
    <row r="7054" spans="15:20" x14ac:dyDescent="0.25">
      <c r="O7054" s="14"/>
      <c r="P7054" s="14"/>
      <c r="Q7054" s="14"/>
      <c r="R7054" s="14"/>
      <c r="S7054" s="14"/>
      <c r="T7054" s="14"/>
    </row>
    <row r="7055" spans="15:20" x14ac:dyDescent="0.25">
      <c r="O7055" s="14"/>
      <c r="P7055" s="14"/>
      <c r="Q7055" s="14"/>
      <c r="R7055" s="14"/>
      <c r="S7055" s="14"/>
      <c r="T7055" s="14"/>
    </row>
    <row r="7056" spans="15:20" x14ac:dyDescent="0.25">
      <c r="O7056" s="14"/>
      <c r="P7056" s="14"/>
      <c r="Q7056" s="14"/>
      <c r="R7056" s="14"/>
      <c r="S7056" s="14"/>
      <c r="T7056" s="14"/>
    </row>
    <row r="7057" spans="15:20" x14ac:dyDescent="0.25">
      <c r="O7057" s="14"/>
      <c r="P7057" s="14"/>
      <c r="Q7057" s="14"/>
      <c r="R7057" s="14"/>
      <c r="S7057" s="14"/>
      <c r="T7057" s="14"/>
    </row>
    <row r="7058" spans="15:20" x14ac:dyDescent="0.25">
      <c r="O7058" s="14"/>
      <c r="P7058" s="14"/>
      <c r="Q7058" s="14"/>
      <c r="R7058" s="14"/>
      <c r="S7058" s="14"/>
      <c r="T7058" s="14"/>
    </row>
    <row r="7059" spans="15:20" x14ac:dyDescent="0.25">
      <c r="O7059" s="14"/>
      <c r="P7059" s="14"/>
      <c r="Q7059" s="14"/>
      <c r="R7059" s="14"/>
      <c r="S7059" s="14"/>
      <c r="T7059" s="14"/>
    </row>
    <row r="7060" spans="15:20" x14ac:dyDescent="0.25">
      <c r="O7060" s="14"/>
      <c r="P7060" s="14"/>
      <c r="Q7060" s="14"/>
      <c r="R7060" s="14"/>
      <c r="S7060" s="14"/>
      <c r="T7060" s="14"/>
    </row>
    <row r="7061" spans="15:20" x14ac:dyDescent="0.25">
      <c r="O7061" s="14"/>
      <c r="P7061" s="14"/>
      <c r="Q7061" s="14"/>
      <c r="R7061" s="14"/>
      <c r="S7061" s="14"/>
      <c r="T7061" s="14"/>
    </row>
    <row r="7062" spans="15:20" x14ac:dyDescent="0.25">
      <c r="O7062" s="14"/>
      <c r="P7062" s="14"/>
      <c r="Q7062" s="14"/>
      <c r="R7062" s="14"/>
      <c r="S7062" s="14"/>
      <c r="T7062" s="14"/>
    </row>
    <row r="7063" spans="15:20" x14ac:dyDescent="0.25">
      <c r="O7063" s="14"/>
      <c r="P7063" s="14"/>
      <c r="Q7063" s="14"/>
      <c r="R7063" s="14"/>
      <c r="S7063" s="14"/>
      <c r="T7063" s="14"/>
    </row>
    <row r="7064" spans="15:20" x14ac:dyDescent="0.25">
      <c r="O7064" s="14"/>
      <c r="P7064" s="14"/>
      <c r="Q7064" s="14"/>
      <c r="R7064" s="14"/>
      <c r="S7064" s="14"/>
      <c r="T7064" s="14"/>
    </row>
    <row r="7065" spans="15:20" x14ac:dyDescent="0.25">
      <c r="O7065" s="14"/>
      <c r="P7065" s="14"/>
      <c r="Q7065" s="14"/>
      <c r="R7065" s="14"/>
      <c r="S7065" s="14"/>
      <c r="T7065" s="14"/>
    </row>
    <row r="7066" spans="15:20" x14ac:dyDescent="0.25">
      <c r="O7066" s="14"/>
      <c r="P7066" s="14"/>
      <c r="Q7066" s="14"/>
      <c r="R7066" s="14"/>
      <c r="S7066" s="14"/>
      <c r="T7066" s="14"/>
    </row>
    <row r="7067" spans="15:20" x14ac:dyDescent="0.25">
      <c r="O7067" s="14"/>
      <c r="P7067" s="14"/>
      <c r="Q7067" s="14"/>
      <c r="R7067" s="14"/>
      <c r="S7067" s="14"/>
      <c r="T7067" s="14"/>
    </row>
    <row r="7068" spans="15:20" x14ac:dyDescent="0.25">
      <c r="O7068" s="14"/>
      <c r="P7068" s="14"/>
      <c r="Q7068" s="14"/>
      <c r="R7068" s="14"/>
      <c r="S7068" s="14"/>
      <c r="T7068" s="14"/>
    </row>
    <row r="7069" spans="15:20" x14ac:dyDescent="0.25">
      <c r="O7069" s="14"/>
      <c r="P7069" s="14"/>
      <c r="Q7069" s="14"/>
      <c r="R7069" s="14"/>
      <c r="S7069" s="14"/>
      <c r="T7069" s="14"/>
    </row>
    <row r="7070" spans="15:20" x14ac:dyDescent="0.25">
      <c r="O7070" s="14"/>
      <c r="P7070" s="14"/>
      <c r="Q7070" s="14"/>
      <c r="R7070" s="14"/>
      <c r="S7070" s="14"/>
      <c r="T7070" s="14"/>
    </row>
    <row r="7071" spans="15:20" x14ac:dyDescent="0.25">
      <c r="O7071" s="14"/>
      <c r="P7071" s="14"/>
      <c r="Q7071" s="14"/>
      <c r="R7071" s="14"/>
      <c r="S7071" s="14"/>
      <c r="T7071" s="14"/>
    </row>
    <row r="7072" spans="15:20" x14ac:dyDescent="0.25">
      <c r="O7072" s="14"/>
      <c r="P7072" s="14"/>
      <c r="Q7072" s="14"/>
      <c r="R7072" s="14"/>
      <c r="S7072" s="14"/>
      <c r="T7072" s="14"/>
    </row>
    <row r="7073" spans="15:20" x14ac:dyDescent="0.25">
      <c r="O7073" s="14"/>
      <c r="P7073" s="14"/>
      <c r="Q7073" s="14"/>
      <c r="R7073" s="14"/>
      <c r="S7073" s="14"/>
      <c r="T7073" s="14"/>
    </row>
    <row r="7074" spans="15:20" x14ac:dyDescent="0.25">
      <c r="O7074" s="14"/>
      <c r="P7074" s="14"/>
      <c r="Q7074" s="14"/>
      <c r="R7074" s="14"/>
      <c r="S7074" s="14"/>
      <c r="T7074" s="14"/>
    </row>
    <row r="7075" spans="15:20" x14ac:dyDescent="0.25">
      <c r="O7075" s="14"/>
      <c r="P7075" s="14"/>
      <c r="Q7075" s="14"/>
      <c r="R7075" s="14"/>
      <c r="S7075" s="14"/>
      <c r="T7075" s="14"/>
    </row>
    <row r="7076" spans="15:20" x14ac:dyDescent="0.25">
      <c r="O7076" s="14"/>
      <c r="P7076" s="14"/>
      <c r="Q7076" s="14"/>
      <c r="R7076" s="14"/>
      <c r="S7076" s="14"/>
      <c r="T7076" s="14"/>
    </row>
    <row r="7077" spans="15:20" x14ac:dyDescent="0.25">
      <c r="O7077" s="14"/>
      <c r="P7077" s="14"/>
      <c r="Q7077" s="14"/>
      <c r="R7077" s="14"/>
      <c r="S7077" s="14"/>
      <c r="T7077" s="14"/>
    </row>
    <row r="7078" spans="15:20" x14ac:dyDescent="0.25">
      <c r="O7078" s="14"/>
      <c r="P7078" s="14"/>
      <c r="Q7078" s="14"/>
      <c r="R7078" s="14"/>
      <c r="S7078" s="14"/>
      <c r="T7078" s="14"/>
    </row>
    <row r="7079" spans="15:20" x14ac:dyDescent="0.25">
      <c r="O7079" s="14"/>
      <c r="P7079" s="14"/>
      <c r="Q7079" s="14"/>
      <c r="R7079" s="14"/>
      <c r="S7079" s="14"/>
      <c r="T7079" s="14"/>
    </row>
    <row r="7080" spans="15:20" x14ac:dyDescent="0.25">
      <c r="O7080" s="14"/>
      <c r="P7080" s="14"/>
      <c r="Q7080" s="14"/>
      <c r="R7080" s="14"/>
      <c r="S7080" s="14"/>
      <c r="T7080" s="14"/>
    </row>
    <row r="7081" spans="15:20" x14ac:dyDescent="0.25">
      <c r="O7081" s="14"/>
      <c r="P7081" s="14"/>
      <c r="Q7081" s="14"/>
      <c r="R7081" s="14"/>
      <c r="S7081" s="14"/>
      <c r="T7081" s="14"/>
    </row>
    <row r="7082" spans="15:20" x14ac:dyDescent="0.25">
      <c r="O7082" s="14"/>
      <c r="P7082" s="14"/>
      <c r="Q7082" s="14"/>
      <c r="R7082" s="14"/>
      <c r="S7082" s="14"/>
      <c r="T7082" s="14"/>
    </row>
    <row r="7083" spans="15:20" x14ac:dyDescent="0.25">
      <c r="O7083" s="14"/>
      <c r="P7083" s="14"/>
      <c r="Q7083" s="14"/>
      <c r="R7083" s="14"/>
      <c r="S7083" s="14"/>
      <c r="T7083" s="14"/>
    </row>
    <row r="7084" spans="15:20" x14ac:dyDescent="0.25">
      <c r="O7084" s="14"/>
      <c r="P7084" s="14"/>
      <c r="Q7084" s="14"/>
      <c r="R7084" s="14"/>
      <c r="S7084" s="14"/>
      <c r="T7084" s="14"/>
    </row>
    <row r="7085" spans="15:20" x14ac:dyDescent="0.25">
      <c r="O7085" s="14"/>
      <c r="P7085" s="14"/>
      <c r="Q7085" s="14"/>
      <c r="R7085" s="14"/>
      <c r="S7085" s="14"/>
      <c r="T7085" s="14"/>
    </row>
    <row r="7086" spans="15:20" x14ac:dyDescent="0.25">
      <c r="O7086" s="14"/>
      <c r="P7086" s="14"/>
      <c r="Q7086" s="14"/>
      <c r="R7086" s="14"/>
      <c r="S7086" s="14"/>
      <c r="T7086" s="14"/>
    </row>
    <row r="7087" spans="15:20" x14ac:dyDescent="0.25">
      <c r="O7087" s="14"/>
      <c r="P7087" s="14"/>
      <c r="Q7087" s="14"/>
      <c r="R7087" s="14"/>
      <c r="S7087" s="14"/>
      <c r="T7087" s="14"/>
    </row>
    <row r="7088" spans="15:20" x14ac:dyDescent="0.25">
      <c r="O7088" s="14"/>
      <c r="P7088" s="14"/>
      <c r="Q7088" s="14"/>
      <c r="R7088" s="14"/>
      <c r="S7088" s="14"/>
      <c r="T7088" s="14"/>
    </row>
    <row r="7089" spans="15:20" x14ac:dyDescent="0.25">
      <c r="O7089" s="14"/>
      <c r="P7089" s="14"/>
      <c r="Q7089" s="14"/>
      <c r="R7089" s="14"/>
      <c r="S7089" s="14"/>
      <c r="T7089" s="14"/>
    </row>
    <row r="7090" spans="15:20" x14ac:dyDescent="0.25">
      <c r="O7090" s="14"/>
      <c r="P7090" s="14"/>
      <c r="Q7090" s="14"/>
      <c r="R7090" s="14"/>
      <c r="S7090" s="14"/>
      <c r="T7090" s="14"/>
    </row>
    <row r="7091" spans="15:20" x14ac:dyDescent="0.25">
      <c r="O7091" s="14"/>
      <c r="P7091" s="14"/>
      <c r="Q7091" s="14"/>
      <c r="R7091" s="14"/>
      <c r="S7091" s="14"/>
      <c r="T7091" s="14"/>
    </row>
    <row r="7092" spans="15:20" x14ac:dyDescent="0.25">
      <c r="O7092" s="14"/>
      <c r="P7092" s="14"/>
      <c r="Q7092" s="14"/>
      <c r="R7092" s="14"/>
      <c r="S7092" s="14"/>
      <c r="T7092" s="14"/>
    </row>
    <row r="7093" spans="15:20" x14ac:dyDescent="0.25">
      <c r="O7093" s="14"/>
      <c r="P7093" s="14"/>
      <c r="Q7093" s="14"/>
      <c r="R7093" s="14"/>
      <c r="S7093" s="14"/>
      <c r="T7093" s="14"/>
    </row>
    <row r="7094" spans="15:20" x14ac:dyDescent="0.25">
      <c r="O7094" s="14"/>
      <c r="P7094" s="14"/>
      <c r="Q7094" s="14"/>
      <c r="R7094" s="14"/>
      <c r="S7094" s="14"/>
      <c r="T7094" s="14"/>
    </row>
    <row r="7095" spans="15:20" x14ac:dyDescent="0.25">
      <c r="O7095" s="14"/>
      <c r="P7095" s="14"/>
      <c r="Q7095" s="14"/>
      <c r="R7095" s="14"/>
      <c r="S7095" s="14"/>
      <c r="T7095" s="14"/>
    </row>
    <row r="7096" spans="15:20" x14ac:dyDescent="0.25">
      <c r="O7096" s="14"/>
      <c r="P7096" s="14"/>
      <c r="Q7096" s="14"/>
      <c r="R7096" s="14"/>
      <c r="S7096" s="14"/>
      <c r="T7096" s="14"/>
    </row>
    <row r="7097" spans="15:20" x14ac:dyDescent="0.25">
      <c r="O7097" s="14"/>
      <c r="P7097" s="14"/>
      <c r="Q7097" s="14"/>
      <c r="R7097" s="14"/>
      <c r="S7097" s="14"/>
      <c r="T7097" s="14"/>
    </row>
    <row r="7098" spans="15:20" x14ac:dyDescent="0.25">
      <c r="O7098" s="14"/>
      <c r="P7098" s="14"/>
      <c r="Q7098" s="14"/>
      <c r="R7098" s="14"/>
      <c r="S7098" s="14"/>
      <c r="T7098" s="14"/>
    </row>
    <row r="7099" spans="15:20" x14ac:dyDescent="0.25">
      <c r="O7099" s="14"/>
      <c r="P7099" s="14"/>
      <c r="Q7099" s="14"/>
      <c r="R7099" s="14"/>
      <c r="S7099" s="14"/>
      <c r="T7099" s="14"/>
    </row>
    <row r="7100" spans="15:20" x14ac:dyDescent="0.25">
      <c r="O7100" s="14"/>
      <c r="P7100" s="14"/>
      <c r="Q7100" s="14"/>
      <c r="R7100" s="14"/>
      <c r="S7100" s="14"/>
      <c r="T7100" s="14"/>
    </row>
    <row r="7101" spans="15:20" x14ac:dyDescent="0.25">
      <c r="O7101" s="14"/>
      <c r="P7101" s="14"/>
      <c r="Q7101" s="14"/>
      <c r="R7101" s="14"/>
      <c r="S7101" s="14"/>
      <c r="T7101" s="14"/>
    </row>
    <row r="7102" spans="15:20" x14ac:dyDescent="0.25">
      <c r="O7102" s="14"/>
      <c r="P7102" s="14"/>
      <c r="Q7102" s="14"/>
      <c r="R7102" s="14"/>
      <c r="S7102" s="14"/>
      <c r="T7102" s="14"/>
    </row>
    <row r="7103" spans="15:20" x14ac:dyDescent="0.25">
      <c r="O7103" s="14"/>
      <c r="P7103" s="14"/>
      <c r="Q7103" s="14"/>
      <c r="R7103" s="14"/>
      <c r="S7103" s="14"/>
      <c r="T7103" s="14"/>
    </row>
    <row r="7104" spans="15:20" x14ac:dyDescent="0.25">
      <c r="O7104" s="14"/>
      <c r="P7104" s="14"/>
      <c r="Q7104" s="14"/>
      <c r="R7104" s="14"/>
      <c r="S7104" s="14"/>
      <c r="T7104" s="14"/>
    </row>
    <row r="7105" spans="15:20" x14ac:dyDescent="0.25">
      <c r="O7105" s="14"/>
      <c r="P7105" s="14"/>
      <c r="Q7105" s="14"/>
      <c r="R7105" s="14"/>
      <c r="S7105" s="14"/>
      <c r="T7105" s="14"/>
    </row>
    <row r="7106" spans="15:20" x14ac:dyDescent="0.25">
      <c r="O7106" s="14"/>
      <c r="P7106" s="14"/>
      <c r="Q7106" s="14"/>
      <c r="R7106" s="14"/>
      <c r="S7106" s="14"/>
      <c r="T7106" s="14"/>
    </row>
    <row r="7107" spans="15:20" x14ac:dyDescent="0.25">
      <c r="O7107" s="14"/>
      <c r="P7107" s="14"/>
      <c r="Q7107" s="14"/>
      <c r="R7107" s="14"/>
      <c r="S7107" s="14"/>
      <c r="T7107" s="14"/>
    </row>
    <row r="7108" spans="15:20" x14ac:dyDescent="0.25">
      <c r="O7108" s="14"/>
      <c r="P7108" s="14"/>
      <c r="Q7108" s="14"/>
      <c r="R7108" s="14"/>
      <c r="S7108" s="14"/>
      <c r="T7108" s="14"/>
    </row>
    <row r="7109" spans="15:20" x14ac:dyDescent="0.25">
      <c r="O7109" s="14"/>
      <c r="P7109" s="14"/>
      <c r="Q7109" s="14"/>
      <c r="R7109" s="14"/>
      <c r="S7109" s="14"/>
      <c r="T7109" s="14"/>
    </row>
    <row r="7110" spans="15:20" x14ac:dyDescent="0.25">
      <c r="O7110" s="14"/>
      <c r="P7110" s="14"/>
      <c r="Q7110" s="14"/>
      <c r="R7110" s="14"/>
      <c r="S7110" s="14"/>
      <c r="T7110" s="14"/>
    </row>
    <row r="7111" spans="15:20" x14ac:dyDescent="0.25">
      <c r="O7111" s="14"/>
      <c r="P7111" s="14"/>
      <c r="Q7111" s="14"/>
      <c r="R7111" s="14"/>
      <c r="S7111" s="14"/>
      <c r="T7111" s="14"/>
    </row>
    <row r="7112" spans="15:20" x14ac:dyDescent="0.25">
      <c r="O7112" s="14"/>
      <c r="P7112" s="14"/>
      <c r="Q7112" s="14"/>
      <c r="R7112" s="14"/>
      <c r="S7112" s="14"/>
      <c r="T7112" s="14"/>
    </row>
    <row r="7113" spans="15:20" x14ac:dyDescent="0.25">
      <c r="O7113" s="14"/>
      <c r="P7113" s="14"/>
      <c r="Q7113" s="14"/>
      <c r="R7113" s="14"/>
      <c r="S7113" s="14"/>
      <c r="T7113" s="14"/>
    </row>
    <row r="7114" spans="15:20" x14ac:dyDescent="0.25">
      <c r="O7114" s="14"/>
      <c r="P7114" s="14"/>
      <c r="Q7114" s="14"/>
      <c r="R7114" s="14"/>
      <c r="S7114" s="14"/>
      <c r="T7114" s="14"/>
    </row>
    <row r="7115" spans="15:20" x14ac:dyDescent="0.25">
      <c r="O7115" s="14"/>
      <c r="P7115" s="14"/>
      <c r="Q7115" s="14"/>
      <c r="R7115" s="14"/>
      <c r="S7115" s="14"/>
      <c r="T7115" s="14"/>
    </row>
    <row r="7116" spans="15:20" x14ac:dyDescent="0.25">
      <c r="O7116" s="14"/>
      <c r="P7116" s="14"/>
      <c r="Q7116" s="14"/>
      <c r="R7116" s="14"/>
      <c r="S7116" s="14"/>
      <c r="T7116" s="14"/>
    </row>
    <row r="7117" spans="15:20" x14ac:dyDescent="0.25">
      <c r="O7117" s="14"/>
      <c r="P7117" s="14"/>
      <c r="Q7117" s="14"/>
      <c r="R7117" s="14"/>
      <c r="S7117" s="14"/>
      <c r="T7117" s="14"/>
    </row>
    <row r="7118" spans="15:20" x14ac:dyDescent="0.25">
      <c r="O7118" s="14"/>
      <c r="P7118" s="14"/>
      <c r="Q7118" s="14"/>
      <c r="R7118" s="14"/>
      <c r="S7118" s="14"/>
      <c r="T7118" s="14"/>
    </row>
    <row r="7119" spans="15:20" x14ac:dyDescent="0.25">
      <c r="O7119" s="14"/>
      <c r="P7119" s="14"/>
      <c r="Q7119" s="14"/>
      <c r="R7119" s="14"/>
      <c r="S7119" s="14"/>
      <c r="T7119" s="14"/>
    </row>
    <row r="7120" spans="15:20" x14ac:dyDescent="0.25">
      <c r="O7120" s="14"/>
      <c r="P7120" s="14"/>
      <c r="Q7120" s="14"/>
      <c r="R7120" s="14"/>
      <c r="S7120" s="14"/>
      <c r="T7120" s="14"/>
    </row>
    <row r="7121" spans="15:20" x14ac:dyDescent="0.25">
      <c r="O7121" s="14"/>
      <c r="P7121" s="14"/>
      <c r="Q7121" s="14"/>
      <c r="R7121" s="14"/>
      <c r="S7121" s="14"/>
      <c r="T7121" s="14"/>
    </row>
    <row r="7122" spans="15:20" x14ac:dyDescent="0.25">
      <c r="O7122" s="14"/>
      <c r="P7122" s="14"/>
      <c r="Q7122" s="14"/>
      <c r="R7122" s="14"/>
      <c r="S7122" s="14"/>
      <c r="T7122" s="14"/>
    </row>
    <row r="7123" spans="15:20" x14ac:dyDescent="0.25">
      <c r="O7123" s="14"/>
      <c r="P7123" s="14"/>
      <c r="Q7123" s="14"/>
      <c r="R7123" s="14"/>
      <c r="S7123" s="14"/>
      <c r="T7123" s="14"/>
    </row>
    <row r="7124" spans="15:20" x14ac:dyDescent="0.25">
      <c r="O7124" s="14"/>
      <c r="P7124" s="14"/>
      <c r="Q7124" s="14"/>
      <c r="R7124" s="14"/>
      <c r="S7124" s="14"/>
      <c r="T7124" s="14"/>
    </row>
    <row r="7125" spans="15:20" x14ac:dyDescent="0.25">
      <c r="O7125" s="14"/>
      <c r="P7125" s="14"/>
      <c r="Q7125" s="14"/>
      <c r="R7125" s="14"/>
      <c r="S7125" s="14"/>
      <c r="T7125" s="14"/>
    </row>
    <row r="7126" spans="15:20" x14ac:dyDescent="0.25">
      <c r="O7126" s="14"/>
      <c r="P7126" s="14"/>
      <c r="Q7126" s="14"/>
      <c r="R7126" s="14"/>
      <c r="S7126" s="14"/>
      <c r="T7126" s="14"/>
    </row>
    <row r="7127" spans="15:20" x14ac:dyDescent="0.25">
      <c r="O7127" s="14"/>
      <c r="P7127" s="14"/>
      <c r="Q7127" s="14"/>
      <c r="R7127" s="14"/>
      <c r="S7127" s="14"/>
      <c r="T7127" s="14"/>
    </row>
    <row r="7128" spans="15:20" x14ac:dyDescent="0.25">
      <c r="O7128" s="14"/>
      <c r="P7128" s="14"/>
      <c r="Q7128" s="14"/>
      <c r="R7128" s="14"/>
      <c r="S7128" s="14"/>
      <c r="T7128" s="14"/>
    </row>
    <row r="7129" spans="15:20" x14ac:dyDescent="0.25">
      <c r="O7129" s="14"/>
      <c r="P7129" s="14"/>
      <c r="Q7129" s="14"/>
      <c r="R7129" s="14"/>
      <c r="S7129" s="14"/>
      <c r="T7129" s="14"/>
    </row>
    <row r="7130" spans="15:20" x14ac:dyDescent="0.25">
      <c r="O7130" s="14"/>
      <c r="P7130" s="14"/>
      <c r="Q7130" s="14"/>
      <c r="R7130" s="14"/>
      <c r="S7130" s="14"/>
      <c r="T7130" s="14"/>
    </row>
    <row r="7131" spans="15:20" x14ac:dyDescent="0.25">
      <c r="O7131" s="14"/>
      <c r="P7131" s="14"/>
      <c r="Q7131" s="14"/>
      <c r="R7131" s="14"/>
      <c r="S7131" s="14"/>
      <c r="T7131" s="14"/>
    </row>
    <row r="7132" spans="15:20" x14ac:dyDescent="0.25">
      <c r="O7132" s="14"/>
      <c r="P7132" s="14"/>
      <c r="Q7132" s="14"/>
      <c r="R7132" s="14"/>
      <c r="S7132" s="14"/>
      <c r="T7132" s="14"/>
    </row>
    <row r="7133" spans="15:20" x14ac:dyDescent="0.25">
      <c r="O7133" s="14"/>
      <c r="P7133" s="14"/>
      <c r="Q7133" s="14"/>
      <c r="R7133" s="14"/>
      <c r="S7133" s="14"/>
      <c r="T7133" s="14"/>
    </row>
    <row r="7134" spans="15:20" x14ac:dyDescent="0.25">
      <c r="O7134" s="14"/>
      <c r="P7134" s="14"/>
      <c r="Q7134" s="14"/>
      <c r="R7134" s="14"/>
      <c r="S7134" s="14"/>
      <c r="T7134" s="14"/>
    </row>
    <row r="7135" spans="15:20" x14ac:dyDescent="0.25">
      <c r="O7135" s="14"/>
      <c r="P7135" s="14"/>
      <c r="Q7135" s="14"/>
      <c r="R7135" s="14"/>
      <c r="S7135" s="14"/>
      <c r="T7135" s="14"/>
    </row>
    <row r="7136" spans="15:20" x14ac:dyDescent="0.25">
      <c r="O7136" s="14"/>
      <c r="P7136" s="14"/>
      <c r="Q7136" s="14"/>
      <c r="R7136" s="14"/>
      <c r="S7136" s="14"/>
      <c r="T7136" s="14"/>
    </row>
    <row r="7137" spans="15:20" x14ac:dyDescent="0.25">
      <c r="O7137" s="14"/>
      <c r="P7137" s="14"/>
      <c r="Q7137" s="14"/>
      <c r="R7137" s="14"/>
      <c r="S7137" s="14"/>
      <c r="T7137" s="14"/>
    </row>
    <row r="7138" spans="15:20" x14ac:dyDescent="0.25">
      <c r="O7138" s="14"/>
      <c r="P7138" s="14"/>
      <c r="Q7138" s="14"/>
      <c r="R7138" s="14"/>
      <c r="S7138" s="14"/>
      <c r="T7138" s="14"/>
    </row>
    <row r="7139" spans="15:20" x14ac:dyDescent="0.25">
      <c r="O7139" s="14"/>
      <c r="P7139" s="14"/>
      <c r="Q7139" s="14"/>
      <c r="R7139" s="14"/>
      <c r="S7139" s="14"/>
      <c r="T7139" s="14"/>
    </row>
    <row r="7140" spans="15:20" x14ac:dyDescent="0.25">
      <c r="O7140" s="14"/>
      <c r="P7140" s="14"/>
      <c r="Q7140" s="14"/>
      <c r="R7140" s="14"/>
      <c r="S7140" s="14"/>
      <c r="T7140" s="14"/>
    </row>
    <row r="7141" spans="15:20" x14ac:dyDescent="0.25">
      <c r="O7141" s="14"/>
      <c r="P7141" s="14"/>
      <c r="Q7141" s="14"/>
      <c r="R7141" s="14"/>
      <c r="S7141" s="14"/>
      <c r="T7141" s="14"/>
    </row>
    <row r="7142" spans="15:20" x14ac:dyDescent="0.25">
      <c r="O7142" s="14"/>
      <c r="P7142" s="14"/>
      <c r="Q7142" s="14"/>
      <c r="R7142" s="14"/>
      <c r="S7142" s="14"/>
      <c r="T7142" s="14"/>
    </row>
    <row r="7143" spans="15:20" x14ac:dyDescent="0.25">
      <c r="O7143" s="14"/>
      <c r="P7143" s="14"/>
      <c r="Q7143" s="14"/>
      <c r="R7143" s="14"/>
      <c r="S7143" s="14"/>
      <c r="T7143" s="14"/>
    </row>
    <row r="7144" spans="15:20" x14ac:dyDescent="0.25">
      <c r="O7144" s="14"/>
      <c r="P7144" s="14"/>
      <c r="Q7144" s="14"/>
      <c r="R7144" s="14"/>
      <c r="S7144" s="14"/>
      <c r="T7144" s="14"/>
    </row>
    <row r="7145" spans="15:20" x14ac:dyDescent="0.25">
      <c r="O7145" s="14"/>
      <c r="P7145" s="14"/>
      <c r="Q7145" s="14"/>
      <c r="R7145" s="14"/>
      <c r="S7145" s="14"/>
      <c r="T7145" s="14"/>
    </row>
    <row r="7146" spans="15:20" x14ac:dyDescent="0.25">
      <c r="O7146" s="14"/>
      <c r="P7146" s="14"/>
      <c r="Q7146" s="14"/>
      <c r="R7146" s="14"/>
      <c r="S7146" s="14"/>
      <c r="T7146" s="14"/>
    </row>
    <row r="7147" spans="15:20" x14ac:dyDescent="0.25">
      <c r="O7147" s="14"/>
      <c r="P7147" s="14"/>
      <c r="Q7147" s="14"/>
      <c r="R7147" s="14"/>
      <c r="S7147" s="14"/>
      <c r="T7147" s="14"/>
    </row>
    <row r="7148" spans="15:20" x14ac:dyDescent="0.25">
      <c r="O7148" s="14"/>
      <c r="P7148" s="14"/>
      <c r="Q7148" s="14"/>
      <c r="R7148" s="14"/>
      <c r="S7148" s="14"/>
      <c r="T7148" s="14"/>
    </row>
    <row r="7149" spans="15:20" x14ac:dyDescent="0.25">
      <c r="O7149" s="14"/>
      <c r="P7149" s="14"/>
      <c r="Q7149" s="14"/>
      <c r="R7149" s="14"/>
      <c r="S7149" s="14"/>
      <c r="T7149" s="14"/>
    </row>
    <row r="7150" spans="15:20" x14ac:dyDescent="0.25">
      <c r="O7150" s="14"/>
      <c r="P7150" s="14"/>
      <c r="Q7150" s="14"/>
      <c r="R7150" s="14"/>
      <c r="S7150" s="14"/>
      <c r="T7150" s="14"/>
    </row>
    <row r="7151" spans="15:20" x14ac:dyDescent="0.25">
      <c r="O7151" s="14"/>
      <c r="P7151" s="14"/>
      <c r="Q7151" s="14"/>
      <c r="R7151" s="14"/>
      <c r="S7151" s="14"/>
      <c r="T7151" s="14"/>
    </row>
    <row r="7152" spans="15:20" x14ac:dyDescent="0.25">
      <c r="O7152" s="14"/>
      <c r="P7152" s="14"/>
      <c r="Q7152" s="14"/>
      <c r="R7152" s="14"/>
      <c r="S7152" s="14"/>
      <c r="T7152" s="14"/>
    </row>
    <row r="7153" spans="15:20" x14ac:dyDescent="0.25">
      <c r="O7153" s="14"/>
      <c r="P7153" s="14"/>
      <c r="Q7153" s="14"/>
      <c r="R7153" s="14"/>
      <c r="S7153" s="14"/>
      <c r="T7153" s="14"/>
    </row>
    <row r="7154" spans="15:20" x14ac:dyDescent="0.25">
      <c r="O7154" s="14"/>
      <c r="P7154" s="14"/>
      <c r="Q7154" s="14"/>
      <c r="R7154" s="14"/>
      <c r="S7154" s="14"/>
      <c r="T7154" s="14"/>
    </row>
    <row r="7155" spans="15:20" x14ac:dyDescent="0.25">
      <c r="O7155" s="14"/>
      <c r="P7155" s="14"/>
      <c r="Q7155" s="14"/>
      <c r="R7155" s="14"/>
      <c r="S7155" s="14"/>
      <c r="T7155" s="14"/>
    </row>
    <row r="7156" spans="15:20" x14ac:dyDescent="0.25">
      <c r="O7156" s="14"/>
      <c r="P7156" s="14"/>
      <c r="Q7156" s="14"/>
      <c r="R7156" s="14"/>
      <c r="S7156" s="14"/>
      <c r="T7156" s="14"/>
    </row>
    <row r="7157" spans="15:20" x14ac:dyDescent="0.25">
      <c r="O7157" s="14"/>
      <c r="P7157" s="14"/>
      <c r="Q7157" s="14"/>
      <c r="R7157" s="14"/>
      <c r="S7157" s="14"/>
      <c r="T7157" s="14"/>
    </row>
    <row r="7158" spans="15:20" x14ac:dyDescent="0.25">
      <c r="O7158" s="14"/>
      <c r="P7158" s="14"/>
      <c r="Q7158" s="14"/>
      <c r="R7158" s="14"/>
      <c r="S7158" s="14"/>
      <c r="T7158" s="14"/>
    </row>
    <row r="7159" spans="15:20" x14ac:dyDescent="0.25">
      <c r="O7159" s="14"/>
      <c r="P7159" s="14"/>
      <c r="Q7159" s="14"/>
      <c r="R7159" s="14"/>
      <c r="S7159" s="14"/>
      <c r="T7159" s="14"/>
    </row>
    <row r="7160" spans="15:20" x14ac:dyDescent="0.25">
      <c r="O7160" s="14"/>
      <c r="P7160" s="14"/>
      <c r="Q7160" s="14"/>
      <c r="R7160" s="14"/>
      <c r="S7160" s="14"/>
      <c r="T7160" s="14"/>
    </row>
    <row r="7161" spans="15:20" x14ac:dyDescent="0.25">
      <c r="O7161" s="14"/>
      <c r="P7161" s="14"/>
      <c r="Q7161" s="14"/>
      <c r="R7161" s="14"/>
      <c r="S7161" s="14"/>
      <c r="T7161" s="14"/>
    </row>
    <row r="7162" spans="15:20" x14ac:dyDescent="0.25">
      <c r="O7162" s="14"/>
      <c r="P7162" s="14"/>
      <c r="Q7162" s="14"/>
      <c r="R7162" s="14"/>
      <c r="S7162" s="14"/>
      <c r="T7162" s="14"/>
    </row>
    <row r="7163" spans="15:20" x14ac:dyDescent="0.25">
      <c r="O7163" s="14"/>
      <c r="P7163" s="14"/>
      <c r="Q7163" s="14"/>
      <c r="R7163" s="14"/>
      <c r="S7163" s="14"/>
      <c r="T7163" s="14"/>
    </row>
    <row r="7164" spans="15:20" x14ac:dyDescent="0.25">
      <c r="O7164" s="14"/>
      <c r="P7164" s="14"/>
      <c r="Q7164" s="14"/>
      <c r="R7164" s="14"/>
      <c r="S7164" s="14"/>
      <c r="T7164" s="14"/>
    </row>
    <row r="7165" spans="15:20" x14ac:dyDescent="0.25">
      <c r="O7165" s="14"/>
      <c r="P7165" s="14"/>
      <c r="Q7165" s="14"/>
      <c r="R7165" s="14"/>
      <c r="S7165" s="14"/>
      <c r="T7165" s="14"/>
    </row>
    <row r="7166" spans="15:20" x14ac:dyDescent="0.25">
      <c r="O7166" s="14"/>
      <c r="P7166" s="14"/>
      <c r="Q7166" s="14"/>
      <c r="R7166" s="14"/>
      <c r="S7166" s="14"/>
      <c r="T7166" s="14"/>
    </row>
    <row r="7167" spans="15:20" x14ac:dyDescent="0.25">
      <c r="O7167" s="14"/>
      <c r="P7167" s="14"/>
      <c r="Q7167" s="14"/>
      <c r="R7167" s="14"/>
      <c r="S7167" s="14"/>
      <c r="T7167" s="14"/>
    </row>
    <row r="7168" spans="15:20" x14ac:dyDescent="0.25">
      <c r="O7168" s="14"/>
      <c r="P7168" s="14"/>
      <c r="Q7168" s="14"/>
      <c r="R7168" s="14"/>
      <c r="S7168" s="14"/>
      <c r="T7168" s="14"/>
    </row>
    <row r="7169" spans="15:20" x14ac:dyDescent="0.25">
      <c r="O7169" s="14"/>
      <c r="P7169" s="14"/>
      <c r="Q7169" s="14"/>
      <c r="R7169" s="14"/>
      <c r="S7169" s="14"/>
      <c r="T7169" s="14"/>
    </row>
    <row r="7170" spans="15:20" x14ac:dyDescent="0.25">
      <c r="O7170" s="14"/>
      <c r="P7170" s="14"/>
      <c r="Q7170" s="14"/>
      <c r="R7170" s="14"/>
      <c r="S7170" s="14"/>
      <c r="T7170" s="14"/>
    </row>
    <row r="7171" spans="15:20" x14ac:dyDescent="0.25">
      <c r="O7171" s="14"/>
      <c r="P7171" s="14"/>
      <c r="Q7171" s="14"/>
      <c r="R7171" s="14"/>
      <c r="S7171" s="14"/>
      <c r="T7171" s="14"/>
    </row>
    <row r="7172" spans="15:20" x14ac:dyDescent="0.25">
      <c r="O7172" s="14"/>
      <c r="P7172" s="14"/>
      <c r="Q7172" s="14"/>
      <c r="R7172" s="14"/>
      <c r="S7172" s="14"/>
      <c r="T7172" s="14"/>
    </row>
    <row r="7173" spans="15:20" x14ac:dyDescent="0.25">
      <c r="O7173" s="14"/>
      <c r="P7173" s="14"/>
      <c r="Q7173" s="14"/>
      <c r="R7173" s="14"/>
      <c r="S7173" s="14"/>
      <c r="T7173" s="14"/>
    </row>
    <row r="7174" spans="15:20" x14ac:dyDescent="0.25">
      <c r="O7174" s="14"/>
      <c r="P7174" s="14"/>
      <c r="Q7174" s="14"/>
      <c r="R7174" s="14"/>
      <c r="S7174" s="14"/>
      <c r="T7174" s="14"/>
    </row>
    <row r="7175" spans="15:20" x14ac:dyDescent="0.25">
      <c r="O7175" s="14"/>
      <c r="P7175" s="14"/>
      <c r="Q7175" s="14"/>
      <c r="R7175" s="14"/>
      <c r="S7175" s="14"/>
      <c r="T7175" s="14"/>
    </row>
    <row r="7176" spans="15:20" x14ac:dyDescent="0.25">
      <c r="O7176" s="14"/>
      <c r="P7176" s="14"/>
      <c r="Q7176" s="14"/>
      <c r="R7176" s="14"/>
      <c r="S7176" s="14"/>
      <c r="T7176" s="14"/>
    </row>
    <row r="7177" spans="15:20" x14ac:dyDescent="0.25">
      <c r="O7177" s="14"/>
      <c r="P7177" s="14"/>
      <c r="Q7177" s="14"/>
      <c r="R7177" s="14"/>
      <c r="S7177" s="14"/>
      <c r="T7177" s="14"/>
    </row>
    <row r="7178" spans="15:20" x14ac:dyDescent="0.25">
      <c r="O7178" s="14"/>
      <c r="P7178" s="14"/>
      <c r="Q7178" s="14"/>
      <c r="R7178" s="14"/>
      <c r="S7178" s="14"/>
      <c r="T7178" s="14"/>
    </row>
    <row r="7179" spans="15:20" x14ac:dyDescent="0.25">
      <c r="O7179" s="14"/>
      <c r="P7179" s="14"/>
      <c r="Q7179" s="14"/>
      <c r="R7179" s="14"/>
      <c r="S7179" s="14"/>
      <c r="T7179" s="14"/>
    </row>
    <row r="7180" spans="15:20" x14ac:dyDescent="0.25">
      <c r="O7180" s="14"/>
      <c r="P7180" s="14"/>
      <c r="Q7180" s="14"/>
      <c r="R7180" s="14"/>
      <c r="S7180" s="14"/>
      <c r="T7180" s="14"/>
    </row>
    <row r="7181" spans="15:20" x14ac:dyDescent="0.25">
      <c r="O7181" s="14"/>
      <c r="P7181" s="14"/>
      <c r="Q7181" s="14"/>
      <c r="R7181" s="14"/>
      <c r="S7181" s="14"/>
      <c r="T7181" s="14"/>
    </row>
    <row r="7182" spans="15:20" x14ac:dyDescent="0.25">
      <c r="O7182" s="14"/>
      <c r="P7182" s="14"/>
      <c r="Q7182" s="14"/>
      <c r="R7182" s="14"/>
      <c r="S7182" s="14"/>
      <c r="T7182" s="14"/>
    </row>
    <row r="7183" spans="15:20" x14ac:dyDescent="0.25">
      <c r="O7183" s="14"/>
      <c r="P7183" s="14"/>
      <c r="Q7183" s="14"/>
      <c r="R7183" s="14"/>
      <c r="S7183" s="14"/>
      <c r="T7183" s="14"/>
    </row>
    <row r="7184" spans="15:20" x14ac:dyDescent="0.25">
      <c r="O7184" s="14"/>
      <c r="P7184" s="14"/>
      <c r="Q7184" s="14"/>
      <c r="R7184" s="14"/>
      <c r="S7184" s="14"/>
      <c r="T7184" s="14"/>
    </row>
    <row r="7185" spans="15:20" x14ac:dyDescent="0.25">
      <c r="O7185" s="14"/>
      <c r="P7185" s="14"/>
      <c r="Q7185" s="14"/>
      <c r="R7185" s="14"/>
      <c r="S7185" s="14"/>
      <c r="T7185" s="14"/>
    </row>
    <row r="7186" spans="15:20" x14ac:dyDescent="0.25">
      <c r="O7186" s="14"/>
      <c r="P7186" s="14"/>
      <c r="Q7186" s="14"/>
      <c r="R7186" s="14"/>
      <c r="S7186" s="14"/>
      <c r="T7186" s="14"/>
    </row>
    <row r="7187" spans="15:20" x14ac:dyDescent="0.25">
      <c r="O7187" s="14"/>
      <c r="P7187" s="14"/>
      <c r="Q7187" s="14"/>
      <c r="R7187" s="14"/>
      <c r="S7187" s="14"/>
      <c r="T7187" s="14"/>
    </row>
    <row r="7188" spans="15:20" x14ac:dyDescent="0.25">
      <c r="O7188" s="14"/>
      <c r="P7188" s="14"/>
      <c r="Q7188" s="14"/>
      <c r="R7188" s="14"/>
      <c r="S7188" s="14"/>
      <c r="T7188" s="14"/>
    </row>
    <row r="7189" spans="15:20" x14ac:dyDescent="0.25">
      <c r="O7189" s="14"/>
      <c r="P7189" s="14"/>
      <c r="Q7189" s="14"/>
      <c r="R7189" s="14"/>
      <c r="S7189" s="14"/>
      <c r="T7189" s="14"/>
    </row>
    <row r="7190" spans="15:20" x14ac:dyDescent="0.25">
      <c r="O7190" s="14"/>
      <c r="P7190" s="14"/>
      <c r="Q7190" s="14"/>
      <c r="R7190" s="14"/>
      <c r="S7190" s="14"/>
      <c r="T7190" s="14"/>
    </row>
    <row r="7191" spans="15:20" x14ac:dyDescent="0.25">
      <c r="O7191" s="14"/>
      <c r="P7191" s="14"/>
      <c r="Q7191" s="14"/>
      <c r="R7191" s="14"/>
      <c r="S7191" s="14"/>
      <c r="T7191" s="14"/>
    </row>
    <row r="7192" spans="15:20" x14ac:dyDescent="0.25">
      <c r="O7192" s="14"/>
      <c r="P7192" s="14"/>
      <c r="Q7192" s="14"/>
      <c r="R7192" s="14"/>
      <c r="S7192" s="14"/>
      <c r="T7192" s="14"/>
    </row>
    <row r="7193" spans="15:20" x14ac:dyDescent="0.25">
      <c r="O7193" s="14"/>
      <c r="P7193" s="14"/>
      <c r="Q7193" s="14"/>
      <c r="R7193" s="14"/>
      <c r="S7193" s="14"/>
      <c r="T7193" s="14"/>
    </row>
    <row r="7194" spans="15:20" x14ac:dyDescent="0.25">
      <c r="O7194" s="14"/>
      <c r="P7194" s="14"/>
      <c r="Q7194" s="14"/>
      <c r="R7194" s="14"/>
      <c r="S7194" s="14"/>
      <c r="T7194" s="14"/>
    </row>
    <row r="7195" spans="15:20" x14ac:dyDescent="0.25">
      <c r="O7195" s="14"/>
      <c r="P7195" s="14"/>
      <c r="Q7195" s="14"/>
      <c r="R7195" s="14"/>
      <c r="S7195" s="14"/>
      <c r="T7195" s="14"/>
    </row>
    <row r="7196" spans="15:20" x14ac:dyDescent="0.25">
      <c r="O7196" s="14"/>
      <c r="P7196" s="14"/>
      <c r="Q7196" s="14"/>
      <c r="R7196" s="14"/>
      <c r="S7196" s="14"/>
      <c r="T7196" s="14"/>
    </row>
    <row r="7197" spans="15:20" x14ac:dyDescent="0.25">
      <c r="O7197" s="14"/>
      <c r="P7197" s="14"/>
      <c r="Q7197" s="14"/>
      <c r="R7197" s="14"/>
      <c r="S7197" s="14"/>
      <c r="T7197" s="14"/>
    </row>
    <row r="7198" spans="15:20" x14ac:dyDescent="0.25">
      <c r="O7198" s="14"/>
      <c r="P7198" s="14"/>
      <c r="Q7198" s="14"/>
      <c r="R7198" s="14"/>
      <c r="S7198" s="14"/>
      <c r="T7198" s="14"/>
    </row>
    <row r="7199" spans="15:20" x14ac:dyDescent="0.25">
      <c r="O7199" s="14"/>
      <c r="P7199" s="14"/>
      <c r="Q7199" s="14"/>
      <c r="R7199" s="14"/>
      <c r="S7199" s="14"/>
      <c r="T7199" s="14"/>
    </row>
    <row r="7200" spans="15:20" x14ac:dyDescent="0.25">
      <c r="O7200" s="14"/>
      <c r="P7200" s="14"/>
      <c r="Q7200" s="14"/>
      <c r="R7200" s="14"/>
      <c r="S7200" s="14"/>
      <c r="T7200" s="14"/>
    </row>
    <row r="7201" spans="15:20" x14ac:dyDescent="0.25">
      <c r="O7201" s="14"/>
      <c r="P7201" s="14"/>
      <c r="Q7201" s="14"/>
      <c r="R7201" s="14"/>
      <c r="S7201" s="14"/>
      <c r="T7201" s="14"/>
    </row>
    <row r="7202" spans="15:20" x14ac:dyDescent="0.25">
      <c r="O7202" s="14"/>
      <c r="P7202" s="14"/>
      <c r="Q7202" s="14"/>
      <c r="R7202" s="14"/>
      <c r="S7202" s="14"/>
      <c r="T7202" s="14"/>
    </row>
    <row r="7203" spans="15:20" x14ac:dyDescent="0.25">
      <c r="O7203" s="14"/>
      <c r="P7203" s="14"/>
      <c r="Q7203" s="14"/>
      <c r="R7203" s="14"/>
      <c r="S7203" s="14"/>
      <c r="T7203" s="14"/>
    </row>
    <row r="7204" spans="15:20" x14ac:dyDescent="0.25">
      <c r="O7204" s="14"/>
      <c r="P7204" s="14"/>
      <c r="Q7204" s="14"/>
      <c r="R7204" s="14"/>
      <c r="S7204" s="14"/>
      <c r="T7204" s="14"/>
    </row>
    <row r="7205" spans="15:20" x14ac:dyDescent="0.25">
      <c r="O7205" s="14"/>
      <c r="P7205" s="14"/>
      <c r="Q7205" s="14"/>
      <c r="R7205" s="14"/>
      <c r="S7205" s="14"/>
      <c r="T7205" s="14"/>
    </row>
    <row r="7206" spans="15:20" x14ac:dyDescent="0.25">
      <c r="O7206" s="14"/>
      <c r="P7206" s="14"/>
      <c r="Q7206" s="14"/>
      <c r="R7206" s="14"/>
      <c r="S7206" s="14"/>
      <c r="T7206" s="14"/>
    </row>
    <row r="7207" spans="15:20" x14ac:dyDescent="0.25">
      <c r="O7207" s="14"/>
      <c r="P7207" s="14"/>
      <c r="Q7207" s="14"/>
      <c r="R7207" s="14"/>
      <c r="S7207" s="14"/>
      <c r="T7207" s="14"/>
    </row>
    <row r="7208" spans="15:20" x14ac:dyDescent="0.25">
      <c r="O7208" s="14"/>
      <c r="P7208" s="14"/>
      <c r="Q7208" s="14"/>
      <c r="R7208" s="14"/>
      <c r="S7208" s="14"/>
      <c r="T7208" s="14"/>
    </row>
    <row r="7209" spans="15:20" x14ac:dyDescent="0.25">
      <c r="O7209" s="14"/>
      <c r="P7209" s="14"/>
      <c r="Q7209" s="14"/>
      <c r="R7209" s="14"/>
      <c r="S7209" s="14"/>
      <c r="T7209" s="14"/>
    </row>
    <row r="7210" spans="15:20" x14ac:dyDescent="0.25">
      <c r="O7210" s="14"/>
      <c r="P7210" s="14"/>
      <c r="Q7210" s="14"/>
      <c r="R7210" s="14"/>
      <c r="S7210" s="14"/>
      <c r="T7210" s="14"/>
    </row>
    <row r="7211" spans="15:20" x14ac:dyDescent="0.25">
      <c r="O7211" s="14"/>
      <c r="P7211" s="14"/>
      <c r="Q7211" s="14"/>
      <c r="R7211" s="14"/>
      <c r="S7211" s="14"/>
      <c r="T7211" s="14"/>
    </row>
    <row r="7212" spans="15:20" x14ac:dyDescent="0.25">
      <c r="O7212" s="14"/>
      <c r="P7212" s="14"/>
      <c r="Q7212" s="14"/>
      <c r="R7212" s="14"/>
      <c r="S7212" s="14"/>
      <c r="T7212" s="14"/>
    </row>
    <row r="7213" spans="15:20" x14ac:dyDescent="0.25">
      <c r="O7213" s="14"/>
      <c r="P7213" s="14"/>
      <c r="Q7213" s="14"/>
      <c r="R7213" s="14"/>
      <c r="S7213" s="14"/>
      <c r="T7213" s="14"/>
    </row>
    <row r="7214" spans="15:20" x14ac:dyDescent="0.25">
      <c r="O7214" s="14"/>
      <c r="P7214" s="14"/>
      <c r="Q7214" s="14"/>
      <c r="R7214" s="14"/>
      <c r="S7214" s="14"/>
      <c r="T7214" s="14"/>
    </row>
    <row r="7215" spans="15:20" x14ac:dyDescent="0.25">
      <c r="O7215" s="14"/>
      <c r="P7215" s="14"/>
      <c r="Q7215" s="14"/>
      <c r="R7215" s="14"/>
      <c r="S7215" s="14"/>
      <c r="T7215" s="14"/>
    </row>
    <row r="7216" spans="15:20" x14ac:dyDescent="0.25">
      <c r="O7216" s="14"/>
      <c r="P7216" s="14"/>
      <c r="Q7216" s="14"/>
      <c r="R7216" s="14"/>
      <c r="S7216" s="14"/>
      <c r="T7216" s="14"/>
    </row>
    <row r="7217" spans="15:20" x14ac:dyDescent="0.25">
      <c r="O7217" s="14"/>
      <c r="P7217" s="14"/>
      <c r="Q7217" s="14"/>
      <c r="R7217" s="14"/>
      <c r="S7217" s="14"/>
      <c r="T7217" s="14"/>
    </row>
    <row r="7218" spans="15:20" x14ac:dyDescent="0.25">
      <c r="O7218" s="14"/>
      <c r="P7218" s="14"/>
      <c r="Q7218" s="14"/>
      <c r="R7218" s="14"/>
      <c r="S7218" s="14"/>
      <c r="T7218" s="14"/>
    </row>
    <row r="7219" spans="15:20" x14ac:dyDescent="0.25">
      <c r="O7219" s="14"/>
      <c r="P7219" s="14"/>
      <c r="Q7219" s="14"/>
      <c r="R7219" s="14"/>
      <c r="S7219" s="14"/>
      <c r="T7219" s="14"/>
    </row>
    <row r="7220" spans="15:20" x14ac:dyDescent="0.25">
      <c r="O7220" s="14"/>
      <c r="P7220" s="14"/>
      <c r="Q7220" s="14"/>
      <c r="R7220" s="14"/>
      <c r="S7220" s="14"/>
      <c r="T7220" s="14"/>
    </row>
    <row r="7221" spans="15:20" x14ac:dyDescent="0.25">
      <c r="O7221" s="14"/>
      <c r="P7221" s="14"/>
      <c r="Q7221" s="14"/>
      <c r="R7221" s="14"/>
      <c r="S7221" s="14"/>
      <c r="T7221" s="14"/>
    </row>
    <row r="7222" spans="15:20" x14ac:dyDescent="0.25">
      <c r="O7222" s="14"/>
      <c r="P7222" s="14"/>
      <c r="Q7222" s="14"/>
      <c r="R7222" s="14"/>
      <c r="S7222" s="14"/>
      <c r="T7222" s="14"/>
    </row>
    <row r="7223" spans="15:20" x14ac:dyDescent="0.25">
      <c r="O7223" s="14"/>
      <c r="P7223" s="14"/>
      <c r="Q7223" s="14"/>
      <c r="R7223" s="14"/>
      <c r="S7223" s="14"/>
      <c r="T7223" s="14"/>
    </row>
    <row r="7224" spans="15:20" x14ac:dyDescent="0.25">
      <c r="O7224" s="14"/>
      <c r="P7224" s="14"/>
      <c r="Q7224" s="14"/>
      <c r="R7224" s="14"/>
      <c r="S7224" s="14"/>
      <c r="T7224" s="14"/>
    </row>
    <row r="7225" spans="15:20" x14ac:dyDescent="0.25">
      <c r="O7225" s="14"/>
      <c r="P7225" s="14"/>
      <c r="Q7225" s="14"/>
      <c r="R7225" s="14"/>
      <c r="S7225" s="14"/>
      <c r="T7225" s="14"/>
    </row>
    <row r="7226" spans="15:20" x14ac:dyDescent="0.25">
      <c r="O7226" s="14"/>
      <c r="P7226" s="14"/>
      <c r="Q7226" s="14"/>
      <c r="R7226" s="14"/>
      <c r="S7226" s="14"/>
      <c r="T7226" s="14"/>
    </row>
    <row r="7227" spans="15:20" x14ac:dyDescent="0.25">
      <c r="O7227" s="14"/>
      <c r="P7227" s="14"/>
      <c r="Q7227" s="14"/>
      <c r="R7227" s="14"/>
      <c r="S7227" s="14"/>
      <c r="T7227" s="14"/>
    </row>
    <row r="7228" spans="15:20" x14ac:dyDescent="0.25">
      <c r="O7228" s="14"/>
      <c r="P7228" s="14"/>
      <c r="Q7228" s="14"/>
      <c r="R7228" s="14"/>
      <c r="S7228" s="14"/>
      <c r="T7228" s="14"/>
    </row>
    <row r="7229" spans="15:20" x14ac:dyDescent="0.25">
      <c r="O7229" s="14"/>
      <c r="P7229" s="14"/>
      <c r="Q7229" s="14"/>
      <c r="R7229" s="14"/>
      <c r="S7229" s="14"/>
      <c r="T7229" s="14"/>
    </row>
    <row r="7230" spans="15:20" x14ac:dyDescent="0.25">
      <c r="O7230" s="14"/>
      <c r="P7230" s="14"/>
      <c r="Q7230" s="14"/>
      <c r="R7230" s="14"/>
      <c r="S7230" s="14"/>
      <c r="T7230" s="14"/>
    </row>
    <row r="7231" spans="15:20" x14ac:dyDescent="0.25">
      <c r="O7231" s="14"/>
      <c r="P7231" s="14"/>
      <c r="Q7231" s="14"/>
      <c r="R7231" s="14"/>
      <c r="S7231" s="14"/>
      <c r="T7231" s="14"/>
    </row>
    <row r="7232" spans="15:20" x14ac:dyDescent="0.25">
      <c r="O7232" s="14"/>
      <c r="P7232" s="14"/>
      <c r="Q7232" s="14"/>
      <c r="R7232" s="14"/>
      <c r="S7232" s="14"/>
      <c r="T7232" s="14"/>
    </row>
    <row r="7233" spans="15:20" x14ac:dyDescent="0.25">
      <c r="O7233" s="14"/>
      <c r="P7233" s="14"/>
      <c r="Q7233" s="14"/>
      <c r="R7233" s="14"/>
      <c r="S7233" s="14"/>
      <c r="T7233" s="14"/>
    </row>
    <row r="7234" spans="15:20" x14ac:dyDescent="0.25">
      <c r="O7234" s="14"/>
      <c r="P7234" s="14"/>
      <c r="Q7234" s="14"/>
      <c r="R7234" s="14"/>
      <c r="S7234" s="14"/>
      <c r="T7234" s="14"/>
    </row>
    <row r="7235" spans="15:20" x14ac:dyDescent="0.25">
      <c r="O7235" s="14"/>
      <c r="P7235" s="14"/>
      <c r="Q7235" s="14"/>
      <c r="R7235" s="14"/>
      <c r="S7235" s="14"/>
      <c r="T7235" s="14"/>
    </row>
    <row r="7236" spans="15:20" x14ac:dyDescent="0.25">
      <c r="O7236" s="14"/>
      <c r="P7236" s="14"/>
      <c r="Q7236" s="14"/>
      <c r="R7236" s="14"/>
      <c r="S7236" s="14"/>
      <c r="T7236" s="14"/>
    </row>
    <row r="7237" spans="15:20" x14ac:dyDescent="0.25">
      <c r="O7237" s="14"/>
      <c r="P7237" s="14"/>
      <c r="Q7237" s="14"/>
      <c r="R7237" s="14"/>
      <c r="S7237" s="14"/>
      <c r="T7237" s="14"/>
    </row>
    <row r="7238" spans="15:20" x14ac:dyDescent="0.25">
      <c r="O7238" s="14"/>
      <c r="P7238" s="14"/>
      <c r="Q7238" s="14"/>
      <c r="R7238" s="14"/>
      <c r="S7238" s="14"/>
      <c r="T7238" s="14"/>
    </row>
    <row r="7239" spans="15:20" x14ac:dyDescent="0.25">
      <c r="O7239" s="14"/>
      <c r="P7239" s="14"/>
      <c r="Q7239" s="14"/>
      <c r="R7239" s="14"/>
      <c r="S7239" s="14"/>
      <c r="T7239" s="14"/>
    </row>
    <row r="7240" spans="15:20" x14ac:dyDescent="0.25">
      <c r="O7240" s="14"/>
      <c r="P7240" s="14"/>
      <c r="Q7240" s="14"/>
      <c r="R7240" s="14"/>
      <c r="S7240" s="14"/>
      <c r="T7240" s="14"/>
    </row>
    <row r="7241" spans="15:20" x14ac:dyDescent="0.25">
      <c r="O7241" s="14"/>
      <c r="P7241" s="14"/>
      <c r="Q7241" s="14"/>
      <c r="R7241" s="14"/>
      <c r="S7241" s="14"/>
      <c r="T7241" s="14"/>
    </row>
    <row r="7242" spans="15:20" x14ac:dyDescent="0.25">
      <c r="O7242" s="14"/>
      <c r="P7242" s="14"/>
      <c r="Q7242" s="14"/>
      <c r="R7242" s="14"/>
      <c r="S7242" s="14"/>
      <c r="T7242" s="14"/>
    </row>
    <row r="7243" spans="15:20" x14ac:dyDescent="0.25">
      <c r="O7243" s="14"/>
      <c r="P7243" s="14"/>
      <c r="Q7243" s="14"/>
      <c r="R7243" s="14"/>
      <c r="S7243" s="14"/>
      <c r="T7243" s="14"/>
    </row>
    <row r="7244" spans="15:20" x14ac:dyDescent="0.25">
      <c r="O7244" s="14"/>
      <c r="P7244" s="14"/>
      <c r="Q7244" s="14"/>
      <c r="R7244" s="14"/>
      <c r="S7244" s="14"/>
      <c r="T7244" s="14"/>
    </row>
    <row r="7245" spans="15:20" x14ac:dyDescent="0.25">
      <c r="O7245" s="14"/>
      <c r="P7245" s="14"/>
      <c r="Q7245" s="14"/>
      <c r="R7245" s="14"/>
      <c r="S7245" s="14"/>
      <c r="T7245" s="14"/>
    </row>
    <row r="7246" spans="15:20" x14ac:dyDescent="0.25">
      <c r="O7246" s="14"/>
      <c r="P7246" s="14"/>
      <c r="Q7246" s="14"/>
      <c r="R7246" s="14"/>
      <c r="S7246" s="14"/>
      <c r="T7246" s="14"/>
    </row>
    <row r="7247" spans="15:20" x14ac:dyDescent="0.25">
      <c r="O7247" s="14"/>
      <c r="P7247" s="14"/>
      <c r="Q7247" s="14"/>
      <c r="R7247" s="14"/>
      <c r="S7247" s="14"/>
      <c r="T7247" s="14"/>
    </row>
    <row r="7248" spans="15:20" x14ac:dyDescent="0.25">
      <c r="O7248" s="14"/>
      <c r="P7248" s="14"/>
      <c r="Q7248" s="14"/>
      <c r="R7248" s="14"/>
      <c r="S7248" s="14"/>
      <c r="T7248" s="14"/>
    </row>
    <row r="7249" spans="15:20" x14ac:dyDescent="0.25">
      <c r="O7249" s="14"/>
      <c r="P7249" s="14"/>
      <c r="Q7249" s="14"/>
      <c r="R7249" s="14"/>
      <c r="S7249" s="14"/>
      <c r="T7249" s="14"/>
    </row>
    <row r="7250" spans="15:20" x14ac:dyDescent="0.25">
      <c r="O7250" s="14"/>
      <c r="P7250" s="14"/>
      <c r="Q7250" s="14"/>
      <c r="R7250" s="14"/>
      <c r="S7250" s="14"/>
      <c r="T7250" s="14"/>
    </row>
    <row r="7251" spans="15:20" x14ac:dyDescent="0.25">
      <c r="O7251" s="14"/>
      <c r="P7251" s="14"/>
      <c r="Q7251" s="14"/>
      <c r="R7251" s="14"/>
      <c r="S7251" s="14"/>
      <c r="T7251" s="14"/>
    </row>
    <row r="7252" spans="15:20" x14ac:dyDescent="0.25">
      <c r="O7252" s="14"/>
      <c r="P7252" s="14"/>
      <c r="Q7252" s="14"/>
      <c r="R7252" s="14"/>
      <c r="S7252" s="14"/>
      <c r="T7252" s="14"/>
    </row>
    <row r="7253" spans="15:20" x14ac:dyDescent="0.25">
      <c r="O7253" s="14"/>
      <c r="P7253" s="14"/>
      <c r="Q7253" s="14"/>
      <c r="R7253" s="14"/>
      <c r="S7253" s="14"/>
      <c r="T7253" s="14"/>
    </row>
    <row r="7254" spans="15:20" x14ac:dyDescent="0.25">
      <c r="O7254" s="14"/>
      <c r="P7254" s="14"/>
      <c r="Q7254" s="14"/>
      <c r="R7254" s="14"/>
      <c r="S7254" s="14"/>
      <c r="T7254" s="14"/>
    </row>
    <row r="7255" spans="15:20" x14ac:dyDescent="0.25">
      <c r="O7255" s="14"/>
      <c r="P7255" s="14"/>
      <c r="Q7255" s="14"/>
      <c r="R7255" s="14"/>
      <c r="S7255" s="14"/>
      <c r="T7255" s="14"/>
    </row>
    <row r="7256" spans="15:20" x14ac:dyDescent="0.25">
      <c r="O7256" s="14"/>
      <c r="P7256" s="14"/>
      <c r="Q7256" s="14"/>
      <c r="R7256" s="14"/>
      <c r="S7256" s="14"/>
      <c r="T7256" s="14"/>
    </row>
    <row r="7257" spans="15:20" x14ac:dyDescent="0.25">
      <c r="O7257" s="14"/>
      <c r="P7257" s="14"/>
      <c r="Q7257" s="14"/>
      <c r="R7257" s="14"/>
      <c r="S7257" s="14"/>
      <c r="T7257" s="14"/>
    </row>
    <row r="7258" spans="15:20" x14ac:dyDescent="0.25">
      <c r="O7258" s="14"/>
      <c r="P7258" s="14"/>
      <c r="Q7258" s="14"/>
      <c r="R7258" s="14"/>
      <c r="S7258" s="14"/>
      <c r="T7258" s="14"/>
    </row>
    <row r="7259" spans="15:20" x14ac:dyDescent="0.25">
      <c r="O7259" s="14"/>
      <c r="P7259" s="14"/>
      <c r="Q7259" s="14"/>
      <c r="R7259" s="14"/>
      <c r="S7259" s="14"/>
      <c r="T7259" s="14"/>
    </row>
    <row r="7260" spans="15:20" x14ac:dyDescent="0.25">
      <c r="O7260" s="14"/>
      <c r="P7260" s="14"/>
      <c r="Q7260" s="14"/>
      <c r="R7260" s="14"/>
      <c r="S7260" s="14"/>
      <c r="T7260" s="14"/>
    </row>
    <row r="7261" spans="15:20" x14ac:dyDescent="0.25">
      <c r="O7261" s="14"/>
      <c r="P7261" s="14"/>
      <c r="Q7261" s="14"/>
      <c r="R7261" s="14"/>
      <c r="S7261" s="14"/>
      <c r="T7261" s="14"/>
    </row>
    <row r="7262" spans="15:20" x14ac:dyDescent="0.25">
      <c r="O7262" s="14"/>
      <c r="P7262" s="14"/>
      <c r="Q7262" s="14"/>
      <c r="R7262" s="14"/>
      <c r="S7262" s="14"/>
      <c r="T7262" s="14"/>
    </row>
    <row r="7263" spans="15:20" x14ac:dyDescent="0.25">
      <c r="O7263" s="14"/>
      <c r="P7263" s="14"/>
      <c r="Q7263" s="14"/>
      <c r="R7263" s="14"/>
      <c r="S7263" s="14"/>
      <c r="T7263" s="14"/>
    </row>
    <row r="7264" spans="15:20" x14ac:dyDescent="0.25">
      <c r="O7264" s="14"/>
      <c r="P7264" s="14"/>
      <c r="Q7264" s="14"/>
      <c r="R7264" s="14"/>
      <c r="S7264" s="14"/>
      <c r="T7264" s="14"/>
    </row>
    <row r="7265" spans="15:20" x14ac:dyDescent="0.25">
      <c r="O7265" s="14"/>
      <c r="P7265" s="14"/>
      <c r="Q7265" s="14"/>
      <c r="R7265" s="14"/>
      <c r="S7265" s="14"/>
      <c r="T7265" s="14"/>
    </row>
    <row r="7266" spans="15:20" x14ac:dyDescent="0.25">
      <c r="O7266" s="14"/>
      <c r="P7266" s="14"/>
      <c r="Q7266" s="14"/>
      <c r="R7266" s="14"/>
      <c r="S7266" s="14"/>
      <c r="T7266" s="14"/>
    </row>
    <row r="7267" spans="15:20" x14ac:dyDescent="0.25">
      <c r="O7267" s="14"/>
      <c r="P7267" s="14"/>
      <c r="Q7267" s="14"/>
      <c r="R7267" s="14"/>
      <c r="S7267" s="14"/>
      <c r="T7267" s="14"/>
    </row>
    <row r="7268" spans="15:20" x14ac:dyDescent="0.25">
      <c r="O7268" s="14"/>
      <c r="P7268" s="14"/>
      <c r="Q7268" s="14"/>
      <c r="R7268" s="14"/>
      <c r="S7268" s="14"/>
      <c r="T7268" s="14"/>
    </row>
    <row r="7269" spans="15:20" x14ac:dyDescent="0.25">
      <c r="O7269" s="14"/>
      <c r="P7269" s="14"/>
      <c r="Q7269" s="14"/>
      <c r="R7269" s="14"/>
      <c r="S7269" s="14"/>
      <c r="T7269" s="14"/>
    </row>
    <row r="7270" spans="15:20" x14ac:dyDescent="0.25">
      <c r="O7270" s="14"/>
      <c r="P7270" s="14"/>
      <c r="Q7270" s="14"/>
      <c r="R7270" s="14"/>
      <c r="S7270" s="14"/>
      <c r="T7270" s="14"/>
    </row>
    <row r="7271" spans="15:20" x14ac:dyDescent="0.25">
      <c r="O7271" s="14"/>
      <c r="P7271" s="14"/>
      <c r="Q7271" s="14"/>
      <c r="R7271" s="14"/>
      <c r="S7271" s="14"/>
      <c r="T7271" s="14"/>
    </row>
    <row r="7272" spans="15:20" x14ac:dyDescent="0.25">
      <c r="O7272" s="14"/>
      <c r="P7272" s="14"/>
      <c r="Q7272" s="14"/>
      <c r="R7272" s="14"/>
      <c r="S7272" s="14"/>
      <c r="T7272" s="14"/>
    </row>
    <row r="7273" spans="15:20" x14ac:dyDescent="0.25">
      <c r="O7273" s="14"/>
      <c r="P7273" s="14"/>
      <c r="Q7273" s="14"/>
      <c r="R7273" s="14"/>
      <c r="S7273" s="14"/>
      <c r="T7273" s="14"/>
    </row>
    <row r="7274" spans="15:20" x14ac:dyDescent="0.25">
      <c r="O7274" s="14"/>
      <c r="P7274" s="14"/>
      <c r="Q7274" s="14"/>
      <c r="R7274" s="14"/>
      <c r="S7274" s="14"/>
      <c r="T7274" s="14"/>
    </row>
    <row r="7275" spans="15:20" x14ac:dyDescent="0.25">
      <c r="O7275" s="14"/>
      <c r="P7275" s="14"/>
      <c r="Q7275" s="14"/>
      <c r="R7275" s="14"/>
      <c r="S7275" s="14"/>
      <c r="T7275" s="14"/>
    </row>
    <row r="7276" spans="15:20" x14ac:dyDescent="0.25">
      <c r="O7276" s="14"/>
      <c r="P7276" s="14"/>
      <c r="Q7276" s="14"/>
      <c r="R7276" s="14"/>
      <c r="S7276" s="14"/>
      <c r="T7276" s="14"/>
    </row>
    <row r="7277" spans="15:20" x14ac:dyDescent="0.25">
      <c r="O7277" s="14"/>
      <c r="P7277" s="14"/>
      <c r="Q7277" s="14"/>
      <c r="R7277" s="14"/>
      <c r="S7277" s="14"/>
      <c r="T7277" s="14"/>
    </row>
    <row r="7278" spans="15:20" x14ac:dyDescent="0.25">
      <c r="O7278" s="14"/>
      <c r="P7278" s="14"/>
      <c r="Q7278" s="14"/>
      <c r="R7278" s="14"/>
      <c r="S7278" s="14"/>
      <c r="T7278" s="14"/>
    </row>
    <row r="7279" spans="15:20" x14ac:dyDescent="0.25">
      <c r="O7279" s="14"/>
      <c r="P7279" s="14"/>
      <c r="Q7279" s="14"/>
      <c r="R7279" s="14"/>
      <c r="S7279" s="14"/>
      <c r="T7279" s="14"/>
    </row>
    <row r="7280" spans="15:20" x14ac:dyDescent="0.25">
      <c r="O7280" s="14"/>
      <c r="P7280" s="14"/>
      <c r="Q7280" s="14"/>
      <c r="R7280" s="14"/>
      <c r="S7280" s="14"/>
      <c r="T7280" s="14"/>
    </row>
    <row r="7281" spans="15:20" x14ac:dyDescent="0.25">
      <c r="O7281" s="14"/>
      <c r="P7281" s="14"/>
      <c r="Q7281" s="14"/>
      <c r="R7281" s="14"/>
      <c r="S7281" s="14"/>
      <c r="T7281" s="14"/>
    </row>
    <row r="7282" spans="15:20" x14ac:dyDescent="0.25">
      <c r="O7282" s="14"/>
      <c r="P7282" s="14"/>
      <c r="Q7282" s="14"/>
      <c r="R7282" s="14"/>
      <c r="S7282" s="14"/>
      <c r="T7282" s="14"/>
    </row>
    <row r="7283" spans="15:20" x14ac:dyDescent="0.25">
      <c r="O7283" s="14"/>
      <c r="P7283" s="14"/>
      <c r="Q7283" s="14"/>
      <c r="R7283" s="14"/>
      <c r="S7283" s="14"/>
      <c r="T7283" s="14"/>
    </row>
    <row r="7284" spans="15:20" x14ac:dyDescent="0.25">
      <c r="O7284" s="14"/>
      <c r="P7284" s="14"/>
      <c r="Q7284" s="14"/>
      <c r="R7284" s="14"/>
      <c r="S7284" s="14"/>
      <c r="T7284" s="14"/>
    </row>
    <row r="7285" spans="15:20" x14ac:dyDescent="0.25">
      <c r="O7285" s="14"/>
      <c r="P7285" s="14"/>
      <c r="Q7285" s="14"/>
      <c r="R7285" s="14"/>
      <c r="S7285" s="14"/>
      <c r="T7285" s="14"/>
    </row>
    <row r="7286" spans="15:20" x14ac:dyDescent="0.25">
      <c r="O7286" s="14"/>
      <c r="P7286" s="14"/>
      <c r="Q7286" s="14"/>
      <c r="R7286" s="14"/>
      <c r="S7286" s="14"/>
      <c r="T7286" s="14"/>
    </row>
    <row r="7287" spans="15:20" x14ac:dyDescent="0.25">
      <c r="O7287" s="14"/>
      <c r="P7287" s="14"/>
      <c r="Q7287" s="14"/>
      <c r="R7287" s="14"/>
      <c r="S7287" s="14"/>
      <c r="T7287" s="14"/>
    </row>
    <row r="7288" spans="15:20" x14ac:dyDescent="0.25">
      <c r="O7288" s="14"/>
      <c r="P7288" s="14"/>
      <c r="Q7288" s="14"/>
      <c r="R7288" s="14"/>
      <c r="S7288" s="14"/>
      <c r="T7288" s="14"/>
    </row>
    <row r="7289" spans="15:20" x14ac:dyDescent="0.25">
      <c r="O7289" s="14"/>
      <c r="P7289" s="14"/>
      <c r="Q7289" s="14"/>
      <c r="R7289" s="14"/>
      <c r="S7289" s="14"/>
      <c r="T7289" s="14"/>
    </row>
    <row r="7290" spans="15:20" x14ac:dyDescent="0.25">
      <c r="O7290" s="14"/>
      <c r="P7290" s="14"/>
      <c r="Q7290" s="14"/>
      <c r="R7290" s="14"/>
      <c r="S7290" s="14"/>
      <c r="T7290" s="14"/>
    </row>
    <row r="7291" spans="15:20" x14ac:dyDescent="0.25">
      <c r="O7291" s="14"/>
      <c r="P7291" s="14"/>
      <c r="Q7291" s="14"/>
      <c r="R7291" s="14"/>
      <c r="S7291" s="14"/>
      <c r="T7291" s="14"/>
    </row>
    <row r="7292" spans="15:20" x14ac:dyDescent="0.25">
      <c r="O7292" s="14"/>
      <c r="P7292" s="14"/>
      <c r="Q7292" s="14"/>
      <c r="R7292" s="14"/>
      <c r="S7292" s="14"/>
      <c r="T7292" s="14"/>
    </row>
    <row r="7293" spans="15:20" x14ac:dyDescent="0.25">
      <c r="O7293" s="14"/>
      <c r="P7293" s="14"/>
      <c r="Q7293" s="14"/>
      <c r="R7293" s="14"/>
      <c r="S7293" s="14"/>
      <c r="T7293" s="14"/>
    </row>
    <row r="7294" spans="15:20" x14ac:dyDescent="0.25">
      <c r="O7294" s="14"/>
      <c r="P7294" s="14"/>
      <c r="Q7294" s="14"/>
      <c r="R7294" s="14"/>
      <c r="S7294" s="14"/>
      <c r="T7294" s="14"/>
    </row>
    <row r="7295" spans="15:20" x14ac:dyDescent="0.25">
      <c r="O7295" s="14"/>
      <c r="P7295" s="14"/>
      <c r="Q7295" s="14"/>
      <c r="R7295" s="14"/>
      <c r="S7295" s="14"/>
      <c r="T7295" s="14"/>
    </row>
    <row r="7296" spans="15:20" x14ac:dyDescent="0.25">
      <c r="O7296" s="14"/>
      <c r="P7296" s="14"/>
      <c r="Q7296" s="14"/>
      <c r="R7296" s="14"/>
      <c r="S7296" s="14"/>
      <c r="T7296" s="14"/>
    </row>
    <row r="7297" spans="15:20" x14ac:dyDescent="0.25">
      <c r="O7297" s="14"/>
      <c r="P7297" s="14"/>
      <c r="Q7297" s="14"/>
      <c r="R7297" s="14"/>
      <c r="S7297" s="14"/>
      <c r="T7297" s="14"/>
    </row>
    <row r="7298" spans="15:20" x14ac:dyDescent="0.25">
      <c r="O7298" s="14"/>
      <c r="P7298" s="14"/>
      <c r="Q7298" s="14"/>
      <c r="R7298" s="14"/>
      <c r="S7298" s="14"/>
      <c r="T7298" s="14"/>
    </row>
    <row r="7299" spans="15:20" x14ac:dyDescent="0.25">
      <c r="O7299" s="14"/>
      <c r="P7299" s="14"/>
      <c r="Q7299" s="14"/>
      <c r="R7299" s="14"/>
      <c r="S7299" s="14"/>
      <c r="T7299" s="14"/>
    </row>
    <row r="7300" spans="15:20" x14ac:dyDescent="0.25">
      <c r="O7300" s="14"/>
      <c r="P7300" s="14"/>
      <c r="Q7300" s="14"/>
      <c r="R7300" s="14"/>
      <c r="S7300" s="14"/>
      <c r="T7300" s="14"/>
    </row>
    <row r="7301" spans="15:20" x14ac:dyDescent="0.25">
      <c r="O7301" s="14"/>
      <c r="P7301" s="14"/>
      <c r="Q7301" s="14"/>
      <c r="R7301" s="14"/>
      <c r="S7301" s="14"/>
      <c r="T7301" s="14"/>
    </row>
    <row r="7302" spans="15:20" x14ac:dyDescent="0.25">
      <c r="O7302" s="14"/>
      <c r="P7302" s="14"/>
      <c r="Q7302" s="14"/>
      <c r="R7302" s="14"/>
      <c r="S7302" s="14"/>
      <c r="T7302" s="14"/>
    </row>
    <row r="7303" spans="15:20" x14ac:dyDescent="0.25">
      <c r="O7303" s="14"/>
      <c r="P7303" s="14"/>
      <c r="Q7303" s="14"/>
      <c r="R7303" s="14"/>
      <c r="S7303" s="14"/>
      <c r="T7303" s="14"/>
    </row>
    <row r="7304" spans="15:20" x14ac:dyDescent="0.25">
      <c r="O7304" s="14"/>
      <c r="P7304" s="14"/>
      <c r="Q7304" s="14"/>
      <c r="R7304" s="14"/>
      <c r="S7304" s="14"/>
      <c r="T7304" s="14"/>
    </row>
    <row r="7305" spans="15:20" x14ac:dyDescent="0.25">
      <c r="O7305" s="14"/>
      <c r="P7305" s="14"/>
      <c r="Q7305" s="14"/>
      <c r="R7305" s="14"/>
      <c r="S7305" s="14"/>
      <c r="T7305" s="14"/>
    </row>
    <row r="7306" spans="15:20" x14ac:dyDescent="0.25">
      <c r="O7306" s="14"/>
      <c r="P7306" s="14"/>
      <c r="Q7306" s="14"/>
      <c r="R7306" s="14"/>
      <c r="S7306" s="14"/>
      <c r="T7306" s="14"/>
    </row>
    <row r="7307" spans="15:20" x14ac:dyDescent="0.25">
      <c r="O7307" s="14"/>
      <c r="P7307" s="14"/>
      <c r="Q7307" s="14"/>
      <c r="R7307" s="14"/>
      <c r="S7307" s="14"/>
      <c r="T7307" s="14"/>
    </row>
    <row r="7308" spans="15:20" x14ac:dyDescent="0.25">
      <c r="O7308" s="14"/>
      <c r="P7308" s="14"/>
      <c r="Q7308" s="14"/>
      <c r="R7308" s="14"/>
      <c r="S7308" s="14"/>
      <c r="T7308" s="14"/>
    </row>
    <row r="7309" spans="15:20" x14ac:dyDescent="0.25">
      <c r="O7309" s="14"/>
      <c r="P7309" s="14"/>
      <c r="Q7309" s="14"/>
      <c r="R7309" s="14"/>
      <c r="S7309" s="14"/>
      <c r="T7309" s="14"/>
    </row>
    <row r="7310" spans="15:20" x14ac:dyDescent="0.25">
      <c r="O7310" s="14"/>
      <c r="P7310" s="14"/>
      <c r="Q7310" s="14"/>
      <c r="R7310" s="14"/>
      <c r="S7310" s="14"/>
      <c r="T7310" s="14"/>
    </row>
    <row r="7311" spans="15:20" x14ac:dyDescent="0.25">
      <c r="O7311" s="14"/>
      <c r="P7311" s="14"/>
      <c r="Q7311" s="14"/>
      <c r="R7311" s="14"/>
      <c r="S7311" s="14"/>
      <c r="T7311" s="14"/>
    </row>
    <row r="7312" spans="15:20" x14ac:dyDescent="0.25">
      <c r="O7312" s="14"/>
      <c r="P7312" s="14"/>
      <c r="Q7312" s="14"/>
      <c r="R7312" s="14"/>
      <c r="S7312" s="14"/>
      <c r="T7312" s="14"/>
    </row>
    <row r="7313" spans="15:20" x14ac:dyDescent="0.25">
      <c r="O7313" s="14"/>
      <c r="P7313" s="14"/>
      <c r="Q7313" s="14"/>
      <c r="R7313" s="14"/>
      <c r="S7313" s="14"/>
      <c r="T7313" s="14"/>
    </row>
    <row r="7314" spans="15:20" x14ac:dyDescent="0.25">
      <c r="O7314" s="14"/>
      <c r="P7314" s="14"/>
      <c r="Q7314" s="14"/>
      <c r="R7314" s="14"/>
      <c r="S7314" s="14"/>
      <c r="T7314" s="14"/>
    </row>
    <row r="7315" spans="15:20" x14ac:dyDescent="0.25">
      <c r="O7315" s="14"/>
      <c r="P7315" s="14"/>
      <c r="Q7315" s="14"/>
      <c r="R7315" s="14"/>
      <c r="S7315" s="14"/>
      <c r="T7315" s="14"/>
    </row>
    <row r="7316" spans="15:20" x14ac:dyDescent="0.25">
      <c r="O7316" s="14"/>
      <c r="P7316" s="14"/>
      <c r="Q7316" s="14"/>
      <c r="R7316" s="14"/>
      <c r="S7316" s="14"/>
      <c r="T7316" s="14"/>
    </row>
    <row r="7317" spans="15:20" x14ac:dyDescent="0.25">
      <c r="O7317" s="14"/>
      <c r="P7317" s="14"/>
      <c r="Q7317" s="14"/>
      <c r="R7317" s="14"/>
      <c r="S7317" s="14"/>
      <c r="T7317" s="14"/>
    </row>
    <row r="7318" spans="15:20" x14ac:dyDescent="0.25">
      <c r="O7318" s="14"/>
      <c r="P7318" s="14"/>
      <c r="Q7318" s="14"/>
      <c r="R7318" s="14"/>
      <c r="S7318" s="14"/>
      <c r="T7318" s="14"/>
    </row>
    <row r="7319" spans="15:20" x14ac:dyDescent="0.25">
      <c r="O7319" s="14"/>
      <c r="P7319" s="14"/>
      <c r="Q7319" s="14"/>
      <c r="R7319" s="14"/>
      <c r="S7319" s="14"/>
      <c r="T7319" s="14"/>
    </row>
    <row r="7320" spans="15:20" x14ac:dyDescent="0.25">
      <c r="O7320" s="14"/>
      <c r="P7320" s="14"/>
      <c r="Q7320" s="14"/>
      <c r="R7320" s="14"/>
      <c r="S7320" s="14"/>
      <c r="T7320" s="14"/>
    </row>
    <row r="7321" spans="15:20" x14ac:dyDescent="0.25">
      <c r="O7321" s="14"/>
      <c r="P7321" s="14"/>
      <c r="Q7321" s="14"/>
      <c r="R7321" s="14"/>
      <c r="S7321" s="14"/>
      <c r="T7321" s="14"/>
    </row>
    <row r="7322" spans="15:20" x14ac:dyDescent="0.25">
      <c r="O7322" s="14"/>
      <c r="P7322" s="14"/>
      <c r="Q7322" s="14"/>
      <c r="R7322" s="14"/>
      <c r="S7322" s="14"/>
      <c r="T7322" s="14"/>
    </row>
    <row r="7323" spans="15:20" x14ac:dyDescent="0.25">
      <c r="O7323" s="14"/>
      <c r="P7323" s="14"/>
      <c r="Q7323" s="14"/>
      <c r="R7323" s="14"/>
      <c r="S7323" s="14"/>
      <c r="T7323" s="14"/>
    </row>
    <row r="7324" spans="15:20" x14ac:dyDescent="0.25">
      <c r="O7324" s="14"/>
      <c r="P7324" s="14"/>
      <c r="Q7324" s="14"/>
      <c r="R7324" s="14"/>
      <c r="S7324" s="14"/>
      <c r="T7324" s="14"/>
    </row>
    <row r="7325" spans="15:20" x14ac:dyDescent="0.25">
      <c r="O7325" s="14"/>
      <c r="P7325" s="14"/>
      <c r="Q7325" s="14"/>
      <c r="R7325" s="14"/>
      <c r="S7325" s="14"/>
      <c r="T7325" s="14"/>
    </row>
    <row r="7326" spans="15:20" x14ac:dyDescent="0.25">
      <c r="O7326" s="14"/>
      <c r="P7326" s="14"/>
      <c r="Q7326" s="14"/>
      <c r="R7326" s="14"/>
      <c r="S7326" s="14"/>
      <c r="T7326" s="14"/>
    </row>
    <row r="7327" spans="15:20" x14ac:dyDescent="0.25">
      <c r="O7327" s="14"/>
      <c r="P7327" s="14"/>
      <c r="Q7327" s="14"/>
      <c r="R7327" s="14"/>
      <c r="S7327" s="14"/>
      <c r="T7327" s="14"/>
    </row>
    <row r="7328" spans="15:20" x14ac:dyDescent="0.25">
      <c r="O7328" s="14"/>
      <c r="P7328" s="14"/>
      <c r="Q7328" s="14"/>
      <c r="R7328" s="14"/>
      <c r="S7328" s="14"/>
      <c r="T7328" s="14"/>
    </row>
    <row r="7329" spans="15:20" x14ac:dyDescent="0.25">
      <c r="O7329" s="14"/>
      <c r="P7329" s="14"/>
      <c r="Q7329" s="14"/>
      <c r="R7329" s="14"/>
      <c r="S7329" s="14"/>
      <c r="T7329" s="14"/>
    </row>
    <row r="7330" spans="15:20" x14ac:dyDescent="0.25">
      <c r="O7330" s="14"/>
      <c r="P7330" s="14"/>
      <c r="Q7330" s="14"/>
      <c r="R7330" s="14"/>
      <c r="S7330" s="14"/>
      <c r="T7330" s="14"/>
    </row>
    <row r="7331" spans="15:20" x14ac:dyDescent="0.25">
      <c r="O7331" s="14"/>
      <c r="P7331" s="14"/>
      <c r="Q7331" s="14"/>
      <c r="R7331" s="14"/>
      <c r="S7331" s="14"/>
      <c r="T7331" s="14"/>
    </row>
    <row r="7332" spans="15:20" x14ac:dyDescent="0.25">
      <c r="O7332" s="14"/>
      <c r="P7332" s="14"/>
      <c r="Q7332" s="14"/>
      <c r="R7332" s="14"/>
      <c r="S7332" s="14"/>
      <c r="T7332" s="14"/>
    </row>
    <row r="7333" spans="15:20" x14ac:dyDescent="0.25">
      <c r="O7333" s="14"/>
      <c r="P7333" s="14"/>
      <c r="Q7333" s="14"/>
      <c r="R7333" s="14"/>
      <c r="S7333" s="14"/>
      <c r="T7333" s="14"/>
    </row>
    <row r="7334" spans="15:20" x14ac:dyDescent="0.25">
      <c r="O7334" s="14"/>
      <c r="P7334" s="14"/>
      <c r="Q7334" s="14"/>
      <c r="R7334" s="14"/>
      <c r="S7334" s="14"/>
      <c r="T7334" s="14"/>
    </row>
    <row r="7335" spans="15:20" x14ac:dyDescent="0.25">
      <c r="O7335" s="14"/>
      <c r="P7335" s="14"/>
      <c r="Q7335" s="14"/>
      <c r="R7335" s="14"/>
      <c r="S7335" s="14"/>
      <c r="T7335" s="14"/>
    </row>
    <row r="7336" spans="15:20" x14ac:dyDescent="0.25">
      <c r="O7336" s="14"/>
      <c r="P7336" s="14"/>
      <c r="Q7336" s="14"/>
      <c r="R7336" s="14"/>
      <c r="S7336" s="14"/>
      <c r="T7336" s="14"/>
    </row>
    <row r="7337" spans="15:20" x14ac:dyDescent="0.25">
      <c r="O7337" s="14"/>
      <c r="P7337" s="14"/>
      <c r="Q7337" s="14"/>
      <c r="R7337" s="14"/>
      <c r="S7337" s="14"/>
      <c r="T7337" s="14"/>
    </row>
    <row r="7338" spans="15:20" x14ac:dyDescent="0.25">
      <c r="O7338" s="14"/>
      <c r="P7338" s="14"/>
      <c r="Q7338" s="14"/>
      <c r="R7338" s="14"/>
      <c r="S7338" s="14"/>
      <c r="T7338" s="14"/>
    </row>
    <row r="7339" spans="15:20" x14ac:dyDescent="0.25">
      <c r="O7339" s="14"/>
      <c r="P7339" s="14"/>
      <c r="Q7339" s="14"/>
      <c r="R7339" s="14"/>
      <c r="S7339" s="14"/>
      <c r="T7339" s="14"/>
    </row>
    <row r="7340" spans="15:20" x14ac:dyDescent="0.25">
      <c r="O7340" s="14"/>
      <c r="P7340" s="14"/>
      <c r="Q7340" s="14"/>
      <c r="R7340" s="14"/>
      <c r="S7340" s="14"/>
      <c r="T7340" s="14"/>
    </row>
    <row r="7341" spans="15:20" x14ac:dyDescent="0.25">
      <c r="O7341" s="14"/>
      <c r="P7341" s="14"/>
      <c r="Q7341" s="14"/>
      <c r="R7341" s="14"/>
      <c r="S7341" s="14"/>
      <c r="T7341" s="14"/>
    </row>
    <row r="7342" spans="15:20" x14ac:dyDescent="0.25">
      <c r="O7342" s="14"/>
      <c r="P7342" s="14"/>
      <c r="Q7342" s="14"/>
      <c r="R7342" s="14"/>
      <c r="S7342" s="14"/>
      <c r="T7342" s="14"/>
    </row>
    <row r="7343" spans="15:20" x14ac:dyDescent="0.25">
      <c r="O7343" s="14"/>
      <c r="P7343" s="14"/>
      <c r="Q7343" s="14"/>
      <c r="R7343" s="14"/>
      <c r="S7343" s="14"/>
      <c r="T7343" s="14"/>
    </row>
    <row r="7344" spans="15:20" x14ac:dyDescent="0.25">
      <c r="O7344" s="14"/>
      <c r="P7344" s="14"/>
      <c r="Q7344" s="14"/>
      <c r="R7344" s="14"/>
      <c r="S7344" s="14"/>
      <c r="T7344" s="14"/>
    </row>
    <row r="7345" spans="15:20" x14ac:dyDescent="0.25">
      <c r="O7345" s="14"/>
      <c r="P7345" s="14"/>
      <c r="Q7345" s="14"/>
      <c r="R7345" s="14"/>
      <c r="S7345" s="14"/>
      <c r="T7345" s="14"/>
    </row>
    <row r="7346" spans="15:20" x14ac:dyDescent="0.25">
      <c r="O7346" s="14"/>
      <c r="P7346" s="14"/>
      <c r="Q7346" s="14"/>
      <c r="R7346" s="14"/>
      <c r="S7346" s="14"/>
      <c r="T7346" s="14"/>
    </row>
    <row r="7347" spans="15:20" x14ac:dyDescent="0.25">
      <c r="O7347" s="14"/>
      <c r="P7347" s="14"/>
      <c r="Q7347" s="14"/>
      <c r="R7347" s="14"/>
      <c r="S7347" s="14"/>
      <c r="T7347" s="14"/>
    </row>
    <row r="7348" spans="15:20" x14ac:dyDescent="0.25">
      <c r="O7348" s="14"/>
      <c r="P7348" s="14"/>
      <c r="Q7348" s="14"/>
      <c r="R7348" s="14"/>
      <c r="S7348" s="14"/>
      <c r="T7348" s="14"/>
    </row>
    <row r="7349" spans="15:20" x14ac:dyDescent="0.25">
      <c r="O7349" s="14"/>
      <c r="P7349" s="14"/>
      <c r="Q7349" s="14"/>
      <c r="R7349" s="14"/>
      <c r="S7349" s="14"/>
      <c r="T7349" s="14"/>
    </row>
    <row r="7350" spans="15:20" x14ac:dyDescent="0.25">
      <c r="O7350" s="14"/>
      <c r="P7350" s="14"/>
      <c r="Q7350" s="14"/>
      <c r="R7350" s="14"/>
      <c r="S7350" s="14"/>
      <c r="T7350" s="14"/>
    </row>
    <row r="7351" spans="15:20" x14ac:dyDescent="0.25">
      <c r="O7351" s="14"/>
      <c r="P7351" s="14"/>
      <c r="Q7351" s="14"/>
      <c r="R7351" s="14"/>
      <c r="S7351" s="14"/>
      <c r="T7351" s="14"/>
    </row>
    <row r="7352" spans="15:20" x14ac:dyDescent="0.25">
      <c r="O7352" s="14"/>
      <c r="P7352" s="14"/>
      <c r="Q7352" s="14"/>
      <c r="R7352" s="14"/>
      <c r="S7352" s="14"/>
      <c r="T7352" s="14"/>
    </row>
    <row r="7353" spans="15:20" x14ac:dyDescent="0.25">
      <c r="O7353" s="14"/>
      <c r="P7353" s="14"/>
      <c r="Q7353" s="14"/>
      <c r="R7353" s="14"/>
      <c r="S7353" s="14"/>
      <c r="T7353" s="14"/>
    </row>
    <row r="7354" spans="15:20" x14ac:dyDescent="0.25">
      <c r="O7354" s="14"/>
      <c r="P7354" s="14"/>
      <c r="Q7354" s="14"/>
      <c r="R7354" s="14"/>
      <c r="S7354" s="14"/>
      <c r="T7354" s="14"/>
    </row>
    <row r="7355" spans="15:20" x14ac:dyDescent="0.25">
      <c r="O7355" s="14"/>
      <c r="P7355" s="14"/>
      <c r="Q7355" s="14"/>
      <c r="R7355" s="14"/>
      <c r="S7355" s="14"/>
      <c r="T7355" s="14"/>
    </row>
    <row r="7356" spans="15:20" x14ac:dyDescent="0.25">
      <c r="O7356" s="14"/>
      <c r="P7356" s="14"/>
      <c r="Q7356" s="14"/>
      <c r="R7356" s="14"/>
      <c r="S7356" s="14"/>
      <c r="T7356" s="14"/>
    </row>
    <row r="7357" spans="15:20" x14ac:dyDescent="0.25">
      <c r="O7357" s="14"/>
      <c r="P7357" s="14"/>
      <c r="Q7357" s="14"/>
      <c r="R7357" s="14"/>
      <c r="S7357" s="14"/>
      <c r="T7357" s="14"/>
    </row>
    <row r="7358" spans="15:20" x14ac:dyDescent="0.25">
      <c r="O7358" s="14"/>
      <c r="P7358" s="14"/>
      <c r="Q7358" s="14"/>
      <c r="R7358" s="14"/>
      <c r="S7358" s="14"/>
      <c r="T7358" s="14"/>
    </row>
    <row r="7359" spans="15:20" x14ac:dyDescent="0.25">
      <c r="O7359" s="14"/>
      <c r="P7359" s="14"/>
      <c r="Q7359" s="14"/>
      <c r="R7359" s="14"/>
      <c r="S7359" s="14"/>
      <c r="T7359" s="14"/>
    </row>
    <row r="7360" spans="15:20" x14ac:dyDescent="0.25">
      <c r="O7360" s="14"/>
      <c r="P7360" s="14"/>
      <c r="Q7360" s="14"/>
      <c r="R7360" s="14"/>
      <c r="S7360" s="14"/>
      <c r="T7360" s="14"/>
    </row>
    <row r="7361" spans="15:20" x14ac:dyDescent="0.25">
      <c r="O7361" s="14"/>
      <c r="P7361" s="14"/>
      <c r="Q7361" s="14"/>
      <c r="R7361" s="14"/>
      <c r="S7361" s="14"/>
      <c r="T7361" s="14"/>
    </row>
    <row r="7362" spans="15:20" x14ac:dyDescent="0.25">
      <c r="O7362" s="14"/>
      <c r="P7362" s="14"/>
      <c r="Q7362" s="14"/>
      <c r="R7362" s="14"/>
      <c r="S7362" s="14"/>
      <c r="T7362" s="14"/>
    </row>
    <row r="7363" spans="15:20" x14ac:dyDescent="0.25">
      <c r="O7363" s="14"/>
      <c r="P7363" s="14"/>
      <c r="Q7363" s="14"/>
      <c r="R7363" s="14"/>
      <c r="S7363" s="14"/>
      <c r="T7363" s="14"/>
    </row>
    <row r="7364" spans="15:20" x14ac:dyDescent="0.25">
      <c r="O7364" s="14"/>
      <c r="P7364" s="14"/>
      <c r="Q7364" s="14"/>
      <c r="R7364" s="14"/>
      <c r="S7364" s="14"/>
      <c r="T7364" s="14"/>
    </row>
    <row r="7365" spans="15:20" x14ac:dyDescent="0.25">
      <c r="O7365" s="14"/>
      <c r="P7365" s="14"/>
      <c r="Q7365" s="14"/>
      <c r="R7365" s="14"/>
      <c r="S7365" s="14"/>
      <c r="T7365" s="14"/>
    </row>
    <row r="7366" spans="15:20" x14ac:dyDescent="0.25">
      <c r="O7366" s="14"/>
      <c r="P7366" s="14"/>
      <c r="Q7366" s="14"/>
      <c r="R7366" s="14"/>
      <c r="S7366" s="14"/>
      <c r="T7366" s="14"/>
    </row>
    <row r="7367" spans="15:20" x14ac:dyDescent="0.25">
      <c r="O7367" s="14"/>
      <c r="P7367" s="14"/>
      <c r="Q7367" s="14"/>
      <c r="R7367" s="14"/>
      <c r="S7367" s="14"/>
      <c r="T7367" s="14"/>
    </row>
    <row r="7368" spans="15:20" x14ac:dyDescent="0.25">
      <c r="O7368" s="14"/>
      <c r="P7368" s="14"/>
      <c r="Q7368" s="14"/>
      <c r="R7368" s="14"/>
      <c r="S7368" s="14"/>
      <c r="T7368" s="14"/>
    </row>
    <row r="7369" spans="15:20" x14ac:dyDescent="0.25">
      <c r="O7369" s="14"/>
      <c r="P7369" s="14"/>
      <c r="Q7369" s="14"/>
      <c r="R7369" s="14"/>
      <c r="S7369" s="14"/>
      <c r="T7369" s="14"/>
    </row>
    <row r="7370" spans="15:20" x14ac:dyDescent="0.25">
      <c r="O7370" s="14"/>
      <c r="P7370" s="14"/>
      <c r="Q7370" s="14"/>
      <c r="R7370" s="14"/>
      <c r="S7370" s="14"/>
      <c r="T7370" s="14"/>
    </row>
    <row r="7371" spans="15:20" x14ac:dyDescent="0.25">
      <c r="O7371" s="14"/>
      <c r="P7371" s="14"/>
      <c r="Q7371" s="14"/>
      <c r="R7371" s="14"/>
      <c r="S7371" s="14"/>
      <c r="T7371" s="14"/>
    </row>
    <row r="7372" spans="15:20" x14ac:dyDescent="0.25">
      <c r="O7372" s="14"/>
      <c r="P7372" s="14"/>
      <c r="Q7372" s="14"/>
      <c r="R7372" s="14"/>
      <c r="S7372" s="14"/>
      <c r="T7372" s="14"/>
    </row>
    <row r="7373" spans="15:20" x14ac:dyDescent="0.25">
      <c r="O7373" s="14"/>
      <c r="P7373" s="14"/>
      <c r="Q7373" s="14"/>
      <c r="R7373" s="14"/>
      <c r="S7373" s="14"/>
      <c r="T7373" s="14"/>
    </row>
    <row r="7374" spans="15:20" x14ac:dyDescent="0.25">
      <c r="O7374" s="14"/>
      <c r="P7374" s="14"/>
      <c r="Q7374" s="14"/>
      <c r="R7374" s="14"/>
      <c r="S7374" s="14"/>
      <c r="T7374" s="14"/>
    </row>
    <row r="7375" spans="15:20" x14ac:dyDescent="0.25">
      <c r="O7375" s="14"/>
      <c r="P7375" s="14"/>
      <c r="Q7375" s="14"/>
      <c r="R7375" s="14"/>
      <c r="S7375" s="14"/>
      <c r="T7375" s="14"/>
    </row>
    <row r="7376" spans="15:20" x14ac:dyDescent="0.25">
      <c r="O7376" s="14"/>
      <c r="P7376" s="14"/>
      <c r="Q7376" s="14"/>
      <c r="R7376" s="14"/>
      <c r="S7376" s="14"/>
      <c r="T7376" s="14"/>
    </row>
    <row r="7377" spans="15:20" x14ac:dyDescent="0.25">
      <c r="O7377" s="14"/>
      <c r="P7377" s="14"/>
      <c r="Q7377" s="14"/>
      <c r="R7377" s="14"/>
      <c r="S7377" s="14"/>
      <c r="T7377" s="14"/>
    </row>
    <row r="7378" spans="15:20" x14ac:dyDescent="0.25">
      <c r="O7378" s="14"/>
      <c r="P7378" s="14"/>
      <c r="Q7378" s="14"/>
      <c r="R7378" s="14"/>
      <c r="S7378" s="14"/>
      <c r="T7378" s="14"/>
    </row>
    <row r="7379" spans="15:20" x14ac:dyDescent="0.25">
      <c r="O7379" s="14"/>
      <c r="P7379" s="14"/>
      <c r="Q7379" s="14"/>
      <c r="R7379" s="14"/>
      <c r="S7379" s="14"/>
      <c r="T7379" s="14"/>
    </row>
    <row r="7380" spans="15:20" x14ac:dyDescent="0.25">
      <c r="O7380" s="14"/>
      <c r="P7380" s="14"/>
      <c r="Q7380" s="14"/>
      <c r="R7380" s="14"/>
      <c r="S7380" s="14"/>
      <c r="T7380" s="14"/>
    </row>
    <row r="7381" spans="15:20" x14ac:dyDescent="0.25">
      <c r="O7381" s="14"/>
      <c r="P7381" s="14"/>
      <c r="Q7381" s="14"/>
      <c r="R7381" s="14"/>
      <c r="S7381" s="14"/>
      <c r="T7381" s="14"/>
    </row>
    <row r="7382" spans="15:20" x14ac:dyDescent="0.25">
      <c r="O7382" s="14"/>
      <c r="P7382" s="14"/>
      <c r="Q7382" s="14"/>
      <c r="R7382" s="14"/>
      <c r="S7382" s="14"/>
      <c r="T7382" s="14"/>
    </row>
    <row r="7383" spans="15:20" x14ac:dyDescent="0.25">
      <c r="O7383" s="14"/>
      <c r="P7383" s="14"/>
      <c r="Q7383" s="14"/>
      <c r="R7383" s="14"/>
      <c r="S7383" s="14"/>
      <c r="T7383" s="14"/>
    </row>
    <row r="7384" spans="15:20" x14ac:dyDescent="0.25">
      <c r="O7384" s="14"/>
      <c r="P7384" s="14"/>
      <c r="Q7384" s="14"/>
      <c r="R7384" s="14"/>
      <c r="S7384" s="14"/>
      <c r="T7384" s="14"/>
    </row>
    <row r="7385" spans="15:20" x14ac:dyDescent="0.25">
      <c r="O7385" s="14"/>
      <c r="P7385" s="14"/>
      <c r="Q7385" s="14"/>
      <c r="R7385" s="14"/>
      <c r="S7385" s="14"/>
      <c r="T7385" s="14"/>
    </row>
    <row r="7386" spans="15:20" x14ac:dyDescent="0.25">
      <c r="O7386" s="14"/>
      <c r="P7386" s="14"/>
      <c r="Q7386" s="14"/>
      <c r="R7386" s="14"/>
      <c r="S7386" s="14"/>
      <c r="T7386" s="14"/>
    </row>
    <row r="7387" spans="15:20" x14ac:dyDescent="0.25">
      <c r="O7387" s="14"/>
      <c r="P7387" s="14"/>
      <c r="Q7387" s="14"/>
      <c r="R7387" s="14"/>
      <c r="S7387" s="14"/>
      <c r="T7387" s="14"/>
    </row>
    <row r="7388" spans="15:20" x14ac:dyDescent="0.25">
      <c r="O7388" s="14"/>
      <c r="P7388" s="14"/>
      <c r="Q7388" s="14"/>
      <c r="R7388" s="14"/>
      <c r="S7388" s="14"/>
      <c r="T7388" s="14"/>
    </row>
    <row r="7389" spans="15:20" x14ac:dyDescent="0.25">
      <c r="O7389" s="14"/>
      <c r="P7389" s="14"/>
      <c r="Q7389" s="14"/>
      <c r="R7389" s="14"/>
      <c r="S7389" s="14"/>
      <c r="T7389" s="14"/>
    </row>
    <row r="7390" spans="15:20" x14ac:dyDescent="0.25">
      <c r="O7390" s="14"/>
      <c r="P7390" s="14"/>
      <c r="Q7390" s="14"/>
      <c r="R7390" s="14"/>
      <c r="S7390" s="14"/>
      <c r="T7390" s="14"/>
    </row>
    <row r="7391" spans="15:20" x14ac:dyDescent="0.25">
      <c r="O7391" s="14"/>
      <c r="P7391" s="14"/>
      <c r="Q7391" s="14"/>
      <c r="R7391" s="14"/>
      <c r="S7391" s="14"/>
      <c r="T7391" s="14"/>
    </row>
    <row r="7392" spans="15:20" x14ac:dyDescent="0.25">
      <c r="O7392" s="14"/>
      <c r="P7392" s="14"/>
      <c r="Q7392" s="14"/>
      <c r="R7392" s="14"/>
      <c r="S7392" s="14"/>
      <c r="T7392" s="14"/>
    </row>
    <row r="7393" spans="15:20" x14ac:dyDescent="0.25">
      <c r="O7393" s="14"/>
      <c r="P7393" s="14"/>
      <c r="Q7393" s="14"/>
      <c r="R7393" s="14"/>
      <c r="S7393" s="14"/>
      <c r="T7393" s="14"/>
    </row>
    <row r="7394" spans="15:20" x14ac:dyDescent="0.25">
      <c r="O7394" s="14"/>
      <c r="P7394" s="14"/>
      <c r="Q7394" s="14"/>
      <c r="R7394" s="14"/>
      <c r="S7394" s="14"/>
      <c r="T7394" s="14"/>
    </row>
    <row r="7395" spans="15:20" x14ac:dyDescent="0.25">
      <c r="O7395" s="14"/>
      <c r="P7395" s="14"/>
      <c r="Q7395" s="14"/>
      <c r="R7395" s="14"/>
      <c r="S7395" s="14"/>
      <c r="T7395" s="14"/>
    </row>
    <row r="7396" spans="15:20" x14ac:dyDescent="0.25">
      <c r="O7396" s="14"/>
      <c r="P7396" s="14"/>
      <c r="Q7396" s="14"/>
      <c r="R7396" s="14"/>
      <c r="S7396" s="14"/>
      <c r="T7396" s="14"/>
    </row>
    <row r="7397" spans="15:20" x14ac:dyDescent="0.25">
      <c r="O7397" s="14"/>
      <c r="P7397" s="14"/>
      <c r="Q7397" s="14"/>
      <c r="R7397" s="14"/>
      <c r="S7397" s="14"/>
      <c r="T7397" s="14"/>
    </row>
    <row r="7398" spans="15:20" x14ac:dyDescent="0.25">
      <c r="O7398" s="14"/>
      <c r="P7398" s="14"/>
      <c r="Q7398" s="14"/>
      <c r="R7398" s="14"/>
      <c r="S7398" s="14"/>
      <c r="T7398" s="14"/>
    </row>
    <row r="7399" spans="15:20" x14ac:dyDescent="0.25">
      <c r="O7399" s="14"/>
      <c r="P7399" s="14"/>
      <c r="Q7399" s="14"/>
      <c r="R7399" s="14"/>
      <c r="S7399" s="14"/>
      <c r="T7399" s="14"/>
    </row>
    <row r="7400" spans="15:20" x14ac:dyDescent="0.25">
      <c r="O7400" s="14"/>
      <c r="P7400" s="14"/>
      <c r="Q7400" s="14"/>
      <c r="R7400" s="14"/>
      <c r="S7400" s="14"/>
      <c r="T7400" s="14"/>
    </row>
    <row r="7401" spans="15:20" x14ac:dyDescent="0.25">
      <c r="O7401" s="14"/>
      <c r="P7401" s="14"/>
      <c r="Q7401" s="14"/>
      <c r="R7401" s="14"/>
      <c r="S7401" s="14"/>
      <c r="T7401" s="14"/>
    </row>
    <row r="7402" spans="15:20" x14ac:dyDescent="0.25">
      <c r="O7402" s="14"/>
      <c r="P7402" s="14"/>
      <c r="Q7402" s="14"/>
      <c r="R7402" s="14"/>
      <c r="S7402" s="14"/>
      <c r="T7402" s="14"/>
    </row>
    <row r="7403" spans="15:20" x14ac:dyDescent="0.25">
      <c r="O7403" s="14"/>
      <c r="P7403" s="14"/>
      <c r="Q7403" s="14"/>
      <c r="R7403" s="14"/>
      <c r="S7403" s="14"/>
      <c r="T7403" s="14"/>
    </row>
    <row r="7404" spans="15:20" x14ac:dyDescent="0.25">
      <c r="O7404" s="14"/>
      <c r="P7404" s="14"/>
      <c r="Q7404" s="14"/>
      <c r="R7404" s="14"/>
      <c r="S7404" s="14"/>
      <c r="T7404" s="14"/>
    </row>
    <row r="7405" spans="15:20" x14ac:dyDescent="0.25">
      <c r="O7405" s="14"/>
      <c r="P7405" s="14"/>
      <c r="Q7405" s="14"/>
      <c r="R7405" s="14"/>
      <c r="S7405" s="14"/>
      <c r="T7405" s="14"/>
    </row>
    <row r="7406" spans="15:20" x14ac:dyDescent="0.25">
      <c r="O7406" s="14"/>
      <c r="P7406" s="14"/>
      <c r="Q7406" s="14"/>
      <c r="R7406" s="14"/>
      <c r="S7406" s="14"/>
      <c r="T7406" s="14"/>
    </row>
  </sheetData>
  <sheetProtection sheet="1" formatCells="0" formatColumns="0"/>
  <mergeCells count="7">
    <mergeCell ref="D1:E1"/>
    <mergeCell ref="A42:H69"/>
    <mergeCell ref="H11:I11"/>
    <mergeCell ref="I16:J16"/>
    <mergeCell ref="B3:C3"/>
    <mergeCell ref="A19:C19"/>
    <mergeCell ref="H13:J13"/>
  </mergeCells>
  <pageMargins left="0.7" right="0.7" top="0.75" bottom="0.75" header="0.3" footer="0.3"/>
  <pageSetup scale="7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63"/>
  <sheetViews>
    <sheetView topLeftCell="A4" zoomScale="80" zoomScaleNormal="80" workbookViewId="0">
      <selection activeCell="L5" sqref="L5"/>
    </sheetView>
  </sheetViews>
  <sheetFormatPr defaultRowHeight="13.2" x14ac:dyDescent="0.25"/>
  <cols>
    <col min="1" max="1" width="21.77734375" customWidth="1"/>
  </cols>
  <sheetData>
    <row r="1" spans="1:12" ht="27" customHeight="1" x14ac:dyDescent="0.25"/>
    <row r="2" spans="1:12" ht="12.75" customHeight="1" x14ac:dyDescent="0.25"/>
    <row r="3" spans="1:12" ht="12.75" customHeight="1" x14ac:dyDescent="0.25"/>
    <row r="4" spans="1:12" ht="12.75" customHeight="1" x14ac:dyDescent="0.25"/>
    <row r="5" spans="1:12" ht="12.75" customHeight="1" x14ac:dyDescent="0.25">
      <c r="L5" s="514" t="s">
        <v>582</v>
      </c>
    </row>
    <row r="6" spans="1:12" ht="12.75" customHeight="1" x14ac:dyDescent="0.25"/>
    <row r="7" spans="1:12" ht="12.75" customHeight="1" x14ac:dyDescent="0.25"/>
    <row r="8" spans="1:12" ht="12.75" customHeight="1" x14ac:dyDescent="0.25"/>
    <row r="9" spans="1:12" ht="12.75" customHeight="1" x14ac:dyDescent="0.25">
      <c r="A9" s="118"/>
      <c r="B9" s="118"/>
      <c r="C9" s="118"/>
      <c r="D9" s="118"/>
      <c r="E9" s="118"/>
      <c r="F9" s="118"/>
      <c r="G9" s="118"/>
      <c r="H9" s="1"/>
      <c r="I9" s="139"/>
      <c r="J9" s="139"/>
      <c r="K9" s="1"/>
      <c r="L9" s="1"/>
    </row>
    <row r="10" spans="1:12" ht="12.75" customHeight="1" x14ac:dyDescent="0.25">
      <c r="A10" s="118"/>
      <c r="B10" s="118"/>
      <c r="C10" s="118"/>
      <c r="D10" s="118"/>
      <c r="E10" s="118"/>
      <c r="F10" s="118"/>
      <c r="G10" s="118"/>
      <c r="J10" s="1"/>
      <c r="K10" s="1"/>
      <c r="L10" s="1"/>
    </row>
    <row r="11" spans="1:12" ht="12.75" customHeight="1" x14ac:dyDescent="0.25">
      <c r="A11" s="118"/>
      <c r="B11" s="118"/>
      <c r="C11" s="118"/>
      <c r="D11" s="118"/>
      <c r="E11" s="118"/>
      <c r="F11" s="118"/>
      <c r="G11" s="118"/>
      <c r="H11" s="862" t="str">
        <f>Cv_Table</f>
        <v>BALL_SEG</v>
      </c>
      <c r="I11" s="862"/>
      <c r="J11" s="1"/>
      <c r="K11" s="1"/>
      <c r="L11" s="1"/>
    </row>
    <row r="12" spans="1:12" ht="12.75" customHeight="1" x14ac:dyDescent="0.25">
      <c r="A12" s="118"/>
      <c r="B12" s="118"/>
      <c r="C12" s="118"/>
      <c r="D12" s="118"/>
      <c r="E12" s="118"/>
      <c r="F12" s="118"/>
      <c r="G12" s="118"/>
      <c r="H12" s="119">
        <f>'Installed Flow'!B4</f>
        <v>3</v>
      </c>
      <c r="I12" s="157"/>
      <c r="J12" s="1"/>
      <c r="K12" s="1"/>
      <c r="L12" s="1"/>
    </row>
    <row r="13" spans="1:12" ht="12.75" customHeight="1" x14ac:dyDescent="0.25">
      <c r="A13" s="118"/>
      <c r="B13" s="118"/>
      <c r="C13" s="118"/>
      <c r="D13" s="118"/>
      <c r="E13" s="118"/>
      <c r="F13" s="118"/>
      <c r="G13" s="118"/>
      <c r="H13" s="614" t="str">
        <f>'Valve Sizing'!D1</f>
        <v>PV123</v>
      </c>
      <c r="I13" s="157"/>
      <c r="J13" s="1"/>
      <c r="K13" s="1"/>
      <c r="L13" s="1"/>
    </row>
    <row r="14" spans="1:12" ht="12.75" customHeight="1" x14ac:dyDescent="0.25">
      <c r="A14" s="118"/>
      <c r="B14" s="118"/>
      <c r="C14" s="118"/>
      <c r="D14" s="118"/>
      <c r="E14" s="118"/>
      <c r="F14" s="118"/>
      <c r="G14" s="118"/>
      <c r="H14" s="1"/>
      <c r="I14" s="1"/>
      <c r="J14" s="1"/>
      <c r="K14" s="1"/>
      <c r="L14" s="1"/>
    </row>
    <row r="15" spans="1:12" ht="12.75" customHeight="1" x14ac:dyDescent="0.25">
      <c r="A15" s="118"/>
      <c r="B15" s="118"/>
      <c r="C15" s="118"/>
      <c r="D15" s="118"/>
      <c r="E15" s="118"/>
      <c r="F15" s="118"/>
      <c r="G15" s="118"/>
      <c r="H15" s="1"/>
      <c r="I15" s="1"/>
      <c r="J15" s="1"/>
      <c r="K15" s="1"/>
      <c r="L15" s="1"/>
    </row>
    <row r="16" spans="1:12" ht="12.75" customHeight="1" x14ac:dyDescent="0.25">
      <c r="A16" s="118"/>
      <c r="B16" s="118"/>
      <c r="C16" s="118"/>
      <c r="D16" s="118"/>
      <c r="E16" s="118"/>
      <c r="F16" s="118"/>
      <c r="G16" s="118"/>
      <c r="H16" s="158"/>
      <c r="I16" s="158"/>
      <c r="J16" s="1"/>
      <c r="K16" s="1"/>
      <c r="L16" s="1"/>
    </row>
    <row r="17" spans="1:12" ht="12.75" customHeight="1" x14ac:dyDescent="0.25">
      <c r="A17" s="118"/>
      <c r="B17" s="118"/>
      <c r="C17" s="118"/>
      <c r="D17" s="118"/>
      <c r="E17" s="118"/>
      <c r="F17" s="118"/>
      <c r="G17" s="118"/>
      <c r="H17" s="158"/>
      <c r="I17" s="158"/>
      <c r="J17" s="1"/>
      <c r="K17" s="1"/>
      <c r="L17" s="1"/>
    </row>
    <row r="18" spans="1:12" ht="12.75" customHeight="1" x14ac:dyDescent="0.25">
      <c r="A18" s="118"/>
      <c r="B18" s="118"/>
      <c r="C18" s="118"/>
      <c r="D18" s="118"/>
      <c r="E18" s="118"/>
      <c r="F18" s="118"/>
      <c r="G18" s="118"/>
      <c r="H18" s="158"/>
      <c r="I18" s="158"/>
      <c r="J18" s="1"/>
      <c r="K18" s="1"/>
      <c r="L18" s="1"/>
    </row>
    <row r="19" spans="1:12" ht="12.75" customHeight="1" x14ac:dyDescent="0.25">
      <c r="A19" s="118"/>
      <c r="B19" s="118"/>
      <c r="C19" s="118"/>
      <c r="D19" s="118"/>
      <c r="E19" s="118"/>
      <c r="F19" s="118"/>
      <c r="G19" s="118"/>
      <c r="H19" s="158"/>
      <c r="I19" s="158"/>
      <c r="K19" s="1"/>
      <c r="L19" s="1"/>
    </row>
    <row r="20" spans="1:12" ht="12.75" customHeight="1" x14ac:dyDescent="0.25">
      <c r="A20" s="118"/>
      <c r="B20" s="118"/>
      <c r="C20" s="118"/>
      <c r="D20" s="118"/>
      <c r="E20" s="118"/>
      <c r="F20" s="118"/>
      <c r="G20" s="118"/>
      <c r="H20" s="142" t="s">
        <v>186</v>
      </c>
      <c r="I20" s="173"/>
      <c r="J20" s="1"/>
      <c r="K20" s="1"/>
      <c r="L20" s="1"/>
    </row>
    <row r="21" spans="1:12" ht="12.75" customHeight="1" x14ac:dyDescent="0.25">
      <c r="A21" s="118"/>
      <c r="B21" s="118"/>
      <c r="C21" s="118"/>
      <c r="D21" s="118"/>
      <c r="E21" s="118"/>
      <c r="F21" s="118"/>
      <c r="G21" s="118"/>
      <c r="H21" s="173"/>
      <c r="I21" s="158" t="s">
        <v>185</v>
      </c>
      <c r="J21" s="131">
        <f>Q_max</f>
        <v>236393</v>
      </c>
      <c r="K21" s="1"/>
      <c r="L21" s="1"/>
    </row>
    <row r="22" spans="1:12" ht="12.75" customHeight="1" x14ac:dyDescent="0.25">
      <c r="A22" s="118"/>
      <c r="B22" s="118"/>
      <c r="C22" s="118"/>
      <c r="D22" s="118"/>
      <c r="E22" s="118"/>
      <c r="F22" s="118"/>
      <c r="G22" s="118"/>
      <c r="H22" s="158"/>
      <c r="I22" s="159"/>
      <c r="J22" s="128"/>
      <c r="K22" s="1"/>
      <c r="L22" s="1"/>
    </row>
    <row r="23" spans="1:12" ht="12.75" customHeight="1" x14ac:dyDescent="0.25">
      <c r="A23" s="118"/>
      <c r="B23" s="118"/>
      <c r="C23" s="118"/>
      <c r="D23" s="118"/>
      <c r="E23" s="118"/>
      <c r="F23" s="118"/>
      <c r="G23" s="118"/>
      <c r="H23" s="159"/>
      <c r="I23" s="159"/>
      <c r="K23" s="1"/>
      <c r="L23" s="1"/>
    </row>
    <row r="24" spans="1:12" ht="12.75" customHeight="1" x14ac:dyDescent="0.25">
      <c r="A24" s="118"/>
      <c r="B24" s="118"/>
      <c r="C24" s="118"/>
      <c r="D24" s="118"/>
      <c r="E24" s="118"/>
      <c r="F24" s="118"/>
      <c r="G24" s="118"/>
      <c r="H24" s="142" t="s">
        <v>187</v>
      </c>
      <c r="I24" s="173"/>
      <c r="K24" s="1"/>
      <c r="L24" s="1"/>
    </row>
    <row r="25" spans="1:12" ht="12.75" customHeight="1" x14ac:dyDescent="0.25">
      <c r="A25" s="118"/>
      <c r="B25" s="118"/>
      <c r="C25" s="118"/>
      <c r="D25" s="118"/>
      <c r="E25" s="118"/>
      <c r="F25" s="118"/>
      <c r="G25" s="118"/>
      <c r="H25" s="173"/>
      <c r="I25" s="158" t="s">
        <v>185</v>
      </c>
      <c r="J25" s="119">
        <f>Q_min</f>
        <v>31863</v>
      </c>
      <c r="K25" s="1"/>
      <c r="L25" s="1"/>
    </row>
    <row r="26" spans="1:12" ht="12.75" customHeight="1" x14ac:dyDescent="0.25">
      <c r="A26" s="118"/>
      <c r="B26" s="118"/>
      <c r="C26" s="118"/>
      <c r="D26" s="118"/>
      <c r="E26" s="118"/>
      <c r="F26" s="118"/>
      <c r="G26" s="118"/>
      <c r="H26" s="1"/>
      <c r="I26" s="1"/>
      <c r="J26" s="1"/>
      <c r="K26" s="1"/>
      <c r="L26" s="1"/>
    </row>
    <row r="27" spans="1:12" ht="12.75" customHeight="1" x14ac:dyDescent="0.25">
      <c r="A27" s="118"/>
      <c r="B27" s="118"/>
      <c r="C27" s="118"/>
      <c r="D27" s="118"/>
      <c r="E27" s="118"/>
      <c r="F27" s="118"/>
      <c r="G27" s="118"/>
      <c r="H27" s="1"/>
      <c r="I27" s="1"/>
      <c r="J27" s="1"/>
      <c r="K27" s="1"/>
      <c r="L27" s="1"/>
    </row>
    <row r="28" spans="1:12" ht="12.75" customHeight="1" x14ac:dyDescent="0.25">
      <c r="A28" s="118"/>
      <c r="B28" s="118"/>
      <c r="C28" s="118"/>
      <c r="D28" s="118"/>
      <c r="E28" s="118"/>
      <c r="F28" s="118"/>
      <c r="G28" s="118"/>
      <c r="J28" s="1"/>
      <c r="K28" s="1"/>
      <c r="L28" s="1"/>
    </row>
    <row r="29" spans="1:12" ht="12.75" customHeight="1" x14ac:dyDescent="0.25">
      <c r="A29" s="118"/>
      <c r="B29" s="118"/>
      <c r="C29" s="118"/>
      <c r="D29" s="118"/>
      <c r="E29" s="118"/>
      <c r="F29" s="118"/>
      <c r="G29" s="118"/>
      <c r="I29" s="158" t="s">
        <v>175</v>
      </c>
      <c r="J29" s="1" t="str">
        <f>'Valve Sizing'!B2</f>
        <v>scfh</v>
      </c>
      <c r="K29" s="1"/>
      <c r="L29" s="1"/>
    </row>
    <row r="30" spans="1:12" ht="12.75" customHeight="1" x14ac:dyDescent="0.25">
      <c r="A30" s="118"/>
      <c r="B30" s="118"/>
      <c r="C30" s="118"/>
      <c r="D30" s="118"/>
      <c r="E30" s="118"/>
      <c r="F30" s="118"/>
      <c r="G30" s="118"/>
      <c r="H30" s="1"/>
      <c r="I30" s="1"/>
      <c r="J30" s="1"/>
      <c r="K30" s="1"/>
      <c r="L30" s="1"/>
    </row>
    <row r="31" spans="1:12" ht="12.75" customHeight="1" x14ac:dyDescent="0.25">
      <c r="A31" s="118"/>
      <c r="B31" s="118"/>
      <c r="C31" s="118"/>
      <c r="D31" s="118"/>
      <c r="E31" s="118"/>
      <c r="F31" s="118"/>
      <c r="G31" s="118"/>
      <c r="H31" s="158"/>
      <c r="I31" s="158"/>
      <c r="K31" s="1"/>
      <c r="L31" s="1"/>
    </row>
    <row r="32" spans="1:12" ht="12.75" customHeight="1" x14ac:dyDescent="0.25">
      <c r="A32" s="118"/>
      <c r="B32" s="118"/>
      <c r="C32" s="118"/>
      <c r="D32" s="118"/>
      <c r="E32" s="118"/>
      <c r="F32" s="118"/>
      <c r="G32" s="118"/>
      <c r="H32" s="1"/>
      <c r="I32" s="1"/>
      <c r="J32" s="1"/>
      <c r="K32" s="1"/>
      <c r="L32" s="1"/>
    </row>
    <row r="33" spans="1:26" ht="12.75" customHeight="1" x14ac:dyDescent="0.25">
      <c r="A33" s="118"/>
      <c r="B33" s="118"/>
      <c r="C33" s="118"/>
      <c r="D33" s="118"/>
      <c r="E33" s="118"/>
      <c r="F33" s="118"/>
      <c r="G33" s="118"/>
      <c r="H33" s="1"/>
      <c r="I33" s="1"/>
      <c r="J33" s="1"/>
      <c r="K33" s="1"/>
      <c r="L33" s="1"/>
    </row>
    <row r="34" spans="1:26" ht="12.75" customHeight="1" x14ac:dyDescent="0.25">
      <c r="A34" s="118"/>
      <c r="B34" s="118"/>
      <c r="C34" s="118"/>
      <c r="D34" s="118"/>
      <c r="E34" s="118"/>
      <c r="F34" s="118"/>
      <c r="G34" s="118"/>
      <c r="H34" s="1"/>
      <c r="I34" s="1"/>
      <c r="J34" s="1"/>
      <c r="K34" s="1"/>
      <c r="L34" s="1"/>
    </row>
    <row r="35" spans="1:26" ht="12.75" customHeight="1" x14ac:dyDescent="0.25">
      <c r="A35" s="1"/>
      <c r="B35" s="1"/>
      <c r="C35" s="1"/>
      <c r="D35" s="1"/>
      <c r="E35" s="1"/>
      <c r="F35" s="1"/>
      <c r="G35" s="1"/>
      <c r="H35" s="1"/>
      <c r="I35" s="1"/>
      <c r="J35" s="1"/>
      <c r="K35" s="1"/>
      <c r="L35" s="1"/>
    </row>
    <row r="36" spans="1:26" ht="12.75" customHeight="1" x14ac:dyDescent="0.25">
      <c r="A36" s="1"/>
      <c r="B36" s="1"/>
      <c r="C36" s="1"/>
      <c r="D36" s="1"/>
      <c r="E36" s="1"/>
      <c r="F36" s="1"/>
      <c r="G36" s="1"/>
      <c r="H36" s="1"/>
      <c r="I36" s="1"/>
      <c r="J36" s="1"/>
      <c r="K36" s="1"/>
      <c r="L36" s="1"/>
    </row>
    <row r="37" spans="1:26" ht="12.75" customHeight="1" x14ac:dyDescent="0.25">
      <c r="A37" s="1"/>
      <c r="B37" s="1"/>
      <c r="C37" s="1"/>
      <c r="D37" s="1"/>
      <c r="E37" s="1"/>
      <c r="F37" s="1"/>
      <c r="G37" s="1"/>
      <c r="H37" s="1"/>
      <c r="I37" s="1"/>
      <c r="J37" s="1"/>
      <c r="K37" s="1"/>
      <c r="L37" s="1"/>
    </row>
    <row r="38" spans="1:26" ht="12.75" customHeight="1" thickBot="1" x14ac:dyDescent="0.35">
      <c r="A38" s="1"/>
      <c r="B38" s="1"/>
      <c r="C38" s="1"/>
      <c r="D38" s="1"/>
      <c r="E38" s="182" t="s">
        <v>171</v>
      </c>
      <c r="F38" s="1"/>
      <c r="G38" s="1"/>
      <c r="H38" s="1"/>
      <c r="I38" s="1"/>
      <c r="J38" s="1"/>
      <c r="K38" s="1"/>
      <c r="L38" s="1"/>
    </row>
    <row r="39" spans="1:26" ht="12.75" customHeight="1" thickTop="1" x14ac:dyDescent="0.25">
      <c r="A39" s="183" t="s">
        <v>191</v>
      </c>
      <c r="B39" s="150">
        <v>0</v>
      </c>
      <c r="C39" s="150">
        <v>0.05</v>
      </c>
      <c r="D39" s="150">
        <v>0.1</v>
      </c>
      <c r="E39" s="150">
        <v>0.15</v>
      </c>
      <c r="F39" s="150">
        <v>0.2</v>
      </c>
      <c r="G39" s="150">
        <v>0.25</v>
      </c>
      <c r="H39" s="150">
        <v>0.3</v>
      </c>
      <c r="I39" s="150">
        <v>0.35</v>
      </c>
      <c r="J39" s="150">
        <v>0.4</v>
      </c>
      <c r="K39" s="150">
        <v>0.45</v>
      </c>
      <c r="L39" s="150">
        <v>0.5</v>
      </c>
      <c r="M39" s="150">
        <v>0.55000000000000004</v>
      </c>
      <c r="N39" s="150">
        <v>0.6</v>
      </c>
      <c r="O39" s="150">
        <v>0.65</v>
      </c>
      <c r="P39" s="150">
        <v>0.7</v>
      </c>
      <c r="Q39" s="150">
        <v>0.75</v>
      </c>
      <c r="R39" s="150">
        <v>0.8</v>
      </c>
      <c r="S39" s="150">
        <v>0.85</v>
      </c>
      <c r="T39" s="150">
        <v>0.9</v>
      </c>
      <c r="U39" s="150">
        <v>0.95</v>
      </c>
      <c r="V39" s="150">
        <v>1</v>
      </c>
      <c r="W39" s="150"/>
      <c r="X39" s="184"/>
      <c r="Y39" s="150"/>
      <c r="Z39" s="152"/>
    </row>
    <row r="40" spans="1:26" ht="12.75" customHeight="1" x14ac:dyDescent="0.25">
      <c r="A40" s="185" t="s">
        <v>192</v>
      </c>
      <c r="B40" s="140">
        <v>0</v>
      </c>
      <c r="C40" s="186">
        <f ca="1">B40+0.5*(D40-B40)</f>
        <v>2.4765854457802688E-2</v>
      </c>
      <c r="D40" s="199">
        <f ca="1">'Installed Flow'!$T$19/Q_max</f>
        <v>4.9531708915605377E-2</v>
      </c>
      <c r="E40" s="186">
        <f ca="1">D40+0.5*(F40-D40)</f>
        <v>8.5408334898767133E-2</v>
      </c>
      <c r="F40" s="187">
        <f ca="1">'Installed Flow'!$W$19/Q_max</f>
        <v>0.12128496088192889</v>
      </c>
      <c r="G40" s="186">
        <f ca="1">F40+0.5*(H40-F40)</f>
        <v>0.17875855362497672</v>
      </c>
      <c r="H40" s="187">
        <f ca="1">'Installed Flow'!$Z$19/Q_max</f>
        <v>0.23623214636802459</v>
      </c>
      <c r="I40" s="186">
        <f ca="1">H40+0.5*(J40-H40)</f>
        <v>0.31627810061153616</v>
      </c>
      <c r="J40" s="187">
        <f ca="1">'Installed Flow'!$AC$19/Q_max</f>
        <v>0.39632405485504768</v>
      </c>
      <c r="K40" s="186">
        <f ca="1">J40+0.5*(L40-J40)</f>
        <v>0.48738490362706766</v>
      </c>
      <c r="L40" s="187">
        <f ca="1">'Installed Flow'!$AF$19/Q_max</f>
        <v>0.57844575239908769</v>
      </c>
      <c r="M40" s="186">
        <f ca="1">L40+0.5*(N40-L40)</f>
        <v>0.67519192567976027</v>
      </c>
      <c r="N40" s="187">
        <f ca="1">'Installed Flow'!$AI$19/Q_max</f>
        <v>0.77193809896043275</v>
      </c>
      <c r="O40" s="186">
        <f ca="1">N40+0.5*(P40-N40)</f>
        <v>0.85692463938416052</v>
      </c>
      <c r="P40" s="187">
        <f ca="1">'Installed Flow'!$AL$19/Q_max</f>
        <v>0.94191117980788841</v>
      </c>
      <c r="Q40" s="186">
        <f ca="1">P40+0.5*(R40-P40)</f>
        <v>1.0177204091403877</v>
      </c>
      <c r="R40" s="187">
        <f ca="1">'Installed Flow'!$AO$19/Q_max</f>
        <v>1.093529638472887</v>
      </c>
      <c r="S40" s="186">
        <f ca="1">R40+0.5*(T40-R40)</f>
        <v>1.1878895700686636</v>
      </c>
      <c r="T40" s="187">
        <f ca="1">'Installed Flow'!$AR$19/Q_max</f>
        <v>1.28224950166444</v>
      </c>
      <c r="U40" s="186">
        <f ca="1">T40+0.5*(V40-T40)</f>
        <v>1.3353709864150214</v>
      </c>
      <c r="V40" s="187">
        <f ca="1">'Installed Flow'!$AU$19/Q_max</f>
        <v>1.3884924711656028</v>
      </c>
      <c r="W40" s="188">
        <f>IF(AND('Installed Flow'!M17="",'Installed Flow'!M18="",'Installed Flow'!M19=""),Q_min/Q_max,0)</f>
        <v>0.13478825515137927</v>
      </c>
      <c r="X40" s="140">
        <f>W40</f>
        <v>0.13478825515137927</v>
      </c>
      <c r="Y40" s="188">
        <f>IF(AND('Installed Flow'!M17="",'Installed Flow'!M18="",'Installed Flow'!M19=""),1,0)</f>
        <v>1</v>
      </c>
      <c r="Z40" s="189">
        <f>Y40</f>
        <v>1</v>
      </c>
    </row>
    <row r="41" spans="1:26" ht="12.75" customHeight="1" x14ac:dyDescent="0.25">
      <c r="A41" s="148" t="s">
        <v>172</v>
      </c>
      <c r="B41" s="141"/>
      <c r="C41" s="205">
        <f ca="1">C44/C45</f>
        <v>0.49531708915605377</v>
      </c>
      <c r="D41" s="205">
        <f t="shared" ref="D41:U41" ca="1" si="0">D44/D45</f>
        <v>0.60642480440964441</v>
      </c>
      <c r="E41" s="205">
        <f t="shared" ca="1" si="0"/>
        <v>0.71753251966323506</v>
      </c>
      <c r="F41" s="205">
        <f t="shared" ca="1" si="0"/>
        <v>0.93350218726209588</v>
      </c>
      <c r="G41" s="205">
        <f t="shared" ca="1" si="0"/>
        <v>1.1494718548609568</v>
      </c>
      <c r="H41" s="205">
        <f t="shared" ca="1" si="0"/>
        <v>1.3751954698655944</v>
      </c>
      <c r="I41" s="205">
        <f t="shared" ca="1" si="0"/>
        <v>1.6009190848702308</v>
      </c>
      <c r="J41" s="205">
        <f t="shared" ca="1" si="0"/>
        <v>1.7110680301553149</v>
      </c>
      <c r="K41" s="205">
        <f t="shared" ca="1" si="0"/>
        <v>1.8212169754404</v>
      </c>
      <c r="L41" s="205">
        <f t="shared" ca="1" si="0"/>
        <v>1.8780702205269262</v>
      </c>
      <c r="M41" s="205">
        <f t="shared" ca="1" si="0"/>
        <v>1.9349234656134506</v>
      </c>
      <c r="N41" s="205">
        <f t="shared" ca="1" si="0"/>
        <v>1.8173271370440025</v>
      </c>
      <c r="O41" s="205">
        <f t="shared" ca="1" si="0"/>
        <v>1.6997308084745566</v>
      </c>
      <c r="P41" s="205">
        <f t="shared" ca="1" si="0"/>
        <v>1.6079576975622722</v>
      </c>
      <c r="Q41" s="205">
        <f t="shared" ca="1" si="0"/>
        <v>1.5161845866499857</v>
      </c>
      <c r="R41" s="205">
        <f t="shared" ca="1" si="0"/>
        <v>1.7016916092827583</v>
      </c>
      <c r="S41" s="205">
        <f t="shared" ca="1" si="0"/>
        <v>1.8871986319155298</v>
      </c>
      <c r="T41" s="205">
        <f t="shared" ca="1" si="0"/>
        <v>1.4748141634635781</v>
      </c>
      <c r="U41" s="205">
        <f t="shared" ca="1" si="0"/>
        <v>1.0624296950116285</v>
      </c>
      <c r="V41" s="141"/>
      <c r="W41" s="141"/>
      <c r="X41" s="190"/>
      <c r="Y41" s="146"/>
      <c r="Z41" s="147"/>
    </row>
    <row r="42" spans="1:26" x14ac:dyDescent="0.25">
      <c r="A42" s="148" t="s">
        <v>176</v>
      </c>
      <c r="B42" s="141"/>
      <c r="C42" s="141"/>
      <c r="D42" s="141"/>
      <c r="E42" s="141"/>
      <c r="F42" s="141"/>
      <c r="G42" s="141"/>
      <c r="H42" s="141"/>
      <c r="I42" s="141"/>
      <c r="J42" s="141"/>
      <c r="K42" s="141"/>
      <c r="L42" s="141"/>
      <c r="M42" s="141"/>
      <c r="N42" s="141"/>
      <c r="O42" s="141"/>
      <c r="P42" s="141"/>
      <c r="Q42" s="141"/>
      <c r="R42" s="141"/>
      <c r="S42" s="141"/>
      <c r="T42" s="141"/>
      <c r="U42" s="141"/>
      <c r="V42" s="146"/>
      <c r="W42" s="146">
        <v>0</v>
      </c>
      <c r="X42" s="146">
        <v>4</v>
      </c>
      <c r="Y42" s="146"/>
      <c r="Z42" s="147"/>
    </row>
    <row r="43" spans="1:26" x14ac:dyDescent="0.25">
      <c r="A43" s="148" t="s">
        <v>177</v>
      </c>
      <c r="B43" s="141"/>
      <c r="C43" s="141"/>
      <c r="D43" s="141"/>
      <c r="E43" s="141"/>
      <c r="F43" s="141"/>
      <c r="G43" s="141"/>
      <c r="H43" s="141"/>
      <c r="I43" s="141"/>
      <c r="J43" s="141"/>
      <c r="K43" s="141"/>
      <c r="L43" s="141"/>
      <c r="M43" s="141"/>
      <c r="N43" s="141"/>
      <c r="O43" s="141"/>
      <c r="P43" s="141"/>
      <c r="Q43" s="141"/>
      <c r="R43" s="141"/>
      <c r="S43" s="141"/>
      <c r="T43" s="141"/>
      <c r="U43" s="141"/>
      <c r="V43" s="141"/>
      <c r="W43" s="141"/>
      <c r="X43" s="190"/>
      <c r="Y43" s="146">
        <v>0</v>
      </c>
      <c r="Z43" s="147">
        <v>4</v>
      </c>
    </row>
    <row r="44" spans="1:26" x14ac:dyDescent="0.25">
      <c r="A44" s="185" t="s">
        <v>173</v>
      </c>
      <c r="B44" s="141"/>
      <c r="C44" s="140">
        <f t="shared" ref="C44:U44" ca="1" si="1">D40-B40</f>
        <v>4.9531708915605377E-2</v>
      </c>
      <c r="D44" s="188">
        <f t="shared" ca="1" si="1"/>
        <v>6.0642480440964444E-2</v>
      </c>
      <c r="E44" s="188">
        <f t="shared" ca="1" si="1"/>
        <v>7.1753251966323511E-2</v>
      </c>
      <c r="F44" s="188">
        <f t="shared" ca="1" si="1"/>
        <v>9.3350218726209591E-2</v>
      </c>
      <c r="G44" s="188">
        <f t="shared" ca="1" si="1"/>
        <v>0.1149471854860957</v>
      </c>
      <c r="H44" s="188">
        <f t="shared" ca="1" si="1"/>
        <v>0.13751954698655944</v>
      </c>
      <c r="I44" s="188">
        <f t="shared" ca="1" si="1"/>
        <v>0.16009190848702309</v>
      </c>
      <c r="J44" s="188">
        <f t="shared" ca="1" si="1"/>
        <v>0.17110680301553149</v>
      </c>
      <c r="K44" s="188">
        <f t="shared" ca="1" si="1"/>
        <v>0.18212169754404001</v>
      </c>
      <c r="L44" s="188">
        <f t="shared" ca="1" si="1"/>
        <v>0.18780702205269262</v>
      </c>
      <c r="M44" s="188">
        <f t="shared" ca="1" si="1"/>
        <v>0.19349234656134506</v>
      </c>
      <c r="N44" s="188">
        <f t="shared" ca="1" si="1"/>
        <v>0.18173271370440025</v>
      </c>
      <c r="O44" s="188">
        <f t="shared" ca="1" si="1"/>
        <v>0.16997308084745566</v>
      </c>
      <c r="P44" s="188">
        <f t="shared" ca="1" si="1"/>
        <v>0.16079576975622722</v>
      </c>
      <c r="Q44" s="188">
        <f t="shared" ca="1" si="1"/>
        <v>0.15161845866499857</v>
      </c>
      <c r="R44" s="188">
        <f t="shared" ca="1" si="1"/>
        <v>0.17016916092827583</v>
      </c>
      <c r="S44" s="188">
        <f t="shared" ca="1" si="1"/>
        <v>0.18871986319155298</v>
      </c>
      <c r="T44" s="188">
        <f t="shared" ca="1" si="1"/>
        <v>0.14748141634635781</v>
      </c>
      <c r="U44" s="188">
        <f t="shared" ca="1" si="1"/>
        <v>0.10624296950116285</v>
      </c>
      <c r="V44" s="141"/>
      <c r="W44" s="141"/>
      <c r="X44" s="190"/>
      <c r="Y44" s="141"/>
      <c r="Z44" s="154"/>
    </row>
    <row r="45" spans="1:26" ht="15" thickBot="1" x14ac:dyDescent="0.35">
      <c r="A45" s="191" t="s">
        <v>174</v>
      </c>
      <c r="B45" s="155"/>
      <c r="C45" s="204">
        <f>IF(AND('Installed Flow'!M17="",'Installed Flow'!M18="",'Installed Flow'!M19=""),0.1,0)</f>
        <v>0.1</v>
      </c>
      <c r="D45" s="198">
        <f t="shared" ref="D45:U45" si="2">$C45</f>
        <v>0.1</v>
      </c>
      <c r="E45" s="198">
        <f t="shared" si="2"/>
        <v>0.1</v>
      </c>
      <c r="F45" s="198">
        <f t="shared" si="2"/>
        <v>0.1</v>
      </c>
      <c r="G45" s="198">
        <f t="shared" si="2"/>
        <v>0.1</v>
      </c>
      <c r="H45" s="198">
        <f t="shared" si="2"/>
        <v>0.1</v>
      </c>
      <c r="I45" s="198">
        <f t="shared" si="2"/>
        <v>0.1</v>
      </c>
      <c r="J45" s="198">
        <f t="shared" si="2"/>
        <v>0.1</v>
      </c>
      <c r="K45" s="198">
        <f t="shared" si="2"/>
        <v>0.1</v>
      </c>
      <c r="L45" s="198">
        <f t="shared" si="2"/>
        <v>0.1</v>
      </c>
      <c r="M45" s="198">
        <f t="shared" si="2"/>
        <v>0.1</v>
      </c>
      <c r="N45" s="198">
        <f t="shared" si="2"/>
        <v>0.1</v>
      </c>
      <c r="O45" s="198">
        <f t="shared" si="2"/>
        <v>0.1</v>
      </c>
      <c r="P45" s="198">
        <f t="shared" si="2"/>
        <v>0.1</v>
      </c>
      <c r="Q45" s="198">
        <f t="shared" si="2"/>
        <v>0.1</v>
      </c>
      <c r="R45" s="198">
        <f t="shared" si="2"/>
        <v>0.1</v>
      </c>
      <c r="S45" s="198">
        <f t="shared" si="2"/>
        <v>0.1</v>
      </c>
      <c r="T45" s="198">
        <f t="shared" si="2"/>
        <v>0.1</v>
      </c>
      <c r="U45" s="198">
        <f t="shared" si="2"/>
        <v>0.1</v>
      </c>
      <c r="V45" s="155"/>
      <c r="W45" s="155"/>
      <c r="X45" s="192"/>
      <c r="Y45" s="155"/>
      <c r="Z45" s="156"/>
    </row>
    <row r="46" spans="1:26" ht="13.8" thickTop="1" x14ac:dyDescent="0.25"/>
    <row r="47" spans="1:26" x14ac:dyDescent="0.25">
      <c r="A47" s="8"/>
      <c r="B47" s="1"/>
      <c r="C47" s="1"/>
      <c r="D47" s="1"/>
      <c r="E47" s="1"/>
      <c r="F47" s="1"/>
      <c r="G47" s="1"/>
      <c r="H47" s="1"/>
      <c r="I47" s="1"/>
      <c r="J47" s="1"/>
      <c r="K47" s="1"/>
      <c r="L47" s="1"/>
    </row>
    <row r="57" spans="1:16" x14ac:dyDescent="0.25">
      <c r="A57" s="200"/>
      <c r="B57" s="14"/>
      <c r="C57" s="14"/>
      <c r="D57" s="14"/>
      <c r="E57" s="14"/>
      <c r="F57" s="14"/>
      <c r="G57" s="14"/>
      <c r="H57" s="14"/>
      <c r="I57" s="21"/>
      <c r="J57" s="21"/>
      <c r="K57" s="21"/>
      <c r="L57" s="21"/>
      <c r="M57" s="14"/>
      <c r="N57" s="14"/>
      <c r="O57" s="14"/>
      <c r="P57" s="14"/>
    </row>
    <row r="58" spans="1:16" x14ac:dyDescent="0.25">
      <c r="A58" s="200"/>
      <c r="B58" s="201"/>
      <c r="C58" s="201"/>
      <c r="D58" s="201"/>
      <c r="E58" s="201"/>
      <c r="F58" s="201"/>
      <c r="G58" s="201"/>
      <c r="H58" s="201"/>
      <c r="I58" s="201"/>
      <c r="J58" s="201"/>
      <c r="K58" s="201"/>
      <c r="L58" s="201"/>
      <c r="M58" s="202"/>
      <c r="N58" s="202"/>
      <c r="O58" s="202"/>
      <c r="P58" s="202"/>
    </row>
    <row r="59" spans="1:16" x14ac:dyDescent="0.25">
      <c r="A59" s="21"/>
      <c r="B59" s="14"/>
      <c r="C59" s="14"/>
      <c r="D59" s="14"/>
      <c r="E59" s="14"/>
      <c r="F59" s="14"/>
      <c r="G59" s="14"/>
      <c r="H59" s="14"/>
      <c r="I59" s="14"/>
      <c r="J59" s="14"/>
      <c r="K59" s="14"/>
      <c r="L59" s="14"/>
      <c r="M59" s="14"/>
      <c r="N59" s="14"/>
      <c r="O59" s="14"/>
      <c r="P59" s="14"/>
    </row>
    <row r="60" spans="1:16" x14ac:dyDescent="0.25">
      <c r="A60" s="21"/>
      <c r="B60" s="14"/>
      <c r="C60" s="14"/>
      <c r="D60" s="14"/>
      <c r="E60" s="14"/>
      <c r="F60" s="14"/>
      <c r="G60" s="14"/>
      <c r="H60" s="14"/>
      <c r="I60" s="14"/>
      <c r="J60" s="14"/>
      <c r="K60" s="14"/>
      <c r="L60" s="201"/>
      <c r="M60" s="202"/>
      <c r="N60" s="202"/>
      <c r="O60" s="202"/>
      <c r="P60" s="202"/>
    </row>
    <row r="61" spans="1:16" x14ac:dyDescent="0.25">
      <c r="A61" s="21"/>
      <c r="B61" s="14"/>
      <c r="C61" s="14"/>
      <c r="D61" s="14"/>
      <c r="E61" s="14"/>
      <c r="F61" s="14"/>
      <c r="G61" s="14"/>
      <c r="H61" s="14"/>
      <c r="I61" s="14"/>
      <c r="J61" s="14"/>
      <c r="K61" s="14"/>
      <c r="L61" s="14"/>
      <c r="M61" s="202"/>
      <c r="N61" s="202"/>
      <c r="O61" s="202"/>
      <c r="P61" s="202"/>
    </row>
    <row r="62" spans="1:16" x14ac:dyDescent="0.25">
      <c r="A62" s="203"/>
      <c r="B62" s="14"/>
      <c r="C62" s="201"/>
      <c r="D62" s="201"/>
      <c r="E62" s="201"/>
      <c r="F62" s="201"/>
      <c r="G62" s="201"/>
      <c r="H62" s="201"/>
      <c r="I62" s="201"/>
      <c r="J62" s="201"/>
      <c r="K62" s="201"/>
      <c r="L62" s="14"/>
      <c r="M62" s="14"/>
      <c r="N62" s="14"/>
      <c r="O62" s="14"/>
      <c r="P62" s="14"/>
    </row>
    <row r="63" spans="1:16" x14ac:dyDescent="0.25">
      <c r="A63" s="203"/>
      <c r="B63" s="14"/>
      <c r="C63" s="14"/>
      <c r="D63" s="14"/>
      <c r="E63" s="14"/>
      <c r="F63" s="14"/>
      <c r="G63" s="14"/>
      <c r="H63" s="14"/>
      <c r="I63" s="14"/>
      <c r="J63" s="14"/>
      <c r="K63" s="14"/>
      <c r="L63" s="14"/>
      <c r="M63" s="14"/>
      <c r="N63" s="14"/>
      <c r="O63" s="14"/>
      <c r="P63" s="14"/>
    </row>
  </sheetData>
  <sheetProtection sheet="1" formatCells="0" formatColumns="0"/>
  <mergeCells count="1">
    <mergeCell ref="H11:I11"/>
  </mergeCells>
  <pageMargins left="0.7" right="0.7" top="0.75" bottom="0.75" header="0.3" footer="0.3"/>
  <pageSetup scale="84" orientation="portrait" r:id="rId1"/>
  <ignoredErrors>
    <ignoredError sqref="R40"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03230-BA6E-4C45-A105-252747751BF1}">
  <dimension ref="B1:S104"/>
  <sheetViews>
    <sheetView zoomScale="70" zoomScaleNormal="70" workbookViewId="0">
      <selection activeCell="B2" sqref="B2"/>
    </sheetView>
  </sheetViews>
  <sheetFormatPr defaultColWidth="8.77734375" defaultRowHeight="13.2" x14ac:dyDescent="0.25"/>
  <cols>
    <col min="1" max="1" width="8.77734375" style="615"/>
    <col min="2" max="2" width="29.77734375" style="615" customWidth="1"/>
    <col min="3" max="6" width="8.77734375" style="615"/>
    <col min="7" max="7" width="12.44140625" style="615" customWidth="1"/>
    <col min="8" max="12" width="8.77734375" style="615"/>
    <col min="13" max="13" width="45.33203125" style="615" customWidth="1"/>
    <col min="14" max="14" width="28.5546875" style="615" customWidth="1"/>
    <col min="15" max="18" width="9.88671875" style="615" customWidth="1"/>
    <col min="19" max="16384" width="8.77734375" style="615"/>
  </cols>
  <sheetData>
    <row r="1" spans="2:18" ht="15.6" x14ac:dyDescent="0.3">
      <c r="M1" s="616"/>
      <c r="N1" s="689" t="s">
        <v>196</v>
      </c>
      <c r="O1" s="616"/>
      <c r="P1" s="616"/>
      <c r="Q1" s="616"/>
      <c r="R1" s="616"/>
    </row>
    <row r="2" spans="2:18" ht="15.6" x14ac:dyDescent="0.35">
      <c r="B2" s="649" t="s">
        <v>752</v>
      </c>
      <c r="M2" s="616"/>
      <c r="N2" s="616"/>
      <c r="O2" s="616"/>
      <c r="P2" s="616"/>
      <c r="Q2" s="616"/>
      <c r="R2" s="616"/>
    </row>
    <row r="3" spans="2:18" x14ac:dyDescent="0.25">
      <c r="M3" s="631" t="s">
        <v>1</v>
      </c>
      <c r="N3" s="631" t="s">
        <v>2</v>
      </c>
      <c r="O3" s="688" t="s">
        <v>3</v>
      </c>
      <c r="P3" s="616"/>
      <c r="Q3" s="616"/>
      <c r="R3" s="616"/>
    </row>
    <row r="4" spans="2:18" ht="21.6" thickBot="1" x14ac:dyDescent="0.5">
      <c r="B4" s="666" t="s">
        <v>618</v>
      </c>
      <c r="H4" s="616" t="s">
        <v>206</v>
      </c>
      <c r="M4" s="687" t="s">
        <v>197</v>
      </c>
      <c r="N4" s="687" t="s">
        <v>197</v>
      </c>
      <c r="O4" s="686"/>
      <c r="P4" s="685"/>
      <c r="Q4" s="685"/>
      <c r="R4" s="685"/>
    </row>
    <row r="5" spans="2:18" ht="13.8" thickTop="1" x14ac:dyDescent="0.25">
      <c r="B5" s="616" t="s">
        <v>674</v>
      </c>
      <c r="H5" s="616" t="s">
        <v>205</v>
      </c>
    </row>
    <row r="6" spans="2:18" ht="15.6" x14ac:dyDescent="0.35">
      <c r="H6" s="616" t="s">
        <v>207</v>
      </c>
      <c r="M6" s="683" t="s">
        <v>534</v>
      </c>
      <c r="N6" s="683" t="s">
        <v>64</v>
      </c>
      <c r="O6" s="724">
        <f>IF(IEC_6=1,C_,C_*1.157)</f>
        <v>12.91938248122084</v>
      </c>
      <c r="P6" s="724">
        <f>IF(IEC_6=1,'Valve Sizing'!E21,'Valve Sizing'!E21*1.157)</f>
        <v>39.440483902801446</v>
      </c>
      <c r="Q6" s="724">
        <f>IF(IEC_6=1,'Valve Sizing'!F21,'Valve Sizing'!F21*1.157)</f>
        <v>90.647576683611092</v>
      </c>
      <c r="R6" s="724">
        <f>IF(IEC_6=1,'Valve Sizing'!G21,'Valve Sizing'!G21*1.157)</f>
        <v>136.9873645357365</v>
      </c>
    </row>
    <row r="7" spans="2:18" ht="13.8" x14ac:dyDescent="0.25">
      <c r="B7" s="664" t="s">
        <v>199</v>
      </c>
      <c r="C7" s="619">
        <f>Q</f>
        <v>31863</v>
      </c>
      <c r="D7" s="619">
        <v>27000</v>
      </c>
      <c r="E7" s="619">
        <v>65000</v>
      </c>
      <c r="F7" s="619">
        <v>94000</v>
      </c>
      <c r="H7" s="619" t="s">
        <v>203</v>
      </c>
      <c r="I7" s="619" t="s">
        <v>204</v>
      </c>
      <c r="M7" s="683" t="s">
        <v>535</v>
      </c>
      <c r="N7" s="683" t="s">
        <v>63</v>
      </c>
      <c r="O7" s="615">
        <f>IF(IEC_5=3,d,d*0.04)</f>
        <v>3</v>
      </c>
    </row>
    <row r="8" spans="2:18" ht="16.8" thickBot="1" x14ac:dyDescent="0.4">
      <c r="B8" s="647" t="s">
        <v>91</v>
      </c>
      <c r="C8" s="871" t="s">
        <v>202</v>
      </c>
      <c r="D8" s="872"/>
      <c r="E8" s="872"/>
      <c r="F8" s="872"/>
      <c r="H8" s="684" t="s">
        <v>199</v>
      </c>
      <c r="I8" s="684" t="s">
        <v>199</v>
      </c>
      <c r="M8" s="683"/>
      <c r="N8" s="683" t="s">
        <v>198</v>
      </c>
      <c r="O8" s="621">
        <f>C_v/d_in^2</f>
        <v>1.4354869423578711</v>
      </c>
      <c r="P8" s="621">
        <f>P6/d_in^2</f>
        <v>4.3822759892001608</v>
      </c>
      <c r="Q8" s="621">
        <f>Q6/d_in^2</f>
        <v>10.071952964845677</v>
      </c>
      <c r="R8" s="621">
        <f>R6/d_in^2</f>
        <v>15.2208182817485</v>
      </c>
    </row>
    <row r="9" spans="2:18" ht="16.2" thickTop="1" x14ac:dyDescent="0.35">
      <c r="B9" s="616"/>
      <c r="C9" s="616"/>
      <c r="D9" s="616"/>
      <c r="E9" s="616"/>
      <c r="F9" s="616"/>
      <c r="K9" s="682" t="s">
        <v>675</v>
      </c>
      <c r="L9" s="681"/>
      <c r="M9" s="680"/>
    </row>
    <row r="10" spans="2:18" ht="15.6" x14ac:dyDescent="0.35">
      <c r="B10" s="636" t="s">
        <v>200</v>
      </c>
      <c r="C10" s="635">
        <f>IFERROR(IF(Cv_over_d_Sq&lt;0.801,0.74,IF(Cv_over_d_Sq&gt;5.838,0.7,-0.000258*Cv_over_d_Sq^4+0.002423*Cv_over_d_Sq^3-0.005909*Cv_over_d_Sq^2-0.00442*Cv_over_d_Sq+0.744951)),"")</f>
        <v>0.73250164383978911</v>
      </c>
      <c r="D10" s="635">
        <f>IFERROR(IF(P8&lt;0.801,0.74,IF(P8&gt;5.838,0.7,-0.000258*P8^4+0.002423*P8^3-0.005909*P8^2-0.00442*P8+0.744951)),"")</f>
        <v>0.72086733204758446</v>
      </c>
      <c r="E10" s="635">
        <f>IFERROR(IF(Q8&lt;0.801,0.74,IF(Q8&gt;5.838,0.7,-0.000258*Q8^4+0.002423*Q8^3-0.005909*Q8^2-0.00442*Q8+0.744951)),"")</f>
        <v>0.7</v>
      </c>
      <c r="F10" s="635">
        <f>IFERROR(IF(R8&lt;0.801,0.74,IF(R8&gt;5.838,0.7,-0.000258*R8^4+0.002423*R8^3-0.005909*R8^2-0.00442*R8+0.744951)),"")</f>
        <v>0.7</v>
      </c>
      <c r="G10" s="626"/>
      <c r="H10" s="617">
        <v>0.74</v>
      </c>
      <c r="I10" s="617">
        <v>0.72</v>
      </c>
      <c r="K10" s="671" t="s">
        <v>594</v>
      </c>
      <c r="L10" s="652"/>
      <c r="M10" s="670"/>
      <c r="O10" s="621"/>
      <c r="P10" s="621"/>
      <c r="Q10" s="621"/>
      <c r="R10" s="621"/>
    </row>
    <row r="11" spans="2:18" ht="15.6" x14ac:dyDescent="0.35">
      <c r="B11" s="636"/>
      <c r="C11" s="639"/>
      <c r="D11" s="637"/>
      <c r="E11" s="638"/>
      <c r="F11" s="637"/>
      <c r="G11" s="626"/>
      <c r="H11" s="679"/>
      <c r="I11" s="679"/>
      <c r="K11" s="671" t="s">
        <v>595</v>
      </c>
      <c r="L11" s="652"/>
      <c r="M11" s="670"/>
      <c r="O11" s="678"/>
      <c r="P11" s="678"/>
      <c r="Q11" s="678"/>
      <c r="R11" s="678"/>
    </row>
    <row r="12" spans="2:18" ht="14.4" x14ac:dyDescent="0.25">
      <c r="B12" s="636" t="s">
        <v>201</v>
      </c>
      <c r="C12" s="635">
        <f>IFERROR(IF(Cv_over_d_Sq&lt;=0.011,0.64,IF(Cv_over_d_Sq&gt;2.02,0.6,-0.01502*Cv_over_d_Sq^3+0.0571*Cv_over_d_Sq^2-0.07493*Cv_over_d_Sq+0.64234)),"")</f>
        <v>0.60801140714694479</v>
      </c>
      <c r="D12" s="635">
        <f>IFERROR(IF(P8&lt;=0.011,0.64,IF(P8&gt;2.02,0.6,-0.01502*P8^3+0.0571*P8^2-0.07493*P8+0.64234)),"")</f>
        <v>0.6</v>
      </c>
      <c r="E12" s="635">
        <f>IFERROR(IF(Q8&lt;=0.011,0.64,IF(Q8&gt;2.02,0.6,-0.01502*Q8^3+0.0571*Q8^2-0.07493*Q8+0.64234)),"")</f>
        <v>0.6</v>
      </c>
      <c r="F12" s="635">
        <f>IFERROR(IF(R8&lt;=0.011,0.64,IF(R8&gt;2.02,0.6,-0.01502*R8^3+0.0571*R8^2-0.07493*R8+0.64234)),"")</f>
        <v>0.6</v>
      </c>
      <c r="G12" s="626"/>
      <c r="H12" s="617">
        <v>0.62</v>
      </c>
      <c r="I12" s="617">
        <v>0.6</v>
      </c>
      <c r="K12" s="674"/>
      <c r="L12" s="652"/>
      <c r="M12" s="670"/>
      <c r="N12" s="677"/>
    </row>
    <row r="13" spans="2:18" ht="15.6" x14ac:dyDescent="0.35">
      <c r="B13" s="636"/>
      <c r="C13" s="639"/>
      <c r="D13" s="637"/>
      <c r="E13" s="638"/>
      <c r="F13" s="637"/>
      <c r="G13" s="626"/>
      <c r="H13" s="621"/>
      <c r="I13" s="621"/>
      <c r="K13" s="671" t="s">
        <v>596</v>
      </c>
      <c r="L13" s="652"/>
      <c r="M13" s="672"/>
      <c r="N13" s="616"/>
    </row>
    <row r="14" spans="2:18" ht="15" x14ac:dyDescent="0.25">
      <c r="B14" s="636" t="s">
        <v>92</v>
      </c>
      <c r="C14" s="658">
        <f>IFERROR(IF(Cv_over_d_Sq&lt;4.53,0.62,IF(Cv_over_d_Sq&gt;15,0.399,0.6213-0.002517*Cv_over_d_Sq+0.0014569*Cv_over_d_Sq^2-0.00026659*Cv_over_d_Sq^3+0.0000076526*Cv_over_d_Sq^4)),"")</f>
        <v>0.62</v>
      </c>
      <c r="D14" s="658">
        <f>IFERROR(IF(P8&lt;4.53,0.62,IF(P8&gt;15,0.399,0.6213-0.002517*P8+0.0014569*P8^2-0.00026659*P8^3+0.0000076526*P8^4)),"")</f>
        <v>0.62</v>
      </c>
      <c r="E14" s="658">
        <f t="shared" ref="E14:F14" si="0">IFERROR(IF(Q8&lt;4.53,0.62,IF(Q8&gt;15,0.399,0.6213-0.002517*Q8+0.0014569*Q8^2-0.00026659*Q8^3+0.0000076526*Q8^4)),"")</f>
        <v>0.55010930990541196</v>
      </c>
      <c r="F14" s="658">
        <f t="shared" si="0"/>
        <v>0.39900000000000002</v>
      </c>
      <c r="G14" s="626"/>
      <c r="H14" s="621">
        <v>0.62</v>
      </c>
      <c r="I14" s="621">
        <v>0.52</v>
      </c>
      <c r="K14" s="671" t="s">
        <v>588</v>
      </c>
      <c r="L14" s="652"/>
      <c r="M14" s="672"/>
      <c r="N14" s="676"/>
    </row>
    <row r="15" spans="2:18" ht="13.8" x14ac:dyDescent="0.25">
      <c r="B15" s="636"/>
      <c r="C15" s="639"/>
      <c r="D15" s="637"/>
      <c r="E15" s="638"/>
      <c r="F15" s="637"/>
      <c r="G15" s="626"/>
      <c r="H15" s="621"/>
      <c r="I15" s="621"/>
      <c r="K15" s="671" t="s">
        <v>589</v>
      </c>
      <c r="L15" s="652"/>
      <c r="M15" s="670"/>
    </row>
    <row r="16" spans="2:18" ht="13.8" x14ac:dyDescent="0.25">
      <c r="B16" s="641" t="s">
        <v>93</v>
      </c>
      <c r="C16" s="657">
        <f>IFERROR(IF(Cv_over_d_Sq&lt;1.45,0.64,IF(Cv_over_d_Sq&gt;48.9,0.16,IF(Cv_over_d_Sq&lt;=15.07,0.64307-0.0039208*Cv_over_d_Sq+0.00041546*Cv_over_d_Sq^2-0.00015826*Cv_over_d_Sq^3+0.0000068447*Cv_over_d_Sq^4,-0.0085*Cv_over_d_Sq+0.5791))),"")</f>
        <v>0.64</v>
      </c>
      <c r="D16" s="657">
        <f>IFERROR(IF(P8&lt;1.45,0.64,IF(P8&gt;48.9,0.16,IF(P8&lt;=15.07,0.64307-0.0039208*P8+0.00041546*P8^2-0.00015826*P8^3+0.0000068447*P8^4,-0.0085*P8+0.5791))),"")</f>
        <v>0.62307201968016024</v>
      </c>
      <c r="E16" s="657">
        <f>IFERROR(IF(Q8&lt;1.45,0.64,IF(Q8&gt;48.9,0.16,IF(Q8&lt;=15.07,0.64307-0.0039208*Q8+0.00041546*Q8^2-0.00015826*Q8^3+0.0000068447*Q8^4,-0.0085*Q8+0.5791))),"")</f>
        <v>0.55446343701079037</v>
      </c>
      <c r="F16" s="657">
        <f>IFERROR(IF(R8&lt;1.45,0.64,IF(R8&gt;48.9,0.16,IF(R8&lt;=15.07,0.64307-0.0039208*R8+0.00041546*R8^2-0.00015826*R8^3+0.0000068447*R8^4,-0.0085*R8+0.5791))),"")</f>
        <v>0.44972304460513768</v>
      </c>
      <c r="G16" s="626"/>
      <c r="H16" s="621">
        <v>0.64</v>
      </c>
      <c r="I16" s="621">
        <v>0.4</v>
      </c>
      <c r="K16" s="671" t="s">
        <v>590</v>
      </c>
      <c r="L16" s="652"/>
      <c r="M16" s="672"/>
    </row>
    <row r="17" spans="2:19" ht="13.8" x14ac:dyDescent="0.25">
      <c r="B17" s="636"/>
      <c r="C17" s="639"/>
      <c r="D17" s="637"/>
      <c r="E17" s="638"/>
      <c r="F17" s="637"/>
      <c r="G17" s="626"/>
      <c r="H17" s="621"/>
      <c r="I17" s="621"/>
      <c r="K17" s="671" t="s">
        <v>591</v>
      </c>
      <c r="L17" s="652"/>
      <c r="M17" s="670"/>
    </row>
    <row r="18" spans="2:19" ht="13.8" x14ac:dyDescent="0.25">
      <c r="B18" s="636" t="s">
        <v>94</v>
      </c>
      <c r="C18" s="635">
        <f>IFERROR(IF(Cv_over_d_Sq&lt;2.43,0.693,IF(Cv_over_d_Sq&gt;47.01,0.15,IF(Cv_over_d_Sq&lt;20.3,0.73141-0.01581*Cv_over_d_Sq,IF(Cv_over_d_Sq&lt;29.6,0.4964-0.0043*Cv_over_d_Sq,0.74428-0.01265*Cv_over_d_Sq)))),"")</f>
        <v>0.69299999999999995</v>
      </c>
      <c r="D18" s="635">
        <f>IFERROR(IF(P8&lt;2.43,0.693,IF(P8&gt;47.01,0.15,IF(P8&lt;20.3,0.73141-0.01581*P8,IF(P8&lt;29.6,0.4964-0.0043*P8,0.74428-0.01265*P8)))),"")</f>
        <v>0.66212621661074544</v>
      </c>
      <c r="E18" s="635">
        <f>IFERROR(IF(Q8&lt;2.43,0.693,IF(Q8&gt;47.01,0.15,IF(Q8&lt;20.3,0.73141-0.01581*Q8,IF(Q8&lt;29.6,0.4964-0.0043*Q8,0.74428-0.01265*Q8)))),"")</f>
        <v>0.57217242362578991</v>
      </c>
      <c r="F18" s="635">
        <f>IFERROR(IF(R8&lt;2.43,0.693,IF(R8&gt;47.01,0.15,IF(R8&lt;20.3,0.73141-0.01581*R8,IF(R8&lt;29.6,0.4964-0.0043*R8,0.74428-0.01265*R8)))),"")</f>
        <v>0.49076886296555622</v>
      </c>
      <c r="G18" s="626"/>
      <c r="H18" s="621">
        <v>0.68</v>
      </c>
      <c r="I18" s="621">
        <v>0.37</v>
      </c>
      <c r="K18" s="671" t="s">
        <v>592</v>
      </c>
      <c r="L18" s="652"/>
      <c r="M18" s="675"/>
    </row>
    <row r="19" spans="2:19" ht="14.4" x14ac:dyDescent="0.3">
      <c r="B19" s="636"/>
      <c r="C19" s="639"/>
      <c r="D19" s="637"/>
      <c r="E19" s="638"/>
      <c r="F19" s="637"/>
      <c r="G19" s="626"/>
      <c r="H19" s="621"/>
      <c r="I19" s="621"/>
      <c r="K19" s="674"/>
      <c r="L19" s="673"/>
      <c r="M19" s="672"/>
    </row>
    <row r="20" spans="2:19" ht="13.8" x14ac:dyDescent="0.25">
      <c r="B20" s="656" t="s">
        <v>640</v>
      </c>
      <c r="C20" s="655">
        <f>IFERROR(IF(Cv_over_d_Sq&lt;2.2,0.82,IF(Cv_over_d_Sq&gt;156,0.05,IF(Cv_over_d_Sq&lt;66.67,0.8854-0.03093788*Cv_over_d_Sq+0.0004934683*Cv_over_d_Sq^2-0.000002920251*Cv_over_d_Sq^3,-0.0014*Cv_over_d_Sq+0.2684))),"")</f>
        <v>0.82</v>
      </c>
      <c r="D20" s="655">
        <f>IFERROR(IF(P8&lt;2.2,0.82,IF(P8&gt;156,0.05,IF(P8&lt;66.67,0.8854-0.03093788*P8+0.0004934683*P8^2-0.000002920251*P8^3,-0.0014*P8+0.2684))),"")</f>
        <v>0.75905264111882109</v>
      </c>
      <c r="E20" s="655">
        <f>IFERROR(IF(Q8&lt;2.2,0.82,IF(Q8&gt;156,0.05,IF(Q8&lt;66.67,0.8854-0.03093788*Q8+0.0004934683*Q8^2-0.000002920251*Q8^3,-0.0014*Q8+0.2684))),"")</f>
        <v>0.6208709008839105</v>
      </c>
      <c r="F20" s="655">
        <f>IFERROR(IF(R8&lt;2.2,0.82,IF(R8&gt;156,0.05,IF(R8&lt;66.67,0.8854-0.03093788*R8+0.0004934683*R8^2-0.000002920251*R8^3,-0.0014*R8+0.2684))),"")</f>
        <v>0.51852602800491376</v>
      </c>
      <c r="G20" s="626"/>
      <c r="H20" s="621">
        <v>0.82</v>
      </c>
      <c r="I20" s="621">
        <v>0.3</v>
      </c>
      <c r="K20" s="671" t="s">
        <v>593</v>
      </c>
      <c r="L20" s="652"/>
      <c r="M20" s="670"/>
    </row>
    <row r="21" spans="2:19" ht="16.2" thickBot="1" x14ac:dyDescent="0.4">
      <c r="K21" s="669" t="s">
        <v>597</v>
      </c>
      <c r="L21" s="668"/>
      <c r="M21" s="667"/>
    </row>
    <row r="22" spans="2:19" ht="13.8" thickTop="1" x14ac:dyDescent="0.25"/>
    <row r="24" spans="2:19" ht="21" x14ac:dyDescent="0.45">
      <c r="B24" s="666" t="s">
        <v>619</v>
      </c>
      <c r="C24" s="616"/>
      <c r="D24" s="616"/>
      <c r="E24" s="616"/>
      <c r="F24" s="616"/>
      <c r="G24" s="616"/>
      <c r="H24" s="616"/>
      <c r="I24" s="616"/>
      <c r="K24" s="616"/>
    </row>
    <row r="25" spans="2:19" ht="15.6" x14ac:dyDescent="0.35">
      <c r="B25" s="616" t="s">
        <v>581</v>
      </c>
      <c r="C25" s="616"/>
      <c r="D25" s="616"/>
      <c r="E25" s="616"/>
      <c r="F25" s="616"/>
      <c r="G25" s="616"/>
      <c r="H25" s="616"/>
      <c r="I25" s="616"/>
      <c r="K25" s="616"/>
      <c r="S25" s="665"/>
    </row>
    <row r="26" spans="2:19" x14ac:dyDescent="0.25">
      <c r="B26" s="649" t="s">
        <v>647</v>
      </c>
      <c r="C26" s="616"/>
      <c r="D26" s="616"/>
      <c r="E26" s="616"/>
      <c r="F26" s="616"/>
      <c r="G26" s="616"/>
      <c r="H26" s="616"/>
      <c r="I26" s="616"/>
      <c r="K26" s="616"/>
    </row>
    <row r="27" spans="2:19" ht="13.8" x14ac:dyDescent="0.25">
      <c r="B27" s="664" t="s">
        <v>199</v>
      </c>
      <c r="C27" s="619">
        <f>Q</f>
        <v>31863</v>
      </c>
      <c r="D27" s="619">
        <v>27000</v>
      </c>
      <c r="E27" s="619">
        <v>65000</v>
      </c>
      <c r="F27" s="619">
        <v>94000</v>
      </c>
      <c r="G27" s="616"/>
      <c r="H27" s="619"/>
      <c r="I27" s="619"/>
      <c r="K27" s="616"/>
      <c r="S27" s="620"/>
    </row>
    <row r="28" spans="2:19" ht="16.2" thickBot="1" x14ac:dyDescent="0.4">
      <c r="B28" s="647" t="s">
        <v>91</v>
      </c>
      <c r="C28" s="646" t="s">
        <v>536</v>
      </c>
      <c r="D28" s="739"/>
      <c r="E28" s="739"/>
      <c r="F28" s="739"/>
      <c r="H28" s="663"/>
      <c r="I28" s="663"/>
      <c r="K28" s="616"/>
      <c r="S28" s="662"/>
    </row>
    <row r="29" spans="2:19" ht="13.8" x14ac:dyDescent="0.25">
      <c r="B29" s="616"/>
      <c r="C29" s="616"/>
      <c r="D29" s="616"/>
      <c r="E29" s="616"/>
      <c r="F29" s="616"/>
      <c r="H29" s="661"/>
      <c r="I29" s="661"/>
      <c r="K29" s="616"/>
      <c r="S29" s="620"/>
    </row>
    <row r="30" spans="2:19" ht="13.8" x14ac:dyDescent="0.25">
      <c r="B30" s="636" t="s">
        <v>200</v>
      </c>
      <c r="C30" s="660">
        <f>IFERROR(IF(Cv_over_d_Sq&lt;=0.047,0.82,IF(Cv_over_d_Sq&gt;17.75,0.812,IF(Cv_over_d_Sq&lt;5.767,0.00000792*Cv_over_d_Sq^3-0.00244111*Cv_over_d_Sq^2+0.01778061*Cv_over_d_Sq+0.81786637,-0.00242*Cv_over_d_Sq+0.854957))),"")</f>
        <v>0.83838342398916788</v>
      </c>
      <c r="D30" s="660">
        <f>IFERROR(IF(P8&lt;=0.047,0.82,IF(P8&gt;17.75,0.812,IF(P8&lt;5.767,0.00000792*P8^3-0.00244111*P8^2+0.01778061*P8+0.81786637,-0.00242*P8+0.854957))),"")</f>
        <v>0.84957253405858335</v>
      </c>
      <c r="E30" s="660">
        <f t="shared" ref="E30:F30" si="1">IFERROR(IF(Q8&lt;=0.047,0.82,IF(Q8&gt;17.75,0.812,IF(Q8&lt;5.767,0.00000792*Q8^3-0.00244111*Q8^2+0.01778061*Q8+0.81786637,-0.00242*Q8+0.854957))),"")</f>
        <v>0.83058287382507345</v>
      </c>
      <c r="F30" s="660">
        <f t="shared" si="1"/>
        <v>0.81812261975816858</v>
      </c>
      <c r="G30" s="626"/>
      <c r="H30" s="625"/>
      <c r="I30" s="625"/>
      <c r="K30" s="659"/>
      <c r="L30" s="652"/>
      <c r="M30" s="652"/>
      <c r="S30" s="620"/>
    </row>
    <row r="31" spans="2:19" ht="13.8" x14ac:dyDescent="0.25">
      <c r="B31" s="636"/>
      <c r="C31" s="639"/>
      <c r="D31" s="639"/>
      <c r="E31" s="638"/>
      <c r="F31" s="639"/>
      <c r="G31" s="616"/>
      <c r="H31" s="625"/>
      <c r="I31" s="625"/>
      <c r="K31" s="653"/>
      <c r="L31" s="652"/>
      <c r="M31" s="652"/>
      <c r="S31" s="629"/>
    </row>
    <row r="32" spans="2:19" ht="13.8" x14ac:dyDescent="0.25">
      <c r="B32" s="636" t="s">
        <v>201</v>
      </c>
      <c r="C32" s="658">
        <f>IFERROR(IF(Cv_over_d_Sq&lt;0.256,0.94,IF(Cv_over_d_Sq&lt;5.158,-0.0002321*Cv_over_d_Sq^4+0.002155*Cv_over_d_Sq^3-0.004036*Cv_over_d_Sq^2-0.01878*Cv_over_d_Sq+0.9427,IF(Cv_over_d_Sq&lt;26.8,-0.00462*Cv_over_d_Sq+0.8938,0.77))),"")</f>
        <v>0.91281383026976015</v>
      </c>
      <c r="D32" s="658">
        <f>IFERROR(IF(P8&lt;0.256,0.94,IF(P8&lt;5.158,-0.0002321*P8^4+0.002155*P8^3-0.004036*P8^2-0.01878*P8+0.9427,IF(P8&lt;26.8,-0.00462*P8+0.8938,0.77))),"")</f>
        <v>0.87865413891645405</v>
      </c>
      <c r="E32" s="658">
        <f>IFERROR(IF(Q8&lt;0.256,0.94,IF(Q8&lt;5.158,-0.0002321*Q8^4+0.002155*Q8^3-0.004036*Q8^2-0.01878*Q8+0.9427,IF(Q8&lt;26.8,-0.00462*Q8+0.8938,0.77))),"")</f>
        <v>0.84726757730241298</v>
      </c>
      <c r="F32" s="658">
        <f>IFERROR(IF(R8&lt;0.256,0.94,IF(R8&lt;5.158,-0.0002321*R8^4+0.002155*R8^3-0.004036*R8^2-0.01878*R8+0.9427,IF(R8&lt;26.8,-0.00462*R8+0.8938,0.77))),"")</f>
        <v>0.82347981953832194</v>
      </c>
      <c r="G32" s="616"/>
      <c r="H32" s="625"/>
      <c r="I32" s="625"/>
      <c r="K32" s="653"/>
      <c r="L32" s="652"/>
      <c r="M32" s="652"/>
      <c r="S32" s="629"/>
    </row>
    <row r="33" spans="2:19" ht="13.8" x14ac:dyDescent="0.25">
      <c r="B33" s="636"/>
      <c r="C33" s="639"/>
      <c r="D33" s="639"/>
      <c r="E33" s="638"/>
      <c r="F33" s="639"/>
      <c r="G33" s="616"/>
      <c r="H33" s="625"/>
      <c r="I33" s="625"/>
      <c r="K33" s="652"/>
      <c r="L33" s="652"/>
      <c r="M33" s="652"/>
      <c r="S33" s="620"/>
    </row>
    <row r="34" spans="2:19" ht="13.8" x14ac:dyDescent="0.25">
      <c r="B34" s="636" t="s">
        <v>92</v>
      </c>
      <c r="C34" s="657">
        <f>IFERROR(IF(Cv_over_d_Sq&lt;=1.12,0.91,IF(Cv_over_d_Sq&gt;15,0.76,0.93605-0.023997*Cv_over_d_Sq+0.0012877*Cv_over_d_Sq^2-0.000031471*Cv_over_d_Sq^3)),"")</f>
        <v>0.90416299264874156</v>
      </c>
      <c r="D34" s="657">
        <f>IFERROR(IF(P8&lt;=1.12,0.91,IF(P8&gt;15,0.76,0.93605-0.023997*P8+0.0012877*P8^2-0.000031471*P8^3)),"")</f>
        <v>0.85296939596050669</v>
      </c>
      <c r="E34" s="657">
        <f>IFERROR(IF(Q8&lt;=1.12,0.91,IF(Q8&gt;15,0.76,0.93605-0.023997*Q8+0.0012877*Q8^2-0.000031471*Q8^3)),"")</f>
        <v>0.79282785884937335</v>
      </c>
      <c r="F34" s="657">
        <f>IFERROR(IF(R8&lt;=1.12,0.91,IF(R8&gt;15,0.76,0.93605-0.023997*R8+0.0012877*R8^2-0.000031471*R8^3)),"")</f>
        <v>0.76</v>
      </c>
      <c r="G34" s="616"/>
      <c r="H34" s="625"/>
      <c r="I34" s="625"/>
      <c r="K34" s="653"/>
      <c r="L34" s="652"/>
      <c r="M34" s="652"/>
    </row>
    <row r="35" spans="2:19" ht="13.8" x14ac:dyDescent="0.25">
      <c r="B35" s="636"/>
      <c r="C35" s="639"/>
      <c r="D35" s="639"/>
      <c r="E35" s="638"/>
      <c r="F35" s="639"/>
      <c r="G35" s="616"/>
      <c r="K35" s="653"/>
      <c r="L35" s="652"/>
      <c r="M35" s="652"/>
    </row>
    <row r="36" spans="2:19" ht="13.8" x14ac:dyDescent="0.25">
      <c r="B36" s="641" t="s">
        <v>93</v>
      </c>
      <c r="C36" s="657">
        <f>IFERROR(IF(Cv_over_d_Sq&lt;0.59,0.94,IF(Cv_over_d_Sq&gt;48.9,0.42,-0.0107*Cv_over_d_Sq+0.94)),"")</f>
        <v>0.9246402897167707</v>
      </c>
      <c r="D36" s="657">
        <f>IFERROR(IF(P8&lt;0.59,0.94,IF(P8&gt;48.9,0.42,-0.0107*P8+0.94)),"")</f>
        <v>0.89310964691555828</v>
      </c>
      <c r="E36" s="657">
        <f>IFERROR(IF(Q8&lt;0.59,0.94,IF(Q8&gt;48.9,0.42,-0.0107*Q8+0.94)),"")</f>
        <v>0.83223010327615121</v>
      </c>
      <c r="F36" s="657">
        <f>IFERROR(IF(R8&lt;0.59,0.94,IF(R8&gt;48.9,0.42,-0.0107*R8+0.94)),"")</f>
        <v>0.77713724438529097</v>
      </c>
      <c r="G36" s="616"/>
      <c r="H36" s="625"/>
      <c r="I36" s="625"/>
      <c r="K36" s="653"/>
      <c r="L36" s="652"/>
      <c r="M36" s="652"/>
      <c r="S36" s="620"/>
    </row>
    <row r="37" spans="2:19" ht="13.8" x14ac:dyDescent="0.25">
      <c r="B37" s="636"/>
      <c r="C37" s="639"/>
      <c r="D37" s="639"/>
      <c r="E37" s="638"/>
      <c r="F37" s="639"/>
      <c r="G37" s="616"/>
      <c r="H37" s="625"/>
      <c r="I37" s="625"/>
      <c r="K37" s="653"/>
      <c r="L37" s="652"/>
      <c r="M37" s="652"/>
      <c r="S37" s="620"/>
    </row>
    <row r="38" spans="2:19" ht="13.8" x14ac:dyDescent="0.25">
      <c r="B38" s="636" t="s">
        <v>94</v>
      </c>
      <c r="C38" s="635">
        <f>IFERROR(IF(Cv_over_d_Sq&lt;0.91,0.87,IF(Cv_over_d_Sq&gt;47.01,0.4,0.00001*Cv_over_d_Sq^2-0.0105*Cv_over_d_Sq+0.873)),"")</f>
        <v>0.8579479933328592</v>
      </c>
      <c r="D38" s="635">
        <f>IFERROR(IF(P8&lt;0.91,0.87,IF(P8&gt;47.01,0.4,0.00001*P8^2-0.0105*P8+0.873)),"")</f>
        <v>0.82717814554185354</v>
      </c>
      <c r="E38" s="635">
        <f>IFERROR(IF(Q8&lt;0.91,0.87,IF(Q8&gt;47.01,0.4,0.00001*Q8^2-0.0105*Q8+0.873)),"")</f>
        <v>0.76825893623438102</v>
      </c>
      <c r="F38" s="635">
        <f>IFERROR(IF(R8&lt;0.91,0.87,IF(R8&gt;47.01,0.4,0.00001*R8^2-0.0105*R8+0.873)),"")</f>
        <v>0.71549814113330079</v>
      </c>
      <c r="G38" s="616"/>
      <c r="H38" s="625"/>
      <c r="I38" s="625"/>
      <c r="K38" s="653"/>
      <c r="L38" s="652"/>
      <c r="M38" s="652"/>
      <c r="S38" s="629"/>
    </row>
    <row r="39" spans="2:19" ht="13.8" x14ac:dyDescent="0.25">
      <c r="B39" s="636"/>
      <c r="C39" s="639"/>
      <c r="D39" s="639"/>
      <c r="E39" s="638"/>
      <c r="F39" s="639"/>
      <c r="G39" s="616"/>
      <c r="H39" s="625"/>
      <c r="I39" s="625"/>
      <c r="K39" s="653"/>
      <c r="L39" s="652"/>
      <c r="M39" s="652"/>
      <c r="S39" s="629"/>
    </row>
    <row r="40" spans="2:19" ht="13.8" x14ac:dyDescent="0.25">
      <c r="B40" s="656" t="s">
        <v>640</v>
      </c>
      <c r="C40" s="655">
        <f>IFERROR(IF(Cv_over_d_Sq&lt;0.73,0.91,IF(Cv_over_d_Sq&gt;156,0.27,IF(Cv_over_d_Sq&lt;=66.67,0.9115*EXP(-0.009*Cv_over_d_Sq),-0.0025*Cv_over_d_Sq+0.6642))),"")</f>
        <v>0.89979972576837819</v>
      </c>
      <c r="D40" s="655">
        <f>IFERROR(IF(P8&lt;0.73,0.91,IF(P8&gt;156,0.27,IF(P8&lt;=66.67,0.9115*EXP(-0.009*P8),-0.0025*P8+0.6642))),"")</f>
        <v>0.87624971247360794</v>
      </c>
      <c r="E40" s="655">
        <f>IFERROR(IF(Q8&lt;0.73,0.91,IF(Q8&gt;156,0.27,IF(Q8&lt;=66.67,0.9115*EXP(-0.009*Q8),-0.0025*Q8+0.6642))),"")</f>
        <v>0.83250898736928458</v>
      </c>
      <c r="F40" s="655">
        <f>IFERROR(IF(R8&lt;0.73,0.91,IF(R8&gt;156,0.27,IF(R8&lt;=66.67,0.9115*EXP(-0.009*R8),-0.0025*R8+0.6642))),"")</f>
        <v>0.79481090386074227</v>
      </c>
      <c r="G40" s="616"/>
      <c r="H40" s="625"/>
      <c r="I40" s="625"/>
      <c r="K40" s="652"/>
      <c r="L40" s="652"/>
      <c r="M40" s="652"/>
      <c r="S40" s="620"/>
    </row>
    <row r="41" spans="2:19" x14ac:dyDescent="0.25">
      <c r="K41" s="653"/>
      <c r="L41" s="652"/>
      <c r="M41" s="652"/>
    </row>
    <row r="42" spans="2:19" ht="13.8" x14ac:dyDescent="0.25">
      <c r="B42" s="616" t="s">
        <v>643</v>
      </c>
      <c r="C42" s="617" t="str">
        <f>Cv_Table</f>
        <v>BALL_SEG</v>
      </c>
      <c r="I42" s="625"/>
      <c r="J42" s="654"/>
      <c r="K42" s="653"/>
      <c r="L42" s="652"/>
      <c r="M42" s="652"/>
    </row>
    <row r="43" spans="2:19" x14ac:dyDescent="0.25">
      <c r="B43" s="616" t="s">
        <v>641</v>
      </c>
      <c r="C43" s="618">
        <f>IF($C42="BALL_FP",C40,IF($C42="BALL_RP",C40,IF($C42="GC_EQ",C30,IF($C42="GC_LIN",C30,IF($C42="GP_EQ",C32,IF($C42="GP_LIN",C32,IF($C42="ROT_PLUG",C34,IF($C42="HPBF_150",C38,IF($C42="HPBF_300",C38,IF($C42="HPBF_600",C38,IF($C42="BALL_SEG",C36,"")))))))))))</f>
        <v>0.9246402897167707</v>
      </c>
      <c r="D43" s="618">
        <f>IF($C42="BALL_FP",D40,IF($C42="BALL_RP",D40,IF($C42="GC_EQ",D30,IF($C42="GC_LIN",D30,IF($C42="GP_EQ",D32,IF($C42="GP_LIN",D32,IF($C42="ROT_PLUG",D34,IF($C42="HPBF_150",D38,IF($C42="HPBF_300",D38,IF($C42="HPBF_600",D38,IF($C42="BALL_SEG",D36,"")))))))))))</f>
        <v>0.89310964691555828</v>
      </c>
      <c r="E43" s="618">
        <f>IF($C42="BALL_FP",E40,IF($C42="BALL_RP",E40,IF($C42="GC_EQ",E30,IF($C42="GC_LIN",E30,IF($C42="GP_EQ",E32,IF($C42="GP_LIN",E32,IF($C42="ROT_PLUG",E34,IF($C42="HPBF_150",E38,IF($C42="HPBF_300",E38,IF($C42="HPBF_600",E38,IF($C42="BALL_SEG",E36,"")))))))))))</f>
        <v>0.83223010327615121</v>
      </c>
      <c r="F43" s="618">
        <f>IF($C42="BALL_FP",F40,IF($C42="BALL_RP",F40,IF($C42="GC_EQ",F30,IF($C42="GC_LIN",F30,IF($C42="GP_EQ",F32,IF($C42="GP_LIN",F32,IF($C42="ROT_PLUG",F34,IF($C42="HPBF_150",F38,IF($C42="HPBF_300",F38,IF($C42="HPBF_600",F38,IF($C42="BALL_SEG",F36,"")))))))))))</f>
        <v>0.77713724438529097</v>
      </c>
      <c r="G43" s="626"/>
      <c r="S43" s="620"/>
    </row>
    <row r="44" spans="2:19" x14ac:dyDescent="0.25">
      <c r="B44" s="616" t="s">
        <v>642</v>
      </c>
      <c r="G44" s="626"/>
      <c r="S44" s="620"/>
    </row>
    <row r="45" spans="2:19" x14ac:dyDescent="0.25">
      <c r="G45" s="626"/>
      <c r="S45" s="629"/>
    </row>
    <row r="46" spans="2:19" x14ac:dyDescent="0.25">
      <c r="O46" s="622"/>
      <c r="S46" s="629"/>
    </row>
    <row r="47" spans="2:19" ht="21" x14ac:dyDescent="0.45">
      <c r="B47" s="651" t="s">
        <v>672</v>
      </c>
      <c r="C47" s="648"/>
      <c r="S47" s="620"/>
    </row>
    <row r="48" spans="2:19" ht="16.2" x14ac:dyDescent="0.35">
      <c r="B48" s="616" t="s">
        <v>673</v>
      </c>
      <c r="D48" s="648"/>
      <c r="E48" s="648"/>
      <c r="F48" s="648"/>
      <c r="G48" s="648"/>
      <c r="N48" s="650" t="s">
        <v>648</v>
      </c>
    </row>
    <row r="49" spans="2:19" x14ac:dyDescent="0.25">
      <c r="B49" s="649" t="s">
        <v>647</v>
      </c>
      <c r="C49" s="648"/>
      <c r="D49" s="648"/>
      <c r="E49" s="648"/>
      <c r="F49" s="648"/>
      <c r="G49" s="648"/>
      <c r="N49" s="616" t="s">
        <v>736</v>
      </c>
      <c r="O49" s="622">
        <f ca="1">TRAVEL_1</f>
        <v>21.15735305370249</v>
      </c>
      <c r="P49" s="622">
        <f ca="1">TRAVEL_2</f>
        <v>40.018742547593263</v>
      </c>
      <c r="Q49" s="622">
        <f ca="1">TRAVEL_3</f>
        <v>60.746212403539964</v>
      </c>
      <c r="R49" s="622">
        <f ca="1">TRAVEL_4</f>
        <v>73.633491939940114</v>
      </c>
    </row>
    <row r="50" spans="2:19" ht="16.2" thickBot="1" x14ac:dyDescent="0.4">
      <c r="B50" s="647" t="s">
        <v>91</v>
      </c>
      <c r="C50" s="646" t="s">
        <v>667</v>
      </c>
      <c r="D50" s="739"/>
      <c r="E50" s="739"/>
      <c r="F50" s="645"/>
      <c r="N50" s="616" t="s">
        <v>666</v>
      </c>
      <c r="O50" s="644">
        <f ca="1">O49/100</f>
        <v>0.21157353053702491</v>
      </c>
      <c r="P50" s="644">
        <f ca="1">P49/100</f>
        <v>0.40018742547593261</v>
      </c>
      <c r="Q50" s="644">
        <f ca="1">Q49/100</f>
        <v>0.60746212403539968</v>
      </c>
      <c r="R50" s="644">
        <f ca="1">R49/100</f>
        <v>0.7363349193994011</v>
      </c>
      <c r="S50" s="620"/>
    </row>
    <row r="51" spans="2:19" x14ac:dyDescent="0.25">
      <c r="B51" s="616"/>
      <c r="C51" s="616"/>
      <c r="D51" s="616"/>
      <c r="E51" s="616"/>
      <c r="F51" s="616"/>
      <c r="G51" s="616"/>
      <c r="S51" s="620"/>
    </row>
    <row r="52" spans="2:19" ht="13.8" x14ac:dyDescent="0.25">
      <c r="B52" s="636" t="s">
        <v>649</v>
      </c>
      <c r="C52" s="635">
        <f ca="1">IF(O$49=0,"",O58)</f>
        <v>0.43437359775149154</v>
      </c>
      <c r="D52" s="635">
        <f ca="1">IF(P$49=0,"",P58)</f>
        <v>0.32972115240527999</v>
      </c>
      <c r="E52" s="635">
        <f ca="1">IF(Q$49=0,"",Q58)</f>
        <v>0.31351112457714636</v>
      </c>
      <c r="F52" s="635">
        <f ca="1">IF(R$49=0,"",R58)</f>
        <v>0.3324149826663948</v>
      </c>
      <c r="H52" s="617"/>
      <c r="S52" s="629"/>
    </row>
    <row r="53" spans="2:19" ht="14.4" thickBot="1" x14ac:dyDescent="0.3">
      <c r="B53" s="636"/>
      <c r="C53" s="639"/>
      <c r="D53" s="637"/>
      <c r="E53" s="638"/>
      <c r="F53" s="637"/>
      <c r="O53" s="643" t="s">
        <v>217</v>
      </c>
      <c r="P53" s="642" t="s">
        <v>218</v>
      </c>
      <c r="Q53" s="642" t="s">
        <v>219</v>
      </c>
      <c r="R53" s="642" t="s">
        <v>220</v>
      </c>
      <c r="S53" s="629"/>
    </row>
    <row r="54" spans="2:19" ht="14.4" thickTop="1" x14ac:dyDescent="0.25">
      <c r="B54" s="636" t="s">
        <v>652</v>
      </c>
      <c r="C54" s="635">
        <f ca="1">IF(O$49=0,"",O63)</f>
        <v>0.3850452731297237</v>
      </c>
      <c r="D54" s="635">
        <f ca="1">IF(P$49=0,"",P63)</f>
        <v>0.34598280259717229</v>
      </c>
      <c r="E54" s="635">
        <f ca="1">IF(Q$49=0,"",Q63)</f>
        <v>0.34680862633064535</v>
      </c>
      <c r="F54" s="635">
        <f ca="1">IF(R$49=0,"",R63)</f>
        <v>0.37491921056476923</v>
      </c>
      <c r="O54" s="620"/>
      <c r="S54" s="620"/>
    </row>
    <row r="55" spans="2:19" ht="13.8" x14ac:dyDescent="0.25">
      <c r="B55" s="636"/>
      <c r="C55" s="639"/>
      <c r="D55" s="637"/>
      <c r="E55" s="638"/>
      <c r="F55" s="637"/>
      <c r="N55" s="619" t="s">
        <v>649</v>
      </c>
      <c r="O55" s="637"/>
    </row>
    <row r="56" spans="2:19" ht="13.8" x14ac:dyDescent="0.25">
      <c r="B56" s="636" t="s">
        <v>668</v>
      </c>
      <c r="C56" s="635">
        <f ca="1">IF(O$49=0,"",O68)</f>
        <v>6.5620559385861449E-2</v>
      </c>
      <c r="D56" s="635">
        <f ca="1">IF(P$49=0,"",P68)</f>
        <v>0.12999565435663601</v>
      </c>
      <c r="E56" s="635">
        <f ca="1">IF(Q$49=0,"",Q68)</f>
        <v>0.24636497302438126</v>
      </c>
      <c r="F56" s="635">
        <f ca="1">IF(R$49=0,"",R68)</f>
        <v>0.32999371742095007</v>
      </c>
      <c r="N56" s="616"/>
      <c r="O56" s="616"/>
    </row>
    <row r="57" spans="2:19" ht="13.8" x14ac:dyDescent="0.25">
      <c r="C57" s="636"/>
      <c r="D57" s="636"/>
      <c r="E57" s="636"/>
      <c r="F57" s="636"/>
      <c r="N57" s="616" t="s">
        <v>650</v>
      </c>
      <c r="O57" s="618">
        <f ca="1">O$50</f>
        <v>0.21157353053702491</v>
      </c>
      <c r="P57" s="618">
        <f ca="1">P$50</f>
        <v>0.40018742547593261</v>
      </c>
      <c r="Q57" s="618">
        <f ca="1">Q$50</f>
        <v>0.60746212403539968</v>
      </c>
      <c r="R57" s="618">
        <f ca="1">R$50</f>
        <v>0.7363349193994011</v>
      </c>
      <c r="S57" s="620"/>
    </row>
    <row r="58" spans="2:19" ht="13.8" x14ac:dyDescent="0.25">
      <c r="B58" s="636" t="s">
        <v>669</v>
      </c>
      <c r="C58" s="635">
        <f ca="1">IF(O$49=0,"",O73)</f>
        <v>0.17468077990575392</v>
      </c>
      <c r="D58" s="635">
        <f t="shared" ref="D58:F58" ca="1" si="2">IF(P$49=0,"",P73)</f>
        <v>0.2574822797839344</v>
      </c>
      <c r="E58" s="635">
        <f t="shared" ca="1" si="2"/>
        <v>0.34847587245154044</v>
      </c>
      <c r="F58" s="635">
        <f t="shared" ca="1" si="2"/>
        <v>0.40505102961633704</v>
      </c>
      <c r="N58" s="616" t="s">
        <v>651</v>
      </c>
      <c r="O58" s="634">
        <f ca="1">IF(O57&lt;0.2,0.44,IF(O57&gt;1,0.38,-11.1111*O$57^6+46.4103*O$57^5-76.8162*O$57^4+63.1142*O$57^3-25.8216*O$57^2+4.41*O$57+0.1947))</f>
        <v>0.43437359775149154</v>
      </c>
      <c r="P58" s="634">
        <f ca="1">IF(P57&lt;0.2,0.44,IF(P57&gt;1,0.38,-11.1111*P$57^6+46.4103*P$57^5-76.8162*P$57^4+63.1142*P$57^3-25.8216*P$57^2+4.41*P$57+0.1947))</f>
        <v>0.32972115240527999</v>
      </c>
      <c r="Q58" s="634">
        <f ca="1">IF(Q57&lt;0.2,0.44,IF(Q57&gt;1,0.38,-11.1111*Q$57^6+46.4103*Q$57^5-76.8162*Q$57^4+63.1142*Q$57^3-25.8216*Q$57^2+4.41*Q$57+0.1947))</f>
        <v>0.31351112457714636</v>
      </c>
      <c r="R58" s="634">
        <f ca="1">IF(R57&lt;0.2,0.44,IF(R57&gt;1,0.38,-11.1111*R$57^6+46.4103*R$57^5-76.8162*R$57^4+63.1142*R$57^3-25.8216*R$57^2+4.41*R$57+0.1947))</f>
        <v>0.3324149826663948</v>
      </c>
      <c r="S58" s="620"/>
    </row>
    <row r="59" spans="2:19" ht="13.8" x14ac:dyDescent="0.25">
      <c r="C59" s="636"/>
      <c r="D59" s="636"/>
      <c r="E59" s="636"/>
      <c r="F59" s="636"/>
      <c r="S59" s="629"/>
    </row>
    <row r="60" spans="2:19" ht="13.8" x14ac:dyDescent="0.25">
      <c r="B60" s="636" t="s">
        <v>92</v>
      </c>
      <c r="C60" s="635">
        <f ca="1">IF(O$49=0,"",O79)</f>
        <v>0.12162267771154051</v>
      </c>
      <c r="D60" s="635">
        <f ca="1">IF(P$49=0,"",P79)</f>
        <v>0.12974006292420115</v>
      </c>
      <c r="E60" s="635">
        <f ca="1">IF(Q$49=0,"",Q79)</f>
        <v>0.1649015663294342</v>
      </c>
      <c r="F60" s="635">
        <f ca="1">IF(R$49=0,"",R79)</f>
        <v>0.19000387291148579</v>
      </c>
      <c r="N60" s="619" t="s">
        <v>652</v>
      </c>
      <c r="O60" s="616"/>
      <c r="P60" s="616"/>
      <c r="Q60" s="616"/>
      <c r="R60" s="616"/>
      <c r="S60" s="629"/>
    </row>
    <row r="61" spans="2:19" ht="13.8" x14ac:dyDescent="0.25">
      <c r="B61" s="636"/>
      <c r="C61" s="639"/>
      <c r="D61" s="637"/>
      <c r="E61" s="638"/>
      <c r="F61" s="637"/>
      <c r="N61" s="616"/>
      <c r="O61" s="617"/>
      <c r="P61" s="617"/>
      <c r="Q61" s="617"/>
      <c r="R61" s="617"/>
      <c r="S61" s="620"/>
    </row>
    <row r="62" spans="2:19" ht="17.399999999999999" x14ac:dyDescent="0.25">
      <c r="B62" s="641" t="s">
        <v>93</v>
      </c>
      <c r="C62" s="635">
        <f ca="1">IF(O$49=0,"",O84)</f>
        <v>0.77394569140145397</v>
      </c>
      <c r="D62" s="635">
        <f ca="1">IF(P$49=0,"",P84)</f>
        <v>0.8482425566769346</v>
      </c>
      <c r="E62" s="635">
        <f ca="1">IF(Q$49=0,"",Q84)</f>
        <v>0.92140888005986676</v>
      </c>
      <c r="F62" s="635">
        <f ca="1">IF(R$49=0,"",R84)</f>
        <v>0.95596761766213412</v>
      </c>
      <c r="N62" s="616" t="s">
        <v>650</v>
      </c>
      <c r="O62" s="618">
        <f ca="1">O$50</f>
        <v>0.21157353053702491</v>
      </c>
      <c r="P62" s="618">
        <f ca="1">P$50</f>
        <v>0.40018742547593261</v>
      </c>
      <c r="Q62" s="618">
        <f ca="1">Q$50</f>
        <v>0.60746212403539968</v>
      </c>
      <c r="R62" s="618">
        <f ca="1">R$50</f>
        <v>0.7363349193994011</v>
      </c>
      <c r="S62" s="640"/>
    </row>
    <row r="63" spans="2:19" ht="13.8" x14ac:dyDescent="0.25">
      <c r="B63" s="636"/>
      <c r="C63" s="639"/>
      <c r="D63" s="637"/>
      <c r="E63" s="638"/>
      <c r="F63" s="637"/>
      <c r="N63" s="616" t="s">
        <v>653</v>
      </c>
      <c r="O63" s="634">
        <f ca="1">IF(O62&lt;0.1,0.41,IF(O62&gt;1,0.42,4.8611*O62^6-15.657*O62^5+18.042*O62^4-8.9022*O62^3+2.0892*O62^2-0.4557*O62+0.4423))</f>
        <v>0.3850452731297237</v>
      </c>
      <c r="P63" s="634">
        <f ca="1">IF(P62&lt;0.1,0.41,IF(P62&gt;1,0.42,4.8611*P62^6-15.657*P62^5+18.042*P62^4-8.9022*P62^3+2.0892*P62^2-0.4557*P62+0.4423))</f>
        <v>0.34598280259717229</v>
      </c>
      <c r="Q63" s="634">
        <f ca="1">IF(Q62&lt;0.1,0.41,IF(Q62&gt;1,0.42,4.8611*Q62^6-15.657*Q62^5+18.042*Q62^4-8.9022*Q62^3+2.0892*Q62^2-0.4557*Q62+0.4423))</f>
        <v>0.34680862633064535</v>
      </c>
      <c r="R63" s="634">
        <f ca="1">IF(R62&lt;0.1,0.41,IF(R62&gt;1,0.42,4.8611*R62^6-15.657*R62^5+18.042*R62^4-8.9022*R62^3+2.0892*R62^2-0.4557*R62+0.4423))</f>
        <v>0.37491921056476923</v>
      </c>
    </row>
    <row r="64" spans="2:19" ht="13.8" x14ac:dyDescent="0.25">
      <c r="B64" s="636" t="s">
        <v>94</v>
      </c>
      <c r="C64" s="635">
        <f ca="1">IF(O$49=0,"",O89)</f>
        <v>0.15238673059634306</v>
      </c>
      <c r="D64" s="635">
        <f ca="1">IF(P$49=0,"",P89)</f>
        <v>0.20095235291445174</v>
      </c>
      <c r="E64" s="635">
        <f ca="1">IF(Q$49=0,"",Q89)</f>
        <v>0.26595490215517809</v>
      </c>
      <c r="F64" s="635">
        <f ca="1">IF(R$49=0,"",R89)</f>
        <v>0.29976357406522269</v>
      </c>
      <c r="H64" s="616"/>
      <c r="I64" s="615" t="s">
        <v>159</v>
      </c>
      <c r="S64" s="620"/>
    </row>
    <row r="65" spans="2:19" ht="13.8" x14ac:dyDescent="0.25">
      <c r="B65" s="636"/>
      <c r="C65" s="639"/>
      <c r="D65" s="637"/>
      <c r="E65" s="638"/>
      <c r="F65" s="637"/>
      <c r="N65" s="619" t="s">
        <v>654</v>
      </c>
      <c r="O65" s="616"/>
      <c r="S65" s="620"/>
    </row>
    <row r="66" spans="2:19" ht="13.8" x14ac:dyDescent="0.25">
      <c r="B66" s="636" t="s">
        <v>670</v>
      </c>
      <c r="C66" s="635">
        <f ca="1">IF(O$49=0,"",O94)</f>
        <v>0.68468200307744009</v>
      </c>
      <c r="D66" s="635">
        <f ca="1">IF(P$49=0,"",P94)</f>
        <v>0.86037991684615345</v>
      </c>
      <c r="E66" s="635">
        <f ca="1">IF(Q$49=0,"",Q94)</f>
        <v>0.95292264059053622</v>
      </c>
      <c r="F66" s="635">
        <f ca="1">IF(R$49=0,"",R94)</f>
        <v>0.98341932608466864</v>
      </c>
      <c r="N66" s="621"/>
      <c r="O66" s="621"/>
      <c r="P66" s="621"/>
      <c r="Q66" s="620"/>
      <c r="R66" s="620"/>
      <c r="S66" s="629"/>
    </row>
    <row r="67" spans="2:19" x14ac:dyDescent="0.25">
      <c r="N67" s="616" t="s">
        <v>650</v>
      </c>
      <c r="O67" s="618">
        <f ca="1">O$50</f>
        <v>0.21157353053702491</v>
      </c>
      <c r="P67" s="618">
        <f ca="1">P$50</f>
        <v>0.40018742547593261</v>
      </c>
      <c r="Q67" s="618">
        <f ca="1">Q$50</f>
        <v>0.60746212403539968</v>
      </c>
      <c r="R67" s="618">
        <f ca="1">R$50</f>
        <v>0.7363349193994011</v>
      </c>
      <c r="S67" s="629"/>
    </row>
    <row r="68" spans="2:19" ht="13.8" x14ac:dyDescent="0.25">
      <c r="B68" s="636" t="s">
        <v>671</v>
      </c>
      <c r="C68" s="635">
        <f ca="1">IF(O$49=0,"",O99)</f>
        <v>0.68468200307744009</v>
      </c>
      <c r="D68" s="635">
        <f ca="1">IF(P$49=0,"",P99)</f>
        <v>0.86037991684615345</v>
      </c>
      <c r="E68" s="635">
        <f ca="1">IF(Q$49=0,"",Q99)</f>
        <v>0.95292264059053622</v>
      </c>
      <c r="F68" s="635">
        <f ca="1">IF(R$49=0,"",R99)</f>
        <v>0.98341932608466864</v>
      </c>
      <c r="N68" s="616" t="s">
        <v>655</v>
      </c>
      <c r="O68" s="634">
        <f ca="1">IF(O67&lt;0.1,0.05,IF(O67&gt;1,0.49,-0.56352*O67^3+1.24307*O67^2-0.25597*O67+0.06947))</f>
        <v>6.5620559385861449E-2</v>
      </c>
      <c r="P68" s="634">
        <f ca="1">IF(P67&lt;0.1,0.05,IF(P67&gt;1,0.49,-0.56352*P67^3+1.24307*P67^2-0.25597*P67+0.06947))</f>
        <v>0.12999565435663601</v>
      </c>
      <c r="Q68" s="634">
        <f ca="1">IF(Q67&lt;0.1,0.05,IF(Q67&gt;1,0.49,-0.56352*Q67^3+1.24307*Q67^2-0.25597*Q67+0.06947))</f>
        <v>0.24636497302438126</v>
      </c>
      <c r="R68" s="634">
        <f ca="1">IF(R67&lt;0.1,0.05,IF(R67&gt;1,0.49,-0.56352*R67^3+1.24307*R67^2-0.25597*R67+0.06947))</f>
        <v>0.32999371742095007</v>
      </c>
      <c r="S68" s="620"/>
    </row>
    <row r="70" spans="2:19" x14ac:dyDescent="0.25">
      <c r="N70" s="619" t="s">
        <v>656</v>
      </c>
      <c r="O70" s="616"/>
    </row>
    <row r="71" spans="2:19" x14ac:dyDescent="0.25">
      <c r="B71" s="616" t="s">
        <v>641</v>
      </c>
      <c r="C71" s="618">
        <f ca="1">IFERROR(IF($C42="BALL_FP",C68,IF($C42="BALL_RP",C66,IF($C42="GC_EQ",C52,IF($C42="GC_LIN",C54,IF($C42="GP_EQ",C56,IF($C42="GP_LIN",C58,IF($C42="ROT_PLUG",C60,IF($C42="BALL_SEG",C62,IF($C42="HPBF_150",C64,IF($C42="HPBF_300",C64,IF($C42="HPBF_600",C64,""))))))))))),"")</f>
        <v>0.77394569140145397</v>
      </c>
      <c r="D71" s="618">
        <f ca="1">IFERROR(IF($C42="BALL_FP",D68,IF($C42="BALL_RP",D66,IF($C42="GC_EQ",D52,IF($C42="GC_LIN",D54,IF($C42="GP_EQ",D56,IF($C42="GP_LIN",D58,IF($C42="ROT_PLUG",D60,IF($C42="BALL_SEG",D62,IF($C42="HPBF_150",D64,IF($C42="HPBF_300",D64,IF($C42="HPBF_600",D64,""))))))))))),"")</f>
        <v>0.8482425566769346</v>
      </c>
      <c r="E71" s="618">
        <f ca="1">IFERROR(IF($C42="BALL_FP",E68,IF($C42="BALL_RP",E66,IF($C42="GC_EQ",E52,IF($C42="GC_LIN",E54,IF($C42="GP_EQ",E56,IF($C42="GP_LIN",E58,IF($C42="ROT_PLUG",E60,IF($C42="BALL_SEG",E62,IF($C42="HPBF_150",E64,IF($C42="HPBF_300",E64,IF($C42="HPBF_600",E64,""))))))))))),"")</f>
        <v>0.92140888005986676</v>
      </c>
      <c r="F71" s="618">
        <f ca="1">IFERROR(IF($C42="BALL_FP",F68,IF($C42="BALL_RP",F66,IF($C42="GC_EQ",F52,IF($C42="GC_LIN",F54,IF($C42="GP_EQ",F56,IF($C42="GP_LIN",F58,IF($C42="ROT_PLUG",F60,IF($C42="BALL_SEG",F62,IF($C42="HPBF_150",F64,IF($C42="HPBF_300",F64,IF($C42="HPBF_600",F64,""))))))))))),"")</f>
        <v>0.95596761766213412</v>
      </c>
      <c r="G71" s="626"/>
      <c r="N71" s="616"/>
      <c r="O71" s="616"/>
      <c r="P71" s="620"/>
      <c r="Q71" s="620"/>
      <c r="R71" s="620"/>
    </row>
    <row r="72" spans="2:19" x14ac:dyDescent="0.25">
      <c r="B72" s="616" t="s">
        <v>642</v>
      </c>
      <c r="G72" s="626"/>
      <c r="N72" s="616" t="s">
        <v>650</v>
      </c>
      <c r="O72" s="618">
        <f ca="1">O$50</f>
        <v>0.21157353053702491</v>
      </c>
      <c r="P72" s="618">
        <f ca="1">P$50</f>
        <v>0.40018742547593261</v>
      </c>
      <c r="Q72" s="618">
        <f ca="1">Q$50</f>
        <v>0.60746212403539968</v>
      </c>
      <c r="R72" s="618">
        <f ca="1">R$50</f>
        <v>0.7363349193994011</v>
      </c>
    </row>
    <row r="73" spans="2:19" x14ac:dyDescent="0.25">
      <c r="N73" s="616" t="s">
        <v>657</v>
      </c>
      <c r="O73" s="617">
        <f ca="1">IF(O72&lt;0.1,0.12,IF(O72&gt;1,0.52,0.439*O72+0.0818))</f>
        <v>0.17468077990575392</v>
      </c>
      <c r="P73" s="617">
        <f ca="1">IF(P72&lt;0.1,0.12,IF(P72&gt;1,0.52,0.439*P72+0.0818))</f>
        <v>0.2574822797839344</v>
      </c>
      <c r="Q73" s="617">
        <f ca="1">IF(Q72&lt;0.1,0.12,IF(Q72&gt;1,0.52,0.439*Q72+0.0818))</f>
        <v>0.34847587245154044</v>
      </c>
      <c r="R73" s="617">
        <f ca="1">IF(R72&lt;0.1,0.12,IF(R72&gt;1,0.52,0.439*R72+0.0818))</f>
        <v>0.40505102961633704</v>
      </c>
    </row>
    <row r="75" spans="2:19" ht="18.600000000000001" x14ac:dyDescent="0.4">
      <c r="B75" s="873" t="s">
        <v>540</v>
      </c>
      <c r="C75" s="874"/>
      <c r="D75" s="874"/>
      <c r="E75" s="874"/>
      <c r="F75" s="874"/>
      <c r="G75" s="874"/>
      <c r="N75" s="619" t="s">
        <v>92</v>
      </c>
      <c r="O75" s="616"/>
    </row>
    <row r="76" spans="2:19" ht="15" x14ac:dyDescent="0.25">
      <c r="B76" s="875" t="s">
        <v>542</v>
      </c>
      <c r="C76" s="874"/>
      <c r="D76" s="874"/>
      <c r="E76" s="874"/>
      <c r="F76" s="874"/>
      <c r="G76" s="740"/>
      <c r="N76" s="616"/>
      <c r="O76" s="616"/>
      <c r="P76" s="620"/>
      <c r="Q76" s="620"/>
      <c r="R76" s="620"/>
    </row>
    <row r="77" spans="2:19" ht="12.45" customHeight="1" x14ac:dyDescent="0.25">
      <c r="B77" s="649" t="s">
        <v>647</v>
      </c>
      <c r="C77" s="633"/>
      <c r="D77" s="632"/>
      <c r="G77" s="631"/>
      <c r="N77" s="616" t="s">
        <v>650</v>
      </c>
      <c r="O77" s="630" t="s">
        <v>658</v>
      </c>
      <c r="P77" s="629"/>
      <c r="Q77" s="629"/>
      <c r="R77" s="629"/>
    </row>
    <row r="78" spans="2:19" ht="21" x14ac:dyDescent="0.45">
      <c r="C78" s="628" t="s">
        <v>541</v>
      </c>
      <c r="D78" s="627" t="s">
        <v>544</v>
      </c>
      <c r="G78" s="626"/>
      <c r="N78" s="616" t="s">
        <v>650</v>
      </c>
      <c r="O78" s="618">
        <f ca="1">O$50</f>
        <v>0.21157353053702491</v>
      </c>
      <c r="P78" s="618">
        <f ca="1">P$50</f>
        <v>0.40018742547593261</v>
      </c>
      <c r="Q78" s="618">
        <f ca="1">Q$50</f>
        <v>0.60746212403539968</v>
      </c>
      <c r="R78" s="618">
        <f ca="1">R$50</f>
        <v>0.7363349193994011</v>
      </c>
    </row>
    <row r="79" spans="2:19" ht="15" x14ac:dyDescent="0.25">
      <c r="B79" s="623" t="s">
        <v>543</v>
      </c>
      <c r="C79" s="623">
        <v>-4.2</v>
      </c>
      <c r="D79" s="623">
        <v>0.19</v>
      </c>
      <c r="G79" s="616"/>
      <c r="N79" s="616" t="s">
        <v>659</v>
      </c>
      <c r="O79" s="625">
        <f ca="1">IF(O78&lt;0.1,0.08,IF(O78&gt;1,0.2,4.3974*O78^5-13.318*O78^4+14.715*O78^3-7.2039*O78^2+1.629*O78-0.0151))</f>
        <v>0.12162267771154051</v>
      </c>
      <c r="P79" s="625">
        <f ca="1">IF(P78&lt;0.1,0.08,IF(P78&gt;1,0.2,4.3974*P78^5-13.318*P78^4+14.715*P78^3-7.2039*P78^2+1.629*P78-0.0151))</f>
        <v>0.12974006292420115</v>
      </c>
      <c r="Q79" s="625">
        <f ca="1">IF(Q78&lt;0.1,0.08,IF(Q78&gt;1,0.2,4.3974*Q78^5-13.318*Q78^4+14.715*Q78^3-7.2039*Q78^2+1.629*Q78-0.0151))</f>
        <v>0.1649015663294342</v>
      </c>
      <c r="R79" s="625">
        <f ca="1">IF(R78&lt;0.1,0.08,IF(R78&gt;1,0.2,4.3974*R78^5-13.318*R78^4+14.715*R78^3-7.2039*R78^2+1.629*R78-0.0151))</f>
        <v>0.19000387291148579</v>
      </c>
    </row>
    <row r="80" spans="2:19" ht="15" x14ac:dyDescent="0.25">
      <c r="B80" s="623" t="s">
        <v>545</v>
      </c>
      <c r="C80" s="623">
        <v>-3.8</v>
      </c>
      <c r="D80" s="623">
        <v>0.2</v>
      </c>
      <c r="G80" s="616"/>
    </row>
    <row r="81" spans="2:18" ht="15" x14ac:dyDescent="0.25">
      <c r="B81" s="623" t="s">
        <v>546</v>
      </c>
      <c r="C81" s="623">
        <v>-3.6</v>
      </c>
      <c r="D81" s="623">
        <v>0.3</v>
      </c>
      <c r="G81" s="616"/>
      <c r="N81" s="619" t="s">
        <v>93</v>
      </c>
      <c r="O81" s="616"/>
      <c r="P81" s="620"/>
      <c r="Q81" s="620"/>
      <c r="R81" s="620"/>
    </row>
    <row r="82" spans="2:18" ht="15" x14ac:dyDescent="0.25">
      <c r="B82" s="624" t="s">
        <v>547</v>
      </c>
      <c r="C82" s="624">
        <v>-3.6</v>
      </c>
      <c r="D82" s="624">
        <v>0.3</v>
      </c>
      <c r="G82" s="616"/>
      <c r="N82" s="616"/>
      <c r="O82" s="616"/>
      <c r="P82" s="620"/>
      <c r="Q82" s="620"/>
      <c r="R82" s="620"/>
    </row>
    <row r="83" spans="2:18" ht="15" x14ac:dyDescent="0.25">
      <c r="B83" s="623" t="s">
        <v>94</v>
      </c>
      <c r="C83" s="623">
        <v>-4.2</v>
      </c>
      <c r="D83" s="623">
        <v>0.3</v>
      </c>
      <c r="N83" s="616" t="s">
        <v>650</v>
      </c>
      <c r="O83" s="618">
        <f ca="1">O$50</f>
        <v>0.21157353053702491</v>
      </c>
      <c r="P83" s="618">
        <f ca="1">P$50</f>
        <v>0.40018742547593261</v>
      </c>
      <c r="Q83" s="618">
        <f ca="1">Q$50</f>
        <v>0.60746212403539968</v>
      </c>
      <c r="R83" s="618">
        <f ca="1">R$50</f>
        <v>0.7363349193994011</v>
      </c>
    </row>
    <row r="84" spans="2:18" x14ac:dyDescent="0.25">
      <c r="N84" s="616" t="s">
        <v>660</v>
      </c>
      <c r="O84" s="617">
        <f ca="1">IF(O83&lt;0.1,0.696,IF(O83&gt;1,0.982,3.5859*O83^5-10.605*O83^4+11.597*O83^3-6.0109*O83^2+1.8552*O83+0.5604))</f>
        <v>0.77394569140145397</v>
      </c>
      <c r="P84" s="617">
        <f ca="1">IF(P83&lt;0.1,0.696,IF(P83&gt;1,0.982,3.5859*P83^5-10.605*P83^4+11.597*P83^3-6.0109*P83^2+1.8552*P83+0.5604))</f>
        <v>0.8482425566769346</v>
      </c>
      <c r="Q84" s="617">
        <f ca="1">IF(Q83&lt;0.1,0.696,IF(Q83&gt;1,0.982,3.5859*Q83^5-10.605*Q83^4+11.597*Q83^3-6.0109*Q83^2+1.8552*Q83+0.5604))</f>
        <v>0.92140888005986676</v>
      </c>
      <c r="R84" s="617">
        <f ca="1">IF(R83&lt;0.1,0.696,IF(R83&gt;1,0.982,3.5859*R83^5-10.605*R83^4+11.597*R83^3-6.0109*R83^2+1.8552*R83+0.5604))</f>
        <v>0.95596761766213412</v>
      </c>
    </row>
    <row r="85" spans="2:18" ht="12.45" customHeight="1" x14ac:dyDescent="0.25">
      <c r="B85" s="616" t="s">
        <v>641</v>
      </c>
      <c r="C85" s="725">
        <f>IF($C42="BALL_FP",C82,IF($C42="BALL_RP",C82,IF($C42="GC_EQ",C80,IF($C42="GC_LIN",C80,IF($C42="GP_EQ",C79,IF($C42="GP_LIN",C79,IF($C42="ROT_PLUG",C81,IF($C42="BALL_SEG",C82,IF($C42="HPBF_150",C83,IF($C42="HPBF_300",C83,IF($C42="HPBF_600",C83,"")))))))))))</f>
        <v>-3.6</v>
      </c>
      <c r="D85" s="726">
        <f>IF($C42="BALL_FP",D82,IF($C42="BALL_RP",D82,IF($C42="GC_EQ",D80,IF($C42="GC_LIN",D80,IF($C42="GP_EQ",D79,IF($C42="GP_LIN",D79,IF($C42="ROT_PLUG",D81,IF($C42="BALL_SEG",D82,IF($C42="HPBF_150",D83,IF($C42="HPBF_300",D83,IF($C42="HPBF_600",D83,"")))))))))))</f>
        <v>0.3</v>
      </c>
    </row>
    <row r="86" spans="2:18" x14ac:dyDescent="0.25">
      <c r="B86" s="616" t="s">
        <v>642</v>
      </c>
      <c r="N86" s="619" t="s">
        <v>94</v>
      </c>
      <c r="O86" s="616"/>
      <c r="P86" s="620"/>
      <c r="R86" s="620"/>
    </row>
    <row r="87" spans="2:18" ht="12.45" customHeight="1" x14ac:dyDescent="0.25">
      <c r="N87" s="616"/>
      <c r="O87" s="616"/>
      <c r="P87" s="620"/>
      <c r="R87" s="620"/>
    </row>
    <row r="88" spans="2:18" x14ac:dyDescent="0.25">
      <c r="N88" s="616" t="s">
        <v>650</v>
      </c>
      <c r="O88" s="618">
        <f ca="1">O$50</f>
        <v>0.21157353053702491</v>
      </c>
      <c r="P88" s="618">
        <f ca="1">P$50</f>
        <v>0.40018742547593261</v>
      </c>
      <c r="Q88" s="618">
        <f ca="1">Q$50</f>
        <v>0.60746212403539968</v>
      </c>
      <c r="R88" s="618">
        <f ca="1">R$50</f>
        <v>0.7363349193994011</v>
      </c>
    </row>
    <row r="89" spans="2:18" x14ac:dyDescent="0.25">
      <c r="N89" s="616" t="s">
        <v>661</v>
      </c>
      <c r="O89" s="617">
        <f ca="1">IF(O88&lt;0.2,0.15,0.6244*O88^4-1.7818*O88^3+1.6709*O88^2-0.327*O88+0.1624)</f>
        <v>0.15238673059634306</v>
      </c>
      <c r="P89" s="617">
        <f ca="1">IF(P88&lt;0.2,0.15,0.6244*P88^4-1.7818*P88^3+1.6709*P88^2-0.327*P88+0.1624)</f>
        <v>0.20095235291445174</v>
      </c>
      <c r="Q89" s="617">
        <f ca="1">IF(Q88&lt;0.2,0.15,0.6244*Q88^4-1.7818*Q88^3+1.6709*Q88^2-0.327*Q88+0.1624)</f>
        <v>0.26595490215517809</v>
      </c>
      <c r="R89" s="617">
        <f ca="1">IF(R88&lt;0.2,0.15,0.6244*R88^4-1.7818*R88^3+1.6709*R88^2-0.327*R88+0.1624)</f>
        <v>0.29976357406522269</v>
      </c>
    </row>
    <row r="90" spans="2:18" x14ac:dyDescent="0.25">
      <c r="O90" s="616"/>
    </row>
    <row r="91" spans="2:18" x14ac:dyDescent="0.25">
      <c r="N91" s="619" t="s">
        <v>662</v>
      </c>
    </row>
    <row r="92" spans="2:18" x14ac:dyDescent="0.25">
      <c r="N92" s="616"/>
    </row>
    <row r="93" spans="2:18" x14ac:dyDescent="0.25">
      <c r="N93" s="616" t="s">
        <v>650</v>
      </c>
      <c r="O93" s="618">
        <f ca="1">O$50</f>
        <v>0.21157353053702491</v>
      </c>
      <c r="P93" s="618">
        <f ca="1">P$50</f>
        <v>0.40018742547593261</v>
      </c>
      <c r="Q93" s="618">
        <f ca="1">Q$50</f>
        <v>0.60746212403539968</v>
      </c>
      <c r="R93" s="618">
        <f ca="1">R$50</f>
        <v>0.7363349193994011</v>
      </c>
    </row>
    <row r="94" spans="2:18" x14ac:dyDescent="0.25">
      <c r="N94" s="616" t="s">
        <v>663</v>
      </c>
      <c r="O94" s="617">
        <f ca="1">IF(O93&lt;0.1,0.468,4.1186*O93^5-13.223*O93^4+16.83*O93^3-11.216*O93^2+4.3621*O93+0.1292)</f>
        <v>0.68468200307744009</v>
      </c>
      <c r="P94" s="617">
        <f ca="1">IF(P93&lt;0.1,0.468,4.1186*P93^5-13.223*P93^4+16.83*P93^3-11.216*P93^2+4.3621*P93+0.1292)</f>
        <v>0.86037991684615345</v>
      </c>
      <c r="Q94" s="617">
        <f ca="1">IF(Q93&lt;0.1,0.468,4.1186*Q93^5-13.223*Q93^4+16.83*Q93^3-11.216*Q93^2+4.3621*Q93+0.1292)</f>
        <v>0.95292264059053622</v>
      </c>
      <c r="R94" s="617">
        <f ca="1">IF(R93&lt;0.1,0.468,4.1186*R93^5-13.223*R93^4+16.83*R93^3-11.216*R93^2+4.3621*R93+0.1292)</f>
        <v>0.98341932608466864</v>
      </c>
    </row>
    <row r="96" spans="2:18" x14ac:dyDescent="0.25">
      <c r="N96" s="619" t="s">
        <v>664</v>
      </c>
    </row>
    <row r="97" spans="14:18" x14ac:dyDescent="0.25">
      <c r="N97" s="616"/>
    </row>
    <row r="98" spans="14:18" x14ac:dyDescent="0.25">
      <c r="N98" s="616" t="s">
        <v>650</v>
      </c>
      <c r="O98" s="618">
        <f ca="1">O$50</f>
        <v>0.21157353053702491</v>
      </c>
      <c r="P98" s="618">
        <f ca="1">P$50</f>
        <v>0.40018742547593261</v>
      </c>
      <c r="Q98" s="618">
        <f ca="1">Q$50</f>
        <v>0.60746212403539968</v>
      </c>
      <c r="R98" s="618">
        <f ca="1">R$50</f>
        <v>0.7363349193994011</v>
      </c>
    </row>
    <row r="99" spans="14:18" x14ac:dyDescent="0.25">
      <c r="N99" s="616" t="s">
        <v>665</v>
      </c>
      <c r="O99" s="617">
        <f ca="1">IF(O98&lt;0.1,0.468,4.1186*O98^5-13.223*O98^4+16.83*O98^3-11.216*O98^2+4.3621*O98+0.1292)</f>
        <v>0.68468200307744009</v>
      </c>
      <c r="P99" s="617">
        <f ca="1">IF(P98&lt;0.1,0.468,4.1186*P98^5-13.223*P98^4+16.83*P98^3-11.216*P98^2+4.3621*P98+0.1292)</f>
        <v>0.86037991684615345</v>
      </c>
      <c r="Q99" s="617">
        <f ca="1">IF(Q98&lt;0.1,0.468,4.1186*Q98^5-13.223*Q98^4+16.83*Q98^3-11.216*Q98^2+4.3621*Q98+0.1292)</f>
        <v>0.95292264059053622</v>
      </c>
      <c r="R99" s="617">
        <f ca="1">IF(R98&lt;0.1,0.468,4.1186*R98^5-13.223*R98^4+16.83*R98^3-11.216*R98^2+4.3621*R98+0.1292)</f>
        <v>0.98341932608466864</v>
      </c>
    </row>
    <row r="104" spans="14:18" x14ac:dyDescent="0.25">
      <c r="N104" s="616"/>
    </row>
  </sheetData>
  <sheetProtection sheet="1" objects="1" scenarios="1"/>
  <mergeCells count="3">
    <mergeCell ref="C8:F8"/>
    <mergeCell ref="B75:G75"/>
    <mergeCell ref="B76:F76"/>
  </mergeCells>
  <conditionalFormatting sqref="O54 S27">
    <cfRule type="colorScale" priority="1">
      <colorScale>
        <cfvo type="min"/>
        <cfvo type="percentile" val="50"/>
        <cfvo type="max"/>
        <color rgb="FFF8696B"/>
        <color rgb="FFFCFCFF"/>
        <color rgb="FF63BE7B"/>
      </colorScale>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67304-1B82-465A-ADB2-F259E458F8EA}">
  <dimension ref="A1:O26"/>
  <sheetViews>
    <sheetView zoomScale="90" zoomScaleNormal="90" workbookViewId="0">
      <selection activeCell="F28" sqref="F28"/>
    </sheetView>
  </sheetViews>
  <sheetFormatPr defaultRowHeight="13.2" x14ac:dyDescent="0.25"/>
  <cols>
    <col min="2" max="2" width="19.6640625" customWidth="1"/>
    <col min="3" max="3" width="38.6640625" customWidth="1"/>
    <col min="4" max="4" width="6.5546875" customWidth="1"/>
    <col min="5" max="8" width="10.5546875" customWidth="1"/>
    <col min="10" max="10" width="10.88671875" customWidth="1"/>
    <col min="11" max="11" width="10.77734375" customWidth="1"/>
    <col min="12" max="12" width="13.21875" customWidth="1"/>
  </cols>
  <sheetData>
    <row r="1" spans="1:15" x14ac:dyDescent="0.25">
      <c r="A1" s="876" t="s">
        <v>567</v>
      </c>
      <c r="B1" s="877"/>
      <c r="C1" s="877"/>
      <c r="D1" s="877"/>
      <c r="E1" s="877"/>
      <c r="F1" s="877"/>
      <c r="G1" s="877"/>
      <c r="H1" s="877"/>
      <c r="I1" s="877"/>
      <c r="J1" s="877"/>
    </row>
    <row r="2" spans="1:15" ht="19.5" customHeight="1" x14ac:dyDescent="0.25">
      <c r="A2" s="877"/>
      <c r="B2" s="877"/>
      <c r="C2" s="877"/>
      <c r="D2" s="877"/>
      <c r="E2" s="877"/>
      <c r="F2" s="877"/>
      <c r="G2" s="877"/>
      <c r="H2" s="877"/>
      <c r="I2" s="877"/>
      <c r="J2" s="877"/>
    </row>
    <row r="4" spans="1:15" ht="15.6" x14ac:dyDescent="0.3">
      <c r="A4" s="753" t="s">
        <v>558</v>
      </c>
      <c r="B4" s="792"/>
      <c r="C4" s="792"/>
      <c r="D4" s="792"/>
      <c r="E4" s="792"/>
      <c r="F4" s="793"/>
      <c r="G4" s="793"/>
      <c r="H4" s="793"/>
      <c r="I4" s="792"/>
      <c r="J4" s="792"/>
      <c r="K4" s="794" t="s">
        <v>101</v>
      </c>
      <c r="L4" s="792"/>
    </row>
    <row r="5" spans="1:15" x14ac:dyDescent="0.25">
      <c r="A5" s="792"/>
      <c r="B5" s="792"/>
      <c r="C5" s="792"/>
      <c r="D5" s="792"/>
      <c r="E5" s="792"/>
      <c r="F5" s="792"/>
      <c r="G5" s="792"/>
      <c r="H5" s="792"/>
      <c r="I5" s="792"/>
      <c r="J5" s="789" t="s">
        <v>209</v>
      </c>
      <c r="K5" s="792"/>
      <c r="L5" s="792"/>
    </row>
    <row r="6" spans="1:15" ht="15.6" x14ac:dyDescent="0.3">
      <c r="A6" s="795" t="s">
        <v>555</v>
      </c>
      <c r="B6" s="792"/>
      <c r="C6" s="792"/>
      <c r="D6" s="792"/>
      <c r="E6" s="793"/>
      <c r="F6" s="796"/>
      <c r="G6" s="796"/>
      <c r="H6" s="796"/>
      <c r="I6" s="792"/>
      <c r="J6" s="789" t="s">
        <v>210</v>
      </c>
      <c r="K6" s="792"/>
      <c r="L6" s="792"/>
    </row>
    <row r="7" spans="1:15" x14ac:dyDescent="0.25">
      <c r="A7" s="792"/>
      <c r="B7" s="792"/>
      <c r="C7" s="792"/>
      <c r="D7" s="792"/>
      <c r="E7" s="792"/>
      <c r="F7" s="796"/>
      <c r="G7" s="796"/>
      <c r="H7" s="796"/>
      <c r="I7" s="792"/>
      <c r="J7" s="789" t="s">
        <v>553</v>
      </c>
      <c r="K7" s="792"/>
      <c r="L7" s="792"/>
    </row>
    <row r="8" spans="1:15" x14ac:dyDescent="0.25">
      <c r="A8" s="792"/>
      <c r="B8" s="792"/>
      <c r="C8" s="792" t="s">
        <v>215</v>
      </c>
      <c r="D8" s="792" t="s">
        <v>216</v>
      </c>
      <c r="E8" s="234">
        <v>1</v>
      </c>
      <c r="F8" s="792"/>
      <c r="G8" s="792"/>
      <c r="H8" s="792"/>
      <c r="I8" s="792"/>
      <c r="J8" s="792" t="s">
        <v>211</v>
      </c>
      <c r="K8" s="792" t="s">
        <v>212</v>
      </c>
      <c r="L8" s="789">
        <f>IF('Valve Sizing'!$B27=1,E15*6894.7573,IF(OR('Valve Sizing'!$B27=2,'Valve Sizing'!$B27=4),E15*100000,IF(OR('Valve Sizing'!$B27=3,'Valve Sizing'!$B27=5),E15*1000,"ERR")))</f>
        <v>0</v>
      </c>
      <c r="N8" s="1"/>
      <c r="O8" s="1"/>
    </row>
    <row r="9" spans="1:15" x14ac:dyDescent="0.25">
      <c r="A9" s="792"/>
      <c r="B9" s="792"/>
      <c r="C9" s="782" t="s">
        <v>221</v>
      </c>
      <c r="D9" s="792"/>
      <c r="E9" s="797">
        <f>IF(G_=0,"",G_*28.97)</f>
        <v>28.97</v>
      </c>
      <c r="F9" s="792"/>
      <c r="G9" s="792"/>
      <c r="H9" s="792"/>
      <c r="I9" s="792"/>
      <c r="J9" s="789" t="s">
        <v>550</v>
      </c>
      <c r="K9" s="789" t="s">
        <v>549</v>
      </c>
      <c r="L9" s="789">
        <f>IF('Valve Sizing'!B27=1,E16+459.67,E16+273.15)</f>
        <v>459.67</v>
      </c>
    </row>
    <row r="10" spans="1:15" x14ac:dyDescent="0.25">
      <c r="A10" s="792"/>
      <c r="B10" s="792"/>
      <c r="C10" s="792"/>
      <c r="D10" s="792"/>
      <c r="E10" s="792"/>
      <c r="F10" s="792"/>
      <c r="G10" s="792"/>
      <c r="H10" s="792"/>
      <c r="I10" s="792"/>
      <c r="J10" s="792" t="s">
        <v>213</v>
      </c>
      <c r="K10" s="792" t="s">
        <v>214</v>
      </c>
      <c r="L10" s="789">
        <f>IF('Valve Sizing'!$B27=1,(Tabs_RorK)/1.8,Tabs_RorK)</f>
        <v>255.37222222222223</v>
      </c>
    </row>
    <row r="11" spans="1:15" x14ac:dyDescent="0.25">
      <c r="A11" s="792"/>
      <c r="B11" s="792"/>
      <c r="C11" s="792"/>
      <c r="D11" s="792"/>
      <c r="E11" s="792"/>
      <c r="F11" s="792"/>
      <c r="G11" s="792"/>
      <c r="H11" s="792"/>
      <c r="I11" s="792"/>
      <c r="J11" s="798" t="s">
        <v>552</v>
      </c>
      <c r="K11" s="798" t="s">
        <v>551</v>
      </c>
      <c r="L11" s="799">
        <f>IF('Valve Sizing'!B27=1,E14*16.0185,E14)</f>
        <v>0</v>
      </c>
    </row>
    <row r="12" spans="1:15" ht="15.6" x14ac:dyDescent="0.3">
      <c r="A12" s="795" t="s">
        <v>554</v>
      </c>
      <c r="B12" s="792"/>
      <c r="C12" s="792"/>
      <c r="D12" s="792"/>
      <c r="E12" s="792"/>
      <c r="F12" s="405"/>
      <c r="G12" s="236"/>
      <c r="H12" s="236"/>
      <c r="I12" s="792"/>
      <c r="J12" s="792"/>
      <c r="K12" s="792"/>
      <c r="L12" s="792"/>
    </row>
    <row r="13" spans="1:15" x14ac:dyDescent="0.25">
      <c r="A13" s="789" t="s">
        <v>556</v>
      </c>
      <c r="B13" s="792"/>
      <c r="C13" s="792"/>
      <c r="D13" s="792"/>
      <c r="E13" s="792"/>
      <c r="F13" s="800"/>
      <c r="G13" s="800"/>
      <c r="H13" s="800"/>
      <c r="I13" s="792"/>
      <c r="J13" s="792"/>
      <c r="K13" s="792"/>
      <c r="L13" s="792"/>
    </row>
    <row r="14" spans="1:15" x14ac:dyDescent="0.25">
      <c r="A14" s="792"/>
      <c r="B14" s="792"/>
      <c r="C14" s="801" t="str">
        <f>IF('Valve Sizing'!B27=1,"Density  (lbm/ft^3)","Density  (kg/m^3)")</f>
        <v>Density  (lbm/ft^3)</v>
      </c>
      <c r="D14" s="789"/>
      <c r="E14" s="234"/>
      <c r="F14" s="792"/>
      <c r="G14" s="792"/>
      <c r="H14" s="792"/>
      <c r="I14" s="792"/>
      <c r="J14" s="792"/>
      <c r="K14" s="792"/>
      <c r="L14" s="792"/>
    </row>
    <row r="15" spans="1:15" x14ac:dyDescent="0.25">
      <c r="A15" s="792"/>
      <c r="B15" s="792"/>
      <c r="C15" s="785" t="str">
        <f>IF('Valve Sizing'!B27=1,"Pressure (psiA)",IF('Valve Sizing'!B27=2,"Pressure (barA)",IF('Valve Sizing'!B27=3,"Pressure (kPaA)",IF('Valve Sizing'!B27=4,"Pressure (barA)",IF('Valve Sizing'!B27=5,"Pressure (kPaA)","Undefined")))))</f>
        <v>Pressure (psiA)</v>
      </c>
      <c r="D15" s="792"/>
      <c r="E15" s="234"/>
      <c r="F15" s="792"/>
      <c r="G15" s="789"/>
      <c r="H15" s="792"/>
      <c r="I15" s="792"/>
      <c r="J15" s="792"/>
      <c r="K15" s="792"/>
      <c r="L15" s="792"/>
    </row>
    <row r="16" spans="1:15" x14ac:dyDescent="0.25">
      <c r="A16" s="792"/>
      <c r="B16" s="792"/>
      <c r="C16" s="785" t="str">
        <f>IF('Valve Sizing'!B27&lt;1,"Undefined",IF('Valve Sizing'!B27=1,"Temperature (F)",IF('Valve Sizing'!B27&lt;=5,"Temperature (C)",IF('Valve Sizing'!B27&gt;5,"Undefined"))))</f>
        <v>Temperature (F)</v>
      </c>
      <c r="D16" s="792"/>
      <c r="E16" s="234"/>
      <c r="F16" s="753"/>
      <c r="G16" s="802"/>
      <c r="H16" s="792"/>
      <c r="I16" s="792"/>
      <c r="J16" s="792"/>
      <c r="K16" s="792"/>
      <c r="L16" s="792"/>
    </row>
    <row r="17" spans="1:12" x14ac:dyDescent="0.25">
      <c r="A17" s="792"/>
      <c r="B17" s="792"/>
      <c r="C17" s="803" t="s">
        <v>222</v>
      </c>
      <c r="D17" s="792"/>
      <c r="E17" s="797" t="str">
        <f>IF(Input_Test=0,"",(DENS*8314*T_1..L)/P_1..L)</f>
        <v/>
      </c>
      <c r="F17" s="792"/>
      <c r="G17" s="789"/>
      <c r="H17" s="792"/>
      <c r="I17" s="792"/>
      <c r="J17" s="792"/>
      <c r="K17" s="792"/>
      <c r="L17" s="792"/>
    </row>
    <row r="18" spans="1:12" x14ac:dyDescent="0.25">
      <c r="A18" s="792"/>
      <c r="B18" s="792"/>
      <c r="C18" s="792"/>
      <c r="D18" s="792"/>
      <c r="E18" s="792"/>
      <c r="F18" s="792"/>
      <c r="G18" s="792"/>
      <c r="H18" s="792"/>
      <c r="I18" s="792"/>
      <c r="J18" s="792"/>
      <c r="K18" s="792"/>
      <c r="L18" s="792"/>
    </row>
    <row r="19" spans="1:12" x14ac:dyDescent="0.25">
      <c r="A19" s="792"/>
      <c r="B19" s="792"/>
      <c r="C19" s="785" t="s">
        <v>557</v>
      </c>
      <c r="D19" s="792"/>
      <c r="E19" s="234" t="s">
        <v>65</v>
      </c>
      <c r="F19" s="792"/>
      <c r="G19" s="792"/>
      <c r="H19" s="792"/>
      <c r="I19" s="792"/>
      <c r="J19" s="792"/>
      <c r="K19" s="792"/>
      <c r="L19" s="792"/>
    </row>
    <row r="20" spans="1:12" x14ac:dyDescent="0.25">
      <c r="A20" s="771"/>
      <c r="B20" s="792"/>
      <c r="C20" s="792">
        <f>E14*E15*E16</f>
        <v>0</v>
      </c>
      <c r="D20" s="792"/>
      <c r="E20" s="235" t="s">
        <v>66</v>
      </c>
      <c r="F20" s="792"/>
      <c r="G20" s="792"/>
      <c r="H20" s="792"/>
      <c r="I20" s="792"/>
      <c r="J20" s="792"/>
      <c r="K20" s="792"/>
      <c r="L20" s="792"/>
    </row>
    <row r="21" spans="1:12" hidden="1" x14ac:dyDescent="0.25">
      <c r="A21" s="792"/>
      <c r="B21" s="792"/>
      <c r="C21" s="792"/>
      <c r="D21" s="792"/>
      <c r="E21" s="792"/>
      <c r="F21" s="792"/>
      <c r="G21" s="792"/>
      <c r="H21" s="792"/>
      <c r="I21" s="792"/>
      <c r="J21" s="792"/>
      <c r="K21" s="792"/>
      <c r="L21" s="792"/>
    </row>
    <row r="22" spans="1:12" ht="12.45" customHeight="1" x14ac:dyDescent="0.25">
      <c r="A22" s="792"/>
      <c r="B22" s="792"/>
      <c r="C22" s="792"/>
      <c r="D22" s="792"/>
      <c r="E22" s="792"/>
      <c r="F22" s="792"/>
      <c r="G22" s="792"/>
      <c r="H22" s="792"/>
      <c r="I22" s="792"/>
      <c r="J22" s="792"/>
      <c r="K22" s="792"/>
      <c r="L22" s="792"/>
    </row>
    <row r="25" spans="1:12" x14ac:dyDescent="0.25">
      <c r="A25" s="206"/>
    </row>
    <row r="26" spans="1:12" x14ac:dyDescent="0.25">
      <c r="A26" s="206"/>
    </row>
  </sheetData>
  <sheetProtection sheet="1" objects="1" scenarios="1"/>
  <mergeCells count="1">
    <mergeCell ref="A1:J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7920C-0FC9-4CE1-A446-512F1DA6EEAE}">
  <dimension ref="A1:AD162"/>
  <sheetViews>
    <sheetView zoomScale="80" zoomScaleNormal="80" workbookViewId="0">
      <selection activeCell="A2" sqref="A2"/>
    </sheetView>
  </sheetViews>
  <sheetFormatPr defaultColWidth="8.77734375" defaultRowHeight="13.2" x14ac:dyDescent="0.25"/>
  <cols>
    <col min="1" max="1" width="43.109375" style="239" customWidth="1"/>
    <col min="2" max="2" width="10.33203125" style="239" customWidth="1"/>
    <col min="3" max="3" width="13.77734375" style="239" bestFit="1" customWidth="1"/>
    <col min="4" max="7" width="12.21875" style="239" customWidth="1"/>
    <col min="8" max="8" width="5.109375" style="239" customWidth="1"/>
    <col min="9" max="9" width="36.88671875" style="239" customWidth="1"/>
    <col min="10" max="12" width="9" style="239" hidden="1" customWidth="1"/>
    <col min="13" max="13" width="14.21875" style="239" hidden="1" customWidth="1"/>
    <col min="14" max="14" width="26.21875" style="239" hidden="1" customWidth="1"/>
    <col min="15" max="15" width="3.21875" style="239" customWidth="1"/>
    <col min="16" max="16" width="40" style="239" customWidth="1"/>
    <col min="17" max="17" width="8.77734375" style="239"/>
    <col min="18" max="18" width="18.109375" style="239" customWidth="1"/>
    <col min="19" max="22" width="12.21875" style="239" customWidth="1"/>
    <col min="23" max="23" width="8.77734375" style="239" customWidth="1"/>
    <col min="24" max="24" width="36.77734375" style="239" customWidth="1"/>
    <col min="25" max="25" width="8.77734375" style="239"/>
    <col min="26" max="26" width="29.44140625" style="239" customWidth="1"/>
    <col min="27" max="30" width="10.109375" style="239" customWidth="1"/>
    <col min="31" max="16384" width="8.77734375" style="239"/>
  </cols>
  <sheetData>
    <row r="1" spans="1:30" ht="21.6" thickTop="1" x14ac:dyDescent="0.4">
      <c r="A1" s="804" t="s">
        <v>339</v>
      </c>
      <c r="B1" s="805" t="s">
        <v>548</v>
      </c>
      <c r="C1" s="284"/>
      <c r="D1" s="806"/>
      <c r="E1" s="807"/>
      <c r="F1" s="808"/>
      <c r="G1" s="809"/>
      <c r="H1" s="810"/>
      <c r="I1" s="882" t="s">
        <v>338</v>
      </c>
      <c r="J1" s="267"/>
      <c r="K1" s="243"/>
      <c r="L1" s="243"/>
      <c r="M1" s="243"/>
      <c r="N1" s="880"/>
      <c r="O1" s="243"/>
      <c r="P1" s="283" t="s">
        <v>568</v>
      </c>
      <c r="S1" s="239" t="s">
        <v>587</v>
      </c>
      <c r="X1" s="247"/>
      <c r="AC1" s="243"/>
      <c r="AD1" s="243"/>
    </row>
    <row r="2" spans="1:30" ht="13.8" thickBot="1" x14ac:dyDescent="0.3">
      <c r="A2" s="811" t="s">
        <v>582</v>
      </c>
      <c r="B2" s="812"/>
      <c r="C2" s="812"/>
      <c r="D2" s="813"/>
      <c r="E2" s="813"/>
      <c r="F2" s="813"/>
      <c r="G2" s="814"/>
      <c r="H2" s="810"/>
      <c r="I2" s="882"/>
      <c r="L2" s="243"/>
      <c r="M2" s="243"/>
      <c r="N2" s="880"/>
      <c r="O2" s="243"/>
      <c r="P2" s="282" t="s">
        <v>337</v>
      </c>
      <c r="S2" s="279" t="s">
        <v>217</v>
      </c>
      <c r="T2" s="279" t="s">
        <v>218</v>
      </c>
      <c r="U2" s="278" t="s">
        <v>219</v>
      </c>
      <c r="V2" s="278" t="s">
        <v>220</v>
      </c>
      <c r="X2" s="243" t="s">
        <v>1</v>
      </c>
      <c r="Y2" s="243" t="s">
        <v>336</v>
      </c>
      <c r="Z2" s="243" t="s">
        <v>2</v>
      </c>
      <c r="AA2" s="281"/>
      <c r="AC2" s="243"/>
      <c r="AD2" s="243"/>
    </row>
    <row r="3" spans="1:30" ht="16.2" thickBot="1" x14ac:dyDescent="0.3">
      <c r="A3" s="815" t="s">
        <v>335</v>
      </c>
      <c r="B3" s="816"/>
      <c r="C3" s="816"/>
      <c r="D3" s="817" t="s">
        <v>217</v>
      </c>
      <c r="E3" s="817" t="s">
        <v>218</v>
      </c>
      <c r="F3" s="818" t="s">
        <v>219</v>
      </c>
      <c r="G3" s="819" t="s">
        <v>220</v>
      </c>
      <c r="H3" s="810"/>
      <c r="I3" s="883"/>
      <c r="P3" s="248" t="s">
        <v>334</v>
      </c>
      <c r="Q3" s="239" t="s">
        <v>333</v>
      </c>
      <c r="X3" s="280" t="s">
        <v>332</v>
      </c>
      <c r="Y3" s="280"/>
      <c r="Z3" s="280" t="s">
        <v>332</v>
      </c>
      <c r="AA3" s="279" t="s">
        <v>217</v>
      </c>
      <c r="AB3" s="279" t="s">
        <v>218</v>
      </c>
      <c r="AC3" s="278" t="s">
        <v>219</v>
      </c>
      <c r="AD3" s="278" t="s">
        <v>220</v>
      </c>
    </row>
    <row r="4" spans="1:30" ht="16.5" customHeight="1" x14ac:dyDescent="0.25">
      <c r="A4" s="820" t="s">
        <v>331</v>
      </c>
      <c r="B4" s="821" t="str">
        <f>IF(IEC_1=1,"m^3/h",IF(IEC_1=2,"scfh","INVALID"))</f>
        <v>scfh</v>
      </c>
      <c r="C4" s="812" t="s">
        <v>330</v>
      </c>
      <c r="D4" s="820">
        <f>Q</f>
        <v>31863</v>
      </c>
      <c r="E4" s="820">
        <f>'Valve Sizing'!E2</f>
        <v>93645</v>
      </c>
      <c r="F4" s="820">
        <f>'Valve Sizing'!F2</f>
        <v>184894</v>
      </c>
      <c r="G4" s="820">
        <f>'Valve Sizing'!G2</f>
        <v>236393</v>
      </c>
      <c r="H4" s="822"/>
      <c r="I4" s="883"/>
      <c r="N4" s="254"/>
      <c r="O4" s="254"/>
      <c r="P4" s="259" t="s">
        <v>329</v>
      </c>
      <c r="Q4" s="239" t="s">
        <v>328</v>
      </c>
      <c r="R4" s="248" t="s">
        <v>327</v>
      </c>
      <c r="S4" s="251">
        <f>IF(IEC_1=1,m_dot_m3h,IF(IEC_1=2,m_dot_scfh,"INVALID"))</f>
        <v>0.30712745699999999</v>
      </c>
      <c r="T4" s="251">
        <f>IF(IEC_1=1,T29,IF(IEC_1=2,T30,"INVALID"))</f>
        <v>0.90264415499999995</v>
      </c>
      <c r="U4" s="251">
        <f>IF(IEC_1=1,U29,IF(IEC_1=2,U30,"INVALID"))</f>
        <v>1.7821932659999999</v>
      </c>
      <c r="V4" s="251">
        <f>IF(IEC_1=1,V29,IF(IEC_1=2,V30,"INVALID"))</f>
        <v>2.278592127</v>
      </c>
    </row>
    <row r="5" spans="1:30" x14ac:dyDescent="0.25">
      <c r="A5" s="820" t="s">
        <v>326</v>
      </c>
      <c r="B5" s="821" t="str">
        <f>IF(IEC_2=1,"Pa",IF(IEC_2=2,"kPa",IF(IEC_2=3,"bar",IF(IEC_2=4,"psiA","INVALID"))))</f>
        <v>psiA</v>
      </c>
      <c r="C5" s="812" t="s">
        <v>5</v>
      </c>
      <c r="D5" s="820">
        <f>P_1</f>
        <v>90</v>
      </c>
      <c r="E5" s="820">
        <f>'Valve Sizing'!E3</f>
        <v>88.6</v>
      </c>
      <c r="F5" s="820">
        <f>'Valve Sizing'!F3</f>
        <v>83.7</v>
      </c>
      <c r="G5" s="820">
        <f>'Valve Sizing'!G3</f>
        <v>80</v>
      </c>
      <c r="H5" s="822"/>
      <c r="I5" s="810"/>
      <c r="N5" s="254"/>
      <c r="O5" s="254"/>
      <c r="P5" s="262" t="s">
        <v>326</v>
      </c>
      <c r="Q5" s="239" t="s">
        <v>211</v>
      </c>
      <c r="R5" s="259" t="s">
        <v>5</v>
      </c>
      <c r="S5" s="277">
        <f>IF(IEC_2=1,P_1..1,IF(IEC_2=2,P_1..1*1000,IF(IEC_2=3,P_1..1*100000,IF(IEC_2=4,P_1..1*6894.7573,"INVALID"))))</f>
        <v>620528.15700000001</v>
      </c>
      <c r="T5" s="277">
        <f>IF(IEC_2=1,P_1..2,IF(IEC_2=2, P_1..2*1000,IF(IEC_2=3,P_1..2*100000,IF(IEC_2=4, P_1..2*6894.7573,"INVALID"))))</f>
        <v>610875.49677999993</v>
      </c>
      <c r="U5" s="277">
        <f>IF(IEC_2=1,P_1..3,IF(IEC_2=2, P_1..3*1000,IF(IEC_2=3,P_1..3*100000,IF(IEC_2=4, P_1..3*6894.7573,"INVALID"))))</f>
        <v>577091.18601000006</v>
      </c>
      <c r="V5" s="277">
        <f>IF(IEC_2=1,P_1..4,IF(IEC_2=2, P_1..4*1000,IF(IEC_2=3,P_1..4*100000,IF(IEC_2=4, P_1..4*6894.7573,"INVALID"))))</f>
        <v>551580.58400000003</v>
      </c>
      <c r="AA5" s="240"/>
    </row>
    <row r="6" spans="1:30" ht="15.6" x14ac:dyDescent="0.35">
      <c r="A6" s="820" t="s">
        <v>325</v>
      </c>
      <c r="B6" s="821" t="str">
        <f>IF(IEC_3=1,"K",IF(IEC_3=2,"C",IF(IEC_3=3,"F","INVALID")))</f>
        <v>F</v>
      </c>
      <c r="C6" s="812" t="s">
        <v>8</v>
      </c>
      <c r="D6" s="820">
        <f>T_1</f>
        <v>100</v>
      </c>
      <c r="E6" s="820">
        <f>'Valve Sizing'!E4</f>
        <v>100</v>
      </c>
      <c r="F6" s="820">
        <f>'Valve Sizing'!F4</f>
        <v>100</v>
      </c>
      <c r="G6" s="820">
        <f>'Valve Sizing'!G4</f>
        <v>100</v>
      </c>
      <c r="H6" s="822"/>
      <c r="I6" s="823"/>
      <c r="J6" s="402"/>
      <c r="N6" s="254"/>
      <c r="O6" s="254"/>
      <c r="P6" s="259" t="s">
        <v>325</v>
      </c>
      <c r="Q6" s="239" t="s">
        <v>213</v>
      </c>
      <c r="R6" s="259" t="s">
        <v>8</v>
      </c>
      <c r="S6" s="246">
        <f>IF(IEC_3=1,T_1..1,IF(IEC_3=2,T_1..1+273.15,IF(IEC_3=3,((T_1..1-32)/1.8)+273.15,"INVALID")))</f>
        <v>310.92777777777775</v>
      </c>
      <c r="T6" s="246">
        <f>IF(IEC_3=1,T_1..2,IF(IEC_3=2,T_1..2+273.15,IF(IEC_3=3,((T_1..2-32)/1.8)+273.15,"INVALID")))</f>
        <v>310.92777777777775</v>
      </c>
      <c r="U6" s="246">
        <f>IF(IEC_3=1,T_1..3,IF(IEC_3=2,T_1..3+273.15,IF(IEC_3=3,((T_1..3-32)/1.8)+273.15,"INVALID")))</f>
        <v>310.92777777777775</v>
      </c>
      <c r="V6" s="246">
        <f>IF(IEC_3=1,T_1..4,IF(IEC_3=2,T_1..4+273.15,IF(IEC_3=3,((T_1..4-32)/1.8)+273.15,"INVALID")))</f>
        <v>310.92777777777775</v>
      </c>
      <c r="X6" s="242" t="s">
        <v>324</v>
      </c>
      <c r="AA6" s="741"/>
      <c r="AB6" s="741"/>
      <c r="AC6" s="741"/>
      <c r="AD6" s="741"/>
    </row>
    <row r="7" spans="1:30" x14ac:dyDescent="0.25">
      <c r="A7" s="820" t="s">
        <v>323</v>
      </c>
      <c r="B7" s="821" t="str">
        <f>IF(IEC_2=1,"Pa",IF(IEC_2=2,"kPa",IF(IEC_2=3,"bar",IF(IEC_2=4,"psi","INVALID"))))</f>
        <v>psi</v>
      </c>
      <c r="C7" s="812" t="s">
        <v>11</v>
      </c>
      <c r="D7" s="716">
        <f>DELTA_P</f>
        <v>30</v>
      </c>
      <c r="E7" s="716">
        <f>'Valve Sizing'!E5</f>
        <v>28.6</v>
      </c>
      <c r="F7" s="716">
        <f>'Valve Sizing'!F5</f>
        <v>23.7</v>
      </c>
      <c r="G7" s="716">
        <f>'Valve Sizing'!G5</f>
        <v>20</v>
      </c>
      <c r="H7" s="822"/>
      <c r="I7" s="824"/>
      <c r="J7" s="402"/>
      <c r="N7" s="254"/>
      <c r="O7" s="254"/>
      <c r="P7" s="259" t="s">
        <v>323</v>
      </c>
      <c r="Q7" s="239" t="s">
        <v>211</v>
      </c>
      <c r="R7" s="259" t="s">
        <v>11</v>
      </c>
      <c r="S7" s="277">
        <f>IF(IEC_2=1,DELTA_P..1,IF(IEC_2=2,DELTA_P..1*1000,IF(IEC_2=3,DELTA_P..1*100000,IF(IEC_2=4,DELTA_P..1*6894.7573,"INVALID"))))</f>
        <v>206842.71900000001</v>
      </c>
      <c r="T7" s="277">
        <f>IF(IEC_2=1,DELTA_P..2,IF(IEC_2=2,DELTA_P..2*1000,IF(IEC_2=3,DELTA_P..2*100000,IF(IEC_2=4,DELTA_P..2*6894.7573,"INVALID"))))</f>
        <v>197190.05878000002</v>
      </c>
      <c r="U7" s="277">
        <f>IF(IEC_2=1,DELTA_P..3,IF(IEC_2=2,DELTA_P..3*1000,IF(IEC_2=3,DELTA_P..3*100000,IF(IEC_2=4,DELTA_P..3*6894.7573,"INVALID"))))</f>
        <v>163405.74801000001</v>
      </c>
      <c r="V7" s="277">
        <f>IF(IEC_2=1,DELTA_P..4,IF(IEC_2=2,DELTA_P..4*1000,IF(IEC_2=3,DELTA_P..4*100000,IF(IEC_2=4,DELTA_P..4*6894.7573,"INVALID"))))</f>
        <v>137895.14600000001</v>
      </c>
      <c r="X7" s="243" t="s">
        <v>39</v>
      </c>
      <c r="Y7" s="241" t="s">
        <v>322</v>
      </c>
      <c r="Z7" s="243" t="s">
        <v>527</v>
      </c>
      <c r="AA7" s="274">
        <f>0.5*((1-(D_Vi..s/D_1..S)^2))^2</f>
        <v>0.28125</v>
      </c>
      <c r="AB7" s="274">
        <f>0.5*((1-(T17/T19)^2))^2</f>
        <v>0.28125</v>
      </c>
      <c r="AC7" s="274">
        <f>0.5*((1-(U17/U19)^2))^2</f>
        <v>0.28125</v>
      </c>
      <c r="AD7" s="274">
        <f>0.5*((1-(V17/V19)^2))^2</f>
        <v>0.28125</v>
      </c>
    </row>
    <row r="8" spans="1:30" ht="16.8" x14ac:dyDescent="0.3">
      <c r="A8" s="820"/>
      <c r="B8" s="821"/>
      <c r="C8" s="812"/>
      <c r="D8" s="717"/>
      <c r="E8" s="717"/>
      <c r="F8" s="717"/>
      <c r="G8" s="717"/>
      <c r="H8" s="822"/>
      <c r="I8" s="824"/>
      <c r="J8" s="402"/>
      <c r="N8" s="254"/>
      <c r="O8" s="254"/>
      <c r="P8" s="259" t="s">
        <v>538</v>
      </c>
      <c r="Q8" s="239" t="s">
        <v>320</v>
      </c>
      <c r="R8" s="259" t="s">
        <v>319</v>
      </c>
      <c r="S8" s="246">
        <f>P_1..S*M_..S/(8314*T_1..S*Z)</f>
        <v>6.9540922070739493</v>
      </c>
      <c r="T8" s="398">
        <f>T5*T9/(8314*T6*'Valve Sizing'!E8)</f>
        <v>6.8459174394083533</v>
      </c>
      <c r="U8" s="398">
        <f>U5*U9/(8314*U6*'Valve Sizing'!F8)</f>
        <v>6.4673057525787732</v>
      </c>
      <c r="V8" s="398">
        <f>V5*V9/(8314*V6*'Valve Sizing'!G8)</f>
        <v>6.1814152951768442</v>
      </c>
      <c r="X8" s="243"/>
      <c r="Y8" s="241" t="s">
        <v>314</v>
      </c>
      <c r="Z8" s="243" t="s">
        <v>528</v>
      </c>
      <c r="AA8" s="274">
        <f>1-(D_Vi..s/D_1..S)^4</f>
        <v>0.9375</v>
      </c>
      <c r="AB8" s="274">
        <f>1-(T17/T19)^4</f>
        <v>0.9375</v>
      </c>
      <c r="AC8" s="274">
        <f>1-(U17/U19)^4</f>
        <v>0.9375</v>
      </c>
      <c r="AD8" s="274">
        <f>1-(V17/V19)^4</f>
        <v>0.9375</v>
      </c>
    </row>
    <row r="9" spans="1:30" x14ac:dyDescent="0.25">
      <c r="A9" s="820" t="s">
        <v>318</v>
      </c>
      <c r="B9" s="812"/>
      <c r="C9" s="812" t="s">
        <v>317</v>
      </c>
      <c r="D9" s="716">
        <f>M</f>
        <v>28.97</v>
      </c>
      <c r="E9" s="718" t="s">
        <v>277</v>
      </c>
      <c r="F9" s="718" t="s">
        <v>277</v>
      </c>
      <c r="G9" s="718" t="s">
        <v>277</v>
      </c>
      <c r="H9" s="822"/>
      <c r="I9" s="824"/>
      <c r="J9" s="402"/>
      <c r="N9" s="254"/>
      <c r="O9" s="254"/>
      <c r="P9" s="259" t="s">
        <v>318</v>
      </c>
      <c r="R9" s="259" t="s">
        <v>317</v>
      </c>
      <c r="S9" s="246">
        <f>M_..1</f>
        <v>28.97</v>
      </c>
      <c r="T9" s="246">
        <f>M_..1</f>
        <v>28.97</v>
      </c>
      <c r="U9" s="246">
        <f>M_..1</f>
        <v>28.97</v>
      </c>
      <c r="V9" s="246">
        <f>M_..1</f>
        <v>28.97</v>
      </c>
      <c r="X9" s="243"/>
      <c r="Y9" s="241" t="s">
        <v>316</v>
      </c>
      <c r="Z9" s="243" t="s">
        <v>529</v>
      </c>
      <c r="AA9" s="274">
        <f>1*((1-(D_Vi..s/D_2..S)^2))^2</f>
        <v>0.5625</v>
      </c>
      <c r="AB9" s="274">
        <f>1*((1-(T17/T20)^2))^2</f>
        <v>0.5625</v>
      </c>
      <c r="AC9" s="274">
        <f>1*((1-(U17/U20)^2))^2</f>
        <v>0.5625</v>
      </c>
      <c r="AD9" s="274">
        <f>1*((1-(V17/V20)^2))^2</f>
        <v>0.5625</v>
      </c>
    </row>
    <row r="10" spans="1:30" x14ac:dyDescent="0.25">
      <c r="A10" s="820" t="s">
        <v>315</v>
      </c>
      <c r="B10" s="812"/>
      <c r="C10" s="812" t="s">
        <v>17</v>
      </c>
      <c r="D10" s="716">
        <f>GAMMA</f>
        <v>1.4</v>
      </c>
      <c r="E10" s="718" t="s">
        <v>277</v>
      </c>
      <c r="F10" s="718" t="s">
        <v>277</v>
      </c>
      <c r="G10" s="718" t="s">
        <v>277</v>
      </c>
      <c r="H10" s="822"/>
      <c r="I10" s="824"/>
      <c r="J10" s="402"/>
      <c r="N10" s="254"/>
      <c r="O10" s="254"/>
      <c r="P10" s="259" t="s">
        <v>315</v>
      </c>
      <c r="R10" s="259" t="s">
        <v>17</v>
      </c>
      <c r="S10" s="246">
        <f>GAMMA..1</f>
        <v>1.4</v>
      </c>
      <c r="T10" s="246">
        <f>GAMMA..1</f>
        <v>1.4</v>
      </c>
      <c r="U10" s="246">
        <f>GAMMA..1</f>
        <v>1.4</v>
      </c>
      <c r="V10" s="246">
        <f>GAMMA..1</f>
        <v>1.4</v>
      </c>
      <c r="X10" s="243"/>
      <c r="Y10" s="241" t="s">
        <v>314</v>
      </c>
      <c r="Z10" s="243" t="s">
        <v>530</v>
      </c>
      <c r="AA10" s="274">
        <f>1-(D_Vo..S/D_2..S)^4</f>
        <v>0.9375</v>
      </c>
      <c r="AB10" s="274">
        <f>1-(T18/T20)^4</f>
        <v>0.9375</v>
      </c>
      <c r="AC10" s="274">
        <f>1-(U18/U20)^4</f>
        <v>0.9375</v>
      </c>
      <c r="AD10" s="274">
        <f>1-(V18/V20)^4</f>
        <v>0.9375</v>
      </c>
    </row>
    <row r="11" spans="1:30" ht="13.8" thickBot="1" x14ac:dyDescent="0.3">
      <c r="A11" s="815" t="s">
        <v>313</v>
      </c>
      <c r="B11" s="816"/>
      <c r="C11" s="816"/>
      <c r="D11" s="719"/>
      <c r="E11" s="719"/>
      <c r="F11" s="719"/>
      <c r="G11" s="719"/>
      <c r="H11" s="822"/>
      <c r="I11" s="824"/>
      <c r="J11" s="402"/>
      <c r="K11" s="276"/>
      <c r="N11" s="254"/>
      <c r="O11" s="254"/>
      <c r="P11" s="259"/>
      <c r="R11" s="259"/>
      <c r="S11" s="246"/>
      <c r="T11" s="246"/>
      <c r="U11" s="246"/>
      <c r="V11" s="246"/>
      <c r="X11" s="243" t="s">
        <v>44</v>
      </c>
      <c r="Y11" s="241" t="s">
        <v>312</v>
      </c>
      <c r="Z11" s="243" t="s">
        <v>531</v>
      </c>
      <c r="AA11" s="274">
        <f>ZETA_1_REN+ZETA_2_REN+ZETA_B1_REN-ZETA_B2_REN</f>
        <v>0.84375</v>
      </c>
      <c r="AB11" s="274">
        <f>AB7+AB9+AB8-AB10</f>
        <v>0.84375</v>
      </c>
      <c r="AC11" s="274">
        <f>AC7+AC9+AC8-AC10</f>
        <v>0.84375</v>
      </c>
      <c r="AD11" s="274">
        <f>AD7+AD9+AD8-AD10</f>
        <v>0.84375</v>
      </c>
    </row>
    <row r="12" spans="1:30" x14ac:dyDescent="0.25">
      <c r="A12" s="820" t="s">
        <v>311</v>
      </c>
      <c r="B12" s="821" t="str">
        <f>IF(IEC_6=1,"Cv",IF(IEC_6=2,"Kv","INVALID"))</f>
        <v>Cv</v>
      </c>
      <c r="C12" s="812" t="s">
        <v>72</v>
      </c>
      <c r="D12" s="720">
        <f>C_</f>
        <v>12.91938248122084</v>
      </c>
      <c r="E12" s="720">
        <f>'Valve Sizing'!E21</f>
        <v>39.440483902801446</v>
      </c>
      <c r="F12" s="720">
        <f>'Valve Sizing'!F21</f>
        <v>90.647576683611092</v>
      </c>
      <c r="G12" s="720">
        <f>'Valve Sizing'!G21</f>
        <v>136.9873645357365</v>
      </c>
      <c r="H12" s="822"/>
      <c r="I12" s="824"/>
      <c r="J12" s="402"/>
      <c r="N12" s="254"/>
      <c r="O12" s="254"/>
      <c r="P12" s="259" t="s">
        <v>311</v>
      </c>
      <c r="Q12" s="275" t="str">
        <f>IF(IEC_6=1,"Cv",IF(IEC_6=2,"Kv","INVALID"))</f>
        <v>Cv</v>
      </c>
      <c r="R12" s="259" t="s">
        <v>72</v>
      </c>
      <c r="S12" s="246">
        <f>C_..1</f>
        <v>12.91938248122084</v>
      </c>
      <c r="T12" s="246">
        <f>C_..2</f>
        <v>39.440483902801446</v>
      </c>
      <c r="U12" s="246">
        <f>C_..3</f>
        <v>90.647576683611092</v>
      </c>
      <c r="V12" s="246">
        <f>C_..4</f>
        <v>136.9873645357365</v>
      </c>
      <c r="X12" s="243" t="s">
        <v>47</v>
      </c>
      <c r="Y12" s="241" t="s">
        <v>310</v>
      </c>
      <c r="Z12" s="243" t="s">
        <v>532</v>
      </c>
      <c r="AA12" s="274">
        <f>ZETA_1_REN+ZETA_B1_REN</f>
        <v>1.21875</v>
      </c>
      <c r="AB12" s="274">
        <f>AB7+AB8</f>
        <v>1.21875</v>
      </c>
      <c r="AC12" s="274">
        <f>AC7+AC8</f>
        <v>1.21875</v>
      </c>
      <c r="AD12" s="274">
        <f>AD7+AD8</f>
        <v>1.21875</v>
      </c>
    </row>
    <row r="13" spans="1:30" x14ac:dyDescent="0.25">
      <c r="A13" s="820" t="s">
        <v>309</v>
      </c>
      <c r="B13" s="812"/>
      <c r="C13" s="825" t="s">
        <v>308</v>
      </c>
      <c r="D13" s="716">
        <f>F_L</f>
        <v>0.9246402897167707</v>
      </c>
      <c r="E13" s="720">
        <f>'Valve Sizing'!E10</f>
        <v>0.89310964691555828</v>
      </c>
      <c r="F13" s="720">
        <f>'Valve Sizing'!F10</f>
        <v>0.83223010327615121</v>
      </c>
      <c r="G13" s="720">
        <f>'Valve Sizing'!G10</f>
        <v>0.77713724438529097</v>
      </c>
      <c r="H13" s="826"/>
      <c r="I13" s="810"/>
      <c r="N13" s="254"/>
      <c r="O13" s="254"/>
      <c r="P13" s="259" t="s">
        <v>309</v>
      </c>
      <c r="R13" s="273" t="s">
        <v>308</v>
      </c>
      <c r="S13" s="246">
        <f>F_L..1</f>
        <v>0.9246402897167707</v>
      </c>
      <c r="T13" s="246">
        <f>F_L..2</f>
        <v>0.89310964691555828</v>
      </c>
      <c r="U13" s="246">
        <f>F_L..3</f>
        <v>0.83223010327615121</v>
      </c>
      <c r="V13" s="246">
        <f>F_L..4</f>
        <v>0.77713724438529097</v>
      </c>
      <c r="X13" s="243" t="s">
        <v>52</v>
      </c>
      <c r="Y13" s="241" t="s">
        <v>307</v>
      </c>
      <c r="Z13" s="243" t="s">
        <v>53</v>
      </c>
      <c r="AA13" s="270">
        <f>1/(SQRT(1+(AA11/IF(IEC_6=1,0.00214,IF(IEC_6=2,0.0016,”INVALID”)))*(S12/(S17*1000)^2)^2))</f>
        <v>0.99902546278633608</v>
      </c>
      <c r="AB13" s="270">
        <f>1/(SQRT(1+(AB11/IF(IEC_6=1,0.00214,IF(IEC_6=2,0.0016,”INVALID”)))*(T12/(T17*1000)^2)^2))</f>
        <v>0.99102657696564034</v>
      </c>
      <c r="AC13" s="270">
        <f>1/(SQRT(1+(AC11/IF(IEC_6=1,0.00214,IF(IEC_6=2,0.0016,”INVALID”)))*(U12/(U17*1000)^2)^2))</f>
        <v>0.95516030173088429</v>
      </c>
      <c r="AD13" s="270">
        <f>1/(SQRT(1+(AD11/IF(IEC_6=1,0.00214,IF(IEC_6=2,0.0016,”INVALID”)))*(V12/(V17*1000)^2)^2))</f>
        <v>0.90556056222244441</v>
      </c>
    </row>
    <row r="14" spans="1:30" x14ac:dyDescent="0.25">
      <c r="A14" s="820" t="s">
        <v>306</v>
      </c>
      <c r="B14" s="812"/>
      <c r="C14" s="812" t="s">
        <v>305</v>
      </c>
      <c r="D14" s="716">
        <f ca="1">F_D</f>
        <v>0.77394569140145397</v>
      </c>
      <c r="E14" s="716">
        <f ca="1">'Valve Sizing'!E11</f>
        <v>0.8482425566769346</v>
      </c>
      <c r="F14" s="716">
        <f ca="1">'Valve Sizing'!F11</f>
        <v>0.92140888005986676</v>
      </c>
      <c r="G14" s="716">
        <f ca="1">'Valve Sizing'!G11</f>
        <v>0.95596761766213412</v>
      </c>
      <c r="H14" s="822"/>
      <c r="I14" s="810"/>
      <c r="N14" s="254"/>
      <c r="O14" s="254"/>
      <c r="P14" s="259" t="s">
        <v>306</v>
      </c>
      <c r="R14" s="259" t="s">
        <v>305</v>
      </c>
      <c r="S14" s="246">
        <f ca="1">F_D..1</f>
        <v>0.77394569140145397</v>
      </c>
      <c r="T14" s="246">
        <f ca="1">F_D..2</f>
        <v>0.8482425566769346</v>
      </c>
      <c r="U14" s="246">
        <f ca="1">F_D..3</f>
        <v>0.92140888005986676</v>
      </c>
      <c r="V14" s="246">
        <f ca="1">F_D..4</f>
        <v>0.95596761766213412</v>
      </c>
      <c r="X14" s="243" t="s">
        <v>304</v>
      </c>
      <c r="Y14" s="241"/>
      <c r="Z14" s="243"/>
      <c r="AA14" s="245"/>
      <c r="AB14" s="245"/>
      <c r="AC14" s="240"/>
      <c r="AD14" s="240"/>
    </row>
    <row r="15" spans="1:30" x14ac:dyDescent="0.25">
      <c r="A15" s="820" t="s">
        <v>303</v>
      </c>
      <c r="B15" s="812"/>
      <c r="C15" s="812" t="s">
        <v>302</v>
      </c>
      <c r="D15" s="716">
        <f>A_ETA</f>
        <v>-3.6</v>
      </c>
      <c r="E15" s="718" t="s">
        <v>277</v>
      </c>
      <c r="F15" s="718" t="s">
        <v>277</v>
      </c>
      <c r="G15" s="718" t="s">
        <v>277</v>
      </c>
      <c r="H15" s="827"/>
      <c r="I15" s="828"/>
      <c r="N15" s="254"/>
      <c r="O15" s="254"/>
      <c r="P15" s="259" t="s">
        <v>303</v>
      </c>
      <c r="R15" s="259" t="s">
        <v>302</v>
      </c>
      <c r="S15" s="246">
        <f>A_ETA..1</f>
        <v>-3.6</v>
      </c>
      <c r="T15" s="246">
        <f>A_ETA..1</f>
        <v>-3.6</v>
      </c>
      <c r="U15" s="246">
        <f>A_ETA..1</f>
        <v>-3.6</v>
      </c>
      <c r="V15" s="246">
        <f>A_ETA..1</f>
        <v>-3.6</v>
      </c>
      <c r="X15" s="243" t="s">
        <v>301</v>
      </c>
      <c r="Y15" s="241" t="s">
        <v>300</v>
      </c>
      <c r="Z15" s="243" t="s">
        <v>299</v>
      </c>
      <c r="AA15" s="246">
        <f>F_L..S/SQRT(1+((F_L..S^2/ IF(IEC_6=1,0.00214,IF(IEC_6=2,0.0016,“INVALID”)))*SIGMA_ZETA_1_REN*(C_..S/(D_Vi..s*1000)^2)^2))</f>
        <v>0.92352787010660642</v>
      </c>
      <c r="AB15" s="246">
        <f>T13/SQRT(1+((T13^2/ IF(IEC_6=1,0.00214,IF(IEC_6=2,0.0016,“INVALID”)))*AB12*(T12/(T17*1000)^2)^2))</f>
        <v>0.88389481005265258</v>
      </c>
      <c r="AC15" s="246">
        <f>U13/SQRT(1+((U13^2/ IF(IEC_6=1,0.00214,IF(IEC_6=2,0.0016,“INVALID”)))*AC12*(U12/(U17*1000)^2)^2))</f>
        <v>0.79489809530482203</v>
      </c>
      <c r="AD15" s="246">
        <f>V13/SQRT(1+((V13^2/ IF(IEC_6=1,0.00214,IF(IEC_6=2,0.0016,“INVALID”)))*AD12*(V12/(V17*1000)^2)^2))</f>
        <v>0.71196927664157472</v>
      </c>
    </row>
    <row r="16" spans="1:30" x14ac:dyDescent="0.25">
      <c r="A16" s="820" t="s">
        <v>298</v>
      </c>
      <c r="B16" s="812"/>
      <c r="C16" s="812" t="s">
        <v>297</v>
      </c>
      <c r="D16" s="716">
        <f>St_P</f>
        <v>0.3</v>
      </c>
      <c r="E16" s="718" t="s">
        <v>277</v>
      </c>
      <c r="F16" s="718" t="s">
        <v>277</v>
      </c>
      <c r="G16" s="718" t="s">
        <v>277</v>
      </c>
      <c r="H16" s="827"/>
      <c r="I16" s="810"/>
      <c r="N16" s="254"/>
      <c r="O16" s="254"/>
      <c r="P16" s="259" t="s">
        <v>298</v>
      </c>
      <c r="R16" s="259" t="s">
        <v>297</v>
      </c>
      <c r="S16" s="246">
        <f>St_P..1</f>
        <v>0.3</v>
      </c>
      <c r="T16" s="246">
        <f>St_P..1</f>
        <v>0.3</v>
      </c>
      <c r="U16" s="246">
        <f>St_P..1</f>
        <v>0.3</v>
      </c>
      <c r="V16" s="246">
        <f>St_P..1</f>
        <v>0.3</v>
      </c>
      <c r="AA16" s="272"/>
      <c r="AB16" s="244"/>
    </row>
    <row r="17" spans="1:29" x14ac:dyDescent="0.25">
      <c r="A17" s="820" t="s">
        <v>296</v>
      </c>
      <c r="B17" s="821" t="str">
        <f>IF(IEC_5=1,"m",IF(IEC_5=2,"mm",IF(IEC_5=3,"inch","INVALID")))</f>
        <v>inch</v>
      </c>
      <c r="C17" s="812" t="s">
        <v>294</v>
      </c>
      <c r="D17" s="716">
        <f>d</f>
        <v>3</v>
      </c>
      <c r="E17" s="718" t="s">
        <v>277</v>
      </c>
      <c r="F17" s="718" t="s">
        <v>277</v>
      </c>
      <c r="G17" s="718" t="s">
        <v>277</v>
      </c>
      <c r="H17" s="827"/>
      <c r="I17" s="810"/>
      <c r="N17" s="254"/>
      <c r="O17" s="254"/>
      <c r="P17" s="259" t="s">
        <v>295</v>
      </c>
      <c r="Q17" s="239" t="s">
        <v>287</v>
      </c>
      <c r="R17" s="259" t="s">
        <v>294</v>
      </c>
      <c r="S17" s="246">
        <f>IF(IEC_5=1,D_Vi..1,IF(IEC_5=2,D_Vi..1*0.001,IF(IEC_5=3,D_Vi..1*0.0254,"INVALID")))</f>
        <v>7.619999999999999E-2</v>
      </c>
      <c r="T17" s="246">
        <f>IF(IEC_5=1,D_Vi..1,IF(IEC_5=2,D_Vi..1*0.001,IF(IEC_5=3,D_Vi..1*0.0254,"INVALID")))</f>
        <v>7.619999999999999E-2</v>
      </c>
      <c r="U17" s="246">
        <f>IF(IEC_5=1,D_Vi..1,IF(IEC_5=2,D_Vi..1*0.001,IF(IEC_5=3,D_Vi..1*0.0254,"INVALID")))</f>
        <v>7.619999999999999E-2</v>
      </c>
      <c r="V17" s="246">
        <f>IF(IEC_5=1,D_Vi..1,IF(IEC_5=2,D_Vi..1*0.001,IF(IEC_5=3,D_Vi..1*0.0254,"INVALID")))</f>
        <v>7.619999999999999E-2</v>
      </c>
      <c r="AA17" s="255"/>
      <c r="AB17" s="244"/>
    </row>
    <row r="18" spans="1:29" x14ac:dyDescent="0.25">
      <c r="A18" s="820" t="s">
        <v>293</v>
      </c>
      <c r="B18" s="821" t="str">
        <f>IF(IEC_5=1,"m",IF(IEC_5=2,"mm",IF(IEC_5=3,"inch","INVALID")))</f>
        <v>inch</v>
      </c>
      <c r="C18" s="812" t="s">
        <v>291</v>
      </c>
      <c r="D18" s="716">
        <f>d</f>
        <v>3</v>
      </c>
      <c r="E18" s="718" t="s">
        <v>277</v>
      </c>
      <c r="F18" s="718" t="s">
        <v>277</v>
      </c>
      <c r="G18" s="718" t="s">
        <v>277</v>
      </c>
      <c r="H18" s="827"/>
      <c r="I18" s="810"/>
      <c r="N18" s="254"/>
      <c r="O18" s="254"/>
      <c r="P18" s="259" t="s">
        <v>292</v>
      </c>
      <c r="Q18" s="239" t="s">
        <v>287</v>
      </c>
      <c r="R18" s="259" t="s">
        <v>291</v>
      </c>
      <c r="S18" s="271">
        <f>IF(IEC_5=1,D_Vo..1,IF(IEC_5=2,D_Vo..1*0.001,IF(IEC_5=3,D_Vo..1*0.0254,"INVALID")))</f>
        <v>7.619999999999999E-2</v>
      </c>
      <c r="T18" s="271">
        <f>IF(IEC_5=1,D_Vo..1,IF(IEC_5=2,D_Vo..1*0.001,IF(IEC_5=3,D_Vo..1*0.0254,"INVALID")))</f>
        <v>7.619999999999999E-2</v>
      </c>
      <c r="U18" s="271">
        <f>IF(IEC_5=1,D_Vo..1,IF(IEC_5=2,D_Vo..1*0.001,IF(IEC_5=3,D_Vo..1*0.0254,"INVALID")))</f>
        <v>7.619999999999999E-2</v>
      </c>
      <c r="V18" s="271">
        <f>IF(IEC_5=1,D_Vo..1,IF(IEC_5=2,D_Vo..1*0.001,IF(IEC_5=3,D_Vo..1*0.0254,"INVALID")))</f>
        <v>7.619999999999999E-2</v>
      </c>
      <c r="X18" s="243"/>
      <c r="Z18" s="243"/>
      <c r="AA18" s="270"/>
    </row>
    <row r="19" spans="1:29" ht="22.5" customHeight="1" x14ac:dyDescent="0.25">
      <c r="A19" s="820" t="s">
        <v>290</v>
      </c>
      <c r="B19" s="269" t="str">
        <f>IF(IEC_5=1,"m",IF(IEC_5=2,"mm",IF(IEC_5=3,"inch","INVALID")))</f>
        <v>inch</v>
      </c>
      <c r="C19" s="812" t="s">
        <v>27</v>
      </c>
      <c r="D19" s="716">
        <f>D_1</f>
        <v>6</v>
      </c>
      <c r="E19" s="718" t="s">
        <v>277</v>
      </c>
      <c r="F19" s="718" t="s">
        <v>277</v>
      </c>
      <c r="G19" s="718" t="s">
        <v>277</v>
      </c>
      <c r="H19" s="827"/>
      <c r="I19" s="810"/>
      <c r="N19" s="254"/>
      <c r="O19" s="254"/>
      <c r="P19" s="259" t="s">
        <v>290</v>
      </c>
      <c r="Q19" s="239" t="s">
        <v>287</v>
      </c>
      <c r="R19" s="259" t="s">
        <v>27</v>
      </c>
      <c r="S19" s="246">
        <f>IF(IEC_5=1,D_1..1,IF(IEC_5=2,D_1..1*0.001,IF(IEC_5=3,D_1..1*0.0254,"INVALID")))</f>
        <v>0.15239999999999998</v>
      </c>
      <c r="T19" s="246">
        <f>IF(IEC_5=1,D_1..1,IF(IEC_5=2,D_1..1*0.001,IF(IEC_5=3,D_1..1*0.0254,"INVALID")))</f>
        <v>0.15239999999999998</v>
      </c>
      <c r="U19" s="246">
        <f>IF(IEC_5=1,D_1..1,IF(IEC_5=2,D_1..1*0.001,IF(IEC_5=3,D_1..1*0.0254,"INVALID")))</f>
        <v>0.15239999999999998</v>
      </c>
      <c r="V19" s="246">
        <f>IF(IEC_5=1,D_1..1,IF(IEC_5=2,D_1..1*0.001,IF(IEC_5=3,D_1..1*0.0254,"INVALID")))</f>
        <v>0.15239999999999998</v>
      </c>
      <c r="X19" s="243"/>
      <c r="Z19" s="243"/>
      <c r="AA19" s="245"/>
    </row>
    <row r="20" spans="1:29" x14ac:dyDescent="0.25">
      <c r="A20" s="820" t="s">
        <v>289</v>
      </c>
      <c r="B20" s="821" t="str">
        <f>IF(IEC_5=1,"m",IF(IEC_5=2,"mm",IF(IEC_5=3,"inch","INVALID")))</f>
        <v>inch</v>
      </c>
      <c r="C20" s="812" t="s">
        <v>29</v>
      </c>
      <c r="D20" s="716">
        <f>D_2</f>
        <v>6</v>
      </c>
      <c r="E20" s="718" t="s">
        <v>277</v>
      </c>
      <c r="F20" s="718" t="s">
        <v>277</v>
      </c>
      <c r="G20" s="718" t="s">
        <v>277</v>
      </c>
      <c r="H20" s="827"/>
      <c r="I20" s="810"/>
      <c r="N20" s="254"/>
      <c r="O20" s="254"/>
      <c r="P20" s="259" t="s">
        <v>289</v>
      </c>
      <c r="Q20" s="239" t="s">
        <v>287</v>
      </c>
      <c r="R20" s="259" t="s">
        <v>29</v>
      </c>
      <c r="S20" s="246">
        <f>IF(IEC_5=1,D_2..1,IF(IEC_5=2,D_2..1*0.001,IF(IEC_5=3,D_2..1*0.0254,"INVALID")))</f>
        <v>0.15239999999999998</v>
      </c>
      <c r="T20" s="246">
        <f>IF(IEC_5=1,D_2..1,IF(IEC_5=2,D_2..1*0.001,IF(IEC_5=3,D_2..1*0.0254,"INVALID")))</f>
        <v>0.15239999999999998</v>
      </c>
      <c r="U20" s="246">
        <f>IF(IEC_5=1,D_2..1,IF(IEC_5=2,D_2..1*0.001,IF(IEC_5=3,D_2..1*0.0254,"INVALID")))</f>
        <v>0.15239999999999998</v>
      </c>
      <c r="V20" s="246">
        <f>IF(IEC_5=1,D_2..1,IF(IEC_5=2,D_2..1*0.001,IF(IEC_5=3,D_2..1*0.0254,"INVALID")))</f>
        <v>0.15239999999999998</v>
      </c>
      <c r="X20" s="243"/>
      <c r="Z20" s="243"/>
      <c r="AA20" s="246"/>
    </row>
    <row r="21" spans="1:29" ht="12.45" customHeight="1" x14ac:dyDescent="0.25">
      <c r="A21" s="820" t="s">
        <v>288</v>
      </c>
      <c r="B21" s="821" t="str">
        <f>IF(IEC_5=1,"m",IF(IEC_5=2,"mm",IF(IEC_5=3,"inch","INVALID")))</f>
        <v>inch</v>
      </c>
      <c r="C21" s="812" t="s">
        <v>286</v>
      </c>
      <c r="D21" s="716">
        <f>T_S</f>
        <v>0.28000000000000003</v>
      </c>
      <c r="E21" s="718" t="s">
        <v>277</v>
      </c>
      <c r="F21" s="718" t="s">
        <v>277</v>
      </c>
      <c r="G21" s="718" t="s">
        <v>277</v>
      </c>
      <c r="H21" s="827"/>
      <c r="I21" s="810"/>
      <c r="N21" s="254"/>
      <c r="O21" s="254"/>
      <c r="P21" s="259" t="s">
        <v>288</v>
      </c>
      <c r="Q21" s="239" t="s">
        <v>287</v>
      </c>
      <c r="R21" s="259" t="s">
        <v>286</v>
      </c>
      <c r="S21" s="246">
        <f>IF(IEC_5=1,T_S..1,IF(IEC_5=2,T_S..1*0.001,IF(IEC_5=3,T_S..1*0.0254,"INVALID")))</f>
        <v>7.1120000000000003E-3</v>
      </c>
      <c r="T21" s="246">
        <f>IF(IEC_5=1,T_S..1,IF(IEC_5=2,T_S..1*0.001,IF(IEC_5=3,T_S..1*0.0254,"INVALID")))</f>
        <v>7.1120000000000003E-3</v>
      </c>
      <c r="U21" s="246">
        <f>IF(IEC_5=1,T_S..1,IF(IEC_5=2,T_S..1*0.001,IF(IEC_5=3,T_S..1*0.0254,"INVALID")))</f>
        <v>7.1120000000000003E-3</v>
      </c>
      <c r="V21" s="246">
        <f>IF(IEC_5=1,T_S..1,IF(IEC_5=2,T_S..1*0.001,IF(IEC_5=3,T_S..1*0.0254,"INVALID")))</f>
        <v>7.1120000000000003E-3</v>
      </c>
      <c r="X21" s="267"/>
      <c r="Z21" s="243"/>
      <c r="AA21" s="257"/>
    </row>
    <row r="22" spans="1:29" ht="12.45" customHeight="1" x14ac:dyDescent="0.3">
      <c r="A22" s="820"/>
      <c r="B22" s="829"/>
      <c r="C22" s="812"/>
      <c r="D22" s="716"/>
      <c r="E22" s="718"/>
      <c r="F22" s="718"/>
      <c r="G22" s="718"/>
      <c r="H22" s="827"/>
      <c r="I22" s="810"/>
      <c r="N22" s="254"/>
      <c r="O22" s="254"/>
      <c r="P22" s="259" t="s">
        <v>285</v>
      </c>
      <c r="Q22" s="239" t="s">
        <v>275</v>
      </c>
      <c r="R22" s="259" t="s">
        <v>284</v>
      </c>
      <c r="S22" s="260">
        <v>5000</v>
      </c>
      <c r="T22" s="260">
        <v>5000</v>
      </c>
      <c r="U22" s="260">
        <v>5000</v>
      </c>
      <c r="V22" s="260">
        <v>5000</v>
      </c>
      <c r="X22" s="243"/>
      <c r="Y22" s="266"/>
      <c r="Z22" s="243"/>
      <c r="AA22" s="265"/>
    </row>
    <row r="23" spans="1:29" ht="14.4" x14ac:dyDescent="0.3">
      <c r="A23" s="820"/>
      <c r="B23" s="829"/>
      <c r="C23" s="812"/>
      <c r="D23" s="716"/>
      <c r="E23" s="718"/>
      <c r="F23" s="718"/>
      <c r="G23" s="718"/>
      <c r="H23" s="827"/>
      <c r="I23" s="810"/>
      <c r="N23" s="254"/>
      <c r="O23" s="254"/>
      <c r="P23" s="259" t="s">
        <v>283</v>
      </c>
      <c r="Q23" s="239" t="s">
        <v>282</v>
      </c>
      <c r="R23" s="259" t="s">
        <v>281</v>
      </c>
      <c r="S23" s="264">
        <v>8000</v>
      </c>
      <c r="T23" s="264">
        <v>8000</v>
      </c>
      <c r="U23" s="264">
        <v>8000</v>
      </c>
      <c r="V23" s="264">
        <v>8000</v>
      </c>
      <c r="X23" s="243"/>
      <c r="Z23" s="243"/>
      <c r="AA23" s="246"/>
    </row>
    <row r="24" spans="1:29" ht="12.45" customHeight="1" x14ac:dyDescent="0.35">
      <c r="A24" s="263" t="s">
        <v>280</v>
      </c>
      <c r="B24" s="812"/>
      <c r="C24" s="812" t="s">
        <v>278</v>
      </c>
      <c r="D24" s="716">
        <f>BETA</f>
        <v>0.75</v>
      </c>
      <c r="E24" s="718" t="s">
        <v>277</v>
      </c>
      <c r="F24" s="718" t="s">
        <v>277</v>
      </c>
      <c r="G24" s="718" t="s">
        <v>277</v>
      </c>
      <c r="H24" s="827"/>
      <c r="I24" s="810"/>
      <c r="N24" s="254"/>
      <c r="O24" s="254"/>
      <c r="P24" s="262" t="s">
        <v>279</v>
      </c>
      <c r="R24" s="259" t="s">
        <v>278</v>
      </c>
      <c r="S24" s="258">
        <f>BETA..1</f>
        <v>0.75</v>
      </c>
      <c r="T24" s="258">
        <f>BETA..1</f>
        <v>0.75</v>
      </c>
      <c r="U24" s="258">
        <f>BETA..1</f>
        <v>0.75</v>
      </c>
      <c r="V24" s="258">
        <f>BETA..1</f>
        <v>0.75</v>
      </c>
      <c r="X24" s="261"/>
      <c r="AA24" s="240"/>
    </row>
    <row r="25" spans="1:29" x14ac:dyDescent="0.25">
      <c r="A25" s="830" t="s">
        <v>273</v>
      </c>
      <c r="B25" s="269" t="str">
        <f>IF(IEC_2=1,"Pa",IF(IEC_2=2,"kPa",IF(IEC_2=3,"bar",IF(IEC_2=4,"psiA","INVALID"))))</f>
        <v>psiA</v>
      </c>
      <c r="C25" s="716" t="s">
        <v>272</v>
      </c>
      <c r="D25" s="716">
        <f>p_a</f>
        <v>14.696</v>
      </c>
      <c r="E25" s="718" t="s">
        <v>277</v>
      </c>
      <c r="F25" s="718" t="s">
        <v>277</v>
      </c>
      <c r="G25" s="718" t="s">
        <v>277</v>
      </c>
      <c r="H25" s="827"/>
      <c r="I25" s="810"/>
      <c r="N25" s="254"/>
      <c r="O25" s="254"/>
      <c r="P25" s="259" t="s">
        <v>276</v>
      </c>
      <c r="Q25" s="239" t="s">
        <v>275</v>
      </c>
      <c r="R25" s="259" t="s">
        <v>274</v>
      </c>
      <c r="S25" s="260">
        <v>343</v>
      </c>
      <c r="T25" s="260">
        <v>343</v>
      </c>
      <c r="U25" s="260">
        <v>343</v>
      </c>
      <c r="V25" s="260">
        <v>343</v>
      </c>
      <c r="X25" s="247"/>
      <c r="AA25" s="240"/>
    </row>
    <row r="26" spans="1:29" x14ac:dyDescent="0.25">
      <c r="A26" s="831"/>
      <c r="B26" s="812"/>
      <c r="C26" s="812"/>
      <c r="D26" s="812"/>
      <c r="E26" s="812"/>
      <c r="F26" s="812"/>
      <c r="G26" s="832"/>
      <c r="H26" s="810"/>
      <c r="I26" s="810"/>
      <c r="N26" s="254"/>
      <c r="P26" s="239" t="s">
        <v>273</v>
      </c>
      <c r="Q26" s="239" t="s">
        <v>211</v>
      </c>
      <c r="R26" s="259" t="s">
        <v>272</v>
      </c>
      <c r="S26" s="258">
        <f>IF(IEC_2=1,p_a..1,IF(IEC_2=2,p_a..1*1000,IF(IEC_2=3,p_a..1*100000,IF(IEC_2=4,p_a..1*6894.7573,"INVALID"))))</f>
        <v>101325.3532808</v>
      </c>
      <c r="T26" s="258">
        <f>IF(IEC_2=1,p_a..1,IF(IEC_2=2,p_a..1*1000,IF(IEC_2=3,p_a..1*100000,IF(IEC_2=4,p_a..1*6894.7573,"INVALID"))))</f>
        <v>101325.3532808</v>
      </c>
      <c r="U26" s="258">
        <f>IF(IEC_2=1,p_a..1,IF(IEC_2=2,p_a..1*1000,IF(IEC_2=3,p_a..1*100000,IF(IEC_2=4,p_a..1*6894.7573,"INVALID"))))</f>
        <v>101325.3532808</v>
      </c>
      <c r="V26" s="258">
        <f>IF(IEC_2=1,p_a..1,IF(IEC_2=2,p_a..1*1000,IF(IEC_2=3,p_a..1*100000,IF(IEC_2=4,p_a..1*6894.7573,"INVALID"))))</f>
        <v>101325.3532808</v>
      </c>
      <c r="W26" s="244"/>
      <c r="Z26" s="243"/>
      <c r="AA26" s="257"/>
    </row>
    <row r="27" spans="1:29" x14ac:dyDescent="0.25">
      <c r="A27" s="263"/>
      <c r="B27" s="833"/>
      <c r="C27" s="812"/>
      <c r="D27" s="812"/>
      <c r="E27" s="812"/>
      <c r="F27" s="812"/>
      <c r="G27" s="812"/>
      <c r="H27" s="827"/>
      <c r="I27" s="810"/>
      <c r="N27" s="254"/>
      <c r="O27" s="254"/>
      <c r="P27" s="250"/>
      <c r="Z27" s="243"/>
      <c r="AA27" s="256"/>
      <c r="AB27" s="255"/>
      <c r="AC27" s="244"/>
    </row>
    <row r="28" spans="1:29" x14ac:dyDescent="0.25">
      <c r="A28" s="263"/>
      <c r="B28" s="833"/>
      <c r="C28" s="812"/>
      <c r="D28" s="812"/>
      <c r="E28" s="812"/>
      <c r="F28" s="812"/>
      <c r="G28" s="832"/>
      <c r="H28" s="827"/>
      <c r="I28" s="810"/>
      <c r="N28" s="254"/>
      <c r="O28" s="254"/>
      <c r="P28" s="242" t="s">
        <v>271</v>
      </c>
      <c r="Z28" s="243"/>
      <c r="AA28" s="253"/>
    </row>
    <row r="29" spans="1:29" ht="14.4" x14ac:dyDescent="0.25">
      <c r="A29" s="820"/>
      <c r="B29" s="812"/>
      <c r="C29" s="812"/>
      <c r="D29" s="812"/>
      <c r="E29" s="812"/>
      <c r="F29" s="812"/>
      <c r="G29" s="832"/>
      <c r="H29" s="810"/>
      <c r="I29" s="810"/>
      <c r="P29" s="252" t="s">
        <v>270</v>
      </c>
      <c r="R29" s="239" t="s">
        <v>269</v>
      </c>
      <c r="S29" s="251">
        <f>(IF(REF_T=1,RHO_air_kg_m3_15,IF(REF_T=2,RHO_air_kg_m3_0,0))*Q_S..1*(M_..S/28.97))/3600</f>
        <v>10.844041000000001</v>
      </c>
      <c r="T29" s="251">
        <f>(IF(REF_T=1,RHO_air_kg_m3_15,IF(REF_T=2,RHO_air_kg_m3_0,0))*Q_S..2*(T9/28.97))/3600</f>
        <v>31.870515000000001</v>
      </c>
      <c r="U29" s="251">
        <f>(IF(REF_T=1,RHO_air_kg_m3_15,IF(REF_T=2,RHO_air_kg_m3_0,0))*Q_S..3*(U9/28.97))/3600</f>
        <v>62.925591333333337</v>
      </c>
      <c r="V29" s="251">
        <f>(IF(REF_T=1,RHO_air_kg_m3_15,IF(REF_T=2,RHO_air_kg_m3_0,0))*Q_S..4*(V9/28.97))/3600</f>
        <v>80.452417666666662</v>
      </c>
      <c r="Z29" s="243"/>
      <c r="AA29" s="240"/>
    </row>
    <row r="30" spans="1:29" ht="14.4" x14ac:dyDescent="0.25">
      <c r="A30" s="820"/>
      <c r="B30" s="812"/>
      <c r="C30" s="812"/>
      <c r="D30" s="821" t="s">
        <v>266</v>
      </c>
      <c r="E30" s="821"/>
      <c r="F30" s="834"/>
      <c r="G30" s="832"/>
      <c r="H30" s="810"/>
      <c r="I30" s="810"/>
      <c r="P30" s="239" t="s">
        <v>268</v>
      </c>
      <c r="R30" s="239" t="s">
        <v>267</v>
      </c>
      <c r="S30" s="251">
        <f>(IF(REF_T=1,RHO_air_lb_ft3_15,IF(REF_T=2,RHO_air_lb_ft3_0,0))*Q_S..1*(M_..S/28.97))*0.000126</f>
        <v>0.30712745699999999</v>
      </c>
      <c r="T30" s="251">
        <f>(IF(REF_T=1,RHO_air_lb_ft3_15,IF(REF_T=2,RHO_air_lb_ft3_0,0))*Q_S..2*(T9/28.97))*0.000126</f>
        <v>0.90264415499999995</v>
      </c>
      <c r="U30" s="251">
        <f>(IF(REF_T=1,RHO_air_lb_ft3_15,IF(REF_T=2,RHO_air_lb_ft3_0,0))*Q_S..3*(U9/28.97))*0.000126</f>
        <v>1.7821932659999999</v>
      </c>
      <c r="V30" s="251">
        <f>(IF(REF_T=1,RHO_air_lb_ft3_15,IF(REF_T=2,RHO_air_lb_ft3_0,0))*Q_S..4*(V9/28.97))*0.000126</f>
        <v>2.278592127</v>
      </c>
      <c r="Z30" s="243"/>
      <c r="AA30" s="250"/>
    </row>
    <row r="31" spans="1:29" x14ac:dyDescent="0.25">
      <c r="A31" s="820"/>
      <c r="B31" s="812"/>
      <c r="C31" s="812"/>
      <c r="D31" s="812"/>
      <c r="E31" s="812"/>
      <c r="F31" s="834"/>
      <c r="G31" s="832"/>
      <c r="H31" s="810"/>
      <c r="I31" s="810"/>
      <c r="P31" s="249"/>
      <c r="Z31" s="243"/>
      <c r="AA31" s="240"/>
    </row>
    <row r="32" spans="1:29" ht="13.8" thickBot="1" x14ac:dyDescent="0.3">
      <c r="A32" s="835"/>
      <c r="B32" s="836"/>
      <c r="C32" s="836"/>
      <c r="D32" s="836"/>
      <c r="E32" s="836"/>
      <c r="F32" s="836"/>
      <c r="G32" s="837"/>
      <c r="H32" s="810"/>
      <c r="I32" s="810"/>
      <c r="Z32" s="243"/>
      <c r="AA32" s="240"/>
    </row>
    <row r="33" spans="1:27" ht="10.95" customHeight="1" thickTop="1" x14ac:dyDescent="0.25">
      <c r="A33" s="810"/>
      <c r="B33" s="810"/>
      <c r="C33" s="810"/>
      <c r="D33" s="489"/>
      <c r="E33" s="489"/>
      <c r="F33" s="810"/>
      <c r="G33" s="810"/>
      <c r="H33" s="810"/>
      <c r="I33" s="810"/>
      <c r="Z33" s="243"/>
      <c r="AA33" s="240"/>
    </row>
    <row r="34" spans="1:27" ht="70.05" customHeight="1" x14ac:dyDescent="0.25">
      <c r="A34" s="838"/>
      <c r="B34" s="881"/>
      <c r="C34" s="881"/>
      <c r="D34" s="881"/>
      <c r="E34" s="881"/>
      <c r="F34" s="810"/>
      <c r="G34" s="810"/>
      <c r="H34" s="810"/>
      <c r="I34" s="810"/>
      <c r="P34" s="878" t="s">
        <v>265</v>
      </c>
      <c r="Q34" s="879"/>
      <c r="R34" s="879"/>
    </row>
    <row r="35" spans="1:27" ht="12.45" customHeight="1" x14ac:dyDescent="0.25">
      <c r="A35" s="810"/>
      <c r="B35" s="810"/>
      <c r="C35" s="810"/>
      <c r="D35" s="810"/>
      <c r="E35" s="810"/>
      <c r="F35" s="810"/>
      <c r="G35" s="810"/>
      <c r="H35" s="810"/>
      <c r="I35" s="810"/>
      <c r="P35" s="242" t="s">
        <v>264</v>
      </c>
      <c r="X35" s="247"/>
    </row>
    <row r="36" spans="1:27" ht="15.6" x14ac:dyDescent="0.25">
      <c r="A36" s="810" t="s">
        <v>724</v>
      </c>
      <c r="B36" s="810"/>
      <c r="C36" s="810"/>
      <c r="D36" s="810"/>
      <c r="E36" s="810"/>
      <c r="F36" s="810"/>
      <c r="G36" s="810"/>
      <c r="H36" s="810"/>
      <c r="I36" s="810"/>
      <c r="P36" s="239" t="s">
        <v>263</v>
      </c>
      <c r="R36" s="239" t="s">
        <v>262</v>
      </c>
      <c r="S36" s="246">
        <v>1.2252000000000001</v>
      </c>
      <c r="Z36" s="243"/>
      <c r="AA36" s="240"/>
    </row>
    <row r="37" spans="1:27" ht="15.6" x14ac:dyDescent="0.25">
      <c r="A37" s="839" t="s">
        <v>261</v>
      </c>
      <c r="B37" s="839" t="s">
        <v>260</v>
      </c>
      <c r="C37" s="840" t="s">
        <v>259</v>
      </c>
      <c r="D37" s="841" t="s">
        <v>258</v>
      </c>
      <c r="E37" s="810"/>
      <c r="F37" s="810"/>
      <c r="G37" s="810"/>
      <c r="H37" s="810"/>
      <c r="I37" s="810"/>
      <c r="P37" s="239" t="s">
        <v>257</v>
      </c>
      <c r="R37" s="239" t="s">
        <v>256</v>
      </c>
      <c r="S37" s="246">
        <v>1.2925</v>
      </c>
      <c r="Z37" s="243"/>
    </row>
    <row r="38" spans="1:27" ht="15.6" x14ac:dyDescent="0.25">
      <c r="A38" s="810"/>
      <c r="B38" s="810"/>
      <c r="C38" s="810"/>
      <c r="D38" s="810"/>
      <c r="E38" s="810"/>
      <c r="F38" s="810"/>
      <c r="G38" s="810"/>
      <c r="H38" s="810"/>
      <c r="I38" s="810"/>
      <c r="P38" s="239" t="s">
        <v>255</v>
      </c>
      <c r="R38" s="239" t="s">
        <v>254</v>
      </c>
      <c r="S38" s="239">
        <v>7.6499999999999999E-2</v>
      </c>
      <c r="Z38" s="243"/>
      <c r="AA38" s="245"/>
    </row>
    <row r="39" spans="1:27" ht="15.6" x14ac:dyDescent="0.25">
      <c r="A39" s="842" t="s">
        <v>253</v>
      </c>
      <c r="B39" s="810" t="s">
        <v>252</v>
      </c>
      <c r="C39" s="488">
        <f>IF('Valve Sizing'!B27=1,2,1)</f>
        <v>2</v>
      </c>
      <c r="D39" s="842" t="s">
        <v>251</v>
      </c>
      <c r="E39" s="810"/>
      <c r="F39" s="810"/>
      <c r="G39" s="810"/>
      <c r="H39" s="810"/>
      <c r="I39" s="810"/>
      <c r="P39" s="239" t="s">
        <v>250</v>
      </c>
      <c r="R39" s="239" t="s">
        <v>249</v>
      </c>
      <c r="S39" s="239">
        <v>8.0699999999999994E-2</v>
      </c>
      <c r="Z39" s="243"/>
      <c r="AA39" s="244"/>
    </row>
    <row r="40" spans="1:27" x14ac:dyDescent="0.25">
      <c r="A40" s="810" t="s">
        <v>248</v>
      </c>
      <c r="B40" s="810" t="s">
        <v>247</v>
      </c>
      <c r="C40" s="488">
        <f>IF(OR('Valve Sizing'!B27=3,'Valve Sizing'!B27=5),2,IF(OR('Valve Sizing'!B27=2,'Valve Sizing'!B27=4),3,4))</f>
        <v>4</v>
      </c>
      <c r="D40" s="810" t="s">
        <v>246</v>
      </c>
      <c r="E40" s="810"/>
      <c r="F40" s="810"/>
      <c r="G40" s="810"/>
      <c r="H40" s="810"/>
      <c r="I40" s="810"/>
      <c r="Z40" s="243"/>
      <c r="AA40" s="244"/>
    </row>
    <row r="41" spans="1:27" x14ac:dyDescent="0.25">
      <c r="A41" s="810" t="s">
        <v>245</v>
      </c>
      <c r="B41" s="810" t="s">
        <v>244</v>
      </c>
      <c r="C41" s="488">
        <f>IF('Valve Sizing'!B27=1,3,2)</f>
        <v>3</v>
      </c>
      <c r="D41" s="810" t="s">
        <v>243</v>
      </c>
      <c r="E41" s="810"/>
      <c r="F41" s="810"/>
      <c r="G41" s="810"/>
      <c r="H41" s="810"/>
      <c r="I41" s="810"/>
      <c r="Z41" s="243"/>
    </row>
    <row r="42" spans="1:27" ht="16.2" x14ac:dyDescent="0.25">
      <c r="A42" s="810" t="s">
        <v>242</v>
      </c>
      <c r="B42" s="810" t="s">
        <v>241</v>
      </c>
      <c r="C42" s="488">
        <f>IF('Valve Sizing'!B27=1,2,1)</f>
        <v>2</v>
      </c>
      <c r="D42" s="810" t="s">
        <v>240</v>
      </c>
      <c r="E42" s="810"/>
      <c r="F42" s="810"/>
      <c r="G42" s="810"/>
      <c r="H42" s="810"/>
      <c r="I42" s="810"/>
      <c r="P42" s="259" t="s">
        <v>539</v>
      </c>
    </row>
    <row r="43" spans="1:27" x14ac:dyDescent="0.25">
      <c r="A43" s="810" t="s">
        <v>239</v>
      </c>
      <c r="B43" s="810" t="s">
        <v>238</v>
      </c>
      <c r="C43" s="488">
        <f>IF('Valve Sizing'!B28=1,3,2)</f>
        <v>3</v>
      </c>
      <c r="D43" s="810" t="s">
        <v>237</v>
      </c>
      <c r="E43" s="810"/>
      <c r="F43" s="843"/>
      <c r="G43" s="810"/>
      <c r="H43" s="810"/>
      <c r="I43" s="810"/>
    </row>
    <row r="44" spans="1:27" ht="15.6" x14ac:dyDescent="0.25">
      <c r="A44" s="810" t="s">
        <v>236</v>
      </c>
      <c r="B44" s="810" t="s">
        <v>235</v>
      </c>
      <c r="C44" s="488">
        <f>IF(OR('Valve Sizing'!B27=4,'Valve Sizing'!B27=5),2,1)</f>
        <v>1</v>
      </c>
      <c r="D44" s="810" t="s">
        <v>234</v>
      </c>
      <c r="E44" s="810"/>
      <c r="F44" s="843"/>
      <c r="G44" s="810"/>
      <c r="H44" s="810"/>
      <c r="I44" s="810"/>
      <c r="AA44" s="240"/>
    </row>
    <row r="45" spans="1:27" x14ac:dyDescent="0.25">
      <c r="A45" s="810"/>
      <c r="B45" s="810"/>
      <c r="C45" s="489"/>
      <c r="D45" s="810"/>
      <c r="E45" s="810"/>
      <c r="F45" s="810"/>
      <c r="G45" s="810"/>
      <c r="H45" s="810"/>
      <c r="I45" s="810"/>
      <c r="AA45" s="240"/>
    </row>
    <row r="46" spans="1:27" x14ac:dyDescent="0.25">
      <c r="A46" s="810" t="s">
        <v>233</v>
      </c>
      <c r="B46" s="810" t="s">
        <v>232</v>
      </c>
      <c r="C46" s="488">
        <f>IF('Valve Sizing'!B29=1,1,2)</f>
        <v>1</v>
      </c>
      <c r="D46" s="810" t="s">
        <v>231</v>
      </c>
      <c r="E46" s="810"/>
      <c r="F46" s="810"/>
      <c r="G46" s="810"/>
      <c r="H46" s="810"/>
      <c r="I46" s="810"/>
      <c r="AA46" s="240"/>
    </row>
    <row r="47" spans="1:27" x14ac:dyDescent="0.25">
      <c r="A47" s="810"/>
      <c r="B47" s="810"/>
      <c r="C47" s="810"/>
      <c r="D47" s="810"/>
      <c r="E47" s="810"/>
      <c r="F47" s="810"/>
      <c r="G47" s="810"/>
      <c r="H47" s="810"/>
      <c r="I47" s="810"/>
      <c r="AA47" s="240"/>
    </row>
    <row r="48" spans="1:27" x14ac:dyDescent="0.25">
      <c r="A48" s="839" t="s">
        <v>230</v>
      </c>
      <c r="B48" s="810"/>
      <c r="C48" s="810"/>
      <c r="D48" s="810"/>
      <c r="E48" s="810"/>
      <c r="F48" s="810"/>
      <c r="G48" s="810"/>
      <c r="H48" s="810"/>
      <c r="I48" s="810"/>
      <c r="AA48" s="240"/>
    </row>
    <row r="49" spans="1:27" ht="14.4" x14ac:dyDescent="0.3">
      <c r="A49" s="810" t="s">
        <v>229</v>
      </c>
      <c r="B49" s="810"/>
      <c r="C49" s="844">
        <f>IF(IEC_6=1,0.0046,IF(IEC_6=2,0.0049,"INVALID"))</f>
        <v>4.5999999999999999E-3</v>
      </c>
      <c r="D49" s="810"/>
      <c r="E49" s="810"/>
      <c r="F49" s="810"/>
      <c r="G49" s="810"/>
      <c r="H49" s="810"/>
      <c r="I49" s="810"/>
      <c r="AA49" s="240"/>
    </row>
    <row r="50" spans="1:27" ht="14.4" x14ac:dyDescent="0.3">
      <c r="A50" s="810" t="s">
        <v>228</v>
      </c>
      <c r="B50" s="810"/>
      <c r="C50" s="844">
        <f>IF(IEC_6=1,48900,IF(IEC_6=2,42300,"INVALID"))</f>
        <v>48900</v>
      </c>
      <c r="D50" s="810"/>
      <c r="E50" s="810"/>
      <c r="F50" s="810"/>
      <c r="G50" s="810"/>
      <c r="H50" s="810"/>
      <c r="I50" s="810"/>
      <c r="AA50" s="240"/>
    </row>
    <row r="51" spans="1:27" x14ac:dyDescent="0.25">
      <c r="A51" s="810"/>
      <c r="B51" s="810"/>
      <c r="C51" s="810"/>
      <c r="D51" s="810"/>
      <c r="E51" s="810"/>
      <c r="F51" s="810"/>
      <c r="G51" s="810"/>
      <c r="H51" s="810"/>
      <c r="I51" s="810"/>
      <c r="AA51" s="240"/>
    </row>
    <row r="52" spans="1:27" x14ac:dyDescent="0.25">
      <c r="A52" s="839" t="s">
        <v>227</v>
      </c>
      <c r="B52" s="810" t="s">
        <v>226</v>
      </c>
      <c r="C52" s="810">
        <v>8314</v>
      </c>
      <c r="D52" s="810" t="s">
        <v>225</v>
      </c>
      <c r="E52" s="810"/>
      <c r="F52" s="810"/>
      <c r="G52" s="810"/>
      <c r="H52" s="810"/>
      <c r="I52" s="810"/>
      <c r="AA52" s="240"/>
    </row>
    <row r="53" spans="1:27" x14ac:dyDescent="0.25">
      <c r="A53" s="810"/>
      <c r="B53" s="810"/>
      <c r="C53" s="810"/>
      <c r="D53" s="810"/>
      <c r="E53" s="810"/>
      <c r="F53" s="810"/>
      <c r="G53" s="810"/>
      <c r="H53" s="810"/>
      <c r="I53" s="810"/>
      <c r="AA53" s="240"/>
    </row>
    <row r="54" spans="1:27" x14ac:dyDescent="0.25">
      <c r="A54" s="810"/>
      <c r="B54" s="810"/>
      <c r="C54" s="810"/>
      <c r="D54" s="810"/>
      <c r="E54" s="810"/>
      <c r="F54" s="810"/>
      <c r="G54" s="810"/>
      <c r="H54" s="810"/>
      <c r="I54" s="810"/>
      <c r="AA54" s="240"/>
    </row>
    <row r="55" spans="1:27" x14ac:dyDescent="0.25">
      <c r="A55" s="810"/>
      <c r="B55" s="845"/>
      <c r="C55" s="810"/>
      <c r="D55" s="810"/>
      <c r="E55" s="810"/>
      <c r="F55" s="810"/>
      <c r="G55" s="810"/>
      <c r="H55" s="810"/>
      <c r="I55" s="810"/>
      <c r="AA55" s="240"/>
    </row>
    <row r="56" spans="1:27" x14ac:dyDescent="0.25">
      <c r="A56" s="810"/>
      <c r="B56" s="845"/>
      <c r="C56" s="810"/>
      <c r="D56" s="810"/>
      <c r="E56" s="810"/>
      <c r="F56" s="810"/>
      <c r="G56" s="810"/>
      <c r="H56" s="810"/>
      <c r="I56" s="810"/>
      <c r="AA56" s="240"/>
    </row>
    <row r="57" spans="1:27" ht="10.050000000000001" customHeight="1" x14ac:dyDescent="0.25">
      <c r="A57" s="810"/>
      <c r="B57" s="846"/>
      <c r="C57" s="846"/>
      <c r="D57" s="846"/>
      <c r="E57" s="846"/>
      <c r="F57" s="810"/>
      <c r="G57" s="810"/>
      <c r="H57" s="810"/>
      <c r="I57" s="810"/>
      <c r="AA57" s="240"/>
    </row>
    <row r="58" spans="1:27" ht="14.4" x14ac:dyDescent="0.25">
      <c r="A58" s="810"/>
      <c r="B58" s="847"/>
      <c r="C58" s="847"/>
      <c r="D58" s="847"/>
      <c r="E58" s="847"/>
      <c r="F58" s="810"/>
      <c r="G58" s="810"/>
      <c r="H58" s="810"/>
      <c r="I58" s="810"/>
      <c r="AA58" s="240"/>
    </row>
    <row r="59" spans="1:27" x14ac:dyDescent="0.25">
      <c r="A59" s="810"/>
      <c r="B59" s="810"/>
      <c r="C59" s="810"/>
      <c r="D59" s="810"/>
      <c r="E59" s="810"/>
      <c r="F59" s="810"/>
      <c r="G59" s="810"/>
      <c r="H59" s="810"/>
      <c r="I59" s="810"/>
      <c r="AA59" s="240"/>
    </row>
    <row r="60" spans="1:27" x14ac:dyDescent="0.25">
      <c r="A60" s="810"/>
      <c r="B60" s="810"/>
      <c r="C60" s="810"/>
      <c r="D60" s="810"/>
      <c r="E60" s="810"/>
      <c r="F60" s="810"/>
      <c r="G60" s="810"/>
      <c r="H60" s="810"/>
      <c r="I60" s="810"/>
      <c r="AA60" s="240"/>
    </row>
    <row r="61" spans="1:27" x14ac:dyDescent="0.25">
      <c r="A61" s="810"/>
      <c r="B61" s="810"/>
      <c r="C61" s="810"/>
      <c r="D61" s="810"/>
      <c r="E61" s="810"/>
      <c r="F61" s="810"/>
      <c r="G61" s="810"/>
      <c r="H61" s="810"/>
      <c r="I61" s="810"/>
      <c r="AA61" s="240"/>
    </row>
    <row r="62" spans="1:27" x14ac:dyDescent="0.25">
      <c r="A62" s="810"/>
      <c r="B62" s="810"/>
      <c r="C62" s="810"/>
      <c r="D62" s="810"/>
      <c r="E62" s="810"/>
      <c r="F62" s="810"/>
      <c r="G62" s="810"/>
      <c r="H62" s="810"/>
      <c r="I62" s="810"/>
      <c r="AA62" s="240"/>
    </row>
    <row r="63" spans="1:27" x14ac:dyDescent="0.25">
      <c r="A63" s="810"/>
      <c r="B63" s="810"/>
      <c r="C63" s="810"/>
      <c r="D63" s="810"/>
      <c r="E63" s="810"/>
      <c r="F63" s="810"/>
      <c r="G63" s="810"/>
      <c r="H63" s="810"/>
      <c r="I63" s="810"/>
      <c r="AA63" s="240"/>
    </row>
    <row r="64" spans="1:27" x14ac:dyDescent="0.25">
      <c r="A64" s="810"/>
      <c r="B64" s="810"/>
      <c r="C64" s="810"/>
      <c r="D64" s="810"/>
      <c r="E64" s="810"/>
      <c r="F64" s="810"/>
      <c r="G64" s="810"/>
      <c r="H64" s="810"/>
      <c r="I64" s="810"/>
      <c r="AA64" s="240"/>
    </row>
    <row r="65" spans="1:27" x14ac:dyDescent="0.25">
      <c r="A65" s="810"/>
      <c r="B65" s="810"/>
      <c r="C65" s="810"/>
      <c r="D65" s="810"/>
      <c r="E65" s="810"/>
      <c r="F65" s="810"/>
      <c r="G65" s="810"/>
      <c r="H65" s="810"/>
      <c r="I65" s="810"/>
      <c r="AA65" s="240"/>
    </row>
    <row r="66" spans="1:27" x14ac:dyDescent="0.25">
      <c r="A66" s="810"/>
      <c r="B66" s="810"/>
      <c r="C66" s="810"/>
      <c r="D66" s="810"/>
      <c r="E66" s="810"/>
      <c r="F66" s="810"/>
      <c r="G66" s="810"/>
      <c r="H66" s="810"/>
      <c r="I66" s="810"/>
      <c r="AA66" s="240"/>
    </row>
    <row r="67" spans="1:27" x14ac:dyDescent="0.25">
      <c r="A67" s="810"/>
      <c r="B67" s="810"/>
      <c r="C67" s="810"/>
      <c r="D67" s="810"/>
      <c r="E67" s="810"/>
      <c r="F67" s="810"/>
      <c r="G67" s="810"/>
      <c r="H67" s="810"/>
      <c r="I67" s="810"/>
      <c r="AA67" s="240"/>
    </row>
    <row r="68" spans="1:27" x14ac:dyDescent="0.25">
      <c r="A68" s="810"/>
      <c r="B68" s="810"/>
      <c r="C68" s="810"/>
      <c r="D68" s="810"/>
      <c r="E68" s="810"/>
      <c r="F68" s="810"/>
      <c r="G68" s="810"/>
      <c r="H68" s="810"/>
      <c r="I68" s="810"/>
      <c r="AA68" s="240"/>
    </row>
    <row r="69" spans="1:27" x14ac:dyDescent="0.25">
      <c r="A69" s="810"/>
      <c r="B69" s="810"/>
      <c r="C69" s="810"/>
      <c r="D69" s="810"/>
      <c r="E69" s="810"/>
      <c r="F69" s="810"/>
      <c r="G69" s="810"/>
      <c r="H69" s="810"/>
      <c r="I69" s="810"/>
      <c r="AA69" s="240"/>
    </row>
    <row r="70" spans="1:27" x14ac:dyDescent="0.25">
      <c r="A70" s="810"/>
      <c r="B70" s="810"/>
      <c r="C70" s="810"/>
      <c r="D70" s="810"/>
      <c r="E70" s="810"/>
      <c r="F70" s="810"/>
      <c r="G70" s="810"/>
      <c r="H70" s="810"/>
      <c r="I70" s="810"/>
      <c r="AA70" s="240"/>
    </row>
    <row r="71" spans="1:27" x14ac:dyDescent="0.25">
      <c r="A71" s="810"/>
      <c r="B71" s="810"/>
      <c r="C71" s="810"/>
      <c r="D71" s="810"/>
      <c r="E71" s="810"/>
      <c r="F71" s="810"/>
      <c r="G71" s="810"/>
      <c r="H71" s="810"/>
      <c r="I71" s="810"/>
      <c r="AA71" s="240"/>
    </row>
    <row r="72" spans="1:27" x14ac:dyDescent="0.25">
      <c r="A72" s="810"/>
      <c r="B72" s="810"/>
      <c r="C72" s="810"/>
      <c r="D72" s="810"/>
      <c r="E72" s="810"/>
      <c r="F72" s="810"/>
      <c r="G72" s="810"/>
      <c r="H72" s="810"/>
      <c r="I72" s="810"/>
      <c r="AA72" s="240"/>
    </row>
    <row r="73" spans="1:27" x14ac:dyDescent="0.25">
      <c r="A73" s="810"/>
      <c r="B73" s="810"/>
      <c r="C73" s="810"/>
      <c r="D73" s="810"/>
      <c r="E73" s="810"/>
      <c r="F73" s="810"/>
      <c r="G73" s="810"/>
      <c r="H73" s="810"/>
      <c r="I73" s="810"/>
      <c r="AA73" s="240"/>
    </row>
    <row r="74" spans="1:27" x14ac:dyDescent="0.25">
      <c r="A74" s="810"/>
      <c r="B74" s="810"/>
      <c r="C74" s="810"/>
      <c r="D74" s="810"/>
      <c r="E74" s="810"/>
      <c r="F74" s="810"/>
      <c r="G74" s="810"/>
      <c r="H74" s="810"/>
      <c r="I74" s="810"/>
      <c r="AA74" s="240"/>
    </row>
    <row r="75" spans="1:27" x14ac:dyDescent="0.25">
      <c r="A75" s="810"/>
      <c r="B75" s="810"/>
      <c r="C75" s="810"/>
      <c r="D75" s="810"/>
      <c r="E75" s="810"/>
      <c r="F75" s="810"/>
      <c r="G75" s="810"/>
      <c r="H75" s="810"/>
      <c r="I75" s="810"/>
      <c r="AA75" s="240"/>
    </row>
    <row r="76" spans="1:27" x14ac:dyDescent="0.25">
      <c r="A76" s="810"/>
      <c r="B76" s="810"/>
      <c r="C76" s="810"/>
      <c r="D76" s="810"/>
      <c r="E76" s="810"/>
      <c r="F76" s="810"/>
      <c r="G76" s="810"/>
      <c r="H76" s="810"/>
      <c r="I76" s="810"/>
      <c r="AA76" s="240"/>
    </row>
    <row r="77" spans="1:27" x14ac:dyDescent="0.25">
      <c r="A77" s="810"/>
      <c r="B77" s="810"/>
      <c r="C77" s="810"/>
      <c r="D77" s="810"/>
      <c r="E77" s="810"/>
      <c r="F77" s="810"/>
      <c r="G77" s="810"/>
      <c r="H77" s="810"/>
      <c r="I77" s="810"/>
      <c r="AA77" s="240"/>
    </row>
    <row r="78" spans="1:27" x14ac:dyDescent="0.25">
      <c r="A78" s="810"/>
      <c r="B78" s="810"/>
      <c r="C78" s="810"/>
      <c r="D78" s="810"/>
      <c r="E78" s="810"/>
      <c r="F78" s="810"/>
      <c r="G78" s="810"/>
      <c r="H78" s="810"/>
      <c r="I78" s="810"/>
      <c r="AA78" s="240"/>
    </row>
    <row r="79" spans="1:27" x14ac:dyDescent="0.25">
      <c r="A79" s="810"/>
      <c r="B79" s="810"/>
      <c r="C79" s="810"/>
      <c r="D79" s="810"/>
      <c r="E79" s="810"/>
      <c r="F79" s="810"/>
      <c r="G79" s="810"/>
      <c r="H79" s="810"/>
      <c r="I79" s="810"/>
      <c r="AA79" s="240"/>
    </row>
    <row r="80" spans="1:27" x14ac:dyDescent="0.25">
      <c r="AA80" s="240"/>
    </row>
    <row r="81" spans="27:27" x14ac:dyDescent="0.25">
      <c r="AA81" s="240"/>
    </row>
    <row r="82" spans="27:27" x14ac:dyDescent="0.25">
      <c r="AA82" s="240"/>
    </row>
    <row r="83" spans="27:27" x14ac:dyDescent="0.25">
      <c r="AA83" s="240"/>
    </row>
    <row r="84" spans="27:27" x14ac:dyDescent="0.25">
      <c r="AA84" s="240"/>
    </row>
    <row r="85" spans="27:27" x14ac:dyDescent="0.25">
      <c r="AA85" s="240"/>
    </row>
    <row r="86" spans="27:27" x14ac:dyDescent="0.25">
      <c r="AA86" s="240"/>
    </row>
    <row r="87" spans="27:27" x14ac:dyDescent="0.25">
      <c r="AA87" s="240"/>
    </row>
    <row r="88" spans="27:27" x14ac:dyDescent="0.25">
      <c r="AA88" s="240"/>
    </row>
    <row r="89" spans="27:27" x14ac:dyDescent="0.25">
      <c r="AA89" s="240"/>
    </row>
    <row r="90" spans="27:27" x14ac:dyDescent="0.25">
      <c r="AA90" s="240"/>
    </row>
    <row r="91" spans="27:27" x14ac:dyDescent="0.25">
      <c r="AA91" s="240"/>
    </row>
    <row r="92" spans="27:27" x14ac:dyDescent="0.25">
      <c r="AA92" s="240"/>
    </row>
    <row r="93" spans="27:27" x14ac:dyDescent="0.25">
      <c r="AA93" s="240"/>
    </row>
    <row r="94" spans="27:27" x14ac:dyDescent="0.25">
      <c r="AA94" s="240"/>
    </row>
    <row r="95" spans="27:27" x14ac:dyDescent="0.25">
      <c r="AA95" s="240"/>
    </row>
    <row r="96" spans="27:27" x14ac:dyDescent="0.25">
      <c r="AA96" s="240"/>
    </row>
    <row r="97" spans="27:27" x14ac:dyDescent="0.25">
      <c r="AA97" s="240"/>
    </row>
    <row r="98" spans="27:27" x14ac:dyDescent="0.25">
      <c r="AA98" s="240"/>
    </row>
    <row r="99" spans="27:27" x14ac:dyDescent="0.25">
      <c r="AA99" s="240"/>
    </row>
    <row r="100" spans="27:27" x14ac:dyDescent="0.25">
      <c r="AA100" s="240"/>
    </row>
    <row r="101" spans="27:27" x14ac:dyDescent="0.25">
      <c r="AA101" s="240"/>
    </row>
    <row r="102" spans="27:27" x14ac:dyDescent="0.25">
      <c r="AA102" s="240"/>
    </row>
    <row r="103" spans="27:27" x14ac:dyDescent="0.25">
      <c r="AA103" s="240"/>
    </row>
    <row r="104" spans="27:27" x14ac:dyDescent="0.25">
      <c r="AA104" s="240"/>
    </row>
    <row r="105" spans="27:27" x14ac:dyDescent="0.25">
      <c r="AA105" s="240"/>
    </row>
    <row r="106" spans="27:27" x14ac:dyDescent="0.25">
      <c r="AA106" s="240"/>
    </row>
    <row r="107" spans="27:27" x14ac:dyDescent="0.25">
      <c r="AA107" s="240"/>
    </row>
    <row r="108" spans="27:27" x14ac:dyDescent="0.25">
      <c r="AA108" s="240"/>
    </row>
    <row r="109" spans="27:27" x14ac:dyDescent="0.25">
      <c r="AA109" s="240"/>
    </row>
    <row r="110" spans="27:27" x14ac:dyDescent="0.25">
      <c r="AA110" s="240"/>
    </row>
    <row r="111" spans="27:27" x14ac:dyDescent="0.25">
      <c r="AA111" s="240"/>
    </row>
    <row r="112" spans="27:27" x14ac:dyDescent="0.25">
      <c r="AA112" s="240"/>
    </row>
    <row r="113" spans="27:27" x14ac:dyDescent="0.25">
      <c r="AA113" s="240"/>
    </row>
    <row r="114" spans="27:27" x14ac:dyDescent="0.25">
      <c r="AA114" s="240"/>
    </row>
    <row r="115" spans="27:27" x14ac:dyDescent="0.25">
      <c r="AA115" s="240"/>
    </row>
    <row r="116" spans="27:27" x14ac:dyDescent="0.25">
      <c r="AA116" s="240"/>
    </row>
    <row r="117" spans="27:27" x14ac:dyDescent="0.25">
      <c r="AA117" s="240"/>
    </row>
    <row r="118" spans="27:27" x14ac:dyDescent="0.25">
      <c r="AA118" s="240"/>
    </row>
    <row r="119" spans="27:27" x14ac:dyDescent="0.25">
      <c r="AA119" s="240"/>
    </row>
    <row r="120" spans="27:27" x14ac:dyDescent="0.25">
      <c r="AA120" s="240"/>
    </row>
    <row r="121" spans="27:27" x14ac:dyDescent="0.25">
      <c r="AA121" s="240"/>
    </row>
    <row r="122" spans="27:27" x14ac:dyDescent="0.25">
      <c r="AA122" s="240"/>
    </row>
    <row r="123" spans="27:27" x14ac:dyDescent="0.25">
      <c r="AA123" s="240"/>
    </row>
    <row r="124" spans="27:27" x14ac:dyDescent="0.25">
      <c r="AA124" s="240"/>
    </row>
    <row r="125" spans="27:27" x14ac:dyDescent="0.25">
      <c r="AA125" s="240"/>
    </row>
    <row r="126" spans="27:27" x14ac:dyDescent="0.25">
      <c r="AA126" s="240"/>
    </row>
    <row r="127" spans="27:27" x14ac:dyDescent="0.25">
      <c r="AA127" s="240"/>
    </row>
    <row r="128" spans="27:27" x14ac:dyDescent="0.25">
      <c r="AA128" s="240"/>
    </row>
    <row r="129" spans="27:27" x14ac:dyDescent="0.25">
      <c r="AA129" s="240"/>
    </row>
    <row r="130" spans="27:27" x14ac:dyDescent="0.25">
      <c r="AA130" s="240"/>
    </row>
    <row r="131" spans="27:27" x14ac:dyDescent="0.25">
      <c r="AA131" s="240"/>
    </row>
    <row r="132" spans="27:27" x14ac:dyDescent="0.25">
      <c r="AA132" s="240"/>
    </row>
    <row r="133" spans="27:27" x14ac:dyDescent="0.25">
      <c r="AA133" s="240"/>
    </row>
    <row r="134" spans="27:27" x14ac:dyDescent="0.25">
      <c r="AA134" s="240"/>
    </row>
    <row r="135" spans="27:27" x14ac:dyDescent="0.25">
      <c r="AA135" s="240"/>
    </row>
    <row r="136" spans="27:27" x14ac:dyDescent="0.25">
      <c r="AA136" s="240"/>
    </row>
    <row r="137" spans="27:27" x14ac:dyDescent="0.25">
      <c r="AA137" s="240"/>
    </row>
    <row r="138" spans="27:27" x14ac:dyDescent="0.25">
      <c r="AA138" s="240"/>
    </row>
    <row r="139" spans="27:27" x14ac:dyDescent="0.25">
      <c r="AA139" s="240"/>
    </row>
    <row r="140" spans="27:27" x14ac:dyDescent="0.25">
      <c r="AA140" s="240"/>
    </row>
    <row r="141" spans="27:27" x14ac:dyDescent="0.25">
      <c r="AA141" s="240"/>
    </row>
    <row r="142" spans="27:27" x14ac:dyDescent="0.25">
      <c r="AA142" s="240"/>
    </row>
    <row r="143" spans="27:27" x14ac:dyDescent="0.25">
      <c r="AA143" s="240"/>
    </row>
    <row r="144" spans="27:27" x14ac:dyDescent="0.25">
      <c r="AA144" s="240"/>
    </row>
    <row r="145" spans="27:27" x14ac:dyDescent="0.25">
      <c r="AA145" s="240"/>
    </row>
    <row r="146" spans="27:27" x14ac:dyDescent="0.25">
      <c r="AA146" s="240"/>
    </row>
    <row r="147" spans="27:27" x14ac:dyDescent="0.25">
      <c r="AA147" s="240"/>
    </row>
    <row r="148" spans="27:27" x14ac:dyDescent="0.25">
      <c r="AA148" s="240"/>
    </row>
    <row r="149" spans="27:27" x14ac:dyDescent="0.25">
      <c r="AA149" s="240"/>
    </row>
    <row r="150" spans="27:27" x14ac:dyDescent="0.25">
      <c r="AA150" s="240"/>
    </row>
    <row r="151" spans="27:27" x14ac:dyDescent="0.25">
      <c r="AA151" s="240"/>
    </row>
    <row r="152" spans="27:27" x14ac:dyDescent="0.25">
      <c r="AA152" s="240"/>
    </row>
    <row r="153" spans="27:27" x14ac:dyDescent="0.25">
      <c r="AA153" s="240"/>
    </row>
    <row r="154" spans="27:27" x14ac:dyDescent="0.25">
      <c r="AA154" s="240"/>
    </row>
    <row r="155" spans="27:27" x14ac:dyDescent="0.25">
      <c r="AA155" s="240"/>
    </row>
    <row r="156" spans="27:27" x14ac:dyDescent="0.25">
      <c r="AA156" s="240"/>
    </row>
    <row r="157" spans="27:27" x14ac:dyDescent="0.25">
      <c r="AA157" s="240"/>
    </row>
    <row r="158" spans="27:27" x14ac:dyDescent="0.25">
      <c r="AA158" s="240"/>
    </row>
    <row r="159" spans="27:27" x14ac:dyDescent="0.25">
      <c r="AA159" s="240"/>
    </row>
    <row r="160" spans="27:27" x14ac:dyDescent="0.25">
      <c r="AA160" s="240"/>
    </row>
    <row r="161" spans="27:27" x14ac:dyDescent="0.25">
      <c r="AA161" s="240"/>
    </row>
    <row r="162" spans="27:27" x14ac:dyDescent="0.25">
      <c r="AA162" s="240"/>
    </row>
  </sheetData>
  <sheetProtection sheet="1" objects="1" scenarios="1"/>
  <mergeCells count="4">
    <mergeCell ref="P34:R34"/>
    <mergeCell ref="N1:N2"/>
    <mergeCell ref="B34:E34"/>
    <mergeCell ref="I1:I4"/>
  </mergeCells>
  <pageMargins left="0.7" right="0.7" top="0.75" bottom="0.75" header="0.3" footer="0.3"/>
  <pageSetup scale="78" orientation="landscape" r:id="rId1"/>
  <colBreaks count="1" manualBreakCount="1">
    <brk id="7" max="1048575" man="1"/>
  </col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13BB9-8B94-4684-A992-6E31AA9DA977}">
  <dimension ref="A1:V420"/>
  <sheetViews>
    <sheetView zoomScale="80" zoomScaleNormal="80" workbookViewId="0">
      <selection activeCell="A2" sqref="A2"/>
    </sheetView>
  </sheetViews>
  <sheetFormatPr defaultColWidth="8.77734375" defaultRowHeight="13.2" x14ac:dyDescent="0.25"/>
  <cols>
    <col min="1" max="1" width="37.6640625" style="239" customWidth="1"/>
    <col min="2" max="2" width="10.6640625" style="239" customWidth="1"/>
    <col min="3" max="3" width="9.44140625" style="239" customWidth="1"/>
    <col min="4" max="4" width="9.88671875" style="239" customWidth="1"/>
    <col min="5" max="5" width="11.33203125" style="239" bestFit="1" customWidth="1"/>
    <col min="6" max="6" width="10.88671875" style="239" customWidth="1"/>
    <col min="7" max="7" width="12.5546875" style="397" customWidth="1"/>
    <col min="8" max="8" width="58.21875" style="239" customWidth="1"/>
    <col min="9" max="9" width="7.44140625" style="239" customWidth="1"/>
    <col min="10" max="10" width="27.77734375" style="239" customWidth="1"/>
    <col min="11" max="14" width="15.44140625" style="239" customWidth="1"/>
    <col min="15" max="15" width="8.77734375" style="239"/>
    <col min="16" max="16" width="12.77734375" style="239" bestFit="1" customWidth="1"/>
    <col min="17" max="19" width="8.77734375" style="239"/>
    <col min="20" max="20" width="8.77734375" style="239" customWidth="1"/>
    <col min="21" max="16384" width="8.77734375" style="239"/>
  </cols>
  <sheetData>
    <row r="1" spans="1:22" ht="18" x14ac:dyDescent="0.35">
      <c r="A1" s="886" t="s">
        <v>525</v>
      </c>
      <c r="B1" s="879"/>
      <c r="C1" s="879"/>
      <c r="D1" s="286"/>
      <c r="E1" s="285"/>
      <c r="F1" s="285"/>
      <c r="G1" s="389"/>
      <c r="H1" s="426"/>
      <c r="I1" s="285"/>
      <c r="J1" s="285"/>
      <c r="K1" s="285"/>
      <c r="L1" s="285"/>
      <c r="M1" s="285"/>
      <c r="N1" s="285"/>
      <c r="O1" s="285"/>
      <c r="P1" s="285"/>
      <c r="Q1" s="285"/>
      <c r="R1" s="285"/>
      <c r="S1" s="285"/>
      <c r="T1" s="285"/>
      <c r="U1" s="285"/>
      <c r="V1" s="285"/>
    </row>
    <row r="2" spans="1:22" ht="14.4" x14ac:dyDescent="0.3">
      <c r="A2" s="472" t="s">
        <v>582</v>
      </c>
      <c r="B2" s="285"/>
      <c r="C2" s="286"/>
      <c r="D2" s="285"/>
      <c r="F2" s="285"/>
      <c r="G2" s="389"/>
      <c r="H2" s="285"/>
      <c r="I2" s="285"/>
      <c r="J2" s="285"/>
      <c r="K2" s="285"/>
      <c r="L2" s="285"/>
      <c r="M2" s="285"/>
      <c r="N2" s="285"/>
      <c r="O2" s="285"/>
      <c r="U2" s="285"/>
      <c r="V2" s="285"/>
    </row>
    <row r="3" spans="1:22" ht="14.4" x14ac:dyDescent="0.3">
      <c r="A3" s="884" t="s">
        <v>533</v>
      </c>
      <c r="B3" s="885"/>
      <c r="C3" s="885"/>
      <c r="D3" s="885"/>
      <c r="E3" s="885"/>
      <c r="F3" s="885"/>
      <c r="G3" s="885"/>
      <c r="H3" s="285"/>
      <c r="I3" s="285"/>
      <c r="J3" s="285"/>
      <c r="K3" s="285"/>
      <c r="L3" s="285"/>
      <c r="M3" s="285"/>
      <c r="N3" s="285"/>
      <c r="O3" s="285"/>
      <c r="U3" s="285"/>
      <c r="V3" s="285"/>
    </row>
    <row r="4" spans="1:22" ht="14.4" x14ac:dyDescent="0.3">
      <c r="A4" s="285"/>
      <c r="B4" s="285"/>
      <c r="C4" s="286"/>
      <c r="D4" s="285"/>
      <c r="F4" s="285"/>
      <c r="G4" s="389"/>
      <c r="H4" s="376" t="s">
        <v>1</v>
      </c>
      <c r="J4" s="375" t="s">
        <v>2</v>
      </c>
      <c r="L4" s="285"/>
      <c r="M4" s="285"/>
      <c r="N4" s="285"/>
      <c r="O4" s="285"/>
    </row>
    <row r="5" spans="1:22" ht="15" thickBot="1" x14ac:dyDescent="0.35">
      <c r="A5" s="289" t="s">
        <v>335</v>
      </c>
      <c r="B5" s="374" t="s">
        <v>333</v>
      </c>
      <c r="C5" s="373" t="s">
        <v>524</v>
      </c>
      <c r="D5" s="369" t="s">
        <v>217</v>
      </c>
      <c r="E5" s="369" t="s">
        <v>218</v>
      </c>
      <c r="F5" s="368" t="s">
        <v>219</v>
      </c>
      <c r="G5" s="390" t="s">
        <v>220</v>
      </c>
      <c r="H5" s="372" t="s">
        <v>522</v>
      </c>
      <c r="I5" s="371" t="s">
        <v>523</v>
      </c>
      <c r="J5" s="370" t="s">
        <v>522</v>
      </c>
      <c r="K5" s="369" t="s">
        <v>217</v>
      </c>
      <c r="L5" s="369" t="s">
        <v>218</v>
      </c>
      <c r="M5" s="368" t="s">
        <v>219</v>
      </c>
      <c r="N5" s="368" t="s">
        <v>220</v>
      </c>
      <c r="O5" s="285"/>
    </row>
    <row r="6" spans="1:22" ht="15" thickTop="1" x14ac:dyDescent="0.3">
      <c r="A6" s="259" t="s">
        <v>199</v>
      </c>
      <c r="B6" s="254" t="s">
        <v>328</v>
      </c>
      <c r="C6" s="367" t="s">
        <v>521</v>
      </c>
      <c r="D6" s="348">
        <f>m_dot..S</f>
        <v>0.30712745699999999</v>
      </c>
      <c r="E6" s="348">
        <f>'SPL Conv'!T4</f>
        <v>0.90264415499999995</v>
      </c>
      <c r="F6" s="348">
        <f>'SPL Conv'!U4</f>
        <v>1.7821932659999999</v>
      </c>
      <c r="G6" s="400">
        <f>'SPL Conv'!V4</f>
        <v>2.278592127</v>
      </c>
      <c r="I6" s="285"/>
      <c r="J6" s="285"/>
      <c r="O6" s="285"/>
    </row>
    <row r="7" spans="1:22" ht="14.4" x14ac:dyDescent="0.3">
      <c r="A7" s="262" t="s">
        <v>4</v>
      </c>
      <c r="B7" s="254" t="s">
        <v>211</v>
      </c>
      <c r="C7" s="353" t="s">
        <v>520</v>
      </c>
      <c r="D7" s="292">
        <f>P_1..S</f>
        <v>620528.15700000001</v>
      </c>
      <c r="E7" s="292">
        <f>'SPL Conv'!T5</f>
        <v>610875.49677999993</v>
      </c>
      <c r="F7" s="292">
        <f>'SPL Conv'!U5</f>
        <v>577091.18601000006</v>
      </c>
      <c r="G7" s="401">
        <f>'SPL Conv'!V5</f>
        <v>551580.58400000003</v>
      </c>
      <c r="H7" s="287" t="s">
        <v>519</v>
      </c>
      <c r="I7" s="285">
        <v>1</v>
      </c>
      <c r="J7" s="285" t="s">
        <v>10</v>
      </c>
      <c r="K7" s="303">
        <f>(P_1..D-P_2..D)/P_1..D</f>
        <v>0.33333333333333337</v>
      </c>
      <c r="L7" s="303">
        <f>(E7-E9)/E7</f>
        <v>0.32279909706546284</v>
      </c>
      <c r="M7" s="303">
        <f>(F7-F9)/F7</f>
        <v>0.28315412186379924</v>
      </c>
      <c r="N7" s="303">
        <f>(G7-G9)/G7</f>
        <v>0.25</v>
      </c>
      <c r="O7" s="288"/>
      <c r="P7" s="252"/>
    </row>
    <row r="8" spans="1:22" ht="14.4" x14ac:dyDescent="0.3">
      <c r="A8" s="259" t="s">
        <v>7</v>
      </c>
      <c r="B8" s="254" t="s">
        <v>213</v>
      </c>
      <c r="C8" s="351" t="s">
        <v>518</v>
      </c>
      <c r="D8" s="352">
        <f>T_1..S</f>
        <v>310.92777777777775</v>
      </c>
      <c r="E8" s="352">
        <f>'SPL Conv'!T6</f>
        <v>310.92777777777775</v>
      </c>
      <c r="F8" s="352">
        <f>'SPL Conv'!U6</f>
        <v>310.92777777777775</v>
      </c>
      <c r="G8" s="428">
        <f>'SPL Conv'!V6</f>
        <v>310.92777777777775</v>
      </c>
      <c r="H8" s="287" t="s">
        <v>517</v>
      </c>
      <c r="I8" s="346">
        <v>2</v>
      </c>
      <c r="J8" s="346" t="s">
        <v>516</v>
      </c>
      <c r="K8" s="366">
        <f>P_1..D*(1-(x_REN/((F_LP..D/F_P..D)^2)))</f>
        <v>378484.70345771726</v>
      </c>
      <c r="L8" s="366">
        <f>E7*(1-(L7/((E30/E31)^2)))</f>
        <v>362988.09727030958</v>
      </c>
      <c r="M8" s="366">
        <f>F7*(1-(M7/((F30/F31)^2)))</f>
        <v>341153.70152042987</v>
      </c>
      <c r="N8" s="366">
        <f>G7*(1-(N7/((G30/G31)^2)))</f>
        <v>328500.15361552709</v>
      </c>
      <c r="O8" s="288" t="s">
        <v>470</v>
      </c>
      <c r="P8" s="252"/>
    </row>
    <row r="9" spans="1:22" ht="14.4" x14ac:dyDescent="0.3">
      <c r="A9" s="259" t="s">
        <v>515</v>
      </c>
      <c r="B9" s="254" t="s">
        <v>211</v>
      </c>
      <c r="C9" s="248" t="s">
        <v>514</v>
      </c>
      <c r="D9" s="292">
        <f>P_1..S-DELTA_P..S</f>
        <v>413685.43799999997</v>
      </c>
      <c r="E9" s="292">
        <f>'SPL Conv'!T5-'SPL Conv'!T7</f>
        <v>413685.43799999991</v>
      </c>
      <c r="F9" s="292">
        <f>'SPL Conv'!U5-'SPL Conv'!U7</f>
        <v>413685.43800000008</v>
      </c>
      <c r="G9" s="401">
        <f>'SPL Conv'!V5-'SPL Conv'!V7</f>
        <v>413685.43800000002</v>
      </c>
      <c r="H9" s="287" t="s">
        <v>513</v>
      </c>
      <c r="I9" s="285">
        <v>3</v>
      </c>
      <c r="J9" s="285" t="s">
        <v>512</v>
      </c>
      <c r="K9" s="303">
        <f>1-(2/(GAMMA..D+1))^(GAMMA..D/(GAMMA..D-1))</f>
        <v>0.47171821228282584</v>
      </c>
      <c r="L9" s="303">
        <f>1-(2/(E12+1))^(E12/(E12-1))</f>
        <v>0.47171821228282584</v>
      </c>
      <c r="M9" s="303">
        <f>1-(2/(F12+1))^(F12/(F12-1))</f>
        <v>0.47171821228282584</v>
      </c>
      <c r="N9" s="303">
        <f>1-(2/(G12+1))^(G12/(G12-1))</f>
        <v>0.47171821228282584</v>
      </c>
      <c r="O9" s="288"/>
    </row>
    <row r="10" spans="1:22" ht="16.2" x14ac:dyDescent="0.3">
      <c r="A10" s="259" t="s">
        <v>321</v>
      </c>
      <c r="B10" s="254" t="s">
        <v>320</v>
      </c>
      <c r="C10" s="351" t="s">
        <v>511</v>
      </c>
      <c r="D10" s="348">
        <f>RHO_1..S</f>
        <v>6.9540922070739493</v>
      </c>
      <c r="E10" s="348">
        <f>'SPL Conv'!T8</f>
        <v>6.8459174394083533</v>
      </c>
      <c r="F10" s="348">
        <f>'SPL Conv'!U8</f>
        <v>6.4673057525787732</v>
      </c>
      <c r="G10" s="400">
        <f>'SPL Conv'!V8</f>
        <v>6.1814152951768442</v>
      </c>
      <c r="H10" s="287" t="s">
        <v>510</v>
      </c>
      <c r="I10" s="285">
        <v>4</v>
      </c>
      <c r="J10" s="285" t="s">
        <v>509</v>
      </c>
      <c r="K10" s="313">
        <f>(F_LP..D/F_P..D)^2*x_vcc..K</f>
        <v>0.40311554062896432</v>
      </c>
      <c r="L10" s="303">
        <f>(E30/E31)^2*L9</f>
        <v>0.37524352666425359</v>
      </c>
      <c r="M10" s="303">
        <f>(F30/F31)^2*M9</f>
        <v>0.32670292935763912</v>
      </c>
      <c r="N10" s="303">
        <f>(G30/G31)^2*N9</f>
        <v>0.29158833718175742</v>
      </c>
      <c r="O10" s="288"/>
    </row>
    <row r="11" spans="1:22" ht="15.45" customHeight="1" x14ac:dyDescent="0.3">
      <c r="A11" s="259" t="s">
        <v>208</v>
      </c>
      <c r="B11" s="254"/>
      <c r="C11" s="351" t="s">
        <v>508</v>
      </c>
      <c r="D11" s="285">
        <f>M_..S</f>
        <v>28.97</v>
      </c>
      <c r="E11" s="285">
        <f>'SPL Conv'!T9</f>
        <v>28.97</v>
      </c>
      <c r="F11" s="285">
        <f>'SPL Conv'!U9</f>
        <v>28.97</v>
      </c>
      <c r="G11" s="391">
        <f>'SPL Conv'!V9</f>
        <v>28.97</v>
      </c>
      <c r="H11" s="287" t="s">
        <v>507</v>
      </c>
      <c r="I11" s="285">
        <v>5</v>
      </c>
      <c r="J11" s="285" t="s">
        <v>506</v>
      </c>
      <c r="K11" s="303">
        <f>(1-x_vcc..K)/(1-x_c..K)</f>
        <v>0.88506540825983104</v>
      </c>
      <c r="L11" s="303">
        <f>(1-L9)/(1-L10)</f>
        <v>0.84558033452063741</v>
      </c>
      <c r="M11" s="303">
        <f>(1-M9)/(1-M10)</f>
        <v>0.78461916849447377</v>
      </c>
      <c r="N11" s="303">
        <f>(1-N9)/(1-N10)</f>
        <v>0.74572711806512926</v>
      </c>
      <c r="O11" s="288"/>
    </row>
    <row r="12" spans="1:22" ht="14.4" x14ac:dyDescent="0.3">
      <c r="A12" s="259" t="s">
        <v>505</v>
      </c>
      <c r="B12" s="254"/>
      <c r="C12" s="351" t="s">
        <v>504</v>
      </c>
      <c r="D12" s="285">
        <f>GAMMA..S</f>
        <v>1.4</v>
      </c>
      <c r="E12" s="285">
        <f>'SPL Conv'!T10</f>
        <v>1.4</v>
      </c>
      <c r="F12" s="285">
        <f>'SPL Conv'!U10</f>
        <v>1.4</v>
      </c>
      <c r="G12" s="391">
        <f>'SPL Conv'!V10</f>
        <v>1.4</v>
      </c>
      <c r="H12" s="287" t="s">
        <v>503</v>
      </c>
      <c r="I12" s="285">
        <v>6</v>
      </c>
      <c r="J12" s="285" t="s">
        <v>502</v>
      </c>
      <c r="K12" s="303">
        <f>1-1/ALPHA..K*(1/GAMMA..D)^(GAMMA..D/(GAMMA..D-1))</f>
        <v>0.65200219235814361</v>
      </c>
      <c r="L12" s="303">
        <f>1-1/L11*(1/E12)^(E12/(E12-1))</f>
        <v>0.63575214663823454</v>
      </c>
      <c r="M12" s="303">
        <f>1-1/M11*(1/F12)^(F12/(F12-1))</f>
        <v>0.60745182623430249</v>
      </c>
      <c r="N12" s="303">
        <f>1-1/N11*(1/G12)^(G12/(G12-1))</f>
        <v>0.58697918550527217</v>
      </c>
      <c r="O12" s="288"/>
    </row>
    <row r="13" spans="1:22" ht="14.4" x14ac:dyDescent="0.3">
      <c r="A13" s="365" t="s">
        <v>501</v>
      </c>
      <c r="B13" s="254"/>
      <c r="C13" s="353"/>
      <c r="D13" s="285"/>
      <c r="F13" s="285"/>
      <c r="G13" s="391"/>
      <c r="H13" s="321" t="s">
        <v>500</v>
      </c>
      <c r="I13" s="285">
        <v>7</v>
      </c>
      <c r="J13" s="285" t="s">
        <v>499</v>
      </c>
      <c r="K13" s="303">
        <f>1-1/(22*ALPHA..K)</f>
        <v>0.94864272738450395</v>
      </c>
      <c r="L13" s="303">
        <f>1-1/(22*L11)</f>
        <v>0.94624455702329713</v>
      </c>
      <c r="M13" s="303">
        <f>1-1/(22*M11)</f>
        <v>0.94206801556764974</v>
      </c>
      <c r="N13" s="303">
        <f>1-1/(22*N11)</f>
        <v>0.93904667759369909</v>
      </c>
      <c r="O13" s="288"/>
    </row>
    <row r="14" spans="1:22" ht="14.4" x14ac:dyDescent="0.3">
      <c r="A14" s="259" t="s">
        <v>498</v>
      </c>
      <c r="B14" s="268" t="str">
        <f>IF(IEC_6=1,"Cv",IF(IEC_6=2,"Kv","INVALID"))</f>
        <v>Cv</v>
      </c>
      <c r="C14" s="351" t="s">
        <v>497</v>
      </c>
      <c r="D14" s="359">
        <f>C_..S</f>
        <v>12.91938248122084</v>
      </c>
      <c r="E14" s="359">
        <f>'SPL Conv'!T12</f>
        <v>39.440483902801446</v>
      </c>
      <c r="F14" s="359">
        <f>'SPL Conv'!U12</f>
        <v>90.647576683611092</v>
      </c>
      <c r="G14" s="358">
        <f>'SPL Conv'!V12</f>
        <v>136.9873645357365</v>
      </c>
      <c r="H14" s="287" t="s">
        <v>496</v>
      </c>
      <c r="I14" s="285"/>
      <c r="J14" s="285" t="s">
        <v>495</v>
      </c>
      <c r="K14" s="316" t="str">
        <f>IF(x_REN&lt;=x_c..K,"Regime I",IF(x_REN&lt;=x_vcc..K,"Regime II",IF(x_REN&lt;=x_B..K,"Regime III",IF(x_REN&lt;=x_CE..K,"Regime IV","Regime V"))))</f>
        <v>Regime I</v>
      </c>
      <c r="L14" s="316" t="str">
        <f>IF(L7&lt;=L10,"Regime I",IF(L7&lt;=L9,"Regime II",IF(L7&lt;=L12,"Regime III",IF(L7&lt;=L13,"Regime IV","Regime V"))))</f>
        <v>Regime I</v>
      </c>
      <c r="M14" s="316" t="str">
        <f>IF(M7&lt;=M10,"Regime I",IF(M7&lt;=M9,"Regime II",IF(M7&lt;=M12,"Regime III",IF(M7&lt;=M13,"Regime IV","Regime V"))))</f>
        <v>Regime I</v>
      </c>
      <c r="N14" s="316" t="str">
        <f>IF(N7&lt;=N10,"Regime I",IF(N7&lt;=N9,"Regime II",IF(N7&lt;=N12,"Regime III",IF(N7&lt;=N13,"Regime IV","Regime V"))))</f>
        <v>Regime I</v>
      </c>
      <c r="O14" s="288"/>
    </row>
    <row r="15" spans="1:22" ht="14.4" x14ac:dyDescent="0.3">
      <c r="A15" s="259" t="s">
        <v>493</v>
      </c>
      <c r="B15" s="254"/>
      <c r="C15" s="364" t="s">
        <v>494</v>
      </c>
      <c r="D15" s="595">
        <f ca="1">F_D..S</f>
        <v>0.77394569140145397</v>
      </c>
      <c r="E15" s="595">
        <f ca="1">'SPL Conv'!T14</f>
        <v>0.8482425566769346</v>
      </c>
      <c r="F15" s="595">
        <f ca="1">'SPL Conv'!U14</f>
        <v>0.92140888005986676</v>
      </c>
      <c r="G15" s="596">
        <f ca="1">'SPL Conv'!V14</f>
        <v>0.95596761766213412</v>
      </c>
      <c r="H15" s="287" t="s">
        <v>493</v>
      </c>
      <c r="I15" s="363" t="s">
        <v>492</v>
      </c>
      <c r="J15" s="285" t="s">
        <v>491</v>
      </c>
      <c r="K15" s="303">
        <f ca="1">F_D..D</f>
        <v>0.77394569140145397</v>
      </c>
      <c r="L15" s="303">
        <f ca="1">E15</f>
        <v>0.8482425566769346</v>
      </c>
      <c r="M15" s="303">
        <f ca="1">F15</f>
        <v>0.92140888005986676</v>
      </c>
      <c r="N15" s="303">
        <f ca="1">G15</f>
        <v>0.95596761766213412</v>
      </c>
      <c r="O15" s="288"/>
    </row>
    <row r="16" spans="1:22" ht="14.4" x14ac:dyDescent="0.3">
      <c r="A16" s="259" t="s">
        <v>490</v>
      </c>
      <c r="B16" s="254"/>
      <c r="C16" s="351" t="s">
        <v>489</v>
      </c>
      <c r="D16" s="285">
        <f>A_ETA..S</f>
        <v>-3.6</v>
      </c>
      <c r="E16" s="285">
        <f>'SPL Conv'!T15</f>
        <v>-3.6</v>
      </c>
      <c r="F16" s="285">
        <f>'SPL Conv'!U15</f>
        <v>-3.6</v>
      </c>
      <c r="G16" s="391">
        <f>'SPL Conv'!V15</f>
        <v>-3.6</v>
      </c>
      <c r="H16" s="287" t="s">
        <v>488</v>
      </c>
      <c r="I16" s="285">
        <v>9</v>
      </c>
      <c r="J16" s="285" t="s">
        <v>487</v>
      </c>
      <c r="K16" s="362">
        <f ca="1">N14..D*F_d..K*SQRT(C_..D*F_LP..D/F_P..D)</f>
        <v>1.2303422011455848E-2</v>
      </c>
      <c r="L16" s="362">
        <f ca="1">E33*L15*SQRT(E14*E30/E31)</f>
        <v>2.3142306849207747E-2</v>
      </c>
      <c r="M16" s="362">
        <f ca="1">F33*M15*SQRT(F14*F30/F31)</f>
        <v>3.6813399216224556E-2</v>
      </c>
      <c r="N16" s="362">
        <f ca="1">G33*N15*SQRT(G14*G30/G31)</f>
        <v>4.5636585625981455E-2</v>
      </c>
      <c r="O16" s="288"/>
    </row>
    <row r="17" spans="1:15" ht="14.4" x14ac:dyDescent="0.3">
      <c r="A17" s="259" t="s">
        <v>486</v>
      </c>
      <c r="B17" s="254"/>
      <c r="C17" s="351" t="s">
        <v>485</v>
      </c>
      <c r="D17" s="285">
        <f>St_P..S</f>
        <v>0.3</v>
      </c>
      <c r="E17" s="285">
        <f>'SPL Conv'!T16</f>
        <v>0.3</v>
      </c>
      <c r="F17" s="285">
        <f>'SPL Conv'!U16</f>
        <v>0.3</v>
      </c>
      <c r="G17" s="391">
        <f>'SPL Conv'!V16</f>
        <v>0.3</v>
      </c>
      <c r="H17" s="287" t="s">
        <v>484</v>
      </c>
      <c r="I17" s="285" t="s">
        <v>450</v>
      </c>
      <c r="J17" s="285" t="s">
        <v>483</v>
      </c>
      <c r="K17" s="303">
        <f>IF(Regime..K="Regime I",SQRT((2/(GAMMA..D-1))*((1-x_REN/((F_LP..D/F_P..D)^2))^((1-GAMMA..D)/GAMMA..D)-1)),"Regime I only ")</f>
        <v>0.87097424666995227</v>
      </c>
      <c r="L17" s="303">
        <f>IF(L14="Regime I",SQRT((2/(E12-1))*((1-L7/((E30/E31)^2))^((1-E12)/E12)-1)),"Regime I only ")</f>
        <v>0.89540237403264089</v>
      </c>
      <c r="M17" s="303">
        <f>IF(M14="Regime I",SQRT((2/(F12-1))*((1-M7/((F30/F31)^2))^((1-F12)/F12)-1)),"Regime I only ")</f>
        <v>0.90015480464489483</v>
      </c>
      <c r="N17" s="303">
        <f>IF(N14="Regime I",SQRT((2/(G12-1))*((1-N7/((G30/G31)^2))^((1-G12)/G12)-1)),"Regime I only ")</f>
        <v>0.8932970777400624</v>
      </c>
      <c r="O17" s="288"/>
    </row>
    <row r="18" spans="1:15" ht="14.4" x14ac:dyDescent="0.3">
      <c r="A18" s="259" t="s">
        <v>482</v>
      </c>
      <c r="B18" s="254" t="s">
        <v>287</v>
      </c>
      <c r="C18" s="351" t="s">
        <v>481</v>
      </c>
      <c r="D18" s="352">
        <f>D_Vo..S</f>
        <v>7.619999999999999E-2</v>
      </c>
      <c r="E18" s="352">
        <f>'SPL Conv'!T18</f>
        <v>7.619999999999999E-2</v>
      </c>
      <c r="F18" s="352">
        <f>'SPL Conv'!U18</f>
        <v>7.619999999999999E-2</v>
      </c>
      <c r="G18" s="391">
        <f>'SPL Conv'!V18</f>
        <v>7.619999999999999E-2</v>
      </c>
      <c r="H18" s="361" t="s">
        <v>480</v>
      </c>
      <c r="I18" s="285" t="s">
        <v>450</v>
      </c>
      <c r="J18" s="285" t="s">
        <v>479</v>
      </c>
      <c r="K18" s="303" t="str">
        <f>IF(Regime..K="Regime I","Regimes II-IV only",IF(Regime..K="Regime V","Regimes II-IV only",SQRT(2/(GAMMA..D-1)*((1/(ALPHA..K*(1-x_REN)))^((GAMMA..D-1)/GAMMA..D)-1))))</f>
        <v>Regimes II-IV only</v>
      </c>
      <c r="L18" s="303" t="str">
        <f>IF(L14="Regime I","Regimes II-IV only",IF(L14="Regime V","Regimes II-IV only",SQRT(2/(E12-1)*((1/(L11*(1-L7)))^((E12-1)/E12)-1))))</f>
        <v>Regimes II-IV only</v>
      </c>
      <c r="M18" s="303" t="str">
        <f>IF(M14="Regime I","Regimes II-IV only",IF(M14="Regime V","Regimes II-IV only",SQRT(2/(F12-1)*((1/(M11*(1-M7)))^((F12-1)/F12)-1))))</f>
        <v>Regimes II-IV only</v>
      </c>
      <c r="N18" s="303" t="str">
        <f>IF(N14="Regime I","Regimes II-IV only",IF(N14="Regime V","Regimes II-IV only",SQRT(2/(G12-1)*((1/(N11*(1-N7)))^((G12-1)/G12)-1))))</f>
        <v>Regimes II-IV only</v>
      </c>
      <c r="O18" s="288"/>
    </row>
    <row r="19" spans="1:15" ht="14.4" x14ac:dyDescent="0.3">
      <c r="A19" s="259" t="s">
        <v>478</v>
      </c>
      <c r="B19" s="254" t="s">
        <v>287</v>
      </c>
      <c r="C19" s="351" t="s">
        <v>477</v>
      </c>
      <c r="D19" s="352">
        <f>D_2..S</f>
        <v>0.15239999999999998</v>
      </c>
      <c r="E19" s="352">
        <f>'SPL Conv'!T20</f>
        <v>0.15239999999999998</v>
      </c>
      <c r="F19" s="352">
        <f>'SPL Conv'!U20</f>
        <v>0.15239999999999998</v>
      </c>
      <c r="G19" s="391">
        <f>'SPL Conv'!V20</f>
        <v>0.15239999999999998</v>
      </c>
      <c r="H19" s="287" t="s">
        <v>476</v>
      </c>
      <c r="I19" s="285" t="s">
        <v>450</v>
      </c>
      <c r="J19" s="285" t="s">
        <v>475</v>
      </c>
      <c r="K19" s="303" t="str">
        <f>IF(Regime..K="Regime V",SQRT(2/(GAMMA..D-1)*(22^((GAMMA..D-1)/GAMMA..D)-1)),"Regime V only")</f>
        <v>Regime V only</v>
      </c>
      <c r="L19" s="303" t="str">
        <f>IF(L14="Regime V",SQRT(2/(E12-1)*(22^((E12-1)/E12)-1)),"Regime V only")</f>
        <v>Regime V only</v>
      </c>
      <c r="M19" s="303" t="str">
        <f>IF(M14="Regime V",SQRT(2/(F12-1)*(22^((F12-1)/F12)-1)),"Regime V only")</f>
        <v>Regime V only</v>
      </c>
      <c r="N19" s="303" t="str">
        <f>IF(N14="Regime V",SQRT(2/(G12-1)*(22^((G12-1)/G12)-1)),"Regime V only")</f>
        <v>Regime V only</v>
      </c>
      <c r="O19" s="288"/>
    </row>
    <row r="20" spans="1:15" ht="14.4" x14ac:dyDescent="0.3">
      <c r="A20" s="259"/>
      <c r="B20" s="254"/>
      <c r="C20" s="360"/>
      <c r="D20" s="285"/>
      <c r="F20" s="285"/>
      <c r="G20" s="391"/>
      <c r="H20" s="287" t="s">
        <v>474</v>
      </c>
      <c r="I20" s="285" t="s">
        <v>450</v>
      </c>
      <c r="J20" s="285" t="s">
        <v>473</v>
      </c>
      <c r="K20" s="306">
        <f>IF(Regime..K="Regime I",T_1..D*(1-x_REN/((F_LP..D/F_P..D)^2))^((GAMMA..D-1)/GAMMA..D),"Regime I only")</f>
        <v>269.96838318497157</v>
      </c>
      <c r="L20" s="306">
        <f>IF(L14="Regime I",E8*(1-L7/((E30/E31)^2))^((E12-1)/E12),"Regime I only")</f>
        <v>267.96054956632497</v>
      </c>
      <c r="M20" s="306">
        <f>IF(M14="Regime I",F8*(1-M7/((F30/F31)^2))^((F12-1)/F12),"Regime I only")</f>
        <v>267.56700952980594</v>
      </c>
      <c r="N20" s="306">
        <f>IF(N14="Regime I",G8*(1-N7/((G30/G31)^2))^((G12-1)/G12),"Regime I only")</f>
        <v>268.13458784178448</v>
      </c>
      <c r="O20" s="288"/>
    </row>
    <row r="21" spans="1:15" ht="14.4" x14ac:dyDescent="0.3">
      <c r="A21" s="254"/>
      <c r="B21" s="254"/>
      <c r="C21" s="360"/>
      <c r="D21" s="254"/>
      <c r="F21" s="285"/>
      <c r="G21" s="391"/>
      <c r="H21" s="287" t="s">
        <v>472</v>
      </c>
      <c r="I21" s="285" t="s">
        <v>450</v>
      </c>
      <c r="J21" s="285" t="s">
        <v>471</v>
      </c>
      <c r="K21" s="306" t="str">
        <f>IF(Regime..K="Regime I","Regimes II-V only",2*T_1..D/(GAMMA..D+1))</f>
        <v>Regimes II-V only</v>
      </c>
      <c r="L21" s="306" t="str">
        <f>IF(L14="Regime I","Regimes II-V only",2*E8/(E12+1))</f>
        <v>Regimes II-V only</v>
      </c>
      <c r="M21" s="306" t="str">
        <f>IF(M14="Regime I","Regimes II-V only",2*F8/(F12+1))</f>
        <v>Regimes II-V only</v>
      </c>
      <c r="N21" s="306" t="str">
        <f>IF(N14="Regime I","Regimes II-V only",2*G8/(G12+1))</f>
        <v>Regimes II-V only</v>
      </c>
      <c r="O21" s="288" t="s">
        <v>470</v>
      </c>
    </row>
    <row r="22" spans="1:15" ht="14.4" x14ac:dyDescent="0.3">
      <c r="A22" s="259" t="s">
        <v>469</v>
      </c>
      <c r="B22" s="254" t="s">
        <v>287</v>
      </c>
      <c r="C22" s="351" t="s">
        <v>468</v>
      </c>
      <c r="D22" s="359">
        <f>T_S..S</f>
        <v>7.1120000000000003E-3</v>
      </c>
      <c r="E22" s="359">
        <f>'SPL Conv'!T21</f>
        <v>7.1120000000000003E-3</v>
      </c>
      <c r="F22" s="359">
        <f>'SPL Conv'!U21</f>
        <v>7.1120000000000003E-3</v>
      </c>
      <c r="G22" s="391">
        <f>'SPL Conv'!V21</f>
        <v>7.1120000000000003E-3</v>
      </c>
      <c r="H22" s="287" t="s">
        <v>467</v>
      </c>
      <c r="I22" s="285" t="s">
        <v>450</v>
      </c>
      <c r="J22" s="285" t="s">
        <v>466</v>
      </c>
      <c r="K22" s="316">
        <f>IF(Regime..K="Regime I",SQRT(GAMMA..D*P_1..D/RHO_1..D*(1-x_REN/((F_LP..D/F_P..D)^2))^((GAMMA..D-1)/GAMMA..D)),"Regime I only")</f>
        <v>329.34512027225355</v>
      </c>
      <c r="L22" s="316">
        <f>IF(L14="Regime I",SQRT(E12*E7/E10*(1-L7/((E30/E31)^2))^((E12-1)/E12)),"Regime I only")</f>
        <v>328.11811675215404</v>
      </c>
      <c r="M22" s="316">
        <f>IF(M14="Regime I",SQRT(F12*F7/F10*(1-M7/((F30/F31)^2))^((F12-1)/F12)),"Regime I only")</f>
        <v>327.87708302256908</v>
      </c>
      <c r="N22" s="316">
        <f>IF(N14="Regime I",SQRT(G12*G7/G10*(1-N7/((G30/G31)^2))^((G12-1)/G12)),"Regime I only")</f>
        <v>328.22465452787964</v>
      </c>
      <c r="O22" s="288"/>
    </row>
    <row r="23" spans="1:15" ht="14.4" x14ac:dyDescent="0.3">
      <c r="A23" s="259" t="s">
        <v>465</v>
      </c>
      <c r="B23" s="254" t="s">
        <v>275</v>
      </c>
      <c r="C23" s="351" t="s">
        <v>464</v>
      </c>
      <c r="D23" s="292">
        <f>C_S..S</f>
        <v>5000</v>
      </c>
      <c r="E23" s="292">
        <f>'SPL Conv'!T22</f>
        <v>5000</v>
      </c>
      <c r="F23" s="292">
        <f>'SPL Conv'!U22</f>
        <v>5000</v>
      </c>
      <c r="G23" s="391">
        <f>'SPL Conv'!V22</f>
        <v>5000</v>
      </c>
      <c r="H23" s="287" t="s">
        <v>463</v>
      </c>
      <c r="I23" s="285" t="s">
        <v>450</v>
      </c>
      <c r="J23" s="285" t="s">
        <v>462</v>
      </c>
      <c r="K23" s="310" t="str">
        <f>IF(Regime..K="Regime I","Regimes II-V only",SQRT(2*GAMMA..D/(GAMMA..D+1)*P_1..D/RHO_1..D))</f>
        <v>Regimes II-V only</v>
      </c>
      <c r="L23" s="310" t="str">
        <f>IF(L14="Regime I","Regimes II-V only",SQRT(2*E12/(E12+1)*E7/E10))</f>
        <v>Regimes II-V only</v>
      </c>
      <c r="M23" s="310" t="str">
        <f>IF(M14="Regime I","Regimes II-V only",SQRT(2*F12/(F12+1)*F7/F10))</f>
        <v>Regimes II-V only</v>
      </c>
      <c r="N23" s="310" t="str">
        <f>IF(N14="Regime I","Regimes II-V only",SQRT(2*G12/(G12+1)*G7/G10))</f>
        <v>Regimes II-V only</v>
      </c>
      <c r="O23" s="288"/>
    </row>
    <row r="24" spans="1:15" ht="14.4" x14ac:dyDescent="0.3">
      <c r="A24" s="259" t="s">
        <v>461</v>
      </c>
      <c r="B24" s="254" t="s">
        <v>282</v>
      </c>
      <c r="C24" s="351" t="s">
        <v>460</v>
      </c>
      <c r="D24" s="292">
        <f>RHO_S..S</f>
        <v>8000</v>
      </c>
      <c r="E24" s="292">
        <f>'SPL Conv'!T23</f>
        <v>8000</v>
      </c>
      <c r="F24" s="292">
        <f>'SPL Conv'!U23</f>
        <v>8000</v>
      </c>
      <c r="G24" s="391">
        <f>'SPL Conv'!V23</f>
        <v>8000</v>
      </c>
      <c r="H24" s="287" t="s">
        <v>459</v>
      </c>
      <c r="I24" s="285" t="s">
        <v>450</v>
      </c>
      <c r="J24" s="285" t="s">
        <v>458</v>
      </c>
      <c r="K24" s="357">
        <f>IF(Regime..K="Regime I",(1*10^A_ETA..D)*(F_LP..D/F_P..D)^2*M_vc..K^3,IF(Regime..K="Regime II",1*10^A_ETA..D*x_REN/x_vcc..K*M_j..K^(6.6*(F_LP..D/F_P..D)^2),IF(Regime..K="Regime III",1*10^A_ETA..D*M_j..K^(6.6*(F_LP..D/F_P..D)^2),IF(Regime..K="Regime IV",1*10^A_ETA..D*M_j..K^2/2*(SQRT(2))^(6.6*(F_LP..D/F_P..D)^2),IF(Regime..K="Regime V",1*10^A_ETA..D*M_j5..K^2/2*(SQRT(2))^(6.6*(F_LP..D/D31)^2))))))</f>
        <v>1.4182828078798359E-4</v>
      </c>
      <c r="L24" s="357">
        <f>IF(L14="Regime I",(1*10^E16)*(E30/E31)^2*L17^3,IF(L14="Regime II",1*10^E16*L7/L9*L18^(6.6*(E30/E31)^2),IF(L14="Regime III",1*10^E16*L18^(6.6*(E30/E31)^2),IF(L14="Regime IV",1*10^E16*L18^2/2*(SQRT(2))^(6.6*(E30/E31)^2),IF(L14="Regime V",1*10^E16*L19^2/2*(SQRT(2))^(6.6*(E30/E31)^2))))))</f>
        <v>1.4344495861364458E-4</v>
      </c>
      <c r="M24" s="357">
        <f>IF(M14="Regime I",(1*10^F16)*(F30/F31)^2*M17^3,IF(M14="Regime II",1*10^F16*M7/M9*M18^(6.6*(F30/F31)^2),IF(M14="Regime III",1*10^F16*M18^(6.6*(F30/F31)^2),IF(M14="Regime IV",1*10^F16*M18^2/2*(SQRT(2))^(6.6*(F30/F31)^2),IF(M14="Regime V",1*10^F16*M19^2/2*(SQRT(2))^(6.6*(F30/F31)^2))))))</f>
        <v>1.2688842194943478E-4</v>
      </c>
      <c r="N24" s="357">
        <f>IF(N14="Regime I",(1*10^G16)*(G30/G31)^2*N17^3,IF(N14="Regime II",1*10^G16*N7/N9*N18^(6.6*(G30/G31)^2),IF(N14="Regime III",1*10^G16*N18^(6.6*(G30/G31)^2),IF(N14="Regime IV",1*10^G16*N18^2/2*(SQRT(2))^(6.6*(G30/G31)^2),IF(N14="Regime V",1*10^G16*N19^2/2*(SQRT(2))^(6.6*(G30/G31)^2))))))</f>
        <v>1.1068155323419629E-4</v>
      </c>
      <c r="O24" s="288"/>
    </row>
    <row r="25" spans="1:15" ht="14.4" x14ac:dyDescent="0.3">
      <c r="A25" s="356" t="s">
        <v>457</v>
      </c>
      <c r="B25" s="254"/>
      <c r="C25" s="351" t="s">
        <v>456</v>
      </c>
      <c r="D25" s="352">
        <f>BETA..S</f>
        <v>0.75</v>
      </c>
      <c r="E25" s="352">
        <f>'SPL Conv'!T24</f>
        <v>0.75</v>
      </c>
      <c r="F25" s="352">
        <f>'SPL Conv'!U24</f>
        <v>0.75</v>
      </c>
      <c r="G25" s="391">
        <f>'SPL Conv'!V24</f>
        <v>0.75</v>
      </c>
      <c r="H25" s="287" t="s">
        <v>455</v>
      </c>
      <c r="I25" s="285" t="s">
        <v>450</v>
      </c>
      <c r="J25" s="285" t="s">
        <v>454</v>
      </c>
      <c r="K25" s="294">
        <f ca="1">IF(Regime..K="Regime I",St_P..D*M_vc..K*c_vc..K/D_j..K,IF(Regime..K="Regime II",St_P..D*M_j..K*c_vcc/D_j..K,IF(Regime..K="Regime III",St_P..D*M_j..K*c_vcc/D_j..K,IF(Regime..K="Regime IV",1.4*St_P..D*c_vcc/(D_j..K*SQRT(M_j..K^2-1)),IF(Regime..K="Regime V",1.4*St_P..D*c_vcc/(D_j..K*SQRT(M_j5..K^2-1)))))))</f>
        <v>6994.4227977336877</v>
      </c>
      <c r="L25" s="294">
        <f ca="1">IF(L14="Regime I",E17*L17*L22/L16,IF(L14="Regime II",E17*L18*L23/L16,IF(L14="Regime III",E17*L18*L23/L16,IF(L14="Regime IV",1.4*E17*L23/(L16*SQRT(L18^2-1)),IF(L14="Regime V",1.4*E17*L23/(L16*SQRT(L19^2-1)))))))</f>
        <v>3808.5797922049742</v>
      </c>
      <c r="M25" s="294">
        <f ca="1">IF(M14="Regime I",F17*M17*M22/M16,IF(M14="Regime II",F17*M18*M23/M16,IF(M14="Regime III",F17*M18*M23/M16,IF(M14="Regime IV",1.4*F17*M23/(M16*SQRT(M18^2-1)),IF(M14="Regime V",1.4*F17*M23/(M16*SQRT(M19^2-1)))))))</f>
        <v>2405.1579416685045</v>
      </c>
      <c r="N25" s="294">
        <f ca="1">IF(N14="Regime I",G17*N17*N22/N16,IF(N14="Regime II",G17*N18*N23/N16,IF(N14="Regime III",G17*N18*N23/N16,IF(N14="Regime IV",1.4*G17*N23/(N16*SQRT(N18^2-1)),IF(N14="Regime V",1.4*G17*N23/(N16*SQRT(N19^2-1)))))))</f>
        <v>1927.4149503752942</v>
      </c>
      <c r="O25" s="355"/>
    </row>
    <row r="26" spans="1:15" ht="14.4" x14ac:dyDescent="0.3">
      <c r="A26" s="354" t="s">
        <v>453</v>
      </c>
      <c r="B26" s="341" t="s">
        <v>213</v>
      </c>
      <c r="C26" s="353" t="s">
        <v>452</v>
      </c>
      <c r="D26" s="254">
        <f>T_1..D</f>
        <v>310.92777777777775</v>
      </c>
      <c r="E26" s="239">
        <f>E8</f>
        <v>310.92777777777775</v>
      </c>
      <c r="F26" s="239">
        <f>F8</f>
        <v>310.92777777777775</v>
      </c>
      <c r="G26" s="429">
        <f>G8</f>
        <v>310.92777777777775</v>
      </c>
      <c r="H26" s="287" t="s">
        <v>451</v>
      </c>
      <c r="I26" s="285" t="s">
        <v>450</v>
      </c>
      <c r="J26" s="285" t="s">
        <v>449</v>
      </c>
      <c r="K26" s="294">
        <f>IF(Regime..K="Regime I",m_dot..D*(M_vc..K*c_vc..K)^2/2,m_dot..D*c_vcc^2/2)</f>
        <v>12635.770868496653</v>
      </c>
      <c r="L26" s="294">
        <f>IF(L14="Regime I",E6*(L17*L22)^2/2,E6*L23^2/2)</f>
        <v>38956.81851120849</v>
      </c>
      <c r="M26" s="294">
        <f>IF(M14="Regime I",F6*(M17*M22)^2/2,F6*M23^2/2)</f>
        <v>77621.375763630291</v>
      </c>
      <c r="N26" s="294">
        <f>IF(N14="Regime I",G6*(N17*N22)^2/2,G6*N23^2/2)</f>
        <v>97942.41832881562</v>
      </c>
      <c r="O26" s="288"/>
    </row>
    <row r="27" spans="1:15" ht="14.4" x14ac:dyDescent="0.3">
      <c r="A27" s="334" t="s">
        <v>448</v>
      </c>
      <c r="B27" s="341" t="s">
        <v>287</v>
      </c>
      <c r="C27" s="347" t="s">
        <v>447</v>
      </c>
      <c r="D27" s="352">
        <f>D_Vo..D</f>
        <v>7.619999999999999E-2</v>
      </c>
      <c r="E27" s="240">
        <f>E18</f>
        <v>7.619999999999999E-2</v>
      </c>
      <c r="F27" s="240">
        <f>F18</f>
        <v>7.619999999999999E-2</v>
      </c>
      <c r="G27" s="393">
        <f>G18</f>
        <v>7.619999999999999E-2</v>
      </c>
      <c r="H27" s="287" t="s">
        <v>446</v>
      </c>
      <c r="I27" s="285">
        <v>11</v>
      </c>
      <c r="J27" s="285" t="s">
        <v>445</v>
      </c>
      <c r="K27" s="303">
        <f>K24*W_m..K</f>
        <v>1.7921096587097665</v>
      </c>
      <c r="L27" s="310">
        <f>L24*L26</f>
        <v>5.5881592190595653</v>
      </c>
      <c r="M27" s="310">
        <f>M24*M26</f>
        <v>9.8492538801911511</v>
      </c>
      <c r="N27" s="294">
        <f>N24*N26</f>
        <v>10.840418988146729</v>
      </c>
      <c r="O27" s="288"/>
    </row>
    <row r="28" spans="1:15" ht="14.4" x14ac:dyDescent="0.3">
      <c r="A28" s="334" t="s">
        <v>444</v>
      </c>
      <c r="B28" s="341" t="s">
        <v>275</v>
      </c>
      <c r="C28" s="351" t="s">
        <v>443</v>
      </c>
      <c r="D28" s="292">
        <f>c_a..S</f>
        <v>343</v>
      </c>
      <c r="E28" s="292">
        <f>'SPL Conv'!T25</f>
        <v>343</v>
      </c>
      <c r="F28" s="292">
        <f>'SPL Conv'!U25</f>
        <v>343</v>
      </c>
      <c r="G28" s="391">
        <f>'SPL Conv'!V25</f>
        <v>343</v>
      </c>
      <c r="H28" s="287" t="s">
        <v>442</v>
      </c>
      <c r="I28" s="285">
        <v>13</v>
      </c>
      <c r="J28" s="285" t="s">
        <v>441</v>
      </c>
      <c r="K28" s="306">
        <f>RHO_1..D*P_2..D/P_1..D</f>
        <v>4.6360614713826322</v>
      </c>
      <c r="L28" s="306">
        <f>E10*E9/E7</f>
        <v>4.6360614713826314</v>
      </c>
      <c r="M28" s="306">
        <f>F10*F9/F7</f>
        <v>4.636061471382634</v>
      </c>
      <c r="N28" s="306">
        <f>G10*G9/G7</f>
        <v>4.6360614713826331</v>
      </c>
      <c r="O28" s="288"/>
    </row>
    <row r="29" spans="1:15" ht="14.4" x14ac:dyDescent="0.3">
      <c r="A29" s="334" t="s">
        <v>440</v>
      </c>
      <c r="B29" s="341" t="s">
        <v>211</v>
      </c>
      <c r="C29" s="351" t="s">
        <v>439</v>
      </c>
      <c r="D29" s="296">
        <f>p_a..S</f>
        <v>101325.3532808</v>
      </c>
      <c r="E29" s="296">
        <f>'SPL Conv'!T26</f>
        <v>101325.3532808</v>
      </c>
      <c r="F29" s="296">
        <f>'SPL Conv'!U26</f>
        <v>101325.3532808</v>
      </c>
      <c r="G29" s="296">
        <f>'SPL Conv'!V26</f>
        <v>101325.3532808</v>
      </c>
      <c r="H29" s="403" t="s">
        <v>438</v>
      </c>
      <c r="I29" s="285">
        <v>14</v>
      </c>
      <c r="J29" s="288" t="s">
        <v>437</v>
      </c>
      <c r="K29" s="306">
        <f>SQRT(GAMMA..D*R_..D*T_2..D/M_..D)</f>
        <v>353.44719694661234</v>
      </c>
      <c r="L29" s="306">
        <f>SQRT(E12*E32*E26/E11)</f>
        <v>353.44719694661234</v>
      </c>
      <c r="M29" s="306">
        <f>SQRT(F12*F32*F26/F11)</f>
        <v>353.44719694661234</v>
      </c>
      <c r="N29" s="306">
        <f>SQRT(G12*G32*G26/G11)</f>
        <v>353.44719694661234</v>
      </c>
      <c r="O29" s="288"/>
    </row>
    <row r="30" spans="1:15" ht="14.4" x14ac:dyDescent="0.3">
      <c r="A30" s="332" t="s">
        <v>436</v>
      </c>
      <c r="B30" s="341"/>
      <c r="C30" s="341" t="s">
        <v>435</v>
      </c>
      <c r="D30" s="350">
        <f>F_LP..AA</f>
        <v>0.92352787010660642</v>
      </c>
      <c r="E30" s="350">
        <f>'SPL Conv'!AB15</f>
        <v>0.88389481005265258</v>
      </c>
      <c r="F30" s="350">
        <f>'SPL Conv'!AC15</f>
        <v>0.79489809530482203</v>
      </c>
      <c r="G30" s="350">
        <f>'SPL Conv'!AD15</f>
        <v>0.71196927664157472</v>
      </c>
      <c r="H30" s="404" t="s">
        <v>434</v>
      </c>
      <c r="I30" s="329">
        <v>15</v>
      </c>
      <c r="J30" s="329" t="s">
        <v>433</v>
      </c>
      <c r="K30" s="349">
        <f>4*m_dot..D/(PI()*D_Vo..D^2*RHO_2..K*c_2..K)</f>
        <v>4.110030949072134E-2</v>
      </c>
      <c r="L30" s="349">
        <f>4*E6/(PI()*E18^2*L28*L29)</f>
        <v>0.12079334909640023</v>
      </c>
      <c r="M30" s="349">
        <f>4*F6/(PI()*F18^2*M28*M29)</f>
        <v>0.23849608081402968</v>
      </c>
      <c r="N30" s="349">
        <f>4*G6/(PI()*G18^2*N28*N29)</f>
        <v>0.30492500585130361</v>
      </c>
      <c r="O30" s="288"/>
    </row>
    <row r="31" spans="1:15" ht="14.4" x14ac:dyDescent="0.3">
      <c r="A31" s="332" t="s">
        <v>432</v>
      </c>
      <c r="B31" s="341"/>
      <c r="C31" s="341" t="s">
        <v>431</v>
      </c>
      <c r="D31" s="348">
        <f>F_P..AA</f>
        <v>0.99902546278633608</v>
      </c>
      <c r="E31" s="348">
        <f>'SPL Conv'!AB13</f>
        <v>0.99102657696564034</v>
      </c>
      <c r="F31" s="348">
        <f>'SPL Conv'!AC13</f>
        <v>0.95516030173088429</v>
      </c>
      <c r="G31" s="348">
        <f>'SPL Conv'!AD13</f>
        <v>0.90556056222244441</v>
      </c>
      <c r="H31" s="403" t="s">
        <v>430</v>
      </c>
      <c r="I31" s="285">
        <v>17</v>
      </c>
      <c r="J31" s="285" t="s">
        <v>429</v>
      </c>
      <c r="K31" s="306">
        <f>IF(4*m_dot..D/(PI()*D_2..D^2*RHO_2..K*c_2..K)&gt;0.3,0.3,4*m_dot..D/(PI()*D_2..D^2*RHO_2..K*c_2..K))</f>
        <v>1.0275077372680335E-2</v>
      </c>
      <c r="L31" s="306">
        <f>IF(4*E6/(PI()*E19^2*L28*L29)&gt;0.3,0.3,4*E6/(PI()*E19^2*L28*L29))</f>
        <v>3.0198337274100057E-2</v>
      </c>
      <c r="M31" s="306">
        <f>IF(4*F6/(PI()*F19^2*M28*M29)&gt;0.3,0.3,4*F6/(PI()*F19^2*M28*M29))</f>
        <v>5.9624020203507419E-2</v>
      </c>
      <c r="N31" s="306">
        <f>IF(4*G6/(PI()*G19^2*N28*N29)&gt;0.3,0.3,4*G6/(PI()*G19^2*N28*N29))</f>
        <v>7.6231251462825902E-2</v>
      </c>
      <c r="O31" s="288"/>
    </row>
    <row r="32" spans="1:15" ht="14.4" x14ac:dyDescent="0.3">
      <c r="A32" s="338" t="s">
        <v>227</v>
      </c>
      <c r="B32" s="341" t="s">
        <v>225</v>
      </c>
      <c r="C32" s="347" t="s">
        <v>428</v>
      </c>
      <c r="D32" s="346">
        <f>R_REN</f>
        <v>8314</v>
      </c>
      <c r="E32" s="346">
        <f>R_REN</f>
        <v>8314</v>
      </c>
      <c r="F32" s="346">
        <f>R_REN</f>
        <v>8314</v>
      </c>
      <c r="G32" s="392">
        <f>R_REN</f>
        <v>8314</v>
      </c>
      <c r="H32" s="287" t="s">
        <v>427</v>
      </c>
      <c r="I32" s="285">
        <v>16</v>
      </c>
      <c r="J32" s="285" t="s">
        <v>426</v>
      </c>
      <c r="K32" s="306">
        <f>16*LOG10(1/(1-M_2..K))</f>
        <v>7.1767895491295336E-2</v>
      </c>
      <c r="L32" s="306">
        <f>16*LOG10(1/(1-L31))</f>
        <v>0.21307320994466844</v>
      </c>
      <c r="M32" s="306">
        <f>16*LOG10(1/(1-M31))</f>
        <v>0.42717556275897617</v>
      </c>
      <c r="N32" s="306">
        <f>16*LOG10(1/(1-N31))</f>
        <v>0.5509877471259963</v>
      </c>
      <c r="O32" s="288"/>
    </row>
    <row r="33" spans="1:22" ht="14.4" x14ac:dyDescent="0.3">
      <c r="A33" s="345" t="s">
        <v>425</v>
      </c>
      <c r="B33" s="344"/>
      <c r="C33" s="343" t="s">
        <v>424</v>
      </c>
      <c r="D33" s="285">
        <f>N_14</f>
        <v>4.5999999999999999E-3</v>
      </c>
      <c r="E33" s="285">
        <f>N_14</f>
        <v>4.5999999999999999E-3</v>
      </c>
      <c r="F33" s="285">
        <f>N_14</f>
        <v>4.5999999999999999E-3</v>
      </c>
      <c r="G33" s="391">
        <f>N_14</f>
        <v>4.5999999999999999E-3</v>
      </c>
      <c r="H33" s="287" t="s">
        <v>423</v>
      </c>
      <c r="I33" s="285">
        <v>18</v>
      </c>
      <c r="J33" s="285" t="s">
        <v>422</v>
      </c>
      <c r="K33" s="310">
        <f>10*LOG10(3200000000*W_a..K*RHO_2..K*c_2..K/(D_2..D^2))+L_g..K</f>
        <v>146.14195141965945</v>
      </c>
      <c r="L33" s="310">
        <f>10*LOG10(3200000000*L27*L28*L29/(E19^2))+L32</f>
        <v>151.2222986454131</v>
      </c>
      <c r="M33" s="310">
        <f>10*LOG10(3200000000*M27*M28*M29/(F19^2))+M32</f>
        <v>153.89774660415185</v>
      </c>
      <c r="N33" s="310">
        <f>10*LOG10(3200000000*N27*N28*N29/(G19^2))+N32</f>
        <v>154.43798614874245</v>
      </c>
      <c r="O33" s="288"/>
    </row>
    <row r="34" spans="1:22" ht="14.4" x14ac:dyDescent="0.3">
      <c r="A34" s="332" t="s">
        <v>421</v>
      </c>
      <c r="B34" s="286"/>
      <c r="C34" s="331"/>
      <c r="D34" s="285">
        <f>N_16</f>
        <v>48900</v>
      </c>
      <c r="E34" s="285">
        <f>N_16</f>
        <v>48900</v>
      </c>
      <c r="F34" s="285">
        <f>N_16</f>
        <v>48900</v>
      </c>
      <c r="G34" s="391">
        <f>N_16</f>
        <v>48900</v>
      </c>
      <c r="H34" s="287" t="s">
        <v>420</v>
      </c>
      <c r="I34" s="285">
        <v>19</v>
      </c>
      <c r="J34" s="285" t="s">
        <v>419</v>
      </c>
      <c r="K34" s="310">
        <f ca="1">L_pi..K-8-10*LOG10((1+(VLOOKUP(1,Table_5,2,FALSE)/(2*f_p..K))^2.5)*(1+(f_p..K/(2*VLOOKUP(1,Table_5,2,FALSE)))^1.7))</f>
        <v>96.545848749089032</v>
      </c>
      <c r="L34" s="310">
        <f ca="1">L$33-8-10*LOG10((1+(VLOOKUP(1,Table_5,2,FALSE)/(2*L$25))^2.5)*(1+(L$25/(2*VLOOKUP(1,Table_5,2,FALSE)))^1.7))</f>
        <v>106.11346115223924</v>
      </c>
      <c r="M34" s="294">
        <f ca="1">M$33-8-10*LOG10((1+(VLOOKUP(1,Table_5,2,FALSE)/(2*M$25))^2.5)*(1+(M$25/(2*VLOOKUP(1,Table_5,2,FALSE)))^1.7))</f>
        <v>112.18143798177429</v>
      </c>
      <c r="N34" s="294">
        <f ca="1">N$33-8-10*LOG10((1+(VLOOKUP(1,Table_5,2,FALSE)/(2*N$25))^2.5)*(1+(N$25/(2*VLOOKUP(1,Table_5,2,FALSE)))^1.7))</f>
        <v>114.35569528473494</v>
      </c>
      <c r="O34" s="288"/>
      <c r="R34" s="289" t="s">
        <v>418</v>
      </c>
      <c r="S34" s="285"/>
      <c r="T34" s="285"/>
      <c r="U34" s="289" t="s">
        <v>417</v>
      </c>
      <c r="V34" s="285"/>
    </row>
    <row r="35" spans="1:22" ht="14.55" customHeight="1" x14ac:dyDescent="0.35">
      <c r="G35" s="394"/>
      <c r="H35" s="287" t="s">
        <v>416</v>
      </c>
      <c r="I35" s="285"/>
      <c r="J35" s="285">
        <v>2</v>
      </c>
      <c r="K35" s="294">
        <f t="shared" ref="K35:K66" ca="1" si="0">L_pi..K-8-10*LOG10((1+(VLOOKUP($J35,Table_5,2,FALSE)/(2*f_p..K))^2.5)*(1+(f_p..K/(2*VLOOKUP($J35,Table_5,2,FALSE)))^1.7))</f>
        <v>98.368261333538882</v>
      </c>
      <c r="L35" s="294">
        <f t="shared" ref="L35:N66" ca="1" si="1">L$33-8-10*LOG10((1+(VLOOKUP($J35,Table_5,2,FALSE)/(2*L$25))^2.5)*(1+(L$25/(2*VLOOKUP($J35,Table_5,2,FALSE)))^1.7))</f>
        <v>107.93558958655844</v>
      </c>
      <c r="M35" s="294">
        <f t="shared" ca="1" si="1"/>
        <v>114.00304387741481</v>
      </c>
      <c r="N35" s="294">
        <f t="shared" ca="1" si="1"/>
        <v>116.17686071709365</v>
      </c>
      <c r="O35" s="288"/>
      <c r="R35" s="342" t="s">
        <v>415</v>
      </c>
      <c r="S35" s="285"/>
      <c r="T35" s="285"/>
      <c r="U35" s="342" t="s">
        <v>414</v>
      </c>
      <c r="V35" s="285"/>
    </row>
    <row r="36" spans="1:22" ht="14.55" customHeight="1" x14ac:dyDescent="0.35">
      <c r="A36" s="334" t="s">
        <v>413</v>
      </c>
      <c r="B36" s="341" t="s">
        <v>412</v>
      </c>
      <c r="C36" s="341" t="s">
        <v>411</v>
      </c>
      <c r="D36" s="285">
        <v>1</v>
      </c>
      <c r="E36" s="239">
        <v>1</v>
      </c>
      <c r="F36" s="239">
        <v>1</v>
      </c>
      <c r="G36" s="391">
        <v>1</v>
      </c>
      <c r="H36" s="287"/>
      <c r="I36" s="285"/>
      <c r="J36" s="285">
        <v>3</v>
      </c>
      <c r="K36" s="294">
        <f t="shared" ca="1" si="0"/>
        <v>100.01552034800605</v>
      </c>
      <c r="L36" s="294">
        <f t="shared" ca="1" si="1"/>
        <v>109.58246610148612</v>
      </c>
      <c r="M36" s="294">
        <f t="shared" ca="1" si="1"/>
        <v>115.64921706618169</v>
      </c>
      <c r="N36" s="294">
        <f t="shared" ca="1" si="1"/>
        <v>117.82244114719794</v>
      </c>
      <c r="O36" s="288"/>
      <c r="R36" s="340" t="s">
        <v>410</v>
      </c>
      <c r="S36" s="340" t="s">
        <v>409</v>
      </c>
      <c r="T36" s="285"/>
      <c r="U36" s="340" t="s">
        <v>404</v>
      </c>
      <c r="V36" s="340"/>
    </row>
    <row r="37" spans="1:22" ht="14.55" customHeight="1" x14ac:dyDescent="0.4">
      <c r="A37" s="332" t="s">
        <v>408</v>
      </c>
      <c r="B37" s="341" t="s">
        <v>407</v>
      </c>
      <c r="C37" s="341" t="s">
        <v>406</v>
      </c>
      <c r="D37" s="285">
        <v>101325</v>
      </c>
      <c r="E37" s="285">
        <v>101325</v>
      </c>
      <c r="F37" s="285">
        <v>101325</v>
      </c>
      <c r="G37" s="391">
        <v>101325</v>
      </c>
      <c r="H37" s="287"/>
      <c r="I37" s="285"/>
      <c r="J37" s="285">
        <v>4</v>
      </c>
      <c r="K37" s="294">
        <f t="shared" ca="1" si="0"/>
        <v>101.66268190486505</v>
      </c>
      <c r="L37" s="294">
        <f t="shared" ca="1" si="1"/>
        <v>111.22906868275194</v>
      </c>
      <c r="M37" s="294">
        <f t="shared" ca="1" si="1"/>
        <v>117.29479200358476</v>
      </c>
      <c r="N37" s="294">
        <f t="shared" ca="1" si="1"/>
        <v>119.46715021226143</v>
      </c>
      <c r="O37" s="288"/>
      <c r="R37" s="340" t="s">
        <v>405</v>
      </c>
      <c r="S37" s="340" t="s">
        <v>404</v>
      </c>
      <c r="T37" s="285"/>
      <c r="U37" s="340" t="s">
        <v>403</v>
      </c>
      <c r="V37" s="339" t="s">
        <v>402</v>
      </c>
    </row>
    <row r="38" spans="1:22" ht="14.55" customHeight="1" x14ac:dyDescent="0.3">
      <c r="G38" s="394"/>
      <c r="H38" s="337"/>
      <c r="I38" s="285"/>
      <c r="J38" s="285">
        <v>5</v>
      </c>
      <c r="K38" s="294">
        <f t="shared" ca="1" si="0"/>
        <v>103.36851059246906</v>
      </c>
      <c r="L38" s="294">
        <f t="shared" ca="1" si="1"/>
        <v>112.93404525427468</v>
      </c>
      <c r="M38" s="294">
        <f t="shared" ca="1" si="1"/>
        <v>118.9982024765969</v>
      </c>
      <c r="N38" s="294">
        <f t="shared" ca="1" si="1"/>
        <v>121.16924166139145</v>
      </c>
      <c r="O38" s="288"/>
      <c r="R38" s="285">
        <v>1</v>
      </c>
      <c r="S38" s="285">
        <v>12.5</v>
      </c>
      <c r="T38" s="285"/>
      <c r="U38" s="285">
        <v>12.5</v>
      </c>
      <c r="V38" s="285">
        <v>-63.4</v>
      </c>
    </row>
    <row r="39" spans="1:22" ht="14.55" customHeight="1" x14ac:dyDescent="0.3">
      <c r="B39" s="887" t="s">
        <v>401</v>
      </c>
      <c r="C39" s="879"/>
      <c r="D39" s="879"/>
      <c r="G39" s="394"/>
      <c r="H39" s="337"/>
      <c r="I39" s="285"/>
      <c r="J39" s="285">
        <v>6</v>
      </c>
      <c r="K39" s="310">
        <f t="shared" ca="1" si="0"/>
        <v>105.13152537059605</v>
      </c>
      <c r="L39" s="310">
        <f t="shared" ca="1" si="1"/>
        <v>114.69574626946294</v>
      </c>
      <c r="M39" s="294">
        <f t="shared" ca="1" si="1"/>
        <v>120.75749014915218</v>
      </c>
      <c r="N39" s="294">
        <f t="shared" ca="1" si="1"/>
        <v>122.92649808244448</v>
      </c>
      <c r="O39" s="288"/>
      <c r="P39" s="285"/>
      <c r="Q39" s="285"/>
      <c r="R39" s="285">
        <v>2</v>
      </c>
      <c r="S39" s="285">
        <v>16</v>
      </c>
      <c r="T39" s="285"/>
      <c r="U39" s="285">
        <v>16</v>
      </c>
      <c r="V39" s="285">
        <v>-56.7</v>
      </c>
    </row>
    <row r="40" spans="1:22" ht="14.55" customHeight="1" x14ac:dyDescent="0.3">
      <c r="G40" s="394"/>
      <c r="H40" s="337"/>
      <c r="I40" s="285"/>
      <c r="J40" s="285">
        <v>7</v>
      </c>
      <c r="K40" s="294">
        <f t="shared" ca="1" si="0"/>
        <v>106.77799256159282</v>
      </c>
      <c r="L40" s="294">
        <f t="shared" ca="1" si="1"/>
        <v>116.34039812696216</v>
      </c>
      <c r="M40" s="294">
        <f t="shared" ca="1" si="1"/>
        <v>122.39880988761298</v>
      </c>
      <c r="N40" s="294">
        <f t="shared" ca="1" si="1"/>
        <v>124.56501606868189</v>
      </c>
      <c r="O40" s="288"/>
      <c r="P40" s="285"/>
      <c r="Q40" s="285"/>
      <c r="R40" s="285">
        <v>3</v>
      </c>
      <c r="S40" s="285">
        <v>20</v>
      </c>
      <c r="T40" s="285"/>
      <c r="U40" s="285">
        <v>20</v>
      </c>
      <c r="V40" s="285">
        <v>-50.5</v>
      </c>
    </row>
    <row r="41" spans="1:22" ht="14.55" customHeight="1" x14ac:dyDescent="0.3">
      <c r="A41" s="338"/>
      <c r="G41" s="395"/>
      <c r="H41" s="337"/>
      <c r="I41" s="285"/>
      <c r="J41" s="285">
        <v>8</v>
      </c>
      <c r="K41" s="294">
        <f t="shared" ca="1" si="0"/>
        <v>108.48276276540221</v>
      </c>
      <c r="L41" s="294">
        <f t="shared" ca="1" si="1"/>
        <v>118.04240244740555</v>
      </c>
      <c r="M41" s="294">
        <f t="shared" ca="1" si="1"/>
        <v>124.09574339963673</v>
      </c>
      <c r="N41" s="294">
        <f t="shared" ca="1" si="1"/>
        <v>126.2576923364777</v>
      </c>
      <c r="O41" s="288"/>
      <c r="P41" s="285"/>
      <c r="Q41" s="285"/>
      <c r="R41" s="285">
        <v>4</v>
      </c>
      <c r="S41" s="285">
        <v>25</v>
      </c>
      <c r="T41" s="285"/>
      <c r="U41" s="285">
        <v>25</v>
      </c>
      <c r="V41" s="285">
        <v>-44.7</v>
      </c>
    </row>
    <row r="42" spans="1:22" ht="14.55" customHeight="1" x14ac:dyDescent="0.3">
      <c r="A42" s="336"/>
      <c r="G42" s="396"/>
      <c r="H42" s="287"/>
      <c r="I42" s="285"/>
      <c r="J42" s="285">
        <v>9</v>
      </c>
      <c r="K42" s="294">
        <f t="shared" ca="1" si="0"/>
        <v>110.24414567548216</v>
      </c>
      <c r="L42" s="294">
        <f t="shared" ca="1" si="1"/>
        <v>119.79952473844057</v>
      </c>
      <c r="M42" s="294">
        <f t="shared" ca="1" si="1"/>
        <v>125.84506943579956</v>
      </c>
      <c r="N42" s="294">
        <f t="shared" ca="1" si="1"/>
        <v>128.00048848375135</v>
      </c>
      <c r="O42" s="288"/>
      <c r="Q42" s="285"/>
      <c r="R42" s="285">
        <v>5</v>
      </c>
      <c r="S42" s="285">
        <v>31.5</v>
      </c>
      <c r="T42" s="285"/>
      <c r="U42" s="285">
        <v>31.5</v>
      </c>
      <c r="V42" s="285">
        <v>-39.4</v>
      </c>
    </row>
    <row r="43" spans="1:22" ht="14.4" x14ac:dyDescent="0.3">
      <c r="A43" s="336"/>
      <c r="G43" s="396"/>
      <c r="H43" s="287"/>
      <c r="I43" s="285"/>
      <c r="J43" s="285">
        <v>10</v>
      </c>
      <c r="K43" s="294">
        <f t="shared" ca="1" si="0"/>
        <v>111.88835812363378</v>
      </c>
      <c r="L43" s="294">
        <f t="shared" ca="1" si="1"/>
        <v>121.43785780901571</v>
      </c>
      <c r="M43" s="294">
        <f t="shared" ca="1" si="1"/>
        <v>127.4726746485517</v>
      </c>
      <c r="N43" s="294">
        <f t="shared" ca="1" si="1"/>
        <v>129.61913957381844</v>
      </c>
      <c r="O43" s="288"/>
      <c r="P43" s="285"/>
      <c r="R43" s="285">
        <v>6</v>
      </c>
      <c r="S43" s="285">
        <v>40</v>
      </c>
      <c r="T43" s="285"/>
      <c r="U43" s="285">
        <v>40</v>
      </c>
      <c r="V43" s="285">
        <v>-34.6</v>
      </c>
    </row>
    <row r="44" spans="1:22" ht="14.4" x14ac:dyDescent="0.3">
      <c r="A44" s="336"/>
      <c r="G44" s="396"/>
      <c r="H44" s="287"/>
      <c r="I44" s="285"/>
      <c r="J44" s="285">
        <v>11</v>
      </c>
      <c r="K44" s="294">
        <f t="shared" ca="1" si="0"/>
        <v>113.53106975500637</v>
      </c>
      <c r="L44" s="294">
        <f t="shared" ca="1" si="1"/>
        <v>123.07199940650813</v>
      </c>
      <c r="M44" s="294">
        <f t="shared" ca="1" si="1"/>
        <v>129.09124314383152</v>
      </c>
      <c r="N44" s="294">
        <f t="shared" ca="1" si="1"/>
        <v>131.22477444627251</v>
      </c>
      <c r="O44" s="288"/>
      <c r="P44" s="285"/>
      <c r="R44" s="285">
        <v>7</v>
      </c>
      <c r="S44" s="285">
        <v>50</v>
      </c>
      <c r="T44" s="285"/>
      <c r="U44" s="285">
        <v>50</v>
      </c>
      <c r="V44" s="285">
        <v>-30.2</v>
      </c>
    </row>
    <row r="45" spans="1:22" ht="14.4" x14ac:dyDescent="0.3">
      <c r="G45" s="394"/>
      <c r="H45" s="287"/>
      <c r="I45" s="285"/>
      <c r="J45" s="285">
        <v>12</v>
      </c>
      <c r="K45" s="294">
        <f t="shared" ca="1" si="0"/>
        <v>115.34578564001701</v>
      </c>
      <c r="L45" s="294">
        <f t="shared" ca="1" si="1"/>
        <v>124.87261931423416</v>
      </c>
      <c r="M45" s="294">
        <f t="shared" ca="1" si="1"/>
        <v>130.86641540476779</v>
      </c>
      <c r="N45" s="294">
        <f t="shared" ca="1" si="1"/>
        <v>132.97897650414458</v>
      </c>
      <c r="O45" s="288"/>
      <c r="P45" s="285"/>
      <c r="R45" s="285">
        <v>8</v>
      </c>
      <c r="S45" s="285">
        <v>63</v>
      </c>
      <c r="T45" s="285"/>
      <c r="U45" s="285">
        <v>63</v>
      </c>
      <c r="V45" s="285">
        <v>-26.2</v>
      </c>
    </row>
    <row r="46" spans="1:22" ht="14.4" x14ac:dyDescent="0.3">
      <c r="G46" s="394"/>
      <c r="H46" s="287"/>
      <c r="I46" s="285"/>
      <c r="J46" s="285">
        <v>13</v>
      </c>
      <c r="K46" s="294">
        <f t="shared" ca="1" si="0"/>
        <v>116.98269919300176</v>
      </c>
      <c r="L46" s="294">
        <f t="shared" ca="1" si="1"/>
        <v>126.49068157465067</v>
      </c>
      <c r="M46" s="294">
        <f t="shared" ca="1" si="1"/>
        <v>132.45076874504778</v>
      </c>
      <c r="N46" s="294">
        <f t="shared" ca="1" si="1"/>
        <v>134.53586221972381</v>
      </c>
      <c r="O46" s="288"/>
      <c r="P46" s="285"/>
      <c r="Q46" s="285"/>
      <c r="R46" s="285">
        <v>9</v>
      </c>
      <c r="S46" s="285">
        <v>80</v>
      </c>
      <c r="T46" s="285"/>
      <c r="U46" s="285">
        <v>80</v>
      </c>
      <c r="V46" s="285">
        <v>-22.5</v>
      </c>
    </row>
    <row r="47" spans="1:22" ht="14.4" x14ac:dyDescent="0.3">
      <c r="A47" s="335"/>
      <c r="G47" s="396"/>
      <c r="H47" s="287"/>
      <c r="I47" s="285"/>
      <c r="J47" s="285">
        <v>14</v>
      </c>
      <c r="K47" s="294">
        <f t="shared" ca="1" si="0"/>
        <v>118.61477533116232</v>
      </c>
      <c r="L47" s="294">
        <f t="shared" ca="1" si="1"/>
        <v>128.09546798640821</v>
      </c>
      <c r="M47" s="294">
        <f t="shared" ca="1" si="1"/>
        <v>134.00740385784408</v>
      </c>
      <c r="N47" s="294">
        <f t="shared" ca="1" si="1"/>
        <v>136.05386107312199</v>
      </c>
      <c r="O47" s="288"/>
      <c r="P47" s="285"/>
      <c r="Q47" s="285"/>
      <c r="R47" s="285">
        <v>10</v>
      </c>
      <c r="S47" s="285">
        <v>100</v>
      </c>
      <c r="T47" s="285"/>
      <c r="U47" s="285">
        <v>100</v>
      </c>
      <c r="V47" s="285">
        <v>-19.100000000000001</v>
      </c>
    </row>
    <row r="48" spans="1:22" ht="14.4" x14ac:dyDescent="0.3">
      <c r="A48" s="334"/>
      <c r="G48" s="396"/>
      <c r="H48" s="287"/>
      <c r="I48" s="285"/>
      <c r="J48" s="285">
        <v>15</v>
      </c>
      <c r="K48" s="294">
        <f t="shared" ca="1" si="0"/>
        <v>120.29768626890295</v>
      </c>
      <c r="L48" s="294">
        <f t="shared" ca="1" si="1"/>
        <v>129.73737063849802</v>
      </c>
      <c r="M48" s="294">
        <f t="shared" ca="1" si="1"/>
        <v>135.57834949986997</v>
      </c>
      <c r="N48" s="294">
        <f t="shared" ca="1" si="1"/>
        <v>137.56911121077525</v>
      </c>
      <c r="O48" s="288"/>
      <c r="P48" s="285"/>
      <c r="Q48" s="285"/>
      <c r="R48" s="285">
        <v>11</v>
      </c>
      <c r="S48" s="285">
        <v>125</v>
      </c>
      <c r="T48" s="285"/>
      <c r="U48" s="285">
        <v>125</v>
      </c>
      <c r="V48" s="285">
        <v>-16.100000000000001</v>
      </c>
    </row>
    <row r="49" spans="1:22" ht="14.4" x14ac:dyDescent="0.3">
      <c r="A49" s="334"/>
      <c r="G49" s="396"/>
      <c r="H49" s="287"/>
      <c r="I49" s="285"/>
      <c r="J49" s="285">
        <v>16</v>
      </c>
      <c r="K49" s="294">
        <f t="shared" ca="1" si="0"/>
        <v>122.02555857463845</v>
      </c>
      <c r="L49" s="294">
        <f t="shared" ca="1" si="1"/>
        <v>131.40339978046848</v>
      </c>
      <c r="M49" s="294">
        <f t="shared" ca="1" si="1"/>
        <v>137.14040872407443</v>
      </c>
      <c r="N49" s="294">
        <f t="shared" ca="1" si="1"/>
        <v>139.05208396963835</v>
      </c>
      <c r="O49" s="288"/>
      <c r="P49" s="285"/>
      <c r="Q49" s="285"/>
      <c r="R49" s="285">
        <v>12</v>
      </c>
      <c r="S49" s="285">
        <v>160</v>
      </c>
      <c r="T49" s="285"/>
      <c r="U49" s="285">
        <v>160</v>
      </c>
      <c r="V49" s="285">
        <v>-13.4</v>
      </c>
    </row>
    <row r="50" spans="1:22" ht="14.4" x14ac:dyDescent="0.3">
      <c r="A50" s="334"/>
      <c r="G50" s="396"/>
      <c r="H50" s="287"/>
      <c r="I50" s="285"/>
      <c r="J50" s="285">
        <v>17</v>
      </c>
      <c r="K50" s="294">
        <f t="shared" ca="1" si="0"/>
        <v>123.62385289246663</v>
      </c>
      <c r="L50" s="294">
        <f t="shared" ca="1" si="1"/>
        <v>132.91890536023078</v>
      </c>
      <c r="M50" s="294">
        <f t="shared" ca="1" si="1"/>
        <v>138.52207557998034</v>
      </c>
      <c r="N50" s="294">
        <f t="shared" ca="1" si="1"/>
        <v>140.33601051432666</v>
      </c>
      <c r="O50" s="288"/>
      <c r="P50" s="285"/>
      <c r="Q50" s="285"/>
      <c r="R50" s="285">
        <v>13</v>
      </c>
      <c r="S50" s="285">
        <v>200</v>
      </c>
      <c r="T50" s="285"/>
      <c r="U50" s="285">
        <v>200</v>
      </c>
      <c r="V50" s="285">
        <v>-10.9</v>
      </c>
    </row>
    <row r="51" spans="1:22" ht="14.4" x14ac:dyDescent="0.3">
      <c r="A51" s="254"/>
      <c r="G51" s="396"/>
      <c r="H51" s="287"/>
      <c r="I51" s="285"/>
      <c r="J51" s="285">
        <v>18</v>
      </c>
      <c r="K51" s="294">
        <f t="shared" ca="1" si="0"/>
        <v>125.25608548479462</v>
      </c>
      <c r="L51" s="294">
        <f t="shared" ca="1" si="1"/>
        <v>134.43059791407356</v>
      </c>
      <c r="M51" s="294">
        <f t="shared" ca="1" si="1"/>
        <v>139.84882401878383</v>
      </c>
      <c r="N51" s="294">
        <f t="shared" ca="1" si="1"/>
        <v>141.53439302341425</v>
      </c>
      <c r="O51" s="288"/>
      <c r="P51" s="285"/>
      <c r="Q51" s="285"/>
      <c r="R51" s="285">
        <v>14</v>
      </c>
      <c r="S51" s="285">
        <v>250</v>
      </c>
      <c r="T51" s="285"/>
      <c r="U51" s="285">
        <v>250</v>
      </c>
      <c r="V51" s="285">
        <v>-8.6</v>
      </c>
    </row>
    <row r="52" spans="1:22" ht="14.4" x14ac:dyDescent="0.3">
      <c r="A52" s="334"/>
      <c r="G52" s="396"/>
      <c r="H52" s="287"/>
      <c r="I52" s="285"/>
      <c r="J52" s="285">
        <v>19</v>
      </c>
      <c r="K52" s="294">
        <f t="shared" ca="1" si="0"/>
        <v>126.90772322364217</v>
      </c>
      <c r="L52" s="294">
        <f t="shared" ca="1" si="1"/>
        <v>135.90859018269825</v>
      </c>
      <c r="M52" s="294">
        <f t="shared" ca="1" si="1"/>
        <v>141.07842083945178</v>
      </c>
      <c r="N52" s="294">
        <f t="shared" ca="1" si="1"/>
        <v>142.60187608661161</v>
      </c>
      <c r="O52" s="288"/>
      <c r="P52" s="285"/>
      <c r="Q52" s="285"/>
      <c r="R52" s="285">
        <v>15</v>
      </c>
      <c r="S52" s="285">
        <v>315</v>
      </c>
      <c r="T52" s="285"/>
      <c r="U52" s="285">
        <v>315</v>
      </c>
      <c r="V52" s="285">
        <v>-6.6</v>
      </c>
    </row>
    <row r="53" spans="1:22" ht="14.4" x14ac:dyDescent="0.3">
      <c r="A53" s="334"/>
      <c r="G53" s="396"/>
      <c r="H53" s="287"/>
      <c r="I53" s="285"/>
      <c r="J53" s="285">
        <v>20</v>
      </c>
      <c r="K53" s="294">
        <f t="shared" ca="1" si="0"/>
        <v>128.40431496462779</v>
      </c>
      <c r="L53" s="294">
        <f t="shared" ca="1" si="1"/>
        <v>137.18646981140986</v>
      </c>
      <c r="M53" s="294">
        <f t="shared" ca="1" si="1"/>
        <v>142.06856779537137</v>
      </c>
      <c r="N53" s="294">
        <f t="shared" ca="1" si="1"/>
        <v>143.41564465747334</v>
      </c>
      <c r="O53" s="288"/>
      <c r="P53" s="285"/>
      <c r="Q53" s="285"/>
      <c r="R53" s="285">
        <v>16</v>
      </c>
      <c r="S53" s="285">
        <v>400</v>
      </c>
      <c r="T53" s="285"/>
      <c r="U53" s="285">
        <v>400</v>
      </c>
      <c r="V53" s="285">
        <v>-4.8</v>
      </c>
    </row>
    <row r="54" spans="1:22" ht="14.4" x14ac:dyDescent="0.3">
      <c r="A54" s="334"/>
      <c r="G54" s="396"/>
      <c r="H54" s="287"/>
      <c r="I54" s="285"/>
      <c r="J54" s="285">
        <v>21</v>
      </c>
      <c r="K54" s="294">
        <f t="shared" ca="1" si="0"/>
        <v>129.83930693676047</v>
      </c>
      <c r="L54" s="294">
        <f t="shared" ca="1" si="1"/>
        <v>138.33859317819403</v>
      </c>
      <c r="M54" s="294">
        <f t="shared" ca="1" si="1"/>
        <v>142.88089071377408</v>
      </c>
      <c r="N54" s="294">
        <f t="shared" ca="1" si="1"/>
        <v>144.03003729003007</v>
      </c>
      <c r="O54" s="288"/>
      <c r="P54" s="285"/>
      <c r="Q54" s="285"/>
      <c r="R54" s="285">
        <v>17</v>
      </c>
      <c r="S54" s="285">
        <v>500</v>
      </c>
      <c r="T54" s="285"/>
      <c r="U54" s="285">
        <v>500</v>
      </c>
      <c r="V54" s="285">
        <v>-3.2</v>
      </c>
    </row>
    <row r="55" spans="1:22" ht="14.4" x14ac:dyDescent="0.3">
      <c r="A55" s="333"/>
      <c r="B55" s="332"/>
      <c r="C55" s="286"/>
      <c r="D55" s="331"/>
      <c r="E55" s="285"/>
      <c r="F55" s="285"/>
      <c r="G55" s="396"/>
      <c r="H55" s="287"/>
      <c r="I55" s="285"/>
      <c r="J55" s="285">
        <v>22</v>
      </c>
      <c r="K55" s="294">
        <f t="shared" ca="1" si="0"/>
        <v>131.32983326503978</v>
      </c>
      <c r="L55" s="294">
        <f t="shared" ca="1" si="1"/>
        <v>139.43495726683574</v>
      </c>
      <c r="M55" s="294">
        <f t="shared" ca="1" si="1"/>
        <v>143.54619815899437</v>
      </c>
      <c r="N55" s="294">
        <f t="shared" ca="1" si="1"/>
        <v>144.4507264992188</v>
      </c>
      <c r="O55" s="288"/>
      <c r="P55" s="285"/>
      <c r="Q55" s="285"/>
      <c r="R55" s="285">
        <v>18</v>
      </c>
      <c r="S55" s="285">
        <v>630</v>
      </c>
      <c r="T55" s="285"/>
      <c r="U55" s="285">
        <v>630</v>
      </c>
      <c r="V55" s="285">
        <v>-1.9</v>
      </c>
    </row>
    <row r="56" spans="1:22" ht="14.4" x14ac:dyDescent="0.3">
      <c r="A56" s="285"/>
      <c r="B56" s="320"/>
      <c r="C56" s="285"/>
      <c r="D56" s="286"/>
      <c r="E56" s="285"/>
      <c r="F56" s="285"/>
      <c r="G56" s="396"/>
      <c r="H56" s="287"/>
      <c r="I56" s="285"/>
      <c r="J56" s="285">
        <v>23</v>
      </c>
      <c r="K56" s="294">
        <f t="shared" ca="1" si="0"/>
        <v>132.56278843938964</v>
      </c>
      <c r="L56" s="294">
        <f t="shared" ca="1" si="1"/>
        <v>140.23848047588598</v>
      </c>
      <c r="M56" s="294">
        <f t="shared" ca="1" si="1"/>
        <v>143.91237121354632</v>
      </c>
      <c r="N56" s="294">
        <f t="shared" ca="1" si="1"/>
        <v>144.56567306158482</v>
      </c>
      <c r="O56" s="288"/>
      <c r="P56" s="285"/>
      <c r="Q56" s="285"/>
      <c r="R56" s="285">
        <v>19</v>
      </c>
      <c r="S56" s="285">
        <v>800</v>
      </c>
      <c r="T56" s="285"/>
      <c r="U56" s="285">
        <v>800</v>
      </c>
      <c r="V56" s="285">
        <v>-0.8</v>
      </c>
    </row>
    <row r="57" spans="1:22" ht="14.4" x14ac:dyDescent="0.3">
      <c r="A57" s="285"/>
      <c r="B57" s="285"/>
      <c r="C57" s="285"/>
      <c r="D57" s="286"/>
      <c r="E57" s="285"/>
      <c r="F57" s="285"/>
      <c r="G57" s="396"/>
      <c r="H57" s="287"/>
      <c r="I57" s="285"/>
      <c r="J57" s="285">
        <v>24</v>
      </c>
      <c r="K57" s="294">
        <f t="shared" ca="1" si="0"/>
        <v>133.65982857391009</v>
      </c>
      <c r="L57" s="294">
        <f t="shared" ca="1" si="1"/>
        <v>140.84148637612211</v>
      </c>
      <c r="M57" s="294">
        <f t="shared" ca="1" si="1"/>
        <v>144.02524085658487</v>
      </c>
      <c r="N57" s="294">
        <f t="shared" ca="1" si="1"/>
        <v>144.38728408569264</v>
      </c>
      <c r="O57" s="288"/>
      <c r="P57" s="285"/>
      <c r="Q57" s="285"/>
      <c r="R57" s="285">
        <v>20</v>
      </c>
      <c r="S57" s="285">
        <v>1000</v>
      </c>
      <c r="T57" s="285"/>
      <c r="U57" s="285">
        <v>1000</v>
      </c>
      <c r="V57" s="285">
        <v>0</v>
      </c>
    </row>
    <row r="58" spans="1:22" ht="14.4" x14ac:dyDescent="0.3">
      <c r="A58" s="285"/>
      <c r="B58" s="285"/>
      <c r="C58" s="285"/>
      <c r="D58" s="286"/>
      <c r="E58" s="285"/>
      <c r="F58" s="285"/>
      <c r="G58" s="396"/>
      <c r="H58" s="287"/>
      <c r="I58" s="285"/>
      <c r="J58" s="285">
        <v>25</v>
      </c>
      <c r="K58" s="294">
        <f t="shared" ca="1" si="0"/>
        <v>134.62526405714704</v>
      </c>
      <c r="L58" s="294">
        <f t="shared" ca="1" si="1"/>
        <v>141.23093075470257</v>
      </c>
      <c r="M58" s="294">
        <f t="shared" ca="1" si="1"/>
        <v>143.83193874324698</v>
      </c>
      <c r="N58" s="294">
        <f t="shared" ca="1" si="1"/>
        <v>143.84264227730807</v>
      </c>
      <c r="O58" s="288"/>
      <c r="P58" s="285"/>
      <c r="Q58" s="285"/>
      <c r="R58" s="285">
        <v>21</v>
      </c>
      <c r="S58" s="285">
        <v>1250</v>
      </c>
      <c r="T58" s="285"/>
      <c r="U58" s="285">
        <v>1250</v>
      </c>
      <c r="V58" s="285">
        <v>0.6</v>
      </c>
    </row>
    <row r="59" spans="1:22" ht="14.4" x14ac:dyDescent="0.3">
      <c r="A59" s="285"/>
      <c r="B59" s="285"/>
      <c r="C59" s="285"/>
      <c r="D59" s="286"/>
      <c r="E59" s="285"/>
      <c r="F59" s="285"/>
      <c r="G59" s="396"/>
      <c r="H59" s="287"/>
      <c r="I59" s="285"/>
      <c r="J59" s="285">
        <v>26</v>
      </c>
      <c r="K59" s="294">
        <f t="shared" ca="1" si="0"/>
        <v>135.41343102790319</v>
      </c>
      <c r="L59" s="294">
        <f t="shared" ca="1" si="1"/>
        <v>141.34825508462256</v>
      </c>
      <c r="M59" s="294">
        <f t="shared" ca="1" si="1"/>
        <v>143.24507342028926</v>
      </c>
      <c r="N59" s="294">
        <f t="shared" ca="1" si="1"/>
        <v>142.85223888605307</v>
      </c>
      <c r="O59" s="288"/>
      <c r="P59" s="285"/>
      <c r="Q59" s="285"/>
      <c r="R59" s="285">
        <v>22</v>
      </c>
      <c r="S59" s="285">
        <v>1600</v>
      </c>
      <c r="T59" s="285"/>
      <c r="U59" s="285">
        <v>1600</v>
      </c>
      <c r="V59" s="285">
        <v>1</v>
      </c>
    </row>
    <row r="60" spans="1:22" ht="14.4" x14ac:dyDescent="0.3">
      <c r="A60" s="285"/>
      <c r="B60" s="285"/>
      <c r="C60" s="285"/>
      <c r="D60" s="286"/>
      <c r="E60" s="285"/>
      <c r="F60" s="285"/>
      <c r="G60" s="396"/>
      <c r="H60" s="287"/>
      <c r="I60" s="285"/>
      <c r="J60" s="285">
        <v>27</v>
      </c>
      <c r="K60" s="294">
        <f t="shared" ca="1" si="0"/>
        <v>135.93413956568574</v>
      </c>
      <c r="L60" s="294">
        <f t="shared" ca="1" si="1"/>
        <v>141.15265265170561</v>
      </c>
      <c r="M60" s="294">
        <f t="shared" ca="1" si="1"/>
        <v>142.30331956331784</v>
      </c>
      <c r="N60" s="294">
        <f t="shared" ca="1" si="1"/>
        <v>141.53334980785903</v>
      </c>
      <c r="O60" s="288"/>
      <c r="P60" s="285"/>
      <c r="Q60" s="285"/>
      <c r="R60" s="285">
        <v>23</v>
      </c>
      <c r="S60" s="285">
        <v>2000</v>
      </c>
      <c r="T60" s="285"/>
      <c r="U60" s="285">
        <v>2000</v>
      </c>
      <c r="V60" s="285">
        <v>1.2</v>
      </c>
    </row>
    <row r="61" spans="1:22" ht="14.4" x14ac:dyDescent="0.3">
      <c r="A61" s="285"/>
      <c r="B61" s="285"/>
      <c r="C61" s="285"/>
      <c r="D61" s="286"/>
      <c r="E61" s="285"/>
      <c r="F61" s="285"/>
      <c r="G61" s="396"/>
      <c r="H61" s="287"/>
      <c r="I61" s="285"/>
      <c r="J61" s="285">
        <v>28</v>
      </c>
      <c r="K61" s="294">
        <f t="shared" ca="1" si="0"/>
        <v>136.22795310158085</v>
      </c>
      <c r="L61" s="294">
        <f t="shared" ca="1" si="1"/>
        <v>140.58756280465752</v>
      </c>
      <c r="M61" s="294">
        <f t="shared" ca="1" si="1"/>
        <v>140.92786413819553</v>
      </c>
      <c r="N61" s="294">
        <f t="shared" ca="1" si="1"/>
        <v>139.81416524817976</v>
      </c>
      <c r="O61" s="241"/>
      <c r="Q61" s="285"/>
      <c r="R61" s="285">
        <v>24</v>
      </c>
      <c r="S61" s="285">
        <v>2500</v>
      </c>
      <c r="T61" s="285"/>
      <c r="U61" s="285">
        <v>2500</v>
      </c>
      <c r="V61" s="285">
        <v>1.3</v>
      </c>
    </row>
    <row r="62" spans="1:22" ht="14.4" x14ac:dyDescent="0.3">
      <c r="A62" s="285"/>
      <c r="B62" s="285"/>
      <c r="C62" s="285"/>
      <c r="D62" s="286"/>
      <c r="E62" s="330"/>
      <c r="F62" s="285"/>
      <c r="G62" s="396"/>
      <c r="H62" s="287"/>
      <c r="I62" s="285"/>
      <c r="J62" s="285">
        <v>29</v>
      </c>
      <c r="K62" s="294">
        <f t="shared" ca="1" si="0"/>
        <v>136.23063790610632</v>
      </c>
      <c r="L62" s="294">
        <f t="shared" ca="1" si="1"/>
        <v>139.57471766660035</v>
      </c>
      <c r="M62" s="294">
        <f t="shared" ca="1" si="1"/>
        <v>139.13162803362638</v>
      </c>
      <c r="N62" s="294">
        <f t="shared" ca="1" si="1"/>
        <v>137.74458697849809</v>
      </c>
      <c r="O62" s="288"/>
      <c r="P62" s="285"/>
      <c r="Q62" s="285"/>
      <c r="R62" s="285">
        <v>25</v>
      </c>
      <c r="S62" s="285">
        <v>3150</v>
      </c>
      <c r="T62" s="285"/>
      <c r="U62" s="285">
        <v>3150</v>
      </c>
      <c r="V62" s="285">
        <v>1.2</v>
      </c>
    </row>
    <row r="63" spans="1:22" ht="14.4" x14ac:dyDescent="0.3">
      <c r="A63" s="285"/>
      <c r="B63" s="285"/>
      <c r="C63" s="285"/>
      <c r="D63" s="286"/>
      <c r="E63" s="285"/>
      <c r="F63" s="285"/>
      <c r="G63" s="396"/>
      <c r="H63" s="287"/>
      <c r="I63" s="285"/>
      <c r="J63" s="285">
        <v>30</v>
      </c>
      <c r="K63" s="294">
        <f t="shared" ca="1" si="0"/>
        <v>135.90931829562038</v>
      </c>
      <c r="L63" s="294">
        <f t="shared" ca="1" si="1"/>
        <v>138.2361708543028</v>
      </c>
      <c r="M63" s="294">
        <f t="shared" ca="1" si="1"/>
        <v>137.18871085189261</v>
      </c>
      <c r="N63" s="294">
        <f t="shared" ca="1" si="1"/>
        <v>135.62423461501507</v>
      </c>
      <c r="O63" s="288"/>
      <c r="P63" s="285"/>
      <c r="Q63" s="285"/>
      <c r="R63" s="285">
        <v>26</v>
      </c>
      <c r="S63" s="285">
        <v>4000</v>
      </c>
      <c r="T63" s="285"/>
      <c r="U63" s="285">
        <v>4000</v>
      </c>
      <c r="V63" s="285">
        <v>1</v>
      </c>
    </row>
    <row r="64" spans="1:22" ht="14.4" x14ac:dyDescent="0.3">
      <c r="A64" s="285"/>
      <c r="B64" s="285"/>
      <c r="C64" s="285"/>
      <c r="D64" s="286"/>
      <c r="E64" s="285"/>
      <c r="F64" s="285"/>
      <c r="G64" s="396"/>
      <c r="H64" s="287"/>
      <c r="I64" s="285"/>
      <c r="J64" s="285">
        <v>31</v>
      </c>
      <c r="K64" s="294">
        <f t="shared" ca="1" si="0"/>
        <v>135.22812758214062</v>
      </c>
      <c r="L64" s="294">
        <f t="shared" ca="1" si="1"/>
        <v>136.56517818227269</v>
      </c>
      <c r="M64" s="294">
        <f t="shared" ca="1" si="1"/>
        <v>135.06724877986136</v>
      </c>
      <c r="N64" s="294">
        <f t="shared" ca="1" si="1"/>
        <v>133.38652354479495</v>
      </c>
      <c r="O64" s="288"/>
      <c r="P64" s="285"/>
      <c r="Q64" s="285"/>
      <c r="R64" s="285">
        <v>27</v>
      </c>
      <c r="S64" s="285">
        <v>5000</v>
      </c>
      <c r="T64" s="285"/>
      <c r="U64" s="285">
        <v>5000</v>
      </c>
      <c r="V64" s="285">
        <v>0.5</v>
      </c>
    </row>
    <row r="65" spans="1:22" ht="14.4" x14ac:dyDescent="0.3">
      <c r="A65" s="285"/>
      <c r="B65" s="285"/>
      <c r="C65" s="285"/>
      <c r="D65" s="286"/>
      <c r="E65" s="285"/>
      <c r="F65" s="285"/>
      <c r="G65" s="396"/>
      <c r="H65" s="287"/>
      <c r="I65" s="285"/>
      <c r="J65" s="285">
        <v>32</v>
      </c>
      <c r="K65" s="294">
        <f t="shared" ca="1" si="0"/>
        <v>134.02582168292886</v>
      </c>
      <c r="L65" s="294">
        <f t="shared" ca="1" si="1"/>
        <v>134.41815274007712</v>
      </c>
      <c r="M65" s="294">
        <f t="shared" ca="1" si="1"/>
        <v>132.58600750263471</v>
      </c>
      <c r="N65" s="294">
        <f t="shared" ca="1" si="1"/>
        <v>130.82666345379377</v>
      </c>
      <c r="O65" s="288"/>
      <c r="P65" s="285"/>
      <c r="Q65" s="285"/>
      <c r="R65" s="285">
        <v>28</v>
      </c>
      <c r="S65" s="285">
        <v>6300</v>
      </c>
      <c r="T65" s="285"/>
      <c r="U65" s="285">
        <v>6300</v>
      </c>
      <c r="V65" s="285">
        <v>-0.1</v>
      </c>
    </row>
    <row r="66" spans="1:22" ht="14.4" x14ac:dyDescent="0.3">
      <c r="A66" s="285"/>
      <c r="B66" s="285"/>
      <c r="C66" s="285"/>
      <c r="D66" s="286"/>
      <c r="E66" s="285"/>
      <c r="F66" s="285"/>
      <c r="G66" s="396"/>
      <c r="H66" s="287"/>
      <c r="I66" s="285"/>
      <c r="J66" s="285">
        <v>33</v>
      </c>
      <c r="K66" s="294">
        <f t="shared" ca="1" si="0"/>
        <v>132.55271475992583</v>
      </c>
      <c r="L66" s="294">
        <f t="shared" ca="1" si="1"/>
        <v>132.29003389663308</v>
      </c>
      <c r="M66" s="294">
        <f t="shared" ca="1" si="1"/>
        <v>130.26850079196242</v>
      </c>
      <c r="N66" s="294">
        <f t="shared" ca="1" si="1"/>
        <v>128.46713313556643</v>
      </c>
      <c r="O66" s="329"/>
      <c r="P66" s="285"/>
      <c r="Q66" s="285"/>
      <c r="R66" s="285">
        <v>29</v>
      </c>
      <c r="S66" s="285">
        <v>8000</v>
      </c>
      <c r="T66" s="285"/>
      <c r="U66" s="285">
        <v>8000</v>
      </c>
      <c r="V66" s="285">
        <v>-1.1000000000000001</v>
      </c>
    </row>
    <row r="67" spans="1:22" ht="15.6" x14ac:dyDescent="0.35">
      <c r="A67" s="285"/>
      <c r="B67" s="285"/>
      <c r="C67" s="285"/>
      <c r="D67" s="286"/>
      <c r="E67" s="285"/>
      <c r="F67" s="285"/>
      <c r="G67" s="396"/>
      <c r="H67" s="328" t="s">
        <v>400</v>
      </c>
      <c r="K67" s="327"/>
      <c r="L67" s="288"/>
      <c r="M67" s="288"/>
      <c r="N67" s="288"/>
      <c r="O67" s="288"/>
      <c r="P67" s="285"/>
      <c r="Q67" s="285"/>
      <c r="R67" s="285">
        <v>30</v>
      </c>
      <c r="S67" s="285">
        <v>10000</v>
      </c>
      <c r="T67" s="285"/>
      <c r="U67" s="285">
        <v>10000</v>
      </c>
      <c r="V67" s="285">
        <v>-2.5</v>
      </c>
    </row>
    <row r="68" spans="1:22" ht="14.4" x14ac:dyDescent="0.3">
      <c r="A68" s="285"/>
      <c r="B68" s="285"/>
      <c r="C68" s="285"/>
      <c r="D68" s="286"/>
      <c r="E68" s="285"/>
      <c r="F68" s="285"/>
      <c r="G68" s="396"/>
      <c r="H68" s="287" t="s">
        <v>399</v>
      </c>
      <c r="I68" s="285">
        <v>34</v>
      </c>
      <c r="J68" s="285" t="s">
        <v>398</v>
      </c>
      <c r="K68" s="310" t="str">
        <f>IF(M_o..K&gt;0.3,IF(4*m_dot..D/(PI()*RHO_2..K*D_2..D^2)&lt;=0.8*c_2..K,4*m_dot..D/(PI()*RHO_2..K*D_2..D^2),0.8*c_2..K),"N/A Mo&lt;0.3")</f>
        <v>N/A Mo&lt;0.3</v>
      </c>
      <c r="L68" s="310" t="str">
        <f>IF(L30&gt;0.3,IF(4*E6/(PI()*L28*E19^2)&lt;=0.8*L29,4*E6/(PI()*L28*E19^2),0.8*L29),"N/A Mo&lt;0.3")</f>
        <v>N/A Mo&lt;0.3</v>
      </c>
      <c r="M68" s="310" t="str">
        <f>IF(M30&gt;0.3,IF(4*F6/(PI()*M28*F19^2)&lt;=0.8*M29,4*F6/(PI()*M28*F19^2),0.8*M29),"N/A Mo&lt;0.3")</f>
        <v>N/A Mo&lt;0.3</v>
      </c>
      <c r="N68" s="310">
        <f>IF(N30&gt;0.3,IF(4*G6/(PI()*N28*G19^2)&lt;=0.8*N29,4*G6/(PI()*N28*G19^2),0.8*N29),"N/A Mo&lt;0.3")</f>
        <v>26.943722149268162</v>
      </c>
      <c r="O68" s="288"/>
      <c r="P68" s="285"/>
      <c r="Q68" s="285"/>
      <c r="R68" s="285">
        <v>31</v>
      </c>
      <c r="S68" s="285">
        <v>12500</v>
      </c>
      <c r="T68" s="285"/>
      <c r="U68" s="285">
        <v>12500</v>
      </c>
      <c r="V68" s="285">
        <v>-4.3</v>
      </c>
    </row>
    <row r="69" spans="1:22" ht="14.4" x14ac:dyDescent="0.3">
      <c r="A69" s="285"/>
      <c r="B69" s="285"/>
      <c r="C69" s="285"/>
      <c r="D69" s="286"/>
      <c r="E69" s="285"/>
      <c r="F69" s="285"/>
      <c r="G69" s="396"/>
      <c r="H69" s="287" t="s">
        <v>397</v>
      </c>
      <c r="I69" s="285">
        <v>35</v>
      </c>
      <c r="J69" s="285" t="s">
        <v>396</v>
      </c>
      <c r="K69" s="310" t="str">
        <f>IF(M_o..K&gt;0.3,IF(U_p..K*D_2..D^2/(BETA..D*D_ViS..D^2)&lt;=c_2..K,U_p..K*D_2..D^2/(BETA..D*D_ViS..D^2),c_2..K),"N/A Mo&lt;0.3")</f>
        <v>N/A Mo&lt;0.3</v>
      </c>
      <c r="L69" s="310" t="str">
        <f>IF(L30&gt;0.3,IF(L68*E19^2/(E25*E27^2)&lt;=L29,L68*E19^2/(E25*E27^2),L29),"N/A Mo&lt;0.3")</f>
        <v>N/A Mo&lt;0.3</v>
      </c>
      <c r="M69" s="310" t="str">
        <f>IF(M30&gt;0.3,IF(M68*F19^2/(F25*F27^2)&lt;=M29,M68*F19^2/(F25*F27^2),M29),"N/A Mo&lt;0.3")</f>
        <v>N/A Mo&lt;0.3</v>
      </c>
      <c r="N69" s="310">
        <f>IF(N30&gt;0.3,IF(N68*G19^2/(G25*G27^2)&lt;=N29,N68*G19^2/(G25*G27^2),N29),"N/A Mo&lt;0.3")</f>
        <v>143.69985146276352</v>
      </c>
      <c r="O69" s="288"/>
      <c r="P69" s="285"/>
      <c r="Q69" s="285"/>
      <c r="R69" s="285">
        <v>32</v>
      </c>
      <c r="S69" s="285">
        <v>16000</v>
      </c>
      <c r="T69" s="285"/>
      <c r="U69" s="285">
        <v>16000</v>
      </c>
      <c r="V69" s="285">
        <v>-6.6</v>
      </c>
    </row>
    <row r="70" spans="1:22" ht="14.4" x14ac:dyDescent="0.3">
      <c r="A70" s="285"/>
      <c r="B70" s="285"/>
      <c r="C70" s="285"/>
      <c r="D70" s="286"/>
      <c r="E70" s="285"/>
      <c r="F70" s="285"/>
      <c r="G70" s="396"/>
      <c r="H70" s="287" t="s">
        <v>395</v>
      </c>
      <c r="I70" s="285">
        <v>36</v>
      </c>
      <c r="J70" s="285" t="s">
        <v>394</v>
      </c>
      <c r="K70" s="294" t="str">
        <f>IF(M_o..K&gt;0.3,m_dot..D*U_R^2/2*((1-D_ViS..D^2/(D_2..D^2))^2+0.2),"N/A Mo&lt;0.3")</f>
        <v>N/A Mo&lt;0.3</v>
      </c>
      <c r="L70" s="296" t="str">
        <f>IF(L30&gt;0.3,E6*L69^2/2*((1-E27^2/(E19^2))^2+0.2),"N/A Mo&lt;0.3")</f>
        <v>N/A Mo&lt;0.3</v>
      </c>
      <c r="M70" s="296" t="str">
        <f>IF(M30&gt;0.3,F6*M69^2/2*((1-F27^2/(F19^2))^2+0.2),"N/A Mo&lt;0.3")</f>
        <v>N/A Mo&lt;0.3</v>
      </c>
      <c r="N70" s="296">
        <f>IF(N30&gt;0.3,G6*N69^2/2*((1-G27^2/(G19^2))^2+0.2),"N/A Mo&lt;0.3")</f>
        <v>17938.622193736719</v>
      </c>
      <c r="O70" s="288"/>
      <c r="P70" s="285"/>
      <c r="Q70" s="285"/>
      <c r="R70" s="285">
        <v>33</v>
      </c>
      <c r="S70" s="285">
        <v>20000</v>
      </c>
      <c r="T70" s="285"/>
      <c r="U70" s="285">
        <v>20000</v>
      </c>
      <c r="V70" s="285">
        <v>-9.3000000000000007</v>
      </c>
    </row>
    <row r="71" spans="1:22" ht="14.4" x14ac:dyDescent="0.3">
      <c r="A71" s="285"/>
      <c r="B71" s="285"/>
      <c r="C71" s="285"/>
      <c r="D71" s="286"/>
      <c r="E71" s="285"/>
      <c r="F71" s="285"/>
      <c r="G71" s="396"/>
      <c r="H71" s="318" t="s">
        <v>393</v>
      </c>
      <c r="I71" s="285">
        <v>37</v>
      </c>
      <c r="J71" s="288" t="s">
        <v>392</v>
      </c>
      <c r="K71" s="294" t="str">
        <f>IF(M_o..K&gt;0.3,St_P..D*U_R/D_ViS..D,"N/A Mo&lt;0.3")</f>
        <v>N/A Mo&lt;0.3</v>
      </c>
      <c r="L71" s="301" t="str">
        <f>IF(L30&gt;0.3,E17*L69/E27,"N/A Mo&lt;0.3")</f>
        <v>N/A Mo&lt;0.3</v>
      </c>
      <c r="M71" s="301" t="str">
        <f>IF(M30&gt;0.3,F17*M69/F27,"N/A Mo&lt;0.3")</f>
        <v>N/A Mo&lt;0.3</v>
      </c>
      <c r="N71" s="301">
        <f>IF(N30&gt;0.3,G17*N69/G27,"N/A Mo&lt;0.3")</f>
        <v>565.74744670379346</v>
      </c>
      <c r="O71" s="288"/>
      <c r="P71" s="285"/>
      <c r="Q71" s="285"/>
      <c r="R71" s="285"/>
      <c r="S71" s="285"/>
      <c r="T71" s="285"/>
      <c r="U71" s="285"/>
      <c r="V71" s="285"/>
    </row>
    <row r="72" spans="1:22" ht="14.4" x14ac:dyDescent="0.3">
      <c r="A72" s="285"/>
      <c r="B72" s="285"/>
      <c r="C72" s="285"/>
      <c r="D72" s="286"/>
      <c r="E72" s="285"/>
      <c r="F72" s="285"/>
      <c r="G72" s="396"/>
      <c r="H72" s="287" t="s">
        <v>391</v>
      </c>
      <c r="I72" s="285">
        <v>39</v>
      </c>
      <c r="J72" s="285" t="s">
        <v>390</v>
      </c>
      <c r="K72" s="306" t="str">
        <f>IF(M_o..K&gt;0.3,U_R/c_2..K,"N/A Mo&lt;0.3")</f>
        <v>N/A Mo&lt;0.3</v>
      </c>
      <c r="L72" s="305" t="str">
        <f>IF(L30&gt;0.3,L69/L29,"N/A Mo&lt;0.3")</f>
        <v>N/A Mo&lt;0.3</v>
      </c>
      <c r="M72" s="305" t="str">
        <f>IF(M30&gt;0.3,M69/M29,"N/A Mo&lt;0.3")</f>
        <v>N/A Mo&lt;0.3</v>
      </c>
      <c r="N72" s="305">
        <f>IF(N30&gt;0.3,N69/N29,"N/A Mo&lt;0.3")</f>
        <v>0.40656667446840489</v>
      </c>
      <c r="O72" s="288"/>
      <c r="P72" s="285"/>
      <c r="Q72" s="285"/>
      <c r="R72" s="285"/>
      <c r="S72" s="285"/>
      <c r="T72" s="285"/>
      <c r="U72" s="285"/>
      <c r="V72" s="285"/>
    </row>
    <row r="73" spans="1:22" ht="14.4" x14ac:dyDescent="0.3">
      <c r="A73" s="285"/>
      <c r="B73" s="285"/>
      <c r="C73" s="285"/>
      <c r="D73" s="286"/>
      <c r="E73" s="285"/>
      <c r="F73" s="285"/>
      <c r="G73" s="396"/>
      <c r="H73" s="321" t="s">
        <v>389</v>
      </c>
      <c r="I73" s="285">
        <v>38</v>
      </c>
      <c r="J73" s="285" t="s">
        <v>388</v>
      </c>
      <c r="K73" s="326" t="str">
        <f>IF(M_o..K&gt;0.3,10^A_ETA..D*M_R..K^3,"N/A Mₒ&lt;0.3")</f>
        <v>N/A Mₒ&lt;0.3</v>
      </c>
      <c r="L73" s="325" t="str">
        <f>IF(L30&gt;0.3,10^E16*L72^3,"N/A Mₒ&lt;0.3")</f>
        <v>N/A Mₒ&lt;0.3</v>
      </c>
      <c r="M73" s="325" t="str">
        <f>IF(M30&gt;0.3,10^F16*M72^3,"N/A Mₒ&lt;0.3")</f>
        <v>N/A Mₒ&lt;0.3</v>
      </c>
      <c r="N73" s="325">
        <f>IF(N30&gt;0.3,10^G16*N72^3,"N/A Mₒ&lt;0.3")</f>
        <v>1.6880889703810165E-5</v>
      </c>
      <c r="O73" s="407" t="s">
        <v>387</v>
      </c>
      <c r="P73" s="285"/>
      <c r="Q73" s="285"/>
      <c r="R73" s="285"/>
      <c r="S73" s="285"/>
      <c r="T73" s="285"/>
      <c r="U73" s="285"/>
      <c r="V73" s="285"/>
    </row>
    <row r="74" spans="1:22" ht="14.4" x14ac:dyDescent="0.3">
      <c r="A74" s="285"/>
      <c r="B74" s="285"/>
      <c r="C74" s="285"/>
      <c r="D74" s="286"/>
      <c r="E74" s="285"/>
      <c r="F74" s="285"/>
      <c r="G74" s="396"/>
      <c r="H74" s="324" t="s">
        <v>386</v>
      </c>
      <c r="I74" s="285">
        <v>40</v>
      </c>
      <c r="J74" s="285" t="s">
        <v>385</v>
      </c>
      <c r="K74" s="323" t="str">
        <f>IF(M_o..K&gt;0.3,etta_r..K*W_mR..K,"N/A Mₒ&lt;0.3")</f>
        <v>N/A Mₒ&lt;0.3</v>
      </c>
      <c r="L74" s="322" t="str">
        <f>IF(L30&gt;0.3,L73*L70,"N/A Mₒ&lt;0.3")</f>
        <v>N/A Mₒ&lt;0.3</v>
      </c>
      <c r="M74" s="322" t="str">
        <f>IF(M30&gt;0.3,M73*M70,"N/A Mₒ&lt;0.3")</f>
        <v>N/A Mₒ&lt;0.3</v>
      </c>
      <c r="N74" s="322">
        <f>IF(N30&gt;0.3,N73*N70,"N/A Mₒ&lt;0.3")</f>
        <v>0.30281990269079068</v>
      </c>
      <c r="O74" s="407" t="s">
        <v>384</v>
      </c>
      <c r="P74" s="285"/>
      <c r="Q74" s="285"/>
      <c r="R74" s="285"/>
      <c r="S74" s="285"/>
      <c r="T74" s="285"/>
      <c r="U74" s="285"/>
      <c r="V74" s="285"/>
    </row>
    <row r="75" spans="1:22" ht="14.4" x14ac:dyDescent="0.3">
      <c r="A75" s="285"/>
      <c r="B75" s="285"/>
      <c r="C75" s="285"/>
      <c r="D75" s="286"/>
      <c r="E75" s="285"/>
      <c r="F75" s="285"/>
      <c r="G75" s="396"/>
      <c r="H75" s="321" t="s">
        <v>383</v>
      </c>
      <c r="I75" s="285">
        <v>41</v>
      </c>
      <c r="J75" s="285" t="s">
        <v>382</v>
      </c>
      <c r="K75" s="294" t="str">
        <f>IF(M_o..K&gt;0.3,10*LOG10(3.2*10^9*W_Ar..K*RHO_2..K*c_2..K/(D_2..D^2))+L_g..K,"N/A Mo&lt;0.3")</f>
        <v>N/A Mo&lt;0.3</v>
      </c>
      <c r="L75" s="294" t="str">
        <f>IF(L30&gt;0.3,10*LOG10(3.2*10^9*L74*L28*L29/(E19^2))+L32,"N/A Mo&lt;0.3")</f>
        <v>N/A Mo&lt;0.3</v>
      </c>
      <c r="M75" s="294" t="str">
        <f>IF(M30&gt;0.3,10*LOG10(3.2*10^9*M74*M28*M29/(F19^2))+M32,"N/A Mo&lt;0.3")</f>
        <v>N/A Mo&lt;0.3</v>
      </c>
      <c r="N75" s="294">
        <f>IF(N30&gt;0.3,10*LOG10(3.2*10^9*N74*N28*N29/(G19^2))+N32,"N/A Mo&lt;0.3")</f>
        <v>138.89936962186908</v>
      </c>
      <c r="O75" s="407" t="s">
        <v>381</v>
      </c>
      <c r="P75" s="285"/>
      <c r="Q75" s="285"/>
      <c r="R75" s="285"/>
      <c r="S75" s="285"/>
      <c r="T75" s="285"/>
      <c r="U75" s="285"/>
      <c r="V75" s="285"/>
    </row>
    <row r="76" spans="1:22" ht="14.4" x14ac:dyDescent="0.3">
      <c r="A76" s="285"/>
      <c r="B76" s="285"/>
      <c r="C76" s="285"/>
      <c r="D76" s="286"/>
      <c r="E76" s="285"/>
      <c r="F76" s="285"/>
      <c r="G76" s="396"/>
      <c r="H76" s="287" t="s">
        <v>380</v>
      </c>
      <c r="I76" s="285">
        <v>42</v>
      </c>
      <c r="J76" s="285" t="s">
        <v>379</v>
      </c>
      <c r="K76" s="294" t="str">
        <f>IF(M_o..K&gt;0.3,L_piR..K-8-10*LOG10((1+(VLOOKUP(1,Table_5,2,FALSE)/(2*f_pR..K))^2.5)*(1+(f_pR..K/(2*VLOOKUP(1,Table_5,2,FALSE)))^1.7))," N/A Mₒ&lt;0.3")</f>
        <v xml:space="preserve"> N/A Mₒ&lt;0.3</v>
      </c>
      <c r="L76" s="301" t="str">
        <f>IF(L30&gt;0.3,L75-8-10*LOG10((1+(VLOOKUP(1,Table_5,2,FALSE)/(2*L71))^2.5)*(1+(L71/(2*VLOOKUP(1,Table_5,2,FALSE)))^1.7))," N/A Mₒ&lt;0.3")</f>
        <v xml:space="preserve"> N/A Mₒ&lt;0.3</v>
      </c>
      <c r="M76" s="301" t="str">
        <f>IF(M30&gt;0.3,M75-8-10*LOG10((1+(VLOOKUP(1,Table_5,2,FALSE)/(2*M71))^2.5)*(1+(M71/(2*VLOOKUP(1,Table_5,2,FALSE)))^1.7))," N/A Mₒ&lt;0.3")</f>
        <v xml:space="preserve"> N/A Mₒ&lt;0.3</v>
      </c>
      <c r="N76" s="301">
        <f>IF(N30&gt;0.3,N75-8-10*LOG10((1+(VLOOKUP(1,Table_5,2,FALSE)/(2*N71))^2.5)*(1+(N71/(2*VLOOKUP(1,Table_5,2,FALSE)))^1.7))," N/A Mₒ&lt;0.3")</f>
        <v>107.84814502698561</v>
      </c>
      <c r="O76" s="406" t="s">
        <v>378</v>
      </c>
      <c r="P76" s="285"/>
      <c r="Q76" s="285"/>
      <c r="R76" s="285"/>
      <c r="S76" s="285"/>
      <c r="T76" s="285"/>
      <c r="U76" s="285"/>
      <c r="V76" s="285"/>
    </row>
    <row r="77" spans="1:22" ht="14.4" x14ac:dyDescent="0.3">
      <c r="A77" s="285"/>
      <c r="B77" s="285"/>
      <c r="C77" s="285"/>
      <c r="D77" s="286"/>
      <c r="E77" s="285"/>
      <c r="F77" s="285"/>
      <c r="G77" s="396"/>
      <c r="H77" s="287"/>
      <c r="I77" s="285"/>
      <c r="J77" s="285">
        <v>2</v>
      </c>
      <c r="K77" s="294" t="str">
        <f t="shared" ref="K77:K108" si="2">IF(M_o..K&gt;0.3,L_piR..K-8-10*LOG10((1+(VLOOKUP($J77,Table_5,2,FALSE)/(2*f_pR..K))^2.5)*(1+(f_pR..K/(2*VLOOKUP($J77,Table_5,2,FALSE)))^1.7))," N/A Mₒ&lt;0.3")</f>
        <v xml:space="preserve"> N/A Mₒ&lt;0.3</v>
      </c>
      <c r="L77" s="301" t="str">
        <f t="shared" ref="L77:N108" si="3">IF(L$30&gt;0.3,L$75-8-10*LOG10((1+(VLOOKUP($J77,Table_5,2,FALSE)/(2*L$71))^2.5)*(1+(L$71/(2*VLOOKUP($J77,Table_5,2,FALSE)))^1.7))," N/A Mₒ&lt;0.3")</f>
        <v xml:space="preserve"> N/A Mₒ&lt;0.3</v>
      </c>
      <c r="M77" s="301" t="str">
        <f t="shared" si="3"/>
        <v xml:space="preserve"> N/A Mₒ&lt;0.3</v>
      </c>
      <c r="N77" s="301">
        <f t="shared" si="3"/>
        <v>109.65946438546861</v>
      </c>
      <c r="O77" s="407" t="s">
        <v>377</v>
      </c>
      <c r="P77" s="285"/>
      <c r="Q77" s="285"/>
      <c r="R77" s="285"/>
      <c r="S77" s="285"/>
      <c r="T77" s="285"/>
      <c r="U77" s="285"/>
      <c r="V77" s="285"/>
    </row>
    <row r="78" spans="1:22" ht="14.4" x14ac:dyDescent="0.3">
      <c r="A78" s="285"/>
      <c r="B78" s="285"/>
      <c r="C78" s="285"/>
      <c r="D78" s="286"/>
      <c r="E78" s="285"/>
      <c r="F78" s="285"/>
      <c r="G78" s="396"/>
      <c r="H78" s="287"/>
      <c r="I78" s="285"/>
      <c r="J78" s="285">
        <v>3</v>
      </c>
      <c r="K78" s="294" t="str">
        <f t="shared" si="2"/>
        <v xml:space="preserve"> N/A Mₒ&lt;0.3</v>
      </c>
      <c r="L78" s="301" t="str">
        <f t="shared" si="3"/>
        <v xml:space="preserve"> N/A Mₒ&lt;0.3</v>
      </c>
      <c r="M78" s="301" t="str">
        <f t="shared" si="3"/>
        <v xml:space="preserve"> N/A Mₒ&lt;0.3</v>
      </c>
      <c r="N78" s="301">
        <f t="shared" si="3"/>
        <v>111.29182398562871</v>
      </c>
      <c r="O78" s="406" t="s">
        <v>376</v>
      </c>
      <c r="P78" s="285"/>
      <c r="Q78" s="285"/>
      <c r="R78" s="285"/>
      <c r="S78" s="285"/>
      <c r="U78" s="285"/>
      <c r="V78" s="285"/>
    </row>
    <row r="79" spans="1:22" ht="14.4" x14ac:dyDescent="0.3">
      <c r="A79" s="285"/>
      <c r="B79" s="285"/>
      <c r="C79" s="285"/>
      <c r="D79" s="286"/>
      <c r="E79" s="285"/>
      <c r="F79" s="285"/>
      <c r="G79" s="396"/>
      <c r="H79" s="287"/>
      <c r="I79" s="285"/>
      <c r="J79" s="285">
        <v>4</v>
      </c>
      <c r="K79" s="294" t="str">
        <f t="shared" si="2"/>
        <v xml:space="preserve"> N/A Mₒ&lt;0.3</v>
      </c>
      <c r="L79" s="301" t="str">
        <f t="shared" si="3"/>
        <v xml:space="preserve"> N/A Mₒ&lt;0.3</v>
      </c>
      <c r="M79" s="301" t="str">
        <f t="shared" si="3"/>
        <v xml:space="preserve"> N/A Mₒ&lt;0.3</v>
      </c>
      <c r="N79" s="301">
        <f t="shared" si="3"/>
        <v>112.91728380986399</v>
      </c>
      <c r="O79" s="407" t="s">
        <v>375</v>
      </c>
      <c r="P79" s="285"/>
      <c r="Q79" s="285"/>
      <c r="R79" s="285"/>
      <c r="S79" s="285"/>
      <c r="T79" s="285"/>
      <c r="U79" s="285"/>
      <c r="V79" s="285"/>
    </row>
    <row r="80" spans="1:22" ht="14.4" x14ac:dyDescent="0.3">
      <c r="A80" s="285"/>
      <c r="B80" s="285"/>
      <c r="C80" s="285"/>
      <c r="D80" s="286"/>
      <c r="E80" s="285"/>
      <c r="F80" s="285"/>
      <c r="G80" s="396"/>
      <c r="H80" s="287"/>
      <c r="I80" s="285"/>
      <c r="J80" s="285">
        <v>5</v>
      </c>
      <c r="K80" s="294" t="str">
        <f t="shared" si="2"/>
        <v xml:space="preserve"> N/A Mₒ&lt;0.3</v>
      </c>
      <c r="L80" s="301" t="str">
        <f t="shared" si="3"/>
        <v xml:space="preserve"> N/A Mₒ&lt;0.3</v>
      </c>
      <c r="M80" s="301" t="str">
        <f t="shared" si="3"/>
        <v xml:space="preserve"> N/A Mₒ&lt;0.3</v>
      </c>
      <c r="N80" s="301">
        <f t="shared" si="3"/>
        <v>114.59019874872831</v>
      </c>
      <c r="S80" s="285"/>
      <c r="T80" s="285"/>
      <c r="U80" s="285"/>
      <c r="V80" s="285"/>
    </row>
    <row r="81" spans="1:22" ht="14.4" x14ac:dyDescent="0.3">
      <c r="A81" s="285"/>
      <c r="B81" s="285"/>
      <c r="C81" s="285"/>
      <c r="D81" s="286"/>
      <c r="E81" s="285"/>
      <c r="F81" s="285"/>
      <c r="G81" s="396"/>
      <c r="H81" s="287"/>
      <c r="I81" s="285"/>
      <c r="J81" s="285">
        <v>6</v>
      </c>
      <c r="K81" s="294" t="str">
        <f t="shared" si="2"/>
        <v xml:space="preserve"> N/A Mₒ&lt;0.3</v>
      </c>
      <c r="L81" s="301" t="str">
        <f t="shared" si="3"/>
        <v xml:space="preserve"> N/A Mₒ&lt;0.3</v>
      </c>
      <c r="M81" s="301" t="str">
        <f t="shared" si="3"/>
        <v xml:space="preserve"> N/A Mₒ&lt;0.3</v>
      </c>
      <c r="N81" s="301">
        <f t="shared" si="3"/>
        <v>116.3028736534977</v>
      </c>
      <c r="P81" s="285"/>
      <c r="Q81" s="285"/>
      <c r="R81" s="285"/>
      <c r="S81" s="285"/>
      <c r="T81" s="285"/>
      <c r="U81" s="285"/>
      <c r="V81" s="285"/>
    </row>
    <row r="82" spans="1:22" ht="14.4" x14ac:dyDescent="0.3">
      <c r="A82" s="285"/>
      <c r="B82" s="285"/>
      <c r="C82" s="285"/>
      <c r="D82" s="286"/>
      <c r="E82" s="285"/>
      <c r="F82" s="285"/>
      <c r="G82" s="396"/>
      <c r="H82" s="287"/>
      <c r="I82" s="285"/>
      <c r="J82" s="285">
        <v>7</v>
      </c>
      <c r="K82" s="294" t="str">
        <f t="shared" si="2"/>
        <v xml:space="preserve"> N/A Mₒ&lt;0.3</v>
      </c>
      <c r="L82" s="301" t="str">
        <f t="shared" si="3"/>
        <v xml:space="preserve"> N/A Mₒ&lt;0.3</v>
      </c>
      <c r="M82" s="301" t="str">
        <f t="shared" si="3"/>
        <v xml:space="preserve"> N/A Mₒ&lt;0.3</v>
      </c>
      <c r="N82" s="301">
        <f t="shared" si="3"/>
        <v>117.88059123832915</v>
      </c>
      <c r="O82" s="244"/>
      <c r="P82" s="285"/>
      <c r="Q82" s="285"/>
      <c r="R82" s="285"/>
      <c r="T82" s="285"/>
      <c r="U82" s="285"/>
      <c r="V82" s="285"/>
    </row>
    <row r="83" spans="1:22" ht="14.4" x14ac:dyDescent="0.3">
      <c r="A83" s="285"/>
      <c r="B83" s="285"/>
      <c r="C83" s="285"/>
      <c r="D83" s="286"/>
      <c r="E83" s="285"/>
      <c r="F83" s="285"/>
      <c r="G83" s="396"/>
      <c r="H83" s="287"/>
      <c r="I83" s="285"/>
      <c r="J83" s="285">
        <v>8</v>
      </c>
      <c r="K83" s="294" t="str">
        <f t="shared" si="2"/>
        <v xml:space="preserve"> N/A Mₒ&lt;0.3</v>
      </c>
      <c r="L83" s="301" t="str">
        <f t="shared" si="3"/>
        <v xml:space="preserve"> N/A Mₒ&lt;0.3</v>
      </c>
      <c r="M83" s="301" t="str">
        <f t="shared" si="3"/>
        <v xml:space="preserve"> N/A Mₒ&lt;0.3</v>
      </c>
      <c r="N83" s="301">
        <f t="shared" si="3"/>
        <v>119.48238855528272</v>
      </c>
      <c r="O83" s="244"/>
      <c r="P83" s="285"/>
      <c r="Q83" s="285"/>
      <c r="R83" s="285"/>
      <c r="S83" s="285"/>
      <c r="T83" s="285"/>
      <c r="U83" s="285"/>
      <c r="V83" s="285"/>
    </row>
    <row r="84" spans="1:22" ht="14.4" x14ac:dyDescent="0.3">
      <c r="A84" s="285"/>
      <c r="B84" s="285"/>
      <c r="C84" s="285"/>
      <c r="D84" s="286"/>
      <c r="E84" s="285"/>
      <c r="F84" s="285"/>
      <c r="G84" s="396"/>
      <c r="H84" s="287"/>
      <c r="I84" s="285"/>
      <c r="J84" s="285">
        <v>9</v>
      </c>
      <c r="K84" s="294" t="str">
        <f t="shared" si="2"/>
        <v xml:space="preserve"> N/A Mₒ&lt;0.3</v>
      </c>
      <c r="L84" s="301" t="str">
        <f t="shared" si="3"/>
        <v xml:space="preserve"> N/A Mₒ&lt;0.3</v>
      </c>
      <c r="M84" s="301" t="str">
        <f t="shared" si="3"/>
        <v xml:space="preserve"> N/A Mₒ&lt;0.3</v>
      </c>
      <c r="N84" s="301">
        <f t="shared" si="3"/>
        <v>121.08919475604779</v>
      </c>
      <c r="O84" s="244"/>
      <c r="P84" s="285"/>
      <c r="Q84" s="285"/>
      <c r="R84" s="285"/>
      <c r="S84" s="285"/>
      <c r="T84" s="285"/>
      <c r="U84" s="285"/>
      <c r="V84" s="285"/>
    </row>
    <row r="85" spans="1:22" ht="14.4" x14ac:dyDescent="0.3">
      <c r="A85" s="285"/>
      <c r="B85" s="285"/>
      <c r="C85" s="285"/>
      <c r="D85" s="286"/>
      <c r="E85" s="285"/>
      <c r="F85" s="285"/>
      <c r="G85" s="396"/>
      <c r="H85" s="287"/>
      <c r="I85" s="285"/>
      <c r="J85" s="285">
        <v>10</v>
      </c>
      <c r="K85" s="294" t="str">
        <f t="shared" si="2"/>
        <v xml:space="preserve"> N/A Mₒ&lt;0.3</v>
      </c>
      <c r="L85" s="301" t="str">
        <f t="shared" si="3"/>
        <v xml:space="preserve"> N/A Mₒ&lt;0.3</v>
      </c>
      <c r="M85" s="301" t="str">
        <f t="shared" si="3"/>
        <v xml:space="preserve"> N/A Mₒ&lt;0.3</v>
      </c>
      <c r="N85" s="301">
        <f t="shared" si="3"/>
        <v>122.52768024496254</v>
      </c>
      <c r="O85" s="288"/>
      <c r="P85" s="285"/>
      <c r="Q85" s="285"/>
      <c r="R85" s="285"/>
      <c r="S85" s="285"/>
      <c r="T85" s="285"/>
      <c r="U85" s="285"/>
      <c r="V85" s="285"/>
    </row>
    <row r="86" spans="1:22" ht="14.4" x14ac:dyDescent="0.3">
      <c r="A86" s="285"/>
      <c r="B86" s="285"/>
      <c r="C86" s="285"/>
      <c r="D86" s="286"/>
      <c r="E86" s="285"/>
      <c r="F86" s="285"/>
      <c r="G86" s="396"/>
      <c r="H86" s="287"/>
      <c r="I86" s="285"/>
      <c r="J86" s="285">
        <v>11</v>
      </c>
      <c r="K86" s="294" t="str">
        <f t="shared" si="2"/>
        <v xml:space="preserve"> N/A Mₒ&lt;0.3</v>
      </c>
      <c r="L86" s="301" t="str">
        <f t="shared" si="3"/>
        <v xml:space="preserve"> N/A Mₒ&lt;0.3</v>
      </c>
      <c r="M86" s="301" t="str">
        <f t="shared" si="3"/>
        <v xml:space="preserve"> N/A Mₒ&lt;0.3</v>
      </c>
      <c r="N86" s="301">
        <f t="shared" si="3"/>
        <v>123.88488353978531</v>
      </c>
      <c r="O86" s="288"/>
      <c r="P86" s="285"/>
      <c r="Q86" s="285"/>
      <c r="R86" s="285"/>
      <c r="S86" s="285"/>
      <c r="T86" s="285"/>
      <c r="U86" s="285"/>
      <c r="V86" s="285"/>
    </row>
    <row r="87" spans="1:22" ht="14.4" x14ac:dyDescent="0.3">
      <c r="A87" s="285"/>
      <c r="B87" s="285"/>
      <c r="C87" s="285"/>
      <c r="D87" s="286"/>
      <c r="E87" s="285"/>
      <c r="F87" s="285"/>
      <c r="G87" s="396"/>
      <c r="H87" s="287"/>
      <c r="I87" s="285"/>
      <c r="J87" s="285">
        <v>12</v>
      </c>
      <c r="K87" s="294" t="str">
        <f t="shared" si="2"/>
        <v xml:space="preserve"> N/A Mₒ&lt;0.3</v>
      </c>
      <c r="L87" s="301" t="str">
        <f t="shared" si="3"/>
        <v xml:space="preserve"> N/A Mₒ&lt;0.3</v>
      </c>
      <c r="M87" s="301" t="str">
        <f t="shared" si="3"/>
        <v xml:space="preserve"> N/A Mₒ&lt;0.3</v>
      </c>
      <c r="N87" s="301">
        <f t="shared" si="3"/>
        <v>125.26235169996423</v>
      </c>
      <c r="O87" s="319"/>
      <c r="P87" s="285"/>
      <c r="Q87" s="285"/>
      <c r="R87" s="285"/>
      <c r="S87" s="285"/>
      <c r="T87" s="285"/>
      <c r="U87" s="285"/>
      <c r="V87" s="285"/>
    </row>
    <row r="88" spans="1:22" ht="14.4" x14ac:dyDescent="0.3">
      <c r="A88" s="285"/>
      <c r="B88" s="285"/>
      <c r="C88" s="285"/>
      <c r="D88" s="286"/>
      <c r="E88" s="285"/>
      <c r="F88" s="285"/>
      <c r="G88" s="396"/>
      <c r="H88" s="287"/>
      <c r="I88" s="285"/>
      <c r="J88" s="285">
        <v>13</v>
      </c>
      <c r="K88" s="294" t="str">
        <f t="shared" si="2"/>
        <v xml:space="preserve"> N/A Mₒ&lt;0.3</v>
      </c>
      <c r="L88" s="301" t="str">
        <f t="shared" si="3"/>
        <v xml:space="preserve"> N/A Mₒ&lt;0.3</v>
      </c>
      <c r="M88" s="301" t="str">
        <f t="shared" si="3"/>
        <v xml:space="preserve"> N/A Mₒ&lt;0.3</v>
      </c>
      <c r="N88" s="301">
        <f t="shared" si="3"/>
        <v>126.36671642528783</v>
      </c>
      <c r="O88" s="320"/>
      <c r="P88" s="285"/>
      <c r="Q88" s="285"/>
      <c r="R88" s="285"/>
      <c r="S88" s="285"/>
      <c r="T88" s="285"/>
      <c r="U88" s="285"/>
      <c r="V88" s="285"/>
    </row>
    <row r="89" spans="1:22" ht="14.4" x14ac:dyDescent="0.3">
      <c r="A89" s="285"/>
      <c r="B89" s="285"/>
      <c r="C89" s="285"/>
      <c r="D89" s="286"/>
      <c r="E89" s="285"/>
      <c r="F89" s="285"/>
      <c r="G89" s="396"/>
      <c r="H89" s="287"/>
      <c r="I89" s="285"/>
      <c r="J89" s="285">
        <v>14</v>
      </c>
      <c r="K89" s="294" t="str">
        <f t="shared" si="2"/>
        <v xml:space="preserve"> N/A Mₒ&lt;0.3</v>
      </c>
      <c r="L89" s="301" t="str">
        <f t="shared" si="3"/>
        <v xml:space="preserve"> N/A Mₒ&lt;0.3</v>
      </c>
      <c r="M89" s="301" t="str">
        <f t="shared" si="3"/>
        <v xml:space="preserve"> N/A Mₒ&lt;0.3</v>
      </c>
      <c r="N89" s="301">
        <f t="shared" si="3"/>
        <v>127.31059232287561</v>
      </c>
      <c r="O89" s="320"/>
      <c r="P89" s="285"/>
      <c r="Q89" s="285"/>
      <c r="R89" s="285"/>
      <c r="S89" s="285"/>
      <c r="T89" s="285"/>
      <c r="U89" s="285"/>
      <c r="V89" s="285"/>
    </row>
    <row r="90" spans="1:22" ht="14.4" x14ac:dyDescent="0.3">
      <c r="A90" s="285"/>
      <c r="B90" s="285"/>
      <c r="C90" s="285"/>
      <c r="D90" s="286"/>
      <c r="E90" s="285"/>
      <c r="F90" s="285"/>
      <c r="G90" s="396"/>
      <c r="H90" s="287"/>
      <c r="I90" s="285"/>
      <c r="J90" s="285">
        <v>15</v>
      </c>
      <c r="K90" s="294" t="str">
        <f t="shared" si="2"/>
        <v xml:space="preserve"> N/A Mₒ&lt;0.3</v>
      </c>
      <c r="L90" s="301" t="str">
        <f t="shared" si="3"/>
        <v xml:space="preserve"> N/A Mₒ&lt;0.3</v>
      </c>
      <c r="M90" s="301" t="str">
        <f t="shared" si="3"/>
        <v xml:space="preserve"> N/A Mₒ&lt;0.3</v>
      </c>
      <c r="N90" s="301">
        <f t="shared" si="3"/>
        <v>128.0939833977051</v>
      </c>
      <c r="O90" s="320"/>
      <c r="P90" s="285"/>
      <c r="Q90" s="285"/>
      <c r="R90" s="285"/>
      <c r="S90" s="285"/>
      <c r="T90" s="285"/>
      <c r="U90" s="285"/>
      <c r="V90" s="285"/>
    </row>
    <row r="91" spans="1:22" ht="14.4" x14ac:dyDescent="0.3">
      <c r="A91" s="285"/>
      <c r="B91" s="285"/>
      <c r="C91" s="285"/>
      <c r="D91" s="286"/>
      <c r="E91" s="285"/>
      <c r="F91" s="285"/>
      <c r="G91" s="396"/>
      <c r="H91" s="287"/>
      <c r="I91" s="285"/>
      <c r="J91" s="285">
        <v>16</v>
      </c>
      <c r="K91" s="294" t="str">
        <f t="shared" si="2"/>
        <v xml:space="preserve"> N/A Mₒ&lt;0.3</v>
      </c>
      <c r="L91" s="301" t="str">
        <f t="shared" si="3"/>
        <v xml:space="preserve"> N/A Mₒ&lt;0.3</v>
      </c>
      <c r="M91" s="301" t="str">
        <f t="shared" si="3"/>
        <v xml:space="preserve"> N/A Mₒ&lt;0.3</v>
      </c>
      <c r="N91" s="301">
        <f t="shared" si="3"/>
        <v>128.6711018202482</v>
      </c>
      <c r="O91" s="288"/>
      <c r="P91" s="285"/>
      <c r="Q91" s="285"/>
      <c r="R91" s="285"/>
      <c r="S91" s="285"/>
      <c r="T91" s="285"/>
      <c r="U91" s="285"/>
      <c r="V91" s="285"/>
    </row>
    <row r="92" spans="1:22" ht="14.4" x14ac:dyDescent="0.3">
      <c r="A92" s="285"/>
      <c r="B92" s="285"/>
      <c r="C92" s="285"/>
      <c r="D92" s="286"/>
      <c r="E92" s="285"/>
      <c r="F92" s="285"/>
      <c r="G92" s="396"/>
      <c r="H92" s="287"/>
      <c r="I92" s="285"/>
      <c r="J92" s="285">
        <v>17</v>
      </c>
      <c r="K92" s="294" t="str">
        <f t="shared" si="2"/>
        <v xml:space="preserve"> N/A Mₒ&lt;0.3</v>
      </c>
      <c r="L92" s="301" t="str">
        <f t="shared" si="3"/>
        <v xml:space="preserve"> N/A Mₒ&lt;0.3</v>
      </c>
      <c r="M92" s="301" t="str">
        <f t="shared" si="3"/>
        <v xml:space="preserve"> N/A Mₒ&lt;0.3</v>
      </c>
      <c r="N92" s="301">
        <f t="shared" si="3"/>
        <v>128.97143658729641</v>
      </c>
      <c r="O92" s="288"/>
      <c r="P92" s="285"/>
      <c r="Q92" s="285"/>
      <c r="R92" s="285"/>
      <c r="S92" s="285"/>
      <c r="T92" s="285"/>
      <c r="U92" s="285"/>
      <c r="V92" s="285"/>
    </row>
    <row r="93" spans="1:22" ht="14.4" x14ac:dyDescent="0.3">
      <c r="A93" s="285"/>
      <c r="B93" s="285"/>
      <c r="C93" s="285"/>
      <c r="D93" s="286"/>
      <c r="E93" s="285"/>
      <c r="F93" s="285"/>
      <c r="G93" s="396"/>
      <c r="H93" s="287"/>
      <c r="I93" s="285"/>
      <c r="J93" s="285">
        <v>18</v>
      </c>
      <c r="K93" s="294" t="str">
        <f t="shared" si="2"/>
        <v xml:space="preserve"> N/A Mₒ&lt;0.3</v>
      </c>
      <c r="L93" s="301" t="str">
        <f t="shared" si="3"/>
        <v xml:space="preserve"> N/A Mₒ&lt;0.3</v>
      </c>
      <c r="M93" s="301" t="str">
        <f t="shared" si="3"/>
        <v xml:space="preserve"> N/A Mₒ&lt;0.3</v>
      </c>
      <c r="N93" s="301">
        <f t="shared" si="3"/>
        <v>129.00455111118384</v>
      </c>
      <c r="O93" s="319"/>
      <c r="P93" s="285"/>
      <c r="Q93" s="285"/>
      <c r="R93" s="285"/>
      <c r="S93" s="285"/>
      <c r="T93" s="285"/>
      <c r="U93" s="285"/>
      <c r="V93" s="285"/>
    </row>
    <row r="94" spans="1:22" ht="14.4" x14ac:dyDescent="0.3">
      <c r="A94" s="285"/>
      <c r="B94" s="285"/>
      <c r="C94" s="285"/>
      <c r="D94" s="286"/>
      <c r="E94" s="285"/>
      <c r="F94" s="285"/>
      <c r="G94" s="396"/>
      <c r="H94" s="287"/>
      <c r="I94" s="285"/>
      <c r="J94" s="285">
        <v>19</v>
      </c>
      <c r="K94" s="294" t="str">
        <f t="shared" si="2"/>
        <v xml:space="preserve"> N/A Mₒ&lt;0.3</v>
      </c>
      <c r="L94" s="301" t="str">
        <f t="shared" si="3"/>
        <v xml:space="preserve"> N/A Mₒ&lt;0.3</v>
      </c>
      <c r="M94" s="301" t="str">
        <f t="shared" si="3"/>
        <v xml:space="preserve"> N/A Mₒ&lt;0.3</v>
      </c>
      <c r="N94" s="301">
        <f t="shared" si="3"/>
        <v>128.69068949646038</v>
      </c>
      <c r="O94" s="288"/>
      <c r="P94" s="285"/>
      <c r="Q94" s="285"/>
      <c r="R94" s="285"/>
      <c r="S94" s="285"/>
      <c r="T94" s="285"/>
      <c r="U94" s="285"/>
      <c r="V94" s="285"/>
    </row>
    <row r="95" spans="1:22" ht="14.4" x14ac:dyDescent="0.3">
      <c r="A95" s="285"/>
      <c r="B95" s="285"/>
      <c r="C95" s="285"/>
      <c r="D95" s="286"/>
      <c r="E95" s="285"/>
      <c r="F95" s="285"/>
      <c r="G95" s="396"/>
      <c r="H95" s="287"/>
      <c r="I95" s="285"/>
      <c r="J95" s="285">
        <v>20</v>
      </c>
      <c r="K95" s="294" t="str">
        <f t="shared" si="2"/>
        <v xml:space="preserve"> N/A Mₒ&lt;0.3</v>
      </c>
      <c r="L95" s="301" t="str">
        <f t="shared" si="3"/>
        <v xml:space="preserve"> N/A Mₒ&lt;0.3</v>
      </c>
      <c r="M95" s="301" t="str">
        <f t="shared" si="3"/>
        <v xml:space="preserve"> N/A Mₒ&lt;0.3</v>
      </c>
      <c r="N95" s="301">
        <f t="shared" si="3"/>
        <v>128.02811780438211</v>
      </c>
      <c r="O95" s="288"/>
      <c r="P95" s="285"/>
      <c r="Q95" s="285"/>
      <c r="R95" s="285"/>
      <c r="S95" s="285"/>
      <c r="T95" s="285"/>
      <c r="U95" s="285"/>
      <c r="V95" s="285"/>
    </row>
    <row r="96" spans="1:22" ht="14.4" x14ac:dyDescent="0.3">
      <c r="A96" s="285"/>
      <c r="B96" s="285"/>
      <c r="C96" s="285"/>
      <c r="D96" s="286"/>
      <c r="E96" s="285"/>
      <c r="F96" s="285"/>
      <c r="G96" s="396"/>
      <c r="H96" s="287"/>
      <c r="I96" s="285"/>
      <c r="J96" s="285">
        <v>21</v>
      </c>
      <c r="K96" s="294" t="str">
        <f t="shared" si="2"/>
        <v xml:space="preserve"> N/A Mₒ&lt;0.3</v>
      </c>
      <c r="L96" s="301" t="str">
        <f t="shared" si="3"/>
        <v xml:space="preserve"> N/A Mₒ&lt;0.3</v>
      </c>
      <c r="M96" s="301" t="str">
        <f t="shared" si="3"/>
        <v xml:space="preserve"> N/A Mₒ&lt;0.3</v>
      </c>
      <c r="N96" s="301">
        <f t="shared" si="3"/>
        <v>126.98063601738548</v>
      </c>
      <c r="O96" s="288"/>
      <c r="P96" s="285"/>
      <c r="Q96" s="285"/>
      <c r="R96" s="285"/>
      <c r="S96" s="285"/>
      <c r="T96" s="285"/>
      <c r="U96" s="285"/>
      <c r="V96" s="285"/>
    </row>
    <row r="97" spans="1:22" ht="14.4" x14ac:dyDescent="0.3">
      <c r="A97" s="285"/>
      <c r="B97" s="285"/>
      <c r="C97" s="285"/>
      <c r="D97" s="286"/>
      <c r="E97" s="285"/>
      <c r="F97" s="285"/>
      <c r="G97" s="396"/>
      <c r="H97" s="287"/>
      <c r="I97" s="285"/>
      <c r="J97" s="285">
        <v>22</v>
      </c>
      <c r="K97" s="294" t="str">
        <f t="shared" si="2"/>
        <v xml:space="preserve"> N/A Mₒ&lt;0.3</v>
      </c>
      <c r="L97" s="301" t="str">
        <f t="shared" si="3"/>
        <v xml:space="preserve"> N/A Mₒ&lt;0.3</v>
      </c>
      <c r="M97" s="301" t="str">
        <f t="shared" si="3"/>
        <v xml:space="preserve"> N/A Mₒ&lt;0.3</v>
      </c>
      <c r="N97" s="301">
        <f t="shared" si="3"/>
        <v>125.39058597194261</v>
      </c>
      <c r="O97" s="288"/>
      <c r="P97" s="285"/>
      <c r="Q97" s="285"/>
      <c r="R97" s="285"/>
      <c r="S97" s="285"/>
      <c r="T97" s="285"/>
      <c r="U97" s="285"/>
      <c r="V97" s="285"/>
    </row>
    <row r="98" spans="1:22" ht="14.4" x14ac:dyDescent="0.3">
      <c r="A98" s="285"/>
      <c r="B98" s="285"/>
      <c r="C98" s="285"/>
      <c r="D98" s="286"/>
      <c r="E98" s="285"/>
      <c r="F98" s="285"/>
      <c r="G98" s="396"/>
      <c r="H98" s="287"/>
      <c r="I98" s="285"/>
      <c r="J98" s="285">
        <v>23</v>
      </c>
      <c r="K98" s="294" t="str">
        <f t="shared" si="2"/>
        <v xml:space="preserve"> N/A Mₒ&lt;0.3</v>
      </c>
      <c r="L98" s="301" t="str">
        <f t="shared" si="3"/>
        <v xml:space="preserve"> N/A Mₒ&lt;0.3</v>
      </c>
      <c r="M98" s="301" t="str">
        <f t="shared" si="3"/>
        <v xml:space="preserve"> N/A Mₒ&lt;0.3</v>
      </c>
      <c r="N98" s="301">
        <f t="shared" si="3"/>
        <v>123.6246334954962</v>
      </c>
      <c r="O98" s="288"/>
      <c r="P98" s="285"/>
      <c r="Q98" s="285"/>
      <c r="R98" s="285"/>
      <c r="S98" s="285"/>
      <c r="T98" s="285"/>
      <c r="U98" s="285"/>
      <c r="V98" s="285"/>
    </row>
    <row r="99" spans="1:22" ht="14.4" x14ac:dyDescent="0.3">
      <c r="A99" s="285"/>
      <c r="B99" s="285"/>
      <c r="C99" s="285"/>
      <c r="D99" s="286"/>
      <c r="E99" s="285"/>
      <c r="F99" s="285"/>
      <c r="G99" s="396"/>
      <c r="H99" s="287"/>
      <c r="I99" s="285"/>
      <c r="J99" s="285">
        <v>24</v>
      </c>
      <c r="K99" s="294" t="str">
        <f t="shared" si="2"/>
        <v xml:space="preserve"> N/A Mₒ&lt;0.3</v>
      </c>
      <c r="L99" s="301" t="str">
        <f t="shared" si="3"/>
        <v xml:space="preserve"> N/A Mₒ&lt;0.3</v>
      </c>
      <c r="M99" s="301" t="str">
        <f t="shared" si="3"/>
        <v xml:space="preserve"> N/A Mₒ&lt;0.3</v>
      </c>
      <c r="N99" s="301">
        <f t="shared" si="3"/>
        <v>121.62587660425511</v>
      </c>
      <c r="O99" s="288"/>
      <c r="P99" s="285"/>
      <c r="Q99" s="285"/>
      <c r="R99" s="285"/>
      <c r="S99" s="285"/>
      <c r="T99" s="285"/>
      <c r="U99" s="285"/>
      <c r="V99" s="285"/>
    </row>
    <row r="100" spans="1:22" ht="14.4" x14ac:dyDescent="0.3">
      <c r="A100" s="285"/>
      <c r="B100" s="285"/>
      <c r="C100" s="285"/>
      <c r="D100" s="286"/>
      <c r="E100" s="285"/>
      <c r="F100" s="285"/>
      <c r="G100" s="396"/>
      <c r="H100" s="287"/>
      <c r="I100" s="285"/>
      <c r="J100" s="285">
        <v>25</v>
      </c>
      <c r="K100" s="294" t="str">
        <f t="shared" si="2"/>
        <v xml:space="preserve"> N/A Mₒ&lt;0.3</v>
      </c>
      <c r="L100" s="301" t="str">
        <f t="shared" si="3"/>
        <v xml:space="preserve"> N/A Mₒ&lt;0.3</v>
      </c>
      <c r="M100" s="301" t="str">
        <f t="shared" si="3"/>
        <v xml:space="preserve"> N/A Mₒ&lt;0.3</v>
      </c>
      <c r="N100" s="301">
        <f t="shared" si="3"/>
        <v>119.38785003039111</v>
      </c>
      <c r="O100" s="288"/>
      <c r="P100" s="285"/>
      <c r="Q100" s="285"/>
      <c r="R100" s="285"/>
      <c r="S100" s="285"/>
      <c r="T100" s="285"/>
      <c r="U100" s="285"/>
      <c r="V100" s="285"/>
    </row>
    <row r="101" spans="1:22" ht="14.4" x14ac:dyDescent="0.3">
      <c r="A101" s="285"/>
      <c r="B101" s="285"/>
      <c r="C101" s="285"/>
      <c r="D101" s="286"/>
      <c r="E101" s="285"/>
      <c r="F101" s="285"/>
      <c r="G101" s="396"/>
      <c r="H101" s="287"/>
      <c r="I101" s="285"/>
      <c r="J101" s="285">
        <v>26</v>
      </c>
      <c r="K101" s="294" t="str">
        <f t="shared" si="2"/>
        <v xml:space="preserve"> N/A Mₒ&lt;0.3</v>
      </c>
      <c r="L101" s="301" t="str">
        <f t="shared" si="3"/>
        <v xml:space="preserve"> N/A Mₒ&lt;0.3</v>
      </c>
      <c r="M101" s="301" t="str">
        <f t="shared" si="3"/>
        <v xml:space="preserve"> N/A Mₒ&lt;0.3</v>
      </c>
      <c r="N101" s="301">
        <f t="shared" si="3"/>
        <v>116.96036384272155</v>
      </c>
      <c r="O101" s="288"/>
      <c r="P101" s="285"/>
      <c r="Q101" s="285"/>
      <c r="R101" s="285"/>
      <c r="S101" s="285"/>
      <c r="T101" s="285"/>
      <c r="U101" s="285"/>
      <c r="V101" s="285"/>
    </row>
    <row r="102" spans="1:22" ht="14.4" x14ac:dyDescent="0.3">
      <c r="A102" s="285"/>
      <c r="B102" s="285"/>
      <c r="C102" s="285"/>
      <c r="D102" s="286"/>
      <c r="E102" s="285"/>
      <c r="F102" s="285"/>
      <c r="G102" s="396"/>
      <c r="H102" s="287"/>
      <c r="I102" s="285"/>
      <c r="J102" s="285">
        <v>27</v>
      </c>
      <c r="K102" s="294" t="str">
        <f t="shared" si="2"/>
        <v xml:space="preserve"> N/A Mₒ&lt;0.3</v>
      </c>
      <c r="L102" s="301" t="str">
        <f t="shared" si="3"/>
        <v xml:space="preserve"> N/A Mₒ&lt;0.3</v>
      </c>
      <c r="M102" s="301" t="str">
        <f t="shared" si="3"/>
        <v xml:space="preserve"> N/A Mₒ&lt;0.3</v>
      </c>
      <c r="N102" s="301">
        <f t="shared" si="3"/>
        <v>114.62912188060963</v>
      </c>
      <c r="O102" s="288"/>
      <c r="P102" s="285"/>
      <c r="Q102" s="285"/>
      <c r="R102" s="285"/>
      <c r="S102" s="285"/>
      <c r="T102" s="285"/>
      <c r="U102" s="285"/>
      <c r="V102" s="285"/>
    </row>
    <row r="103" spans="1:22" ht="14.4" x14ac:dyDescent="0.3">
      <c r="A103" s="285"/>
      <c r="B103" s="285"/>
      <c r="C103" s="285"/>
      <c r="D103" s="286"/>
      <c r="E103" s="285"/>
      <c r="F103" s="285"/>
      <c r="G103" s="396"/>
      <c r="H103" s="287"/>
      <c r="I103" s="285"/>
      <c r="J103" s="285">
        <v>28</v>
      </c>
      <c r="K103" s="294" t="str">
        <f t="shared" si="2"/>
        <v xml:space="preserve"> N/A Mₒ&lt;0.3</v>
      </c>
      <c r="L103" s="301" t="str">
        <f t="shared" si="3"/>
        <v xml:space="preserve"> N/A Mₒ&lt;0.3</v>
      </c>
      <c r="M103" s="301" t="str">
        <f t="shared" si="3"/>
        <v xml:space="preserve"> N/A Mₒ&lt;0.3</v>
      </c>
      <c r="N103" s="301">
        <f t="shared" si="3"/>
        <v>112.17604667047884</v>
      </c>
      <c r="O103" s="288"/>
      <c r="P103" s="285"/>
      <c r="Q103" s="285"/>
      <c r="R103" s="285"/>
      <c r="S103" s="285"/>
      <c r="T103" s="285"/>
      <c r="U103" s="285"/>
      <c r="V103" s="285"/>
    </row>
    <row r="104" spans="1:22" ht="14.4" x14ac:dyDescent="0.3">
      <c r="A104" s="285"/>
      <c r="B104" s="285"/>
      <c r="C104" s="285"/>
      <c r="D104" s="286"/>
      <c r="E104" s="285"/>
      <c r="F104" s="285"/>
      <c r="G104" s="396"/>
      <c r="H104" s="287"/>
      <c r="I104" s="285"/>
      <c r="J104" s="285">
        <v>29</v>
      </c>
      <c r="K104" s="294" t="str">
        <f t="shared" si="2"/>
        <v xml:space="preserve"> N/A Mₒ&lt;0.3</v>
      </c>
      <c r="L104" s="301" t="str">
        <f t="shared" si="3"/>
        <v xml:space="preserve"> N/A Mₒ&lt;0.3</v>
      </c>
      <c r="M104" s="301" t="str">
        <f t="shared" si="3"/>
        <v xml:space="preserve"> N/A Mₒ&lt;0.3</v>
      </c>
      <c r="N104" s="301">
        <f t="shared" si="3"/>
        <v>109.61610999785344</v>
      </c>
      <c r="O104" s="288"/>
      <c r="P104" s="285"/>
      <c r="Q104" s="285"/>
      <c r="R104" s="285"/>
      <c r="S104" s="285"/>
      <c r="T104" s="285"/>
      <c r="U104" s="285"/>
      <c r="V104" s="285"/>
    </row>
    <row r="105" spans="1:22" ht="14.4" x14ac:dyDescent="0.3">
      <c r="A105" s="285"/>
      <c r="B105" s="285"/>
      <c r="C105" s="285"/>
      <c r="D105" s="286"/>
      <c r="E105" s="285"/>
      <c r="F105" s="285"/>
      <c r="G105" s="396"/>
      <c r="H105" s="287"/>
      <c r="I105" s="285"/>
      <c r="J105" s="285">
        <v>30</v>
      </c>
      <c r="K105" s="294" t="str">
        <f t="shared" si="2"/>
        <v xml:space="preserve"> N/A Mₒ&lt;0.3</v>
      </c>
      <c r="L105" s="301" t="str">
        <f t="shared" si="3"/>
        <v xml:space="preserve"> N/A Mₒ&lt;0.3</v>
      </c>
      <c r="M105" s="301" t="str">
        <f t="shared" si="3"/>
        <v xml:space="preserve"> N/A Mₒ&lt;0.3</v>
      </c>
      <c r="N105" s="301">
        <f t="shared" si="3"/>
        <v>107.21190607584703</v>
      </c>
      <c r="O105" s="288"/>
      <c r="P105" s="285"/>
      <c r="Q105" s="285"/>
      <c r="R105" s="285"/>
      <c r="S105" s="285"/>
      <c r="T105" s="285"/>
      <c r="U105" s="285"/>
      <c r="V105" s="285"/>
    </row>
    <row r="106" spans="1:22" ht="14.4" x14ac:dyDescent="0.3">
      <c r="A106" s="285"/>
      <c r="B106" s="285"/>
      <c r="C106" s="285"/>
      <c r="D106" s="286"/>
      <c r="E106" s="285"/>
      <c r="F106" s="285"/>
      <c r="G106" s="396"/>
      <c r="H106" s="287"/>
      <c r="I106" s="285"/>
      <c r="J106" s="285">
        <v>31</v>
      </c>
      <c r="K106" s="294" t="str">
        <f t="shared" si="2"/>
        <v xml:space="preserve"> N/A Mₒ&lt;0.3</v>
      </c>
      <c r="L106" s="301" t="str">
        <f t="shared" si="3"/>
        <v xml:space="preserve"> N/A Mₒ&lt;0.3</v>
      </c>
      <c r="M106" s="301" t="str">
        <f t="shared" si="3"/>
        <v xml:space="preserve"> N/A Mₒ&lt;0.3</v>
      </c>
      <c r="N106" s="301">
        <f t="shared" si="3"/>
        <v>104.8003164349107</v>
      </c>
      <c r="O106" s="288"/>
      <c r="P106" s="285"/>
      <c r="Q106" s="285"/>
      <c r="R106" s="285"/>
      <c r="S106" s="285"/>
      <c r="T106" s="285"/>
      <c r="U106" s="285"/>
      <c r="V106" s="285"/>
    </row>
    <row r="107" spans="1:22" ht="14.4" x14ac:dyDescent="0.3">
      <c r="A107" s="285"/>
      <c r="B107" s="285"/>
      <c r="C107" s="285"/>
      <c r="D107" s="286"/>
      <c r="E107" s="285"/>
      <c r="F107" s="285"/>
      <c r="G107" s="396"/>
      <c r="H107" s="287"/>
      <c r="I107" s="285"/>
      <c r="J107" s="285">
        <v>32</v>
      </c>
      <c r="K107" s="294" t="str">
        <f t="shared" si="2"/>
        <v xml:space="preserve"> N/A Mₒ&lt;0.3</v>
      </c>
      <c r="L107" s="301" t="str">
        <f t="shared" si="3"/>
        <v xml:space="preserve"> N/A Mₒ&lt;0.3</v>
      </c>
      <c r="M107" s="301" t="str">
        <f t="shared" si="3"/>
        <v xml:space="preserve"> N/A Mₒ&lt;0.3</v>
      </c>
      <c r="N107" s="301">
        <f t="shared" si="3"/>
        <v>102.12736039359281</v>
      </c>
      <c r="O107" s="288"/>
      <c r="P107" s="285"/>
      <c r="Q107" s="285"/>
      <c r="R107" s="285"/>
      <c r="S107" s="285"/>
      <c r="T107" s="285"/>
      <c r="U107" s="285"/>
      <c r="V107" s="285"/>
    </row>
    <row r="108" spans="1:22" ht="14.4" x14ac:dyDescent="0.3">
      <c r="A108" s="285"/>
      <c r="B108" s="285"/>
      <c r="C108" s="285"/>
      <c r="D108" s="286"/>
      <c r="E108" s="285"/>
      <c r="F108" s="285"/>
      <c r="G108" s="396"/>
      <c r="H108" s="287"/>
      <c r="I108" s="285"/>
      <c r="J108" s="285">
        <v>33</v>
      </c>
      <c r="K108" s="294" t="str">
        <f t="shared" si="2"/>
        <v xml:space="preserve"> N/A Mₒ&lt;0.3</v>
      </c>
      <c r="L108" s="301" t="str">
        <f t="shared" si="3"/>
        <v xml:space="preserve"> N/A Mₒ&lt;0.3</v>
      </c>
      <c r="M108" s="301" t="str">
        <f t="shared" si="3"/>
        <v xml:space="preserve"> N/A Mₒ&lt;0.3</v>
      </c>
      <c r="N108" s="301">
        <f t="shared" si="3"/>
        <v>99.708513745445913</v>
      </c>
      <c r="O108" s="288"/>
      <c r="P108" s="285"/>
      <c r="Q108" s="285"/>
      <c r="R108" s="285"/>
      <c r="S108" s="285"/>
      <c r="T108" s="285"/>
      <c r="U108" s="285"/>
      <c r="V108" s="285"/>
    </row>
    <row r="109" spans="1:22" ht="14.4" x14ac:dyDescent="0.3">
      <c r="A109" s="285"/>
      <c r="B109" s="285"/>
      <c r="C109" s="285"/>
      <c r="D109" s="286"/>
      <c r="E109" s="285"/>
      <c r="F109" s="285"/>
      <c r="G109" s="396"/>
      <c r="H109" s="318" t="s">
        <v>374</v>
      </c>
      <c r="I109" s="285">
        <v>43</v>
      </c>
      <c r="J109" s="285" t="s">
        <v>373</v>
      </c>
      <c r="K109" s="294" t="str">
        <f>IF(M_o..K&gt;0.3,10*LOG10(10^(L_pi_f_i/10)+10^(L_piR_f_i/10)),"N/A Mₒ&lt;0.3")</f>
        <v>N/A Mₒ&lt;0.3</v>
      </c>
      <c r="L109" s="301" t="str">
        <f t="shared" ref="L109:N128" si="4">IF(L$30&gt;0.3,10*LOG10(10^(L34/10)+10^(L76/10)),"N/A Mₒ&lt;0.3")</f>
        <v>N/A Mₒ&lt;0.3</v>
      </c>
      <c r="M109" s="301" t="str">
        <f t="shared" si="4"/>
        <v>N/A Mₒ&lt;0.3</v>
      </c>
      <c r="N109" s="301">
        <f t="shared" ca="1" si="4"/>
        <v>115.23167555755974</v>
      </c>
      <c r="O109" s="288"/>
      <c r="P109" s="285"/>
      <c r="Q109" s="285"/>
      <c r="R109" s="285"/>
      <c r="S109" s="285"/>
      <c r="T109" s="285"/>
      <c r="U109" s="285"/>
      <c r="V109" s="285"/>
    </row>
    <row r="110" spans="1:22" ht="14.4" x14ac:dyDescent="0.3">
      <c r="A110" s="285"/>
      <c r="B110" s="285"/>
      <c r="C110" s="285"/>
      <c r="D110" s="286"/>
      <c r="E110" s="285"/>
      <c r="F110" s="285"/>
      <c r="G110" s="396"/>
      <c r="H110" s="287" t="s">
        <v>372</v>
      </c>
      <c r="I110" s="285"/>
      <c r="J110" s="285">
        <v>2</v>
      </c>
      <c r="K110" s="294" t="str">
        <f t="shared" ref="K110:K141" si="5">IF(M_o..K&gt;0.3,10*LOG10(10^(K35/10)+10^(K77/10)),"N/A Mₒ&lt;0.3")</f>
        <v>N/A Mₒ&lt;0.3</v>
      </c>
      <c r="L110" s="301" t="str">
        <f t="shared" si="4"/>
        <v>N/A Mₒ&lt;0.3</v>
      </c>
      <c r="M110" s="301" t="str">
        <f t="shared" si="4"/>
        <v>N/A Mₒ&lt;0.3</v>
      </c>
      <c r="N110" s="301">
        <f t="shared" ca="1" si="4"/>
        <v>117.05104415712654</v>
      </c>
      <c r="O110" s="288"/>
      <c r="P110" s="285"/>
      <c r="Q110" s="285"/>
      <c r="R110" s="285"/>
      <c r="S110" s="285"/>
      <c r="T110" s="285"/>
      <c r="U110" s="285"/>
      <c r="V110" s="285"/>
    </row>
    <row r="111" spans="1:22" ht="14.4" x14ac:dyDescent="0.3">
      <c r="A111" s="285"/>
      <c r="B111" s="285"/>
      <c r="C111" s="285"/>
      <c r="D111" s="286"/>
      <c r="E111" s="285"/>
      <c r="F111" s="285"/>
      <c r="G111" s="396"/>
      <c r="H111" s="287"/>
      <c r="I111" s="285"/>
      <c r="J111" s="285">
        <v>3</v>
      </c>
      <c r="K111" s="294" t="str">
        <f t="shared" si="5"/>
        <v>N/A Mₒ&lt;0.3</v>
      </c>
      <c r="L111" s="301" t="str">
        <f t="shared" si="4"/>
        <v>N/A Mₒ&lt;0.3</v>
      </c>
      <c r="M111" s="301" t="str">
        <f t="shared" si="4"/>
        <v>N/A Mₒ&lt;0.3</v>
      </c>
      <c r="N111" s="301">
        <f t="shared" ca="1" si="4"/>
        <v>118.69421712082377</v>
      </c>
      <c r="O111" s="288"/>
      <c r="P111" s="285"/>
      <c r="Q111" s="285"/>
      <c r="R111" s="285"/>
      <c r="S111" s="285"/>
      <c r="T111" s="285"/>
      <c r="U111" s="285"/>
      <c r="V111" s="285"/>
    </row>
    <row r="112" spans="1:22" ht="14.4" x14ac:dyDescent="0.3">
      <c r="A112" s="285"/>
      <c r="B112" s="285"/>
      <c r="C112" s="285"/>
      <c r="D112" s="286"/>
      <c r="E112" s="285"/>
      <c r="F112" s="285"/>
      <c r="G112" s="396"/>
      <c r="H112" s="287"/>
      <c r="I112" s="285"/>
      <c r="J112" s="285">
        <v>4</v>
      </c>
      <c r="K112" s="294" t="str">
        <f t="shared" si="5"/>
        <v>N/A Mₒ&lt;0.3</v>
      </c>
      <c r="L112" s="301" t="str">
        <f t="shared" si="4"/>
        <v>N/A Mₒ&lt;0.3</v>
      </c>
      <c r="M112" s="301" t="str">
        <f t="shared" si="4"/>
        <v>N/A Mₒ&lt;0.3</v>
      </c>
      <c r="N112" s="301">
        <f t="shared" ca="1" si="4"/>
        <v>120.33543167095978</v>
      </c>
      <c r="O112" s="288"/>
      <c r="P112" s="285"/>
      <c r="Q112" s="285"/>
      <c r="R112" s="285"/>
      <c r="S112" s="285"/>
      <c r="T112" s="285"/>
      <c r="U112" s="285"/>
      <c r="V112" s="285"/>
    </row>
    <row r="113" spans="1:22" ht="14.4" x14ac:dyDescent="0.3">
      <c r="A113" s="285"/>
      <c r="B113" s="285"/>
      <c r="C113" s="285"/>
      <c r="D113" s="286"/>
      <c r="E113" s="285"/>
      <c r="F113" s="285"/>
      <c r="G113" s="396"/>
      <c r="H113" s="287"/>
      <c r="I113" s="285"/>
      <c r="J113" s="285">
        <v>5</v>
      </c>
      <c r="K113" s="294" t="str">
        <f t="shared" si="5"/>
        <v>N/A Mₒ&lt;0.3</v>
      </c>
      <c r="L113" s="301" t="str">
        <f t="shared" si="4"/>
        <v>N/A Mₒ&lt;0.3</v>
      </c>
      <c r="M113" s="301" t="str">
        <f t="shared" si="4"/>
        <v>N/A Mₒ&lt;0.3</v>
      </c>
      <c r="N113" s="301">
        <f t="shared" ca="1" si="4"/>
        <v>122.03225052824321</v>
      </c>
      <c r="O113" s="288"/>
      <c r="P113" s="285"/>
      <c r="Q113" s="285"/>
      <c r="R113" s="285"/>
      <c r="S113" s="285"/>
      <c r="T113" s="285"/>
      <c r="U113" s="285"/>
      <c r="V113" s="285"/>
    </row>
    <row r="114" spans="1:22" ht="14.4" x14ac:dyDescent="0.3">
      <c r="A114" s="285"/>
      <c r="B114" s="285"/>
      <c r="C114" s="285"/>
      <c r="D114" s="286"/>
      <c r="E114" s="285"/>
      <c r="F114" s="285"/>
      <c r="G114" s="396"/>
      <c r="H114" s="287"/>
      <c r="I114" s="285"/>
      <c r="J114" s="285">
        <v>6</v>
      </c>
      <c r="K114" s="294" t="str">
        <f t="shared" si="5"/>
        <v>N/A Mₒ&lt;0.3</v>
      </c>
      <c r="L114" s="301" t="str">
        <f t="shared" si="4"/>
        <v>N/A Mₒ&lt;0.3</v>
      </c>
      <c r="M114" s="301" t="str">
        <f t="shared" si="4"/>
        <v>N/A Mₒ&lt;0.3</v>
      </c>
      <c r="N114" s="301">
        <f t="shared" ca="1" si="4"/>
        <v>123.78150635115487</v>
      </c>
      <c r="O114" s="288"/>
      <c r="P114" s="285"/>
      <c r="Q114" s="285"/>
      <c r="R114" s="285"/>
      <c r="S114" s="285"/>
      <c r="T114" s="285"/>
      <c r="U114" s="285"/>
      <c r="V114" s="285"/>
    </row>
    <row r="115" spans="1:22" ht="14.4" x14ac:dyDescent="0.3">
      <c r="A115" s="285"/>
      <c r="B115" s="285"/>
      <c r="C115" s="285"/>
      <c r="D115" s="286"/>
      <c r="E115" s="285"/>
      <c r="F115" s="285"/>
      <c r="G115" s="396"/>
      <c r="H115" s="287"/>
      <c r="I115" s="285"/>
      <c r="J115" s="285">
        <v>7</v>
      </c>
      <c r="K115" s="294" t="str">
        <f t="shared" si="5"/>
        <v>N/A Mₒ&lt;0.3</v>
      </c>
      <c r="L115" s="301" t="str">
        <f t="shared" si="4"/>
        <v>N/A Mₒ&lt;0.3</v>
      </c>
      <c r="M115" s="301" t="str">
        <f t="shared" si="4"/>
        <v>N/A Mₒ&lt;0.3</v>
      </c>
      <c r="N115" s="301">
        <f t="shared" ca="1" si="4"/>
        <v>125.40922127848376</v>
      </c>
      <c r="O115" s="288"/>
      <c r="P115" s="285"/>
      <c r="Q115" s="285"/>
      <c r="R115" s="285"/>
      <c r="S115" s="285"/>
      <c r="T115" s="285"/>
      <c r="U115" s="285"/>
      <c r="V115" s="285"/>
    </row>
    <row r="116" spans="1:22" ht="14.4" x14ac:dyDescent="0.3">
      <c r="A116" s="285"/>
      <c r="B116" s="285"/>
      <c r="C116" s="285"/>
      <c r="D116" s="286"/>
      <c r="E116" s="285"/>
      <c r="F116" s="285"/>
      <c r="G116" s="396"/>
      <c r="H116" s="287"/>
      <c r="I116" s="285"/>
      <c r="J116" s="285">
        <v>8</v>
      </c>
      <c r="K116" s="294" t="str">
        <f t="shared" si="5"/>
        <v>N/A Mₒ&lt;0.3</v>
      </c>
      <c r="L116" s="301" t="str">
        <f t="shared" si="4"/>
        <v>N/A Mₒ&lt;0.3</v>
      </c>
      <c r="M116" s="301" t="str">
        <f t="shared" si="4"/>
        <v>N/A Mₒ&lt;0.3</v>
      </c>
      <c r="N116" s="301">
        <f t="shared" ca="1" si="4"/>
        <v>127.08598059520628</v>
      </c>
      <c r="O116" s="288"/>
      <c r="P116" s="285"/>
      <c r="Q116" s="285"/>
      <c r="R116" s="285"/>
      <c r="S116" s="285"/>
      <c r="T116" s="285"/>
      <c r="U116" s="285"/>
      <c r="V116" s="285"/>
    </row>
    <row r="117" spans="1:22" ht="14.4" x14ac:dyDescent="0.3">
      <c r="A117" s="285"/>
      <c r="B117" s="285"/>
      <c r="C117" s="285"/>
      <c r="D117" s="286"/>
      <c r="E117" s="285"/>
      <c r="F117" s="285"/>
      <c r="G117" s="396"/>
      <c r="H117" s="287"/>
      <c r="I117" s="285"/>
      <c r="J117" s="285">
        <v>9</v>
      </c>
      <c r="K117" s="294" t="str">
        <f t="shared" si="5"/>
        <v>N/A Mₒ&lt;0.3</v>
      </c>
      <c r="L117" s="301" t="str">
        <f t="shared" si="4"/>
        <v>N/A Mₒ&lt;0.3</v>
      </c>
      <c r="M117" s="301" t="str">
        <f t="shared" si="4"/>
        <v>N/A Mₒ&lt;0.3</v>
      </c>
      <c r="N117" s="301">
        <f t="shared" ca="1" si="4"/>
        <v>128.80546735872065</v>
      </c>
      <c r="O117" s="288"/>
      <c r="P117" s="285"/>
      <c r="Q117" s="285"/>
      <c r="R117" s="285"/>
      <c r="S117" s="285"/>
      <c r="T117" s="285"/>
      <c r="U117" s="285"/>
      <c r="V117" s="285"/>
    </row>
    <row r="118" spans="1:22" ht="14.4" x14ac:dyDescent="0.3">
      <c r="A118" s="285"/>
      <c r="B118" s="285"/>
      <c r="C118" s="285"/>
      <c r="D118" s="286"/>
      <c r="E118" s="285"/>
      <c r="F118" s="285"/>
      <c r="G118" s="396"/>
      <c r="H118" s="287"/>
      <c r="I118" s="285"/>
      <c r="J118" s="285">
        <v>10</v>
      </c>
      <c r="K118" s="294" t="str">
        <f t="shared" si="5"/>
        <v>N/A Mₒ&lt;0.3</v>
      </c>
      <c r="L118" s="301" t="str">
        <f t="shared" si="4"/>
        <v>N/A Mₒ&lt;0.3</v>
      </c>
      <c r="M118" s="301" t="str">
        <f t="shared" si="4"/>
        <v>N/A Mₒ&lt;0.3</v>
      </c>
      <c r="N118" s="301">
        <f t="shared" ca="1" si="4"/>
        <v>130.39415687000539</v>
      </c>
      <c r="O118" s="288"/>
      <c r="P118" s="285"/>
      <c r="Q118" s="285"/>
      <c r="R118" s="285"/>
      <c r="S118" s="285"/>
      <c r="T118" s="285"/>
      <c r="U118" s="285"/>
      <c r="V118" s="285"/>
    </row>
    <row r="119" spans="1:22" ht="14.4" x14ac:dyDescent="0.3">
      <c r="A119" s="285"/>
      <c r="B119" s="285"/>
      <c r="C119" s="285"/>
      <c r="D119" s="286"/>
      <c r="E119" s="285"/>
      <c r="F119" s="285"/>
      <c r="G119" s="396"/>
      <c r="H119" s="287"/>
      <c r="I119" s="285"/>
      <c r="J119" s="285">
        <v>11</v>
      </c>
      <c r="K119" s="294" t="str">
        <f t="shared" si="5"/>
        <v>N/A Mₒ&lt;0.3</v>
      </c>
      <c r="L119" s="301" t="str">
        <f t="shared" si="4"/>
        <v>N/A Mₒ&lt;0.3</v>
      </c>
      <c r="M119" s="301" t="str">
        <f t="shared" si="4"/>
        <v>N/A Mₒ&lt;0.3</v>
      </c>
      <c r="N119" s="301">
        <f t="shared" ca="1" si="4"/>
        <v>131.96014774318263</v>
      </c>
      <c r="O119" s="288"/>
      <c r="P119" s="285"/>
      <c r="Q119" s="285"/>
      <c r="R119" s="285"/>
      <c r="S119" s="285"/>
      <c r="T119" s="285"/>
      <c r="U119" s="285"/>
      <c r="V119" s="285"/>
    </row>
    <row r="120" spans="1:22" ht="14.4" x14ac:dyDescent="0.3">
      <c r="A120" s="285"/>
      <c r="B120" s="285"/>
      <c r="C120" s="285"/>
      <c r="D120" s="286"/>
      <c r="E120" s="285"/>
      <c r="F120" s="285"/>
      <c r="G120" s="396"/>
      <c r="H120" s="287"/>
      <c r="I120" s="285"/>
      <c r="J120" s="285">
        <v>12</v>
      </c>
      <c r="K120" s="294" t="str">
        <f t="shared" si="5"/>
        <v>N/A Mₒ&lt;0.3</v>
      </c>
      <c r="L120" s="301" t="str">
        <f t="shared" si="4"/>
        <v>N/A Mₒ&lt;0.3</v>
      </c>
      <c r="M120" s="301" t="str">
        <f t="shared" si="4"/>
        <v>N/A Mₒ&lt;0.3</v>
      </c>
      <c r="N120" s="301">
        <f t="shared" ca="1" si="4"/>
        <v>133.65777363940941</v>
      </c>
      <c r="O120" s="288"/>
      <c r="P120" s="285"/>
      <c r="Q120" s="285"/>
      <c r="R120" s="285"/>
      <c r="S120" s="285"/>
      <c r="T120" s="285"/>
      <c r="U120" s="285"/>
      <c r="V120" s="285"/>
    </row>
    <row r="121" spans="1:22" ht="14.4" x14ac:dyDescent="0.3">
      <c r="A121" s="285"/>
      <c r="B121" s="285"/>
      <c r="C121" s="285"/>
      <c r="D121" s="286"/>
      <c r="E121" s="285"/>
      <c r="F121" s="285"/>
      <c r="G121" s="396"/>
      <c r="H121" s="287"/>
      <c r="I121" s="285"/>
      <c r="J121" s="285">
        <v>13</v>
      </c>
      <c r="K121" s="294" t="str">
        <f t="shared" si="5"/>
        <v>N/A Mₒ&lt;0.3</v>
      </c>
      <c r="L121" s="301" t="str">
        <f t="shared" si="4"/>
        <v>N/A Mₒ&lt;0.3</v>
      </c>
      <c r="M121" s="301" t="str">
        <f t="shared" si="4"/>
        <v>N/A Mₒ&lt;0.3</v>
      </c>
      <c r="N121" s="301">
        <f t="shared" ca="1" si="4"/>
        <v>135.15202757469265</v>
      </c>
      <c r="O121" s="288"/>
      <c r="P121" s="285"/>
      <c r="Q121" s="285"/>
      <c r="R121" s="285"/>
      <c r="S121" s="285"/>
      <c r="T121" s="285"/>
      <c r="U121" s="285"/>
      <c r="V121" s="285"/>
    </row>
    <row r="122" spans="1:22" ht="14.4" x14ac:dyDescent="0.3">
      <c r="A122" s="285"/>
      <c r="B122" s="285"/>
      <c r="C122" s="285"/>
      <c r="D122" s="286"/>
      <c r="E122" s="285"/>
      <c r="F122" s="285"/>
      <c r="G122" s="396"/>
      <c r="H122" s="287"/>
      <c r="I122" s="285"/>
      <c r="J122" s="285">
        <v>14</v>
      </c>
      <c r="K122" s="294" t="str">
        <f t="shared" si="5"/>
        <v>N/A Mₒ&lt;0.3</v>
      </c>
      <c r="L122" s="301" t="str">
        <f t="shared" si="4"/>
        <v>N/A Mₒ&lt;0.3</v>
      </c>
      <c r="M122" s="301" t="str">
        <f t="shared" si="4"/>
        <v>N/A Mₒ&lt;0.3</v>
      </c>
      <c r="N122" s="301">
        <f t="shared" ca="1" si="4"/>
        <v>136.59830232749604</v>
      </c>
      <c r="O122" s="288"/>
      <c r="P122" s="285"/>
      <c r="Q122" s="285"/>
      <c r="R122" s="285"/>
      <c r="S122" s="285"/>
      <c r="T122" s="285"/>
      <c r="U122" s="285"/>
      <c r="V122" s="285"/>
    </row>
    <row r="123" spans="1:22" ht="14.4" x14ac:dyDescent="0.3">
      <c r="A123" s="285"/>
      <c r="B123" s="285"/>
      <c r="C123" s="285"/>
      <c r="D123" s="286"/>
      <c r="E123" s="285"/>
      <c r="F123" s="285"/>
      <c r="G123" s="396"/>
      <c r="H123" s="287"/>
      <c r="I123" s="285"/>
      <c r="J123" s="285">
        <v>15</v>
      </c>
      <c r="K123" s="294" t="str">
        <f t="shared" si="5"/>
        <v>N/A Mₒ&lt;0.3</v>
      </c>
      <c r="L123" s="301" t="str">
        <f t="shared" si="4"/>
        <v>N/A Mₒ&lt;0.3</v>
      </c>
      <c r="M123" s="301" t="str">
        <f t="shared" si="4"/>
        <v>N/A Mₒ&lt;0.3</v>
      </c>
      <c r="N123" s="301">
        <f t="shared" ca="1" si="4"/>
        <v>138.03346296590706</v>
      </c>
      <c r="O123" s="288"/>
      <c r="P123" s="285"/>
      <c r="Q123" s="285"/>
      <c r="R123" s="285"/>
      <c r="S123" s="285"/>
      <c r="T123" s="285"/>
      <c r="U123" s="285"/>
      <c r="V123" s="285"/>
    </row>
    <row r="124" spans="1:22" ht="14.4" x14ac:dyDescent="0.3">
      <c r="A124" s="285"/>
      <c r="B124" s="285"/>
      <c r="C124" s="285"/>
      <c r="D124" s="286"/>
      <c r="E124" s="285"/>
      <c r="F124" s="285"/>
      <c r="G124" s="396"/>
      <c r="H124" s="287"/>
      <c r="I124" s="285"/>
      <c r="J124" s="285">
        <v>16</v>
      </c>
      <c r="K124" s="294" t="str">
        <f t="shared" si="5"/>
        <v>N/A Mₒ&lt;0.3</v>
      </c>
      <c r="L124" s="301" t="str">
        <f t="shared" si="4"/>
        <v>N/A Mₒ&lt;0.3</v>
      </c>
      <c r="M124" s="301" t="str">
        <f t="shared" si="4"/>
        <v>N/A Mₒ&lt;0.3</v>
      </c>
      <c r="N124" s="301">
        <f t="shared" ca="1" si="4"/>
        <v>139.43272453576444</v>
      </c>
      <c r="O124" s="288"/>
      <c r="P124" s="285"/>
      <c r="Q124" s="285"/>
      <c r="R124" s="285"/>
      <c r="S124" s="285"/>
      <c r="T124" s="285"/>
      <c r="U124" s="285"/>
      <c r="V124" s="285"/>
    </row>
    <row r="125" spans="1:22" ht="14.4" x14ac:dyDescent="0.3">
      <c r="A125" s="285"/>
      <c r="B125" s="285"/>
      <c r="C125" s="285"/>
      <c r="D125" s="286"/>
      <c r="E125" s="285"/>
      <c r="F125" s="285"/>
      <c r="G125" s="396"/>
      <c r="H125" s="287"/>
      <c r="I125" s="285"/>
      <c r="J125" s="285">
        <v>17</v>
      </c>
      <c r="K125" s="294" t="str">
        <f t="shared" si="5"/>
        <v>N/A Mₒ&lt;0.3</v>
      </c>
      <c r="L125" s="301" t="str">
        <f t="shared" si="4"/>
        <v>N/A Mₒ&lt;0.3</v>
      </c>
      <c r="M125" s="301" t="str">
        <f t="shared" si="4"/>
        <v>N/A Mₒ&lt;0.3</v>
      </c>
      <c r="N125" s="301">
        <f t="shared" ca="1" si="4"/>
        <v>140.64215727104798</v>
      </c>
      <c r="O125" s="288"/>
      <c r="P125" s="285"/>
      <c r="Q125" s="285"/>
      <c r="R125" s="285"/>
      <c r="S125" s="285"/>
      <c r="T125" s="285"/>
      <c r="U125" s="285"/>
      <c r="V125" s="285"/>
    </row>
    <row r="126" spans="1:22" ht="14.4" x14ac:dyDescent="0.3">
      <c r="A126" s="285"/>
      <c r="B126" s="285"/>
      <c r="C126" s="285"/>
      <c r="D126" s="286"/>
      <c r="E126" s="285"/>
      <c r="F126" s="285"/>
      <c r="G126" s="396"/>
      <c r="H126" s="287"/>
      <c r="I126" s="285"/>
      <c r="J126" s="285">
        <v>18</v>
      </c>
      <c r="K126" s="294" t="str">
        <f t="shared" si="5"/>
        <v>N/A Mₒ&lt;0.3</v>
      </c>
      <c r="L126" s="301" t="str">
        <f t="shared" si="4"/>
        <v>N/A Mₒ&lt;0.3</v>
      </c>
      <c r="M126" s="301" t="str">
        <f t="shared" si="4"/>
        <v>N/A Mₒ&lt;0.3</v>
      </c>
      <c r="N126" s="301">
        <f t="shared" ca="1" si="4"/>
        <v>141.77041136831758</v>
      </c>
      <c r="O126" s="288"/>
      <c r="P126" s="285"/>
      <c r="Q126" s="285"/>
      <c r="R126" s="285"/>
      <c r="S126" s="285"/>
      <c r="T126" s="285"/>
      <c r="U126" s="285"/>
      <c r="V126" s="285"/>
    </row>
    <row r="127" spans="1:22" ht="14.4" x14ac:dyDescent="0.3">
      <c r="A127" s="285"/>
      <c r="B127" s="285"/>
      <c r="C127" s="285"/>
      <c r="D127" s="286"/>
      <c r="E127" s="285"/>
      <c r="F127" s="285"/>
      <c r="G127" s="396"/>
      <c r="H127" s="287"/>
      <c r="I127" s="285"/>
      <c r="J127" s="285">
        <v>19</v>
      </c>
      <c r="K127" s="294" t="str">
        <f t="shared" si="5"/>
        <v>N/A Mₒ&lt;0.3</v>
      </c>
      <c r="L127" s="301" t="str">
        <f t="shared" si="4"/>
        <v>N/A Mₒ&lt;0.3</v>
      </c>
      <c r="M127" s="301" t="str">
        <f t="shared" si="4"/>
        <v>N/A Mₒ&lt;0.3</v>
      </c>
      <c r="N127" s="301">
        <f t="shared" ca="1" si="4"/>
        <v>142.77485298328884</v>
      </c>
      <c r="O127" s="288"/>
      <c r="P127" s="285"/>
      <c r="Q127" s="285"/>
      <c r="R127" s="285"/>
      <c r="S127" s="285"/>
      <c r="T127" s="285"/>
      <c r="U127" s="285"/>
      <c r="V127" s="285"/>
    </row>
    <row r="128" spans="1:22" ht="14.4" x14ac:dyDescent="0.3">
      <c r="A128" s="285"/>
      <c r="B128" s="285"/>
      <c r="C128" s="285"/>
      <c r="D128" s="286"/>
      <c r="E128" s="285"/>
      <c r="F128" s="285"/>
      <c r="G128" s="396"/>
      <c r="H128" s="287"/>
      <c r="I128" s="285"/>
      <c r="J128" s="285">
        <v>20</v>
      </c>
      <c r="K128" s="294" t="str">
        <f t="shared" si="5"/>
        <v>N/A Mₒ&lt;0.3</v>
      </c>
      <c r="L128" s="301" t="str">
        <f t="shared" si="4"/>
        <v>N/A Mₒ&lt;0.3</v>
      </c>
      <c r="M128" s="301" t="str">
        <f t="shared" si="4"/>
        <v>N/A Mₒ&lt;0.3</v>
      </c>
      <c r="N128" s="301">
        <f t="shared" ca="1" si="4"/>
        <v>143.53947452864216</v>
      </c>
      <c r="O128" s="288"/>
      <c r="P128" s="285"/>
      <c r="Q128" s="285"/>
      <c r="R128" s="285"/>
      <c r="S128" s="285"/>
      <c r="T128" s="285"/>
      <c r="U128" s="285"/>
      <c r="V128" s="285"/>
    </row>
    <row r="129" spans="1:22" ht="14.4" x14ac:dyDescent="0.3">
      <c r="A129" s="285"/>
      <c r="B129" s="285"/>
      <c r="C129" s="285"/>
      <c r="D129" s="286"/>
      <c r="E129" s="285"/>
      <c r="F129" s="285"/>
      <c r="G129" s="396"/>
      <c r="H129" s="287"/>
      <c r="I129" s="285"/>
      <c r="J129" s="285">
        <v>21</v>
      </c>
      <c r="K129" s="294" t="str">
        <f t="shared" si="5"/>
        <v>N/A Mₒ&lt;0.3</v>
      </c>
      <c r="L129" s="301" t="str">
        <f t="shared" ref="L129:N141" si="6">IF(L$30&gt;0.3,10*LOG10(10^(L54/10)+10^(L96/10)),"N/A Mₒ&lt;0.3")</f>
        <v>N/A Mₒ&lt;0.3</v>
      </c>
      <c r="M129" s="301" t="str">
        <f t="shared" si="6"/>
        <v>N/A Mₒ&lt;0.3</v>
      </c>
      <c r="N129" s="301">
        <f t="shared" ca="1" si="6"/>
        <v>144.11487624896381</v>
      </c>
      <c r="O129" s="288"/>
      <c r="P129" s="285"/>
      <c r="Q129" s="285"/>
      <c r="R129" s="285"/>
      <c r="S129" s="285"/>
      <c r="T129" s="285"/>
      <c r="U129" s="285"/>
      <c r="V129" s="285"/>
    </row>
    <row r="130" spans="1:22" ht="14.4" x14ac:dyDescent="0.3">
      <c r="A130" s="285"/>
      <c r="B130" s="285"/>
      <c r="C130" s="285"/>
      <c r="D130" s="286"/>
      <c r="E130" s="285"/>
      <c r="F130" s="285"/>
      <c r="G130" s="396"/>
      <c r="H130" s="287"/>
      <c r="I130" s="285"/>
      <c r="J130" s="285">
        <v>22</v>
      </c>
      <c r="K130" s="294" t="str">
        <f t="shared" si="5"/>
        <v>N/A Mₒ&lt;0.3</v>
      </c>
      <c r="L130" s="301" t="str">
        <f t="shared" si="6"/>
        <v>N/A Mₒ&lt;0.3</v>
      </c>
      <c r="M130" s="301" t="str">
        <f t="shared" si="6"/>
        <v>N/A Mₒ&lt;0.3</v>
      </c>
      <c r="N130" s="301">
        <f t="shared" ca="1" si="6"/>
        <v>144.50431701996561</v>
      </c>
      <c r="O130" s="288"/>
      <c r="P130" s="285"/>
      <c r="Q130" s="285"/>
      <c r="R130" s="285"/>
      <c r="S130" s="285"/>
      <c r="T130" s="285"/>
      <c r="U130" s="285"/>
      <c r="V130" s="285"/>
    </row>
    <row r="131" spans="1:22" ht="14.4" x14ac:dyDescent="0.3">
      <c r="A131" s="285"/>
      <c r="B131" s="285"/>
      <c r="C131" s="285"/>
      <c r="D131" s="286"/>
      <c r="E131" s="285"/>
      <c r="F131" s="285"/>
      <c r="G131" s="396"/>
      <c r="H131" s="287"/>
      <c r="I131" s="285"/>
      <c r="J131" s="285">
        <v>23</v>
      </c>
      <c r="K131" s="294" t="str">
        <f t="shared" si="5"/>
        <v>N/A Mₒ&lt;0.3</v>
      </c>
      <c r="L131" s="301" t="str">
        <f t="shared" si="6"/>
        <v>N/A Mₒ&lt;0.3</v>
      </c>
      <c r="M131" s="301" t="str">
        <f t="shared" si="6"/>
        <v>N/A Mₒ&lt;0.3</v>
      </c>
      <c r="N131" s="301">
        <f t="shared" ca="1" si="6"/>
        <v>144.60050180083604</v>
      </c>
      <c r="O131" s="288"/>
      <c r="P131" s="285"/>
      <c r="Q131" s="285"/>
      <c r="R131" s="285"/>
      <c r="S131" s="285"/>
      <c r="T131" s="285"/>
      <c r="U131" s="285"/>
      <c r="V131" s="285"/>
    </row>
    <row r="132" spans="1:22" ht="14.4" x14ac:dyDescent="0.3">
      <c r="A132" s="285"/>
      <c r="B132" s="285"/>
      <c r="C132" s="285"/>
      <c r="D132" s="286"/>
      <c r="E132" s="285"/>
      <c r="F132" s="285"/>
      <c r="G132" s="396"/>
      <c r="H132" s="287"/>
      <c r="I132" s="285"/>
      <c r="J132" s="285">
        <v>24</v>
      </c>
      <c r="K132" s="294" t="str">
        <f t="shared" si="5"/>
        <v>N/A Mₒ&lt;0.3</v>
      </c>
      <c r="L132" s="301" t="str">
        <f t="shared" si="6"/>
        <v>N/A Mₒ&lt;0.3</v>
      </c>
      <c r="M132" s="301" t="str">
        <f t="shared" si="6"/>
        <v>N/A Mₒ&lt;0.3</v>
      </c>
      <c r="N132" s="301">
        <f t="shared" ca="1" si="6"/>
        <v>144.41021895738879</v>
      </c>
      <c r="O132" s="288"/>
      <c r="P132" s="285"/>
      <c r="Q132" s="285"/>
      <c r="R132" s="285"/>
      <c r="S132" s="285"/>
      <c r="T132" s="285"/>
      <c r="U132" s="285"/>
      <c r="V132" s="285"/>
    </row>
    <row r="133" spans="1:22" ht="14.4" x14ac:dyDescent="0.3">
      <c r="A133" s="285"/>
      <c r="B133" s="285"/>
      <c r="C133" s="285"/>
      <c r="D133" s="286"/>
      <c r="E133" s="285"/>
      <c r="F133" s="285"/>
      <c r="G133" s="396"/>
      <c r="H133" s="287"/>
      <c r="I133" s="285"/>
      <c r="J133" s="285">
        <v>25</v>
      </c>
      <c r="K133" s="294" t="str">
        <f t="shared" si="5"/>
        <v>N/A Mₒ&lt;0.3</v>
      </c>
      <c r="L133" s="301" t="str">
        <f t="shared" si="6"/>
        <v>N/A Mₒ&lt;0.3</v>
      </c>
      <c r="M133" s="301" t="str">
        <f t="shared" si="6"/>
        <v>N/A Mₒ&lt;0.3</v>
      </c>
      <c r="N133" s="301">
        <f t="shared" ca="1" si="6"/>
        <v>143.85818502215506</v>
      </c>
      <c r="O133" s="288"/>
      <c r="P133" s="285"/>
      <c r="Q133" s="285"/>
      <c r="R133" s="285"/>
      <c r="S133" s="285"/>
      <c r="T133" s="285"/>
      <c r="U133" s="285"/>
      <c r="V133" s="285"/>
    </row>
    <row r="134" spans="1:22" ht="14.4" x14ac:dyDescent="0.3">
      <c r="A134" s="285"/>
      <c r="B134" s="285"/>
      <c r="C134" s="285"/>
      <c r="D134" s="286"/>
      <c r="E134" s="285"/>
      <c r="F134" s="285"/>
      <c r="G134" s="396"/>
      <c r="H134" s="287"/>
      <c r="I134" s="285"/>
      <c r="J134" s="285">
        <v>26</v>
      </c>
      <c r="K134" s="294" t="str">
        <f t="shared" si="5"/>
        <v>N/A Mₒ&lt;0.3</v>
      </c>
      <c r="L134" s="301" t="str">
        <f t="shared" si="6"/>
        <v>N/A Mₒ&lt;0.3</v>
      </c>
      <c r="M134" s="301" t="str">
        <f t="shared" si="6"/>
        <v>N/A Mₒ&lt;0.3</v>
      </c>
      <c r="N134" s="301">
        <f t="shared" ca="1" si="6"/>
        <v>142.86340850112066</v>
      </c>
      <c r="O134" s="288"/>
      <c r="P134" s="285"/>
      <c r="Q134" s="285"/>
      <c r="R134" s="285"/>
      <c r="S134" s="285"/>
      <c r="T134" s="285"/>
      <c r="U134" s="285"/>
      <c r="V134" s="285"/>
    </row>
    <row r="135" spans="1:22" ht="14.4" x14ac:dyDescent="0.3">
      <c r="A135" s="285"/>
      <c r="B135" s="285"/>
      <c r="C135" s="285"/>
      <c r="D135" s="286"/>
      <c r="E135" s="285"/>
      <c r="F135" s="285"/>
      <c r="G135" s="396"/>
      <c r="H135" s="287"/>
      <c r="I135" s="285"/>
      <c r="J135" s="285">
        <v>27</v>
      </c>
      <c r="K135" s="294" t="str">
        <f t="shared" si="5"/>
        <v>N/A Mₒ&lt;0.3</v>
      </c>
      <c r="L135" s="301" t="str">
        <f t="shared" si="6"/>
        <v>N/A Mₒ&lt;0.3</v>
      </c>
      <c r="M135" s="301" t="str">
        <f t="shared" si="6"/>
        <v>N/A Mₒ&lt;0.3</v>
      </c>
      <c r="N135" s="301">
        <f t="shared" ca="1" si="6"/>
        <v>141.54219931263958</v>
      </c>
      <c r="O135" s="288"/>
      <c r="P135" s="285"/>
      <c r="Q135" s="285"/>
      <c r="R135" s="285"/>
      <c r="S135" s="285"/>
      <c r="T135" s="285"/>
      <c r="U135" s="285"/>
      <c r="V135" s="285"/>
    </row>
    <row r="136" spans="1:22" ht="14.4" x14ac:dyDescent="0.3">
      <c r="A136" s="285"/>
      <c r="B136" s="285"/>
      <c r="C136" s="285"/>
      <c r="D136" s="286"/>
      <c r="E136" s="285"/>
      <c r="F136" s="285"/>
      <c r="G136" s="396"/>
      <c r="H136" s="287"/>
      <c r="I136" s="285"/>
      <c r="J136" s="285">
        <v>28</v>
      </c>
      <c r="K136" s="294" t="str">
        <f t="shared" si="5"/>
        <v>N/A Mₒ&lt;0.3</v>
      </c>
      <c r="L136" s="301" t="str">
        <f t="shared" si="6"/>
        <v>N/A Mₒ&lt;0.3</v>
      </c>
      <c r="M136" s="301" t="str">
        <f t="shared" si="6"/>
        <v>N/A Mₒ&lt;0.3</v>
      </c>
      <c r="N136" s="301">
        <f t="shared" ca="1" si="6"/>
        <v>139.82164003241061</v>
      </c>
      <c r="O136" s="288"/>
      <c r="P136" s="285"/>
      <c r="Q136" s="285"/>
      <c r="R136" s="285"/>
      <c r="S136" s="285"/>
      <c r="T136" s="285"/>
      <c r="U136" s="285"/>
      <c r="V136" s="285"/>
    </row>
    <row r="137" spans="1:22" ht="14.4" x14ac:dyDescent="0.3">
      <c r="A137" s="285"/>
      <c r="B137" s="285"/>
      <c r="C137" s="285"/>
      <c r="D137" s="286"/>
      <c r="E137" s="285"/>
      <c r="F137" s="285"/>
      <c r="G137" s="396"/>
      <c r="H137" s="287"/>
      <c r="I137" s="285"/>
      <c r="J137" s="285">
        <v>29</v>
      </c>
      <c r="K137" s="294" t="str">
        <f t="shared" si="5"/>
        <v>N/A Mₒ&lt;0.3</v>
      </c>
      <c r="L137" s="301" t="str">
        <f t="shared" si="6"/>
        <v>N/A Mₒ&lt;0.3</v>
      </c>
      <c r="M137" s="301" t="str">
        <f t="shared" si="6"/>
        <v>N/A Mₒ&lt;0.3</v>
      </c>
      <c r="N137" s="301">
        <f t="shared" ca="1" si="6"/>
        <v>137.7512643064079</v>
      </c>
      <c r="O137" s="288"/>
      <c r="P137" s="285"/>
      <c r="Q137" s="285"/>
      <c r="R137" s="285"/>
      <c r="S137" s="285"/>
      <c r="T137" s="285"/>
      <c r="U137" s="285"/>
      <c r="V137" s="285"/>
    </row>
    <row r="138" spans="1:22" ht="14.4" x14ac:dyDescent="0.3">
      <c r="A138" s="285"/>
      <c r="B138" s="285"/>
      <c r="C138" s="285"/>
      <c r="D138" s="286"/>
      <c r="E138" s="285"/>
      <c r="F138" s="285"/>
      <c r="G138" s="396"/>
      <c r="H138" s="287"/>
      <c r="I138" s="285"/>
      <c r="J138" s="285">
        <v>30</v>
      </c>
      <c r="K138" s="294" t="str">
        <f t="shared" si="5"/>
        <v>N/A Mₒ&lt;0.3</v>
      </c>
      <c r="L138" s="301" t="str">
        <f t="shared" si="6"/>
        <v>N/A Mₒ&lt;0.3</v>
      </c>
      <c r="M138" s="301" t="str">
        <f t="shared" si="6"/>
        <v>N/A Mₒ&lt;0.3</v>
      </c>
      <c r="N138" s="301">
        <f t="shared" ca="1" si="6"/>
        <v>135.63048977845358</v>
      </c>
      <c r="O138" s="288"/>
      <c r="P138" s="285"/>
      <c r="Q138" s="285"/>
      <c r="R138" s="285"/>
      <c r="S138" s="285"/>
      <c r="T138" s="285"/>
      <c r="U138" s="285"/>
      <c r="V138" s="285"/>
    </row>
    <row r="139" spans="1:22" ht="14.4" x14ac:dyDescent="0.3">
      <c r="A139" s="285"/>
      <c r="B139" s="285"/>
      <c r="C139" s="285"/>
      <c r="D139" s="286"/>
      <c r="E139" s="285"/>
      <c r="F139" s="285"/>
      <c r="G139" s="396"/>
      <c r="H139" s="287"/>
      <c r="I139" s="285"/>
      <c r="J139" s="285">
        <v>31</v>
      </c>
      <c r="K139" s="294" t="str">
        <f t="shared" si="5"/>
        <v>N/A Mₒ&lt;0.3</v>
      </c>
      <c r="L139" s="301" t="str">
        <f t="shared" si="6"/>
        <v>N/A Mₒ&lt;0.3</v>
      </c>
      <c r="M139" s="301" t="str">
        <f t="shared" si="6"/>
        <v>N/A Mₒ&lt;0.3</v>
      </c>
      <c r="N139" s="301">
        <f t="shared" ca="1" si="6"/>
        <v>133.39253338705907</v>
      </c>
      <c r="O139" s="288"/>
      <c r="P139" s="285"/>
      <c r="Q139" s="285"/>
      <c r="R139" s="285"/>
      <c r="S139" s="285"/>
      <c r="T139" s="285"/>
      <c r="U139" s="285"/>
      <c r="V139" s="285"/>
    </row>
    <row r="140" spans="1:22" ht="14.4" x14ac:dyDescent="0.3">
      <c r="A140" s="285"/>
      <c r="B140" s="285"/>
      <c r="C140" s="285"/>
      <c r="D140" s="286"/>
      <c r="E140" s="285"/>
      <c r="F140" s="285"/>
      <c r="G140" s="396"/>
      <c r="H140" s="287"/>
      <c r="I140" s="285"/>
      <c r="J140" s="285">
        <v>32</v>
      </c>
      <c r="K140" s="294" t="str">
        <f t="shared" si="5"/>
        <v>N/A Mₒ&lt;0.3</v>
      </c>
      <c r="L140" s="301" t="str">
        <f t="shared" si="6"/>
        <v>N/A Mₒ&lt;0.3</v>
      </c>
      <c r="M140" s="301" t="str">
        <f t="shared" si="6"/>
        <v>N/A Mₒ&lt;0.3</v>
      </c>
      <c r="N140" s="301">
        <f t="shared" ca="1" si="6"/>
        <v>130.83251891623019</v>
      </c>
      <c r="O140" s="288"/>
      <c r="P140" s="285"/>
      <c r="Q140" s="285"/>
      <c r="R140" s="285"/>
      <c r="S140" s="285"/>
      <c r="T140" s="285"/>
      <c r="U140" s="285"/>
      <c r="V140" s="285"/>
    </row>
    <row r="141" spans="1:22" ht="14.4" x14ac:dyDescent="0.3">
      <c r="A141" s="285"/>
      <c r="B141" s="285"/>
      <c r="C141" s="285"/>
      <c r="D141" s="286"/>
      <c r="E141" s="285"/>
      <c r="F141" s="285"/>
      <c r="G141" s="396"/>
      <c r="H141" s="287"/>
      <c r="I141" s="285"/>
      <c r="J141" s="285">
        <v>33</v>
      </c>
      <c r="K141" s="294" t="str">
        <f t="shared" si="5"/>
        <v>N/A Mₒ&lt;0.3</v>
      </c>
      <c r="L141" s="301" t="str">
        <f t="shared" si="6"/>
        <v>N/A Mₒ&lt;0.3</v>
      </c>
      <c r="M141" s="301" t="str">
        <f t="shared" si="6"/>
        <v>N/A Mₒ&lt;0.3</v>
      </c>
      <c r="N141" s="301">
        <f t="shared" ca="1" si="6"/>
        <v>128.47290922004024</v>
      </c>
      <c r="O141" s="288"/>
      <c r="P141" s="285"/>
      <c r="Q141" s="285"/>
      <c r="R141" s="285"/>
      <c r="S141" s="285"/>
      <c r="T141" s="285"/>
      <c r="U141" s="285"/>
      <c r="V141" s="285"/>
    </row>
    <row r="142" spans="1:22" ht="14.4" x14ac:dyDescent="0.3">
      <c r="A142" s="285"/>
      <c r="B142" s="285"/>
      <c r="C142" s="285"/>
      <c r="D142" s="286"/>
      <c r="E142" s="285"/>
      <c r="F142" s="285"/>
      <c r="G142" s="396"/>
      <c r="H142" s="287" t="s">
        <v>371</v>
      </c>
      <c r="I142" s="285">
        <v>21</v>
      </c>
      <c r="J142" s="285" t="s">
        <v>370</v>
      </c>
      <c r="K142" s="294">
        <f>C_S..D/(PI()*D_2..D)</f>
        <v>10443.237735688672</v>
      </c>
      <c r="L142" s="301">
        <f>E23/(PI()*E19)</f>
        <v>10443.237735688672</v>
      </c>
      <c r="M142" s="301">
        <f>F23/(PI()*F19)</f>
        <v>10443.237735688672</v>
      </c>
      <c r="N142" s="301">
        <f>G23/(PI()*G19)</f>
        <v>10443.237735688672</v>
      </c>
      <c r="O142" s="288"/>
      <c r="P142" s="285"/>
      <c r="Q142" s="285"/>
      <c r="R142" s="285"/>
      <c r="S142" s="285"/>
      <c r="T142" s="285"/>
      <c r="U142" s="285"/>
      <c r="V142" s="285"/>
    </row>
    <row r="143" spans="1:22" ht="14.4" x14ac:dyDescent="0.3">
      <c r="A143" s="285"/>
      <c r="B143" s="285"/>
      <c r="C143" s="285"/>
      <c r="D143" s="286"/>
      <c r="E143" s="285"/>
      <c r="F143" s="285"/>
      <c r="G143" s="396"/>
      <c r="H143" s="287" t="s">
        <v>369</v>
      </c>
      <c r="I143" s="285">
        <v>22</v>
      </c>
      <c r="J143" s="285" t="s">
        <v>368</v>
      </c>
      <c r="K143" s="294">
        <f>(f_r..K/4)*(c_2..K/c_a..D)</f>
        <v>2690.3302512581981</v>
      </c>
      <c r="L143" s="301">
        <f>(L142/4)*(L29/E28)</f>
        <v>2690.3302512581981</v>
      </c>
      <c r="M143" s="301">
        <f>(M142/4)*(M29/F28)</f>
        <v>2690.3302512581981</v>
      </c>
      <c r="N143" s="301">
        <f>(N142/4)*(N29/G28)</f>
        <v>2690.3302512581981</v>
      </c>
      <c r="O143" s="288"/>
      <c r="P143" s="285"/>
      <c r="Q143" s="285"/>
      <c r="R143" s="285"/>
      <c r="S143" s="285"/>
      <c r="T143" s="285"/>
      <c r="U143" s="285"/>
      <c r="V143" s="285"/>
    </row>
    <row r="144" spans="1:22" ht="14.4" x14ac:dyDescent="0.3">
      <c r="A144" s="285"/>
      <c r="B144" s="285"/>
      <c r="C144" s="285"/>
      <c r="D144" s="286"/>
      <c r="E144" s="285"/>
      <c r="F144" s="285"/>
      <c r="G144" s="396"/>
      <c r="H144" s="287" t="s">
        <v>367</v>
      </c>
      <c r="I144" s="285">
        <v>23</v>
      </c>
      <c r="J144" s="285" t="s">
        <v>366</v>
      </c>
      <c r="K144" s="294">
        <f>SQRT(3)*c_a..D^2/(PI()*T_S..D*C_S..D)</f>
        <v>1824.052115227177</v>
      </c>
      <c r="L144" s="301">
        <f>SQRT(3)*E28^2/(PI()*E22*E23)</f>
        <v>1824.052115227177</v>
      </c>
      <c r="M144" s="301">
        <f>SQRT(3)*F28^2/(PI()*F22*F23)</f>
        <v>1824.052115227177</v>
      </c>
      <c r="N144" s="301">
        <f>SQRT(3)*G28^2/(PI()*G22*G23)</f>
        <v>1824.052115227177</v>
      </c>
      <c r="O144" s="288"/>
      <c r="P144" s="285"/>
      <c r="Q144" s="285"/>
      <c r="R144" s="285"/>
      <c r="S144" s="285"/>
      <c r="T144" s="285"/>
      <c r="U144" s="285"/>
      <c r="V144" s="285"/>
    </row>
    <row r="145" spans="1:22" ht="14.4" x14ac:dyDescent="0.3">
      <c r="A145" s="285"/>
      <c r="B145" s="285"/>
      <c r="C145" s="285"/>
      <c r="D145" s="286"/>
      <c r="E145" s="285"/>
      <c r="F145" s="285"/>
      <c r="G145" s="396"/>
      <c r="H145" s="287" t="s">
        <v>364</v>
      </c>
      <c r="I145" s="285" t="s">
        <v>363</v>
      </c>
      <c r="J145" s="288" t="s">
        <v>365</v>
      </c>
      <c r="K145" s="304">
        <f>IF(VLOOKUP(1,Table_5,2,FALSE)&lt;f_o..K,(f_o..K/f_r..K)^(2/3)*(VLOOKUP(1,Table_5,2,FALSE) /f_o..K)^4,IF((VLOOKUP(1,Table_5,2,FALSE))&lt;f_r..K,(VLOOKUP(1,Table_5,2,FALSE)/f_r..K)^(1/2),1))</f>
        <v>1.8868235670316344E-10</v>
      </c>
      <c r="L145" s="302">
        <f>IF(VLOOKUP(1,Table_5,2,FALSE)&lt;L143,(L143/L142)^(2/3)*(VLOOKUP(1,Table_5,2,FALSE) /L143)^4,IF((VLOOKUP(1,Table_5,2,FALSE))&lt;L142,(VLOOKUP(1,Table_5,2,FALSE)/L142)^(1/2),1))</f>
        <v>1.8868235670316344E-10</v>
      </c>
      <c r="M145" s="302">
        <f>IF(VLOOKUP(1,Table_5,2,FALSE)&lt;M143,(M143/M142)^(2/3)*(VLOOKUP(1,Table_5,2,FALSE) /M143)^4,IF((VLOOKUP(1,Table_5,2,FALSE))&lt;M142,(VLOOKUP(1,Table_5,2,FALSE)/M142)^(1/2),1))</f>
        <v>1.8868235670316344E-10</v>
      </c>
      <c r="N145" s="302">
        <f>IF(VLOOKUP(1,Table_5,2,FALSE)&lt;N143,(N143/N142)^(2/3)*(VLOOKUP(1,Table_5,2,FALSE) /N143)^4,IF((VLOOKUP(1,Table_5,2,FALSE))&lt;N142,(VLOOKUP(1,Table_5,2,FALSE)/N142)^(1/2),1))</f>
        <v>1.8868235670316344E-10</v>
      </c>
      <c r="O145" s="288"/>
      <c r="P145" s="285"/>
      <c r="Q145" s="285"/>
      <c r="R145" s="285"/>
      <c r="S145" s="285"/>
      <c r="T145" s="285"/>
      <c r="U145" s="285"/>
      <c r="V145" s="285"/>
    </row>
    <row r="146" spans="1:22" ht="14.4" x14ac:dyDescent="0.3">
      <c r="A146" s="285"/>
      <c r="B146" s="285"/>
      <c r="C146" s="285"/>
      <c r="D146" s="286"/>
      <c r="E146" s="285"/>
      <c r="F146" s="285"/>
      <c r="G146" s="396"/>
      <c r="H146" s="287"/>
      <c r="I146" s="285"/>
      <c r="J146" s="285">
        <v>2</v>
      </c>
      <c r="K146" s="304">
        <f t="shared" ref="K146:K177" si="7">IF(VLOOKUP($J146,Table_5,2,FALSE)&lt;f_o..K,(f_o..K/f_r..K)^(2/3)*(VLOOKUP($J146,Table_5,2,FALSE) /f_o..K)^4,IF((VLOOKUP($J146,Table_5,2,FALSE))&lt;f_r..K,(VLOOKUP($J146,Table_5,2,FALSE)/f_r..K)^(1/2),1))</f>
        <v>5.0649034460768329E-10</v>
      </c>
      <c r="L146" s="302">
        <f t="shared" ref="L146:N177" si="8">IF(VLOOKUP($J146,Table_5,2,FALSE)&lt;L$143,(L$143/L$142)^(2/3)*(VLOOKUP($J146,Table_5,2,FALSE) /L$143)^4,IF((VLOOKUP($J146,Table_5,2,FALSE))&lt;L$142,(VLOOKUP($J146,Table_5,2,FALSE)/L$142)^(1/2),1))</f>
        <v>5.0649034460768329E-10</v>
      </c>
      <c r="M146" s="302">
        <f t="shared" si="8"/>
        <v>5.0649034460768329E-10</v>
      </c>
      <c r="N146" s="302">
        <f t="shared" si="8"/>
        <v>5.0649034460768329E-10</v>
      </c>
      <c r="O146" s="288"/>
      <c r="P146" s="285"/>
      <c r="Q146" s="285"/>
      <c r="R146" s="285"/>
      <c r="S146" s="285"/>
      <c r="T146" s="285"/>
      <c r="U146" s="285"/>
      <c r="V146" s="285"/>
    </row>
    <row r="147" spans="1:22" ht="14.4" x14ac:dyDescent="0.3">
      <c r="A147" s="285"/>
      <c r="B147" s="285"/>
      <c r="C147" s="285"/>
      <c r="D147" s="286"/>
      <c r="E147" s="285"/>
      <c r="F147" s="285"/>
      <c r="G147" s="396"/>
      <c r="H147" s="287"/>
      <c r="I147" s="285"/>
      <c r="J147" s="285">
        <v>3</v>
      </c>
      <c r="K147" s="304">
        <f t="shared" si="7"/>
        <v>1.2365486928898522E-9</v>
      </c>
      <c r="L147" s="302">
        <f t="shared" si="8"/>
        <v>1.2365486928898522E-9</v>
      </c>
      <c r="M147" s="302">
        <f t="shared" si="8"/>
        <v>1.2365486928898522E-9</v>
      </c>
      <c r="N147" s="302">
        <f t="shared" si="8"/>
        <v>1.2365486928898522E-9</v>
      </c>
      <c r="O147" s="288"/>
      <c r="P147" s="285"/>
      <c r="Q147" s="285"/>
      <c r="R147" s="285"/>
      <c r="S147" s="285"/>
      <c r="T147" s="285"/>
      <c r="U147" s="285"/>
      <c r="V147" s="285"/>
    </row>
    <row r="148" spans="1:22" ht="14.4" x14ac:dyDescent="0.3">
      <c r="A148" s="285"/>
      <c r="B148" s="285"/>
      <c r="C148" s="285"/>
      <c r="D148" s="286"/>
      <c r="E148" s="285"/>
      <c r="F148" s="285"/>
      <c r="G148" s="396"/>
      <c r="H148" s="287"/>
      <c r="I148" s="285"/>
      <c r="J148" s="285">
        <v>4</v>
      </c>
      <c r="K148" s="304">
        <f t="shared" si="7"/>
        <v>3.0189177072506151E-9</v>
      </c>
      <c r="L148" s="302">
        <f t="shared" si="8"/>
        <v>3.0189177072506151E-9</v>
      </c>
      <c r="M148" s="302">
        <f t="shared" si="8"/>
        <v>3.0189177072506151E-9</v>
      </c>
      <c r="N148" s="302">
        <f t="shared" si="8"/>
        <v>3.0189177072506151E-9</v>
      </c>
      <c r="O148" s="288"/>
      <c r="P148" s="285"/>
      <c r="Q148" s="285"/>
      <c r="R148" s="285"/>
      <c r="S148" s="285"/>
      <c r="T148" s="285"/>
      <c r="U148" s="285"/>
      <c r="V148" s="285"/>
    </row>
    <row r="149" spans="1:22" ht="14.4" x14ac:dyDescent="0.3">
      <c r="A149" s="285"/>
      <c r="B149" s="285"/>
      <c r="C149" s="285"/>
      <c r="D149" s="286"/>
      <c r="E149" s="285"/>
      <c r="F149" s="285"/>
      <c r="G149" s="396"/>
      <c r="H149" s="287"/>
      <c r="I149" s="285"/>
      <c r="J149" s="285">
        <v>5</v>
      </c>
      <c r="K149" s="304">
        <f t="shared" si="7"/>
        <v>7.6091028647245405E-9</v>
      </c>
      <c r="L149" s="302">
        <f t="shared" si="8"/>
        <v>7.6091028647245405E-9</v>
      </c>
      <c r="M149" s="302">
        <f t="shared" si="8"/>
        <v>7.6091028647245405E-9</v>
      </c>
      <c r="N149" s="302">
        <f t="shared" si="8"/>
        <v>7.6091028647245405E-9</v>
      </c>
      <c r="O149" s="288"/>
      <c r="P149" s="285"/>
      <c r="Q149" s="285"/>
      <c r="R149" s="285"/>
      <c r="S149" s="285"/>
      <c r="T149" s="285"/>
      <c r="U149" s="285"/>
      <c r="V149" s="285"/>
    </row>
    <row r="150" spans="1:22" ht="14.4" x14ac:dyDescent="0.3">
      <c r="A150" s="285"/>
      <c r="B150" s="285"/>
      <c r="C150" s="285"/>
      <c r="D150" s="286"/>
      <c r="E150" s="285"/>
      <c r="F150" s="285"/>
      <c r="G150" s="396"/>
      <c r="H150" s="287"/>
      <c r="I150" s="285"/>
      <c r="J150" s="285">
        <v>6</v>
      </c>
      <c r="K150" s="304">
        <f t="shared" si="7"/>
        <v>1.9784779086237636E-8</v>
      </c>
      <c r="L150" s="302">
        <f t="shared" si="8"/>
        <v>1.9784779086237636E-8</v>
      </c>
      <c r="M150" s="302">
        <f t="shared" si="8"/>
        <v>1.9784779086237636E-8</v>
      </c>
      <c r="N150" s="302">
        <f t="shared" si="8"/>
        <v>1.9784779086237636E-8</v>
      </c>
      <c r="O150" s="288"/>
      <c r="P150" s="285"/>
      <c r="Q150" s="285"/>
      <c r="R150" s="285"/>
      <c r="S150" s="285"/>
      <c r="T150" s="285"/>
      <c r="U150" s="285"/>
      <c r="V150" s="285"/>
    </row>
    <row r="151" spans="1:22" ht="14.4" x14ac:dyDescent="0.3">
      <c r="A151" s="285"/>
      <c r="B151" s="285"/>
      <c r="C151" s="285"/>
      <c r="D151" s="286"/>
      <c r="E151" s="285"/>
      <c r="F151" s="285"/>
      <c r="G151" s="396"/>
      <c r="H151" s="287"/>
      <c r="I151" s="285"/>
      <c r="J151" s="285">
        <v>7</v>
      </c>
      <c r="K151" s="304">
        <f t="shared" si="7"/>
        <v>4.8302683316009842E-8</v>
      </c>
      <c r="L151" s="302">
        <f t="shared" si="8"/>
        <v>4.8302683316009842E-8</v>
      </c>
      <c r="M151" s="302">
        <f t="shared" si="8"/>
        <v>4.8302683316009842E-8</v>
      </c>
      <c r="N151" s="302">
        <f t="shared" si="8"/>
        <v>4.8302683316009842E-8</v>
      </c>
      <c r="O151" s="288"/>
      <c r="P151" s="285"/>
      <c r="Q151" s="285"/>
      <c r="R151" s="285"/>
      <c r="S151" s="285"/>
      <c r="T151" s="285"/>
      <c r="U151" s="285"/>
      <c r="V151" s="285"/>
    </row>
    <row r="152" spans="1:22" ht="14.4" x14ac:dyDescent="0.3">
      <c r="A152" s="285"/>
      <c r="B152" s="285"/>
      <c r="C152" s="285"/>
      <c r="D152" s="286"/>
      <c r="E152" s="285"/>
      <c r="F152" s="285"/>
      <c r="G152" s="396"/>
      <c r="H152" s="287"/>
      <c r="I152" s="285"/>
      <c r="J152" s="285">
        <v>8</v>
      </c>
      <c r="K152" s="304">
        <f t="shared" si="7"/>
        <v>1.2174564583559265E-7</v>
      </c>
      <c r="L152" s="302">
        <f t="shared" si="8"/>
        <v>1.2174564583559265E-7</v>
      </c>
      <c r="M152" s="302">
        <f t="shared" si="8"/>
        <v>1.2174564583559265E-7</v>
      </c>
      <c r="N152" s="302">
        <f t="shared" si="8"/>
        <v>1.2174564583559265E-7</v>
      </c>
      <c r="O152" s="288"/>
      <c r="P152" s="285"/>
      <c r="Q152" s="285"/>
      <c r="R152" s="285"/>
      <c r="S152" s="285"/>
      <c r="T152" s="285"/>
      <c r="U152" s="285"/>
      <c r="V152" s="285"/>
    </row>
    <row r="153" spans="1:22" ht="14.4" x14ac:dyDescent="0.3">
      <c r="A153" s="285"/>
      <c r="B153" s="285"/>
      <c r="C153" s="285"/>
      <c r="D153" s="286"/>
      <c r="E153" s="285"/>
      <c r="F153" s="285"/>
      <c r="G153" s="396"/>
      <c r="H153" s="287"/>
      <c r="I153" s="285"/>
      <c r="J153" s="285">
        <v>9</v>
      </c>
      <c r="K153" s="304">
        <f t="shared" si="7"/>
        <v>3.1655646537980217E-7</v>
      </c>
      <c r="L153" s="302">
        <f t="shared" si="8"/>
        <v>3.1655646537980217E-7</v>
      </c>
      <c r="M153" s="302">
        <f t="shared" si="8"/>
        <v>3.1655646537980217E-7</v>
      </c>
      <c r="N153" s="302">
        <f t="shared" si="8"/>
        <v>3.1655646537980217E-7</v>
      </c>
      <c r="O153" s="288"/>
      <c r="P153" s="285"/>
      <c r="Q153" s="285"/>
      <c r="R153" s="285"/>
      <c r="S153" s="285"/>
      <c r="T153" s="285"/>
      <c r="U153" s="285"/>
      <c r="V153" s="285"/>
    </row>
    <row r="154" spans="1:22" ht="14.4" x14ac:dyDescent="0.3">
      <c r="A154" s="285"/>
      <c r="B154" s="285"/>
      <c r="C154" s="285"/>
      <c r="D154" s="286"/>
      <c r="E154" s="285"/>
      <c r="F154" s="285"/>
      <c r="G154" s="396"/>
      <c r="H154" s="287"/>
      <c r="I154" s="285"/>
      <c r="J154" s="285">
        <v>10</v>
      </c>
      <c r="K154" s="304">
        <f t="shared" si="7"/>
        <v>7.7284293305615747E-7</v>
      </c>
      <c r="L154" s="302">
        <f t="shared" si="8"/>
        <v>7.7284293305615747E-7</v>
      </c>
      <c r="M154" s="302">
        <f t="shared" si="8"/>
        <v>7.7284293305615747E-7</v>
      </c>
      <c r="N154" s="302">
        <f t="shared" si="8"/>
        <v>7.7284293305615747E-7</v>
      </c>
      <c r="O154" s="288"/>
      <c r="P154" s="285"/>
      <c r="Q154" s="285"/>
      <c r="R154" s="285"/>
      <c r="S154" s="285"/>
      <c r="T154" s="285"/>
      <c r="U154" s="285"/>
      <c r="V154" s="285"/>
    </row>
    <row r="155" spans="1:22" ht="14.4" x14ac:dyDescent="0.3">
      <c r="A155" s="285"/>
      <c r="B155" s="285"/>
      <c r="C155" s="285"/>
      <c r="D155" s="286"/>
      <c r="E155" s="285"/>
      <c r="F155" s="285"/>
      <c r="G155" s="396"/>
      <c r="H155" s="287"/>
      <c r="I155" s="285"/>
      <c r="J155" s="285">
        <v>11</v>
      </c>
      <c r="K155" s="304">
        <f t="shared" si="7"/>
        <v>1.8868235670316347E-6</v>
      </c>
      <c r="L155" s="302">
        <f t="shared" si="8"/>
        <v>1.8868235670316347E-6</v>
      </c>
      <c r="M155" s="302">
        <f t="shared" si="8"/>
        <v>1.8868235670316347E-6</v>
      </c>
      <c r="N155" s="302">
        <f t="shared" si="8"/>
        <v>1.8868235670316347E-6</v>
      </c>
      <c r="O155" s="288"/>
      <c r="P155" s="285"/>
      <c r="Q155" s="285"/>
      <c r="R155" s="285"/>
      <c r="S155" s="285"/>
      <c r="T155" s="285"/>
      <c r="U155" s="285"/>
      <c r="V155" s="285"/>
    </row>
    <row r="156" spans="1:22" ht="14.4" x14ac:dyDescent="0.3">
      <c r="A156" s="285"/>
      <c r="B156" s="285"/>
      <c r="C156" s="285"/>
      <c r="D156" s="286"/>
      <c r="E156" s="285"/>
      <c r="F156" s="285"/>
      <c r="G156" s="396"/>
      <c r="H156" s="287"/>
      <c r="I156" s="285"/>
      <c r="J156" s="285">
        <v>12</v>
      </c>
      <c r="K156" s="304">
        <f t="shared" si="7"/>
        <v>5.0649034460768348E-6</v>
      </c>
      <c r="L156" s="302">
        <f t="shared" si="8"/>
        <v>5.0649034460768348E-6</v>
      </c>
      <c r="M156" s="302">
        <f t="shared" si="8"/>
        <v>5.0649034460768348E-6</v>
      </c>
      <c r="N156" s="302">
        <f t="shared" si="8"/>
        <v>5.0649034460768348E-6</v>
      </c>
      <c r="O156" s="288"/>
      <c r="P156" s="285"/>
      <c r="Q156" s="285"/>
      <c r="R156" s="285"/>
      <c r="S156" s="285"/>
      <c r="T156" s="285"/>
      <c r="U156" s="285"/>
      <c r="V156" s="285"/>
    </row>
    <row r="157" spans="1:22" ht="14.4" x14ac:dyDescent="0.3">
      <c r="A157" s="285"/>
      <c r="B157" s="285"/>
      <c r="C157" s="285"/>
      <c r="D157" s="286"/>
      <c r="E157" s="285"/>
      <c r="F157" s="285"/>
      <c r="G157" s="396"/>
      <c r="H157" s="287"/>
      <c r="I157" s="285"/>
      <c r="J157" s="285">
        <v>13</v>
      </c>
      <c r="K157" s="304">
        <f t="shared" si="7"/>
        <v>1.2365486928898519E-5</v>
      </c>
      <c r="L157" s="302">
        <f t="shared" si="8"/>
        <v>1.2365486928898519E-5</v>
      </c>
      <c r="M157" s="302">
        <f t="shared" si="8"/>
        <v>1.2365486928898519E-5</v>
      </c>
      <c r="N157" s="302">
        <f t="shared" si="8"/>
        <v>1.2365486928898519E-5</v>
      </c>
      <c r="O157" s="288"/>
      <c r="P157" s="285"/>
      <c r="Q157" s="285"/>
      <c r="R157" s="285"/>
      <c r="S157" s="285"/>
      <c r="T157" s="285"/>
      <c r="U157" s="285"/>
      <c r="V157" s="285"/>
    </row>
    <row r="158" spans="1:22" ht="14.4" x14ac:dyDescent="0.3">
      <c r="A158" s="285"/>
      <c r="B158" s="285"/>
      <c r="C158" s="285"/>
      <c r="D158" s="286"/>
      <c r="E158" s="285"/>
      <c r="F158" s="285"/>
      <c r="G158" s="396"/>
      <c r="H158" s="287"/>
      <c r="I158" s="285"/>
      <c r="J158" s="285">
        <v>14</v>
      </c>
      <c r="K158" s="304">
        <f t="shared" si="7"/>
        <v>3.0189177072506155E-5</v>
      </c>
      <c r="L158" s="302">
        <f t="shared" si="8"/>
        <v>3.0189177072506155E-5</v>
      </c>
      <c r="M158" s="302">
        <f t="shared" si="8"/>
        <v>3.0189177072506155E-5</v>
      </c>
      <c r="N158" s="302">
        <f t="shared" si="8"/>
        <v>3.0189177072506155E-5</v>
      </c>
      <c r="O158" s="288"/>
      <c r="P158" s="285"/>
      <c r="Q158" s="285"/>
      <c r="R158" s="285"/>
      <c r="S158" s="285"/>
      <c r="T158" s="285"/>
      <c r="U158" s="285"/>
      <c r="V158" s="285"/>
    </row>
    <row r="159" spans="1:22" ht="14.4" x14ac:dyDescent="0.3">
      <c r="A159" s="285"/>
      <c r="B159" s="285"/>
      <c r="C159" s="285"/>
      <c r="D159" s="286"/>
      <c r="E159" s="285"/>
      <c r="F159" s="285"/>
      <c r="G159" s="396"/>
      <c r="H159" s="287"/>
      <c r="I159" s="285"/>
      <c r="J159" s="285">
        <v>15</v>
      </c>
      <c r="K159" s="304">
        <f t="shared" si="7"/>
        <v>7.609102864724537E-5</v>
      </c>
      <c r="L159" s="302">
        <f t="shared" si="8"/>
        <v>7.609102864724537E-5</v>
      </c>
      <c r="M159" s="302">
        <f t="shared" si="8"/>
        <v>7.609102864724537E-5</v>
      </c>
      <c r="N159" s="302">
        <f t="shared" si="8"/>
        <v>7.609102864724537E-5</v>
      </c>
      <c r="O159" s="288"/>
      <c r="P159" s="285"/>
      <c r="Q159" s="285"/>
      <c r="R159" s="285"/>
      <c r="S159" s="285"/>
      <c r="T159" s="285"/>
      <c r="U159" s="285"/>
      <c r="V159" s="285"/>
    </row>
    <row r="160" spans="1:22" ht="14.4" x14ac:dyDescent="0.3">
      <c r="A160" s="285"/>
      <c r="B160" s="285"/>
      <c r="C160" s="285"/>
      <c r="D160" s="286"/>
      <c r="E160" s="285"/>
      <c r="F160" s="285"/>
      <c r="G160" s="396"/>
      <c r="H160" s="287"/>
      <c r="I160" s="285"/>
      <c r="J160" s="285">
        <v>16</v>
      </c>
      <c r="K160" s="304">
        <f t="shared" si="7"/>
        <v>1.9784779086237631E-4</v>
      </c>
      <c r="L160" s="302">
        <f t="shared" si="8"/>
        <v>1.9784779086237631E-4</v>
      </c>
      <c r="M160" s="302">
        <f t="shared" si="8"/>
        <v>1.9784779086237631E-4</v>
      </c>
      <c r="N160" s="302">
        <f t="shared" si="8"/>
        <v>1.9784779086237631E-4</v>
      </c>
      <c r="O160" s="288"/>
      <c r="P160" s="285"/>
      <c r="Q160" s="285"/>
      <c r="R160" s="285"/>
      <c r="S160" s="285"/>
      <c r="T160" s="285"/>
      <c r="U160" s="285"/>
      <c r="V160" s="285"/>
    </row>
    <row r="161" spans="1:22" ht="14.4" x14ac:dyDescent="0.3">
      <c r="A161" s="285"/>
      <c r="B161" s="285"/>
      <c r="C161" s="285"/>
      <c r="D161" s="286"/>
      <c r="E161" s="285"/>
      <c r="F161" s="285"/>
      <c r="G161" s="396"/>
      <c r="H161" s="287"/>
      <c r="I161" s="285"/>
      <c r="J161" s="285">
        <v>17</v>
      </c>
      <c r="K161" s="304">
        <f t="shared" si="7"/>
        <v>4.8302683316009848E-4</v>
      </c>
      <c r="L161" s="302">
        <f t="shared" si="8"/>
        <v>4.8302683316009848E-4</v>
      </c>
      <c r="M161" s="302">
        <f t="shared" si="8"/>
        <v>4.8302683316009848E-4</v>
      </c>
      <c r="N161" s="302">
        <f t="shared" si="8"/>
        <v>4.8302683316009848E-4</v>
      </c>
      <c r="O161" s="288"/>
      <c r="P161" s="285"/>
      <c r="Q161" s="285"/>
      <c r="R161" s="285"/>
      <c r="S161" s="285"/>
      <c r="T161" s="285"/>
      <c r="U161" s="285"/>
      <c r="V161" s="285"/>
    </row>
    <row r="162" spans="1:22" ht="14.4" x14ac:dyDescent="0.3">
      <c r="A162" s="285"/>
      <c r="B162" s="285"/>
      <c r="C162" s="285"/>
      <c r="D162" s="286"/>
      <c r="E162" s="285"/>
      <c r="F162" s="285"/>
      <c r="G162" s="396"/>
      <c r="H162" s="287"/>
      <c r="I162" s="285"/>
      <c r="J162" s="285">
        <v>18</v>
      </c>
      <c r="K162" s="313">
        <f t="shared" si="7"/>
        <v>1.2174564583559259E-3</v>
      </c>
      <c r="L162" s="312">
        <f t="shared" si="8"/>
        <v>1.2174564583559259E-3</v>
      </c>
      <c r="M162" s="312">
        <f t="shared" si="8"/>
        <v>1.2174564583559259E-3</v>
      </c>
      <c r="N162" s="312">
        <f t="shared" si="8"/>
        <v>1.2174564583559259E-3</v>
      </c>
      <c r="O162" s="288"/>
      <c r="P162" s="285"/>
      <c r="Q162" s="285"/>
      <c r="R162" s="285"/>
      <c r="S162" s="285"/>
      <c r="T162" s="285"/>
      <c r="U162" s="285"/>
      <c r="V162" s="285"/>
    </row>
    <row r="163" spans="1:22" ht="14.4" x14ac:dyDescent="0.3">
      <c r="A163" s="285"/>
      <c r="B163" s="285"/>
      <c r="C163" s="285"/>
      <c r="D163" s="286"/>
      <c r="E163" s="285"/>
      <c r="F163" s="285"/>
      <c r="G163" s="396"/>
      <c r="H163" s="287"/>
      <c r="I163" s="285"/>
      <c r="J163" s="285">
        <v>19</v>
      </c>
      <c r="K163" s="313">
        <f t="shared" si="7"/>
        <v>3.165564653798021E-3</v>
      </c>
      <c r="L163" s="312">
        <f t="shared" si="8"/>
        <v>3.165564653798021E-3</v>
      </c>
      <c r="M163" s="312">
        <f t="shared" si="8"/>
        <v>3.165564653798021E-3</v>
      </c>
      <c r="N163" s="312">
        <f t="shared" si="8"/>
        <v>3.165564653798021E-3</v>
      </c>
      <c r="O163" s="288"/>
      <c r="P163" s="285"/>
      <c r="Q163" s="285"/>
      <c r="R163" s="285"/>
      <c r="S163" s="285"/>
      <c r="T163" s="285"/>
      <c r="U163" s="285"/>
      <c r="V163" s="285"/>
    </row>
    <row r="164" spans="1:22" ht="14.4" x14ac:dyDescent="0.3">
      <c r="A164" s="285"/>
      <c r="B164" s="285"/>
      <c r="C164" s="285"/>
      <c r="D164" s="286"/>
      <c r="E164" s="285"/>
      <c r="F164" s="285"/>
      <c r="G164" s="396"/>
      <c r="H164" s="287"/>
      <c r="I164" s="285"/>
      <c r="J164" s="285">
        <v>20</v>
      </c>
      <c r="K164" s="313">
        <f t="shared" si="7"/>
        <v>7.7284293305615757E-3</v>
      </c>
      <c r="L164" s="312">
        <f t="shared" si="8"/>
        <v>7.7284293305615757E-3</v>
      </c>
      <c r="M164" s="312">
        <f t="shared" si="8"/>
        <v>7.7284293305615757E-3</v>
      </c>
      <c r="N164" s="312">
        <f t="shared" si="8"/>
        <v>7.7284293305615757E-3</v>
      </c>
      <c r="O164" s="288"/>
      <c r="P164" s="285"/>
      <c r="Q164" s="285"/>
      <c r="R164" s="285"/>
      <c r="S164" s="285"/>
      <c r="T164" s="285"/>
      <c r="U164" s="285"/>
      <c r="V164" s="285"/>
    </row>
    <row r="165" spans="1:22" ht="14.4" x14ac:dyDescent="0.3">
      <c r="A165" s="285"/>
      <c r="B165" s="285"/>
      <c r="C165" s="285"/>
      <c r="D165" s="286"/>
      <c r="E165" s="285"/>
      <c r="F165" s="285"/>
      <c r="G165" s="396"/>
      <c r="H165" s="287"/>
      <c r="I165" s="285"/>
      <c r="J165" s="285">
        <v>21</v>
      </c>
      <c r="K165" s="313">
        <f t="shared" si="7"/>
        <v>1.8868235670316345E-2</v>
      </c>
      <c r="L165" s="312">
        <f t="shared" si="8"/>
        <v>1.8868235670316345E-2</v>
      </c>
      <c r="M165" s="312">
        <f t="shared" si="8"/>
        <v>1.8868235670316345E-2</v>
      </c>
      <c r="N165" s="312">
        <f t="shared" si="8"/>
        <v>1.8868235670316345E-2</v>
      </c>
      <c r="O165" s="288"/>
      <c r="P165" s="285"/>
      <c r="Q165" s="285"/>
      <c r="R165" s="285"/>
      <c r="S165" s="285"/>
      <c r="T165" s="285"/>
      <c r="U165" s="285"/>
      <c r="V165" s="285"/>
    </row>
    <row r="166" spans="1:22" ht="14.4" x14ac:dyDescent="0.3">
      <c r="A166" s="285"/>
      <c r="B166" s="285"/>
      <c r="C166" s="285"/>
      <c r="D166" s="286"/>
      <c r="E166" s="285"/>
      <c r="F166" s="285"/>
      <c r="G166" s="396"/>
      <c r="H166" s="287"/>
      <c r="I166" s="285"/>
      <c r="J166" s="285">
        <v>22</v>
      </c>
      <c r="K166" s="313">
        <f t="shared" si="7"/>
        <v>5.0649034460768336E-2</v>
      </c>
      <c r="L166" s="312">
        <f t="shared" si="8"/>
        <v>5.0649034460768336E-2</v>
      </c>
      <c r="M166" s="312">
        <f t="shared" si="8"/>
        <v>5.0649034460768336E-2</v>
      </c>
      <c r="N166" s="312">
        <f t="shared" si="8"/>
        <v>5.0649034460768336E-2</v>
      </c>
      <c r="O166" s="288"/>
      <c r="P166" s="285"/>
      <c r="Q166" s="285"/>
      <c r="R166" s="285"/>
      <c r="S166" s="285"/>
      <c r="T166" s="285"/>
      <c r="U166" s="285"/>
      <c r="V166" s="285"/>
    </row>
    <row r="167" spans="1:22" ht="14.4" x14ac:dyDescent="0.3">
      <c r="A167" s="285"/>
      <c r="B167" s="285"/>
      <c r="C167" s="285"/>
      <c r="D167" s="286"/>
      <c r="E167" s="285"/>
      <c r="F167" s="285"/>
      <c r="G167" s="396"/>
      <c r="H167" s="287"/>
      <c r="I167" s="285"/>
      <c r="J167" s="285">
        <v>23</v>
      </c>
      <c r="K167" s="313">
        <f t="shared" si="7"/>
        <v>0.12365486928898521</v>
      </c>
      <c r="L167" s="312">
        <f t="shared" si="8"/>
        <v>0.12365486928898521</v>
      </c>
      <c r="M167" s="312">
        <f t="shared" si="8"/>
        <v>0.12365486928898521</v>
      </c>
      <c r="N167" s="312">
        <f t="shared" si="8"/>
        <v>0.12365486928898521</v>
      </c>
      <c r="O167" s="288"/>
      <c r="P167" s="285"/>
      <c r="Q167" s="285"/>
      <c r="R167" s="285"/>
      <c r="S167" s="285"/>
      <c r="T167" s="285"/>
      <c r="U167" s="285"/>
      <c r="V167" s="285"/>
    </row>
    <row r="168" spans="1:22" ht="14.4" x14ac:dyDescent="0.3">
      <c r="A168" s="285"/>
      <c r="B168" s="285"/>
      <c r="C168" s="285"/>
      <c r="D168" s="286"/>
      <c r="E168" s="285"/>
      <c r="F168" s="285"/>
      <c r="G168" s="396"/>
      <c r="H168" s="287"/>
      <c r="I168" s="285"/>
      <c r="J168" s="285">
        <v>24</v>
      </c>
      <c r="K168" s="313">
        <f t="shared" si="7"/>
        <v>0.30189177072506151</v>
      </c>
      <c r="L168" s="312">
        <f t="shared" si="8"/>
        <v>0.30189177072506151</v>
      </c>
      <c r="M168" s="312">
        <f t="shared" si="8"/>
        <v>0.30189177072506151</v>
      </c>
      <c r="N168" s="312">
        <f t="shared" si="8"/>
        <v>0.30189177072506151</v>
      </c>
      <c r="O168" s="288"/>
      <c r="P168" s="285"/>
      <c r="Q168" s="285"/>
      <c r="R168" s="285"/>
      <c r="S168" s="285"/>
      <c r="T168" s="285"/>
      <c r="U168" s="285"/>
      <c r="V168" s="285"/>
    </row>
    <row r="169" spans="1:22" ht="14.4" x14ac:dyDescent="0.3">
      <c r="A169" s="285"/>
      <c r="B169" s="285"/>
      <c r="C169" s="285"/>
      <c r="D169" s="286"/>
      <c r="E169" s="285"/>
      <c r="F169" s="285"/>
      <c r="G169" s="396"/>
      <c r="H169" s="287"/>
      <c r="I169" s="285"/>
      <c r="J169" s="285">
        <v>25</v>
      </c>
      <c r="K169" s="313">
        <f t="shared" si="7"/>
        <v>0.54920906206695386</v>
      </c>
      <c r="L169" s="312">
        <f t="shared" si="8"/>
        <v>0.54920906206695386</v>
      </c>
      <c r="M169" s="312">
        <f t="shared" si="8"/>
        <v>0.54920906206695386</v>
      </c>
      <c r="N169" s="312">
        <f t="shared" si="8"/>
        <v>0.54920906206695386</v>
      </c>
      <c r="O169" s="288"/>
      <c r="P169" s="285"/>
      <c r="Q169" s="285"/>
      <c r="R169" s="285"/>
      <c r="S169" s="285"/>
      <c r="T169" s="285"/>
      <c r="U169" s="285"/>
      <c r="V169" s="285"/>
    </row>
    <row r="170" spans="1:22" ht="14.4" x14ac:dyDescent="0.3">
      <c r="A170" s="285"/>
      <c r="B170" s="285"/>
      <c r="C170" s="285"/>
      <c r="D170" s="286"/>
      <c r="E170" s="285"/>
      <c r="F170" s="285"/>
      <c r="G170" s="396"/>
      <c r="H170" s="287"/>
      <c r="I170" s="285"/>
      <c r="J170" s="285">
        <v>26</v>
      </c>
      <c r="K170" s="313">
        <f t="shared" si="7"/>
        <v>0.61888850072179202</v>
      </c>
      <c r="L170" s="312">
        <f t="shared" si="8"/>
        <v>0.61888850072179202</v>
      </c>
      <c r="M170" s="312">
        <f t="shared" si="8"/>
        <v>0.61888850072179202</v>
      </c>
      <c r="N170" s="312">
        <f t="shared" si="8"/>
        <v>0.61888850072179202</v>
      </c>
      <c r="O170" s="288"/>
      <c r="P170" s="285"/>
      <c r="Q170" s="285"/>
      <c r="R170" s="285"/>
      <c r="S170" s="285"/>
      <c r="T170" s="285"/>
      <c r="U170" s="285"/>
      <c r="V170" s="285"/>
    </row>
    <row r="171" spans="1:22" ht="14.4" x14ac:dyDescent="0.3">
      <c r="A171" s="285"/>
      <c r="B171" s="285"/>
      <c r="C171" s="285"/>
      <c r="D171" s="286"/>
      <c r="E171" s="285"/>
      <c r="F171" s="285"/>
      <c r="G171" s="396"/>
      <c r="H171" s="287"/>
      <c r="I171" s="285"/>
      <c r="J171" s="285">
        <v>27</v>
      </c>
      <c r="K171" s="313">
        <f t="shared" si="7"/>
        <v>0.69193837905342725</v>
      </c>
      <c r="L171" s="312">
        <f t="shared" si="8"/>
        <v>0.69193837905342725</v>
      </c>
      <c r="M171" s="312">
        <f t="shared" si="8"/>
        <v>0.69193837905342725</v>
      </c>
      <c r="N171" s="312">
        <f t="shared" si="8"/>
        <v>0.69193837905342725</v>
      </c>
      <c r="O171" s="288"/>
      <c r="P171" s="285"/>
      <c r="Q171" s="285"/>
      <c r="R171" s="285"/>
      <c r="S171" s="285"/>
      <c r="T171" s="285"/>
      <c r="U171" s="285"/>
      <c r="V171" s="285"/>
    </row>
    <row r="172" spans="1:22" ht="14.4" x14ac:dyDescent="0.3">
      <c r="A172" s="285"/>
      <c r="B172" s="285"/>
      <c r="C172" s="285"/>
      <c r="D172" s="286"/>
      <c r="E172" s="285"/>
      <c r="F172" s="285"/>
      <c r="G172" s="396"/>
      <c r="H172" s="287"/>
      <c r="I172" s="285"/>
      <c r="J172" s="285">
        <v>28</v>
      </c>
      <c r="K172" s="313">
        <f t="shared" si="7"/>
        <v>0.77669890415329312</v>
      </c>
      <c r="L172" s="312">
        <f t="shared" si="8"/>
        <v>0.77669890415329312</v>
      </c>
      <c r="M172" s="312">
        <f t="shared" si="8"/>
        <v>0.77669890415329312</v>
      </c>
      <c r="N172" s="312">
        <f t="shared" si="8"/>
        <v>0.77669890415329312</v>
      </c>
      <c r="O172" s="288"/>
      <c r="P172" s="285"/>
      <c r="Q172" s="285"/>
      <c r="R172" s="285"/>
      <c r="S172" s="285"/>
      <c r="T172" s="285"/>
      <c r="U172" s="285"/>
      <c r="V172" s="285"/>
    </row>
    <row r="173" spans="1:22" ht="14.4" x14ac:dyDescent="0.3">
      <c r="A173" s="285"/>
      <c r="B173" s="285"/>
      <c r="C173" s="285"/>
      <c r="D173" s="286"/>
      <c r="E173" s="285"/>
      <c r="F173" s="285"/>
      <c r="G173" s="396"/>
      <c r="H173" s="287"/>
      <c r="I173" s="285"/>
      <c r="J173" s="285">
        <v>29</v>
      </c>
      <c r="K173" s="313">
        <f t="shared" si="7"/>
        <v>0.87524051131750935</v>
      </c>
      <c r="L173" s="312">
        <f t="shared" si="8"/>
        <v>0.87524051131750935</v>
      </c>
      <c r="M173" s="312">
        <f t="shared" si="8"/>
        <v>0.87524051131750935</v>
      </c>
      <c r="N173" s="312">
        <f t="shared" si="8"/>
        <v>0.87524051131750935</v>
      </c>
      <c r="O173" s="288"/>
      <c r="P173" s="285"/>
      <c r="Q173" s="285"/>
      <c r="R173" s="285"/>
      <c r="S173" s="285"/>
      <c r="T173" s="285"/>
      <c r="U173" s="285"/>
      <c r="V173" s="285"/>
    </row>
    <row r="174" spans="1:22" ht="14.4" x14ac:dyDescent="0.3">
      <c r="A174" s="285"/>
      <c r="B174" s="285"/>
      <c r="C174" s="285"/>
      <c r="D174" s="286"/>
      <c r="E174" s="285"/>
      <c r="F174" s="285"/>
      <c r="G174" s="396"/>
      <c r="H174" s="287"/>
      <c r="I174" s="285"/>
      <c r="J174" s="285">
        <v>30</v>
      </c>
      <c r="K174" s="313">
        <f t="shared" si="7"/>
        <v>0.97854863998381236</v>
      </c>
      <c r="L174" s="312">
        <f t="shared" si="8"/>
        <v>0.97854863998381236</v>
      </c>
      <c r="M174" s="312">
        <f t="shared" si="8"/>
        <v>0.97854863998381236</v>
      </c>
      <c r="N174" s="312">
        <f t="shared" si="8"/>
        <v>0.97854863998381236</v>
      </c>
      <c r="O174" s="288"/>
      <c r="P174" s="285"/>
      <c r="Q174" s="285"/>
      <c r="R174" s="285"/>
      <c r="S174" s="285"/>
      <c r="T174" s="285"/>
      <c r="U174" s="285"/>
      <c r="V174" s="285"/>
    </row>
    <row r="175" spans="1:22" ht="14.4" x14ac:dyDescent="0.3">
      <c r="A175" s="285"/>
      <c r="B175" s="285"/>
      <c r="C175" s="285"/>
      <c r="D175" s="286"/>
      <c r="E175" s="285"/>
      <c r="F175" s="285"/>
      <c r="G175" s="396"/>
      <c r="H175" s="287"/>
      <c r="I175" s="285"/>
      <c r="J175" s="285">
        <v>31</v>
      </c>
      <c r="K175" s="313">
        <f t="shared" si="7"/>
        <v>1</v>
      </c>
      <c r="L175" s="312">
        <f t="shared" si="8"/>
        <v>1</v>
      </c>
      <c r="M175" s="312">
        <f t="shared" si="8"/>
        <v>1</v>
      </c>
      <c r="N175" s="312">
        <f t="shared" si="8"/>
        <v>1</v>
      </c>
      <c r="O175" s="288"/>
      <c r="P175" s="285"/>
      <c r="Q175" s="285"/>
      <c r="R175" s="285"/>
      <c r="S175" s="285"/>
      <c r="T175" s="285"/>
      <c r="U175" s="285"/>
      <c r="V175" s="285"/>
    </row>
    <row r="176" spans="1:22" ht="14.4" x14ac:dyDescent="0.3">
      <c r="A176" s="285"/>
      <c r="B176" s="285"/>
      <c r="C176" s="285"/>
      <c r="D176" s="286"/>
      <c r="E176" s="285"/>
      <c r="F176" s="285"/>
      <c r="G176" s="396"/>
      <c r="H176" s="287"/>
      <c r="I176" s="285"/>
      <c r="J176" s="285">
        <v>32</v>
      </c>
      <c r="K176" s="313">
        <f t="shared" si="7"/>
        <v>1</v>
      </c>
      <c r="L176" s="312">
        <f t="shared" si="8"/>
        <v>1</v>
      </c>
      <c r="M176" s="312">
        <f t="shared" si="8"/>
        <v>1</v>
      </c>
      <c r="N176" s="312">
        <f t="shared" si="8"/>
        <v>1</v>
      </c>
      <c r="O176" s="288"/>
      <c r="P176" s="285"/>
      <c r="Q176" s="285"/>
      <c r="R176" s="285"/>
      <c r="S176" s="285"/>
      <c r="T176" s="285"/>
      <c r="U176" s="285"/>
      <c r="V176" s="285"/>
    </row>
    <row r="177" spans="1:22" ht="14.4" x14ac:dyDescent="0.3">
      <c r="A177" s="285"/>
      <c r="B177" s="285"/>
      <c r="C177" s="285"/>
      <c r="D177" s="286"/>
      <c r="E177" s="285"/>
      <c r="F177" s="285"/>
      <c r="G177" s="396"/>
      <c r="H177" s="287"/>
      <c r="I177" s="285"/>
      <c r="J177" s="285">
        <v>33</v>
      </c>
      <c r="K177" s="313">
        <f t="shared" si="7"/>
        <v>1</v>
      </c>
      <c r="L177" s="312">
        <f t="shared" si="8"/>
        <v>1</v>
      </c>
      <c r="M177" s="312">
        <f t="shared" si="8"/>
        <v>1</v>
      </c>
      <c r="N177" s="312">
        <f t="shared" si="8"/>
        <v>1</v>
      </c>
      <c r="O177" s="288"/>
      <c r="P177" s="285"/>
      <c r="Q177" s="285"/>
      <c r="R177" s="285"/>
      <c r="S177" s="285"/>
      <c r="T177" s="285"/>
      <c r="U177" s="285"/>
      <c r="V177" s="285"/>
    </row>
    <row r="178" spans="1:22" ht="15.6" x14ac:dyDescent="0.3">
      <c r="A178" s="285"/>
      <c r="B178" s="285"/>
      <c r="C178" s="285"/>
      <c r="D178" s="286"/>
      <c r="E178" s="285"/>
      <c r="F178" s="285"/>
      <c r="G178" s="396"/>
      <c r="H178" s="287" t="s">
        <v>364</v>
      </c>
      <c r="I178" s="285" t="s">
        <v>363</v>
      </c>
      <c r="J178" s="317" t="s">
        <v>362</v>
      </c>
      <c r="K178" s="316">
        <f>IF(VLOOKUP(1,Table_5,2,FALSE)&lt;f_o..K,IF(f_o..K&lt;f_g..K,f_o..K/f_g..K,1),IF(VLOOKUP(1,Table_5,2,FALSE)&lt;f_g..K,VLOOKUP(1,Table_5,2,FALSE)/f_g..K,1))</f>
        <v>1</v>
      </c>
      <c r="L178" s="315">
        <f>IF(VLOOKUP(1,Table_5,2,FALSE)&lt;L143,IF(L143&lt;L144,L143/L144,1),IF(VLOOKUP(1,Table_5,2,FALSE)&lt;L144,VLOOKUP(1,Table_5,2,FALSE)/L144,1))</f>
        <v>1</v>
      </c>
      <c r="M178" s="315">
        <f>IF(VLOOKUP(1,Table_5,2,FALSE)&lt;M143,IF(M143&lt;M144,M143/M144,1),IF(VLOOKUP(1,Table_5,2,FALSE)&lt;M144,VLOOKUP(1,Table_5,2,FALSE)/M144,1))</f>
        <v>1</v>
      </c>
      <c r="N178" s="315">
        <f>IF(VLOOKUP(1,Table_5,2,FALSE)&lt;N143,IF(N143&lt;N144,N143/N144,1),IF(VLOOKUP(1,Table_5,2,FALSE)&lt;N144,VLOOKUP(1,Table_5,2,FALSE)/N144,1))</f>
        <v>1</v>
      </c>
      <c r="O178" s="288"/>
      <c r="P178" s="285"/>
      <c r="Q178" s="285"/>
      <c r="R178" s="285"/>
      <c r="S178" s="285"/>
      <c r="T178" s="285"/>
      <c r="U178" s="285"/>
      <c r="V178" s="285"/>
    </row>
    <row r="179" spans="1:22" ht="14.4" x14ac:dyDescent="0.3">
      <c r="A179" s="285"/>
      <c r="B179" s="285"/>
      <c r="C179" s="285"/>
      <c r="D179" s="286"/>
      <c r="E179" s="285"/>
      <c r="F179" s="285"/>
      <c r="G179" s="396"/>
      <c r="H179" s="287"/>
      <c r="I179" s="285"/>
      <c r="J179" s="285">
        <v>2</v>
      </c>
      <c r="K179" s="316">
        <f t="shared" ref="K179:K210" si="9">IF(VLOOKUP($J179,Table_5,2,FALSE)&lt;f_o..K,IF(f_o..K&lt;f_g..K,f_o..K/f_g..K,1),IF(VLOOKUP($J179,Table_5,2,FALSE)&lt;f_g..K,VLOOKUP($J179,Table_5,2,FALSE)/f_g..K,1))</f>
        <v>1</v>
      </c>
      <c r="L179" s="315">
        <f t="shared" ref="L179:L210" si="10">IF(VLOOKUP($J179,Table_5,2,FALSE)&lt;L$143,IF(L$143&lt;L$144,L$143/L$144,1),IF(VLOOKUP($J179,Table_5,2,FALSE)&lt;L$144,VLOOKUP($J179,Table_5,2,FALSE)/L$144,1))</f>
        <v>1</v>
      </c>
      <c r="M179" s="315">
        <f t="shared" ref="M179:N210" si="11">IF(VLOOKUP(1,Table_5,2,FALSE)&lt;M144,IF(M144&lt;M145,M144/M145,1),IF(VLOOKUP(1,Table_5,2,FALSE)&lt;M145,VLOOKUP(1,Table_5,2,FALSE)/M145,1))</f>
        <v>1</v>
      </c>
      <c r="N179" s="315">
        <f t="shared" si="11"/>
        <v>1</v>
      </c>
      <c r="O179" s="288"/>
      <c r="P179" s="285"/>
      <c r="Q179" s="285"/>
      <c r="R179" s="285"/>
      <c r="S179" s="285"/>
      <c r="T179" s="285"/>
      <c r="U179" s="285"/>
      <c r="V179" s="285"/>
    </row>
    <row r="180" spans="1:22" ht="14.4" x14ac:dyDescent="0.3">
      <c r="A180" s="285"/>
      <c r="B180" s="285"/>
      <c r="C180" s="285"/>
      <c r="D180" s="286"/>
      <c r="E180" s="285"/>
      <c r="F180" s="285"/>
      <c r="G180" s="396"/>
      <c r="H180" s="287"/>
      <c r="I180" s="285"/>
      <c r="J180" s="285">
        <v>3</v>
      </c>
      <c r="K180" s="316">
        <f t="shared" si="9"/>
        <v>1</v>
      </c>
      <c r="L180" s="315">
        <f t="shared" si="10"/>
        <v>1</v>
      </c>
      <c r="M180" s="315">
        <f t="shared" si="11"/>
        <v>1</v>
      </c>
      <c r="N180" s="315">
        <f t="shared" si="11"/>
        <v>1</v>
      </c>
      <c r="O180" s="288"/>
      <c r="P180" s="285"/>
      <c r="Q180" s="285"/>
      <c r="R180" s="285"/>
      <c r="S180" s="285"/>
      <c r="T180" s="285"/>
      <c r="U180" s="285"/>
      <c r="V180" s="285"/>
    </row>
    <row r="181" spans="1:22" ht="14.4" x14ac:dyDescent="0.3">
      <c r="A181" s="285"/>
      <c r="B181" s="285"/>
      <c r="C181" s="285"/>
      <c r="D181" s="286"/>
      <c r="E181" s="285"/>
      <c r="F181" s="285"/>
      <c r="G181" s="396"/>
      <c r="H181" s="287"/>
      <c r="I181" s="285"/>
      <c r="J181" s="285">
        <v>4</v>
      </c>
      <c r="K181" s="316">
        <f t="shared" si="9"/>
        <v>1</v>
      </c>
      <c r="L181" s="315">
        <f t="shared" si="10"/>
        <v>1</v>
      </c>
      <c r="M181" s="315">
        <f t="shared" si="11"/>
        <v>1</v>
      </c>
      <c r="N181" s="315">
        <f t="shared" si="11"/>
        <v>1</v>
      </c>
      <c r="O181" s="288"/>
      <c r="P181" s="285"/>
      <c r="Q181" s="285"/>
      <c r="R181" s="285"/>
      <c r="S181" s="285"/>
      <c r="T181" s="285"/>
      <c r="U181" s="285"/>
      <c r="V181" s="285"/>
    </row>
    <row r="182" spans="1:22" ht="14.4" x14ac:dyDescent="0.3">
      <c r="A182" s="285"/>
      <c r="B182" s="285"/>
      <c r="C182" s="285"/>
      <c r="D182" s="286"/>
      <c r="E182" s="285"/>
      <c r="F182" s="285"/>
      <c r="G182" s="396"/>
      <c r="H182" s="287"/>
      <c r="I182" s="285"/>
      <c r="J182" s="285">
        <v>5</v>
      </c>
      <c r="K182" s="316">
        <f t="shared" si="9"/>
        <v>1</v>
      </c>
      <c r="L182" s="315">
        <f t="shared" si="10"/>
        <v>1</v>
      </c>
      <c r="M182" s="315">
        <f t="shared" si="11"/>
        <v>1</v>
      </c>
      <c r="N182" s="315">
        <f t="shared" si="11"/>
        <v>1</v>
      </c>
      <c r="O182" s="288"/>
      <c r="P182" s="285"/>
      <c r="Q182" s="285"/>
      <c r="R182" s="285"/>
      <c r="S182" s="285"/>
      <c r="T182" s="285"/>
      <c r="U182" s="285"/>
      <c r="V182" s="285"/>
    </row>
    <row r="183" spans="1:22" ht="14.4" x14ac:dyDescent="0.3">
      <c r="A183" s="285"/>
      <c r="B183" s="285"/>
      <c r="C183" s="285"/>
      <c r="D183" s="286"/>
      <c r="E183" s="285"/>
      <c r="F183" s="285"/>
      <c r="G183" s="396"/>
      <c r="H183" s="287"/>
      <c r="I183" s="285"/>
      <c r="J183" s="285">
        <v>6</v>
      </c>
      <c r="K183" s="316">
        <f t="shared" si="9"/>
        <v>1</v>
      </c>
      <c r="L183" s="315">
        <f t="shared" si="10"/>
        <v>1</v>
      </c>
      <c r="M183" s="315">
        <f t="shared" si="11"/>
        <v>1</v>
      </c>
      <c r="N183" s="315">
        <f t="shared" si="11"/>
        <v>1</v>
      </c>
      <c r="O183" s="288"/>
      <c r="P183" s="285"/>
      <c r="Q183" s="285"/>
      <c r="R183" s="285"/>
      <c r="S183" s="285"/>
      <c r="T183" s="285"/>
      <c r="U183" s="285"/>
      <c r="V183" s="285"/>
    </row>
    <row r="184" spans="1:22" ht="14.4" x14ac:dyDescent="0.3">
      <c r="A184" s="285"/>
      <c r="B184" s="285"/>
      <c r="C184" s="285"/>
      <c r="D184" s="286"/>
      <c r="E184" s="285"/>
      <c r="F184" s="285"/>
      <c r="G184" s="396"/>
      <c r="H184" s="287"/>
      <c r="I184" s="285"/>
      <c r="J184" s="285">
        <v>7</v>
      </c>
      <c r="K184" s="316">
        <f t="shared" si="9"/>
        <v>1</v>
      </c>
      <c r="L184" s="315">
        <f t="shared" si="10"/>
        <v>1</v>
      </c>
      <c r="M184" s="315">
        <f t="shared" si="11"/>
        <v>1</v>
      </c>
      <c r="N184" s="315">
        <f t="shared" si="11"/>
        <v>1</v>
      </c>
      <c r="O184" s="288"/>
      <c r="P184" s="285"/>
      <c r="Q184" s="285"/>
      <c r="R184" s="285"/>
      <c r="S184" s="285"/>
      <c r="T184" s="285"/>
      <c r="U184" s="285"/>
      <c r="V184" s="285"/>
    </row>
    <row r="185" spans="1:22" ht="14.4" x14ac:dyDescent="0.3">
      <c r="A185" s="285"/>
      <c r="B185" s="285"/>
      <c r="C185" s="285"/>
      <c r="D185" s="286"/>
      <c r="E185" s="285"/>
      <c r="F185" s="285"/>
      <c r="G185" s="396"/>
      <c r="H185" s="287"/>
      <c r="I185" s="285"/>
      <c r="J185" s="285">
        <v>8</v>
      </c>
      <c r="K185" s="316">
        <f t="shared" si="9"/>
        <v>1</v>
      </c>
      <c r="L185" s="315">
        <f t="shared" si="10"/>
        <v>1</v>
      </c>
      <c r="M185" s="315">
        <f t="shared" si="11"/>
        <v>1</v>
      </c>
      <c r="N185" s="315">
        <f t="shared" si="11"/>
        <v>1</v>
      </c>
      <c r="O185" s="288"/>
      <c r="P185" s="285"/>
      <c r="Q185" s="285"/>
      <c r="R185" s="285"/>
      <c r="S185" s="285"/>
      <c r="T185" s="285"/>
      <c r="U185" s="285"/>
      <c r="V185" s="285"/>
    </row>
    <row r="186" spans="1:22" ht="14.4" x14ac:dyDescent="0.3">
      <c r="A186" s="285"/>
      <c r="B186" s="285"/>
      <c r="C186" s="285"/>
      <c r="D186" s="286"/>
      <c r="E186" s="285"/>
      <c r="F186" s="285"/>
      <c r="G186" s="396"/>
      <c r="H186" s="287"/>
      <c r="I186" s="285"/>
      <c r="J186" s="285">
        <v>9</v>
      </c>
      <c r="K186" s="316">
        <f t="shared" si="9"/>
        <v>1</v>
      </c>
      <c r="L186" s="315">
        <f t="shared" si="10"/>
        <v>1</v>
      </c>
      <c r="M186" s="315">
        <f t="shared" si="11"/>
        <v>1</v>
      </c>
      <c r="N186" s="315">
        <f t="shared" si="11"/>
        <v>1</v>
      </c>
      <c r="O186" s="288"/>
      <c r="P186" s="285"/>
      <c r="Q186" s="285"/>
      <c r="R186" s="285"/>
      <c r="S186" s="285"/>
      <c r="T186" s="285"/>
      <c r="U186" s="285"/>
      <c r="V186" s="285"/>
    </row>
    <row r="187" spans="1:22" ht="14.4" x14ac:dyDescent="0.3">
      <c r="A187" s="285"/>
      <c r="B187" s="285"/>
      <c r="C187" s="285"/>
      <c r="D187" s="286"/>
      <c r="E187" s="285"/>
      <c r="F187" s="285"/>
      <c r="G187" s="396"/>
      <c r="H187" s="287"/>
      <c r="I187" s="285"/>
      <c r="J187" s="285">
        <v>10</v>
      </c>
      <c r="K187" s="316">
        <f t="shared" si="9"/>
        <v>1</v>
      </c>
      <c r="L187" s="315">
        <f t="shared" si="10"/>
        <v>1</v>
      </c>
      <c r="M187" s="315">
        <f t="shared" si="11"/>
        <v>1</v>
      </c>
      <c r="N187" s="315">
        <f t="shared" si="11"/>
        <v>1</v>
      </c>
      <c r="O187" s="288"/>
      <c r="P187" s="285"/>
      <c r="Q187" s="285"/>
      <c r="R187" s="285"/>
      <c r="S187" s="285"/>
      <c r="T187" s="285"/>
      <c r="U187" s="285"/>
      <c r="V187" s="285"/>
    </row>
    <row r="188" spans="1:22" ht="14.4" x14ac:dyDescent="0.3">
      <c r="A188" s="285"/>
      <c r="B188" s="285"/>
      <c r="C188" s="285"/>
      <c r="D188" s="286"/>
      <c r="E188" s="285"/>
      <c r="F188" s="285"/>
      <c r="G188" s="396"/>
      <c r="H188" s="287"/>
      <c r="I188" s="285"/>
      <c r="J188" s="285">
        <v>11</v>
      </c>
      <c r="K188" s="316">
        <f t="shared" si="9"/>
        <v>1</v>
      </c>
      <c r="L188" s="315">
        <f t="shared" si="10"/>
        <v>1</v>
      </c>
      <c r="M188" s="315">
        <f t="shared" si="11"/>
        <v>1</v>
      </c>
      <c r="N188" s="315">
        <f t="shared" si="11"/>
        <v>1</v>
      </c>
      <c r="O188" s="288"/>
      <c r="P188" s="285"/>
      <c r="Q188" s="285"/>
      <c r="R188" s="285"/>
      <c r="S188" s="285"/>
      <c r="T188" s="285"/>
      <c r="U188" s="285"/>
      <c r="V188" s="285"/>
    </row>
    <row r="189" spans="1:22" ht="14.4" x14ac:dyDescent="0.3">
      <c r="A189" s="285"/>
      <c r="B189" s="285"/>
      <c r="C189" s="285"/>
      <c r="D189" s="286"/>
      <c r="E189" s="285"/>
      <c r="F189" s="285"/>
      <c r="G189" s="396"/>
      <c r="H189" s="287"/>
      <c r="I189" s="285"/>
      <c r="J189" s="285">
        <v>12</v>
      </c>
      <c r="K189" s="316">
        <f t="shared" si="9"/>
        <v>1</v>
      </c>
      <c r="L189" s="315">
        <f t="shared" si="10"/>
        <v>1</v>
      </c>
      <c r="M189" s="315">
        <f t="shared" si="11"/>
        <v>1</v>
      </c>
      <c r="N189" s="315">
        <f t="shared" si="11"/>
        <v>1</v>
      </c>
      <c r="O189" s="288"/>
      <c r="P189" s="285"/>
      <c r="Q189" s="285"/>
      <c r="R189" s="285"/>
      <c r="S189" s="285"/>
      <c r="T189" s="285"/>
      <c r="U189" s="285"/>
      <c r="V189" s="285"/>
    </row>
    <row r="190" spans="1:22" ht="14.4" x14ac:dyDescent="0.3">
      <c r="A190" s="285"/>
      <c r="B190" s="285"/>
      <c r="C190" s="285"/>
      <c r="D190" s="286"/>
      <c r="E190" s="285"/>
      <c r="F190" s="285"/>
      <c r="G190" s="396"/>
      <c r="H190" s="287"/>
      <c r="I190" s="285"/>
      <c r="J190" s="285">
        <v>13</v>
      </c>
      <c r="K190" s="316">
        <f t="shared" si="9"/>
        <v>1</v>
      </c>
      <c r="L190" s="315">
        <f t="shared" si="10"/>
        <v>1</v>
      </c>
      <c r="M190" s="315">
        <f t="shared" si="11"/>
        <v>1</v>
      </c>
      <c r="N190" s="315">
        <f t="shared" si="11"/>
        <v>1</v>
      </c>
      <c r="O190" s="288"/>
      <c r="P190" s="285"/>
      <c r="Q190" s="285"/>
      <c r="R190" s="285"/>
      <c r="S190" s="285"/>
      <c r="T190" s="285"/>
      <c r="U190" s="285"/>
      <c r="V190" s="285"/>
    </row>
    <row r="191" spans="1:22" ht="14.4" x14ac:dyDescent="0.3">
      <c r="A191" s="285"/>
      <c r="B191" s="285"/>
      <c r="C191" s="285"/>
      <c r="D191" s="286"/>
      <c r="E191" s="285"/>
      <c r="F191" s="285"/>
      <c r="G191" s="396"/>
      <c r="H191" s="287"/>
      <c r="I191" s="285"/>
      <c r="J191" s="285">
        <v>14</v>
      </c>
      <c r="K191" s="316">
        <f t="shared" si="9"/>
        <v>1</v>
      </c>
      <c r="L191" s="315">
        <f t="shared" si="10"/>
        <v>1</v>
      </c>
      <c r="M191" s="315">
        <f t="shared" si="11"/>
        <v>1</v>
      </c>
      <c r="N191" s="315">
        <f t="shared" si="11"/>
        <v>1</v>
      </c>
      <c r="O191" s="288"/>
      <c r="P191" s="285"/>
      <c r="Q191" s="285"/>
      <c r="R191" s="285"/>
      <c r="S191" s="285"/>
      <c r="T191" s="285"/>
      <c r="U191" s="285"/>
      <c r="V191" s="285"/>
    </row>
    <row r="192" spans="1:22" ht="14.4" x14ac:dyDescent="0.3">
      <c r="A192" s="285"/>
      <c r="B192" s="285"/>
      <c r="C192" s="285"/>
      <c r="D192" s="286"/>
      <c r="E192" s="285"/>
      <c r="F192" s="285"/>
      <c r="G192" s="396"/>
      <c r="H192" s="287"/>
      <c r="I192" s="285"/>
      <c r="J192" s="285">
        <v>15</v>
      </c>
      <c r="K192" s="316">
        <f t="shared" si="9"/>
        <v>1</v>
      </c>
      <c r="L192" s="315">
        <f t="shared" si="10"/>
        <v>1</v>
      </c>
      <c r="M192" s="315">
        <f t="shared" si="11"/>
        <v>1</v>
      </c>
      <c r="N192" s="315">
        <f t="shared" si="11"/>
        <v>1</v>
      </c>
      <c r="O192" s="288"/>
      <c r="P192" s="285"/>
      <c r="Q192" s="285"/>
      <c r="R192" s="285"/>
      <c r="S192" s="285"/>
      <c r="T192" s="285"/>
      <c r="U192" s="285"/>
      <c r="V192" s="285"/>
    </row>
    <row r="193" spans="1:22" ht="14.4" x14ac:dyDescent="0.3">
      <c r="A193" s="285"/>
      <c r="B193" s="285"/>
      <c r="C193" s="285"/>
      <c r="D193" s="286"/>
      <c r="E193" s="285"/>
      <c r="F193" s="285"/>
      <c r="G193" s="396"/>
      <c r="H193" s="287"/>
      <c r="I193" s="285"/>
      <c r="J193" s="285">
        <v>16</v>
      </c>
      <c r="K193" s="316">
        <f t="shared" si="9"/>
        <v>1</v>
      </c>
      <c r="L193" s="315">
        <f t="shared" si="10"/>
        <v>1</v>
      </c>
      <c r="M193" s="315">
        <f t="shared" si="11"/>
        <v>1</v>
      </c>
      <c r="N193" s="315">
        <f t="shared" si="11"/>
        <v>1</v>
      </c>
      <c r="O193" s="288"/>
      <c r="P193" s="285"/>
      <c r="Q193" s="285"/>
      <c r="R193" s="285"/>
      <c r="S193" s="285"/>
      <c r="T193" s="285"/>
      <c r="U193" s="285"/>
      <c r="V193" s="285"/>
    </row>
    <row r="194" spans="1:22" ht="14.4" x14ac:dyDescent="0.3">
      <c r="A194" s="285"/>
      <c r="B194" s="285"/>
      <c r="C194" s="285"/>
      <c r="D194" s="286"/>
      <c r="E194" s="285"/>
      <c r="F194" s="285"/>
      <c r="G194" s="396"/>
      <c r="H194" s="287"/>
      <c r="I194" s="285"/>
      <c r="J194" s="285">
        <v>17</v>
      </c>
      <c r="K194" s="316">
        <f t="shared" si="9"/>
        <v>1</v>
      </c>
      <c r="L194" s="315">
        <f t="shared" si="10"/>
        <v>1</v>
      </c>
      <c r="M194" s="315">
        <f t="shared" si="11"/>
        <v>1</v>
      </c>
      <c r="N194" s="315">
        <f t="shared" si="11"/>
        <v>1</v>
      </c>
      <c r="O194" s="288"/>
      <c r="P194" s="285"/>
      <c r="Q194" s="285"/>
      <c r="R194" s="285"/>
      <c r="S194" s="285"/>
      <c r="T194" s="285"/>
      <c r="U194" s="285"/>
      <c r="V194" s="285"/>
    </row>
    <row r="195" spans="1:22" ht="14.4" x14ac:dyDescent="0.3">
      <c r="A195" s="285"/>
      <c r="B195" s="285"/>
      <c r="C195" s="285"/>
      <c r="D195" s="286"/>
      <c r="E195" s="285"/>
      <c r="F195" s="285"/>
      <c r="G195" s="396"/>
      <c r="H195" s="287"/>
      <c r="I195" s="285"/>
      <c r="J195" s="285">
        <v>18</v>
      </c>
      <c r="K195" s="316">
        <f t="shared" si="9"/>
        <v>1</v>
      </c>
      <c r="L195" s="315">
        <f t="shared" si="10"/>
        <v>1</v>
      </c>
      <c r="M195" s="315">
        <f t="shared" si="11"/>
        <v>1</v>
      </c>
      <c r="N195" s="315">
        <f t="shared" si="11"/>
        <v>1</v>
      </c>
      <c r="O195" s="288"/>
      <c r="P195" s="285"/>
      <c r="Q195" s="285"/>
      <c r="R195" s="285"/>
      <c r="S195" s="285"/>
      <c r="T195" s="285"/>
      <c r="U195" s="285"/>
      <c r="V195" s="285"/>
    </row>
    <row r="196" spans="1:22" ht="14.4" x14ac:dyDescent="0.3">
      <c r="A196" s="285"/>
      <c r="B196" s="285"/>
      <c r="C196" s="285"/>
      <c r="D196" s="286"/>
      <c r="E196" s="285"/>
      <c r="F196" s="285"/>
      <c r="G196" s="396"/>
      <c r="H196" s="287"/>
      <c r="I196" s="285"/>
      <c r="J196" s="285">
        <v>19</v>
      </c>
      <c r="K196" s="316">
        <f t="shared" si="9"/>
        <v>1</v>
      </c>
      <c r="L196" s="315">
        <f t="shared" si="10"/>
        <v>1</v>
      </c>
      <c r="M196" s="315">
        <f t="shared" si="11"/>
        <v>1</v>
      </c>
      <c r="N196" s="315">
        <f t="shared" si="11"/>
        <v>1</v>
      </c>
      <c r="O196" s="288"/>
      <c r="P196" s="285"/>
      <c r="Q196" s="285"/>
      <c r="R196" s="285"/>
      <c r="S196" s="285"/>
      <c r="T196" s="285"/>
      <c r="U196" s="285"/>
      <c r="V196" s="285"/>
    </row>
    <row r="197" spans="1:22" ht="14.4" x14ac:dyDescent="0.3">
      <c r="A197" s="285"/>
      <c r="B197" s="285"/>
      <c r="C197" s="285"/>
      <c r="D197" s="286"/>
      <c r="E197" s="285"/>
      <c r="F197" s="285"/>
      <c r="G197" s="396"/>
      <c r="H197" s="287"/>
      <c r="I197" s="285"/>
      <c r="J197" s="285">
        <v>20</v>
      </c>
      <c r="K197" s="316">
        <f t="shared" si="9"/>
        <v>1</v>
      </c>
      <c r="L197" s="315">
        <f t="shared" si="10"/>
        <v>1</v>
      </c>
      <c r="M197" s="315">
        <f t="shared" si="11"/>
        <v>1</v>
      </c>
      <c r="N197" s="315">
        <f t="shared" si="11"/>
        <v>1</v>
      </c>
      <c r="O197" s="288"/>
      <c r="P197" s="285"/>
      <c r="Q197" s="285"/>
      <c r="R197" s="285"/>
      <c r="S197" s="285"/>
      <c r="T197" s="285"/>
      <c r="U197" s="285"/>
      <c r="V197" s="285"/>
    </row>
    <row r="198" spans="1:22" ht="14.4" x14ac:dyDescent="0.3">
      <c r="A198" s="285"/>
      <c r="B198" s="285"/>
      <c r="C198" s="285"/>
      <c r="D198" s="286"/>
      <c r="E198" s="285"/>
      <c r="F198" s="285"/>
      <c r="G198" s="396"/>
      <c r="H198" s="287"/>
      <c r="I198" s="285"/>
      <c r="J198" s="285">
        <v>21</v>
      </c>
      <c r="K198" s="316">
        <f t="shared" si="9"/>
        <v>1</v>
      </c>
      <c r="L198" s="315">
        <f t="shared" si="10"/>
        <v>1</v>
      </c>
      <c r="M198" s="315">
        <f t="shared" si="11"/>
        <v>1</v>
      </c>
      <c r="N198" s="315">
        <f t="shared" si="11"/>
        <v>1</v>
      </c>
      <c r="O198" s="288"/>
      <c r="P198" s="285"/>
      <c r="Q198" s="285"/>
      <c r="R198" s="285"/>
      <c r="S198" s="285"/>
      <c r="T198" s="285"/>
      <c r="U198" s="285"/>
      <c r="V198" s="285"/>
    </row>
    <row r="199" spans="1:22" ht="14.4" x14ac:dyDescent="0.3">
      <c r="A199" s="285"/>
      <c r="B199" s="285"/>
      <c r="C199" s="285"/>
      <c r="D199" s="286"/>
      <c r="E199" s="285"/>
      <c r="F199" s="285"/>
      <c r="G199" s="396"/>
      <c r="H199" s="287"/>
      <c r="I199" s="285"/>
      <c r="J199" s="285">
        <v>22</v>
      </c>
      <c r="K199" s="316">
        <f t="shared" si="9"/>
        <v>1</v>
      </c>
      <c r="L199" s="315">
        <f t="shared" si="10"/>
        <v>1</v>
      </c>
      <c r="M199" s="315">
        <f t="shared" si="11"/>
        <v>1</v>
      </c>
      <c r="N199" s="315">
        <f t="shared" si="11"/>
        <v>1</v>
      </c>
      <c r="O199" s="288"/>
      <c r="P199" s="285"/>
      <c r="Q199" s="285"/>
      <c r="R199" s="285"/>
      <c r="S199" s="285"/>
      <c r="T199" s="285"/>
      <c r="U199" s="285"/>
      <c r="V199" s="285"/>
    </row>
    <row r="200" spans="1:22" ht="14.4" x14ac:dyDescent="0.3">
      <c r="A200" s="285"/>
      <c r="B200" s="285"/>
      <c r="C200" s="285"/>
      <c r="D200" s="286"/>
      <c r="E200" s="285"/>
      <c r="F200" s="285"/>
      <c r="G200" s="396"/>
      <c r="H200" s="287"/>
      <c r="I200" s="285"/>
      <c r="J200" s="285">
        <v>23</v>
      </c>
      <c r="K200" s="316">
        <f t="shared" si="9"/>
        <v>1</v>
      </c>
      <c r="L200" s="315">
        <f t="shared" si="10"/>
        <v>1</v>
      </c>
      <c r="M200" s="315">
        <f t="shared" si="11"/>
        <v>1</v>
      </c>
      <c r="N200" s="315">
        <f t="shared" si="11"/>
        <v>1</v>
      </c>
      <c r="O200" s="288"/>
      <c r="P200" s="285"/>
      <c r="Q200" s="285"/>
      <c r="R200" s="285"/>
      <c r="S200" s="285"/>
      <c r="T200" s="285"/>
      <c r="U200" s="285"/>
      <c r="V200" s="285"/>
    </row>
    <row r="201" spans="1:22" ht="14.4" x14ac:dyDescent="0.3">
      <c r="A201" s="285"/>
      <c r="B201" s="285"/>
      <c r="C201" s="285"/>
      <c r="D201" s="286"/>
      <c r="E201" s="285"/>
      <c r="F201" s="285"/>
      <c r="G201" s="396"/>
      <c r="H201" s="287"/>
      <c r="I201" s="285"/>
      <c r="J201" s="285">
        <v>24</v>
      </c>
      <c r="K201" s="316">
        <f t="shared" si="9"/>
        <v>1</v>
      </c>
      <c r="L201" s="315">
        <f t="shared" si="10"/>
        <v>1</v>
      </c>
      <c r="M201" s="315">
        <f t="shared" si="11"/>
        <v>1</v>
      </c>
      <c r="N201" s="315">
        <f t="shared" si="11"/>
        <v>1</v>
      </c>
      <c r="O201" s="288"/>
      <c r="P201" s="285"/>
      <c r="Q201" s="285"/>
      <c r="R201" s="285"/>
      <c r="S201" s="285"/>
      <c r="T201" s="285"/>
      <c r="U201" s="285"/>
      <c r="V201" s="285"/>
    </row>
    <row r="202" spans="1:22" ht="14.4" x14ac:dyDescent="0.3">
      <c r="A202" s="285"/>
      <c r="B202" s="285"/>
      <c r="C202" s="285"/>
      <c r="D202" s="286"/>
      <c r="E202" s="285"/>
      <c r="F202" s="285"/>
      <c r="G202" s="396"/>
      <c r="H202" s="287"/>
      <c r="I202" s="285"/>
      <c r="J202" s="285">
        <v>25</v>
      </c>
      <c r="K202" s="316">
        <f t="shared" si="9"/>
        <v>1</v>
      </c>
      <c r="L202" s="315">
        <f t="shared" si="10"/>
        <v>1</v>
      </c>
      <c r="M202" s="315">
        <f t="shared" si="11"/>
        <v>1</v>
      </c>
      <c r="N202" s="315">
        <f t="shared" si="11"/>
        <v>1</v>
      </c>
      <c r="O202" s="288"/>
      <c r="P202" s="285"/>
      <c r="Q202" s="285"/>
      <c r="R202" s="285"/>
      <c r="S202" s="285"/>
      <c r="T202" s="285"/>
      <c r="U202" s="285"/>
      <c r="V202" s="285"/>
    </row>
    <row r="203" spans="1:22" ht="14.4" x14ac:dyDescent="0.3">
      <c r="A203" s="285"/>
      <c r="B203" s="285"/>
      <c r="C203" s="285"/>
      <c r="D203" s="286"/>
      <c r="E203" s="285"/>
      <c r="F203" s="285"/>
      <c r="G203" s="396"/>
      <c r="H203" s="287"/>
      <c r="I203" s="285"/>
      <c r="J203" s="285">
        <v>26</v>
      </c>
      <c r="K203" s="316">
        <f t="shared" si="9"/>
        <v>1</v>
      </c>
      <c r="L203" s="315">
        <f t="shared" si="10"/>
        <v>1</v>
      </c>
      <c r="M203" s="315">
        <f t="shared" si="11"/>
        <v>1</v>
      </c>
      <c r="N203" s="315">
        <f t="shared" si="11"/>
        <v>1</v>
      </c>
      <c r="O203" s="288"/>
      <c r="P203" s="285"/>
      <c r="Q203" s="285"/>
      <c r="R203" s="285"/>
      <c r="S203" s="285"/>
      <c r="T203" s="285"/>
      <c r="U203" s="285"/>
      <c r="V203" s="285"/>
    </row>
    <row r="204" spans="1:22" ht="14.4" x14ac:dyDescent="0.3">
      <c r="A204" s="285"/>
      <c r="B204" s="285"/>
      <c r="C204" s="285"/>
      <c r="D204" s="286"/>
      <c r="E204" s="285"/>
      <c r="F204" s="285"/>
      <c r="G204" s="396"/>
      <c r="H204" s="287"/>
      <c r="I204" s="285"/>
      <c r="J204" s="285">
        <v>27</v>
      </c>
      <c r="K204" s="316">
        <f t="shared" si="9"/>
        <v>1</v>
      </c>
      <c r="L204" s="315">
        <f t="shared" si="10"/>
        <v>1</v>
      </c>
      <c r="M204" s="315">
        <f t="shared" si="11"/>
        <v>1</v>
      </c>
      <c r="N204" s="315">
        <f t="shared" si="11"/>
        <v>1</v>
      </c>
      <c r="O204" s="288"/>
      <c r="P204" s="285"/>
      <c r="Q204" s="285"/>
      <c r="R204" s="285"/>
      <c r="S204" s="285"/>
      <c r="T204" s="285"/>
      <c r="U204" s="285"/>
      <c r="V204" s="285"/>
    </row>
    <row r="205" spans="1:22" ht="14.4" x14ac:dyDescent="0.3">
      <c r="A205" s="285"/>
      <c r="B205" s="285"/>
      <c r="C205" s="285"/>
      <c r="D205" s="286"/>
      <c r="E205" s="285"/>
      <c r="F205" s="285"/>
      <c r="G205" s="396"/>
      <c r="H205" s="287"/>
      <c r="I205" s="285"/>
      <c r="J205" s="285">
        <v>28</v>
      </c>
      <c r="K205" s="316">
        <f t="shared" si="9"/>
        <v>1</v>
      </c>
      <c r="L205" s="315">
        <f t="shared" si="10"/>
        <v>1</v>
      </c>
      <c r="M205" s="315">
        <f t="shared" si="11"/>
        <v>1</v>
      </c>
      <c r="N205" s="315">
        <f t="shared" si="11"/>
        <v>1</v>
      </c>
      <c r="O205" s="288"/>
      <c r="P205" s="285"/>
      <c r="Q205" s="285"/>
      <c r="R205" s="285"/>
      <c r="S205" s="285"/>
      <c r="T205" s="285"/>
      <c r="U205" s="285"/>
      <c r="V205" s="285"/>
    </row>
    <row r="206" spans="1:22" ht="14.4" x14ac:dyDescent="0.3">
      <c r="A206" s="285"/>
      <c r="B206" s="285"/>
      <c r="C206" s="285"/>
      <c r="D206" s="286"/>
      <c r="E206" s="285"/>
      <c r="F206" s="285"/>
      <c r="G206" s="396"/>
      <c r="H206" s="287"/>
      <c r="I206" s="285"/>
      <c r="J206" s="285">
        <v>29</v>
      </c>
      <c r="K206" s="316">
        <f t="shared" si="9"/>
        <v>1</v>
      </c>
      <c r="L206" s="315">
        <f t="shared" si="10"/>
        <v>1</v>
      </c>
      <c r="M206" s="315">
        <f t="shared" si="11"/>
        <v>1</v>
      </c>
      <c r="N206" s="315">
        <f t="shared" si="11"/>
        <v>1</v>
      </c>
      <c r="O206" s="288"/>
      <c r="P206" s="285"/>
      <c r="Q206" s="285"/>
      <c r="R206" s="285"/>
      <c r="S206" s="285"/>
      <c r="T206" s="285"/>
      <c r="U206" s="285"/>
      <c r="V206" s="285"/>
    </row>
    <row r="207" spans="1:22" ht="14.4" x14ac:dyDescent="0.3">
      <c r="A207" s="285"/>
      <c r="B207" s="285"/>
      <c r="C207" s="285"/>
      <c r="D207" s="286"/>
      <c r="E207" s="285"/>
      <c r="F207" s="285"/>
      <c r="G207" s="396"/>
      <c r="H207" s="287"/>
      <c r="I207" s="285"/>
      <c r="J207" s="285">
        <v>30</v>
      </c>
      <c r="K207" s="316">
        <f t="shared" si="9"/>
        <v>1</v>
      </c>
      <c r="L207" s="315">
        <f t="shared" si="10"/>
        <v>1</v>
      </c>
      <c r="M207" s="315">
        <f t="shared" si="11"/>
        <v>1</v>
      </c>
      <c r="N207" s="315">
        <f t="shared" si="11"/>
        <v>1</v>
      </c>
      <c r="O207" s="288"/>
      <c r="P207" s="285"/>
      <c r="Q207" s="285"/>
      <c r="R207" s="285"/>
      <c r="S207" s="285"/>
      <c r="T207" s="285"/>
      <c r="U207" s="285"/>
      <c r="V207" s="285"/>
    </row>
    <row r="208" spans="1:22" ht="14.4" x14ac:dyDescent="0.3">
      <c r="A208" s="285"/>
      <c r="B208" s="285"/>
      <c r="C208" s="285"/>
      <c r="D208" s="286"/>
      <c r="E208" s="285"/>
      <c r="F208" s="285"/>
      <c r="G208" s="396"/>
      <c r="H208" s="287"/>
      <c r="I208" s="285"/>
      <c r="J208" s="285">
        <v>31</v>
      </c>
      <c r="K208" s="316">
        <f t="shared" si="9"/>
        <v>1</v>
      </c>
      <c r="L208" s="315">
        <f t="shared" si="10"/>
        <v>1</v>
      </c>
      <c r="M208" s="315">
        <f t="shared" si="11"/>
        <v>1</v>
      </c>
      <c r="N208" s="315">
        <f t="shared" si="11"/>
        <v>1</v>
      </c>
      <c r="O208" s="288"/>
      <c r="P208" s="285"/>
      <c r="Q208" s="285"/>
      <c r="R208" s="285"/>
      <c r="S208" s="285"/>
      <c r="T208" s="285"/>
      <c r="U208" s="285"/>
      <c r="V208" s="285"/>
    </row>
    <row r="209" spans="1:22" ht="14.4" x14ac:dyDescent="0.3">
      <c r="A209" s="285"/>
      <c r="B209" s="285"/>
      <c r="C209" s="285"/>
      <c r="D209" s="286"/>
      <c r="E209" s="285"/>
      <c r="F209" s="285"/>
      <c r="G209" s="396"/>
      <c r="H209" s="287"/>
      <c r="I209" s="285"/>
      <c r="J209" s="285">
        <v>32</v>
      </c>
      <c r="K209" s="316">
        <f t="shared" si="9"/>
        <v>1</v>
      </c>
      <c r="L209" s="315">
        <f t="shared" si="10"/>
        <v>1</v>
      </c>
      <c r="M209" s="315">
        <f t="shared" si="11"/>
        <v>1</v>
      </c>
      <c r="N209" s="315">
        <f t="shared" si="11"/>
        <v>1</v>
      </c>
      <c r="O209" s="288"/>
      <c r="P209" s="285"/>
      <c r="Q209" s="285"/>
      <c r="R209" s="285"/>
      <c r="S209" s="285"/>
      <c r="T209" s="285"/>
      <c r="U209" s="285"/>
      <c r="V209" s="285"/>
    </row>
    <row r="210" spans="1:22" ht="14.4" x14ac:dyDescent="0.3">
      <c r="A210" s="285"/>
      <c r="B210" s="285"/>
      <c r="C210" s="285"/>
      <c r="D210" s="286"/>
      <c r="E210" s="285"/>
      <c r="F210" s="285"/>
      <c r="G210" s="396"/>
      <c r="H210" s="287"/>
      <c r="I210" s="285"/>
      <c r="J210" s="285">
        <v>33</v>
      </c>
      <c r="K210" s="316">
        <f t="shared" si="9"/>
        <v>1</v>
      </c>
      <c r="L210" s="315">
        <f t="shared" si="10"/>
        <v>1</v>
      </c>
      <c r="M210" s="315">
        <f t="shared" si="11"/>
        <v>1</v>
      </c>
      <c r="N210" s="315">
        <f t="shared" si="11"/>
        <v>1</v>
      </c>
      <c r="O210" s="288"/>
      <c r="P210" s="285"/>
      <c r="Q210" s="285"/>
      <c r="R210" s="285"/>
      <c r="S210" s="285"/>
      <c r="T210" s="285"/>
      <c r="U210" s="285"/>
      <c r="V210" s="285"/>
    </row>
    <row r="211" spans="1:22" ht="14.4" x14ac:dyDescent="0.3">
      <c r="A211" s="285"/>
      <c r="B211" s="285"/>
      <c r="C211" s="285"/>
      <c r="D211" s="286"/>
      <c r="E211" s="285"/>
      <c r="F211" s="285"/>
      <c r="G211" s="396"/>
      <c r="H211" s="287" t="s">
        <v>361</v>
      </c>
      <c r="I211" s="285" t="s">
        <v>360</v>
      </c>
      <c r="J211" s="285" t="s">
        <v>359</v>
      </c>
      <c r="K211" s="303">
        <f>SQRT(f_s..D/(100*VLOOKUP(1,Table_5,2,FALSE)))</f>
        <v>2.8284271247461901E-2</v>
      </c>
      <c r="L211" s="314">
        <f>SQRT(E$36/(100*VLOOKUP(1,Table_5,2,FALSE)))</f>
        <v>2.8284271247461901E-2</v>
      </c>
      <c r="M211" s="314">
        <f>SQRT(F$36/(100*VLOOKUP(1,Table_5,2,FALSE)))</f>
        <v>2.8284271247461901E-2</v>
      </c>
      <c r="N211" s="314">
        <f>SQRT(G$36/(100*VLOOKUP(1,Table_5,2,FALSE)))</f>
        <v>2.8284271247461901E-2</v>
      </c>
      <c r="O211" s="288"/>
      <c r="P211" s="285"/>
      <c r="Q211" s="285"/>
      <c r="R211" s="285"/>
      <c r="S211" s="285"/>
      <c r="T211" s="285"/>
      <c r="U211" s="285"/>
      <c r="V211" s="285"/>
    </row>
    <row r="212" spans="1:22" ht="14.4" x14ac:dyDescent="0.3">
      <c r="A212" s="285"/>
      <c r="B212" s="285"/>
      <c r="C212" s="285"/>
      <c r="D212" s="286"/>
      <c r="E212" s="285"/>
      <c r="F212" s="285"/>
      <c r="G212" s="396"/>
      <c r="H212" s="287" t="s">
        <v>358</v>
      </c>
      <c r="I212" s="285"/>
      <c r="J212" s="285">
        <v>2</v>
      </c>
      <c r="K212" s="303">
        <f t="shared" ref="K212:K243" si="12">SQRT(f_s..D/(100*VLOOKUP($J212,Table_5,2,FALSE)))</f>
        <v>2.5000000000000001E-2</v>
      </c>
      <c r="L212" s="315">
        <f t="shared" ref="L212:L243" si="13">SQRT(E$36/(100*VLOOKUP($J212,Table_5,2,FALSE)))</f>
        <v>2.5000000000000001E-2</v>
      </c>
      <c r="M212" s="315">
        <f t="shared" ref="M212:M243" si="14">SQRT(F$36/(100*VLOOKUP($J212,Table_5,2,FALSE)))</f>
        <v>2.5000000000000001E-2</v>
      </c>
      <c r="N212" s="315">
        <f t="shared" ref="N212:N243" si="15">SQRT(G$36/(100*VLOOKUP($J212,Table_5,2,FALSE)))</f>
        <v>2.5000000000000001E-2</v>
      </c>
      <c r="O212" s="288"/>
      <c r="P212" s="285"/>
      <c r="Q212" s="285"/>
      <c r="R212" s="285"/>
      <c r="S212" s="285"/>
      <c r="T212" s="285"/>
      <c r="U212" s="285"/>
      <c r="V212" s="285"/>
    </row>
    <row r="213" spans="1:22" ht="14.4" x14ac:dyDescent="0.3">
      <c r="A213" s="285"/>
      <c r="B213" s="285"/>
      <c r="C213" s="285"/>
      <c r="D213" s="286"/>
      <c r="E213" s="285"/>
      <c r="F213" s="285"/>
      <c r="G213" s="396"/>
      <c r="H213" s="287"/>
      <c r="I213" s="285"/>
      <c r="J213" s="285">
        <v>3</v>
      </c>
      <c r="K213" s="303">
        <f t="shared" si="12"/>
        <v>2.2360679774997897E-2</v>
      </c>
      <c r="L213" s="314">
        <f t="shared" si="13"/>
        <v>2.2360679774997897E-2</v>
      </c>
      <c r="M213" s="314">
        <f t="shared" si="14"/>
        <v>2.2360679774997897E-2</v>
      </c>
      <c r="N213" s="314">
        <f t="shared" si="15"/>
        <v>2.2360679774997897E-2</v>
      </c>
      <c r="O213" s="288"/>
      <c r="P213" s="285"/>
      <c r="Q213" s="285"/>
      <c r="R213" s="285"/>
      <c r="S213" s="285"/>
      <c r="T213" s="285"/>
      <c r="U213" s="285"/>
      <c r="V213" s="285"/>
    </row>
    <row r="214" spans="1:22" ht="14.4" x14ac:dyDescent="0.3">
      <c r="A214" s="285"/>
      <c r="B214" s="285"/>
      <c r="C214" s="285"/>
      <c r="D214" s="286"/>
      <c r="E214" s="285"/>
      <c r="F214" s="285"/>
      <c r="G214" s="396"/>
      <c r="H214" s="287"/>
      <c r="I214" s="285"/>
      <c r="J214" s="285">
        <v>4</v>
      </c>
      <c r="K214" s="303">
        <f t="shared" si="12"/>
        <v>0.02</v>
      </c>
      <c r="L214" s="314">
        <f t="shared" si="13"/>
        <v>0.02</v>
      </c>
      <c r="M214" s="314">
        <f t="shared" si="14"/>
        <v>0.02</v>
      </c>
      <c r="N214" s="314">
        <f t="shared" si="15"/>
        <v>0.02</v>
      </c>
      <c r="O214" s="288"/>
      <c r="P214" s="285"/>
      <c r="Q214" s="285"/>
      <c r="R214" s="285"/>
      <c r="S214" s="285"/>
      <c r="T214" s="285"/>
      <c r="U214" s="285"/>
      <c r="V214" s="285"/>
    </row>
    <row r="215" spans="1:22" ht="14.4" x14ac:dyDescent="0.3">
      <c r="A215" s="285"/>
      <c r="B215" s="285"/>
      <c r="C215" s="285"/>
      <c r="D215" s="286"/>
      <c r="E215" s="285"/>
      <c r="F215" s="285"/>
      <c r="G215" s="396"/>
      <c r="H215" s="287"/>
      <c r="I215" s="285"/>
      <c r="J215" s="285">
        <v>5</v>
      </c>
      <c r="K215" s="303">
        <f t="shared" si="12"/>
        <v>1.7817416127494958E-2</v>
      </c>
      <c r="L215" s="314">
        <f t="shared" si="13"/>
        <v>1.7817416127494958E-2</v>
      </c>
      <c r="M215" s="314">
        <f t="shared" si="14"/>
        <v>1.7817416127494958E-2</v>
      </c>
      <c r="N215" s="314">
        <f t="shared" si="15"/>
        <v>1.7817416127494958E-2</v>
      </c>
      <c r="O215" s="288"/>
      <c r="P215" s="285"/>
      <c r="Q215" s="285"/>
      <c r="R215" s="285"/>
      <c r="S215" s="285"/>
      <c r="T215" s="285"/>
      <c r="U215" s="285"/>
      <c r="V215" s="285"/>
    </row>
    <row r="216" spans="1:22" ht="14.4" x14ac:dyDescent="0.3">
      <c r="A216" s="285"/>
      <c r="B216" s="285"/>
      <c r="C216" s="285"/>
      <c r="D216" s="286"/>
      <c r="E216" s="285"/>
      <c r="F216" s="285"/>
      <c r="G216" s="396"/>
      <c r="H216" s="287"/>
      <c r="I216" s="285"/>
      <c r="J216" s="285">
        <v>6</v>
      </c>
      <c r="K216" s="303">
        <f t="shared" si="12"/>
        <v>1.5811388300841896E-2</v>
      </c>
      <c r="L216" s="314">
        <f t="shared" si="13"/>
        <v>1.5811388300841896E-2</v>
      </c>
      <c r="M216" s="314">
        <f t="shared" si="14"/>
        <v>1.5811388300841896E-2</v>
      </c>
      <c r="N216" s="314">
        <f t="shared" si="15"/>
        <v>1.5811388300841896E-2</v>
      </c>
      <c r="O216" s="288"/>
      <c r="P216" s="285"/>
      <c r="Q216" s="285"/>
      <c r="R216" s="285"/>
      <c r="S216" s="285"/>
      <c r="T216" s="285"/>
      <c r="U216" s="285"/>
      <c r="V216" s="285"/>
    </row>
    <row r="217" spans="1:22" ht="14.4" x14ac:dyDescent="0.3">
      <c r="A217" s="285"/>
      <c r="B217" s="285"/>
      <c r="C217" s="285"/>
      <c r="D217" s="286"/>
      <c r="E217" s="285"/>
      <c r="F217" s="285"/>
      <c r="G217" s="396"/>
      <c r="H217" s="287"/>
      <c r="I217" s="285"/>
      <c r="J217" s="285">
        <v>7</v>
      </c>
      <c r="K217" s="303">
        <f t="shared" si="12"/>
        <v>1.4142135623730951E-2</v>
      </c>
      <c r="L217" s="314">
        <f t="shared" si="13"/>
        <v>1.4142135623730951E-2</v>
      </c>
      <c r="M217" s="314">
        <f t="shared" si="14"/>
        <v>1.4142135623730951E-2</v>
      </c>
      <c r="N217" s="314">
        <f t="shared" si="15"/>
        <v>1.4142135623730951E-2</v>
      </c>
      <c r="O217" s="288"/>
      <c r="P217" s="285"/>
      <c r="Q217" s="285"/>
      <c r="R217" s="285"/>
      <c r="S217" s="285"/>
      <c r="T217" s="285"/>
      <c r="U217" s="285"/>
      <c r="V217" s="285"/>
    </row>
    <row r="218" spans="1:22" ht="14.4" x14ac:dyDescent="0.3">
      <c r="A218" s="285"/>
      <c r="B218" s="285"/>
      <c r="C218" s="285"/>
      <c r="D218" s="286"/>
      <c r="E218" s="285"/>
      <c r="F218" s="285"/>
      <c r="G218" s="396"/>
      <c r="H218" s="287"/>
      <c r="I218" s="285"/>
      <c r="J218" s="285">
        <v>8</v>
      </c>
      <c r="K218" s="303">
        <f t="shared" si="12"/>
        <v>1.259881576697424E-2</v>
      </c>
      <c r="L218" s="314">
        <f t="shared" si="13"/>
        <v>1.259881576697424E-2</v>
      </c>
      <c r="M218" s="314">
        <f t="shared" si="14"/>
        <v>1.259881576697424E-2</v>
      </c>
      <c r="N218" s="314">
        <f t="shared" si="15"/>
        <v>1.259881576697424E-2</v>
      </c>
      <c r="O218" s="288"/>
      <c r="P218" s="285"/>
      <c r="Q218" s="285"/>
      <c r="R218" s="285"/>
      <c r="S218" s="285"/>
      <c r="T218" s="285"/>
      <c r="U218" s="285"/>
      <c r="V218" s="285"/>
    </row>
    <row r="219" spans="1:22" ht="14.4" x14ac:dyDescent="0.3">
      <c r="A219" s="285"/>
      <c r="B219" s="285"/>
      <c r="C219" s="285"/>
      <c r="D219" s="286"/>
      <c r="E219" s="285"/>
      <c r="F219" s="285"/>
      <c r="G219" s="396"/>
      <c r="H219" s="287"/>
      <c r="I219" s="285"/>
      <c r="J219" s="285">
        <v>9</v>
      </c>
      <c r="K219" s="303">
        <f t="shared" si="12"/>
        <v>1.1180339887498949E-2</v>
      </c>
      <c r="L219" s="314">
        <f t="shared" si="13"/>
        <v>1.1180339887498949E-2</v>
      </c>
      <c r="M219" s="314">
        <f t="shared" si="14"/>
        <v>1.1180339887498949E-2</v>
      </c>
      <c r="N219" s="314">
        <f t="shared" si="15"/>
        <v>1.1180339887498949E-2</v>
      </c>
      <c r="O219" s="288"/>
      <c r="P219" s="285"/>
      <c r="Q219" s="285"/>
      <c r="R219" s="285"/>
      <c r="S219" s="285"/>
      <c r="T219" s="285"/>
      <c r="U219" s="285"/>
      <c r="V219" s="285"/>
    </row>
    <row r="220" spans="1:22" ht="14.4" x14ac:dyDescent="0.3">
      <c r="A220" s="285"/>
      <c r="B220" s="285"/>
      <c r="C220" s="285"/>
      <c r="D220" s="286"/>
      <c r="E220" s="285"/>
      <c r="F220" s="285"/>
      <c r="G220" s="396"/>
      <c r="H220" s="287"/>
      <c r="I220" s="285"/>
      <c r="J220" s="285">
        <v>10</v>
      </c>
      <c r="K220" s="303">
        <f t="shared" si="12"/>
        <v>0.01</v>
      </c>
      <c r="L220" s="314">
        <f t="shared" si="13"/>
        <v>0.01</v>
      </c>
      <c r="M220" s="314">
        <f t="shared" si="14"/>
        <v>0.01</v>
      </c>
      <c r="N220" s="314">
        <f t="shared" si="15"/>
        <v>0.01</v>
      </c>
      <c r="O220" s="288"/>
      <c r="P220" s="285"/>
      <c r="Q220" s="285"/>
      <c r="R220" s="285"/>
      <c r="S220" s="285"/>
      <c r="T220" s="285"/>
      <c r="U220" s="285"/>
      <c r="V220" s="285"/>
    </row>
    <row r="221" spans="1:22" ht="14.4" x14ac:dyDescent="0.3">
      <c r="A221" s="285"/>
      <c r="B221" s="285"/>
      <c r="C221" s="285"/>
      <c r="D221" s="286"/>
      <c r="E221" s="285"/>
      <c r="F221" s="285"/>
      <c r="G221" s="396"/>
      <c r="H221" s="287"/>
      <c r="I221" s="285"/>
      <c r="J221" s="285">
        <v>11</v>
      </c>
      <c r="K221" s="313">
        <f t="shared" si="12"/>
        <v>8.9442719099991595E-3</v>
      </c>
      <c r="L221" s="312">
        <f t="shared" si="13"/>
        <v>8.9442719099991595E-3</v>
      </c>
      <c r="M221" s="312">
        <f t="shared" si="14"/>
        <v>8.9442719099991595E-3</v>
      </c>
      <c r="N221" s="312">
        <f t="shared" si="15"/>
        <v>8.9442719099991595E-3</v>
      </c>
      <c r="O221" s="288"/>
      <c r="P221" s="285"/>
      <c r="Q221" s="285"/>
      <c r="R221" s="285"/>
      <c r="S221" s="285"/>
      <c r="T221" s="285"/>
      <c r="U221" s="285"/>
      <c r="V221" s="285"/>
    </row>
    <row r="222" spans="1:22" ht="14.4" x14ac:dyDescent="0.3">
      <c r="A222" s="285"/>
      <c r="B222" s="285"/>
      <c r="C222" s="285"/>
      <c r="D222" s="286"/>
      <c r="E222" s="285"/>
      <c r="F222" s="285"/>
      <c r="G222" s="396"/>
      <c r="H222" s="287"/>
      <c r="I222" s="285"/>
      <c r="J222" s="285">
        <v>12</v>
      </c>
      <c r="K222" s="313">
        <f t="shared" si="12"/>
        <v>7.9056941504209478E-3</v>
      </c>
      <c r="L222" s="312">
        <f t="shared" si="13"/>
        <v>7.9056941504209478E-3</v>
      </c>
      <c r="M222" s="312">
        <f t="shared" si="14"/>
        <v>7.9056941504209478E-3</v>
      </c>
      <c r="N222" s="312">
        <f t="shared" si="15"/>
        <v>7.9056941504209478E-3</v>
      </c>
      <c r="O222" s="288"/>
      <c r="P222" s="285"/>
      <c r="Q222" s="285"/>
      <c r="R222" s="285"/>
      <c r="S222" s="285"/>
      <c r="T222" s="285"/>
      <c r="U222" s="285"/>
      <c r="V222" s="285"/>
    </row>
    <row r="223" spans="1:22" ht="14.4" x14ac:dyDescent="0.3">
      <c r="A223" s="285"/>
      <c r="B223" s="285"/>
      <c r="C223" s="285"/>
      <c r="D223" s="286"/>
      <c r="E223" s="285"/>
      <c r="F223" s="285"/>
      <c r="G223" s="396"/>
      <c r="H223" s="287"/>
      <c r="I223" s="285"/>
      <c r="J223" s="285">
        <v>13</v>
      </c>
      <c r="K223" s="313">
        <f t="shared" si="12"/>
        <v>7.0710678118654753E-3</v>
      </c>
      <c r="L223" s="312">
        <f t="shared" si="13"/>
        <v>7.0710678118654753E-3</v>
      </c>
      <c r="M223" s="312">
        <f t="shared" si="14"/>
        <v>7.0710678118654753E-3</v>
      </c>
      <c r="N223" s="312">
        <f t="shared" si="15"/>
        <v>7.0710678118654753E-3</v>
      </c>
      <c r="O223" s="288"/>
      <c r="P223" s="285"/>
      <c r="Q223" s="285"/>
      <c r="R223" s="285"/>
      <c r="S223" s="285"/>
      <c r="T223" s="285"/>
      <c r="U223" s="285"/>
      <c r="V223" s="285"/>
    </row>
    <row r="224" spans="1:22" ht="14.4" x14ac:dyDescent="0.3">
      <c r="A224" s="285"/>
      <c r="B224" s="285"/>
      <c r="C224" s="285"/>
      <c r="D224" s="286"/>
      <c r="E224" s="285"/>
      <c r="F224" s="285"/>
      <c r="G224" s="396"/>
      <c r="H224" s="287"/>
      <c r="I224" s="285"/>
      <c r="J224" s="285">
        <v>14</v>
      </c>
      <c r="K224" s="313">
        <f t="shared" si="12"/>
        <v>6.3245553203367588E-3</v>
      </c>
      <c r="L224" s="312">
        <f t="shared" si="13"/>
        <v>6.3245553203367588E-3</v>
      </c>
      <c r="M224" s="312">
        <f t="shared" si="14"/>
        <v>6.3245553203367588E-3</v>
      </c>
      <c r="N224" s="312">
        <f t="shared" si="15"/>
        <v>6.3245553203367588E-3</v>
      </c>
      <c r="O224" s="288"/>
      <c r="P224" s="285"/>
      <c r="Q224" s="285"/>
      <c r="R224" s="285"/>
      <c r="S224" s="285"/>
      <c r="T224" s="285"/>
      <c r="U224" s="285"/>
      <c r="V224" s="285"/>
    </row>
    <row r="225" spans="1:22" ht="14.4" x14ac:dyDescent="0.3">
      <c r="A225" s="285"/>
      <c r="B225" s="285"/>
      <c r="C225" s="285"/>
      <c r="D225" s="286"/>
      <c r="E225" s="285"/>
      <c r="F225" s="285"/>
      <c r="G225" s="396"/>
      <c r="H225" s="287"/>
      <c r="I225" s="285"/>
      <c r="J225" s="285">
        <v>15</v>
      </c>
      <c r="K225" s="313">
        <f t="shared" si="12"/>
        <v>5.6343616981901108E-3</v>
      </c>
      <c r="L225" s="312">
        <f t="shared" si="13"/>
        <v>5.6343616981901108E-3</v>
      </c>
      <c r="M225" s="312">
        <f t="shared" si="14"/>
        <v>5.6343616981901108E-3</v>
      </c>
      <c r="N225" s="312">
        <f t="shared" si="15"/>
        <v>5.6343616981901108E-3</v>
      </c>
      <c r="O225" s="288"/>
      <c r="P225" s="285"/>
      <c r="Q225" s="285"/>
      <c r="R225" s="285"/>
      <c r="S225" s="285"/>
      <c r="T225" s="285"/>
      <c r="U225" s="285"/>
      <c r="V225" s="285"/>
    </row>
    <row r="226" spans="1:22" ht="14.4" x14ac:dyDescent="0.3">
      <c r="A226" s="285"/>
      <c r="B226" s="285"/>
      <c r="C226" s="285"/>
      <c r="D226" s="286"/>
      <c r="E226" s="285"/>
      <c r="F226" s="285"/>
      <c r="G226" s="396"/>
      <c r="H226" s="287"/>
      <c r="I226" s="285"/>
      <c r="J226" s="285">
        <v>16</v>
      </c>
      <c r="K226" s="313">
        <f t="shared" si="12"/>
        <v>5.0000000000000001E-3</v>
      </c>
      <c r="L226" s="312">
        <f t="shared" si="13"/>
        <v>5.0000000000000001E-3</v>
      </c>
      <c r="M226" s="312">
        <f t="shared" si="14"/>
        <v>5.0000000000000001E-3</v>
      </c>
      <c r="N226" s="312">
        <f t="shared" si="15"/>
        <v>5.0000000000000001E-3</v>
      </c>
      <c r="O226" s="288"/>
      <c r="P226" s="285"/>
      <c r="Q226" s="285"/>
      <c r="R226" s="285"/>
      <c r="S226" s="285"/>
      <c r="T226" s="285"/>
      <c r="U226" s="285"/>
      <c r="V226" s="285"/>
    </row>
    <row r="227" spans="1:22" ht="14.4" x14ac:dyDescent="0.3">
      <c r="A227" s="285"/>
      <c r="B227" s="285"/>
      <c r="C227" s="285"/>
      <c r="D227" s="286"/>
      <c r="E227" s="285"/>
      <c r="F227" s="285"/>
      <c r="G227" s="396"/>
      <c r="H227" s="287"/>
      <c r="I227" s="285"/>
      <c r="J227" s="285">
        <v>17</v>
      </c>
      <c r="K227" s="313">
        <f t="shared" si="12"/>
        <v>4.4721359549995798E-3</v>
      </c>
      <c r="L227" s="312">
        <f t="shared" si="13"/>
        <v>4.4721359549995798E-3</v>
      </c>
      <c r="M227" s="312">
        <f t="shared" si="14"/>
        <v>4.4721359549995798E-3</v>
      </c>
      <c r="N227" s="312">
        <f t="shared" si="15"/>
        <v>4.4721359549995798E-3</v>
      </c>
      <c r="O227" s="288"/>
      <c r="P227" s="285"/>
      <c r="Q227" s="285"/>
      <c r="R227" s="285"/>
      <c r="S227" s="285"/>
      <c r="T227" s="285"/>
      <c r="U227" s="285"/>
      <c r="V227" s="285"/>
    </row>
    <row r="228" spans="1:22" ht="14.4" x14ac:dyDescent="0.3">
      <c r="A228" s="285"/>
      <c r="B228" s="285"/>
      <c r="C228" s="285"/>
      <c r="D228" s="286"/>
      <c r="E228" s="285"/>
      <c r="F228" s="285"/>
      <c r="G228" s="396"/>
      <c r="H228" s="287"/>
      <c r="I228" s="285"/>
      <c r="J228" s="285">
        <v>18</v>
      </c>
      <c r="K228" s="313">
        <f t="shared" si="12"/>
        <v>3.9840953644479787E-3</v>
      </c>
      <c r="L228" s="312">
        <f t="shared" si="13"/>
        <v>3.9840953644479787E-3</v>
      </c>
      <c r="M228" s="312">
        <f t="shared" si="14"/>
        <v>3.9840953644479787E-3</v>
      </c>
      <c r="N228" s="312">
        <f t="shared" si="15"/>
        <v>3.9840953644479787E-3</v>
      </c>
      <c r="O228" s="288"/>
      <c r="P228" s="285"/>
      <c r="Q228" s="285"/>
      <c r="R228" s="285"/>
      <c r="S228" s="285"/>
      <c r="T228" s="285"/>
      <c r="U228" s="285"/>
      <c r="V228" s="285"/>
    </row>
    <row r="229" spans="1:22" ht="14.4" x14ac:dyDescent="0.3">
      <c r="A229" s="285"/>
      <c r="B229" s="285"/>
      <c r="C229" s="285"/>
      <c r="D229" s="286"/>
      <c r="E229" s="285"/>
      <c r="F229" s="285"/>
      <c r="G229" s="396"/>
      <c r="H229" s="287"/>
      <c r="I229" s="285"/>
      <c r="J229" s="285">
        <v>19</v>
      </c>
      <c r="K229" s="313">
        <f t="shared" si="12"/>
        <v>3.5355339059327377E-3</v>
      </c>
      <c r="L229" s="312">
        <f t="shared" si="13"/>
        <v>3.5355339059327377E-3</v>
      </c>
      <c r="M229" s="312">
        <f t="shared" si="14"/>
        <v>3.5355339059327377E-3</v>
      </c>
      <c r="N229" s="312">
        <f t="shared" si="15"/>
        <v>3.5355339059327377E-3</v>
      </c>
      <c r="O229" s="288"/>
      <c r="P229" s="285"/>
      <c r="Q229" s="285"/>
      <c r="R229" s="285"/>
      <c r="S229" s="285"/>
      <c r="T229" s="285"/>
      <c r="U229" s="285"/>
      <c r="V229" s="285"/>
    </row>
    <row r="230" spans="1:22" ht="14.4" x14ac:dyDescent="0.3">
      <c r="A230" s="285"/>
      <c r="B230" s="285"/>
      <c r="C230" s="285"/>
      <c r="D230" s="286"/>
      <c r="E230" s="285"/>
      <c r="F230" s="285"/>
      <c r="G230" s="396"/>
      <c r="H230" s="287"/>
      <c r="I230" s="285"/>
      <c r="J230" s="285">
        <v>20</v>
      </c>
      <c r="K230" s="313">
        <f t="shared" si="12"/>
        <v>3.1622776601683794E-3</v>
      </c>
      <c r="L230" s="312">
        <f t="shared" si="13"/>
        <v>3.1622776601683794E-3</v>
      </c>
      <c r="M230" s="312">
        <f t="shared" si="14"/>
        <v>3.1622776601683794E-3</v>
      </c>
      <c r="N230" s="312">
        <f t="shared" si="15"/>
        <v>3.1622776601683794E-3</v>
      </c>
      <c r="O230" s="288"/>
      <c r="P230" s="285"/>
      <c r="Q230" s="285"/>
      <c r="R230" s="285"/>
      <c r="S230" s="285"/>
      <c r="T230" s="285"/>
      <c r="U230" s="285"/>
      <c r="V230" s="285"/>
    </row>
    <row r="231" spans="1:22" ht="14.4" x14ac:dyDescent="0.3">
      <c r="A231" s="285"/>
      <c r="B231" s="285"/>
      <c r="C231" s="285"/>
      <c r="D231" s="286"/>
      <c r="E231" s="285"/>
      <c r="F231" s="285"/>
      <c r="G231" s="396"/>
      <c r="H231" s="287"/>
      <c r="I231" s="285"/>
      <c r="J231" s="285">
        <v>21</v>
      </c>
      <c r="K231" s="313">
        <f t="shared" si="12"/>
        <v>2.8284271247461901E-3</v>
      </c>
      <c r="L231" s="312">
        <f t="shared" si="13"/>
        <v>2.8284271247461901E-3</v>
      </c>
      <c r="M231" s="312">
        <f t="shared" si="14"/>
        <v>2.8284271247461901E-3</v>
      </c>
      <c r="N231" s="312">
        <f t="shared" si="15"/>
        <v>2.8284271247461901E-3</v>
      </c>
      <c r="O231" s="288"/>
      <c r="P231" s="285"/>
      <c r="Q231" s="285"/>
      <c r="R231" s="285"/>
      <c r="S231" s="285"/>
      <c r="T231" s="285"/>
      <c r="U231" s="285"/>
      <c r="V231" s="285"/>
    </row>
    <row r="232" spans="1:22" ht="14.4" x14ac:dyDescent="0.3">
      <c r="A232" s="285"/>
      <c r="B232" s="285"/>
      <c r="C232" s="285"/>
      <c r="D232" s="286"/>
      <c r="E232" s="285"/>
      <c r="F232" s="285"/>
      <c r="G232" s="396"/>
      <c r="H232" s="287"/>
      <c r="I232" s="285"/>
      <c r="J232" s="285">
        <v>22</v>
      </c>
      <c r="K232" s="313">
        <f t="shared" si="12"/>
        <v>2.5000000000000001E-3</v>
      </c>
      <c r="L232" s="312">
        <f t="shared" si="13"/>
        <v>2.5000000000000001E-3</v>
      </c>
      <c r="M232" s="312">
        <f t="shared" si="14"/>
        <v>2.5000000000000001E-3</v>
      </c>
      <c r="N232" s="312">
        <f t="shared" si="15"/>
        <v>2.5000000000000001E-3</v>
      </c>
      <c r="O232" s="288"/>
      <c r="P232" s="285"/>
      <c r="Q232" s="285"/>
      <c r="R232" s="285"/>
      <c r="S232" s="285"/>
      <c r="T232" s="285"/>
      <c r="U232" s="285"/>
      <c r="V232" s="285"/>
    </row>
    <row r="233" spans="1:22" ht="14.4" x14ac:dyDescent="0.3">
      <c r="A233" s="285"/>
      <c r="B233" s="285"/>
      <c r="C233" s="285"/>
      <c r="D233" s="286"/>
      <c r="E233" s="285"/>
      <c r="F233" s="285"/>
      <c r="G233" s="396"/>
      <c r="H233" s="287"/>
      <c r="I233" s="285"/>
      <c r="J233" s="285">
        <v>23</v>
      </c>
      <c r="K233" s="313">
        <f t="shared" si="12"/>
        <v>2.2360679774997899E-3</v>
      </c>
      <c r="L233" s="312">
        <f t="shared" si="13"/>
        <v>2.2360679774997899E-3</v>
      </c>
      <c r="M233" s="312">
        <f t="shared" si="14"/>
        <v>2.2360679774997899E-3</v>
      </c>
      <c r="N233" s="312">
        <f t="shared" si="15"/>
        <v>2.2360679774997899E-3</v>
      </c>
      <c r="O233" s="288"/>
      <c r="P233" s="285"/>
      <c r="Q233" s="285"/>
      <c r="R233" s="285"/>
      <c r="S233" s="285"/>
      <c r="T233" s="285"/>
      <c r="U233" s="285"/>
      <c r="V233" s="285"/>
    </row>
    <row r="234" spans="1:22" ht="14.4" x14ac:dyDescent="0.3">
      <c r="A234" s="285"/>
      <c r="B234" s="285"/>
      <c r="C234" s="285"/>
      <c r="D234" s="286"/>
      <c r="E234" s="285"/>
      <c r="F234" s="285"/>
      <c r="G234" s="396"/>
      <c r="H234" s="287"/>
      <c r="I234" s="285"/>
      <c r="J234" s="285">
        <v>24</v>
      </c>
      <c r="K234" s="313">
        <f t="shared" si="12"/>
        <v>2E-3</v>
      </c>
      <c r="L234" s="312">
        <f t="shared" si="13"/>
        <v>2E-3</v>
      </c>
      <c r="M234" s="312">
        <f t="shared" si="14"/>
        <v>2E-3</v>
      </c>
      <c r="N234" s="312">
        <f t="shared" si="15"/>
        <v>2E-3</v>
      </c>
      <c r="O234" s="288"/>
      <c r="P234" s="285"/>
      <c r="Q234" s="285"/>
      <c r="R234" s="285"/>
      <c r="S234" s="285"/>
      <c r="T234" s="285"/>
      <c r="U234" s="285"/>
      <c r="V234" s="285"/>
    </row>
    <row r="235" spans="1:22" ht="14.4" x14ac:dyDescent="0.3">
      <c r="A235" s="285"/>
      <c r="B235" s="285"/>
      <c r="C235" s="285"/>
      <c r="D235" s="286"/>
      <c r="E235" s="285"/>
      <c r="F235" s="285"/>
      <c r="G235" s="396"/>
      <c r="H235" s="287"/>
      <c r="I235" s="285"/>
      <c r="J235" s="285">
        <v>25</v>
      </c>
      <c r="K235" s="313">
        <f t="shared" si="12"/>
        <v>1.781741612749496E-3</v>
      </c>
      <c r="L235" s="312">
        <f t="shared" si="13"/>
        <v>1.781741612749496E-3</v>
      </c>
      <c r="M235" s="312">
        <f t="shared" si="14"/>
        <v>1.781741612749496E-3</v>
      </c>
      <c r="N235" s="312">
        <f t="shared" si="15"/>
        <v>1.781741612749496E-3</v>
      </c>
      <c r="O235" s="288"/>
      <c r="P235" s="285"/>
      <c r="Q235" s="285"/>
      <c r="R235" s="285"/>
      <c r="S235" s="285"/>
      <c r="T235" s="285"/>
      <c r="U235" s="285"/>
      <c r="V235" s="285"/>
    </row>
    <row r="236" spans="1:22" ht="14.4" x14ac:dyDescent="0.3">
      <c r="A236" s="285"/>
      <c r="B236" s="285"/>
      <c r="C236" s="285"/>
      <c r="D236" s="286"/>
      <c r="E236" s="285"/>
      <c r="F236" s="285"/>
      <c r="G236" s="396"/>
      <c r="H236" s="287"/>
      <c r="I236" s="285"/>
      <c r="J236" s="285">
        <v>26</v>
      </c>
      <c r="K236" s="313">
        <f t="shared" si="12"/>
        <v>1.5811388300841897E-3</v>
      </c>
      <c r="L236" s="312">
        <f t="shared" si="13"/>
        <v>1.5811388300841897E-3</v>
      </c>
      <c r="M236" s="312">
        <f t="shared" si="14"/>
        <v>1.5811388300841897E-3</v>
      </c>
      <c r="N236" s="312">
        <f t="shared" si="15"/>
        <v>1.5811388300841897E-3</v>
      </c>
      <c r="O236" s="288"/>
      <c r="P236" s="285"/>
      <c r="Q236" s="285"/>
      <c r="R236" s="285"/>
      <c r="S236" s="285"/>
      <c r="T236" s="285"/>
      <c r="U236" s="285"/>
      <c r="V236" s="285"/>
    </row>
    <row r="237" spans="1:22" ht="14.4" x14ac:dyDescent="0.3">
      <c r="A237" s="285"/>
      <c r="B237" s="285"/>
      <c r="C237" s="285"/>
      <c r="D237" s="286"/>
      <c r="E237" s="285"/>
      <c r="F237" s="285"/>
      <c r="G237" s="396"/>
      <c r="H237" s="287"/>
      <c r="I237" s="285"/>
      <c r="J237" s="285">
        <v>27</v>
      </c>
      <c r="K237" s="313">
        <f t="shared" si="12"/>
        <v>1.414213562373095E-3</v>
      </c>
      <c r="L237" s="312">
        <f t="shared" si="13"/>
        <v>1.414213562373095E-3</v>
      </c>
      <c r="M237" s="312">
        <f t="shared" si="14"/>
        <v>1.414213562373095E-3</v>
      </c>
      <c r="N237" s="312">
        <f t="shared" si="15"/>
        <v>1.414213562373095E-3</v>
      </c>
      <c r="O237" s="288"/>
      <c r="P237" s="285"/>
      <c r="Q237" s="285"/>
      <c r="R237" s="285"/>
      <c r="S237" s="285"/>
      <c r="T237" s="285"/>
      <c r="U237" s="285"/>
      <c r="V237" s="285"/>
    </row>
    <row r="238" spans="1:22" ht="14.4" x14ac:dyDescent="0.3">
      <c r="A238" s="285"/>
      <c r="B238" s="285"/>
      <c r="C238" s="285"/>
      <c r="D238" s="286"/>
      <c r="E238" s="285"/>
      <c r="F238" s="285"/>
      <c r="G238" s="396"/>
      <c r="H238" s="287"/>
      <c r="I238" s="285"/>
      <c r="J238" s="285">
        <v>28</v>
      </c>
      <c r="K238" s="313">
        <f t="shared" si="12"/>
        <v>1.259881576697424E-3</v>
      </c>
      <c r="L238" s="312">
        <f t="shared" si="13"/>
        <v>1.259881576697424E-3</v>
      </c>
      <c r="M238" s="312">
        <f t="shared" si="14"/>
        <v>1.259881576697424E-3</v>
      </c>
      <c r="N238" s="312">
        <f t="shared" si="15"/>
        <v>1.259881576697424E-3</v>
      </c>
      <c r="O238" s="288"/>
      <c r="P238" s="285"/>
      <c r="Q238" s="285"/>
      <c r="R238" s="285"/>
      <c r="S238" s="285"/>
      <c r="T238" s="285"/>
      <c r="U238" s="285"/>
      <c r="V238" s="285"/>
    </row>
    <row r="239" spans="1:22" ht="14.4" x14ac:dyDescent="0.3">
      <c r="A239" s="285"/>
      <c r="B239" s="285"/>
      <c r="C239" s="285"/>
      <c r="D239" s="286"/>
      <c r="E239" s="285"/>
      <c r="F239" s="285"/>
      <c r="G239" s="396"/>
      <c r="H239" s="287"/>
      <c r="I239" s="285"/>
      <c r="J239" s="285">
        <v>29</v>
      </c>
      <c r="K239" s="313">
        <f t="shared" si="12"/>
        <v>1.1180339887498949E-3</v>
      </c>
      <c r="L239" s="312">
        <f t="shared" si="13"/>
        <v>1.1180339887498949E-3</v>
      </c>
      <c r="M239" s="312">
        <f t="shared" si="14"/>
        <v>1.1180339887498949E-3</v>
      </c>
      <c r="N239" s="312">
        <f t="shared" si="15"/>
        <v>1.1180339887498949E-3</v>
      </c>
      <c r="O239" s="288"/>
      <c r="P239" s="285"/>
      <c r="Q239" s="285"/>
      <c r="R239" s="285"/>
      <c r="S239" s="285"/>
      <c r="T239" s="285"/>
      <c r="U239" s="285"/>
      <c r="V239" s="285"/>
    </row>
    <row r="240" spans="1:22" ht="14.4" x14ac:dyDescent="0.3">
      <c r="A240" s="285"/>
      <c r="B240" s="285"/>
      <c r="C240" s="285"/>
      <c r="D240" s="286"/>
      <c r="E240" s="285"/>
      <c r="F240" s="285"/>
      <c r="G240" s="396"/>
      <c r="H240" s="287"/>
      <c r="I240" s="285"/>
      <c r="J240" s="285">
        <v>30</v>
      </c>
      <c r="K240" s="313">
        <f t="shared" si="12"/>
        <v>1E-3</v>
      </c>
      <c r="L240" s="312">
        <f t="shared" si="13"/>
        <v>1E-3</v>
      </c>
      <c r="M240" s="312">
        <f t="shared" si="14"/>
        <v>1E-3</v>
      </c>
      <c r="N240" s="312">
        <f t="shared" si="15"/>
        <v>1E-3</v>
      </c>
      <c r="O240" s="288"/>
      <c r="P240" s="285"/>
      <c r="Q240" s="285"/>
      <c r="R240" s="285"/>
      <c r="S240" s="285"/>
      <c r="T240" s="285"/>
      <c r="U240" s="285"/>
      <c r="V240" s="285"/>
    </row>
    <row r="241" spans="1:22" ht="14.4" x14ac:dyDescent="0.3">
      <c r="A241" s="285"/>
      <c r="B241" s="285"/>
      <c r="C241" s="285"/>
      <c r="D241" s="286"/>
      <c r="E241" s="285"/>
      <c r="F241" s="285"/>
      <c r="G241" s="396"/>
      <c r="H241" s="287"/>
      <c r="I241" s="285"/>
      <c r="J241" s="285">
        <v>31</v>
      </c>
      <c r="K241" s="304">
        <f t="shared" si="12"/>
        <v>8.9442719099991591E-4</v>
      </c>
      <c r="L241" s="302">
        <f t="shared" si="13"/>
        <v>8.9442719099991591E-4</v>
      </c>
      <c r="M241" s="302">
        <f t="shared" si="14"/>
        <v>8.9442719099991591E-4</v>
      </c>
      <c r="N241" s="302">
        <f t="shared" si="15"/>
        <v>8.9442719099991591E-4</v>
      </c>
      <c r="O241" s="288"/>
      <c r="P241" s="285"/>
      <c r="Q241" s="285"/>
      <c r="R241" s="285"/>
      <c r="S241" s="285"/>
      <c r="T241" s="285"/>
      <c r="U241" s="285"/>
      <c r="V241" s="285"/>
    </row>
    <row r="242" spans="1:22" ht="14.4" x14ac:dyDescent="0.3">
      <c r="A242" s="285"/>
      <c r="B242" s="285"/>
      <c r="C242" s="285"/>
      <c r="D242" s="286"/>
      <c r="E242" s="285"/>
      <c r="F242" s="285"/>
      <c r="G242" s="396"/>
      <c r="H242" s="287"/>
      <c r="I242" s="285"/>
      <c r="J242" s="285">
        <v>32</v>
      </c>
      <c r="K242" s="304">
        <f t="shared" si="12"/>
        <v>7.9056941504209485E-4</v>
      </c>
      <c r="L242" s="302">
        <f t="shared" si="13"/>
        <v>7.9056941504209485E-4</v>
      </c>
      <c r="M242" s="302">
        <f t="shared" si="14"/>
        <v>7.9056941504209485E-4</v>
      </c>
      <c r="N242" s="302">
        <f t="shared" si="15"/>
        <v>7.9056941504209485E-4</v>
      </c>
      <c r="O242" s="288"/>
      <c r="P242" s="285"/>
      <c r="Q242" s="285"/>
      <c r="R242" s="285"/>
      <c r="S242" s="285"/>
      <c r="T242" s="285"/>
      <c r="U242" s="285"/>
      <c r="V242" s="285"/>
    </row>
    <row r="243" spans="1:22" ht="14.4" x14ac:dyDescent="0.3">
      <c r="A243" s="285"/>
      <c r="B243" s="285"/>
      <c r="C243" s="285"/>
      <c r="D243" s="286"/>
      <c r="E243" s="285"/>
      <c r="F243" s="285"/>
      <c r="G243" s="396"/>
      <c r="H243" s="287"/>
      <c r="I243" s="285"/>
      <c r="J243" s="285">
        <v>33</v>
      </c>
      <c r="K243" s="304">
        <f t="shared" si="12"/>
        <v>7.0710678118654751E-4</v>
      </c>
      <c r="L243" s="302">
        <f t="shared" si="13"/>
        <v>7.0710678118654751E-4</v>
      </c>
      <c r="M243" s="302">
        <f t="shared" si="14"/>
        <v>7.0710678118654751E-4</v>
      </c>
      <c r="N243" s="302">
        <f t="shared" si="15"/>
        <v>7.0710678118654751E-4</v>
      </c>
      <c r="O243" s="288"/>
      <c r="P243" s="285"/>
      <c r="Q243" s="285"/>
      <c r="R243" s="285"/>
      <c r="S243" s="285"/>
      <c r="T243" s="285"/>
      <c r="U243" s="285"/>
      <c r="V243" s="285"/>
    </row>
    <row r="244" spans="1:22" ht="14.4" x14ac:dyDescent="0.3">
      <c r="A244" s="285"/>
      <c r="B244" s="285"/>
      <c r="C244" s="285"/>
      <c r="D244" s="286"/>
      <c r="E244" s="285"/>
      <c r="F244" s="285"/>
      <c r="G244" s="396"/>
      <c r="H244" s="287" t="s">
        <v>357</v>
      </c>
      <c r="I244" s="285" t="s">
        <v>356</v>
      </c>
      <c r="J244" s="311" t="s">
        <v>355</v>
      </c>
      <c r="K244" s="310">
        <f>IF(D_Vo..D&lt;0.05,9,IF(D_Vo..D&gt;0.15,0,-16660*D_Vo..D^3+6370*D_Vo..D^2-813*D_Vo..D+35.8))</f>
        <v>3.465193671519998</v>
      </c>
      <c r="L244" s="309">
        <f>IF(E18&lt;0.05,9,IF(E18&gt;0.15,0,-16660*E18^3+6370*E18^2-813*E18+35.8))</f>
        <v>3.465193671519998</v>
      </c>
      <c r="M244" s="309">
        <f>IF(F18&lt;0.05,9,IF(F18&gt;0.15,0,-16660*F18^3+6370*F18^2-813*F18+35.8))</f>
        <v>3.465193671519998</v>
      </c>
      <c r="N244" s="309">
        <f>IF(G18&lt;0.05,9,IF(G18&gt;0.15,0,-16660*G18^3+6370*G18^2-813*G18+35.8))</f>
        <v>3.465193671519998</v>
      </c>
      <c r="O244" s="288"/>
      <c r="P244" s="285"/>
      <c r="Q244" s="285"/>
      <c r="R244" s="285"/>
      <c r="S244" s="285"/>
      <c r="T244" s="285"/>
      <c r="U244" s="285"/>
      <c r="V244" s="285"/>
    </row>
    <row r="245" spans="1:22" ht="14.4" x14ac:dyDescent="0.3">
      <c r="A245" s="285"/>
      <c r="B245" s="285"/>
      <c r="C245" s="285"/>
      <c r="D245" s="286"/>
      <c r="E245" s="285"/>
      <c r="F245" s="285"/>
      <c r="G245" s="396"/>
      <c r="H245" s="287" t="s">
        <v>354</v>
      </c>
      <c r="I245" s="285" t="s">
        <v>353</v>
      </c>
      <c r="J245" s="285" t="s">
        <v>352</v>
      </c>
      <c r="K245" s="306">
        <f>10*LOG10(8.25*10^-7*(c_2..K/(T_S..D*VLOOKUP(1,Table_5,2,FALSE)))^2*G_x_f_i/((RHO_2..K*c_2..K+2*PI()*T_S..D*VLOOKUP(1,Table_5,2,FALSE)*RHO_S..D*K211)/(415*G_y_f_i)+1)*p_a..D/p_s..D)-DeltaTL..K</f>
        <v>-96.758942653515959</v>
      </c>
      <c r="L245" s="305">
        <f>10*LOG10(8.25*10^-7*(L29/(E22*VLOOKUP(1,Table_5,2,FALSE)))^2*L145/((L28*L29+2*PI()*E22*VLOOKUP(1,Table_5,2,FALSE)*E24*L211)/(415*L178)+1)*E29/E37)-L244</f>
        <v>-96.758942653515959</v>
      </c>
      <c r="M245" s="305">
        <f>10*LOG10(8.25*10^-7*(M29/(F22*VLOOKUP(1,Table_5,2,FALSE)))^2*M145/((M28*M29+2*PI()*F22*VLOOKUP(1,Table_5,2,FALSE)*F24*M211)/(415*M178)+1)*F29/F37)-M244</f>
        <v>-96.758942653515973</v>
      </c>
      <c r="N245" s="305">
        <f>10*LOG10(8.25*10^-7*(N29/(G22*VLOOKUP(1,Table_5,2,FALSE)))^2*N145/((N28*N29+2*PI()*G22*VLOOKUP(1,Table_5,2,FALSE)*G24*N211)/(415*N178)+1)*G29/G37)-N244</f>
        <v>-96.758942653515959</v>
      </c>
      <c r="O245" s="288"/>
      <c r="P245" s="285"/>
      <c r="Q245" s="285"/>
      <c r="R245" s="285"/>
      <c r="S245" s="285"/>
      <c r="T245" s="285"/>
      <c r="U245" s="285"/>
      <c r="V245" s="285"/>
    </row>
    <row r="246" spans="1:22" ht="14.4" x14ac:dyDescent="0.3">
      <c r="A246" s="285"/>
      <c r="B246" s="285"/>
      <c r="C246" s="285"/>
      <c r="D246" s="286"/>
      <c r="E246" s="285"/>
      <c r="F246" s="285"/>
      <c r="G246" s="396"/>
      <c r="H246" s="287" t="s">
        <v>351</v>
      </c>
      <c r="I246" s="285"/>
      <c r="J246" s="285">
        <v>2</v>
      </c>
      <c r="K246" s="306">
        <f t="shared" ref="K246:K277" si="16">10*LOG10(8.25*10^-7*(c_2..K/(T_S..D*VLOOKUP($J246,Table_5,2,FALSE)))^2*K146/((RHO_2..K*c_2..K+2*PI()*T_S..D*VLOOKUP($J246,Table_5,2,FALSE)*RHO_S..D*K212)/(415*K179)+1)*p_a..D/p_s..D)-DeltaTL..K</f>
        <v>-94.647696333813684</v>
      </c>
      <c r="L246" s="305">
        <f t="shared" ref="L246:L277" si="17">10*LOG10(8.25*10^-7*(L$29/(E$22*VLOOKUP($J246,Table_5,2,FALSE)))^2*L146/((L$28*L$29+2*PI()*E$22*VLOOKUP($J246,Table_5,2,FALSE)*E$24*L212)/(415*L$178)+1)*E$29/E$37)-L$244</f>
        <v>-94.647696333813684</v>
      </c>
      <c r="M246" s="305">
        <f t="shared" ref="M246:M277" si="18">10*LOG10(8.25*10^-7*(M$29/(F$22*VLOOKUP($J246,Table_5,2,FALSE)))^2*M146/((M$28*M$29+2*PI()*F$22*VLOOKUP($J246,Table_5,2,FALSE)*F$24*M212)/(415*M$178)+1)*F$29/F$37)-M$244</f>
        <v>-94.647696333813684</v>
      </c>
      <c r="N246" s="305">
        <f t="shared" ref="N246:N277" si="19">10*LOG10(8.25*10^-7*(N$29/(G$22*VLOOKUP($J246,Table_5,2,FALSE)))^2*N146/((N$28*N$29+2*PI()*G$22*VLOOKUP($J246,Table_5,2,FALSE)*G$24*N212)/(415*N$178)+1)*G$29/G$37)-N$244</f>
        <v>-94.647696333813684</v>
      </c>
      <c r="O246" s="288"/>
      <c r="P246" s="285"/>
      <c r="Q246" s="285"/>
      <c r="R246" s="285"/>
      <c r="S246" s="285"/>
      <c r="T246" s="285"/>
      <c r="U246" s="285"/>
      <c r="V246" s="285"/>
    </row>
    <row r="247" spans="1:22" ht="14.4" x14ac:dyDescent="0.3">
      <c r="A247" s="285"/>
      <c r="B247" s="285"/>
      <c r="C247" s="285"/>
      <c r="D247" s="286"/>
      <c r="E247" s="285"/>
      <c r="F247" s="285"/>
      <c r="G247" s="396"/>
      <c r="H247" s="287"/>
      <c r="I247" s="285"/>
      <c r="J247" s="285">
        <v>3</v>
      </c>
      <c r="K247" s="306">
        <f t="shared" si="16"/>
        <v>-92.742738993661106</v>
      </c>
      <c r="L247" s="305">
        <f t="shared" si="17"/>
        <v>-92.742738993661106</v>
      </c>
      <c r="M247" s="305">
        <f t="shared" si="18"/>
        <v>-92.742738993661106</v>
      </c>
      <c r="N247" s="305">
        <f t="shared" si="19"/>
        <v>-92.742738993661106</v>
      </c>
      <c r="O247" s="288"/>
      <c r="P247" s="285"/>
      <c r="Q247" s="285"/>
      <c r="R247" s="285"/>
      <c r="S247" s="285"/>
      <c r="T247" s="285"/>
      <c r="U247" s="285"/>
      <c r="V247" s="285"/>
    </row>
    <row r="248" spans="1:22" ht="14.4" x14ac:dyDescent="0.3">
      <c r="A248" s="285"/>
      <c r="B248" s="285"/>
      <c r="C248" s="285"/>
      <c r="D248" s="286"/>
      <c r="E248" s="285"/>
      <c r="F248" s="285"/>
      <c r="G248" s="396"/>
      <c r="H248" s="287"/>
      <c r="I248" s="285"/>
      <c r="J248" s="285">
        <v>4</v>
      </c>
      <c r="K248" s="306">
        <f t="shared" si="16"/>
        <v>-90.841406632265162</v>
      </c>
      <c r="L248" s="305">
        <f t="shared" si="17"/>
        <v>-90.841406632265162</v>
      </c>
      <c r="M248" s="305">
        <f t="shared" si="18"/>
        <v>-90.841406632265162</v>
      </c>
      <c r="N248" s="305">
        <f t="shared" si="19"/>
        <v>-90.841406632265162</v>
      </c>
      <c r="O248" s="288"/>
      <c r="P248" s="285"/>
      <c r="Q248" s="285"/>
      <c r="R248" s="285"/>
      <c r="S248" s="285"/>
      <c r="T248" s="285"/>
      <c r="U248" s="285"/>
      <c r="V248" s="285"/>
    </row>
    <row r="249" spans="1:22" ht="14.4" x14ac:dyDescent="0.3">
      <c r="A249" s="285"/>
      <c r="B249" s="285"/>
      <c r="C249" s="285"/>
      <c r="D249" s="286"/>
      <c r="E249" s="285"/>
      <c r="F249" s="285"/>
      <c r="G249" s="396"/>
      <c r="H249" s="287"/>
      <c r="I249" s="285"/>
      <c r="J249" s="285">
        <v>5</v>
      </c>
      <c r="K249" s="306">
        <f t="shared" si="16"/>
        <v>-88.876385321622578</v>
      </c>
      <c r="L249" s="305">
        <f t="shared" si="17"/>
        <v>-88.876385321622564</v>
      </c>
      <c r="M249" s="305">
        <f t="shared" si="18"/>
        <v>-88.876385321622578</v>
      </c>
      <c r="N249" s="305">
        <f t="shared" si="19"/>
        <v>-88.876385321622578</v>
      </c>
      <c r="O249" s="288"/>
      <c r="P249" s="285"/>
      <c r="Q249" s="285"/>
      <c r="R249" s="285"/>
      <c r="S249" s="285"/>
      <c r="T249" s="285"/>
      <c r="U249" s="285"/>
      <c r="V249" s="285"/>
    </row>
    <row r="250" spans="1:22" ht="14.4" x14ac:dyDescent="0.3">
      <c r="A250" s="285"/>
      <c r="B250" s="285"/>
      <c r="C250" s="285"/>
      <c r="D250" s="286"/>
      <c r="E250" s="285"/>
      <c r="F250" s="285"/>
      <c r="G250" s="396"/>
      <c r="H250" s="287"/>
      <c r="I250" s="285"/>
      <c r="J250" s="285">
        <v>6</v>
      </c>
      <c r="K250" s="306">
        <f t="shared" si="16"/>
        <v>-86.850163661173113</v>
      </c>
      <c r="L250" s="305">
        <f t="shared" si="17"/>
        <v>-86.850163661173113</v>
      </c>
      <c r="M250" s="305">
        <f t="shared" si="18"/>
        <v>-86.850163661173113</v>
      </c>
      <c r="N250" s="305">
        <f t="shared" si="19"/>
        <v>-86.850163661173113</v>
      </c>
      <c r="O250" s="288"/>
      <c r="P250" s="285"/>
      <c r="Q250" s="285"/>
      <c r="R250" s="285"/>
      <c r="S250" s="285"/>
      <c r="T250" s="285"/>
      <c r="U250" s="285"/>
      <c r="V250" s="285"/>
    </row>
    <row r="251" spans="1:22" ht="14.4" x14ac:dyDescent="0.3">
      <c r="A251" s="285"/>
      <c r="B251" s="285"/>
      <c r="C251" s="285"/>
      <c r="D251" s="286"/>
      <c r="E251" s="285"/>
      <c r="F251" s="285"/>
      <c r="G251" s="396"/>
      <c r="H251" s="287"/>
      <c r="I251" s="285"/>
      <c r="J251" s="285">
        <v>7</v>
      </c>
      <c r="K251" s="306">
        <f t="shared" si="16"/>
        <v>-84.962508137551765</v>
      </c>
      <c r="L251" s="305">
        <f t="shared" si="17"/>
        <v>-84.962508137551765</v>
      </c>
      <c r="M251" s="305">
        <f t="shared" si="18"/>
        <v>-84.962508137551765</v>
      </c>
      <c r="N251" s="305">
        <f t="shared" si="19"/>
        <v>-84.962508137551765</v>
      </c>
      <c r="O251" s="288"/>
      <c r="P251" s="285"/>
      <c r="Q251" s="285"/>
      <c r="R251" s="285"/>
      <c r="S251" s="285"/>
      <c r="T251" s="285"/>
      <c r="U251" s="285"/>
      <c r="V251" s="285"/>
    </row>
    <row r="252" spans="1:22" ht="14.4" x14ac:dyDescent="0.3">
      <c r="A252" s="285"/>
      <c r="B252" s="285"/>
      <c r="C252" s="285"/>
      <c r="D252" s="286"/>
      <c r="E252" s="285"/>
      <c r="F252" s="285"/>
      <c r="G252" s="396"/>
      <c r="H252" s="287"/>
      <c r="I252" s="285"/>
      <c r="J252" s="285">
        <v>8</v>
      </c>
      <c r="K252" s="306">
        <f t="shared" si="16"/>
        <v>-83.013016906819203</v>
      </c>
      <c r="L252" s="305">
        <f t="shared" si="17"/>
        <v>-83.013016906819203</v>
      </c>
      <c r="M252" s="305">
        <f t="shared" si="18"/>
        <v>-83.013016906819203</v>
      </c>
      <c r="N252" s="305">
        <f t="shared" si="19"/>
        <v>-83.013016906819203</v>
      </c>
      <c r="O252" s="288"/>
      <c r="P252" s="285"/>
      <c r="Q252" s="285"/>
      <c r="R252" s="285"/>
      <c r="S252" s="285"/>
      <c r="T252" s="285"/>
      <c r="U252" s="285"/>
      <c r="V252" s="285"/>
    </row>
    <row r="253" spans="1:22" ht="14.4" x14ac:dyDescent="0.3">
      <c r="A253" s="285"/>
      <c r="B253" s="285"/>
      <c r="C253" s="285"/>
      <c r="D253" s="286"/>
      <c r="E253" s="285"/>
      <c r="F253" s="285"/>
      <c r="G253" s="396"/>
      <c r="H253" s="287"/>
      <c r="I253" s="285"/>
      <c r="J253" s="285">
        <v>9</v>
      </c>
      <c r="K253" s="306">
        <f t="shared" si="16"/>
        <v>-81.004407982058638</v>
      </c>
      <c r="L253" s="305">
        <f t="shared" si="17"/>
        <v>-81.004407982058638</v>
      </c>
      <c r="M253" s="305">
        <f t="shared" si="18"/>
        <v>-81.004407982058638</v>
      </c>
      <c r="N253" s="305">
        <f t="shared" si="19"/>
        <v>-81.004407982058638</v>
      </c>
      <c r="O253" s="288"/>
      <c r="P253" s="285"/>
      <c r="Q253" s="285"/>
      <c r="R253" s="285"/>
      <c r="S253" s="285"/>
      <c r="T253" s="285"/>
      <c r="U253" s="285"/>
      <c r="V253" s="285"/>
    </row>
    <row r="254" spans="1:22" ht="14.4" x14ac:dyDescent="0.3">
      <c r="A254" s="285"/>
      <c r="B254" s="285"/>
      <c r="C254" s="285"/>
      <c r="D254" s="286"/>
      <c r="E254" s="285"/>
      <c r="F254" s="285"/>
      <c r="G254" s="396"/>
      <c r="H254" s="287"/>
      <c r="I254" s="285"/>
      <c r="J254" s="285">
        <v>10</v>
      </c>
      <c r="K254" s="306">
        <f t="shared" si="16"/>
        <v>-79.134725896843477</v>
      </c>
      <c r="L254" s="305">
        <f t="shared" si="17"/>
        <v>-79.134725896843477</v>
      </c>
      <c r="M254" s="305">
        <f t="shared" si="18"/>
        <v>-79.134725896843477</v>
      </c>
      <c r="N254" s="305">
        <f t="shared" si="19"/>
        <v>-79.134725896843477</v>
      </c>
      <c r="O254" s="288"/>
      <c r="P254" s="285"/>
      <c r="Q254" s="285"/>
      <c r="R254" s="285"/>
      <c r="S254" s="285"/>
      <c r="T254" s="285"/>
      <c r="U254" s="285"/>
      <c r="V254" s="285"/>
    </row>
    <row r="255" spans="1:22" ht="14.4" x14ac:dyDescent="0.3">
      <c r="A255" s="285"/>
      <c r="B255" s="285"/>
      <c r="C255" s="285"/>
      <c r="D255" s="286"/>
      <c r="E255" s="285"/>
      <c r="F255" s="285"/>
      <c r="G255" s="396"/>
      <c r="H255" s="287"/>
      <c r="I255" s="285"/>
      <c r="J255" s="285">
        <v>11</v>
      </c>
      <c r="K255" s="306">
        <f t="shared" si="16"/>
        <v>-77.271872744445702</v>
      </c>
      <c r="L255" s="305">
        <f t="shared" si="17"/>
        <v>-77.271872744445702</v>
      </c>
      <c r="M255" s="305">
        <f t="shared" si="18"/>
        <v>-77.271872744445702</v>
      </c>
      <c r="N255" s="305">
        <f t="shared" si="19"/>
        <v>-77.271872744445702</v>
      </c>
      <c r="O255" s="288"/>
      <c r="P255" s="285"/>
      <c r="Q255" s="285"/>
      <c r="R255" s="285"/>
      <c r="S255" s="285"/>
      <c r="T255" s="285"/>
      <c r="U255" s="285"/>
      <c r="V255" s="285"/>
    </row>
    <row r="256" spans="1:22" ht="14.4" x14ac:dyDescent="0.3">
      <c r="A256" s="285"/>
      <c r="B256" s="285"/>
      <c r="C256" s="285"/>
      <c r="D256" s="286"/>
      <c r="E256" s="285"/>
      <c r="F256" s="285"/>
      <c r="G256" s="396"/>
      <c r="H256" s="287"/>
      <c r="I256" s="285"/>
      <c r="J256" s="285">
        <v>12</v>
      </c>
      <c r="K256" s="306">
        <f t="shared" si="16"/>
        <v>-75.219643101837789</v>
      </c>
      <c r="L256" s="305">
        <f t="shared" si="17"/>
        <v>-75.219643101837789</v>
      </c>
      <c r="M256" s="305">
        <f t="shared" si="18"/>
        <v>-75.219643101837789</v>
      </c>
      <c r="N256" s="305">
        <f t="shared" si="19"/>
        <v>-75.219643101837789</v>
      </c>
      <c r="O256" s="288"/>
      <c r="P256" s="285"/>
      <c r="Q256" s="285"/>
      <c r="R256" s="285"/>
      <c r="S256" s="285"/>
      <c r="T256" s="285"/>
      <c r="U256" s="285"/>
      <c r="V256" s="285"/>
    </row>
    <row r="257" spans="1:22" ht="14.4" x14ac:dyDescent="0.3">
      <c r="A257" s="285"/>
      <c r="B257" s="285"/>
      <c r="C257" s="285"/>
      <c r="D257" s="286"/>
      <c r="E257" s="285"/>
      <c r="F257" s="285"/>
      <c r="G257" s="396"/>
      <c r="H257" s="287"/>
      <c r="I257" s="285"/>
      <c r="J257" s="285">
        <v>13</v>
      </c>
      <c r="K257" s="306">
        <f t="shared" si="16"/>
        <v>-73.372976948951489</v>
      </c>
      <c r="L257" s="305">
        <f t="shared" si="17"/>
        <v>-73.372976948951475</v>
      </c>
      <c r="M257" s="305">
        <f t="shared" si="18"/>
        <v>-73.372976948951489</v>
      </c>
      <c r="N257" s="305">
        <f t="shared" si="19"/>
        <v>-73.372976948951489</v>
      </c>
      <c r="O257" s="288"/>
      <c r="P257" s="285"/>
      <c r="Q257" s="285"/>
      <c r="R257" s="285"/>
      <c r="S257" s="285"/>
      <c r="T257" s="285"/>
      <c r="U257" s="285"/>
      <c r="V257" s="285"/>
    </row>
    <row r="258" spans="1:22" ht="14.4" x14ac:dyDescent="0.3">
      <c r="A258" s="285"/>
      <c r="B258" s="285"/>
      <c r="C258" s="285"/>
      <c r="D258" s="286"/>
      <c r="E258" s="285"/>
      <c r="F258" s="285"/>
      <c r="G258" s="396"/>
      <c r="H258" s="287"/>
      <c r="I258" s="285"/>
      <c r="J258" s="285">
        <v>14</v>
      </c>
      <c r="K258" s="306">
        <f t="shared" si="16"/>
        <v>-71.534881382448006</v>
      </c>
      <c r="L258" s="305">
        <f t="shared" si="17"/>
        <v>-71.534881382447992</v>
      </c>
      <c r="M258" s="305">
        <f t="shared" si="18"/>
        <v>-71.534881382448006</v>
      </c>
      <c r="N258" s="305">
        <f t="shared" si="19"/>
        <v>-71.534881382448006</v>
      </c>
      <c r="O258" s="288"/>
      <c r="P258" s="285"/>
      <c r="Q258" s="285"/>
      <c r="R258" s="285"/>
      <c r="S258" s="285"/>
      <c r="T258" s="285"/>
      <c r="U258" s="285"/>
      <c r="V258" s="285"/>
    </row>
    <row r="259" spans="1:22" ht="14.4" x14ac:dyDescent="0.3">
      <c r="A259" s="285"/>
      <c r="B259" s="285"/>
      <c r="C259" s="285"/>
      <c r="D259" s="286"/>
      <c r="E259" s="285"/>
      <c r="F259" s="285"/>
      <c r="G259" s="396"/>
      <c r="H259" s="287"/>
      <c r="I259" s="285"/>
      <c r="J259" s="285">
        <v>15</v>
      </c>
      <c r="K259" s="306">
        <f t="shared" si="16"/>
        <v>-69.640802862952029</v>
      </c>
      <c r="L259" s="305">
        <f t="shared" si="17"/>
        <v>-69.640802862952029</v>
      </c>
      <c r="M259" s="305">
        <f t="shared" si="18"/>
        <v>-69.640802862952029</v>
      </c>
      <c r="N259" s="305">
        <f t="shared" si="19"/>
        <v>-69.640802862952029</v>
      </c>
      <c r="O259" s="288"/>
      <c r="P259" s="285"/>
      <c r="Q259" s="285"/>
      <c r="R259" s="285"/>
      <c r="S259" s="285"/>
      <c r="T259" s="285"/>
      <c r="U259" s="285"/>
      <c r="V259" s="285"/>
    </row>
    <row r="260" spans="1:22" ht="14.4" x14ac:dyDescent="0.3">
      <c r="A260" s="285"/>
      <c r="B260" s="285"/>
      <c r="C260" s="285"/>
      <c r="D260" s="286"/>
      <c r="E260" s="285"/>
      <c r="F260" s="285"/>
      <c r="G260" s="396"/>
      <c r="H260" s="287"/>
      <c r="I260" s="285"/>
      <c r="J260" s="285">
        <v>16</v>
      </c>
      <c r="K260" s="306">
        <f t="shared" si="16"/>
        <v>-67.693959419337602</v>
      </c>
      <c r="L260" s="305">
        <f t="shared" si="17"/>
        <v>-67.693959419337602</v>
      </c>
      <c r="M260" s="305">
        <f t="shared" si="18"/>
        <v>-67.693959419337602</v>
      </c>
      <c r="N260" s="305">
        <f t="shared" si="19"/>
        <v>-67.693959419337602</v>
      </c>
      <c r="O260" s="288"/>
      <c r="P260" s="285"/>
      <c r="Q260" s="285"/>
      <c r="R260" s="285"/>
      <c r="S260" s="285"/>
      <c r="T260" s="285"/>
      <c r="U260" s="285"/>
      <c r="V260" s="285"/>
    </row>
    <row r="261" spans="1:22" ht="14.4" x14ac:dyDescent="0.3">
      <c r="A261" s="285"/>
      <c r="B261" s="285"/>
      <c r="C261" s="285"/>
      <c r="D261" s="286"/>
      <c r="E261" s="285"/>
      <c r="F261" s="285"/>
      <c r="G261" s="396"/>
      <c r="H261" s="287"/>
      <c r="I261" s="285"/>
      <c r="J261" s="285">
        <v>17</v>
      </c>
      <c r="K261" s="306">
        <f t="shared" si="16"/>
        <v>-65.886162751349929</v>
      </c>
      <c r="L261" s="305">
        <f t="shared" si="17"/>
        <v>-65.886162751349929</v>
      </c>
      <c r="M261" s="305">
        <f t="shared" si="18"/>
        <v>-65.886162751349929</v>
      </c>
      <c r="N261" s="305">
        <f t="shared" si="19"/>
        <v>-65.886162751349929</v>
      </c>
      <c r="O261" s="288"/>
      <c r="P261" s="285"/>
      <c r="Q261" s="285"/>
      <c r="R261" s="285"/>
      <c r="S261" s="285"/>
      <c r="T261" s="285"/>
      <c r="U261" s="285"/>
      <c r="V261" s="285"/>
    </row>
    <row r="262" spans="1:22" ht="14.4" x14ac:dyDescent="0.3">
      <c r="A262" s="285"/>
      <c r="B262" s="285"/>
      <c r="C262" s="285"/>
      <c r="D262" s="286"/>
      <c r="E262" s="285"/>
      <c r="F262" s="285"/>
      <c r="G262" s="396"/>
      <c r="H262" s="287"/>
      <c r="I262" s="285"/>
      <c r="J262" s="285">
        <v>18</v>
      </c>
      <c r="K262" s="306">
        <f t="shared" si="16"/>
        <v>-64.025310444520187</v>
      </c>
      <c r="L262" s="305">
        <f t="shared" si="17"/>
        <v>-64.025310444520187</v>
      </c>
      <c r="M262" s="305">
        <f t="shared" si="18"/>
        <v>-64.025310444520187</v>
      </c>
      <c r="N262" s="305">
        <f t="shared" si="19"/>
        <v>-64.025310444520187</v>
      </c>
      <c r="O262" s="288"/>
      <c r="P262" s="285"/>
      <c r="Q262" s="285"/>
      <c r="R262" s="285"/>
      <c r="S262" s="285"/>
      <c r="T262" s="285"/>
      <c r="U262" s="285"/>
      <c r="V262" s="285"/>
    </row>
    <row r="263" spans="1:22" ht="14.4" x14ac:dyDescent="0.3">
      <c r="A263" s="285"/>
      <c r="B263" s="285"/>
      <c r="C263" s="285"/>
      <c r="D263" s="286"/>
      <c r="E263" s="285"/>
      <c r="F263" s="285"/>
      <c r="G263" s="396"/>
      <c r="H263" s="287"/>
      <c r="I263" s="285"/>
      <c r="J263" s="285">
        <v>19</v>
      </c>
      <c r="K263" s="306">
        <f t="shared" si="16"/>
        <v>-62.114715093400442</v>
      </c>
      <c r="L263" s="305">
        <f t="shared" si="17"/>
        <v>-62.114715093400442</v>
      </c>
      <c r="M263" s="305">
        <f t="shared" si="18"/>
        <v>-62.114715093400442</v>
      </c>
      <c r="N263" s="305">
        <f t="shared" si="19"/>
        <v>-62.114715093400442</v>
      </c>
      <c r="O263" s="288"/>
      <c r="P263" s="285"/>
      <c r="Q263" s="285"/>
      <c r="R263" s="285"/>
      <c r="S263" s="285"/>
      <c r="T263" s="285"/>
      <c r="U263" s="285"/>
      <c r="V263" s="285"/>
    </row>
    <row r="264" spans="1:22" ht="14.4" x14ac:dyDescent="0.3">
      <c r="A264" s="285"/>
      <c r="B264" s="285"/>
      <c r="C264" s="285"/>
      <c r="D264" s="286"/>
      <c r="E264" s="285"/>
      <c r="F264" s="285"/>
      <c r="G264" s="396"/>
      <c r="H264" s="287"/>
      <c r="I264" s="285"/>
      <c r="J264" s="285">
        <v>20</v>
      </c>
      <c r="K264" s="306">
        <f t="shared" si="16"/>
        <v>-60.342428962454079</v>
      </c>
      <c r="L264" s="305">
        <f t="shared" si="17"/>
        <v>-60.342428962454079</v>
      </c>
      <c r="M264" s="305">
        <f t="shared" si="18"/>
        <v>-60.342428962454079</v>
      </c>
      <c r="N264" s="305">
        <f t="shared" si="19"/>
        <v>-60.342428962454079</v>
      </c>
      <c r="O264" s="288"/>
      <c r="P264" s="285"/>
      <c r="Q264" s="285"/>
      <c r="R264" s="285"/>
      <c r="S264" s="285"/>
      <c r="T264" s="285"/>
      <c r="U264" s="285"/>
      <c r="V264" s="285"/>
    </row>
    <row r="265" spans="1:22" ht="14.4" x14ac:dyDescent="0.3">
      <c r="A265" s="285"/>
      <c r="B265" s="285"/>
      <c r="C265" s="285"/>
      <c r="D265" s="286"/>
      <c r="E265" s="285"/>
      <c r="F265" s="285"/>
      <c r="G265" s="396"/>
      <c r="H265" s="287"/>
      <c r="I265" s="285"/>
      <c r="J265" s="285">
        <v>21</v>
      </c>
      <c r="K265" s="306">
        <f t="shared" si="16"/>
        <v>-58.582517535986092</v>
      </c>
      <c r="L265" s="305">
        <f t="shared" si="17"/>
        <v>-58.582517535986092</v>
      </c>
      <c r="M265" s="305">
        <f t="shared" si="18"/>
        <v>-58.582517535986092</v>
      </c>
      <c r="N265" s="305">
        <f t="shared" si="19"/>
        <v>-58.582517535986092</v>
      </c>
      <c r="O265" s="288"/>
      <c r="P265" s="285"/>
      <c r="Q265" s="285"/>
      <c r="R265" s="285"/>
      <c r="S265" s="285"/>
      <c r="T265" s="285"/>
      <c r="U265" s="285"/>
      <c r="V265" s="285"/>
    </row>
    <row r="266" spans="1:22" ht="14.4" x14ac:dyDescent="0.3">
      <c r="A266" s="285"/>
      <c r="B266" s="285"/>
      <c r="C266" s="285"/>
      <c r="D266" s="286"/>
      <c r="E266" s="285"/>
      <c r="F266" s="285"/>
      <c r="G266" s="396"/>
      <c r="H266" s="287"/>
      <c r="I266" s="285"/>
      <c r="J266" s="285">
        <v>22</v>
      </c>
      <c r="K266" s="306">
        <f t="shared" si="16"/>
        <v>-56.650417334142517</v>
      </c>
      <c r="L266" s="305">
        <f t="shared" si="17"/>
        <v>-56.650417334142517</v>
      </c>
      <c r="M266" s="305">
        <f t="shared" si="18"/>
        <v>-56.650417334142517</v>
      </c>
      <c r="N266" s="305">
        <f t="shared" si="19"/>
        <v>-56.650417334142517</v>
      </c>
      <c r="O266" s="288"/>
      <c r="P266" s="285"/>
      <c r="Q266" s="285"/>
      <c r="R266" s="285"/>
      <c r="S266" s="285"/>
      <c r="T266" s="285"/>
      <c r="U266" s="285"/>
      <c r="V266" s="285"/>
    </row>
    <row r="267" spans="1:22" ht="14.4" x14ac:dyDescent="0.3">
      <c r="A267" s="285"/>
      <c r="B267" s="285"/>
      <c r="C267" s="285"/>
      <c r="D267" s="286"/>
      <c r="E267" s="285"/>
      <c r="F267" s="285"/>
      <c r="G267" s="396"/>
      <c r="H267" s="287"/>
      <c r="I267" s="285"/>
      <c r="J267" s="285">
        <v>23</v>
      </c>
      <c r="K267" s="306">
        <f t="shared" si="16"/>
        <v>-54.91769994199818</v>
      </c>
      <c r="L267" s="305">
        <f t="shared" si="17"/>
        <v>-54.91769994199818</v>
      </c>
      <c r="M267" s="305">
        <f t="shared" si="18"/>
        <v>-54.91769994199818</v>
      </c>
      <c r="N267" s="305">
        <f t="shared" si="19"/>
        <v>-54.91769994199818</v>
      </c>
      <c r="O267" s="288"/>
      <c r="P267" s="285"/>
      <c r="Q267" s="285"/>
      <c r="R267" s="285"/>
      <c r="S267" s="285"/>
      <c r="T267" s="285"/>
      <c r="U267" s="285"/>
      <c r="V267" s="285"/>
    </row>
    <row r="268" spans="1:22" ht="14.4" x14ac:dyDescent="0.3">
      <c r="A268" s="285"/>
      <c r="B268" s="285"/>
      <c r="C268" s="285"/>
      <c r="D268" s="286"/>
      <c r="E268" s="285"/>
      <c r="F268" s="285"/>
      <c r="G268" s="396"/>
      <c r="H268" s="287"/>
      <c r="I268" s="285"/>
      <c r="J268" s="285">
        <v>24</v>
      </c>
      <c r="K268" s="306">
        <f t="shared" si="16"/>
        <v>-53.198281868818626</v>
      </c>
      <c r="L268" s="305">
        <f t="shared" si="17"/>
        <v>-53.198281868818626</v>
      </c>
      <c r="M268" s="305">
        <f t="shared" si="18"/>
        <v>-53.198281868818626</v>
      </c>
      <c r="N268" s="305">
        <f t="shared" si="19"/>
        <v>-53.198281868818626</v>
      </c>
      <c r="O268" s="288"/>
      <c r="P268" s="285"/>
      <c r="Q268" s="285"/>
      <c r="R268" s="285"/>
      <c r="S268" s="285"/>
      <c r="T268" s="285"/>
      <c r="U268" s="285"/>
      <c r="V268" s="285"/>
    </row>
    <row r="269" spans="1:22" ht="14.4" x14ac:dyDescent="0.3">
      <c r="A269" s="285"/>
      <c r="B269" s="285"/>
      <c r="C269" s="285"/>
      <c r="D269" s="286"/>
      <c r="E269" s="285"/>
      <c r="F269" s="285"/>
      <c r="G269" s="396"/>
      <c r="H269" s="287"/>
      <c r="I269" s="285"/>
      <c r="J269" s="285">
        <v>25</v>
      </c>
      <c r="K269" s="306">
        <f t="shared" si="16"/>
        <v>-52.847596644727176</v>
      </c>
      <c r="L269" s="305">
        <f t="shared" si="17"/>
        <v>-52.847596644727176</v>
      </c>
      <c r="M269" s="305">
        <f t="shared" si="18"/>
        <v>-52.847596644727176</v>
      </c>
      <c r="N269" s="305">
        <f t="shared" si="19"/>
        <v>-52.847596644727176</v>
      </c>
      <c r="O269" s="288"/>
      <c r="P269" s="285"/>
      <c r="Q269" s="285"/>
      <c r="R269" s="285"/>
      <c r="S269" s="285"/>
      <c r="T269" s="285"/>
      <c r="U269" s="285"/>
      <c r="V269" s="285"/>
    </row>
    <row r="270" spans="1:22" ht="14.4" x14ac:dyDescent="0.3">
      <c r="A270" s="285"/>
      <c r="B270" s="285"/>
      <c r="C270" s="285"/>
      <c r="D270" s="286"/>
      <c r="E270" s="285"/>
      <c r="F270" s="285"/>
      <c r="G270" s="396"/>
      <c r="H270" s="287"/>
      <c r="I270" s="285"/>
      <c r="J270" s="285">
        <v>26</v>
      </c>
      <c r="K270" s="306">
        <f t="shared" si="16"/>
        <v>-54.667939265007284</v>
      </c>
      <c r="L270" s="305">
        <f t="shared" si="17"/>
        <v>-54.667939265007284</v>
      </c>
      <c r="M270" s="305">
        <f t="shared" si="18"/>
        <v>-54.667939265007284</v>
      </c>
      <c r="N270" s="305">
        <f t="shared" si="19"/>
        <v>-54.667939265007284</v>
      </c>
      <c r="O270" s="288"/>
      <c r="P270" s="285"/>
      <c r="Q270" s="285"/>
      <c r="R270" s="285"/>
      <c r="S270" s="285"/>
      <c r="T270" s="285"/>
      <c r="U270" s="285"/>
      <c r="V270" s="285"/>
    </row>
    <row r="271" spans="1:22" ht="14.4" x14ac:dyDescent="0.3">
      <c r="A271" s="285"/>
      <c r="B271" s="285"/>
      <c r="C271" s="285"/>
      <c r="D271" s="286"/>
      <c r="E271" s="285"/>
      <c r="F271" s="285"/>
      <c r="G271" s="396"/>
      <c r="H271" s="287"/>
      <c r="I271" s="285"/>
      <c r="J271" s="285">
        <v>27</v>
      </c>
      <c r="K271" s="306">
        <f t="shared" si="16"/>
        <v>-56.382234478842179</v>
      </c>
      <c r="L271" s="305">
        <f t="shared" si="17"/>
        <v>-56.382234478842179</v>
      </c>
      <c r="M271" s="305">
        <f t="shared" si="18"/>
        <v>-56.382234478842179</v>
      </c>
      <c r="N271" s="305">
        <f t="shared" si="19"/>
        <v>-56.382234478842179</v>
      </c>
      <c r="O271" s="288"/>
      <c r="P271" s="285"/>
      <c r="Q271" s="285"/>
      <c r="R271" s="285"/>
      <c r="S271" s="285"/>
      <c r="T271" s="285"/>
      <c r="U271" s="285"/>
      <c r="V271" s="285"/>
    </row>
    <row r="272" spans="1:22" ht="14.4" x14ac:dyDescent="0.3">
      <c r="A272" s="285"/>
      <c r="B272" s="285"/>
      <c r="C272" s="285"/>
      <c r="D272" s="286"/>
      <c r="E272" s="285"/>
      <c r="F272" s="285"/>
      <c r="G272" s="396"/>
      <c r="H272" s="287"/>
      <c r="I272" s="285"/>
      <c r="J272" s="285">
        <v>28</v>
      </c>
      <c r="K272" s="306">
        <f t="shared" si="16"/>
        <v>-58.171831130611913</v>
      </c>
      <c r="L272" s="305">
        <f t="shared" si="17"/>
        <v>-58.171831130611913</v>
      </c>
      <c r="M272" s="305">
        <f t="shared" si="18"/>
        <v>-58.171831130611913</v>
      </c>
      <c r="N272" s="305">
        <f t="shared" si="19"/>
        <v>-58.171831130611913</v>
      </c>
      <c r="O272" s="288"/>
      <c r="P272" s="285"/>
      <c r="Q272" s="285"/>
      <c r="R272" s="285"/>
      <c r="S272" s="285"/>
      <c r="T272" s="285"/>
      <c r="U272" s="285"/>
      <c r="V272" s="285"/>
    </row>
    <row r="273" spans="1:22" ht="14.4" x14ac:dyDescent="0.3">
      <c r="A273" s="285"/>
      <c r="B273" s="285"/>
      <c r="C273" s="285"/>
      <c r="D273" s="286"/>
      <c r="E273" s="285"/>
      <c r="F273" s="285"/>
      <c r="G273" s="396"/>
      <c r="H273" s="287"/>
      <c r="I273" s="285"/>
      <c r="J273" s="285">
        <v>29</v>
      </c>
      <c r="K273" s="306">
        <f t="shared" si="16"/>
        <v>-60.036509051352866</v>
      </c>
      <c r="L273" s="305">
        <f t="shared" si="17"/>
        <v>-60.036509051352866</v>
      </c>
      <c r="M273" s="305">
        <f t="shared" si="18"/>
        <v>-60.036509051352866</v>
      </c>
      <c r="N273" s="305">
        <f t="shared" si="19"/>
        <v>-60.036509051352866</v>
      </c>
      <c r="O273" s="288"/>
      <c r="P273" s="285"/>
      <c r="Q273" s="285"/>
      <c r="R273" s="285"/>
      <c r="S273" s="285"/>
      <c r="T273" s="285"/>
      <c r="U273" s="285"/>
      <c r="V273" s="285"/>
    </row>
    <row r="274" spans="1:22" ht="14.4" x14ac:dyDescent="0.3">
      <c r="A274" s="285"/>
      <c r="B274" s="285"/>
      <c r="C274" s="285"/>
      <c r="D274" s="286"/>
      <c r="E274" s="285"/>
      <c r="F274" s="285"/>
      <c r="G274" s="396"/>
      <c r="H274" s="287"/>
      <c r="I274" s="285"/>
      <c r="J274" s="285">
        <v>30</v>
      </c>
      <c r="K274" s="306">
        <f t="shared" si="16"/>
        <v>-61.791592416260585</v>
      </c>
      <c r="L274" s="305">
        <f t="shared" si="17"/>
        <v>-61.791592416260585</v>
      </c>
      <c r="M274" s="305">
        <f t="shared" si="18"/>
        <v>-61.791592416260585</v>
      </c>
      <c r="N274" s="305">
        <f t="shared" si="19"/>
        <v>-61.791592416260585</v>
      </c>
      <c r="O274" s="288"/>
      <c r="P274" s="285"/>
      <c r="Q274" s="285"/>
      <c r="R274" s="285"/>
      <c r="S274" s="285"/>
      <c r="T274" s="285"/>
      <c r="U274" s="285"/>
      <c r="V274" s="285"/>
    </row>
    <row r="275" spans="1:22" ht="14.4" x14ac:dyDescent="0.3">
      <c r="A275" s="285"/>
      <c r="B275" s="285"/>
      <c r="C275" s="285"/>
      <c r="D275" s="286"/>
      <c r="E275" s="285"/>
      <c r="F275" s="285"/>
      <c r="G275" s="396"/>
      <c r="H275" s="287"/>
      <c r="I275" s="285"/>
      <c r="J275" s="285">
        <v>31</v>
      </c>
      <c r="K275" s="306">
        <f t="shared" si="16"/>
        <v>-63.949573137944306</v>
      </c>
      <c r="L275" s="305">
        <f t="shared" si="17"/>
        <v>-63.949573137944306</v>
      </c>
      <c r="M275" s="305">
        <f t="shared" si="18"/>
        <v>-63.949573137944306</v>
      </c>
      <c r="N275" s="305">
        <f t="shared" si="19"/>
        <v>-63.949573137944306</v>
      </c>
      <c r="O275" s="288"/>
      <c r="P275" s="285"/>
      <c r="Q275" s="285"/>
      <c r="R275" s="285"/>
      <c r="S275" s="285"/>
      <c r="T275" s="285"/>
      <c r="U275" s="285"/>
      <c r="V275" s="285"/>
    </row>
    <row r="276" spans="1:22" ht="14.4" x14ac:dyDescent="0.3">
      <c r="A276" s="285"/>
      <c r="B276" s="285"/>
      <c r="C276" s="285"/>
      <c r="D276" s="286"/>
      <c r="E276" s="285"/>
      <c r="F276" s="285"/>
      <c r="G276" s="396"/>
      <c r="H276" s="287"/>
      <c r="I276" s="285"/>
      <c r="J276" s="285">
        <v>32</v>
      </c>
      <c r="K276" s="306">
        <f t="shared" si="16"/>
        <v>-66.455196017362169</v>
      </c>
      <c r="L276" s="305">
        <f t="shared" si="17"/>
        <v>-66.455196017362169</v>
      </c>
      <c r="M276" s="305">
        <f t="shared" si="18"/>
        <v>-66.455196017362169</v>
      </c>
      <c r="N276" s="305">
        <f t="shared" si="19"/>
        <v>-66.455196017362169</v>
      </c>
      <c r="O276" s="288"/>
      <c r="P276" s="285"/>
      <c r="Q276" s="285"/>
      <c r="R276" s="285"/>
      <c r="S276" s="285"/>
      <c r="T276" s="285"/>
      <c r="U276" s="285"/>
      <c r="V276" s="285"/>
    </row>
    <row r="277" spans="1:22" ht="14.4" x14ac:dyDescent="0.3">
      <c r="A277" s="285"/>
      <c r="B277" s="285"/>
      <c r="C277" s="285"/>
      <c r="D277" s="286"/>
      <c r="E277" s="285"/>
      <c r="F277" s="285"/>
      <c r="G277" s="396"/>
      <c r="H277" s="287"/>
      <c r="I277" s="285"/>
      <c r="J277" s="285">
        <v>33</v>
      </c>
      <c r="K277" s="306">
        <f t="shared" si="16"/>
        <v>-68.732338932386483</v>
      </c>
      <c r="L277" s="305">
        <f t="shared" si="17"/>
        <v>-68.732338932386483</v>
      </c>
      <c r="M277" s="305">
        <f t="shared" si="18"/>
        <v>-68.732338932386483</v>
      </c>
      <c r="N277" s="305">
        <f t="shared" si="19"/>
        <v>-68.732338932386483</v>
      </c>
      <c r="O277" s="288"/>
      <c r="P277" s="285"/>
      <c r="Q277" s="285"/>
      <c r="R277" s="285"/>
      <c r="S277" s="285"/>
      <c r="T277" s="285"/>
      <c r="U277" s="285"/>
      <c r="V277" s="285"/>
    </row>
    <row r="278" spans="1:22" ht="14.4" x14ac:dyDescent="0.3">
      <c r="A278" s="285"/>
      <c r="B278" s="285"/>
      <c r="C278" s="285"/>
      <c r="D278" s="286"/>
      <c r="E278" s="285"/>
      <c r="F278" s="285"/>
      <c r="G278" s="396"/>
      <c r="H278" s="287" t="s">
        <v>350</v>
      </c>
      <c r="I278" s="285">
        <v>24</v>
      </c>
      <c r="J278" s="285" t="s">
        <v>349</v>
      </c>
      <c r="K278" s="306">
        <f ca="1">IF(M_o..K&lt;0.3,L_pi_f_i,L_piS_f_i)+TL_f_i-10*LOG10((D_2..D+2*T_S..D+2)/(D_2..D+2*T_S..D))</f>
        <v>-11.353553840255129</v>
      </c>
      <c r="L278" s="305">
        <f t="shared" ref="L278:L310" ca="1" si="20">IF(L$30&lt;0.3,L34,L109)+L245-10*LOG10((E$19+2*E$22+2)/(E$19+2*E$22))</f>
        <v>-1.7859414371049223</v>
      </c>
      <c r="M278" s="305">
        <f t="shared" ref="M278:M310" ca="1" si="21">IF(M$30&lt;0.3,M34,M109)+M245-10*LOG10((F$19+2*F$22+2)/(F$19+2*F$22))</f>
        <v>4.2820353924301191</v>
      </c>
      <c r="N278" s="305">
        <f t="shared" ref="N278:N310" ca="1" si="22">IF(N$30&lt;0.3,N34,N109)+N245-10*LOG10((G$19+2*G$22+2)/(G$19+2*G$22))</f>
        <v>7.3322729682155785</v>
      </c>
      <c r="O278" s="288"/>
      <c r="P278" s="285"/>
      <c r="Q278" s="285"/>
      <c r="R278" s="285"/>
      <c r="S278" s="285"/>
      <c r="T278" s="285"/>
      <c r="U278" s="285"/>
      <c r="V278" s="285"/>
    </row>
    <row r="279" spans="1:22" ht="14.4" x14ac:dyDescent="0.3">
      <c r="A279" s="285"/>
      <c r="B279" s="285"/>
      <c r="C279" s="285"/>
      <c r="D279" s="286"/>
      <c r="E279" s="285"/>
      <c r="F279" s="285"/>
      <c r="G279" s="396"/>
      <c r="H279" s="287" t="s">
        <v>348</v>
      </c>
      <c r="I279" s="285"/>
      <c r="J279" s="285">
        <v>2</v>
      </c>
      <c r="K279" s="306">
        <f t="shared" ref="K279:K310" ca="1" si="23">IF(M_o..K&lt;0.3,K35,K110)+K246-10*LOG10((D_2..D+2*T_S..D+2)/(D_2..D+2*T_S..D))</f>
        <v>-7.4198949361030042</v>
      </c>
      <c r="L279" s="305">
        <f t="shared" ca="1" si="20"/>
        <v>2.1474333169165494</v>
      </c>
      <c r="M279" s="305">
        <f t="shared" ca="1" si="21"/>
        <v>8.2148876077729245</v>
      </c>
      <c r="N279" s="305">
        <f t="shared" ca="1" si="22"/>
        <v>11.262887887484654</v>
      </c>
      <c r="O279" s="288"/>
      <c r="P279" s="285"/>
      <c r="Q279" s="285"/>
      <c r="R279" s="285"/>
      <c r="S279" s="285"/>
      <c r="T279" s="285"/>
      <c r="U279" s="285"/>
      <c r="V279" s="285"/>
    </row>
    <row r="280" spans="1:22" ht="14.4" x14ac:dyDescent="0.3">
      <c r="A280" s="285"/>
      <c r="B280" s="285"/>
      <c r="C280" s="285"/>
      <c r="D280" s="286"/>
      <c r="E280" s="285"/>
      <c r="F280" s="285"/>
      <c r="G280" s="396"/>
      <c r="H280" s="308"/>
      <c r="I280" s="285"/>
      <c r="J280" s="285">
        <v>3</v>
      </c>
      <c r="K280" s="306">
        <f t="shared" ca="1" si="23"/>
        <v>-3.8676785814832595</v>
      </c>
      <c r="L280" s="305">
        <f t="shared" ca="1" si="20"/>
        <v>5.6992671719968104</v>
      </c>
      <c r="M280" s="305">
        <f t="shared" ca="1" si="21"/>
        <v>11.766018136692383</v>
      </c>
      <c r="N280" s="305">
        <f t="shared" ca="1" si="22"/>
        <v>14.811018191334457</v>
      </c>
      <c r="O280" s="288"/>
      <c r="P280" s="285"/>
      <c r="Q280" s="285"/>
      <c r="R280" s="285"/>
      <c r="S280" s="285"/>
      <c r="T280" s="285"/>
      <c r="U280" s="285"/>
      <c r="V280" s="285"/>
    </row>
    <row r="281" spans="1:22" ht="14.4" x14ac:dyDescent="0.3">
      <c r="A281" s="285"/>
      <c r="B281" s="285"/>
      <c r="C281" s="285"/>
      <c r="D281" s="286"/>
      <c r="E281" s="285"/>
      <c r="F281" s="285"/>
      <c r="G281" s="396"/>
      <c r="H281" s="307"/>
      <c r="I281" s="285"/>
      <c r="J281" s="285">
        <v>4</v>
      </c>
      <c r="K281" s="306">
        <f t="shared" ca="1" si="23"/>
        <v>-0.31918466322831129</v>
      </c>
      <c r="L281" s="305">
        <f t="shared" ca="1" si="20"/>
        <v>9.2472021146585792</v>
      </c>
      <c r="M281" s="305">
        <f t="shared" ca="1" si="21"/>
        <v>15.312925435491396</v>
      </c>
      <c r="N281" s="305">
        <f t="shared" ca="1" si="22"/>
        <v>18.353565102866412</v>
      </c>
      <c r="O281" s="288"/>
      <c r="P281" s="285"/>
      <c r="Q281" s="285"/>
      <c r="R281" s="285"/>
      <c r="S281" s="285"/>
      <c r="T281" s="285"/>
      <c r="U281" s="285"/>
      <c r="V281" s="285"/>
    </row>
    <row r="282" spans="1:22" ht="14.4" x14ac:dyDescent="0.3">
      <c r="A282" s="285"/>
      <c r="B282" s="285"/>
      <c r="C282" s="285"/>
      <c r="D282" s="286"/>
      <c r="E282" s="285"/>
      <c r="F282" s="285"/>
      <c r="G282" s="396"/>
      <c r="H282" s="287"/>
      <c r="I282" s="285"/>
      <c r="J282" s="285">
        <v>5</v>
      </c>
      <c r="K282" s="306">
        <f t="shared" ca="1" si="23"/>
        <v>3.3516653350182839</v>
      </c>
      <c r="L282" s="305">
        <f t="shared" ca="1" si="20"/>
        <v>12.917199996823912</v>
      </c>
      <c r="M282" s="305">
        <f t="shared" ca="1" si="21"/>
        <v>18.981357219146119</v>
      </c>
      <c r="N282" s="305">
        <f t="shared" ca="1" si="22"/>
        <v>22.015405270792428</v>
      </c>
      <c r="O282" s="288"/>
      <c r="P282" s="285"/>
      <c r="Q282" s="285"/>
      <c r="R282" s="285"/>
      <c r="S282" s="285"/>
      <c r="T282" s="285"/>
      <c r="U282" s="285"/>
      <c r="V282" s="285"/>
    </row>
    <row r="283" spans="1:22" ht="14.4" x14ac:dyDescent="0.3">
      <c r="A283" s="285"/>
      <c r="B283" s="285"/>
      <c r="C283" s="285"/>
      <c r="D283" s="286"/>
      <c r="E283" s="285"/>
      <c r="F283" s="285"/>
      <c r="G283" s="396"/>
      <c r="H283" s="287"/>
      <c r="I283" s="285"/>
      <c r="J283" s="285">
        <v>6</v>
      </c>
      <c r="K283" s="306">
        <f t="shared" ca="1" si="23"/>
        <v>7.1409017735947362</v>
      </c>
      <c r="L283" s="305">
        <f t="shared" ca="1" si="20"/>
        <v>16.705122672461627</v>
      </c>
      <c r="M283" s="305">
        <f t="shared" ca="1" si="21"/>
        <v>22.766866552150859</v>
      </c>
      <c r="N283" s="305">
        <f t="shared" ca="1" si="22"/>
        <v>25.790882754153557</v>
      </c>
      <c r="O283" s="288"/>
      <c r="P283" s="285"/>
      <c r="Q283" s="285"/>
      <c r="R283" s="285"/>
      <c r="S283" s="285"/>
      <c r="T283" s="285"/>
      <c r="U283" s="285"/>
      <c r="V283" s="285"/>
    </row>
    <row r="284" spans="1:22" ht="14.4" x14ac:dyDescent="0.3">
      <c r="A284" s="285"/>
      <c r="B284" s="285"/>
      <c r="C284" s="285"/>
      <c r="D284" s="286"/>
      <c r="E284" s="285"/>
      <c r="F284" s="285"/>
      <c r="G284" s="396"/>
      <c r="H284" s="287"/>
      <c r="I284" s="285"/>
      <c r="J284" s="285">
        <v>7</v>
      </c>
      <c r="K284" s="306">
        <f t="shared" ca="1" si="23"/>
        <v>10.675024488212857</v>
      </c>
      <c r="L284" s="305">
        <f t="shared" ca="1" si="20"/>
        <v>20.237430053582187</v>
      </c>
      <c r="M284" s="305">
        <f t="shared" ca="1" si="21"/>
        <v>26.295841814233015</v>
      </c>
      <c r="N284" s="305">
        <f t="shared" ca="1" si="22"/>
        <v>29.306253205103786</v>
      </c>
      <c r="O284" s="288"/>
      <c r="P284" s="285"/>
      <c r="Q284" s="285"/>
      <c r="R284" s="285"/>
      <c r="S284" s="285"/>
      <c r="T284" s="285"/>
      <c r="U284" s="285"/>
      <c r="V284" s="285"/>
    </row>
    <row r="285" spans="1:22" ht="14.4" x14ac:dyDescent="0.3">
      <c r="A285" s="285"/>
      <c r="B285" s="285"/>
      <c r="C285" s="285"/>
      <c r="D285" s="286"/>
      <c r="E285" s="285"/>
      <c r="F285" s="285"/>
      <c r="G285" s="396"/>
      <c r="H285" s="287"/>
      <c r="I285" s="285"/>
      <c r="J285" s="285">
        <v>8</v>
      </c>
      <c r="K285" s="306">
        <f t="shared" ca="1" si="23"/>
        <v>14.329285922754808</v>
      </c>
      <c r="L285" s="305">
        <f t="shared" ca="1" si="20"/>
        <v>23.888925604758143</v>
      </c>
      <c r="M285" s="305">
        <f t="shared" ca="1" si="21"/>
        <v>29.942266556989324</v>
      </c>
      <c r="N285" s="305">
        <f t="shared" ca="1" si="22"/>
        <v>32.932503752558873</v>
      </c>
      <c r="O285" s="288"/>
      <c r="P285" s="285"/>
      <c r="Q285" s="285"/>
      <c r="R285" s="285"/>
      <c r="S285" s="285"/>
      <c r="T285" s="285"/>
      <c r="U285" s="285"/>
      <c r="V285" s="285"/>
    </row>
    <row r="286" spans="1:22" ht="14.4" x14ac:dyDescent="0.3">
      <c r="A286" s="285"/>
      <c r="B286" s="285"/>
      <c r="C286" s="285"/>
      <c r="D286" s="286"/>
      <c r="E286" s="285"/>
      <c r="F286" s="285"/>
      <c r="G286" s="396"/>
      <c r="H286" s="287"/>
      <c r="I286" s="285"/>
      <c r="J286" s="285">
        <v>9</v>
      </c>
      <c r="K286" s="306">
        <f t="shared" ca="1" si="23"/>
        <v>18.099277757595317</v>
      </c>
      <c r="L286" s="305">
        <f t="shared" ca="1" si="20"/>
        <v>27.654656820553726</v>
      </c>
      <c r="M286" s="305">
        <f t="shared" ca="1" si="21"/>
        <v>33.700201517912717</v>
      </c>
      <c r="N286" s="305">
        <f t="shared" ca="1" si="22"/>
        <v>36.660599440833806</v>
      </c>
      <c r="O286" s="288"/>
      <c r="P286" s="285"/>
      <c r="Q286" s="285"/>
      <c r="R286" s="285"/>
      <c r="S286" s="285"/>
      <c r="T286" s="285"/>
      <c r="U286" s="285"/>
      <c r="V286" s="285"/>
    </row>
    <row r="287" spans="1:22" ht="14.4" x14ac:dyDescent="0.3">
      <c r="A287" s="285"/>
      <c r="B287" s="285"/>
      <c r="C287" s="285"/>
      <c r="D287" s="286"/>
      <c r="E287" s="285"/>
      <c r="F287" s="285"/>
      <c r="G287" s="396"/>
      <c r="H287" s="287"/>
      <c r="I287" s="285"/>
      <c r="J287" s="285">
        <v>10</v>
      </c>
      <c r="K287" s="306">
        <f t="shared" ca="1" si="23"/>
        <v>21.613172290962098</v>
      </c>
      <c r="L287" s="305">
        <f t="shared" ca="1" si="20"/>
        <v>31.162671976344029</v>
      </c>
      <c r="M287" s="305">
        <f t="shared" ca="1" si="21"/>
        <v>37.197488815880021</v>
      </c>
      <c r="N287" s="305">
        <f t="shared" ca="1" si="22"/>
        <v>40.118971037333708</v>
      </c>
      <c r="O287" s="288"/>
      <c r="P287" s="285"/>
      <c r="Q287" s="285"/>
      <c r="R287" s="285"/>
      <c r="S287" s="285"/>
      <c r="T287" s="285"/>
      <c r="U287" s="285"/>
      <c r="V287" s="285"/>
    </row>
    <row r="288" spans="1:22" ht="14.4" x14ac:dyDescent="0.3">
      <c r="A288" s="285"/>
      <c r="B288" s="285"/>
      <c r="C288" s="285"/>
      <c r="D288" s="286"/>
      <c r="E288" s="285"/>
      <c r="F288" s="285"/>
      <c r="G288" s="396"/>
      <c r="H288" s="287"/>
      <c r="I288" s="285"/>
      <c r="J288" s="285">
        <v>11</v>
      </c>
      <c r="K288" s="306">
        <f t="shared" ca="1" si="23"/>
        <v>25.118737074732465</v>
      </c>
      <c r="L288" s="305">
        <f t="shared" ca="1" si="20"/>
        <v>34.659666726234221</v>
      </c>
      <c r="M288" s="305">
        <f t="shared" ca="1" si="21"/>
        <v>40.678910463557614</v>
      </c>
      <c r="N288" s="305">
        <f t="shared" ca="1" si="22"/>
        <v>43.547815062908725</v>
      </c>
      <c r="O288" s="288"/>
      <c r="P288" s="285"/>
      <c r="Q288" s="285"/>
      <c r="R288" s="285"/>
      <c r="S288" s="285"/>
      <c r="T288" s="285"/>
      <c r="U288" s="285"/>
      <c r="V288" s="285"/>
    </row>
    <row r="289" spans="1:22" ht="14.4" x14ac:dyDescent="0.3">
      <c r="A289" s="285"/>
      <c r="B289" s="285"/>
      <c r="C289" s="285"/>
      <c r="D289" s="286"/>
      <c r="E289" s="285"/>
      <c r="F289" s="285"/>
      <c r="G289" s="396"/>
      <c r="H289" s="287"/>
      <c r="I289" s="285"/>
      <c r="J289" s="285">
        <v>12</v>
      </c>
      <c r="K289" s="306">
        <f t="shared" ca="1" si="23"/>
        <v>28.985682602351019</v>
      </c>
      <c r="L289" s="305">
        <f t="shared" ca="1" si="20"/>
        <v>38.512516276568164</v>
      </c>
      <c r="M289" s="305">
        <f t="shared" ca="1" si="21"/>
        <v>44.506312367101799</v>
      </c>
      <c r="N289" s="305">
        <f t="shared" ca="1" si="22"/>
        <v>47.29767060174342</v>
      </c>
      <c r="O289" s="288"/>
      <c r="P289" s="285"/>
      <c r="Q289" s="285"/>
      <c r="R289" s="285"/>
      <c r="S289" s="285"/>
      <c r="T289" s="285"/>
      <c r="U289" s="285"/>
      <c r="V289" s="285"/>
    </row>
    <row r="290" spans="1:22" ht="14.4" x14ac:dyDescent="0.3">
      <c r="A290" s="285"/>
      <c r="B290" s="285"/>
      <c r="C290" s="285"/>
      <c r="D290" s="286"/>
      <c r="E290" s="285"/>
      <c r="F290" s="285"/>
      <c r="G290" s="396"/>
      <c r="H290" s="287"/>
      <c r="I290" s="285"/>
      <c r="J290" s="285">
        <v>13</v>
      </c>
      <c r="K290" s="306">
        <f t="shared" ca="1" si="23"/>
        <v>32.469262308222071</v>
      </c>
      <c r="L290" s="305">
        <f t="shared" ca="1" si="20"/>
        <v>41.977244689870986</v>
      </c>
      <c r="M290" s="305">
        <f t="shared" ca="1" si="21"/>
        <v>47.937331860268088</v>
      </c>
      <c r="N290" s="305">
        <f t="shared" ca="1" si="22"/>
        <v>50.638590689912959</v>
      </c>
      <c r="O290" s="288"/>
      <c r="P290" s="285"/>
      <c r="Q290" s="285"/>
      <c r="R290" s="285"/>
      <c r="S290" s="285"/>
      <c r="T290" s="285"/>
      <c r="U290" s="285"/>
      <c r="V290" s="285"/>
    </row>
    <row r="291" spans="1:22" ht="14.4" x14ac:dyDescent="0.3">
      <c r="A291" s="285"/>
      <c r="B291" s="285"/>
      <c r="C291" s="285"/>
      <c r="D291" s="286"/>
      <c r="E291" s="285"/>
      <c r="F291" s="285"/>
      <c r="G291" s="396"/>
      <c r="H291" s="287"/>
      <c r="I291" s="285"/>
      <c r="J291" s="285">
        <v>14</v>
      </c>
      <c r="K291" s="306">
        <f t="shared" ca="1" si="23"/>
        <v>35.93943401288611</v>
      </c>
      <c r="L291" s="305">
        <f t="shared" ca="1" si="20"/>
        <v>45.420126668132013</v>
      </c>
      <c r="M291" s="305">
        <f t="shared" ca="1" si="21"/>
        <v>51.332062539567872</v>
      </c>
      <c r="N291" s="305">
        <f t="shared" ca="1" si="22"/>
        <v>53.922961009219833</v>
      </c>
      <c r="O291" s="288"/>
      <c r="P291" s="285"/>
      <c r="Q291" s="285"/>
      <c r="R291" s="285"/>
      <c r="S291" s="285"/>
      <c r="T291" s="285"/>
      <c r="U291" s="285"/>
      <c r="V291" s="285"/>
    </row>
    <row r="292" spans="1:22" ht="14.4" x14ac:dyDescent="0.3">
      <c r="A292" s="285"/>
      <c r="B292" s="285"/>
      <c r="C292" s="285"/>
      <c r="D292" s="286"/>
      <c r="E292" s="285"/>
      <c r="F292" s="285"/>
      <c r="G292" s="396"/>
      <c r="H292" s="287"/>
      <c r="I292" s="285"/>
      <c r="J292" s="285">
        <v>15</v>
      </c>
      <c r="K292" s="306">
        <f t="shared" ca="1" si="23"/>
        <v>39.516423470122717</v>
      </c>
      <c r="L292" s="305">
        <f t="shared" ca="1" si="20"/>
        <v>48.956107839717788</v>
      </c>
      <c r="M292" s="305">
        <f t="shared" ca="1" si="21"/>
        <v>54.797086701089739</v>
      </c>
      <c r="N292" s="305">
        <f t="shared" ca="1" si="22"/>
        <v>57.25220016712683</v>
      </c>
      <c r="O292" s="288"/>
      <c r="P292" s="285"/>
      <c r="Q292" s="285"/>
      <c r="R292" s="285"/>
      <c r="S292" s="285"/>
      <c r="T292" s="285"/>
      <c r="U292" s="285"/>
      <c r="V292" s="285"/>
    </row>
    <row r="293" spans="1:22" ht="14.4" x14ac:dyDescent="0.3">
      <c r="A293" s="285"/>
      <c r="B293" s="285"/>
      <c r="C293" s="285"/>
      <c r="D293" s="286"/>
      <c r="E293" s="285"/>
      <c r="F293" s="285"/>
      <c r="G293" s="396"/>
      <c r="H293" s="287"/>
      <c r="I293" s="285"/>
      <c r="J293" s="285">
        <v>16</v>
      </c>
      <c r="K293" s="306">
        <f t="shared" ca="1" si="23"/>
        <v>43.191139219472646</v>
      </c>
      <c r="L293" s="305">
        <f t="shared" ca="1" si="20"/>
        <v>52.568980425302669</v>
      </c>
      <c r="M293" s="305">
        <f t="shared" ca="1" si="21"/>
        <v>58.305989368908627</v>
      </c>
      <c r="N293" s="305">
        <f t="shared" ca="1" si="22"/>
        <v>60.598305180598629</v>
      </c>
      <c r="O293" s="288"/>
      <c r="P293" s="285"/>
      <c r="Q293" s="285"/>
      <c r="R293" s="285"/>
      <c r="S293" s="285"/>
      <c r="T293" s="285"/>
      <c r="U293" s="285"/>
      <c r="V293" s="285"/>
    </row>
    <row r="294" spans="1:22" ht="14.4" x14ac:dyDescent="0.3">
      <c r="A294" s="285"/>
      <c r="B294" s="285"/>
      <c r="C294" s="285"/>
      <c r="D294" s="286"/>
      <c r="E294" s="285"/>
      <c r="F294" s="285"/>
      <c r="G294" s="396"/>
      <c r="H294" s="287"/>
      <c r="I294" s="285"/>
      <c r="J294" s="285">
        <v>17</v>
      </c>
      <c r="K294" s="306">
        <f t="shared" ca="1" si="23"/>
        <v>46.597230205288497</v>
      </c>
      <c r="L294" s="305">
        <f t="shared" ca="1" si="20"/>
        <v>55.892282673052648</v>
      </c>
      <c r="M294" s="305">
        <f t="shared" ca="1" si="21"/>
        <v>61.495452892802206</v>
      </c>
      <c r="N294" s="305">
        <f t="shared" ca="1" si="22"/>
        <v>63.615534583869845</v>
      </c>
      <c r="O294" s="288"/>
      <c r="P294" s="285"/>
      <c r="Q294" s="285"/>
      <c r="R294" s="285"/>
      <c r="S294" s="285"/>
      <c r="T294" s="285"/>
      <c r="U294" s="285"/>
      <c r="V294" s="285"/>
    </row>
    <row r="295" spans="1:22" ht="14.4" x14ac:dyDescent="0.3">
      <c r="A295" s="285"/>
      <c r="B295" s="285"/>
      <c r="C295" s="285"/>
      <c r="D295" s="286"/>
      <c r="E295" s="285"/>
      <c r="F295" s="285"/>
      <c r="G295" s="396"/>
      <c r="H295" s="287"/>
      <c r="I295" s="285"/>
      <c r="J295" s="285">
        <v>18</v>
      </c>
      <c r="K295" s="306">
        <f t="shared" ca="1" si="23"/>
        <v>50.090315104446233</v>
      </c>
      <c r="L295" s="305">
        <f t="shared" ca="1" si="20"/>
        <v>59.264827533725168</v>
      </c>
      <c r="M295" s="305">
        <f t="shared" ca="1" si="21"/>
        <v>64.683053638435439</v>
      </c>
      <c r="N295" s="305">
        <f t="shared" ca="1" si="22"/>
        <v>66.604640987969191</v>
      </c>
      <c r="O295" s="288"/>
      <c r="P295" s="285"/>
      <c r="Q295" s="285"/>
      <c r="R295" s="285"/>
      <c r="S295" s="285"/>
      <c r="T295" s="285"/>
      <c r="U295" s="285"/>
      <c r="V295" s="285"/>
    </row>
    <row r="296" spans="1:22" ht="14.4" x14ac:dyDescent="0.3">
      <c r="A296" s="285"/>
      <c r="B296" s="285"/>
      <c r="C296" s="285"/>
      <c r="D296" s="286"/>
      <c r="E296" s="285"/>
      <c r="F296" s="285"/>
      <c r="G296" s="396"/>
      <c r="H296" s="287"/>
      <c r="I296" s="285"/>
      <c r="J296" s="285">
        <v>19</v>
      </c>
      <c r="K296" s="306">
        <f t="shared" ca="1" si="23"/>
        <v>53.652548194413527</v>
      </c>
      <c r="L296" s="305">
        <f t="shared" ca="1" si="20"/>
        <v>62.653415153469609</v>
      </c>
      <c r="M296" s="305">
        <f t="shared" ca="1" si="21"/>
        <v>67.823245810223142</v>
      </c>
      <c r="N296" s="305">
        <f t="shared" ca="1" si="22"/>
        <v>69.519677954060199</v>
      </c>
      <c r="O296" s="288"/>
      <c r="P296" s="285"/>
      <c r="Q296" s="285"/>
      <c r="R296" s="285"/>
      <c r="S296" s="285"/>
      <c r="T296" s="285"/>
      <c r="U296" s="285"/>
      <c r="V296" s="285"/>
    </row>
    <row r="297" spans="1:22" ht="14.4" x14ac:dyDescent="0.3">
      <c r="A297" s="285"/>
      <c r="B297" s="285"/>
      <c r="C297" s="285"/>
      <c r="D297" s="286"/>
      <c r="E297" s="285"/>
      <c r="F297" s="285"/>
      <c r="G297" s="396"/>
      <c r="H297" s="287"/>
      <c r="I297" s="285"/>
      <c r="J297" s="285">
        <v>20</v>
      </c>
      <c r="K297" s="306">
        <f t="shared" ca="1" si="23"/>
        <v>56.921426066345504</v>
      </c>
      <c r="L297" s="305">
        <f t="shared" ca="1" si="20"/>
        <v>65.703580913127581</v>
      </c>
      <c r="M297" s="305">
        <f t="shared" ca="1" si="21"/>
        <v>70.585678897089082</v>
      </c>
      <c r="N297" s="305">
        <f t="shared" ca="1" si="22"/>
        <v>72.056585630359876</v>
      </c>
      <c r="O297" s="288"/>
      <c r="P297" s="285"/>
      <c r="Q297" s="285"/>
      <c r="R297" s="285"/>
      <c r="S297" s="285"/>
      <c r="T297" s="285"/>
      <c r="U297" s="285"/>
      <c r="V297" s="285"/>
    </row>
    <row r="298" spans="1:22" ht="14.4" x14ac:dyDescent="0.3">
      <c r="A298" s="285"/>
      <c r="B298" s="285"/>
      <c r="C298" s="285"/>
      <c r="D298" s="286"/>
      <c r="E298" s="285"/>
      <c r="F298" s="285"/>
      <c r="G298" s="396"/>
      <c r="H298" s="287"/>
      <c r="I298" s="285"/>
      <c r="J298" s="285">
        <v>21</v>
      </c>
      <c r="K298" s="306">
        <f t="shared" ca="1" si="23"/>
        <v>60.116329464946176</v>
      </c>
      <c r="L298" s="305">
        <f t="shared" ca="1" si="20"/>
        <v>68.615615706379742</v>
      </c>
      <c r="M298" s="305">
        <f t="shared" ca="1" si="21"/>
        <v>73.15791324195979</v>
      </c>
      <c r="N298" s="305">
        <f t="shared" ca="1" si="22"/>
        <v>74.391898777149521</v>
      </c>
      <c r="O298" s="288"/>
      <c r="P298" s="285"/>
      <c r="Q298" s="285"/>
      <c r="R298" s="285"/>
      <c r="S298" s="285"/>
      <c r="T298" s="285"/>
      <c r="U298" s="285"/>
      <c r="V298" s="285"/>
    </row>
    <row r="299" spans="1:22" ht="14.4" x14ac:dyDescent="0.3">
      <c r="A299" s="285"/>
      <c r="B299" s="285"/>
      <c r="C299" s="285"/>
      <c r="D299" s="286"/>
      <c r="E299" s="285"/>
      <c r="F299" s="285"/>
      <c r="G299" s="396"/>
      <c r="H299" s="287"/>
      <c r="I299" s="285"/>
      <c r="J299" s="285">
        <v>22</v>
      </c>
      <c r="K299" s="306">
        <f t="shared" ca="1" si="23"/>
        <v>63.53895599506906</v>
      </c>
      <c r="L299" s="305">
        <f t="shared" ca="1" si="20"/>
        <v>71.644079996865017</v>
      </c>
      <c r="M299" s="305">
        <f t="shared" ca="1" si="21"/>
        <v>75.75532088902365</v>
      </c>
      <c r="N299" s="305">
        <f t="shared" ca="1" si="22"/>
        <v>76.71343974999489</v>
      </c>
      <c r="O299" s="288"/>
      <c r="P299" s="285"/>
      <c r="Q299" s="285"/>
      <c r="R299" s="285"/>
      <c r="S299" s="285"/>
      <c r="T299" s="285"/>
      <c r="U299" s="285"/>
      <c r="V299" s="285"/>
    </row>
    <row r="300" spans="1:22" ht="14.4" x14ac:dyDescent="0.3">
      <c r="A300" s="285"/>
      <c r="B300" s="285"/>
      <c r="C300" s="285"/>
      <c r="D300" s="286"/>
      <c r="E300" s="285"/>
      <c r="F300" s="285"/>
      <c r="G300" s="396"/>
      <c r="H300" s="287"/>
      <c r="I300" s="285"/>
      <c r="J300" s="285">
        <v>23</v>
      </c>
      <c r="K300" s="306">
        <f t="shared" ca="1" si="23"/>
        <v>66.504628561563251</v>
      </c>
      <c r="L300" s="305">
        <f t="shared" ca="1" si="20"/>
        <v>74.180320598059595</v>
      </c>
      <c r="M300" s="305">
        <f t="shared" ca="1" si="21"/>
        <v>77.854211335719938</v>
      </c>
      <c r="N300" s="305">
        <f t="shared" ca="1" si="22"/>
        <v>78.542341923009658</v>
      </c>
      <c r="O300" s="288"/>
      <c r="P300" s="285"/>
      <c r="Q300" s="285"/>
      <c r="R300" s="285"/>
      <c r="S300" s="285"/>
      <c r="T300" s="285"/>
      <c r="U300" s="285"/>
      <c r="V300" s="285"/>
    </row>
    <row r="301" spans="1:22" ht="14.4" x14ac:dyDescent="0.3">
      <c r="A301" s="285"/>
      <c r="B301" s="285"/>
      <c r="C301" s="285"/>
      <c r="D301" s="286"/>
      <c r="E301" s="285"/>
      <c r="F301" s="285"/>
      <c r="G301" s="396"/>
      <c r="H301" s="287"/>
      <c r="I301" s="285"/>
      <c r="J301" s="285">
        <v>24</v>
      </c>
      <c r="K301" s="306">
        <f t="shared" ca="1" si="23"/>
        <v>69.32108676926326</v>
      </c>
      <c r="L301" s="305">
        <f t="shared" ca="1" si="20"/>
        <v>76.502744571475276</v>
      </c>
      <c r="M301" s="305">
        <f t="shared" ca="1" si="21"/>
        <v>79.686499051938043</v>
      </c>
      <c r="N301" s="305">
        <f t="shared" ca="1" si="22"/>
        <v>80.071477152741963</v>
      </c>
      <c r="O301" s="288"/>
      <c r="P301" s="285"/>
      <c r="Q301" s="285"/>
      <c r="R301" s="285"/>
      <c r="S301" s="285"/>
      <c r="T301" s="285"/>
      <c r="U301" s="285"/>
      <c r="V301" s="285"/>
    </row>
    <row r="302" spans="1:22" ht="14.4" x14ac:dyDescent="0.3">
      <c r="A302" s="285"/>
      <c r="B302" s="285"/>
      <c r="C302" s="285"/>
      <c r="D302" s="286"/>
      <c r="E302" s="285"/>
      <c r="F302" s="285"/>
      <c r="G302" s="396"/>
      <c r="H302" s="287"/>
      <c r="I302" s="285"/>
      <c r="J302" s="285">
        <v>25</v>
      </c>
      <c r="K302" s="306">
        <f t="shared" ca="1" si="23"/>
        <v>70.637207476591655</v>
      </c>
      <c r="L302" s="305">
        <f t="shared" ca="1" si="20"/>
        <v>77.24287417414719</v>
      </c>
      <c r="M302" s="305">
        <f t="shared" ca="1" si="21"/>
        <v>79.8438821626916</v>
      </c>
      <c r="N302" s="305">
        <f t="shared" ca="1" si="22"/>
        <v>79.870128441599675</v>
      </c>
      <c r="O302" s="288"/>
      <c r="P302" s="285"/>
      <c r="Q302" s="285"/>
      <c r="R302" s="285"/>
      <c r="S302" s="285"/>
      <c r="T302" s="285"/>
      <c r="U302" s="285"/>
      <c r="V302" s="285"/>
    </row>
    <row r="303" spans="1:22" ht="14.4" x14ac:dyDescent="0.3">
      <c r="A303" s="285"/>
      <c r="B303" s="285"/>
      <c r="C303" s="285"/>
      <c r="D303" s="286"/>
      <c r="E303" s="285"/>
      <c r="F303" s="285"/>
      <c r="G303" s="396"/>
      <c r="H303" s="287"/>
      <c r="I303" s="285"/>
      <c r="J303" s="285">
        <v>26</v>
      </c>
      <c r="K303" s="306">
        <f t="shared" ca="1" si="23"/>
        <v>69.605031827067705</v>
      </c>
      <c r="L303" s="305">
        <f t="shared" ca="1" si="20"/>
        <v>75.539855883787084</v>
      </c>
      <c r="M303" s="305">
        <f t="shared" ca="1" si="21"/>
        <v>77.436674219453778</v>
      </c>
      <c r="N303" s="305">
        <f t="shared" ca="1" si="22"/>
        <v>77.055009300285178</v>
      </c>
      <c r="O303" s="288"/>
      <c r="P303" s="285"/>
      <c r="Q303" s="285"/>
      <c r="R303" s="285"/>
      <c r="S303" s="285"/>
      <c r="T303" s="285"/>
      <c r="U303" s="285"/>
      <c r="V303" s="285"/>
    </row>
    <row r="304" spans="1:22" ht="14.4" x14ac:dyDescent="0.3">
      <c r="A304" s="285"/>
      <c r="B304" s="285"/>
      <c r="C304" s="285"/>
      <c r="D304" s="286"/>
      <c r="E304" s="285"/>
      <c r="F304" s="285"/>
      <c r="G304" s="396"/>
      <c r="H304" s="287"/>
      <c r="I304" s="285"/>
      <c r="J304" s="285">
        <v>27</v>
      </c>
      <c r="K304" s="306">
        <f t="shared" ca="1" si="23"/>
        <v>68.411445151015357</v>
      </c>
      <c r="L304" s="305">
        <f t="shared" ca="1" si="20"/>
        <v>73.629958237035225</v>
      </c>
      <c r="M304" s="305">
        <f t="shared" ca="1" si="21"/>
        <v>74.780625148647459</v>
      </c>
      <c r="N304" s="305">
        <f t="shared" ca="1" si="22"/>
        <v>74.019504897969199</v>
      </c>
      <c r="O304" s="288"/>
      <c r="P304" s="285"/>
      <c r="Q304" s="285"/>
      <c r="R304" s="285"/>
      <c r="S304" s="285"/>
      <c r="T304" s="285"/>
      <c r="U304" s="285"/>
      <c r="V304" s="285"/>
    </row>
    <row r="305" spans="1:22" ht="14.4" x14ac:dyDescent="0.3">
      <c r="A305" s="285"/>
      <c r="B305" s="285"/>
      <c r="C305" s="285"/>
      <c r="D305" s="286"/>
      <c r="E305" s="285"/>
      <c r="F305" s="285"/>
      <c r="G305" s="396"/>
      <c r="H305" s="287"/>
      <c r="I305" s="285"/>
      <c r="J305" s="285">
        <v>28</v>
      </c>
      <c r="K305" s="306">
        <f t="shared" ca="1" si="23"/>
        <v>66.915662035140741</v>
      </c>
      <c r="L305" s="305">
        <f t="shared" ca="1" si="20"/>
        <v>71.275271738217413</v>
      </c>
      <c r="M305" s="305">
        <f t="shared" ca="1" si="21"/>
        <v>71.615573071755421</v>
      </c>
      <c r="N305" s="305">
        <f t="shared" ca="1" si="22"/>
        <v>70.509348965970503</v>
      </c>
      <c r="O305" s="288"/>
      <c r="P305" s="285"/>
      <c r="Q305" s="285"/>
      <c r="R305" s="285"/>
      <c r="S305" s="285"/>
      <c r="T305" s="285"/>
      <c r="U305" s="285"/>
      <c r="V305" s="285"/>
    </row>
    <row r="306" spans="1:22" ht="14.4" x14ac:dyDescent="0.3">
      <c r="A306" s="285"/>
      <c r="B306" s="285"/>
      <c r="C306" s="285"/>
      <c r="D306" s="286"/>
      <c r="E306" s="285"/>
      <c r="F306" s="285"/>
      <c r="G306" s="396"/>
      <c r="H306" s="287"/>
      <c r="I306" s="285"/>
      <c r="J306" s="285">
        <v>29</v>
      </c>
      <c r="K306" s="306">
        <f t="shared" ca="1" si="23"/>
        <v>65.053668918925254</v>
      </c>
      <c r="L306" s="305">
        <f t="shared" ca="1" si="20"/>
        <v>68.39774867941928</v>
      </c>
      <c r="M306" s="305">
        <f t="shared" ca="1" si="21"/>
        <v>67.954659046445315</v>
      </c>
      <c r="N306" s="305">
        <f t="shared" ca="1" si="22"/>
        <v>66.574295319226835</v>
      </c>
      <c r="O306" s="288"/>
      <c r="P306" s="285"/>
      <c r="Q306" s="285"/>
      <c r="R306" s="285"/>
      <c r="S306" s="285"/>
      <c r="T306" s="285"/>
      <c r="U306" s="285"/>
      <c r="V306" s="285"/>
    </row>
    <row r="307" spans="1:22" ht="14.4" x14ac:dyDescent="0.3">
      <c r="A307" s="285"/>
      <c r="B307" s="285"/>
      <c r="C307" s="285"/>
      <c r="D307" s="286"/>
      <c r="E307" s="285"/>
      <c r="F307" s="285"/>
      <c r="G307" s="396"/>
      <c r="H307" s="287"/>
      <c r="I307" s="285"/>
      <c r="J307" s="285">
        <v>30</v>
      </c>
      <c r="K307" s="306">
        <f t="shared" ca="1" si="23"/>
        <v>62.977265943531592</v>
      </c>
      <c r="L307" s="305">
        <f t="shared" ca="1" si="20"/>
        <v>65.30411850221401</v>
      </c>
      <c r="M307" s="305">
        <f t="shared" ca="1" si="21"/>
        <v>64.256658499803819</v>
      </c>
      <c r="N307" s="305">
        <f t="shared" ca="1" si="22"/>
        <v>62.698437426364791</v>
      </c>
      <c r="O307" s="288"/>
      <c r="P307" s="285"/>
      <c r="Q307" s="285"/>
      <c r="R307" s="285"/>
      <c r="S307" s="285"/>
      <c r="T307" s="285"/>
      <c r="U307" s="285"/>
      <c r="V307" s="285"/>
    </row>
    <row r="308" spans="1:22" ht="14.4" x14ac:dyDescent="0.3">
      <c r="A308" s="285"/>
      <c r="B308" s="285"/>
      <c r="C308" s="285"/>
      <c r="D308" s="286"/>
      <c r="E308" s="285"/>
      <c r="F308" s="285"/>
      <c r="G308" s="396"/>
      <c r="H308" s="291"/>
      <c r="I308" s="285"/>
      <c r="J308" s="285">
        <v>31</v>
      </c>
      <c r="K308" s="306">
        <f t="shared" ca="1" si="23"/>
        <v>60.138094508368113</v>
      </c>
      <c r="L308" s="305">
        <f t="shared" ca="1" si="20"/>
        <v>61.475145108500186</v>
      </c>
      <c r="M308" s="305">
        <f t="shared" ca="1" si="21"/>
        <v>59.977215706088856</v>
      </c>
      <c r="N308" s="305">
        <f t="shared" ca="1" si="22"/>
        <v>58.302500313286572</v>
      </c>
      <c r="O308" s="288"/>
      <c r="P308" s="285"/>
      <c r="Q308" s="285"/>
      <c r="R308" s="285"/>
      <c r="S308" s="285"/>
      <c r="T308" s="285"/>
      <c r="U308" s="285"/>
      <c r="V308" s="285"/>
    </row>
    <row r="309" spans="1:22" ht="14.4" x14ac:dyDescent="0.3">
      <c r="A309" s="285"/>
      <c r="B309" s="285"/>
      <c r="C309" s="285"/>
      <c r="D309" s="286"/>
      <c r="E309" s="285"/>
      <c r="F309" s="285"/>
      <c r="G309" s="396"/>
      <c r="H309" s="287"/>
      <c r="I309" s="285"/>
      <c r="J309" s="285">
        <v>32</v>
      </c>
      <c r="K309" s="306">
        <f t="shared" ca="1" si="23"/>
        <v>56.430165729738491</v>
      </c>
      <c r="L309" s="305">
        <f t="shared" ca="1" si="20"/>
        <v>56.822496786886745</v>
      </c>
      <c r="M309" s="305">
        <f t="shared" ca="1" si="21"/>
        <v>54.990351549444341</v>
      </c>
      <c r="N309" s="305">
        <f t="shared" ca="1" si="22"/>
        <v>53.236862963039812</v>
      </c>
      <c r="O309" s="288"/>
      <c r="P309" s="285"/>
      <c r="Q309" s="285"/>
      <c r="R309" s="285"/>
      <c r="S309" s="285"/>
      <c r="T309" s="285"/>
      <c r="U309" s="285"/>
      <c r="V309" s="285"/>
    </row>
    <row r="310" spans="1:22" ht="14.4" x14ac:dyDescent="0.3">
      <c r="A310" s="285"/>
      <c r="B310" s="285"/>
      <c r="C310" s="285"/>
      <c r="D310" s="286"/>
      <c r="E310" s="285"/>
      <c r="F310" s="285"/>
      <c r="G310" s="396"/>
      <c r="H310" s="287"/>
      <c r="I310" s="285"/>
      <c r="J310" s="285">
        <v>33</v>
      </c>
      <c r="K310" s="306">
        <f t="shared" ca="1" si="23"/>
        <v>52.679915891711147</v>
      </c>
      <c r="L310" s="305">
        <f t="shared" ca="1" si="20"/>
        <v>52.417235028418389</v>
      </c>
      <c r="M310" s="305">
        <f t="shared" ca="1" si="21"/>
        <v>50.395701923747737</v>
      </c>
      <c r="N310" s="305">
        <f t="shared" ca="1" si="22"/>
        <v>48.600110351825549</v>
      </c>
      <c r="O310" s="288"/>
      <c r="P310" s="285"/>
      <c r="Q310" s="285"/>
      <c r="R310" s="285"/>
      <c r="S310" s="285"/>
      <c r="T310" s="285"/>
      <c r="U310" s="285"/>
      <c r="V310" s="285"/>
    </row>
    <row r="311" spans="1:22" ht="40.5" customHeight="1" x14ac:dyDescent="0.3">
      <c r="A311" s="285"/>
      <c r="B311" s="285"/>
      <c r="C311" s="285"/>
      <c r="D311" s="286"/>
      <c r="E311" s="285"/>
      <c r="F311" s="285"/>
      <c r="G311" s="396"/>
      <c r="H311" s="291" t="s">
        <v>347</v>
      </c>
      <c r="I311" s="285">
        <v>25</v>
      </c>
      <c r="J311" s="285" t="s">
        <v>346</v>
      </c>
      <c r="K311" s="304">
        <f ca="1">10^((L_pe_1m_f_i+VLOOKUP(12.5,Table_7,2,FALSE))/10)</f>
        <v>3.3469144840149772E-8</v>
      </c>
      <c r="L311" s="304">
        <f ca="1">10^((L$278+VLOOKUP(12.5,Table_7,2,FALSE))/10)</f>
        <v>3.0297434572794938E-7</v>
      </c>
      <c r="M311" s="304">
        <f ca="1">10^((M$278+VLOOKUP(12.5,Table_7,2,FALSE))/10)</f>
        <v>1.225190270276754E-6</v>
      </c>
      <c r="N311" s="304">
        <f ca="1">10^((N$278+VLOOKUP(12.5,Table_7,2,FALSE))/10)</f>
        <v>2.4730181105387042E-6</v>
      </c>
      <c r="O311" s="288"/>
      <c r="P311" s="285"/>
      <c r="Q311" s="285"/>
      <c r="R311" s="285"/>
      <c r="S311" s="285"/>
      <c r="T311" s="285"/>
      <c r="U311" s="285"/>
      <c r="V311" s="285"/>
    </row>
    <row r="312" spans="1:22" ht="14.4" x14ac:dyDescent="0.3">
      <c r="A312" s="285"/>
      <c r="B312" s="285"/>
      <c r="C312" s="285"/>
      <c r="D312" s="286"/>
      <c r="E312" s="285"/>
      <c r="F312" s="285"/>
      <c r="G312" s="396"/>
      <c r="H312" s="291"/>
      <c r="I312" s="285"/>
      <c r="J312" s="285">
        <v>16</v>
      </c>
      <c r="K312" s="304">
        <f t="shared" ref="K312:L343" ca="1" si="24">10^((K279+VLOOKUP($J312,Table_7,2,FALSE))/10)</f>
        <v>3.8726701351623595E-7</v>
      </c>
      <c r="L312" s="302">
        <f t="shared" ca="1" si="24"/>
        <v>3.5054464062091624E-6</v>
      </c>
      <c r="M312" s="302">
        <f ca="1">10^((M$279+VLOOKUP($J312,Table_7,2,FALSE))/10)</f>
        <v>1.4173880300053704E-5</v>
      </c>
      <c r="N312" s="302">
        <f ca="1">10^((N$279+VLOOKUP($J312,Table_7,2,FALSE))/10)</f>
        <v>2.8594913606036693E-5</v>
      </c>
      <c r="O312" s="288"/>
      <c r="P312" s="285"/>
      <c r="Q312" s="285"/>
      <c r="R312" s="285"/>
      <c r="S312" s="285"/>
      <c r="T312" s="285"/>
      <c r="U312" s="285"/>
      <c r="V312" s="285"/>
    </row>
    <row r="313" spans="1:22" ht="14.4" x14ac:dyDescent="0.3">
      <c r="A313" s="285"/>
      <c r="B313" s="285"/>
      <c r="C313" s="285"/>
      <c r="D313" s="286"/>
      <c r="E313" s="285"/>
      <c r="F313" s="285"/>
      <c r="G313" s="396"/>
      <c r="H313" s="291" t="s">
        <v>345</v>
      </c>
      <c r="I313" s="285"/>
      <c r="J313" s="285">
        <v>20</v>
      </c>
      <c r="K313" s="304">
        <f t="shared" ca="1" si="24"/>
        <v>3.6579026390681837E-6</v>
      </c>
      <c r="L313" s="302">
        <f t="shared" ca="1" si="24"/>
        <v>3.3107525116960697E-5</v>
      </c>
      <c r="M313" s="302">
        <f t="shared" ref="M313:N343" ca="1" si="25">10^((M280+VLOOKUP($J313,Table_7,2,FALSE))/10)</f>
        <v>1.3384489571720686E-4</v>
      </c>
      <c r="N313" s="302">
        <f t="shared" ca="1" si="25"/>
        <v>2.6983719840991354E-4</v>
      </c>
      <c r="O313" s="288"/>
      <c r="P313" s="285"/>
      <c r="Q313" s="285"/>
      <c r="R313" s="285"/>
      <c r="S313" s="285"/>
      <c r="T313" s="285"/>
      <c r="U313" s="285"/>
      <c r="V313" s="285"/>
    </row>
    <row r="314" spans="1:22" ht="14.4" x14ac:dyDescent="0.3">
      <c r="A314" s="285"/>
      <c r="B314" s="285"/>
      <c r="C314" s="285"/>
      <c r="D314" s="286"/>
      <c r="E314" s="285"/>
      <c r="F314" s="285"/>
      <c r="G314" s="396"/>
      <c r="H314" s="287" t="s">
        <v>344</v>
      </c>
      <c r="I314" s="285"/>
      <c r="J314" s="285">
        <v>25</v>
      </c>
      <c r="K314" s="303">
        <f t="shared" ca="1" si="24"/>
        <v>3.1483393222727861E-5</v>
      </c>
      <c r="L314" s="303">
        <f t="shared" ca="1" si="24"/>
        <v>2.8491821278288436E-4</v>
      </c>
      <c r="M314" s="302">
        <f t="shared" ca="1" si="25"/>
        <v>1.1515758366130969E-3</v>
      </c>
      <c r="N314" s="302">
        <f t="shared" ca="1" si="25"/>
        <v>2.3192977693028386E-3</v>
      </c>
      <c r="O314" s="288"/>
      <c r="P314" s="285"/>
      <c r="Q314" s="285"/>
      <c r="R314" s="285"/>
      <c r="S314" s="285"/>
      <c r="T314" s="285"/>
      <c r="U314" s="285"/>
      <c r="V314" s="285"/>
    </row>
    <row r="315" spans="1:22" ht="14.4" x14ac:dyDescent="0.3">
      <c r="A315" s="285"/>
      <c r="B315" s="285"/>
      <c r="C315" s="285"/>
      <c r="D315" s="286"/>
      <c r="E315" s="285"/>
      <c r="F315" s="285"/>
      <c r="G315" s="396"/>
      <c r="H315" s="291" t="s">
        <v>343</v>
      </c>
      <c r="I315" s="285"/>
      <c r="J315" s="285">
        <v>31.5</v>
      </c>
      <c r="K315" s="303">
        <f t="shared" ca="1" si="24"/>
        <v>2.484085464037194E-4</v>
      </c>
      <c r="L315" s="303">
        <f t="shared" ca="1" si="24"/>
        <v>2.2476050524321044E-3</v>
      </c>
      <c r="M315" s="302">
        <f t="shared" ca="1" si="25"/>
        <v>9.0810427864853171E-3</v>
      </c>
      <c r="N315" s="302">
        <f t="shared" ca="1" si="25"/>
        <v>1.8261671536529144E-2</v>
      </c>
      <c r="O315" s="288"/>
      <c r="P315" s="285"/>
      <c r="Q315" s="285"/>
      <c r="R315" s="285"/>
      <c r="S315" s="285"/>
      <c r="T315" s="285"/>
      <c r="U315" s="285"/>
      <c r="V315" s="285"/>
    </row>
    <row r="316" spans="1:22" ht="14.4" x14ac:dyDescent="0.3">
      <c r="A316" s="285"/>
      <c r="B316" s="285"/>
      <c r="C316" s="285"/>
      <c r="D316" s="286"/>
      <c r="E316" s="285"/>
      <c r="F316" s="285"/>
      <c r="G316" s="396"/>
      <c r="H316" s="287" t="s">
        <v>342</v>
      </c>
      <c r="I316" s="285"/>
      <c r="J316" s="285">
        <v>40</v>
      </c>
      <c r="K316" s="303">
        <f t="shared" ca="1" si="24"/>
        <v>1.7951063258883446E-3</v>
      </c>
      <c r="L316" s="303">
        <f t="shared" ca="1" si="24"/>
        <v>1.6237242141628534E-2</v>
      </c>
      <c r="M316" s="302">
        <f t="shared" ca="1" si="25"/>
        <v>6.5567202624727774E-2</v>
      </c>
      <c r="N316" s="302">
        <f t="shared" ca="1" si="25"/>
        <v>0.13154921941402481</v>
      </c>
      <c r="O316" s="288"/>
      <c r="P316" s="285"/>
      <c r="Q316" s="285"/>
      <c r="R316" s="285"/>
      <c r="S316" s="285"/>
      <c r="T316" s="285"/>
      <c r="U316" s="285"/>
      <c r="V316" s="285"/>
    </row>
    <row r="317" spans="1:22" ht="14.4" x14ac:dyDescent="0.3">
      <c r="A317" s="285"/>
      <c r="B317" s="285"/>
      <c r="C317" s="285"/>
      <c r="D317" s="286"/>
      <c r="E317" s="285"/>
      <c r="F317" s="285"/>
      <c r="G317" s="396"/>
      <c r="H317" s="287"/>
      <c r="I317" s="285"/>
      <c r="J317" s="285">
        <v>50</v>
      </c>
      <c r="K317" s="303">
        <f t="shared" ca="1" si="24"/>
        <v>1.11558444168918E-2</v>
      </c>
      <c r="L317" s="303">
        <f t="shared" ca="1" si="24"/>
        <v>0.10086558353018364</v>
      </c>
      <c r="M317" s="302">
        <f t="shared" ca="1" si="25"/>
        <v>0.4069904151064821</v>
      </c>
      <c r="N317" s="302">
        <f t="shared" ca="1" si="25"/>
        <v>0.81400171615448769</v>
      </c>
      <c r="O317" s="288"/>
      <c r="P317" s="285"/>
      <c r="Q317" s="285"/>
      <c r="R317" s="285"/>
      <c r="S317" s="285"/>
      <c r="T317" s="285"/>
      <c r="U317" s="285"/>
      <c r="V317" s="285"/>
    </row>
    <row r="318" spans="1:22" ht="14.4" x14ac:dyDescent="0.3">
      <c r="A318" s="285"/>
      <c r="B318" s="285"/>
      <c r="C318" s="285"/>
      <c r="D318" s="286"/>
      <c r="E318" s="285"/>
      <c r="F318" s="285"/>
      <c r="G318" s="396"/>
      <c r="H318" s="287"/>
      <c r="I318" s="285"/>
      <c r="J318" s="285">
        <v>63</v>
      </c>
      <c r="K318" s="303">
        <f t="shared" ca="1" si="24"/>
        <v>6.5002280327134981E-2</v>
      </c>
      <c r="L318" s="303">
        <f t="shared" ca="1" si="24"/>
        <v>0.58734403230987919</v>
      </c>
      <c r="M318" s="302">
        <f t="shared" ca="1" si="25"/>
        <v>2.3671547791226977</v>
      </c>
      <c r="N318" s="302">
        <f t="shared" ca="1" si="25"/>
        <v>4.7124892797472837</v>
      </c>
      <c r="O318" s="288"/>
      <c r="P318" s="285"/>
      <c r="Q318" s="285"/>
      <c r="R318" s="285"/>
      <c r="S318" s="285"/>
      <c r="T318" s="285"/>
      <c r="U318" s="285"/>
      <c r="V318" s="285"/>
    </row>
    <row r="319" spans="1:22" ht="14.4" x14ac:dyDescent="0.3">
      <c r="A319" s="285"/>
      <c r="B319" s="285"/>
      <c r="C319" s="285"/>
      <c r="D319" s="286"/>
      <c r="E319" s="285"/>
      <c r="F319" s="285"/>
      <c r="G319" s="396"/>
      <c r="H319" s="287"/>
      <c r="I319" s="285"/>
      <c r="J319" s="294">
        <v>80</v>
      </c>
      <c r="K319" s="303">
        <f t="shared" ca="1" si="24"/>
        <v>0.3630176790170761</v>
      </c>
      <c r="L319" s="303">
        <f t="shared" ca="1" si="24"/>
        <v>3.2769188157360669</v>
      </c>
      <c r="M319" s="302">
        <f t="shared" ca="1" si="25"/>
        <v>13.183179086888501</v>
      </c>
      <c r="N319" s="302">
        <f t="shared" ca="1" si="25"/>
        <v>26.065132926946681</v>
      </c>
      <c r="O319" s="288"/>
      <c r="P319" s="285"/>
      <c r="Q319" s="285"/>
      <c r="R319" s="285"/>
      <c r="S319" s="285"/>
      <c r="T319" s="285"/>
      <c r="U319" s="285"/>
      <c r="V319" s="285"/>
    </row>
    <row r="320" spans="1:22" ht="14.4" x14ac:dyDescent="0.3">
      <c r="A320" s="285"/>
      <c r="B320" s="285"/>
      <c r="C320" s="285"/>
      <c r="D320" s="286"/>
      <c r="E320" s="285"/>
      <c r="F320" s="285"/>
      <c r="G320" s="396"/>
      <c r="H320" s="287"/>
      <c r="I320" s="285"/>
      <c r="J320" s="294">
        <v>100</v>
      </c>
      <c r="K320" s="294">
        <f t="shared" ca="1" si="24"/>
        <v>1.7836811762626297</v>
      </c>
      <c r="L320" s="294">
        <f t="shared" ca="1" si="24"/>
        <v>16.079302202473951</v>
      </c>
      <c r="M320" s="301">
        <f t="shared" ca="1" si="25"/>
        <v>64.528100578334175</v>
      </c>
      <c r="N320" s="301">
        <f t="shared" ca="1" si="25"/>
        <v>126.44367322593646</v>
      </c>
      <c r="O320" s="288"/>
      <c r="P320" s="285"/>
      <c r="Q320" s="285"/>
      <c r="R320" s="285"/>
      <c r="S320" s="285"/>
      <c r="T320" s="285"/>
      <c r="U320" s="285"/>
      <c r="V320" s="285"/>
    </row>
    <row r="321" spans="1:22" ht="14.4" x14ac:dyDescent="0.3">
      <c r="A321" s="285"/>
      <c r="B321" s="285"/>
      <c r="C321" s="285"/>
      <c r="D321" s="286"/>
      <c r="E321" s="285"/>
      <c r="F321" s="285"/>
      <c r="G321" s="396"/>
      <c r="H321" s="287"/>
      <c r="I321" s="285"/>
      <c r="J321" s="294">
        <v>125</v>
      </c>
      <c r="K321" s="294">
        <f t="shared" ca="1" si="24"/>
        <v>7.9776266471755823</v>
      </c>
      <c r="L321" s="294">
        <f t="shared" ca="1" si="24"/>
        <v>71.773921048220416</v>
      </c>
      <c r="M321" s="301">
        <f t="shared" ca="1" si="25"/>
        <v>287.00604651732573</v>
      </c>
      <c r="N321" s="301">
        <f t="shared" ca="1" si="25"/>
        <v>555.62465198046573</v>
      </c>
      <c r="O321" s="288"/>
      <c r="P321" s="285"/>
      <c r="Q321" s="285"/>
      <c r="R321" s="285"/>
      <c r="S321" s="285"/>
      <c r="T321" s="285"/>
      <c r="U321" s="285"/>
      <c r="V321" s="285"/>
    </row>
    <row r="322" spans="1:22" ht="14.4" x14ac:dyDescent="0.3">
      <c r="A322" s="285"/>
      <c r="B322" s="285"/>
      <c r="C322" s="285"/>
      <c r="D322" s="286"/>
      <c r="E322" s="285"/>
      <c r="F322" s="285"/>
      <c r="G322" s="396"/>
      <c r="H322" s="287"/>
      <c r="I322" s="285"/>
      <c r="J322" s="294">
        <v>160</v>
      </c>
      <c r="K322" s="294">
        <f t="shared" ca="1" si="24"/>
        <v>36.188306523339001</v>
      </c>
      <c r="L322" s="294">
        <f t="shared" ca="1" si="24"/>
        <v>324.52759225782091</v>
      </c>
      <c r="M322" s="301">
        <f t="shared" ca="1" si="25"/>
        <v>1290.1233532395684</v>
      </c>
      <c r="N322" s="301">
        <f t="shared" ca="1" si="25"/>
        <v>2453.392651786146</v>
      </c>
      <c r="O322" s="288"/>
      <c r="P322" s="285"/>
      <c r="Q322" s="285"/>
      <c r="R322" s="285"/>
      <c r="S322" s="285"/>
      <c r="T322" s="285"/>
      <c r="U322" s="285"/>
      <c r="V322" s="285"/>
    </row>
    <row r="323" spans="1:22" ht="14.4" x14ac:dyDescent="0.3">
      <c r="A323" s="285"/>
      <c r="B323" s="285"/>
      <c r="C323" s="285"/>
      <c r="D323" s="286"/>
      <c r="E323" s="285"/>
      <c r="F323" s="285"/>
      <c r="G323" s="396"/>
      <c r="H323" s="287"/>
      <c r="I323" s="285"/>
      <c r="J323" s="294">
        <v>200</v>
      </c>
      <c r="K323" s="294">
        <f t="shared" ca="1" si="24"/>
        <v>143.52456220999832</v>
      </c>
      <c r="L323" s="294">
        <f t="shared" ca="1" si="24"/>
        <v>1281.5172870625838</v>
      </c>
      <c r="M323" s="301">
        <f t="shared" ca="1" si="25"/>
        <v>5055.1399805401006</v>
      </c>
      <c r="N323" s="301">
        <f t="shared" ca="1" si="25"/>
        <v>9415.8399762368335</v>
      </c>
      <c r="O323" s="288"/>
      <c r="P323" s="285"/>
      <c r="Q323" s="285"/>
      <c r="R323" s="285"/>
      <c r="S323" s="285"/>
      <c r="T323" s="285"/>
      <c r="U323" s="285"/>
      <c r="V323" s="285"/>
    </row>
    <row r="324" spans="1:22" ht="14.4" x14ac:dyDescent="0.3">
      <c r="A324" s="285"/>
      <c r="B324" s="285"/>
      <c r="C324" s="285"/>
      <c r="D324" s="286"/>
      <c r="E324" s="285"/>
      <c r="F324" s="285"/>
      <c r="G324" s="396"/>
      <c r="H324" s="287"/>
      <c r="I324" s="285"/>
      <c r="J324" s="294">
        <v>250</v>
      </c>
      <c r="K324" s="294">
        <f t="shared" ca="1" si="24"/>
        <v>541.93025963287619</v>
      </c>
      <c r="L324" s="294">
        <f t="shared" ca="1" si="24"/>
        <v>4808.5337301435829</v>
      </c>
      <c r="M324" s="301">
        <f t="shared" ca="1" si="25"/>
        <v>18758.851868535981</v>
      </c>
      <c r="N324" s="301">
        <f t="shared" ca="1" si="25"/>
        <v>34064.035831420515</v>
      </c>
      <c r="O324" s="288"/>
      <c r="P324" s="285"/>
      <c r="Q324" s="285"/>
      <c r="R324" s="285"/>
      <c r="S324" s="285"/>
      <c r="T324" s="285"/>
      <c r="U324" s="285"/>
      <c r="V324" s="285"/>
    </row>
    <row r="325" spans="1:22" ht="14.4" x14ac:dyDescent="0.3">
      <c r="A325" s="285"/>
      <c r="B325" s="285"/>
      <c r="C325" s="285"/>
      <c r="D325" s="286"/>
      <c r="E325" s="285"/>
      <c r="F325" s="285"/>
      <c r="G325" s="396"/>
      <c r="H325" s="287"/>
      <c r="I325" s="285"/>
      <c r="J325" s="294">
        <v>315</v>
      </c>
      <c r="K325" s="294">
        <f t="shared" ca="1" si="24"/>
        <v>1957.232177187215</v>
      </c>
      <c r="L325" s="294">
        <f t="shared" ca="1" si="24"/>
        <v>17203.261224398091</v>
      </c>
      <c r="M325" s="301">
        <f t="shared" ca="1" si="25"/>
        <v>66025.03956230724</v>
      </c>
      <c r="N325" s="301">
        <f t="shared" ca="1" si="25"/>
        <v>116203.71611424004</v>
      </c>
      <c r="O325" s="288"/>
      <c r="P325" s="285"/>
      <c r="Q325" s="285"/>
      <c r="R325" s="285"/>
      <c r="S325" s="285"/>
      <c r="T325" s="285"/>
      <c r="U325" s="285"/>
      <c r="V325" s="285"/>
    </row>
    <row r="326" spans="1:22" ht="14.4" x14ac:dyDescent="0.3">
      <c r="A326" s="285"/>
      <c r="B326" s="285"/>
      <c r="C326" s="285"/>
      <c r="D326" s="286"/>
      <c r="E326" s="285"/>
      <c r="F326" s="285"/>
      <c r="G326" s="396"/>
      <c r="H326" s="287"/>
      <c r="I326" s="285"/>
      <c r="J326" s="294">
        <v>400</v>
      </c>
      <c r="K326" s="294">
        <f t="shared" ca="1" si="24"/>
        <v>6904.2088782836518</v>
      </c>
      <c r="L326" s="294">
        <f t="shared" ca="1" si="24"/>
        <v>59827.112500286625</v>
      </c>
      <c r="M326" s="301">
        <f t="shared" ca="1" si="25"/>
        <v>224181.06958766098</v>
      </c>
      <c r="N326" s="301">
        <f t="shared" ca="1" si="25"/>
        <v>380041.05765172688</v>
      </c>
      <c r="O326" s="288"/>
      <c r="P326" s="285"/>
      <c r="Q326" s="285"/>
      <c r="R326" s="285"/>
      <c r="S326" s="285"/>
      <c r="T326" s="285"/>
      <c r="U326" s="285"/>
      <c r="V326" s="285"/>
    </row>
    <row r="327" spans="1:22" ht="14.4" x14ac:dyDescent="0.3">
      <c r="A327" s="285"/>
      <c r="B327" s="285"/>
      <c r="C327" s="285"/>
      <c r="D327" s="286"/>
      <c r="E327" s="285"/>
      <c r="F327" s="285"/>
      <c r="G327" s="396"/>
      <c r="H327" s="287"/>
      <c r="I327" s="285"/>
      <c r="J327" s="294">
        <v>500</v>
      </c>
      <c r="K327" s="294">
        <f t="shared" ca="1" si="24"/>
        <v>21863.667826814359</v>
      </c>
      <c r="L327" s="294">
        <f t="shared" ca="1" si="24"/>
        <v>185878.11828699478</v>
      </c>
      <c r="M327" s="301">
        <f t="shared" ca="1" si="25"/>
        <v>675375.4801134062</v>
      </c>
      <c r="N327" s="301">
        <f t="shared" ca="1" si="25"/>
        <v>1100407.2888271802</v>
      </c>
      <c r="O327" s="288"/>
      <c r="P327" s="285"/>
      <c r="Q327" s="285"/>
      <c r="R327" s="285"/>
      <c r="S327" s="285"/>
      <c r="T327" s="285"/>
      <c r="U327" s="285"/>
      <c r="V327" s="285"/>
    </row>
    <row r="328" spans="1:22" ht="14.4" x14ac:dyDescent="0.3">
      <c r="A328" s="285"/>
      <c r="B328" s="285"/>
      <c r="C328" s="285"/>
      <c r="D328" s="286"/>
      <c r="E328" s="285"/>
      <c r="F328" s="285"/>
      <c r="G328" s="396"/>
      <c r="H328" s="287"/>
      <c r="I328" s="285"/>
      <c r="J328" s="294">
        <v>630</v>
      </c>
      <c r="K328" s="294">
        <f t="shared" ca="1" si="24"/>
        <v>65922.172365782244</v>
      </c>
      <c r="L328" s="294">
        <f t="shared" ca="1" si="24"/>
        <v>545108.24801444961</v>
      </c>
      <c r="M328" s="301">
        <f t="shared" ca="1" si="25"/>
        <v>1898040.013865503</v>
      </c>
      <c r="N328" s="301">
        <f t="shared" ca="1" si="25"/>
        <v>2954364.6541315997</v>
      </c>
      <c r="O328" s="288"/>
      <c r="P328" s="285"/>
      <c r="Q328" s="285"/>
      <c r="R328" s="285"/>
      <c r="S328" s="285"/>
      <c r="T328" s="285"/>
      <c r="U328" s="285"/>
      <c r="V328" s="285"/>
    </row>
    <row r="329" spans="1:22" ht="14.4" x14ac:dyDescent="0.3">
      <c r="A329" s="285"/>
      <c r="B329" s="285"/>
      <c r="C329" s="285"/>
      <c r="D329" s="286"/>
      <c r="E329" s="285"/>
      <c r="F329" s="285"/>
      <c r="G329" s="396"/>
      <c r="H329" s="287"/>
      <c r="I329" s="285"/>
      <c r="J329" s="294">
        <v>800</v>
      </c>
      <c r="K329" s="294">
        <f t="shared" ca="1" si="24"/>
        <v>192865.62076601581</v>
      </c>
      <c r="L329" s="294">
        <f t="shared" ca="1" si="24"/>
        <v>1532291.9336091892</v>
      </c>
      <c r="M329" s="301">
        <f t="shared" ca="1" si="25"/>
        <v>5038770.534238182</v>
      </c>
      <c r="N329" s="301">
        <f t="shared" ca="1" si="25"/>
        <v>7446767.5123423124</v>
      </c>
      <c r="O329" s="288"/>
      <c r="P329" s="285"/>
      <c r="Q329" s="285"/>
      <c r="R329" s="285"/>
      <c r="S329" s="285"/>
      <c r="T329" s="285"/>
      <c r="U329" s="285"/>
      <c r="V329" s="285"/>
    </row>
    <row r="330" spans="1:22" ht="14.4" x14ac:dyDescent="0.3">
      <c r="A330" s="285"/>
      <c r="B330" s="285"/>
      <c r="C330" s="285"/>
      <c r="D330" s="286"/>
      <c r="E330" s="285"/>
      <c r="F330" s="285"/>
      <c r="G330" s="396"/>
      <c r="H330" s="287"/>
      <c r="I330" s="285"/>
      <c r="J330" s="294">
        <v>1000</v>
      </c>
      <c r="K330" s="294">
        <f t="shared" ca="1" si="24"/>
        <v>492201.13023715222</v>
      </c>
      <c r="L330" s="294">
        <f t="shared" ca="1" si="24"/>
        <v>3718416.9949484589</v>
      </c>
      <c r="M330" s="301">
        <f t="shared" ca="1" si="25"/>
        <v>11443737.564372173</v>
      </c>
      <c r="N330" s="301">
        <f t="shared" ca="1" si="25"/>
        <v>16056783.921116196</v>
      </c>
      <c r="O330" s="288"/>
      <c r="P330" s="285"/>
      <c r="Q330" s="285"/>
      <c r="R330" s="285"/>
      <c r="S330" s="285"/>
      <c r="T330" s="285"/>
      <c r="U330" s="285"/>
      <c r="V330" s="285"/>
    </row>
    <row r="331" spans="1:22" ht="14.4" x14ac:dyDescent="0.3">
      <c r="A331" s="285"/>
      <c r="B331" s="285"/>
      <c r="C331" s="285"/>
      <c r="D331" s="286"/>
      <c r="E331" s="285"/>
      <c r="F331" s="285"/>
      <c r="G331" s="396"/>
      <c r="H331" s="287"/>
      <c r="I331" s="285"/>
      <c r="J331" s="294">
        <v>1250</v>
      </c>
      <c r="K331" s="294">
        <f t="shared" ca="1" si="24"/>
        <v>1179323.4832242634</v>
      </c>
      <c r="L331" s="294">
        <f t="shared" ca="1" si="24"/>
        <v>8347598.8516094014</v>
      </c>
      <c r="M331" s="301">
        <f t="shared" ca="1" si="25"/>
        <v>23756985.039457139</v>
      </c>
      <c r="N331" s="301">
        <f t="shared" ca="1" si="25"/>
        <v>31563843.232582461</v>
      </c>
      <c r="O331" s="288"/>
      <c r="P331" s="285"/>
      <c r="Q331" s="285"/>
      <c r="R331" s="285"/>
      <c r="S331" s="285"/>
      <c r="T331" s="285"/>
      <c r="U331" s="285"/>
      <c r="V331" s="285"/>
    </row>
    <row r="332" spans="1:22" ht="14.4" x14ac:dyDescent="0.3">
      <c r="A332" s="285"/>
      <c r="B332" s="285"/>
      <c r="C332" s="285"/>
      <c r="D332" s="286"/>
      <c r="E332" s="285"/>
      <c r="F332" s="285"/>
      <c r="G332" s="396"/>
      <c r="H332" s="287"/>
      <c r="I332" s="285"/>
      <c r="J332" s="294">
        <v>1600</v>
      </c>
      <c r="K332" s="294">
        <f t="shared" ca="1" si="24"/>
        <v>2843777.4067245559</v>
      </c>
      <c r="L332" s="294">
        <f t="shared" ca="1" si="24"/>
        <v>18382644.973281439</v>
      </c>
      <c r="M332" s="301">
        <f t="shared" ca="1" si="25"/>
        <v>47373130.96696797</v>
      </c>
      <c r="N332" s="301">
        <f t="shared" ca="1" si="25"/>
        <v>59066872.331001639</v>
      </c>
      <c r="O332" s="288"/>
      <c r="P332" s="285"/>
      <c r="Q332" s="285"/>
      <c r="R332" s="285"/>
      <c r="S332" s="285"/>
      <c r="T332" s="285"/>
      <c r="U332" s="285"/>
      <c r="V332" s="285"/>
    </row>
    <row r="333" spans="1:22" ht="14.4" x14ac:dyDescent="0.3">
      <c r="A333" s="285"/>
      <c r="B333" s="285"/>
      <c r="C333" s="285"/>
      <c r="D333" s="286"/>
      <c r="E333" s="285"/>
      <c r="F333" s="285"/>
      <c r="G333" s="396"/>
      <c r="H333" s="287"/>
      <c r="I333" s="285"/>
      <c r="J333" s="294">
        <v>2000</v>
      </c>
      <c r="K333" s="294">
        <f t="shared" ca="1" si="24"/>
        <v>5894715.5925752558</v>
      </c>
      <c r="L333" s="294">
        <f t="shared" ca="1" si="24"/>
        <v>34516921.893599607</v>
      </c>
      <c r="M333" s="301">
        <f t="shared" ca="1" si="25"/>
        <v>80430567.606382772</v>
      </c>
      <c r="N333" s="301">
        <f t="shared" ca="1" si="25"/>
        <v>94239764.529221043</v>
      </c>
      <c r="O333" s="288"/>
      <c r="P333" s="285"/>
      <c r="Q333" s="285"/>
      <c r="R333" s="285"/>
      <c r="S333" s="285"/>
      <c r="T333" s="285"/>
      <c r="U333" s="285"/>
      <c r="V333" s="285"/>
    </row>
    <row r="334" spans="1:22" ht="14.4" x14ac:dyDescent="0.3">
      <c r="A334" s="285"/>
      <c r="B334" s="285"/>
      <c r="C334" s="285"/>
      <c r="D334" s="286"/>
      <c r="E334" s="285"/>
      <c r="F334" s="285"/>
      <c r="G334" s="396"/>
      <c r="H334" s="287"/>
      <c r="I334" s="285"/>
      <c r="J334" s="294">
        <v>2500</v>
      </c>
      <c r="K334" s="294">
        <f t="shared" ca="1" si="24"/>
        <v>11537419.316251168</v>
      </c>
      <c r="L334" s="294">
        <f t="shared" ca="1" si="24"/>
        <v>60294050.054356329</v>
      </c>
      <c r="M334" s="301">
        <f t="shared" ca="1" si="25"/>
        <v>125501785.69457224</v>
      </c>
      <c r="N334" s="301">
        <f t="shared" ca="1" si="25"/>
        <v>137134811.935655</v>
      </c>
      <c r="O334" s="288"/>
      <c r="P334" s="285"/>
      <c r="Q334" s="285"/>
      <c r="R334" s="285"/>
      <c r="S334" s="285"/>
      <c r="T334" s="285"/>
      <c r="U334" s="285"/>
      <c r="V334" s="285"/>
    </row>
    <row r="335" spans="1:22" ht="14.4" x14ac:dyDescent="0.3">
      <c r="A335" s="285"/>
      <c r="B335" s="285"/>
      <c r="C335" s="285"/>
      <c r="D335" s="286"/>
      <c r="E335" s="285"/>
      <c r="F335" s="285"/>
      <c r="G335" s="396"/>
      <c r="H335" s="287"/>
      <c r="I335" s="285"/>
      <c r="J335" s="294">
        <v>3150</v>
      </c>
      <c r="K335" s="294">
        <f t="shared" ca="1" si="24"/>
        <v>15265841.45503963</v>
      </c>
      <c r="L335" s="294">
        <f t="shared" ca="1" si="24"/>
        <v>69869464.935580805</v>
      </c>
      <c r="M335" s="301">
        <f t="shared" ca="1" si="25"/>
        <v>127171038.04475485</v>
      </c>
      <c r="N335" s="301">
        <f t="shared" ca="1" si="25"/>
        <v>127941914.21264893</v>
      </c>
      <c r="O335" s="288"/>
      <c r="P335" s="285"/>
      <c r="Q335" s="285"/>
      <c r="R335" s="285"/>
      <c r="S335" s="285"/>
      <c r="T335" s="285"/>
      <c r="U335" s="285"/>
      <c r="V335" s="285"/>
    </row>
    <row r="336" spans="1:22" ht="14.4" x14ac:dyDescent="0.3">
      <c r="A336" s="285"/>
      <c r="B336" s="285"/>
      <c r="C336" s="285"/>
      <c r="D336" s="286"/>
      <c r="E336" s="285"/>
      <c r="F336" s="285"/>
      <c r="G336" s="396"/>
      <c r="H336" s="291"/>
      <c r="I336" s="285"/>
      <c r="J336" s="294">
        <v>4000</v>
      </c>
      <c r="K336" s="294">
        <f t="shared" ca="1" si="24"/>
        <v>11494846.673335187</v>
      </c>
      <c r="L336" s="294">
        <f t="shared" ca="1" si="24"/>
        <v>45080174.489520252</v>
      </c>
      <c r="M336" s="301">
        <f t="shared" ca="1" si="25"/>
        <v>69769790.987466857</v>
      </c>
      <c r="N336" s="301">
        <f t="shared" ca="1" si="25"/>
        <v>63900010.574624151</v>
      </c>
      <c r="O336" s="288"/>
      <c r="P336" s="285"/>
      <c r="Q336" s="285"/>
      <c r="R336" s="285"/>
      <c r="S336" s="285"/>
      <c r="T336" s="285"/>
      <c r="U336" s="285"/>
      <c r="V336" s="285"/>
    </row>
    <row r="337" spans="1:22" ht="14.4" x14ac:dyDescent="0.3">
      <c r="A337" s="285"/>
      <c r="B337" s="285"/>
      <c r="C337" s="285"/>
      <c r="D337" s="286"/>
      <c r="E337" s="285"/>
      <c r="F337" s="285"/>
      <c r="G337" s="396"/>
      <c r="H337" s="287"/>
      <c r="I337" s="285"/>
      <c r="J337" s="294">
        <v>5000</v>
      </c>
      <c r="K337" s="294">
        <f t="shared" ca="1" si="24"/>
        <v>7782954.9225429902</v>
      </c>
      <c r="L337" s="294">
        <f t="shared" ca="1" si="24"/>
        <v>25881880.262978159</v>
      </c>
      <c r="M337" s="301">
        <f t="shared" ca="1" si="25"/>
        <v>33733586.324340813</v>
      </c>
      <c r="N337" s="301">
        <f t="shared" ca="1" si="25"/>
        <v>28310692.31388744</v>
      </c>
      <c r="O337" s="288"/>
      <c r="P337" s="285"/>
      <c r="Q337" s="285"/>
      <c r="R337" s="285"/>
      <c r="S337" s="285"/>
      <c r="T337" s="285"/>
      <c r="U337" s="285"/>
      <c r="V337" s="285"/>
    </row>
    <row r="338" spans="1:22" ht="14.4" x14ac:dyDescent="0.3">
      <c r="A338" s="285"/>
      <c r="B338" s="285"/>
      <c r="C338" s="285"/>
      <c r="D338" s="286"/>
      <c r="E338" s="285"/>
      <c r="F338" s="285"/>
      <c r="G338" s="396"/>
      <c r="H338" s="287"/>
      <c r="I338" s="285"/>
      <c r="J338" s="294">
        <v>6300</v>
      </c>
      <c r="K338" s="294">
        <f t="shared" ca="1" si="24"/>
        <v>4803593.0025801584</v>
      </c>
      <c r="L338" s="294">
        <f t="shared" ca="1" si="24"/>
        <v>13107720.548560794</v>
      </c>
      <c r="M338" s="301">
        <f t="shared" ca="1" si="25"/>
        <v>14176117.59562517</v>
      </c>
      <c r="N338" s="301">
        <f t="shared" ca="1" si="25"/>
        <v>10988411.040733607</v>
      </c>
      <c r="O338" s="288"/>
      <c r="P338" s="285"/>
      <c r="Q338" s="285"/>
      <c r="R338" s="285"/>
      <c r="S338" s="285"/>
      <c r="T338" s="285"/>
      <c r="U338" s="285"/>
      <c r="V338" s="285"/>
    </row>
    <row r="339" spans="1:22" ht="14.4" x14ac:dyDescent="0.3">
      <c r="A339" s="285"/>
      <c r="B339" s="285"/>
      <c r="C339" s="285"/>
      <c r="D339" s="286"/>
      <c r="E339" s="285"/>
      <c r="F339" s="285"/>
      <c r="G339" s="396"/>
      <c r="H339" s="291"/>
      <c r="I339" s="285"/>
      <c r="J339" s="294">
        <v>8000</v>
      </c>
      <c r="K339" s="294">
        <f t="shared" ca="1" si="24"/>
        <v>2485231.7419915488</v>
      </c>
      <c r="L339" s="294">
        <f t="shared" ca="1" si="24"/>
        <v>5367534.7889949596</v>
      </c>
      <c r="M339" s="301">
        <f t="shared" ca="1" si="25"/>
        <v>4846920.5918953577</v>
      </c>
      <c r="N339" s="301">
        <f t="shared" ca="1" si="25"/>
        <v>3527195.5014412291</v>
      </c>
      <c r="O339" s="288"/>
      <c r="P339" s="285"/>
      <c r="Q339" s="285"/>
      <c r="R339" s="285"/>
      <c r="S339" s="285"/>
      <c r="T339" s="285"/>
      <c r="U339" s="285"/>
      <c r="V339" s="285"/>
    </row>
    <row r="340" spans="1:22" ht="14.4" x14ac:dyDescent="0.3">
      <c r="A340" s="285"/>
      <c r="B340" s="285"/>
      <c r="C340" s="285"/>
      <c r="D340" s="286"/>
      <c r="E340" s="285"/>
      <c r="F340" s="285"/>
      <c r="G340" s="396"/>
      <c r="H340" s="287"/>
      <c r="I340" s="285"/>
      <c r="J340" s="294">
        <v>10000</v>
      </c>
      <c r="K340" s="294">
        <f t="shared" ca="1" si="24"/>
        <v>1116160.3592234198</v>
      </c>
      <c r="L340" s="294">
        <f t="shared" ca="1" si="24"/>
        <v>1907268.5618869015</v>
      </c>
      <c r="M340" s="301">
        <f t="shared" ca="1" si="25"/>
        <v>1498531.4084971114</v>
      </c>
      <c r="N340" s="301">
        <f t="shared" ca="1" si="25"/>
        <v>1046751.8632866361</v>
      </c>
      <c r="O340" s="288"/>
      <c r="P340" s="285"/>
      <c r="Q340" s="285"/>
      <c r="R340" s="285"/>
      <c r="S340" s="285"/>
      <c r="T340" s="285"/>
      <c r="U340" s="285"/>
      <c r="V340" s="285"/>
    </row>
    <row r="341" spans="1:22" ht="14.55" customHeight="1" x14ac:dyDescent="0.3">
      <c r="A341" s="285"/>
      <c r="B341" s="285"/>
      <c r="C341" s="285"/>
      <c r="D341" s="286"/>
      <c r="E341" s="285"/>
      <c r="F341" s="285"/>
      <c r="G341" s="396"/>
      <c r="H341" s="287"/>
      <c r="I341" s="285"/>
      <c r="J341" s="294">
        <v>12500</v>
      </c>
      <c r="K341" s="294">
        <f t="shared" ca="1" si="24"/>
        <v>383538.92869319831</v>
      </c>
      <c r="L341" s="294">
        <f t="shared" ca="1" si="24"/>
        <v>521812.53899194015</v>
      </c>
      <c r="M341" s="301">
        <f t="shared" ca="1" si="25"/>
        <v>369591.15619716648</v>
      </c>
      <c r="N341" s="301">
        <f t="shared" ca="1" si="25"/>
        <v>251333.29871368047</v>
      </c>
      <c r="O341" s="288"/>
      <c r="P341" s="285"/>
      <c r="Q341" s="285"/>
      <c r="R341" s="285"/>
      <c r="S341" s="285"/>
      <c r="T341" s="285"/>
      <c r="U341" s="285"/>
      <c r="V341" s="285"/>
    </row>
    <row r="342" spans="1:22" ht="14.4" x14ac:dyDescent="0.3">
      <c r="A342" s="285"/>
      <c r="B342" s="285"/>
      <c r="C342" s="285"/>
      <c r="D342" s="286"/>
      <c r="E342" s="285"/>
      <c r="F342" s="285"/>
      <c r="G342" s="396"/>
      <c r="H342" s="287"/>
      <c r="I342" s="285"/>
      <c r="J342" s="294">
        <v>16000</v>
      </c>
      <c r="K342" s="294">
        <f t="shared" ca="1" si="24"/>
        <v>96164.897486471673</v>
      </c>
      <c r="L342" s="294">
        <f t="shared" ca="1" si="24"/>
        <v>105256.68273441739</v>
      </c>
      <c r="M342" s="301">
        <f t="shared" ca="1" si="25"/>
        <v>69029.567911633872</v>
      </c>
      <c r="N342" s="301">
        <f t="shared" ca="1" si="25"/>
        <v>46098.447160811447</v>
      </c>
      <c r="O342" s="288"/>
      <c r="P342" s="285"/>
      <c r="Q342" s="285"/>
      <c r="R342" s="285"/>
      <c r="S342" s="285"/>
      <c r="T342" s="285"/>
      <c r="U342" s="285"/>
      <c r="V342" s="285"/>
    </row>
    <row r="343" spans="1:22" ht="14.55" customHeight="1" x14ac:dyDescent="0.3">
      <c r="A343" s="285"/>
      <c r="B343" s="285"/>
      <c r="C343" s="285"/>
      <c r="D343" s="286"/>
      <c r="E343" s="285"/>
      <c r="F343" s="285"/>
      <c r="G343" s="396"/>
      <c r="H343" s="287"/>
      <c r="I343" s="285"/>
      <c r="J343" s="294">
        <v>20000</v>
      </c>
      <c r="K343" s="294">
        <f t="shared" ca="1" si="24"/>
        <v>21776.675978203097</v>
      </c>
      <c r="L343" s="294">
        <f t="shared" ca="1" si="24"/>
        <v>20498.567051482227</v>
      </c>
      <c r="M343" s="301">
        <f t="shared" ca="1" si="25"/>
        <v>12869.752421993853</v>
      </c>
      <c r="N343" s="301">
        <f t="shared" ca="1" si="25"/>
        <v>8511.5966542388724</v>
      </c>
      <c r="O343" s="288"/>
      <c r="P343" s="285"/>
      <c r="Q343" s="285"/>
      <c r="R343" s="285"/>
      <c r="S343" s="285"/>
      <c r="T343" s="285"/>
      <c r="U343" s="285"/>
      <c r="V343" s="285"/>
    </row>
    <row r="344" spans="1:22" ht="64.5" customHeight="1" x14ac:dyDescent="0.35">
      <c r="A344" s="285"/>
      <c r="B344" s="285"/>
      <c r="C344" s="285"/>
      <c r="D344" s="286"/>
      <c r="E344" s="285"/>
      <c r="F344" s="285"/>
      <c r="G344" s="396"/>
      <c r="H344" s="300" t="s">
        <v>341</v>
      </c>
      <c r="I344" s="299">
        <v>25</v>
      </c>
      <c r="J344" s="294" t="s">
        <v>340</v>
      </c>
      <c r="K344" s="298">
        <f ca="1">10*LOG10(SUM(K311:K343))</f>
        <v>78.174846529155587</v>
      </c>
      <c r="L344" s="298">
        <f ca="1">10*LOG10(SUM(L311:L343))</f>
        <v>84.616006493624752</v>
      </c>
      <c r="M344" s="298">
        <f ca="1">10*LOG10(SUM(M311:M343))</f>
        <v>87.3884517964417</v>
      </c>
      <c r="N344" s="298">
        <f ca="1">10*LOG10(SUM(N311:N343))</f>
        <v>87.679920433897479</v>
      </c>
      <c r="O344" s="288"/>
      <c r="P344" s="285"/>
      <c r="Q344" s="285"/>
      <c r="R344" s="285"/>
      <c r="S344" s="285"/>
      <c r="T344" s="285"/>
      <c r="U344" s="285"/>
      <c r="V344" s="285"/>
    </row>
    <row r="345" spans="1:22" ht="14.4" x14ac:dyDescent="0.3">
      <c r="A345" s="285"/>
      <c r="B345" s="285"/>
      <c r="C345" s="285"/>
      <c r="D345" s="286"/>
      <c r="E345" s="285"/>
      <c r="F345" s="285"/>
      <c r="G345" s="389"/>
      <c r="H345" s="291"/>
      <c r="J345" s="294"/>
      <c r="K345" s="297"/>
      <c r="L345" s="296"/>
      <c r="M345" s="292"/>
      <c r="N345" s="292"/>
      <c r="O345" s="285"/>
      <c r="P345" s="285"/>
      <c r="Q345" s="285"/>
      <c r="R345" s="285"/>
      <c r="S345" s="285"/>
      <c r="T345" s="285"/>
      <c r="U345" s="285"/>
      <c r="V345" s="285"/>
    </row>
    <row r="346" spans="1:22" ht="14.4" x14ac:dyDescent="0.3">
      <c r="A346" s="285"/>
      <c r="B346" s="285"/>
      <c r="C346" s="285"/>
      <c r="D346" s="286"/>
      <c r="E346" s="285"/>
      <c r="F346" s="285"/>
      <c r="G346" s="389"/>
      <c r="H346" s="295"/>
      <c r="J346" s="294"/>
      <c r="K346" s="293"/>
      <c r="L346" s="292"/>
      <c r="M346" s="292"/>
      <c r="N346" s="292"/>
      <c r="O346" s="285"/>
      <c r="P346" s="285"/>
      <c r="Q346" s="285"/>
      <c r="R346" s="285"/>
      <c r="S346" s="285"/>
      <c r="T346" s="285"/>
      <c r="U346" s="285"/>
      <c r="V346" s="285"/>
    </row>
    <row r="347" spans="1:22" ht="14.4" x14ac:dyDescent="0.3">
      <c r="A347" s="285"/>
      <c r="B347" s="285"/>
      <c r="C347" s="285"/>
      <c r="D347" s="286"/>
      <c r="E347" s="285"/>
      <c r="F347" s="285"/>
      <c r="G347" s="389"/>
      <c r="H347" s="295"/>
      <c r="J347" s="294"/>
      <c r="K347" s="293"/>
      <c r="L347" s="292"/>
      <c r="M347" s="292"/>
      <c r="N347" s="292"/>
      <c r="O347" s="285"/>
      <c r="P347" s="285"/>
      <c r="Q347" s="285"/>
      <c r="R347" s="285"/>
      <c r="S347" s="285"/>
      <c r="T347" s="285"/>
      <c r="U347" s="285"/>
      <c r="V347" s="285"/>
    </row>
    <row r="348" spans="1:22" ht="14.4" x14ac:dyDescent="0.3">
      <c r="A348" s="285"/>
      <c r="B348" s="285"/>
      <c r="C348" s="285"/>
      <c r="D348" s="286"/>
      <c r="E348" s="285"/>
      <c r="F348" s="285"/>
      <c r="G348" s="389"/>
      <c r="H348" s="291"/>
      <c r="J348" s="294"/>
      <c r="K348" s="293"/>
      <c r="L348" s="292"/>
      <c r="M348" s="292"/>
      <c r="N348" s="292"/>
      <c r="O348" s="285"/>
      <c r="P348" s="285"/>
      <c r="Q348" s="285"/>
      <c r="R348" s="285"/>
      <c r="S348" s="285"/>
      <c r="T348" s="285"/>
      <c r="U348" s="285"/>
      <c r="V348" s="285"/>
    </row>
    <row r="349" spans="1:22" ht="14.4" x14ac:dyDescent="0.3">
      <c r="A349" s="285"/>
      <c r="B349" s="285"/>
      <c r="C349" s="285"/>
      <c r="D349" s="286"/>
      <c r="E349" s="285"/>
      <c r="F349" s="285"/>
      <c r="G349" s="389"/>
      <c r="H349" s="291"/>
      <c r="J349" s="294"/>
      <c r="K349" s="293"/>
      <c r="L349" s="292"/>
      <c r="M349" s="292"/>
      <c r="N349" s="292"/>
      <c r="O349" s="285"/>
      <c r="P349" s="285"/>
      <c r="Q349" s="285"/>
      <c r="R349" s="285"/>
      <c r="S349" s="285"/>
      <c r="T349" s="285"/>
      <c r="U349" s="285"/>
      <c r="V349" s="285"/>
    </row>
    <row r="350" spans="1:22" ht="14.4" x14ac:dyDescent="0.3">
      <c r="A350" s="285"/>
      <c r="B350" s="285"/>
      <c r="C350" s="285"/>
      <c r="D350" s="286"/>
      <c r="E350" s="285"/>
      <c r="F350" s="285"/>
      <c r="G350" s="389"/>
      <c r="H350" s="291"/>
      <c r="J350" s="294"/>
      <c r="K350" s="293"/>
      <c r="L350" s="292"/>
      <c r="M350" s="292"/>
      <c r="N350" s="292"/>
      <c r="O350" s="285"/>
      <c r="P350" s="285"/>
      <c r="Q350" s="285"/>
      <c r="R350" s="285"/>
      <c r="S350" s="285"/>
      <c r="T350" s="285"/>
      <c r="U350" s="285"/>
      <c r="V350" s="285"/>
    </row>
    <row r="351" spans="1:22" ht="14.4" x14ac:dyDescent="0.3">
      <c r="A351" s="285"/>
      <c r="B351" s="285"/>
      <c r="C351" s="285"/>
      <c r="D351" s="286"/>
      <c r="E351" s="285"/>
      <c r="F351" s="285"/>
      <c r="G351" s="389"/>
      <c r="H351" s="291"/>
      <c r="J351" s="294"/>
      <c r="K351" s="293"/>
      <c r="L351" s="292"/>
      <c r="M351" s="292"/>
      <c r="N351" s="292"/>
      <c r="O351" s="285"/>
      <c r="P351" s="285"/>
      <c r="Q351" s="285"/>
      <c r="R351" s="285"/>
      <c r="S351" s="285"/>
      <c r="T351" s="285"/>
      <c r="U351" s="285"/>
      <c r="V351" s="285"/>
    </row>
    <row r="352" spans="1:22" ht="14.4" x14ac:dyDescent="0.3">
      <c r="A352" s="285"/>
      <c r="B352" s="285"/>
      <c r="C352" s="285"/>
      <c r="D352" s="286"/>
      <c r="E352" s="285"/>
      <c r="F352" s="285"/>
      <c r="G352" s="389"/>
      <c r="H352" s="291"/>
      <c r="K352" s="293"/>
      <c r="L352" s="292"/>
      <c r="M352" s="292"/>
      <c r="N352" s="292"/>
      <c r="O352" s="285"/>
      <c r="P352" s="285"/>
      <c r="Q352" s="285"/>
      <c r="R352" s="285"/>
      <c r="S352" s="285"/>
      <c r="T352" s="285"/>
      <c r="U352" s="285"/>
      <c r="V352" s="285"/>
    </row>
    <row r="353" spans="1:22" ht="14.4" x14ac:dyDescent="0.3">
      <c r="A353" s="285"/>
      <c r="B353" s="285"/>
      <c r="C353" s="285"/>
      <c r="D353" s="286"/>
      <c r="E353" s="285"/>
      <c r="F353" s="285"/>
      <c r="G353" s="389"/>
      <c r="H353" s="291"/>
      <c r="K353" s="293"/>
      <c r="L353" s="292"/>
      <c r="M353" s="292"/>
      <c r="N353" s="292"/>
      <c r="O353" s="285"/>
      <c r="P353" s="285"/>
      <c r="Q353" s="285"/>
      <c r="R353" s="285"/>
      <c r="S353" s="285"/>
      <c r="T353" s="285"/>
      <c r="U353" s="285"/>
      <c r="V353" s="285"/>
    </row>
    <row r="354" spans="1:22" ht="14.4" x14ac:dyDescent="0.3">
      <c r="A354" s="285"/>
      <c r="B354" s="285"/>
      <c r="C354" s="285"/>
      <c r="D354" s="286"/>
      <c r="E354" s="285"/>
      <c r="F354" s="285"/>
      <c r="G354" s="389"/>
      <c r="H354" s="291"/>
      <c r="K354" s="293"/>
      <c r="L354" s="292"/>
      <c r="M354" s="292"/>
      <c r="N354" s="292"/>
      <c r="O354" s="285"/>
      <c r="P354" s="285"/>
      <c r="Q354" s="285"/>
      <c r="R354" s="285"/>
      <c r="S354" s="285"/>
      <c r="T354" s="285"/>
      <c r="U354" s="285"/>
      <c r="V354" s="285"/>
    </row>
    <row r="355" spans="1:22" ht="14.4" x14ac:dyDescent="0.3">
      <c r="A355" s="285"/>
      <c r="B355" s="285"/>
      <c r="C355" s="285"/>
      <c r="D355" s="286"/>
      <c r="E355" s="285"/>
      <c r="F355" s="285"/>
      <c r="G355" s="389"/>
      <c r="H355" s="291"/>
      <c r="K355" s="241"/>
      <c r="L355" s="292"/>
      <c r="M355" s="292"/>
      <c r="N355" s="292"/>
      <c r="O355" s="285"/>
      <c r="P355" s="285"/>
      <c r="Q355" s="285"/>
      <c r="R355" s="285"/>
      <c r="S355" s="285"/>
      <c r="T355" s="285"/>
      <c r="U355" s="285"/>
      <c r="V355" s="285"/>
    </row>
    <row r="356" spans="1:22" ht="14.4" x14ac:dyDescent="0.3">
      <c r="A356" s="285"/>
      <c r="B356" s="285"/>
      <c r="C356" s="285"/>
      <c r="D356" s="286"/>
      <c r="E356" s="285"/>
      <c r="F356" s="285"/>
      <c r="G356" s="389"/>
      <c r="H356" s="291"/>
      <c r="K356" s="241"/>
      <c r="L356" s="292"/>
      <c r="M356" s="292"/>
      <c r="N356" s="292"/>
      <c r="O356" s="285"/>
      <c r="P356" s="285"/>
      <c r="Q356" s="285"/>
      <c r="R356" s="285"/>
      <c r="S356" s="285"/>
      <c r="T356" s="285"/>
      <c r="U356" s="285"/>
      <c r="V356" s="285"/>
    </row>
    <row r="357" spans="1:22" ht="14.4" x14ac:dyDescent="0.3">
      <c r="A357" s="285"/>
      <c r="B357" s="285"/>
      <c r="C357" s="285"/>
      <c r="D357" s="286"/>
      <c r="E357" s="285"/>
      <c r="F357" s="285"/>
      <c r="G357" s="389"/>
      <c r="H357" s="291"/>
      <c r="K357" s="241"/>
      <c r="L357" s="292"/>
      <c r="M357" s="292"/>
      <c r="N357" s="292"/>
      <c r="O357" s="285"/>
      <c r="P357" s="285"/>
      <c r="Q357" s="285"/>
      <c r="R357" s="285"/>
      <c r="S357" s="285"/>
      <c r="T357" s="285"/>
      <c r="U357" s="285"/>
      <c r="V357" s="285"/>
    </row>
    <row r="358" spans="1:22" ht="14.4" x14ac:dyDescent="0.3">
      <c r="A358" s="285"/>
      <c r="B358" s="285"/>
      <c r="C358" s="285"/>
      <c r="D358" s="286"/>
      <c r="E358" s="285"/>
      <c r="F358" s="285"/>
      <c r="G358" s="389"/>
      <c r="H358" s="291"/>
      <c r="K358" s="241"/>
      <c r="L358" s="292"/>
      <c r="M358" s="292"/>
      <c r="N358" s="292"/>
      <c r="O358" s="285"/>
      <c r="P358" s="285"/>
      <c r="Q358" s="285"/>
      <c r="R358" s="285"/>
      <c r="S358" s="285"/>
      <c r="T358" s="285"/>
      <c r="U358" s="285"/>
      <c r="V358" s="285"/>
    </row>
    <row r="359" spans="1:22" ht="14.4" x14ac:dyDescent="0.3">
      <c r="A359" s="285"/>
      <c r="B359" s="285"/>
      <c r="C359" s="285"/>
      <c r="D359" s="286"/>
      <c r="E359" s="285"/>
      <c r="F359" s="285"/>
      <c r="G359" s="389"/>
      <c r="H359" s="291"/>
      <c r="K359" s="241"/>
      <c r="L359" s="292"/>
      <c r="M359" s="292"/>
      <c r="N359" s="292"/>
      <c r="O359" s="285"/>
      <c r="P359" s="285"/>
      <c r="Q359" s="285"/>
      <c r="R359" s="285"/>
      <c r="S359" s="285"/>
      <c r="T359" s="285"/>
      <c r="U359" s="285"/>
      <c r="V359" s="285"/>
    </row>
    <row r="360" spans="1:22" ht="14.4" x14ac:dyDescent="0.3">
      <c r="A360" s="285"/>
      <c r="B360" s="285"/>
      <c r="C360" s="285"/>
      <c r="D360" s="286"/>
      <c r="E360" s="285"/>
      <c r="F360" s="285"/>
      <c r="G360" s="389"/>
      <c r="H360" s="287"/>
      <c r="I360" s="285"/>
      <c r="K360" s="288"/>
      <c r="L360" s="285"/>
      <c r="M360" s="285"/>
      <c r="N360" s="285"/>
      <c r="O360" s="285"/>
      <c r="P360" s="285"/>
      <c r="Q360" s="285"/>
      <c r="R360" s="285"/>
      <c r="S360" s="285"/>
      <c r="T360" s="285"/>
      <c r="U360" s="285"/>
      <c r="V360" s="285"/>
    </row>
    <row r="361" spans="1:22" ht="14.4" x14ac:dyDescent="0.3">
      <c r="A361" s="285"/>
      <c r="B361" s="285"/>
      <c r="C361" s="285"/>
      <c r="D361" s="286"/>
      <c r="E361" s="285"/>
      <c r="F361" s="285"/>
      <c r="G361" s="389"/>
      <c r="H361" s="291"/>
      <c r="K361" s="241"/>
      <c r="L361" s="292"/>
      <c r="M361" s="292"/>
      <c r="N361" s="292"/>
      <c r="O361" s="285"/>
      <c r="P361" s="285"/>
      <c r="Q361" s="285"/>
      <c r="R361" s="285"/>
      <c r="S361" s="285"/>
      <c r="T361" s="285"/>
      <c r="U361" s="285"/>
      <c r="V361" s="285"/>
    </row>
    <row r="362" spans="1:22" ht="14.4" x14ac:dyDescent="0.3">
      <c r="A362" s="285"/>
      <c r="B362" s="285"/>
      <c r="C362" s="285"/>
      <c r="D362" s="286"/>
      <c r="E362" s="285"/>
      <c r="F362" s="285"/>
      <c r="G362" s="389"/>
      <c r="H362" s="291"/>
      <c r="K362" s="241"/>
      <c r="L362" s="292"/>
      <c r="M362" s="292"/>
      <c r="N362" s="292"/>
      <c r="O362" s="285"/>
      <c r="P362" s="285"/>
      <c r="Q362" s="285"/>
      <c r="R362" s="285"/>
      <c r="S362" s="285"/>
      <c r="T362" s="285"/>
      <c r="U362" s="285"/>
      <c r="V362" s="285"/>
    </row>
    <row r="363" spans="1:22" ht="14.4" x14ac:dyDescent="0.3">
      <c r="A363" s="285"/>
      <c r="B363" s="285"/>
      <c r="C363" s="285"/>
      <c r="D363" s="286"/>
      <c r="E363" s="285"/>
      <c r="F363" s="285"/>
      <c r="G363" s="389"/>
      <c r="H363" s="291"/>
      <c r="K363" s="241"/>
      <c r="L363" s="292"/>
      <c r="M363" s="292"/>
      <c r="N363" s="292"/>
      <c r="O363" s="285"/>
      <c r="P363" s="285"/>
      <c r="Q363" s="285"/>
      <c r="R363" s="285"/>
      <c r="S363" s="285"/>
      <c r="T363" s="285"/>
      <c r="U363" s="285"/>
      <c r="V363" s="285"/>
    </row>
    <row r="364" spans="1:22" ht="14.4" x14ac:dyDescent="0.3">
      <c r="A364" s="285"/>
      <c r="B364" s="285"/>
      <c r="C364" s="285"/>
      <c r="D364" s="286"/>
      <c r="E364" s="285"/>
      <c r="F364" s="285"/>
      <c r="G364" s="389"/>
      <c r="H364" s="291"/>
      <c r="K364" s="241"/>
      <c r="L364" s="292"/>
      <c r="M364" s="292"/>
      <c r="N364" s="292"/>
      <c r="O364" s="285"/>
      <c r="P364" s="285"/>
      <c r="Q364" s="285"/>
      <c r="R364" s="285"/>
      <c r="S364" s="285"/>
      <c r="T364" s="285"/>
      <c r="U364" s="285"/>
      <c r="V364" s="285"/>
    </row>
    <row r="365" spans="1:22" ht="14.4" x14ac:dyDescent="0.3">
      <c r="A365" s="285"/>
      <c r="B365" s="285"/>
      <c r="C365" s="285"/>
      <c r="D365" s="286"/>
      <c r="E365" s="285"/>
      <c r="F365" s="285"/>
      <c r="G365" s="389"/>
      <c r="H365" s="291"/>
      <c r="K365" s="241"/>
      <c r="L365" s="292"/>
      <c r="M365" s="292"/>
      <c r="N365" s="292"/>
      <c r="O365" s="285"/>
      <c r="P365" s="285"/>
      <c r="Q365" s="285"/>
      <c r="R365" s="285"/>
      <c r="S365" s="285"/>
      <c r="T365" s="285"/>
      <c r="U365" s="285"/>
      <c r="V365" s="285"/>
    </row>
    <row r="366" spans="1:22" ht="14.4" x14ac:dyDescent="0.3">
      <c r="A366" s="285"/>
      <c r="B366" s="285"/>
      <c r="C366" s="285"/>
      <c r="D366" s="286"/>
      <c r="E366" s="285"/>
      <c r="F366" s="285"/>
      <c r="G366" s="389"/>
      <c r="H366" s="291"/>
      <c r="K366" s="241"/>
      <c r="L366" s="292"/>
      <c r="M366" s="292"/>
      <c r="N366" s="292"/>
      <c r="O366" s="285"/>
      <c r="P366" s="285"/>
      <c r="Q366" s="285"/>
      <c r="R366" s="285"/>
      <c r="S366" s="285"/>
      <c r="T366" s="285"/>
      <c r="U366" s="285"/>
      <c r="V366" s="285"/>
    </row>
    <row r="367" spans="1:22" ht="14.4" x14ac:dyDescent="0.3">
      <c r="A367" s="285"/>
      <c r="B367" s="285"/>
      <c r="C367" s="285"/>
      <c r="D367" s="286"/>
      <c r="E367" s="285"/>
      <c r="F367" s="285"/>
      <c r="G367" s="389"/>
      <c r="H367" s="291"/>
      <c r="K367" s="241"/>
      <c r="L367" s="292"/>
      <c r="M367" s="292"/>
      <c r="N367" s="292"/>
      <c r="O367" s="285"/>
      <c r="P367" s="285"/>
      <c r="Q367" s="285"/>
      <c r="R367" s="285"/>
      <c r="S367" s="285"/>
      <c r="T367" s="285"/>
      <c r="U367" s="285"/>
      <c r="V367" s="285"/>
    </row>
    <row r="368" spans="1:22" ht="14.4" x14ac:dyDescent="0.3">
      <c r="A368" s="285"/>
      <c r="B368" s="285"/>
      <c r="C368" s="285"/>
      <c r="D368" s="286"/>
      <c r="E368" s="285"/>
      <c r="F368" s="285"/>
      <c r="G368" s="389"/>
      <c r="H368" s="291"/>
      <c r="K368" s="241"/>
      <c r="L368" s="292"/>
      <c r="M368" s="292"/>
      <c r="N368" s="292"/>
      <c r="O368" s="285"/>
      <c r="P368" s="285"/>
      <c r="Q368" s="285"/>
      <c r="R368" s="285"/>
      <c r="S368" s="285"/>
      <c r="T368" s="285"/>
      <c r="U368" s="285"/>
      <c r="V368" s="285"/>
    </row>
    <row r="369" spans="1:22" ht="14.4" x14ac:dyDescent="0.3">
      <c r="A369" s="285"/>
      <c r="B369" s="285"/>
      <c r="C369" s="285"/>
      <c r="D369" s="286"/>
      <c r="E369" s="285"/>
      <c r="F369" s="285"/>
      <c r="G369" s="389"/>
      <c r="H369" s="291"/>
      <c r="K369" s="241"/>
      <c r="L369" s="292"/>
      <c r="M369" s="292"/>
      <c r="N369" s="292"/>
      <c r="O369" s="285"/>
      <c r="P369" s="285"/>
      <c r="Q369" s="285"/>
      <c r="R369" s="285"/>
      <c r="S369" s="285"/>
      <c r="T369" s="285"/>
      <c r="U369" s="285"/>
      <c r="V369" s="285"/>
    </row>
    <row r="370" spans="1:22" ht="14.4" x14ac:dyDescent="0.3">
      <c r="A370" s="285"/>
      <c r="B370" s="285"/>
      <c r="C370" s="285"/>
      <c r="D370" s="286"/>
      <c r="E370" s="285"/>
      <c r="F370" s="285"/>
      <c r="G370" s="389"/>
      <c r="H370" s="291"/>
      <c r="K370" s="241"/>
      <c r="L370" s="292"/>
      <c r="M370" s="292"/>
      <c r="N370" s="292"/>
      <c r="O370" s="285"/>
      <c r="P370" s="285"/>
      <c r="Q370" s="285"/>
      <c r="R370" s="285"/>
      <c r="S370" s="285"/>
      <c r="T370" s="285"/>
      <c r="U370" s="285"/>
      <c r="V370" s="285"/>
    </row>
    <row r="371" spans="1:22" ht="14.4" x14ac:dyDescent="0.3">
      <c r="A371" s="285"/>
      <c r="B371" s="285"/>
      <c r="C371" s="285"/>
      <c r="D371" s="286"/>
      <c r="E371" s="285"/>
      <c r="F371" s="285"/>
      <c r="G371" s="389"/>
      <c r="H371" s="291"/>
      <c r="K371" s="241"/>
      <c r="L371" s="292"/>
      <c r="M371" s="292"/>
      <c r="N371" s="292"/>
      <c r="O371" s="285"/>
      <c r="P371" s="285"/>
      <c r="Q371" s="285"/>
      <c r="R371" s="285"/>
      <c r="S371" s="285"/>
      <c r="T371" s="285"/>
      <c r="U371" s="285"/>
      <c r="V371" s="285"/>
    </row>
    <row r="372" spans="1:22" ht="14.4" x14ac:dyDescent="0.3">
      <c r="A372" s="285"/>
      <c r="B372" s="285"/>
      <c r="C372" s="285"/>
      <c r="D372" s="286"/>
      <c r="E372" s="285"/>
      <c r="F372" s="285"/>
      <c r="G372" s="389"/>
      <c r="H372" s="291"/>
      <c r="K372" s="241"/>
      <c r="L372" s="292"/>
      <c r="M372" s="292"/>
      <c r="N372" s="292"/>
      <c r="O372" s="285"/>
      <c r="P372" s="285"/>
      <c r="Q372" s="285"/>
      <c r="R372" s="285"/>
      <c r="S372" s="285"/>
      <c r="T372" s="285"/>
      <c r="U372" s="285"/>
      <c r="V372" s="285"/>
    </row>
    <row r="373" spans="1:22" ht="14.4" x14ac:dyDescent="0.3">
      <c r="A373" s="285"/>
      <c r="B373" s="285"/>
      <c r="C373" s="285"/>
      <c r="D373" s="286"/>
      <c r="E373" s="285"/>
      <c r="F373" s="285"/>
      <c r="G373" s="389"/>
      <c r="H373" s="291"/>
      <c r="K373" s="241"/>
      <c r="L373" s="292"/>
      <c r="M373" s="292"/>
      <c r="N373" s="292"/>
      <c r="O373" s="285"/>
      <c r="P373" s="285"/>
      <c r="Q373" s="285"/>
      <c r="R373" s="285"/>
      <c r="S373" s="285"/>
      <c r="T373" s="285"/>
      <c r="U373" s="285"/>
      <c r="V373" s="285"/>
    </row>
    <row r="374" spans="1:22" ht="14.4" x14ac:dyDescent="0.3">
      <c r="A374" s="285"/>
      <c r="B374" s="285"/>
      <c r="C374" s="285"/>
      <c r="D374" s="286"/>
      <c r="E374" s="285"/>
      <c r="F374" s="285"/>
      <c r="G374" s="389"/>
      <c r="H374" s="291"/>
      <c r="K374" s="241"/>
      <c r="L374" s="292"/>
      <c r="M374" s="292"/>
      <c r="N374" s="292"/>
      <c r="O374" s="285"/>
      <c r="P374" s="285"/>
      <c r="Q374" s="285"/>
      <c r="R374" s="285"/>
      <c r="S374" s="285"/>
      <c r="T374" s="285"/>
      <c r="U374" s="285"/>
      <c r="V374" s="285"/>
    </row>
    <row r="375" spans="1:22" ht="14.4" x14ac:dyDescent="0.3">
      <c r="A375" s="285"/>
      <c r="B375" s="285"/>
      <c r="C375" s="285"/>
      <c r="D375" s="286"/>
      <c r="E375" s="285"/>
      <c r="F375" s="285"/>
      <c r="G375" s="389"/>
      <c r="H375" s="291"/>
      <c r="K375" s="241"/>
      <c r="L375" s="292"/>
      <c r="M375" s="292"/>
      <c r="N375" s="292"/>
      <c r="O375" s="285"/>
      <c r="P375" s="285"/>
      <c r="Q375" s="285"/>
      <c r="R375" s="285"/>
      <c r="S375" s="285"/>
      <c r="T375" s="285"/>
      <c r="U375" s="285"/>
      <c r="V375" s="285"/>
    </row>
    <row r="376" spans="1:22" ht="14.4" x14ac:dyDescent="0.3">
      <c r="A376" s="285"/>
      <c r="B376" s="285"/>
      <c r="C376" s="285"/>
      <c r="D376" s="286"/>
      <c r="E376" s="285"/>
      <c r="F376" s="285"/>
      <c r="G376" s="389"/>
      <c r="H376" s="291"/>
      <c r="K376" s="241"/>
      <c r="L376" s="292"/>
      <c r="M376" s="292"/>
      <c r="N376" s="292"/>
      <c r="O376" s="285"/>
      <c r="P376" s="285"/>
      <c r="Q376" s="285"/>
      <c r="R376" s="285"/>
      <c r="S376" s="285"/>
      <c r="T376" s="285"/>
      <c r="U376" s="285"/>
      <c r="V376" s="285"/>
    </row>
    <row r="377" spans="1:22" ht="14.4" x14ac:dyDescent="0.3">
      <c r="A377" s="285"/>
      <c r="B377" s="285"/>
      <c r="C377" s="285"/>
      <c r="D377" s="286"/>
      <c r="E377" s="285"/>
      <c r="F377" s="285"/>
      <c r="G377" s="389"/>
      <c r="H377" s="291"/>
      <c r="K377" s="241"/>
      <c r="L377" s="292"/>
      <c r="M377" s="292"/>
      <c r="N377" s="292"/>
      <c r="O377" s="285"/>
      <c r="P377" s="285"/>
      <c r="Q377" s="285"/>
      <c r="R377" s="285"/>
      <c r="S377" s="285"/>
      <c r="T377" s="285"/>
      <c r="U377" s="285"/>
      <c r="V377" s="285"/>
    </row>
    <row r="378" spans="1:22" ht="14.4" x14ac:dyDescent="0.3">
      <c r="A378" s="285"/>
      <c r="B378" s="285"/>
      <c r="C378" s="285"/>
      <c r="D378" s="286"/>
      <c r="E378" s="285"/>
      <c r="F378" s="285"/>
      <c r="G378" s="389"/>
      <c r="H378" s="291"/>
      <c r="K378" s="241"/>
      <c r="L378" s="292"/>
      <c r="M378" s="292"/>
      <c r="N378" s="292"/>
      <c r="O378" s="285"/>
      <c r="P378" s="285"/>
      <c r="Q378" s="285"/>
      <c r="R378" s="285"/>
      <c r="S378" s="285"/>
      <c r="T378" s="285"/>
      <c r="U378" s="285"/>
      <c r="V378" s="285"/>
    </row>
    <row r="379" spans="1:22" ht="14.4" x14ac:dyDescent="0.3">
      <c r="A379" s="285"/>
      <c r="B379" s="285"/>
      <c r="C379" s="285"/>
      <c r="D379" s="286"/>
      <c r="E379" s="285"/>
      <c r="F379" s="285"/>
      <c r="G379" s="389"/>
      <c r="H379" s="291"/>
      <c r="K379" s="241"/>
      <c r="L379" s="292"/>
      <c r="M379" s="292"/>
      <c r="N379" s="292"/>
      <c r="O379" s="285"/>
      <c r="P379" s="285"/>
      <c r="Q379" s="285"/>
      <c r="R379" s="285"/>
      <c r="S379" s="285"/>
      <c r="T379" s="285"/>
      <c r="U379" s="285"/>
      <c r="V379" s="285"/>
    </row>
    <row r="380" spans="1:22" ht="14.4" x14ac:dyDescent="0.3">
      <c r="A380" s="285"/>
      <c r="B380" s="285"/>
      <c r="C380" s="285"/>
      <c r="D380" s="286"/>
      <c r="E380" s="285"/>
      <c r="F380" s="285"/>
      <c r="G380" s="389"/>
      <c r="H380" s="291"/>
      <c r="K380" s="241"/>
      <c r="L380" s="292"/>
      <c r="M380" s="292"/>
      <c r="N380" s="292"/>
      <c r="O380" s="285"/>
      <c r="P380" s="285"/>
      <c r="Q380" s="285"/>
      <c r="R380" s="285"/>
      <c r="S380" s="285"/>
      <c r="T380" s="285"/>
      <c r="U380" s="285"/>
      <c r="V380" s="285"/>
    </row>
    <row r="381" spans="1:22" ht="14.4" x14ac:dyDescent="0.3">
      <c r="A381" s="285"/>
      <c r="B381" s="285"/>
      <c r="C381" s="285"/>
      <c r="D381" s="286"/>
      <c r="E381" s="285"/>
      <c r="F381" s="285"/>
      <c r="G381" s="389"/>
      <c r="H381" s="291"/>
      <c r="K381" s="241"/>
      <c r="L381" s="292"/>
      <c r="M381" s="292"/>
      <c r="N381" s="292"/>
      <c r="O381" s="285"/>
      <c r="P381" s="285"/>
      <c r="Q381" s="285"/>
      <c r="R381" s="285"/>
      <c r="S381" s="285"/>
      <c r="T381" s="285"/>
      <c r="U381" s="285"/>
      <c r="V381" s="285"/>
    </row>
    <row r="382" spans="1:22" ht="14.4" x14ac:dyDescent="0.3">
      <c r="A382" s="285"/>
      <c r="B382" s="285"/>
      <c r="C382" s="285"/>
      <c r="D382" s="286"/>
      <c r="E382" s="285"/>
      <c r="F382" s="285"/>
      <c r="G382" s="389"/>
      <c r="H382" s="291"/>
      <c r="K382" s="241"/>
      <c r="L382" s="292"/>
      <c r="M382" s="292"/>
      <c r="N382" s="292"/>
      <c r="O382" s="285"/>
      <c r="P382" s="285"/>
      <c r="Q382" s="285"/>
      <c r="R382" s="285"/>
      <c r="S382" s="285"/>
      <c r="T382" s="285"/>
      <c r="U382" s="285"/>
      <c r="V382" s="285"/>
    </row>
    <row r="383" spans="1:22" ht="14.4" x14ac:dyDescent="0.3">
      <c r="A383" s="285"/>
      <c r="B383" s="285"/>
      <c r="C383" s="285"/>
      <c r="D383" s="286"/>
      <c r="E383" s="285"/>
      <c r="F383" s="285"/>
      <c r="G383" s="389"/>
      <c r="H383" s="291"/>
      <c r="K383" s="241"/>
      <c r="L383" s="292"/>
      <c r="M383" s="292"/>
      <c r="N383" s="292"/>
      <c r="O383" s="285"/>
      <c r="P383" s="285"/>
      <c r="Q383" s="285"/>
      <c r="R383" s="285"/>
      <c r="S383" s="285"/>
      <c r="T383" s="285"/>
      <c r="U383" s="285"/>
      <c r="V383" s="285"/>
    </row>
    <row r="384" spans="1:22" ht="14.4" x14ac:dyDescent="0.3">
      <c r="A384" s="285"/>
      <c r="B384" s="285"/>
      <c r="C384" s="285"/>
      <c r="D384" s="286"/>
      <c r="E384" s="285"/>
      <c r="F384" s="285"/>
      <c r="G384" s="389"/>
      <c r="H384" s="291"/>
      <c r="K384" s="241"/>
      <c r="L384" s="292"/>
      <c r="M384" s="292"/>
      <c r="N384" s="292"/>
      <c r="O384" s="285"/>
      <c r="P384" s="285"/>
      <c r="Q384" s="285"/>
      <c r="R384" s="285"/>
      <c r="S384" s="285"/>
      <c r="T384" s="285"/>
      <c r="U384" s="285"/>
      <c r="V384" s="285"/>
    </row>
    <row r="385" spans="1:22" ht="14.4" x14ac:dyDescent="0.3">
      <c r="A385" s="285"/>
      <c r="B385" s="285"/>
      <c r="C385" s="285"/>
      <c r="D385" s="286"/>
      <c r="E385" s="285"/>
      <c r="F385" s="285"/>
      <c r="G385" s="389"/>
      <c r="H385" s="291"/>
      <c r="K385" s="241"/>
      <c r="L385" s="292"/>
      <c r="M385" s="292"/>
      <c r="N385" s="292"/>
      <c r="O385" s="285"/>
      <c r="P385" s="285"/>
      <c r="Q385" s="285"/>
      <c r="R385" s="285"/>
      <c r="S385" s="285"/>
      <c r="T385" s="285"/>
      <c r="U385" s="285"/>
      <c r="V385" s="285"/>
    </row>
    <row r="386" spans="1:22" ht="14.4" x14ac:dyDescent="0.3">
      <c r="A386" s="285"/>
      <c r="B386" s="285"/>
      <c r="C386" s="285"/>
      <c r="D386" s="286"/>
      <c r="E386" s="285"/>
      <c r="F386" s="285"/>
      <c r="G386" s="389"/>
      <c r="H386" s="291"/>
      <c r="K386" s="241"/>
      <c r="L386" s="292"/>
      <c r="M386" s="292"/>
      <c r="N386" s="292"/>
      <c r="O386" s="285"/>
      <c r="P386" s="285"/>
      <c r="Q386" s="285"/>
      <c r="R386" s="285"/>
      <c r="S386" s="285"/>
      <c r="T386" s="285"/>
      <c r="U386" s="285"/>
      <c r="V386" s="285"/>
    </row>
    <row r="387" spans="1:22" ht="14.4" x14ac:dyDescent="0.3">
      <c r="A387" s="285"/>
      <c r="B387" s="285"/>
      <c r="C387" s="285"/>
      <c r="D387" s="286"/>
      <c r="E387" s="285"/>
      <c r="F387" s="285"/>
      <c r="G387" s="389"/>
      <c r="H387" s="291"/>
      <c r="K387" s="241"/>
      <c r="L387" s="292"/>
      <c r="M387" s="292"/>
      <c r="N387" s="292"/>
      <c r="O387" s="285"/>
      <c r="P387" s="285"/>
      <c r="Q387" s="285"/>
      <c r="R387" s="285"/>
      <c r="S387" s="285"/>
      <c r="T387" s="285"/>
      <c r="U387" s="285"/>
      <c r="V387" s="285"/>
    </row>
    <row r="388" spans="1:22" ht="14.4" x14ac:dyDescent="0.3">
      <c r="A388" s="285"/>
      <c r="B388" s="285"/>
      <c r="C388" s="285"/>
      <c r="D388" s="286"/>
      <c r="E388" s="285"/>
      <c r="F388" s="285"/>
      <c r="G388" s="389"/>
      <c r="H388" s="291"/>
      <c r="K388" s="241"/>
      <c r="L388" s="292"/>
      <c r="M388" s="292"/>
      <c r="N388" s="292"/>
      <c r="O388" s="285"/>
      <c r="P388" s="285"/>
      <c r="Q388" s="285"/>
      <c r="R388" s="285"/>
      <c r="S388" s="285"/>
      <c r="T388" s="285"/>
      <c r="U388" s="285"/>
      <c r="V388" s="285"/>
    </row>
    <row r="389" spans="1:22" ht="14.4" x14ac:dyDescent="0.3">
      <c r="A389" s="285"/>
      <c r="B389" s="285"/>
      <c r="C389" s="285"/>
      <c r="D389" s="286"/>
      <c r="E389" s="285"/>
      <c r="F389" s="285"/>
      <c r="G389" s="389"/>
      <c r="H389" s="291"/>
      <c r="K389" s="241"/>
      <c r="L389" s="292"/>
      <c r="M389" s="292"/>
      <c r="N389" s="292"/>
      <c r="O389" s="285"/>
      <c r="P389" s="285"/>
      <c r="Q389" s="285"/>
      <c r="R389" s="285"/>
      <c r="S389" s="285"/>
      <c r="T389" s="285"/>
      <c r="U389" s="285"/>
      <c r="V389" s="285"/>
    </row>
    <row r="390" spans="1:22" ht="14.4" x14ac:dyDescent="0.3">
      <c r="A390" s="285"/>
      <c r="B390" s="285"/>
      <c r="C390" s="285"/>
      <c r="D390" s="286"/>
      <c r="E390" s="285"/>
      <c r="F390" s="285"/>
      <c r="G390" s="389"/>
      <c r="H390" s="291"/>
      <c r="K390" s="241"/>
      <c r="L390" s="292"/>
      <c r="M390" s="292"/>
      <c r="N390" s="292"/>
      <c r="O390" s="285"/>
      <c r="P390" s="285"/>
      <c r="Q390" s="285"/>
      <c r="R390" s="285"/>
      <c r="S390" s="285"/>
      <c r="T390" s="285"/>
      <c r="U390" s="285"/>
      <c r="V390" s="285"/>
    </row>
    <row r="391" spans="1:22" ht="14.4" x14ac:dyDescent="0.3">
      <c r="A391" s="285"/>
      <c r="B391" s="285"/>
      <c r="C391" s="285"/>
      <c r="D391" s="286"/>
      <c r="E391" s="285"/>
      <c r="F391" s="285"/>
      <c r="G391" s="389"/>
      <c r="H391" s="291"/>
      <c r="K391" s="241"/>
      <c r="L391" s="292"/>
      <c r="M391" s="292"/>
      <c r="N391" s="292"/>
      <c r="O391" s="285"/>
      <c r="P391" s="285"/>
      <c r="Q391" s="285"/>
      <c r="R391" s="285"/>
      <c r="S391" s="285"/>
      <c r="T391" s="285"/>
      <c r="U391" s="285"/>
      <c r="V391" s="285"/>
    </row>
    <row r="392" spans="1:22" ht="14.4" x14ac:dyDescent="0.3">
      <c r="A392" s="285"/>
      <c r="B392" s="285"/>
      <c r="C392" s="285"/>
      <c r="D392" s="286"/>
      <c r="E392" s="285"/>
      <c r="F392" s="285"/>
      <c r="G392" s="389"/>
      <c r="H392" s="291"/>
      <c r="K392" s="241"/>
      <c r="L392" s="292"/>
      <c r="M392" s="292"/>
      <c r="N392" s="292"/>
      <c r="O392" s="285"/>
      <c r="P392" s="285"/>
      <c r="Q392" s="285"/>
      <c r="R392" s="285"/>
      <c r="S392" s="285"/>
      <c r="T392" s="285"/>
      <c r="U392" s="285"/>
      <c r="V392" s="285"/>
    </row>
    <row r="393" spans="1:22" ht="14.4" x14ac:dyDescent="0.3">
      <c r="A393" s="285"/>
      <c r="B393" s="285"/>
      <c r="C393" s="285"/>
      <c r="D393" s="286"/>
      <c r="E393" s="285"/>
      <c r="F393" s="285"/>
      <c r="G393" s="389"/>
      <c r="H393" s="291"/>
      <c r="K393" s="241"/>
      <c r="L393" s="292"/>
      <c r="M393" s="292"/>
      <c r="N393" s="292"/>
      <c r="O393" s="285"/>
      <c r="P393" s="285"/>
      <c r="Q393" s="285"/>
      <c r="R393" s="285"/>
      <c r="S393" s="285"/>
      <c r="T393" s="285"/>
      <c r="U393" s="285"/>
      <c r="V393" s="285"/>
    </row>
    <row r="394" spans="1:22" ht="14.4" x14ac:dyDescent="0.3">
      <c r="A394" s="285"/>
      <c r="B394" s="285"/>
      <c r="C394" s="285"/>
      <c r="D394" s="286"/>
      <c r="E394" s="285"/>
      <c r="F394" s="285"/>
      <c r="G394" s="389"/>
      <c r="H394" s="291"/>
      <c r="K394" s="241"/>
      <c r="L394" s="290"/>
      <c r="M394" s="290"/>
      <c r="N394" s="290"/>
      <c r="O394" s="289"/>
      <c r="P394" s="285"/>
      <c r="Q394" s="285"/>
      <c r="R394" s="285"/>
      <c r="S394" s="285"/>
      <c r="T394" s="285"/>
      <c r="U394" s="285"/>
      <c r="V394" s="285"/>
    </row>
    <row r="395" spans="1:22" ht="14.4" x14ac:dyDescent="0.3">
      <c r="A395" s="285"/>
      <c r="B395" s="285"/>
      <c r="C395" s="285"/>
      <c r="D395" s="286"/>
      <c r="E395" s="285"/>
      <c r="F395" s="285"/>
      <c r="G395" s="389"/>
      <c r="H395" s="287"/>
      <c r="I395" s="285"/>
      <c r="J395" s="285"/>
      <c r="K395" s="288"/>
      <c r="L395" s="285"/>
      <c r="M395" s="285"/>
      <c r="N395" s="285"/>
      <c r="O395" s="285"/>
      <c r="P395" s="285"/>
      <c r="Q395" s="285"/>
      <c r="R395" s="285"/>
      <c r="S395" s="285"/>
      <c r="T395" s="285"/>
      <c r="U395" s="285"/>
      <c r="V395" s="285"/>
    </row>
    <row r="396" spans="1:22" ht="14.4" x14ac:dyDescent="0.3">
      <c r="A396" s="285"/>
      <c r="B396" s="285"/>
      <c r="C396" s="285"/>
      <c r="D396" s="286"/>
      <c r="E396" s="285"/>
      <c r="F396" s="285"/>
      <c r="G396" s="389"/>
      <c r="H396" s="287"/>
      <c r="I396" s="285"/>
      <c r="J396" s="285"/>
      <c r="K396" s="288"/>
      <c r="L396" s="285"/>
      <c r="M396" s="285"/>
      <c r="N396" s="285"/>
      <c r="O396" s="285"/>
      <c r="P396" s="285"/>
      <c r="Q396" s="285"/>
      <c r="R396" s="285"/>
      <c r="S396" s="285"/>
      <c r="T396" s="285"/>
      <c r="U396" s="285"/>
      <c r="V396" s="285"/>
    </row>
    <row r="397" spans="1:22" ht="14.4" x14ac:dyDescent="0.3">
      <c r="A397" s="285"/>
      <c r="B397" s="285"/>
      <c r="C397" s="285"/>
      <c r="D397" s="286"/>
      <c r="E397" s="285"/>
      <c r="F397" s="285"/>
      <c r="G397" s="389"/>
      <c r="H397" s="287"/>
      <c r="I397" s="285"/>
      <c r="J397" s="285"/>
      <c r="K397" s="288"/>
      <c r="L397" s="285"/>
      <c r="M397" s="285"/>
      <c r="N397" s="285"/>
      <c r="O397" s="285"/>
      <c r="P397" s="285"/>
      <c r="Q397" s="285"/>
      <c r="R397" s="285"/>
      <c r="S397" s="285"/>
      <c r="T397" s="285"/>
      <c r="U397" s="285"/>
      <c r="V397" s="285"/>
    </row>
    <row r="398" spans="1:22" ht="14.4" x14ac:dyDescent="0.3">
      <c r="A398" s="285"/>
      <c r="B398" s="285"/>
      <c r="C398" s="285"/>
      <c r="D398" s="286"/>
      <c r="E398" s="285"/>
      <c r="F398" s="285"/>
      <c r="G398" s="389"/>
      <c r="H398" s="287"/>
      <c r="I398" s="285"/>
      <c r="J398" s="285"/>
      <c r="K398" s="288"/>
      <c r="L398" s="285"/>
      <c r="M398" s="285"/>
      <c r="N398" s="285"/>
      <c r="O398" s="285"/>
      <c r="P398" s="285"/>
      <c r="Q398" s="285"/>
      <c r="R398" s="285"/>
      <c r="S398" s="285"/>
      <c r="T398" s="285"/>
      <c r="U398" s="285"/>
      <c r="V398" s="285"/>
    </row>
    <row r="399" spans="1:22" ht="14.4" x14ac:dyDescent="0.3">
      <c r="A399" s="285"/>
      <c r="B399" s="285"/>
      <c r="C399" s="285"/>
      <c r="D399" s="286"/>
      <c r="E399" s="285"/>
      <c r="F399" s="285"/>
      <c r="G399" s="389"/>
      <c r="H399" s="287"/>
      <c r="I399" s="285"/>
      <c r="J399" s="285"/>
      <c r="K399" s="288"/>
      <c r="L399" s="285"/>
      <c r="M399" s="285"/>
      <c r="N399" s="285"/>
      <c r="O399" s="285"/>
      <c r="P399" s="285"/>
      <c r="Q399" s="285"/>
      <c r="R399" s="285"/>
      <c r="S399" s="285"/>
      <c r="T399" s="285"/>
      <c r="U399" s="285"/>
      <c r="V399" s="285"/>
    </row>
    <row r="400" spans="1:22" ht="14.4" x14ac:dyDescent="0.3">
      <c r="A400" s="285"/>
      <c r="B400" s="285"/>
      <c r="C400" s="285"/>
      <c r="D400" s="286"/>
      <c r="E400" s="285"/>
      <c r="F400" s="285"/>
      <c r="G400" s="389"/>
      <c r="H400" s="287"/>
      <c r="I400" s="285"/>
      <c r="J400" s="285"/>
      <c r="K400" s="288"/>
      <c r="L400" s="285"/>
      <c r="M400" s="285"/>
      <c r="N400" s="285"/>
      <c r="O400" s="285"/>
      <c r="P400" s="285"/>
      <c r="Q400" s="285"/>
      <c r="R400" s="285"/>
      <c r="S400" s="285"/>
      <c r="T400" s="285"/>
      <c r="U400" s="285"/>
      <c r="V400" s="285"/>
    </row>
    <row r="401" spans="1:22" ht="14.4" x14ac:dyDescent="0.3">
      <c r="A401" s="285"/>
      <c r="B401" s="285"/>
      <c r="C401" s="285"/>
      <c r="D401" s="286"/>
      <c r="E401" s="285"/>
      <c r="F401" s="285"/>
      <c r="G401" s="389"/>
      <c r="H401" s="287"/>
      <c r="I401" s="285"/>
      <c r="J401" s="285"/>
      <c r="K401" s="288"/>
      <c r="L401" s="285"/>
      <c r="M401" s="285"/>
      <c r="N401" s="285"/>
      <c r="O401" s="285"/>
      <c r="P401" s="285"/>
      <c r="Q401" s="285"/>
      <c r="R401" s="285"/>
      <c r="S401" s="285"/>
      <c r="T401" s="285"/>
      <c r="U401" s="285"/>
      <c r="V401" s="285"/>
    </row>
    <row r="402" spans="1:22" ht="14.4" x14ac:dyDescent="0.3">
      <c r="A402" s="285"/>
      <c r="B402" s="285"/>
      <c r="C402" s="285"/>
      <c r="D402" s="286"/>
      <c r="E402" s="285"/>
      <c r="F402" s="285"/>
      <c r="G402" s="389"/>
      <c r="H402" s="287"/>
      <c r="I402" s="285"/>
      <c r="J402" s="285"/>
      <c r="K402" s="288"/>
      <c r="L402" s="285"/>
      <c r="M402" s="285"/>
      <c r="N402" s="285"/>
      <c r="O402" s="285"/>
      <c r="P402" s="285"/>
      <c r="Q402" s="285"/>
      <c r="R402" s="285"/>
      <c r="S402" s="285"/>
      <c r="T402" s="285"/>
      <c r="U402" s="285"/>
      <c r="V402" s="285"/>
    </row>
    <row r="403" spans="1:22" ht="14.4" x14ac:dyDescent="0.3">
      <c r="A403" s="285"/>
      <c r="B403" s="285"/>
      <c r="C403" s="285"/>
      <c r="D403" s="286"/>
      <c r="E403" s="285"/>
      <c r="F403" s="285"/>
      <c r="G403" s="389"/>
      <c r="H403" s="287"/>
      <c r="I403" s="285"/>
      <c r="J403" s="285"/>
      <c r="K403" s="288"/>
      <c r="L403" s="285"/>
      <c r="M403" s="285"/>
      <c r="N403" s="285"/>
      <c r="O403" s="285"/>
      <c r="P403" s="285"/>
      <c r="Q403" s="285"/>
      <c r="R403" s="285"/>
      <c r="S403" s="285"/>
      <c r="T403" s="285"/>
      <c r="U403" s="285"/>
      <c r="V403" s="285"/>
    </row>
    <row r="404" spans="1:22" ht="14.4" x14ac:dyDescent="0.3">
      <c r="A404" s="285"/>
      <c r="B404" s="285"/>
      <c r="C404" s="285"/>
      <c r="D404" s="286"/>
      <c r="E404" s="285"/>
      <c r="F404" s="285"/>
      <c r="G404" s="389"/>
      <c r="H404" s="287"/>
      <c r="I404" s="285"/>
      <c r="J404" s="285"/>
      <c r="K404" s="288"/>
      <c r="L404" s="285"/>
      <c r="M404" s="285"/>
      <c r="N404" s="285"/>
      <c r="O404" s="285"/>
      <c r="P404" s="285"/>
      <c r="Q404" s="285"/>
      <c r="R404" s="285"/>
      <c r="S404" s="285"/>
      <c r="T404" s="285"/>
      <c r="U404" s="285"/>
      <c r="V404" s="285"/>
    </row>
    <row r="405" spans="1:22" ht="14.4" x14ac:dyDescent="0.3">
      <c r="A405" s="285"/>
      <c r="B405" s="285"/>
      <c r="C405" s="285"/>
      <c r="D405" s="286"/>
      <c r="E405" s="285"/>
      <c r="F405" s="285"/>
      <c r="G405" s="389"/>
      <c r="H405" s="287"/>
      <c r="I405" s="285"/>
      <c r="J405" s="285"/>
      <c r="K405" s="288"/>
      <c r="L405" s="285"/>
      <c r="M405" s="285"/>
      <c r="N405" s="285"/>
      <c r="O405" s="285"/>
      <c r="P405" s="285"/>
      <c r="Q405" s="285"/>
      <c r="R405" s="285"/>
      <c r="S405" s="285"/>
      <c r="T405" s="285"/>
      <c r="U405" s="285"/>
      <c r="V405" s="285"/>
    </row>
    <row r="406" spans="1:22" ht="14.4" x14ac:dyDescent="0.3">
      <c r="A406" s="285"/>
      <c r="B406" s="285"/>
      <c r="C406" s="285"/>
      <c r="D406" s="286"/>
      <c r="E406" s="285"/>
      <c r="F406" s="285"/>
      <c r="G406" s="389"/>
      <c r="H406" s="287"/>
      <c r="I406" s="285"/>
      <c r="J406" s="285"/>
      <c r="K406" s="288"/>
      <c r="L406" s="285"/>
      <c r="M406" s="285"/>
      <c r="N406" s="285"/>
      <c r="O406" s="285"/>
      <c r="P406" s="285"/>
      <c r="Q406" s="285"/>
      <c r="R406" s="285"/>
      <c r="S406" s="285"/>
      <c r="T406" s="285"/>
      <c r="U406" s="285"/>
      <c r="V406" s="285"/>
    </row>
    <row r="407" spans="1:22" ht="14.4" x14ac:dyDescent="0.3">
      <c r="A407" s="285"/>
      <c r="B407" s="285"/>
      <c r="C407" s="285"/>
      <c r="D407" s="286"/>
      <c r="E407" s="285"/>
      <c r="F407" s="285"/>
      <c r="G407" s="389"/>
      <c r="H407" s="287"/>
      <c r="I407" s="285"/>
      <c r="J407" s="285"/>
      <c r="K407" s="288"/>
      <c r="L407" s="285"/>
      <c r="M407" s="285"/>
      <c r="N407" s="285"/>
      <c r="O407" s="285"/>
      <c r="P407" s="285"/>
      <c r="Q407" s="285"/>
      <c r="R407" s="285"/>
      <c r="S407" s="285"/>
      <c r="T407" s="285"/>
      <c r="U407" s="285"/>
      <c r="V407" s="285"/>
    </row>
    <row r="408" spans="1:22" ht="14.4" x14ac:dyDescent="0.3">
      <c r="A408" s="285"/>
      <c r="B408" s="285"/>
      <c r="C408" s="285"/>
      <c r="D408" s="286"/>
      <c r="E408" s="285"/>
      <c r="F408" s="285"/>
      <c r="G408" s="389"/>
      <c r="H408" s="287"/>
      <c r="I408" s="285"/>
      <c r="J408" s="285"/>
      <c r="K408" s="288"/>
      <c r="L408" s="285"/>
      <c r="M408" s="285"/>
      <c r="N408" s="285"/>
      <c r="O408" s="285"/>
      <c r="P408" s="285"/>
      <c r="Q408" s="285"/>
      <c r="R408" s="285"/>
      <c r="S408" s="285"/>
      <c r="T408" s="285"/>
      <c r="U408" s="285"/>
      <c r="V408" s="285"/>
    </row>
    <row r="409" spans="1:22" ht="14.4" x14ac:dyDescent="0.3">
      <c r="A409" s="285"/>
      <c r="B409" s="285"/>
      <c r="C409" s="285"/>
      <c r="D409" s="286"/>
      <c r="E409" s="285"/>
      <c r="F409" s="285"/>
      <c r="G409" s="389"/>
      <c r="H409" s="287"/>
      <c r="I409" s="285"/>
      <c r="J409" s="285"/>
      <c r="K409" s="288"/>
      <c r="L409" s="285"/>
      <c r="M409" s="285"/>
      <c r="N409" s="285"/>
      <c r="O409" s="285"/>
      <c r="P409" s="285"/>
      <c r="Q409" s="285"/>
      <c r="R409" s="285"/>
      <c r="S409" s="285"/>
      <c r="T409" s="285"/>
      <c r="U409" s="285"/>
      <c r="V409" s="285"/>
    </row>
    <row r="410" spans="1:22" ht="14.4" x14ac:dyDescent="0.3">
      <c r="A410" s="285"/>
      <c r="B410" s="285"/>
      <c r="C410" s="285"/>
      <c r="D410" s="286"/>
      <c r="E410" s="285"/>
      <c r="F410" s="285"/>
      <c r="G410" s="389"/>
      <c r="H410" s="287"/>
      <c r="I410" s="285"/>
      <c r="J410" s="285"/>
      <c r="K410" s="288"/>
      <c r="L410" s="285"/>
      <c r="M410" s="285"/>
      <c r="N410" s="285"/>
      <c r="O410" s="285"/>
      <c r="P410" s="285"/>
      <c r="Q410" s="285"/>
      <c r="R410" s="285"/>
      <c r="S410" s="285"/>
      <c r="T410" s="285"/>
      <c r="U410" s="285"/>
      <c r="V410" s="285"/>
    </row>
    <row r="411" spans="1:22" ht="14.4" x14ac:dyDescent="0.3">
      <c r="A411" s="285"/>
      <c r="B411" s="285"/>
      <c r="C411" s="285"/>
      <c r="D411" s="286"/>
      <c r="E411" s="285"/>
      <c r="F411" s="285"/>
      <c r="G411" s="389"/>
      <c r="H411" s="287"/>
      <c r="I411" s="285"/>
      <c r="J411" s="285"/>
      <c r="K411" s="285"/>
      <c r="L411" s="285"/>
      <c r="M411" s="285"/>
      <c r="N411" s="285"/>
      <c r="O411" s="285"/>
      <c r="P411" s="285"/>
      <c r="Q411" s="285"/>
      <c r="R411" s="285"/>
      <c r="S411" s="285"/>
      <c r="T411" s="285"/>
      <c r="U411" s="285"/>
      <c r="V411" s="285"/>
    </row>
    <row r="412" spans="1:22" ht="14.4" x14ac:dyDescent="0.3">
      <c r="A412" s="285"/>
      <c r="B412" s="285"/>
      <c r="C412" s="285"/>
      <c r="D412" s="286"/>
      <c r="E412" s="285"/>
      <c r="F412" s="285"/>
      <c r="G412" s="389"/>
      <c r="H412" s="287"/>
      <c r="I412" s="285"/>
      <c r="J412" s="285"/>
      <c r="K412" s="285"/>
      <c r="L412" s="285"/>
      <c r="M412" s="285"/>
      <c r="N412" s="285"/>
      <c r="O412" s="285"/>
      <c r="P412" s="285"/>
      <c r="Q412" s="285"/>
      <c r="R412" s="285"/>
      <c r="S412" s="285"/>
      <c r="T412" s="285"/>
      <c r="U412" s="285"/>
      <c r="V412" s="285"/>
    </row>
    <row r="413" spans="1:22" ht="14.4" x14ac:dyDescent="0.3">
      <c r="A413" s="285"/>
      <c r="B413" s="285"/>
      <c r="C413" s="285"/>
      <c r="D413" s="286"/>
      <c r="E413" s="285"/>
      <c r="F413" s="285"/>
      <c r="G413" s="389"/>
      <c r="H413" s="287"/>
      <c r="I413" s="285"/>
      <c r="J413" s="285"/>
      <c r="K413" s="285"/>
      <c r="L413" s="285"/>
      <c r="M413" s="285"/>
      <c r="N413" s="285"/>
      <c r="O413" s="285"/>
      <c r="P413" s="285"/>
      <c r="Q413" s="285"/>
      <c r="R413" s="285"/>
      <c r="S413" s="285"/>
      <c r="T413" s="285"/>
      <c r="U413" s="285"/>
      <c r="V413" s="285"/>
    </row>
    <row r="414" spans="1:22" ht="14.4" x14ac:dyDescent="0.3">
      <c r="A414" s="285"/>
      <c r="B414" s="285"/>
      <c r="C414" s="285"/>
      <c r="D414" s="286"/>
      <c r="E414" s="285"/>
      <c r="F414" s="285"/>
      <c r="G414" s="389"/>
      <c r="H414" s="287"/>
      <c r="I414" s="285"/>
      <c r="J414" s="285"/>
      <c r="K414" s="285"/>
      <c r="L414" s="285"/>
      <c r="M414" s="285"/>
      <c r="N414" s="285"/>
      <c r="O414" s="285"/>
      <c r="P414" s="285"/>
      <c r="Q414" s="285"/>
      <c r="R414" s="285"/>
      <c r="S414" s="285"/>
      <c r="T414" s="285"/>
      <c r="U414" s="285"/>
      <c r="V414" s="285"/>
    </row>
    <row r="415" spans="1:22" ht="14.4" x14ac:dyDescent="0.3">
      <c r="A415" s="285"/>
      <c r="B415" s="285"/>
      <c r="C415" s="285"/>
      <c r="D415" s="286"/>
      <c r="E415" s="285"/>
      <c r="F415" s="285"/>
      <c r="G415" s="389"/>
      <c r="H415" s="285"/>
      <c r="I415" s="285"/>
      <c r="J415" s="285"/>
      <c r="K415" s="285"/>
      <c r="L415" s="285"/>
      <c r="M415" s="285"/>
      <c r="N415" s="285"/>
      <c r="O415" s="285"/>
      <c r="P415" s="285"/>
      <c r="Q415" s="285"/>
      <c r="R415" s="285"/>
      <c r="S415" s="285"/>
      <c r="T415" s="285"/>
      <c r="U415" s="285"/>
      <c r="V415" s="285"/>
    </row>
    <row r="416" spans="1:22" ht="14.4" x14ac:dyDescent="0.3">
      <c r="A416" s="285"/>
      <c r="B416" s="285"/>
      <c r="C416" s="285"/>
      <c r="D416" s="286"/>
      <c r="E416" s="285"/>
      <c r="F416" s="285"/>
      <c r="G416" s="389"/>
      <c r="H416" s="285"/>
      <c r="I416" s="285"/>
      <c r="J416" s="285"/>
      <c r="K416" s="285"/>
      <c r="L416" s="285"/>
      <c r="M416" s="285"/>
      <c r="N416" s="285"/>
      <c r="O416" s="285"/>
      <c r="P416" s="285"/>
      <c r="Q416" s="285"/>
      <c r="R416" s="285"/>
      <c r="S416" s="285"/>
      <c r="T416" s="285"/>
      <c r="U416" s="285"/>
      <c r="V416" s="285"/>
    </row>
    <row r="417" spans="1:22" ht="14.4" x14ac:dyDescent="0.3">
      <c r="A417" s="285"/>
      <c r="B417" s="285"/>
      <c r="C417" s="285"/>
      <c r="D417" s="286"/>
      <c r="E417" s="285"/>
      <c r="F417" s="285"/>
      <c r="G417" s="389"/>
      <c r="H417" s="285"/>
      <c r="I417" s="285"/>
      <c r="J417" s="285"/>
      <c r="K417" s="285"/>
      <c r="L417" s="285"/>
      <c r="M417" s="285"/>
      <c r="N417" s="285"/>
      <c r="O417" s="285"/>
      <c r="P417" s="285"/>
      <c r="Q417" s="285"/>
      <c r="R417" s="285"/>
      <c r="S417" s="285"/>
      <c r="T417" s="285"/>
      <c r="U417" s="285"/>
      <c r="V417" s="285"/>
    </row>
    <row r="418" spans="1:22" ht="14.4" x14ac:dyDescent="0.3">
      <c r="A418" s="285"/>
      <c r="B418" s="285"/>
      <c r="C418" s="285"/>
      <c r="D418" s="286"/>
      <c r="E418" s="285"/>
      <c r="F418" s="285"/>
      <c r="G418" s="389"/>
      <c r="H418" s="285"/>
      <c r="I418" s="285"/>
      <c r="J418" s="285"/>
      <c r="K418" s="285"/>
      <c r="L418" s="285"/>
      <c r="M418" s="285"/>
      <c r="N418" s="285"/>
      <c r="O418" s="285"/>
      <c r="P418" s="285"/>
      <c r="Q418" s="285"/>
      <c r="R418" s="285"/>
      <c r="S418" s="285"/>
      <c r="T418" s="285"/>
      <c r="U418" s="285"/>
      <c r="V418" s="285"/>
    </row>
    <row r="419" spans="1:22" ht="14.4" x14ac:dyDescent="0.3">
      <c r="A419" s="285"/>
      <c r="B419" s="285"/>
      <c r="C419" s="285"/>
      <c r="D419" s="286"/>
      <c r="E419" s="285"/>
      <c r="F419" s="285"/>
      <c r="G419" s="389"/>
      <c r="H419" s="285"/>
      <c r="I419" s="285"/>
      <c r="J419" s="285"/>
      <c r="K419" s="285"/>
      <c r="L419" s="285"/>
      <c r="M419" s="285"/>
      <c r="N419" s="285"/>
      <c r="O419" s="285"/>
      <c r="P419" s="285"/>
      <c r="Q419" s="285"/>
      <c r="R419" s="285"/>
      <c r="S419" s="285"/>
      <c r="T419" s="285"/>
      <c r="U419" s="285"/>
      <c r="V419" s="285"/>
    </row>
    <row r="420" spans="1:22" ht="14.4" x14ac:dyDescent="0.3">
      <c r="A420" s="285"/>
      <c r="B420" s="285"/>
      <c r="C420" s="285"/>
      <c r="D420" s="286"/>
      <c r="E420" s="285"/>
      <c r="F420" s="285"/>
      <c r="G420" s="389"/>
      <c r="H420" s="285"/>
      <c r="I420" s="285"/>
      <c r="J420" s="285"/>
      <c r="K420" s="285"/>
      <c r="L420" s="285"/>
      <c r="M420" s="285"/>
      <c r="N420" s="285"/>
      <c r="O420" s="285"/>
      <c r="P420" s="285"/>
      <c r="Q420" s="285"/>
      <c r="R420" s="285"/>
      <c r="S420" s="285"/>
      <c r="T420" s="285"/>
      <c r="U420" s="285"/>
      <c r="V420" s="285"/>
    </row>
  </sheetData>
  <sheetProtection sheet="1" objects="1" scenarios="1"/>
  <mergeCells count="3">
    <mergeCell ref="A3:G3"/>
    <mergeCell ref="A1:C1"/>
    <mergeCell ref="B39:D39"/>
  </mergeCell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11755-4916-4E8D-9BF6-E1D0617E4044}">
  <dimension ref="A1:BK401"/>
  <sheetViews>
    <sheetView zoomScale="70" zoomScaleNormal="70" workbookViewId="0">
      <selection activeCell="H7" sqref="H7"/>
    </sheetView>
  </sheetViews>
  <sheetFormatPr defaultRowHeight="13.2" x14ac:dyDescent="0.25"/>
  <cols>
    <col min="2" max="2" width="18" customWidth="1"/>
    <col min="3" max="3" width="9.21875" bestFit="1" customWidth="1"/>
    <col min="6" max="6" width="11.21875" customWidth="1"/>
    <col min="8" max="8" width="8.5546875" customWidth="1"/>
    <col min="9" max="9" width="13.21875" customWidth="1"/>
    <col min="10" max="10" width="14.88671875" customWidth="1"/>
    <col min="11" max="11" width="10.5546875" customWidth="1"/>
    <col min="22" max="22" width="6.33203125" customWidth="1"/>
    <col min="23" max="23" width="13.5546875" customWidth="1"/>
    <col min="24" max="24" width="13.6640625" customWidth="1"/>
    <col min="25" max="31" width="6.33203125" customWidth="1"/>
    <col min="36" max="36" width="6.33203125" customWidth="1"/>
    <col min="37" max="37" width="13.5546875" customWidth="1"/>
    <col min="38" max="38" width="13.6640625" customWidth="1"/>
    <col min="39" max="45" width="6.33203125" customWidth="1"/>
    <col min="50" max="50" width="6.33203125" customWidth="1"/>
    <col min="51" max="51" width="13.5546875" customWidth="1"/>
    <col min="52" max="52" width="13.6640625" customWidth="1"/>
    <col min="53" max="59" width="6.33203125" customWidth="1"/>
  </cols>
  <sheetData>
    <row r="1" spans="1:63" ht="13.8" thickBot="1" x14ac:dyDescent="0.3">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row>
    <row r="2" spans="1:63" ht="14.4" thickTop="1" x14ac:dyDescent="0.25">
      <c r="A2" s="1"/>
      <c r="B2" s="425" t="s">
        <v>578</v>
      </c>
      <c r="C2" s="424"/>
      <c r="D2" s="424"/>
      <c r="E2" s="424"/>
      <c r="F2" s="467"/>
      <c r="G2" s="1"/>
      <c r="H2" s="1"/>
      <c r="I2" s="1"/>
      <c r="J2" s="436" t="s">
        <v>714</v>
      </c>
      <c r="K2" s="409"/>
      <c r="L2" s="409"/>
      <c r="M2" s="409"/>
      <c r="N2" s="409"/>
      <c r="O2" s="409"/>
      <c r="P2" s="1"/>
      <c r="Q2" s="1"/>
      <c r="R2" s="1"/>
      <c r="S2" s="1"/>
      <c r="T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row>
    <row r="3" spans="1:63" ht="13.8" x14ac:dyDescent="0.25">
      <c r="A3" s="1"/>
      <c r="B3" s="421"/>
      <c r="C3" s="419"/>
      <c r="D3" s="419"/>
      <c r="E3" s="419"/>
      <c r="F3" s="468"/>
      <c r="G3" s="1"/>
      <c r="H3" s="1"/>
      <c r="I3" s="1"/>
      <c r="J3" s="409"/>
      <c r="K3" s="409"/>
      <c r="L3" s="423" t="s">
        <v>217</v>
      </c>
      <c r="M3" s="423" t="s">
        <v>218</v>
      </c>
      <c r="N3" s="423" t="s">
        <v>219</v>
      </c>
      <c r="O3" s="423" t="s">
        <v>220</v>
      </c>
      <c r="P3" s="1"/>
      <c r="Q3" s="1"/>
      <c r="R3" s="1"/>
      <c r="S3" s="1"/>
      <c r="T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row>
    <row r="4" spans="1:63" ht="13.8" x14ac:dyDescent="0.25">
      <c r="A4" s="1"/>
      <c r="B4" s="420"/>
      <c r="C4" s="423" t="s">
        <v>217</v>
      </c>
      <c r="D4" s="423" t="s">
        <v>218</v>
      </c>
      <c r="E4" s="423" t="s">
        <v>219</v>
      </c>
      <c r="F4" s="469" t="s">
        <v>220</v>
      </c>
      <c r="G4" s="1"/>
      <c r="H4" s="1"/>
      <c r="I4" s="1"/>
      <c r="J4" s="8" t="s">
        <v>599</v>
      </c>
      <c r="K4" s="433" t="s">
        <v>605</v>
      </c>
      <c r="L4" s="434">
        <f>IF(IEC_5=3,d,IF(IEC_5=2,IF(d=80,3,d/25)))</f>
        <v>3</v>
      </c>
      <c r="M4" s="434" t="s">
        <v>600</v>
      </c>
      <c r="N4" s="434" t="s">
        <v>600</v>
      </c>
      <c r="O4" s="434" t="s">
        <v>600</v>
      </c>
      <c r="P4" s="1"/>
      <c r="Q4" s="1"/>
      <c r="R4" s="1"/>
      <c r="S4" s="1"/>
      <c r="T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63" ht="13.8" x14ac:dyDescent="0.25">
      <c r="A5" s="1"/>
      <c r="B5" s="422" t="s">
        <v>577</v>
      </c>
      <c r="C5" s="419">
        <f>VS_IN</f>
        <v>3</v>
      </c>
      <c r="D5" s="419"/>
      <c r="E5" s="419"/>
      <c r="F5" s="468"/>
      <c r="G5" s="1"/>
      <c r="H5" s="1"/>
      <c r="I5" s="1"/>
      <c r="J5" s="8" t="s">
        <v>598</v>
      </c>
      <c r="K5" s="433" t="s">
        <v>606</v>
      </c>
      <c r="L5" s="435">
        <f>IF(IEC_6=1,C_,IF(IEC_6=2,C_*1.157,"Invalid"))</f>
        <v>12.91938248122084</v>
      </c>
      <c r="M5" s="435">
        <f>IF(IEC_6=1,'Valve Sizing'!E21,IF(IEC_6=2,'Valve Sizing'!E21*1.157,"Invalid"))</f>
        <v>39.440483902801446</v>
      </c>
      <c r="N5" s="435">
        <f>IF(IEC_6=1,'Valve Sizing'!F21,IF(IEC_6=2,'Valve Sizing'!F21*1.157,"Invalid"))</f>
        <v>90.647576683611092</v>
      </c>
      <c r="O5" s="435">
        <f>IF(IEC_6=1,'Valve Sizing'!G21,IF(IEC_6=2,'Valve Sizing'!G21*1.157,"Invalid"))</f>
        <v>136.9873645357365</v>
      </c>
      <c r="P5" s="1"/>
      <c r="Q5" s="1"/>
      <c r="R5" s="1"/>
      <c r="S5" s="1"/>
      <c r="T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63" ht="13.8" x14ac:dyDescent="0.25">
      <c r="A6" s="1"/>
      <c r="B6" s="421" t="s">
        <v>576</v>
      </c>
      <c r="C6" s="432">
        <f>VCAP_CV</f>
        <v>12.91938248122084</v>
      </c>
      <c r="D6" s="432">
        <f>M5</f>
        <v>39.440483902801446</v>
      </c>
      <c r="E6" s="432">
        <f t="shared" ref="E6:F6" si="0">N5</f>
        <v>90.647576683611092</v>
      </c>
      <c r="F6" s="470">
        <f t="shared" si="0"/>
        <v>136.9873645357365</v>
      </c>
      <c r="G6" s="1"/>
      <c r="H6" s="1"/>
      <c r="I6" s="1"/>
      <c r="J6" s="1"/>
      <c r="K6" s="1"/>
      <c r="L6" s="1"/>
      <c r="M6" s="1"/>
      <c r="N6" s="1"/>
      <c r="O6" s="1"/>
      <c r="P6" s="1"/>
      <c r="Q6" s="1"/>
      <c r="R6" s="1"/>
      <c r="S6" s="1"/>
      <c r="T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63" ht="13.8" x14ac:dyDescent="0.25">
      <c r="A7" s="1"/>
      <c r="B7" s="421"/>
      <c r="C7" s="419"/>
      <c r="D7" s="419"/>
      <c r="E7" s="419"/>
      <c r="F7" s="468"/>
      <c r="G7" s="1"/>
      <c r="H7" s="472" t="s">
        <v>582</v>
      </c>
      <c r="I7" s="1"/>
      <c r="J7" s="8"/>
      <c r="K7" s="8"/>
      <c r="L7" s="446"/>
      <c r="M7" s="434"/>
      <c r="N7" s="434"/>
      <c r="O7" s="434"/>
      <c r="P7" s="206"/>
      <c r="Q7" s="1"/>
      <c r="R7" s="1"/>
      <c r="S7" s="1"/>
      <c r="T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row>
    <row r="8" spans="1:63" ht="13.8" x14ac:dyDescent="0.25">
      <c r="A8" s="1"/>
      <c r="B8" s="421" t="s">
        <v>575</v>
      </c>
      <c r="C8" s="437">
        <f ca="1">J21</f>
        <v>21.15735305370249</v>
      </c>
      <c r="D8" s="437">
        <f ca="1">X21</f>
        <v>40.018742547593263</v>
      </c>
      <c r="E8" s="437">
        <f ca="1">AL21</f>
        <v>60.746212403539964</v>
      </c>
      <c r="F8" s="474">
        <f ca="1">AZ21</f>
        <v>73.633491939940114</v>
      </c>
      <c r="G8" s="1"/>
      <c r="H8" s="426"/>
      <c r="I8" s="1"/>
      <c r="J8" s="8"/>
      <c r="K8" s="8"/>
      <c r="L8" s="1"/>
      <c r="M8" s="1"/>
      <c r="N8" s="1"/>
      <c r="O8" s="1"/>
      <c r="P8" s="206"/>
      <c r="Q8" s="1"/>
      <c r="R8" s="1"/>
      <c r="S8" s="1"/>
      <c r="T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row>
    <row r="9" spans="1:63" ht="13.8" x14ac:dyDescent="0.25">
      <c r="A9" s="1"/>
      <c r="B9" s="420"/>
      <c r="C9" s="419"/>
      <c r="D9" s="419"/>
      <c r="E9" s="419"/>
      <c r="F9" s="468"/>
      <c r="G9" s="1"/>
      <c r="H9" s="427" t="s">
        <v>583</v>
      </c>
      <c r="I9" s="1"/>
      <c r="J9" s="206"/>
      <c r="K9" s="1"/>
      <c r="L9" s="1"/>
      <c r="M9" s="1"/>
      <c r="N9" s="1"/>
      <c r="O9" s="1"/>
      <c r="P9" s="1"/>
      <c r="Q9" s="1"/>
      <c r="R9" s="1"/>
      <c r="S9" s="1"/>
      <c r="T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row>
    <row r="10" spans="1:63" ht="14.4" thickBot="1" x14ac:dyDescent="0.3">
      <c r="A10" s="1"/>
      <c r="B10" s="418"/>
      <c r="C10" s="417"/>
      <c r="D10" s="417"/>
      <c r="E10" s="417"/>
      <c r="F10" s="471" t="s">
        <v>66</v>
      </c>
      <c r="G10" s="1"/>
      <c r="H10" s="431" t="s">
        <v>586</v>
      </c>
      <c r="I10" s="1"/>
      <c r="J10" s="1"/>
      <c r="K10" s="1"/>
      <c r="L10" s="1"/>
      <c r="M10" s="1"/>
      <c r="N10" s="1"/>
      <c r="O10" s="1"/>
      <c r="P10" s="1"/>
      <c r="Q10" s="1"/>
      <c r="R10" s="1"/>
      <c r="S10" s="1"/>
      <c r="T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row>
    <row r="11" spans="1:63" ht="13.8" thickTop="1" x14ac:dyDescent="0.25">
      <c r="A11" s="1"/>
      <c r="B11" s="1"/>
      <c r="C11" s="1"/>
      <c r="D11" s="1"/>
      <c r="E11" s="1"/>
      <c r="F11" s="1"/>
      <c r="G11" s="1"/>
      <c r="H11" s="1"/>
      <c r="I11" s="1"/>
      <c r="J11" s="1"/>
      <c r="K11" s="1"/>
      <c r="L11" s="1"/>
      <c r="M11" s="1"/>
      <c r="N11" s="1"/>
      <c r="O11" s="1"/>
      <c r="P11" s="1"/>
      <c r="Q11" s="1"/>
      <c r="R11" s="1"/>
      <c r="S11" s="1"/>
      <c r="T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row>
    <row r="12" spans="1:63" x14ac:dyDescent="0.25">
      <c r="A12" s="1"/>
      <c r="B12" s="8" t="s">
        <v>612</v>
      </c>
      <c r="C12" s="1" t="str">
        <f>Cv_Table</f>
        <v>BALL_SEG</v>
      </c>
      <c r="D12" s="1"/>
      <c r="E12" s="1"/>
      <c r="F12" s="1"/>
      <c r="G12" s="1"/>
      <c r="H12" s="1"/>
      <c r="I12" s="1"/>
      <c r="J12" s="8"/>
      <c r="K12" s="1"/>
      <c r="L12" s="1"/>
      <c r="M12" s="1"/>
      <c r="N12" s="1"/>
      <c r="O12" s="1"/>
      <c r="P12" s="1"/>
      <c r="Q12" s="1"/>
      <c r="R12" s="1"/>
      <c r="S12" s="1"/>
      <c r="T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row>
    <row r="13" spans="1:63" x14ac:dyDescent="0.25">
      <c r="A13" s="1"/>
      <c r="B13" s="1"/>
      <c r="C13" s="1"/>
      <c r="D13" s="1"/>
      <c r="E13" s="1"/>
      <c r="F13" s="1"/>
      <c r="G13" s="1"/>
      <c r="H13" s="1"/>
      <c r="I13" s="1"/>
      <c r="J13" s="8"/>
      <c r="K13" s="438"/>
      <c r="L13" s="438"/>
      <c r="M13" s="438"/>
      <c r="N13" s="438"/>
      <c r="O13" s="438"/>
      <c r="P13" s="438"/>
      <c r="Q13" s="438"/>
      <c r="R13" s="438"/>
      <c r="S13" s="438"/>
      <c r="T13" s="438"/>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row>
    <row r="14" spans="1:63" ht="16.2" thickBot="1" x14ac:dyDescent="0.35">
      <c r="A14" s="1"/>
      <c r="B14" s="1"/>
      <c r="C14" s="1"/>
      <c r="D14" s="1"/>
      <c r="E14" s="1"/>
      <c r="F14" s="1"/>
      <c r="G14" s="1"/>
      <c r="H14" s="477"/>
      <c r="I14" s="477"/>
      <c r="J14" s="477"/>
      <c r="K14" s="477"/>
      <c r="L14" s="477"/>
      <c r="M14" s="478" t="s">
        <v>217</v>
      </c>
      <c r="N14" s="477"/>
      <c r="O14" s="477"/>
      <c r="P14" s="477"/>
      <c r="Q14" s="477"/>
      <c r="R14" s="477"/>
      <c r="S14" s="477"/>
      <c r="T14" s="477"/>
      <c r="U14" s="13"/>
      <c r="V14" s="477"/>
      <c r="W14" s="477"/>
      <c r="X14" s="477"/>
      <c r="Y14" s="477"/>
      <c r="Z14" s="477"/>
      <c r="AA14" s="478" t="s">
        <v>218</v>
      </c>
      <c r="AB14" s="477"/>
      <c r="AC14" s="477"/>
      <c r="AD14" s="477"/>
      <c r="AE14" s="477"/>
      <c r="AF14" s="477"/>
      <c r="AG14" s="477"/>
      <c r="AH14" s="477"/>
      <c r="AI14" s="1"/>
      <c r="AJ14" s="477"/>
      <c r="AK14" s="477"/>
      <c r="AL14" s="477"/>
      <c r="AM14" s="477"/>
      <c r="AN14" s="477"/>
      <c r="AO14" s="478" t="s">
        <v>219</v>
      </c>
      <c r="AP14" s="477"/>
      <c r="AQ14" s="477"/>
      <c r="AR14" s="477"/>
      <c r="AS14" s="477"/>
      <c r="AT14" s="477"/>
      <c r="AU14" s="477"/>
      <c r="AV14" s="477"/>
      <c r="AW14" s="1"/>
      <c r="AX14" s="1"/>
      <c r="AY14" s="477"/>
      <c r="AZ14" s="477"/>
      <c r="BA14" s="477"/>
      <c r="BB14" s="477"/>
      <c r="BC14" s="477"/>
      <c r="BD14" s="478" t="s">
        <v>220</v>
      </c>
      <c r="BE14" s="477"/>
      <c r="BF14" s="477"/>
      <c r="BG14" s="477"/>
      <c r="BH14" s="477"/>
      <c r="BI14" s="477"/>
      <c r="BJ14" s="477"/>
      <c r="BK14" s="477"/>
    </row>
    <row r="15" spans="1:63" ht="14.4" thickTop="1" x14ac:dyDescent="0.25">
      <c r="A15" s="1"/>
      <c r="B15" s="1"/>
      <c r="C15" s="1"/>
      <c r="D15" s="1"/>
      <c r="E15" s="1"/>
      <c r="F15" s="1"/>
      <c r="G15" s="1"/>
      <c r="H15" s="1"/>
      <c r="I15" s="1"/>
      <c r="J15" s="1"/>
      <c r="K15" s="409"/>
      <c r="L15" s="409"/>
      <c r="M15" s="409"/>
      <c r="N15" s="409"/>
      <c r="O15" s="409"/>
      <c r="P15" s="409"/>
      <c r="Q15" s="409"/>
      <c r="R15" s="409"/>
      <c r="S15" s="409"/>
      <c r="T15" s="409"/>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row>
    <row r="16" spans="1:63" ht="14.4" thickBot="1" x14ac:dyDescent="0.3">
      <c r="A16" s="1"/>
      <c r="B16" s="1"/>
      <c r="C16" s="1"/>
      <c r="D16" s="1"/>
      <c r="E16" s="1"/>
      <c r="F16" s="1"/>
      <c r="G16" s="1"/>
      <c r="H16" s="454"/>
      <c r="I16" s="415" t="s">
        <v>574</v>
      </c>
      <c r="J16" s="464">
        <f>$C$6</f>
        <v>12.91938248122084</v>
      </c>
      <c r="K16" s="455"/>
      <c r="L16" s="455"/>
      <c r="M16" s="455"/>
      <c r="N16" s="455"/>
      <c r="O16" s="455"/>
      <c r="P16" s="455"/>
      <c r="Q16" s="455"/>
      <c r="R16" s="455"/>
      <c r="S16" s="455"/>
      <c r="T16" s="456"/>
      <c r="V16" s="454"/>
      <c r="W16" s="415" t="s">
        <v>574</v>
      </c>
      <c r="X16" s="464">
        <f>$D$6</f>
        <v>39.440483902801446</v>
      </c>
      <c r="Y16" s="455"/>
      <c r="Z16" s="455"/>
      <c r="AA16" s="455"/>
      <c r="AB16" s="455"/>
      <c r="AC16" s="455"/>
      <c r="AD16" s="455"/>
      <c r="AE16" s="455"/>
      <c r="AF16" s="455"/>
      <c r="AG16" s="455"/>
      <c r="AH16" s="456"/>
      <c r="AI16" s="1"/>
      <c r="AJ16" s="454"/>
      <c r="AK16" s="415" t="s">
        <v>574</v>
      </c>
      <c r="AL16" s="464">
        <f>$E$6</f>
        <v>90.647576683611092</v>
      </c>
      <c r="AM16" s="455"/>
      <c r="AN16" s="455"/>
      <c r="AO16" s="455"/>
      <c r="AP16" s="455"/>
      <c r="AQ16" s="455"/>
      <c r="AR16" s="455"/>
      <c r="AS16" s="455"/>
      <c r="AT16" s="455"/>
      <c r="AU16" s="455"/>
      <c r="AV16" s="456"/>
      <c r="AW16" s="1"/>
      <c r="AX16" s="454"/>
      <c r="AY16" s="415" t="s">
        <v>574</v>
      </c>
      <c r="AZ16" s="464">
        <f>$F$6</f>
        <v>136.9873645357365</v>
      </c>
      <c r="BA16" s="455"/>
      <c r="BB16" s="455"/>
      <c r="BC16" s="455"/>
      <c r="BD16" s="455"/>
      <c r="BE16" s="455"/>
      <c r="BF16" s="455"/>
      <c r="BG16" s="455"/>
      <c r="BH16" s="455"/>
      <c r="BI16" s="455"/>
      <c r="BJ16" s="456"/>
      <c r="BK16" s="1"/>
    </row>
    <row r="17" spans="1:63" ht="13.8" thickBot="1" x14ac:dyDescent="0.3">
      <c r="A17" s="1"/>
      <c r="B17" s="1"/>
      <c r="C17" s="1"/>
      <c r="D17" s="1"/>
      <c r="E17" s="1"/>
      <c r="F17" s="1"/>
      <c r="G17" s="1"/>
      <c r="H17" s="116" t="s">
        <v>601</v>
      </c>
      <c r="I17" s="413" t="s">
        <v>573</v>
      </c>
      <c r="J17" s="21">
        <v>0</v>
      </c>
      <c r="K17" s="438">
        <f ca="1">VLOOKUP(VS_IN,INDIRECT(Cv_Table),2,0)</f>
        <v>4.7300000000000004</v>
      </c>
      <c r="L17" s="438">
        <f ca="1">VLOOKUP(VS_IN,INDIRECT(Cv_Table),3,0)</f>
        <v>11.6</v>
      </c>
      <c r="M17" s="438">
        <f ca="1">VLOOKUP(VS_IN,INDIRECT(Cv_Table),4,0)</f>
        <v>23</v>
      </c>
      <c r="N17" s="438">
        <f ca="1">VLOOKUP(VS_IN,INDIRECT(Cv_Table),5,0)</f>
        <v>39.4</v>
      </c>
      <c r="O17" s="438">
        <f ca="1">VLOOKUP(VS_IN,INDIRECT(Cv_Table),6,0)</f>
        <v>61</v>
      </c>
      <c r="P17" s="438">
        <f ca="1">VLOOKUP(VS_IN,INDIRECT(Cv_Table),7,0)</f>
        <v>88.2</v>
      </c>
      <c r="Q17" s="438">
        <f ca="1">VLOOKUP(VS_IN,INDIRECT(Cv_Table),8,0)</f>
        <v>121</v>
      </c>
      <c r="R17" s="438">
        <f ca="1">VLOOKUP(VS_IN,INDIRECT(Cv_Table),9,0)</f>
        <v>165</v>
      </c>
      <c r="S17" s="438">
        <f ca="1">VLOOKUP(VS_IN,INDIRECT(Cv_Table),10,0)</f>
        <v>246</v>
      </c>
      <c r="T17" s="479">
        <f ca="1">VLOOKUP(VS_IN,INDIRECT(Cv_Table),11,0)</f>
        <v>420</v>
      </c>
      <c r="V17" s="116" t="s">
        <v>601</v>
      </c>
      <c r="W17" s="413" t="s">
        <v>573</v>
      </c>
      <c r="X17" s="21">
        <v>0</v>
      </c>
      <c r="Y17" s="438">
        <f ca="1">VLOOKUP(VS_IN,INDIRECT(Cv_Table),2,0)</f>
        <v>4.7300000000000004</v>
      </c>
      <c r="Z17" s="438">
        <f ca="1">VLOOKUP(VS_IN,INDIRECT(Cv_Table),3,0)</f>
        <v>11.6</v>
      </c>
      <c r="AA17" s="438">
        <f ca="1">VLOOKUP(VS_IN,INDIRECT(Cv_Table),4,0)</f>
        <v>23</v>
      </c>
      <c r="AB17" s="438">
        <f ca="1">VLOOKUP(VS_IN,INDIRECT(Cv_Table),5,0)</f>
        <v>39.4</v>
      </c>
      <c r="AC17" s="438">
        <f ca="1">VLOOKUP(VS_IN,INDIRECT(Cv_Table),6,0)</f>
        <v>61</v>
      </c>
      <c r="AD17" s="438">
        <f ca="1">VLOOKUP(VS_IN,INDIRECT(Cv_Table),7,0)</f>
        <v>88.2</v>
      </c>
      <c r="AE17" s="438">
        <f ca="1">VLOOKUP(VS_IN,INDIRECT(Cv_Table),8,0)</f>
        <v>121</v>
      </c>
      <c r="AF17" s="438">
        <f ca="1">VLOOKUP(VS_IN,INDIRECT(Cv_Table),9,0)</f>
        <v>165</v>
      </c>
      <c r="AG17" s="438">
        <f ca="1">VLOOKUP(VS_IN,INDIRECT(Cv_Table),10,0)</f>
        <v>246</v>
      </c>
      <c r="AH17" s="479">
        <f ca="1">VLOOKUP(VS_IN,INDIRECT(Cv_Table),11,0)</f>
        <v>420</v>
      </c>
      <c r="AI17" s="1"/>
      <c r="AJ17" s="116" t="s">
        <v>601</v>
      </c>
      <c r="AK17" s="413" t="s">
        <v>573</v>
      </c>
      <c r="AL17" s="21">
        <v>0</v>
      </c>
      <c r="AM17" s="438">
        <f ca="1">VLOOKUP(VS_IN,INDIRECT(Cv_Table),2,0)</f>
        <v>4.7300000000000004</v>
      </c>
      <c r="AN17" s="438">
        <f ca="1">VLOOKUP(VS_IN,INDIRECT(Cv_Table),3,0)</f>
        <v>11.6</v>
      </c>
      <c r="AO17" s="438">
        <f ca="1">VLOOKUP(VS_IN,INDIRECT(Cv_Table),4,0)</f>
        <v>23</v>
      </c>
      <c r="AP17" s="438">
        <f ca="1">VLOOKUP(VS_IN,INDIRECT(Cv_Table),5,0)</f>
        <v>39.4</v>
      </c>
      <c r="AQ17" s="438">
        <f ca="1">VLOOKUP(VS_IN,INDIRECT(Cv_Table),6,0)</f>
        <v>61</v>
      </c>
      <c r="AR17" s="438">
        <f ca="1">VLOOKUP(VS_IN,INDIRECT(Cv_Table),7,0)</f>
        <v>88.2</v>
      </c>
      <c r="AS17" s="438">
        <f ca="1">VLOOKUP(VS_IN,INDIRECT(Cv_Table),8,0)</f>
        <v>121</v>
      </c>
      <c r="AT17" s="438">
        <f ca="1">VLOOKUP(VS_IN,INDIRECT(Cv_Table),9,0)</f>
        <v>165</v>
      </c>
      <c r="AU17" s="438">
        <f ca="1">VLOOKUP(VS_IN,INDIRECT(Cv_Table),10,0)</f>
        <v>246</v>
      </c>
      <c r="AV17" s="479">
        <f ca="1">VLOOKUP(VS_IN,INDIRECT(Cv_Table),11,0)</f>
        <v>420</v>
      </c>
      <c r="AW17" s="1"/>
      <c r="AX17" s="116" t="s">
        <v>601</v>
      </c>
      <c r="AY17" s="413" t="s">
        <v>573</v>
      </c>
      <c r="AZ17" s="21">
        <v>0</v>
      </c>
      <c r="BA17" s="438">
        <f ca="1">VLOOKUP(VS_IN,INDIRECT(Cv_Table),2,0)</f>
        <v>4.7300000000000004</v>
      </c>
      <c r="BB17" s="438">
        <f ca="1">VLOOKUP(VS_IN,INDIRECT(Cv_Table),3,0)</f>
        <v>11.6</v>
      </c>
      <c r="BC17" s="438">
        <f ca="1">VLOOKUP(VS_IN,INDIRECT(Cv_Table),4,0)</f>
        <v>23</v>
      </c>
      <c r="BD17" s="438">
        <f ca="1">VLOOKUP(VS_IN,INDIRECT(Cv_Table),5,0)</f>
        <v>39.4</v>
      </c>
      <c r="BE17" s="438">
        <f ca="1">VLOOKUP(VS_IN,INDIRECT(Cv_Table),6,0)</f>
        <v>61</v>
      </c>
      <c r="BF17" s="438">
        <f ca="1">VLOOKUP(VS_IN,INDIRECT(Cv_Table),7,0)</f>
        <v>88.2</v>
      </c>
      <c r="BG17" s="438">
        <f ca="1">VLOOKUP(VS_IN,INDIRECT(Cv_Table),8,0)</f>
        <v>121</v>
      </c>
      <c r="BH17" s="438">
        <f ca="1">VLOOKUP(VS_IN,INDIRECT(Cv_Table),9,0)</f>
        <v>165</v>
      </c>
      <c r="BI17" s="438">
        <f ca="1">VLOOKUP(VS_IN,INDIRECT(Cv_Table),10,0)</f>
        <v>246</v>
      </c>
      <c r="BJ17" s="479">
        <f ca="1">VLOOKUP(VS_IN,INDIRECT(Cv_Table),11,0)</f>
        <v>420</v>
      </c>
      <c r="BK17" s="1"/>
    </row>
    <row r="18" spans="1:63" ht="13.8" thickBot="1" x14ac:dyDescent="0.3">
      <c r="A18" s="1"/>
      <c r="B18" s="1"/>
      <c r="C18" s="1"/>
      <c r="D18" s="1"/>
      <c r="E18" s="1"/>
      <c r="F18" s="1"/>
      <c r="G18" s="1"/>
      <c r="H18" s="107"/>
      <c r="I18" s="412" t="s">
        <v>571</v>
      </c>
      <c r="J18" s="412">
        <v>0</v>
      </c>
      <c r="K18" s="412">
        <v>10</v>
      </c>
      <c r="L18" s="412">
        <v>20</v>
      </c>
      <c r="M18" s="412">
        <v>30</v>
      </c>
      <c r="N18" s="412">
        <v>40</v>
      </c>
      <c r="O18" s="412">
        <v>50</v>
      </c>
      <c r="P18" s="412">
        <v>60</v>
      </c>
      <c r="Q18" s="412">
        <v>70</v>
      </c>
      <c r="R18" s="412">
        <v>80</v>
      </c>
      <c r="S18" s="412">
        <v>90</v>
      </c>
      <c r="T18" s="458">
        <v>100</v>
      </c>
      <c r="V18" s="107"/>
      <c r="W18" s="412" t="s">
        <v>571</v>
      </c>
      <c r="X18" s="412">
        <v>0</v>
      </c>
      <c r="Y18" s="412">
        <v>10</v>
      </c>
      <c r="Z18" s="412">
        <v>20</v>
      </c>
      <c r="AA18" s="412">
        <v>30</v>
      </c>
      <c r="AB18" s="412">
        <v>40</v>
      </c>
      <c r="AC18" s="412">
        <v>50</v>
      </c>
      <c r="AD18" s="412">
        <v>60</v>
      </c>
      <c r="AE18" s="412">
        <v>70</v>
      </c>
      <c r="AF18" s="412">
        <v>80</v>
      </c>
      <c r="AG18" s="412">
        <v>90</v>
      </c>
      <c r="AH18" s="458">
        <v>100</v>
      </c>
      <c r="AI18" s="1"/>
      <c r="AJ18" s="107"/>
      <c r="AK18" s="412" t="s">
        <v>571</v>
      </c>
      <c r="AL18" s="412">
        <v>0</v>
      </c>
      <c r="AM18" s="412">
        <v>10</v>
      </c>
      <c r="AN18" s="412">
        <v>20</v>
      </c>
      <c r="AO18" s="412">
        <v>30</v>
      </c>
      <c r="AP18" s="412">
        <v>40</v>
      </c>
      <c r="AQ18" s="412">
        <v>50</v>
      </c>
      <c r="AR18" s="412">
        <v>60</v>
      </c>
      <c r="AS18" s="412">
        <v>70</v>
      </c>
      <c r="AT18" s="412">
        <v>80</v>
      </c>
      <c r="AU18" s="412">
        <v>90</v>
      </c>
      <c r="AV18" s="458">
        <v>100</v>
      </c>
      <c r="AW18" s="1"/>
      <c r="AX18" s="107"/>
      <c r="AY18" s="412" t="s">
        <v>571</v>
      </c>
      <c r="AZ18" s="412">
        <v>0</v>
      </c>
      <c r="BA18" s="412">
        <v>10</v>
      </c>
      <c r="BB18" s="412">
        <v>20</v>
      </c>
      <c r="BC18" s="412">
        <v>30</v>
      </c>
      <c r="BD18" s="412">
        <v>40</v>
      </c>
      <c r="BE18" s="412">
        <v>50</v>
      </c>
      <c r="BF18" s="412">
        <v>60</v>
      </c>
      <c r="BG18" s="412">
        <v>70</v>
      </c>
      <c r="BH18" s="412">
        <v>80</v>
      </c>
      <c r="BI18" s="412">
        <v>90</v>
      </c>
      <c r="BJ18" s="458">
        <v>100</v>
      </c>
      <c r="BK18" s="1"/>
    </row>
    <row r="19" spans="1:63" ht="13.8" x14ac:dyDescent="0.25">
      <c r="A19" s="1"/>
      <c r="B19" s="206"/>
      <c r="C19" s="1"/>
      <c r="D19" s="1"/>
      <c r="E19" s="8"/>
      <c r="F19" s="1"/>
      <c r="G19" s="1"/>
      <c r="H19" s="116"/>
      <c r="I19" s="411" t="s">
        <v>71</v>
      </c>
      <c r="J19" s="440">
        <f t="shared" ref="J19:S19" ca="1" si="1">(K18-J18)/(K17-J17)</f>
        <v>2.1141649048625792</v>
      </c>
      <c r="K19" s="440">
        <f t="shared" ca="1" si="1"/>
        <v>1.4556040756914121</v>
      </c>
      <c r="L19" s="440">
        <f t="shared" ca="1" si="1"/>
        <v>0.8771929824561403</v>
      </c>
      <c r="M19" s="440">
        <f t="shared" ca="1" si="1"/>
        <v>0.60975609756097571</v>
      </c>
      <c r="N19" s="440">
        <f t="shared" ca="1" si="1"/>
        <v>0.46296296296296291</v>
      </c>
      <c r="O19" s="440">
        <f t="shared" ca="1" si="1"/>
        <v>0.36764705882352938</v>
      </c>
      <c r="P19" s="440">
        <f t="shared" ca="1" si="1"/>
        <v>0.30487804878048785</v>
      </c>
      <c r="Q19" s="440">
        <f t="shared" ca="1" si="1"/>
        <v>0.22727272727272727</v>
      </c>
      <c r="R19" s="440">
        <f t="shared" ca="1" si="1"/>
        <v>0.12345679012345678</v>
      </c>
      <c r="S19" s="440">
        <f t="shared" ca="1" si="1"/>
        <v>5.7471264367816091E-2</v>
      </c>
      <c r="T19" s="459"/>
      <c r="V19" s="116"/>
      <c r="W19" s="411" t="s">
        <v>71</v>
      </c>
      <c r="X19" s="440">
        <f t="shared" ref="X19" ca="1" si="2">(Y18-X18)/(Y17-X17)</f>
        <v>2.1141649048625792</v>
      </c>
      <c r="Y19" s="440">
        <f t="shared" ref="Y19" ca="1" si="3">(Z18-Y18)/(Z17-Y17)</f>
        <v>1.4556040756914121</v>
      </c>
      <c r="Z19" s="440">
        <f t="shared" ref="Z19" ca="1" si="4">(AA18-Z18)/(AA17-Z17)</f>
        <v>0.8771929824561403</v>
      </c>
      <c r="AA19" s="440">
        <f t="shared" ref="AA19" ca="1" si="5">(AB18-AA18)/(AB17-AA17)</f>
        <v>0.60975609756097571</v>
      </c>
      <c r="AB19" s="440">
        <f t="shared" ref="AB19" ca="1" si="6">(AC18-AB18)/(AC17-AB17)</f>
        <v>0.46296296296296291</v>
      </c>
      <c r="AC19" s="440">
        <f t="shared" ref="AC19" ca="1" si="7">(AD18-AC18)/(AD17-AC17)</f>
        <v>0.36764705882352938</v>
      </c>
      <c r="AD19" s="440">
        <f t="shared" ref="AD19" ca="1" si="8">(AE18-AD18)/(AE17-AD17)</f>
        <v>0.30487804878048785</v>
      </c>
      <c r="AE19" s="440">
        <f t="shared" ref="AE19" ca="1" si="9">(AF18-AE18)/(AF17-AE17)</f>
        <v>0.22727272727272727</v>
      </c>
      <c r="AF19" s="440">
        <f t="shared" ref="AF19" ca="1" si="10">(AG18-AF18)/(AG17-AF17)</f>
        <v>0.12345679012345678</v>
      </c>
      <c r="AG19" s="440">
        <f t="shared" ref="AG19" ca="1" si="11">(AH18-AG18)/(AH17-AG17)</f>
        <v>5.7471264367816091E-2</v>
      </c>
      <c r="AH19" s="459"/>
      <c r="AI19" s="1"/>
      <c r="AJ19" s="116"/>
      <c r="AK19" s="411" t="s">
        <v>71</v>
      </c>
      <c r="AL19" s="440">
        <f t="shared" ref="AL19" ca="1" si="12">(AM18-AL18)/(AM17-AL17)</f>
        <v>2.1141649048625792</v>
      </c>
      <c r="AM19" s="440">
        <f t="shared" ref="AM19" ca="1" si="13">(AN18-AM18)/(AN17-AM17)</f>
        <v>1.4556040756914121</v>
      </c>
      <c r="AN19" s="440">
        <f t="shared" ref="AN19" ca="1" si="14">(AO18-AN18)/(AO17-AN17)</f>
        <v>0.8771929824561403</v>
      </c>
      <c r="AO19" s="440">
        <f t="shared" ref="AO19" ca="1" si="15">(AP18-AO18)/(AP17-AO17)</f>
        <v>0.60975609756097571</v>
      </c>
      <c r="AP19" s="440">
        <f t="shared" ref="AP19" ca="1" si="16">(AQ18-AP18)/(AQ17-AP17)</f>
        <v>0.46296296296296291</v>
      </c>
      <c r="AQ19" s="440">
        <f t="shared" ref="AQ19" ca="1" si="17">(AR18-AQ18)/(AR17-AQ17)</f>
        <v>0.36764705882352938</v>
      </c>
      <c r="AR19" s="440">
        <f t="shared" ref="AR19" ca="1" si="18">(AS18-AR18)/(AS17-AR17)</f>
        <v>0.30487804878048785</v>
      </c>
      <c r="AS19" s="440">
        <f t="shared" ref="AS19" ca="1" si="19">(AT18-AS18)/(AT17-AS17)</f>
        <v>0.22727272727272727</v>
      </c>
      <c r="AT19" s="440">
        <f t="shared" ref="AT19" ca="1" si="20">(AU18-AT18)/(AU17-AT17)</f>
        <v>0.12345679012345678</v>
      </c>
      <c r="AU19" s="440">
        <f t="shared" ref="AU19" ca="1" si="21">(AV18-AU18)/(AV17-AU17)</f>
        <v>5.7471264367816091E-2</v>
      </c>
      <c r="AV19" s="459"/>
      <c r="AW19" s="1"/>
      <c r="AX19" s="116"/>
      <c r="AY19" s="411" t="s">
        <v>71</v>
      </c>
      <c r="AZ19" s="440">
        <f t="shared" ref="AZ19" ca="1" si="22">(BA18-AZ18)/(BA17-AZ17)</f>
        <v>2.1141649048625792</v>
      </c>
      <c r="BA19" s="440">
        <f t="shared" ref="BA19" ca="1" si="23">(BB18-BA18)/(BB17-BA17)</f>
        <v>1.4556040756914121</v>
      </c>
      <c r="BB19" s="440">
        <f t="shared" ref="BB19" ca="1" si="24">(BC18-BB18)/(BC17-BB17)</f>
        <v>0.8771929824561403</v>
      </c>
      <c r="BC19" s="440">
        <f t="shared" ref="BC19" ca="1" si="25">(BD18-BC18)/(BD17-BC17)</f>
        <v>0.60975609756097571</v>
      </c>
      <c r="BD19" s="440">
        <f t="shared" ref="BD19" ca="1" si="26">(BE18-BD18)/(BE17-BD17)</f>
        <v>0.46296296296296291</v>
      </c>
      <c r="BE19" s="440">
        <f t="shared" ref="BE19" ca="1" si="27">(BF18-BE18)/(BF17-BE17)</f>
        <v>0.36764705882352938</v>
      </c>
      <c r="BF19" s="440">
        <f t="shared" ref="BF19" ca="1" si="28">(BG18-BF18)/(BG17-BF17)</f>
        <v>0.30487804878048785</v>
      </c>
      <c r="BG19" s="440">
        <f t="shared" ref="BG19" ca="1" si="29">(BH18-BG18)/(BH17-BG17)</f>
        <v>0.22727272727272727</v>
      </c>
      <c r="BH19" s="440">
        <f t="shared" ref="BH19" ca="1" si="30">(BI18-BH18)/(BI17-BH17)</f>
        <v>0.12345679012345678</v>
      </c>
      <c r="BI19" s="440">
        <f t="shared" ref="BI19" ca="1" si="31">(BJ18-BI18)/(BJ17-BI17)</f>
        <v>5.7471264367816091E-2</v>
      </c>
      <c r="BJ19" s="459"/>
      <c r="BK19" s="1"/>
    </row>
    <row r="20" spans="1:63" ht="14.4" thickBot="1" x14ac:dyDescent="0.3">
      <c r="A20" s="1"/>
      <c r="B20" s="1"/>
      <c r="C20" s="1"/>
      <c r="D20" s="1"/>
      <c r="E20" s="1"/>
      <c r="F20" s="1"/>
      <c r="G20" s="1"/>
      <c r="H20" s="107"/>
      <c r="I20" s="411"/>
      <c r="J20" s="440">
        <f ca="1">J18+(J16-J17)*J19</f>
        <v>27.31370503429353</v>
      </c>
      <c r="K20" s="440">
        <f ca="1">K18+(J16-K17)*K19</f>
        <v>21.920498517060903</v>
      </c>
      <c r="L20" s="440">
        <f ca="1">L18+(J16-L17)*L19</f>
        <v>21.15735305370249</v>
      </c>
      <c r="M20" s="440">
        <f ca="1">M18+(J16-M17)*M19</f>
        <v>23.853282000744414</v>
      </c>
      <c r="N20" s="440">
        <f ca="1">N18+(J16-N17)*N19</f>
        <v>27.740454852417059</v>
      </c>
      <c r="O20" s="440">
        <f ca="1">O18+(J16-O17)*O19</f>
        <v>32.323302382801778</v>
      </c>
      <c r="P20" s="440">
        <f ca="1">P18+(J16-P17)*P19</f>
        <v>37.048592219884398</v>
      </c>
      <c r="Q20" s="440">
        <f ca="1">Q18+(J16-Q17)*Q19</f>
        <v>45.43622329118655</v>
      </c>
      <c r="R20" s="440">
        <f ca="1">R18+(J16-R17)*R19</f>
        <v>61.224615121138378</v>
      </c>
      <c r="S20" s="440">
        <f ca="1">S18+(J16-S17)*S19</f>
        <v>76.604562211564414</v>
      </c>
      <c r="T20" s="459"/>
      <c r="V20" s="107"/>
      <c r="W20" s="411"/>
      <c r="X20" s="440">
        <f ca="1">X18+(X16-X17)*X19</f>
        <v>83.383686898100308</v>
      </c>
      <c r="Y20" s="440">
        <f ca="1">Y18+(X16-Y17)*Y19</f>
        <v>60.52472183813893</v>
      </c>
      <c r="Z20" s="440">
        <f ca="1">Z18+(X16-Z17)*Z19</f>
        <v>44.421477107720563</v>
      </c>
      <c r="AA20" s="440">
        <f ca="1">AA18+(X16-AA17)*AA19</f>
        <v>40.02468530658625</v>
      </c>
      <c r="AB20" s="440">
        <f ca="1">AB18+(X16-AB17)*AB19</f>
        <v>40.018742547593263</v>
      </c>
      <c r="AC20" s="440">
        <f ca="1">AC18+(X16-AC17)*AC19</f>
        <v>42.073707317206413</v>
      </c>
      <c r="AD20" s="440">
        <f ca="1">AD18+(X16-AD17)*AD19</f>
        <v>45.134293872805316</v>
      </c>
      <c r="AE20" s="440">
        <f ca="1">AE18+(X16-AE17)*AE19</f>
        <v>51.463746341545786</v>
      </c>
      <c r="AF20" s="440">
        <f ca="1">AF18+(X16-AF17)*AF19</f>
        <v>64.498825173185367</v>
      </c>
      <c r="AG20" s="440">
        <f ca="1">AG18+(X16-AG17)*AG19</f>
        <v>78.128763442689745</v>
      </c>
      <c r="AH20" s="459"/>
      <c r="AI20" s="1"/>
      <c r="AJ20" s="107"/>
      <c r="AK20" s="411"/>
      <c r="AL20" s="440">
        <f ca="1">AL18+(AL16-AL17)*AL19</f>
        <v>191.64392533533001</v>
      </c>
      <c r="AM20" s="440">
        <f ca="1">AM18+(AL16-AM17)*AM19</f>
        <v>135.06197479419376</v>
      </c>
      <c r="AN20" s="440">
        <f ca="1">AN18+(AL16-AN17)*AN19</f>
        <v>89.339979547027269</v>
      </c>
      <c r="AO20" s="440">
        <f ca="1">AO18+(AL16-AO17)*AO19</f>
        <v>71.248522368055546</v>
      </c>
      <c r="AP20" s="440">
        <f ca="1">AP18+(AL16-AP17)*AP19</f>
        <v>63.725729946116246</v>
      </c>
      <c r="AQ20" s="440">
        <f ca="1">AQ18+(AL16-AQ17)*AQ19</f>
        <v>60.899844368974669</v>
      </c>
      <c r="AR20" s="440">
        <f ca="1">AR18+(AL16-AR17)*AR19</f>
        <v>60.746212403539964</v>
      </c>
      <c r="AS20" s="440">
        <f ca="1">AS18+(AL16-AS17)*AS19</f>
        <v>63.101721973547974</v>
      </c>
      <c r="AT20" s="440">
        <f ca="1">AT18+(AL16-AT17)*AT19</f>
        <v>70.820688479458155</v>
      </c>
      <c r="AU20" s="440">
        <f ca="1">AU18+(AL16-AU17)*AU19</f>
        <v>81.071699809402929</v>
      </c>
      <c r="AV20" s="459"/>
      <c r="AW20" s="1"/>
      <c r="AX20" s="107"/>
      <c r="AY20" s="411"/>
      <c r="AZ20" s="440">
        <f ca="1">AZ18+(AZ16-AZ17)*AZ19</f>
        <v>289.61387851107082</v>
      </c>
      <c r="BA20" s="440">
        <f ca="1">BA18+(AZ16-BA17)*BA19</f>
        <v>202.5143588584229</v>
      </c>
      <c r="BB20" s="440">
        <f ca="1">BB18+(AZ16-BB17)*BB19</f>
        <v>129.98891625941798</v>
      </c>
      <c r="BC20" s="440">
        <f ca="1">BC18+(AZ16-BC17)*BC19</f>
        <v>99.504490570571051</v>
      </c>
      <c r="BD20" s="440">
        <f ca="1">BD18+(AZ16-BD17)*BD19</f>
        <v>85.179335433211335</v>
      </c>
      <c r="BE20" s="440">
        <f ca="1">BE18+(AZ16-BE17)*BE19</f>
        <v>77.936531079314889</v>
      </c>
      <c r="BF20" s="440">
        <f ca="1">BF18+(AZ16-BF17)*BF19</f>
        <v>74.874196504797709</v>
      </c>
      <c r="BG20" s="440">
        <f ca="1">BG18+(AZ16-BG17)*BG19</f>
        <v>73.633491939940114</v>
      </c>
      <c r="BH20" s="440">
        <f ca="1">BH18+(AZ16-BH17)*BH19</f>
        <v>76.54164994268352</v>
      </c>
      <c r="BI20" s="440">
        <f ca="1">BI18+(AZ16-BI17)*BI19</f>
        <v>83.734906007800944</v>
      </c>
      <c r="BJ20" s="459"/>
      <c r="BK20" s="1"/>
    </row>
    <row r="21" spans="1:63" ht="16.2" thickTop="1" x14ac:dyDescent="0.3">
      <c r="A21" s="1"/>
      <c r="B21" s="1"/>
      <c r="C21" s="1"/>
      <c r="D21" s="1"/>
      <c r="E21" s="1"/>
      <c r="F21" s="1"/>
      <c r="G21" s="8"/>
      <c r="H21" s="460"/>
      <c r="I21" s="465" t="s">
        <v>572</v>
      </c>
      <c r="J21" s="466">
        <f ca="1">IF(J16&lt;K17,J20,IF(J16&lt;L17,K20,IF(J16&lt;M17,L20,IF(J16&lt;N17,M20,IF(J16&lt;O17,N20,IF(J16&lt;P17,O20,IF(J16&lt;Q17,P20,IF(J16&lt;R17,Q20,IF(J16&lt;S17,R20,IF(J16&lt;=T17,S20,"&gt;100%!!"))))))))))</f>
        <v>21.15735305370249</v>
      </c>
      <c r="K21" s="461"/>
      <c r="L21" s="461"/>
      <c r="M21" s="461"/>
      <c r="N21" s="462"/>
      <c r="O21" s="462"/>
      <c r="P21" s="462"/>
      <c r="Q21" s="462"/>
      <c r="R21" s="462"/>
      <c r="S21" s="462"/>
      <c r="T21" s="463"/>
      <c r="V21" s="460"/>
      <c r="W21" s="465" t="s">
        <v>572</v>
      </c>
      <c r="X21" s="466">
        <f ca="1">IF(X16&lt;Y17,X20,IF(X16&lt;Z17,Y20,IF(X16&lt;AA17,Z20,IF(X16&lt;AB17,AA20,IF(X16&lt;AC17,AB20,IF(X16&lt;AD17,AC20,IF(X16&lt;AE17,AD20,IF(X16&lt;AF17,AE20,IF(X16&lt;AG17,AF20,IF(X16&lt;=AH17,AG20,"&gt;100%!!"))))))))))</f>
        <v>40.018742547593263</v>
      </c>
      <c r="Y21" s="461"/>
      <c r="Z21" s="461"/>
      <c r="AA21" s="461"/>
      <c r="AB21" s="462"/>
      <c r="AC21" s="462"/>
      <c r="AD21" s="462"/>
      <c r="AE21" s="462"/>
      <c r="AF21" s="462"/>
      <c r="AG21" s="462"/>
      <c r="AH21" s="463"/>
      <c r="AI21" s="1"/>
      <c r="AJ21" s="460"/>
      <c r="AK21" s="465" t="s">
        <v>572</v>
      </c>
      <c r="AL21" s="466">
        <f ca="1">IF(AL16&lt;AM17,AL20,IF(AL16&lt;AN17,AM20,IF(AL16&lt;AO17,AN20,IF(AL16&lt;AP17,AO20,IF(AL16&lt;AQ17,AP20,IF(AL16&lt;AR17,AQ20,IF(AL16&lt;AS17,AR20,IF(AL16&lt;AT17,AS20,IF(AL16&lt;AU17,AT20,IF(AL16&lt;=AV17,AU20,"&gt;100%!!"))))))))))</f>
        <v>60.746212403539964</v>
      </c>
      <c r="AM21" s="461"/>
      <c r="AN21" s="461"/>
      <c r="AO21" s="461"/>
      <c r="AP21" s="462"/>
      <c r="AQ21" s="462"/>
      <c r="AR21" s="462"/>
      <c r="AS21" s="462"/>
      <c r="AT21" s="462"/>
      <c r="AU21" s="462"/>
      <c r="AV21" s="463"/>
      <c r="AW21" s="1"/>
      <c r="AX21" s="460"/>
      <c r="AY21" s="465" t="s">
        <v>572</v>
      </c>
      <c r="AZ21" s="466">
        <f ca="1">IF(AZ16&lt;BA17,AZ20,IF(AZ16&lt;BB17,BA20,IF(AZ16&lt;BC17,BB20,IF(AZ16&lt;BD17,BC20,IF(AZ16&lt;BE17,BD20,IF(AZ16&lt;BF17,BE20,IF(AZ16&lt;BG17,BF20,IF(AZ16&lt;BH17,BG20,IF(AZ16&lt;BI17,BH20,IF(AZ16&lt;=BJ17,BI20,"&gt;100%!!"))))))))))</f>
        <v>73.633491939940114</v>
      </c>
      <c r="BA21" s="461"/>
      <c r="BB21" s="461"/>
      <c r="BC21" s="461"/>
      <c r="BD21" s="462"/>
      <c r="BE21" s="462"/>
      <c r="BF21" s="462"/>
      <c r="BG21" s="462"/>
      <c r="BH21" s="462"/>
      <c r="BI21" s="462"/>
      <c r="BJ21" s="463"/>
      <c r="BK21" s="1"/>
    </row>
    <row r="22" spans="1:63" x14ac:dyDescent="0.25">
      <c r="A22" s="1"/>
      <c r="B22" s="1"/>
      <c r="C22" s="1"/>
      <c r="D22" s="1"/>
      <c r="E22" s="1"/>
      <c r="F22" s="1"/>
      <c r="G22" s="8"/>
      <c r="H22" s="1"/>
      <c r="I22" s="1"/>
      <c r="J22" s="1"/>
      <c r="K22" s="1"/>
      <c r="L22" s="1"/>
      <c r="M22" s="1"/>
      <c r="N22" s="1"/>
      <c r="O22" s="1"/>
      <c r="P22" s="1"/>
      <c r="Q22" s="1"/>
      <c r="R22" s="1"/>
      <c r="S22" s="1"/>
      <c r="T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row>
    <row r="23" spans="1:63" x14ac:dyDescent="0.25">
      <c r="A23" s="1"/>
      <c r="B23" s="1"/>
      <c r="C23" s="1"/>
      <c r="D23" s="1"/>
      <c r="E23" s="1"/>
      <c r="F23" s="1"/>
      <c r="G23" s="8"/>
      <c r="H23" s="1"/>
      <c r="I23" s="1"/>
      <c r="J23" s="1"/>
      <c r="K23" s="1"/>
      <c r="L23" s="1"/>
      <c r="M23" s="1"/>
      <c r="N23" s="1"/>
      <c r="O23" s="1"/>
      <c r="P23" s="1"/>
      <c r="Q23" s="1"/>
      <c r="R23" s="1"/>
      <c r="S23" s="1"/>
      <c r="T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row>
    <row r="24" spans="1:63" x14ac:dyDescent="0.25">
      <c r="A24" s="1"/>
      <c r="B24" s="1"/>
      <c r="C24" s="1"/>
      <c r="D24" s="1"/>
      <c r="E24" s="1"/>
      <c r="F24" s="1"/>
      <c r="G24" s="8"/>
      <c r="H24" s="1"/>
      <c r="I24" s="8"/>
      <c r="J24" s="1"/>
      <c r="K24" s="1"/>
      <c r="L24" s="13"/>
      <c r="M24" s="1"/>
      <c r="N24" s="1"/>
      <c r="O24" s="1"/>
      <c r="P24" s="1"/>
      <c r="Q24" s="1"/>
      <c r="R24" s="1"/>
      <c r="S24" s="1"/>
      <c r="T24" s="1"/>
      <c r="U24" s="36"/>
      <c r="V24" s="14"/>
      <c r="W24" s="14"/>
      <c r="X24" s="14"/>
      <c r="Y24" s="14"/>
      <c r="Z24" s="14"/>
      <c r="AA24" s="36"/>
      <c r="AB24" s="14"/>
      <c r="AC24" s="14"/>
      <c r="AD24" s="14"/>
      <c r="AE24" s="14"/>
      <c r="AF24" s="14"/>
      <c r="AG24" s="14"/>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row>
    <row r="25" spans="1:63" ht="18" thickBot="1" x14ac:dyDescent="0.35">
      <c r="A25" s="1"/>
      <c r="B25" s="1"/>
      <c r="C25" s="1"/>
      <c r="D25" s="1"/>
      <c r="E25" s="1"/>
      <c r="F25" s="1"/>
      <c r="G25" s="8"/>
      <c r="H25" s="1"/>
      <c r="I25" s="888" t="s">
        <v>613</v>
      </c>
      <c r="J25" s="888"/>
      <c r="K25" s="888"/>
      <c r="L25" s="888"/>
      <c r="M25" s="888"/>
      <c r="N25" s="888"/>
      <c r="O25" s="888"/>
      <c r="P25" s="888"/>
      <c r="Q25" s="888"/>
      <c r="R25" s="888"/>
      <c r="S25" s="888"/>
      <c r="T25" s="1"/>
      <c r="U25" s="21"/>
      <c r="V25" s="14"/>
      <c r="W25" s="14"/>
      <c r="X25" s="14"/>
      <c r="Y25" s="14"/>
      <c r="Z25" s="14"/>
      <c r="AA25" s="14"/>
      <c r="AB25" s="14"/>
      <c r="AC25" s="14"/>
      <c r="AD25" s="14"/>
      <c r="AE25" s="14"/>
      <c r="AF25" s="14"/>
      <c r="AG25" s="14"/>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row>
    <row r="26" spans="1:63" ht="14.4" thickTop="1" x14ac:dyDescent="0.25">
      <c r="A26" s="1"/>
      <c r="B26" s="1"/>
      <c r="C26" s="1"/>
      <c r="D26" s="1"/>
      <c r="E26" s="1"/>
      <c r="F26" s="1"/>
      <c r="G26" s="8"/>
      <c r="H26" s="1"/>
      <c r="I26" s="410"/>
      <c r="J26" s="1"/>
      <c r="K26" s="1"/>
      <c r="L26" s="1"/>
      <c r="M26" s="1"/>
      <c r="N26" s="1"/>
      <c r="O26" s="1"/>
      <c r="P26" s="1"/>
      <c r="Q26" s="1"/>
      <c r="R26" s="1"/>
      <c r="S26" s="1"/>
      <c r="T26" s="410"/>
      <c r="U26" s="21"/>
      <c r="V26" s="410"/>
      <c r="W26" s="416"/>
      <c r="X26" s="410"/>
      <c r="Y26" s="410"/>
      <c r="Z26" s="410"/>
      <c r="AA26" s="410"/>
      <c r="AB26" s="410"/>
      <c r="AC26" s="410"/>
      <c r="AD26" s="410"/>
      <c r="AE26" s="410"/>
      <c r="AF26" s="410"/>
      <c r="AG26" s="14"/>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row>
    <row r="27" spans="1:63" ht="13.8" x14ac:dyDescent="0.25">
      <c r="A27" s="1"/>
      <c r="B27" s="1"/>
      <c r="C27" s="1"/>
      <c r="D27" s="1"/>
      <c r="E27" s="13" t="s">
        <v>604</v>
      </c>
      <c r="F27" s="1"/>
      <c r="G27" s="8"/>
      <c r="H27" s="1"/>
      <c r="I27" s="13" t="s">
        <v>609</v>
      </c>
      <c r="J27" s="442" t="s">
        <v>603</v>
      </c>
      <c r="K27" s="414"/>
      <c r="L27" s="414"/>
      <c r="M27" s="442" t="s">
        <v>608</v>
      </c>
      <c r="N27" s="414"/>
      <c r="O27" s="414"/>
      <c r="P27" s="414"/>
      <c r="Q27" s="414"/>
      <c r="R27" s="414"/>
      <c r="S27" s="414"/>
      <c r="T27" s="410"/>
      <c r="U27" s="14"/>
      <c r="V27" s="14"/>
      <c r="W27" s="14"/>
      <c r="X27" s="14"/>
      <c r="Y27" s="14"/>
      <c r="Z27" s="453"/>
      <c r="AA27" s="14"/>
      <c r="AB27" s="14"/>
      <c r="AC27" s="14"/>
      <c r="AD27" s="14"/>
      <c r="AE27" s="14"/>
      <c r="AF27" s="14"/>
      <c r="AG27" s="14"/>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row>
    <row r="28" spans="1:63" ht="13.8" x14ac:dyDescent="0.25">
      <c r="A28" s="1"/>
      <c r="B28" s="1"/>
      <c r="C28" s="1"/>
      <c r="D28" s="1"/>
      <c r="E28" s="1"/>
      <c r="F28" s="1"/>
      <c r="G28" s="8"/>
      <c r="H28" s="1"/>
      <c r="I28" s="414"/>
      <c r="J28" s="416">
        <v>10</v>
      </c>
      <c r="K28" s="410">
        <v>20</v>
      </c>
      <c r="L28" s="410">
        <v>30</v>
      </c>
      <c r="M28" s="410">
        <v>40</v>
      </c>
      <c r="N28" s="410">
        <v>50</v>
      </c>
      <c r="O28" s="410">
        <v>60</v>
      </c>
      <c r="P28" s="410">
        <v>70</v>
      </c>
      <c r="Q28" s="410">
        <v>80</v>
      </c>
      <c r="R28" s="410">
        <v>90</v>
      </c>
      <c r="S28" s="410">
        <v>100</v>
      </c>
      <c r="T28" s="438"/>
      <c r="U28" s="453"/>
      <c r="V28" s="453"/>
      <c r="W28" s="453"/>
      <c r="X28" s="453"/>
      <c r="Y28" s="453"/>
      <c r="Z28" s="453"/>
      <c r="AA28" s="453"/>
      <c r="AB28" s="453"/>
      <c r="AC28" s="453"/>
      <c r="AD28" s="453"/>
      <c r="AE28" s="453"/>
      <c r="AF28" s="453"/>
      <c r="AG28" s="453"/>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row>
    <row r="29" spans="1:63" ht="13.8" thickBot="1" x14ac:dyDescent="0.3">
      <c r="A29" s="1"/>
      <c r="B29" s="1"/>
      <c r="C29" s="1"/>
      <c r="D29" s="1"/>
      <c r="E29" s="1"/>
      <c r="F29" s="1"/>
      <c r="G29" s="8"/>
      <c r="H29" s="1"/>
      <c r="I29" s="447" t="s">
        <v>607</v>
      </c>
      <c r="J29" s="411"/>
      <c r="K29" s="411"/>
      <c r="L29" s="411"/>
      <c r="M29" s="442" t="s">
        <v>602</v>
      </c>
      <c r="N29" s="411"/>
      <c r="O29" s="411"/>
      <c r="P29" s="411"/>
      <c r="Q29" s="411"/>
      <c r="R29" s="411"/>
      <c r="S29" s="411"/>
      <c r="T29" s="439"/>
      <c r="U29" s="21"/>
      <c r="V29" s="14"/>
      <c r="W29" s="14"/>
      <c r="X29" s="14"/>
      <c r="Y29" s="21"/>
      <c r="Z29" s="14"/>
      <c r="AA29" s="14"/>
      <c r="AB29" s="14"/>
      <c r="AC29" s="14"/>
      <c r="AD29" s="14"/>
      <c r="AE29" s="14"/>
      <c r="AF29" s="14"/>
      <c r="AG29" s="2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row>
    <row r="30" spans="1:63" ht="13.8" thickTop="1" x14ac:dyDescent="0.25">
      <c r="A30" s="1"/>
      <c r="B30" s="1"/>
      <c r="C30" s="1"/>
      <c r="D30" s="1"/>
      <c r="E30" s="1"/>
      <c r="F30" s="1"/>
      <c r="G30" s="8"/>
      <c r="H30" s="1"/>
      <c r="I30" s="444">
        <v>2</v>
      </c>
      <c r="J30" s="448">
        <v>2.48</v>
      </c>
      <c r="K30" s="448">
        <v>5.4</v>
      </c>
      <c r="L30" s="448">
        <v>10.1</v>
      </c>
      <c r="M30" s="448">
        <v>17.8</v>
      </c>
      <c r="N30" s="448">
        <v>27.9</v>
      </c>
      <c r="O30" s="448">
        <v>42.5</v>
      </c>
      <c r="P30" s="448">
        <v>70.8</v>
      </c>
      <c r="Q30" s="448">
        <v>123</v>
      </c>
      <c r="R30" s="448">
        <v>224</v>
      </c>
      <c r="S30" s="449">
        <v>480</v>
      </c>
      <c r="T30" s="411"/>
      <c r="U30" s="21"/>
      <c r="V30" s="14"/>
      <c r="W30" s="14"/>
      <c r="X30" s="14"/>
      <c r="Y30" s="14"/>
      <c r="Z30" s="14"/>
      <c r="AA30" s="14"/>
      <c r="AB30" s="14"/>
      <c r="AC30" s="14"/>
      <c r="AD30" s="14"/>
      <c r="AE30" s="14"/>
      <c r="AF30" s="14"/>
      <c r="AG30" s="39"/>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row>
    <row r="31" spans="1:63" x14ac:dyDescent="0.25">
      <c r="A31" s="1"/>
      <c r="B31" s="1"/>
      <c r="C31" s="1"/>
      <c r="D31" s="1"/>
      <c r="E31" s="1"/>
      <c r="F31" s="1"/>
      <c r="G31" s="8"/>
      <c r="H31" s="1"/>
      <c r="I31" s="31">
        <v>3</v>
      </c>
      <c r="J31" s="438">
        <v>5.9</v>
      </c>
      <c r="K31" s="438">
        <v>15.8</v>
      </c>
      <c r="L31" s="438">
        <v>29.7</v>
      </c>
      <c r="M31" s="438">
        <v>49.5</v>
      </c>
      <c r="N31" s="438">
        <v>75.7</v>
      </c>
      <c r="O31" s="438">
        <v>109</v>
      </c>
      <c r="P31" s="438">
        <v>177</v>
      </c>
      <c r="Q31" s="438">
        <v>308</v>
      </c>
      <c r="R31" s="438">
        <v>560</v>
      </c>
      <c r="S31" s="450">
        <v>1200</v>
      </c>
      <c r="T31" s="411"/>
      <c r="U31" s="21"/>
      <c r="V31" s="14"/>
      <c r="W31" s="14"/>
      <c r="X31" s="14"/>
      <c r="Y31" s="14"/>
      <c r="Z31" s="14"/>
      <c r="AA31" s="14"/>
      <c r="AB31" s="14"/>
      <c r="AC31" s="14"/>
      <c r="AD31" s="14"/>
      <c r="AE31" s="14"/>
      <c r="AF31" s="14"/>
      <c r="AG31" s="39"/>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row>
    <row r="32" spans="1:63" x14ac:dyDescent="0.25">
      <c r="A32" s="1"/>
      <c r="B32" s="1"/>
      <c r="C32" s="1"/>
      <c r="D32" s="1"/>
      <c r="E32" s="1"/>
      <c r="F32" s="1"/>
      <c r="G32" s="8"/>
      <c r="H32" s="1"/>
      <c r="I32" s="31">
        <v>4</v>
      </c>
      <c r="J32" s="438">
        <v>9.6999999999999993</v>
      </c>
      <c r="K32" s="443">
        <v>25.9</v>
      </c>
      <c r="L32" s="443">
        <v>48.6</v>
      </c>
      <c r="M32" s="443">
        <v>81</v>
      </c>
      <c r="N32" s="443">
        <v>124</v>
      </c>
      <c r="O32" s="438">
        <v>179</v>
      </c>
      <c r="P32" s="438">
        <v>313</v>
      </c>
      <c r="Q32" s="438">
        <v>545</v>
      </c>
      <c r="R32" s="438">
        <v>989</v>
      </c>
      <c r="S32" s="450">
        <v>2120</v>
      </c>
      <c r="T32" s="411"/>
      <c r="U32" s="21"/>
      <c r="V32" s="14"/>
      <c r="W32" s="14"/>
      <c r="X32" s="14"/>
      <c r="Y32" s="14"/>
      <c r="Z32" s="14"/>
      <c r="AA32" s="14"/>
      <c r="AB32" s="14"/>
      <c r="AC32" s="14"/>
      <c r="AD32" s="14"/>
      <c r="AE32" s="14"/>
      <c r="AF32" s="14"/>
      <c r="AG32" s="39"/>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row>
    <row r="33" spans="1:63" x14ac:dyDescent="0.25">
      <c r="A33" s="1"/>
      <c r="B33" s="1"/>
      <c r="C33" s="1"/>
      <c r="D33" s="1"/>
      <c r="E33" s="1"/>
      <c r="F33" s="1"/>
      <c r="G33" s="8"/>
      <c r="H33" s="1"/>
      <c r="I33" s="31">
        <v>6</v>
      </c>
      <c r="J33" s="438">
        <v>22</v>
      </c>
      <c r="K33" s="443">
        <v>60</v>
      </c>
      <c r="L33" s="438">
        <v>112</v>
      </c>
      <c r="M33" s="438">
        <v>187</v>
      </c>
      <c r="N33" s="438">
        <v>286</v>
      </c>
      <c r="O33" s="438">
        <v>413</v>
      </c>
      <c r="P33" s="438">
        <v>757</v>
      </c>
      <c r="Q33" s="438">
        <v>1318</v>
      </c>
      <c r="R33" s="438">
        <v>2394</v>
      </c>
      <c r="S33" s="450">
        <v>5100</v>
      </c>
      <c r="T33" s="411"/>
      <c r="U33" s="21"/>
      <c r="V33" s="14"/>
      <c r="W33" s="14"/>
      <c r="X33" s="14"/>
      <c r="Y33" s="14"/>
      <c r="Z33" s="14"/>
      <c r="AA33" s="14"/>
      <c r="AB33" s="14"/>
      <c r="AC33" s="14"/>
      <c r="AD33" s="14"/>
      <c r="AE33" s="14"/>
      <c r="AF33" s="14"/>
      <c r="AG33" s="39"/>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row>
    <row r="34" spans="1:63" x14ac:dyDescent="0.25">
      <c r="A34" s="1"/>
      <c r="B34" s="1"/>
      <c r="C34" s="1"/>
      <c r="D34" s="1"/>
      <c r="E34" s="1"/>
      <c r="F34" s="1"/>
      <c r="G34" s="8"/>
      <c r="H34" s="1"/>
      <c r="I34" s="31">
        <v>8</v>
      </c>
      <c r="J34" s="438">
        <v>40</v>
      </c>
      <c r="K34" s="443">
        <v>106</v>
      </c>
      <c r="L34" s="438">
        <v>199</v>
      </c>
      <c r="M34" s="438">
        <v>331</v>
      </c>
      <c r="N34" s="438">
        <v>506</v>
      </c>
      <c r="O34" s="438">
        <v>732</v>
      </c>
      <c r="P34" s="438">
        <v>1386</v>
      </c>
      <c r="Q34" s="438">
        <v>2413</v>
      </c>
      <c r="R34" s="438">
        <v>4381</v>
      </c>
      <c r="S34" s="450">
        <v>9300</v>
      </c>
      <c r="T34" s="411"/>
      <c r="U34" s="21"/>
      <c r="V34" s="14"/>
      <c r="W34" s="14"/>
      <c r="X34" s="14"/>
      <c r="Y34" s="14"/>
      <c r="Z34" s="14"/>
      <c r="AA34" s="14"/>
      <c r="AB34" s="14"/>
      <c r="AC34" s="14"/>
      <c r="AD34" s="14"/>
      <c r="AE34" s="14"/>
      <c r="AF34" s="14"/>
      <c r="AG34" s="39"/>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row>
    <row r="35" spans="1:63" x14ac:dyDescent="0.25">
      <c r="A35" s="1"/>
      <c r="B35" s="1"/>
      <c r="C35" s="1"/>
      <c r="D35" s="1"/>
      <c r="E35" s="1"/>
      <c r="F35" s="1"/>
      <c r="G35" s="8"/>
      <c r="H35" s="1"/>
      <c r="I35" s="31">
        <v>10</v>
      </c>
      <c r="J35" s="438">
        <v>63</v>
      </c>
      <c r="K35" s="438">
        <v>167</v>
      </c>
      <c r="L35" s="438">
        <v>314</v>
      </c>
      <c r="M35" s="438">
        <v>523</v>
      </c>
      <c r="N35" s="438">
        <v>800</v>
      </c>
      <c r="O35" s="438">
        <v>1160</v>
      </c>
      <c r="P35" s="438">
        <v>2244</v>
      </c>
      <c r="Q35" s="438">
        <v>3906</v>
      </c>
      <c r="R35" s="438">
        <v>7092</v>
      </c>
      <c r="S35" s="450">
        <v>15200</v>
      </c>
      <c r="T35" s="411"/>
      <c r="U35" s="21"/>
      <c r="V35" s="14"/>
      <c r="W35" s="14"/>
      <c r="X35" s="14"/>
      <c r="Y35" s="14"/>
      <c r="Z35" s="14"/>
      <c r="AA35" s="14"/>
      <c r="AB35" s="14"/>
      <c r="AC35" s="14"/>
      <c r="AD35" s="14"/>
      <c r="AE35" s="14"/>
      <c r="AF35" s="14"/>
      <c r="AG35" s="39"/>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row>
    <row r="36" spans="1:63" x14ac:dyDescent="0.25">
      <c r="A36" s="1"/>
      <c r="B36" s="1"/>
      <c r="C36" s="1"/>
      <c r="D36" s="1"/>
      <c r="E36" s="1"/>
      <c r="F36" s="1"/>
      <c r="G36" s="8"/>
      <c r="H36" s="1"/>
      <c r="I36" s="31">
        <v>12</v>
      </c>
      <c r="J36" s="438">
        <v>90</v>
      </c>
      <c r="K36" s="438">
        <v>240</v>
      </c>
      <c r="L36" s="438">
        <v>449</v>
      </c>
      <c r="M36" s="438">
        <v>749</v>
      </c>
      <c r="N36" s="438">
        <v>1150</v>
      </c>
      <c r="O36" s="438">
        <v>1660</v>
      </c>
      <c r="P36" s="438">
        <v>3306</v>
      </c>
      <c r="Q36" s="438">
        <v>5757</v>
      </c>
      <c r="R36" s="438">
        <v>10452</v>
      </c>
      <c r="S36" s="450">
        <v>22400</v>
      </c>
      <c r="T36" s="438"/>
      <c r="U36" s="21"/>
      <c r="V36" s="14"/>
      <c r="W36" s="14"/>
      <c r="X36" s="14"/>
      <c r="Y36" s="14"/>
      <c r="Z36" s="14"/>
      <c r="AA36" s="14"/>
      <c r="AB36" s="14"/>
      <c r="AC36" s="14"/>
      <c r="AD36" s="14"/>
      <c r="AE36" s="14"/>
      <c r="AF36" s="14"/>
      <c r="AG36" s="39"/>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row>
    <row r="37" spans="1:63" x14ac:dyDescent="0.25">
      <c r="A37" s="1"/>
      <c r="B37" s="1"/>
      <c r="C37" s="1"/>
      <c r="D37" s="1"/>
      <c r="E37" s="1"/>
      <c r="F37" s="1"/>
      <c r="G37" s="8"/>
      <c r="H37" s="1"/>
      <c r="I37" s="31">
        <v>14</v>
      </c>
      <c r="J37" s="438">
        <v>112</v>
      </c>
      <c r="K37" s="438">
        <v>300</v>
      </c>
      <c r="L37" s="438">
        <v>562</v>
      </c>
      <c r="M37" s="438">
        <v>936</v>
      </c>
      <c r="N37" s="438">
        <v>1430</v>
      </c>
      <c r="O37" s="438">
        <v>2070</v>
      </c>
      <c r="P37" s="438">
        <v>4177</v>
      </c>
      <c r="Q37" s="438">
        <v>7273</v>
      </c>
      <c r="R37" s="438">
        <v>13205</v>
      </c>
      <c r="S37" s="450">
        <v>28300</v>
      </c>
      <c r="T37" s="439"/>
      <c r="U37" s="21"/>
      <c r="V37" s="14"/>
      <c r="W37" s="14"/>
      <c r="X37" s="14"/>
      <c r="Y37" s="14"/>
      <c r="Z37" s="14"/>
      <c r="AA37" s="14"/>
      <c r="AB37" s="14"/>
      <c r="AC37" s="14"/>
      <c r="AD37" s="14"/>
      <c r="AE37" s="14"/>
      <c r="AF37" s="14"/>
      <c r="AG37" s="39"/>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row>
    <row r="38" spans="1:63" x14ac:dyDescent="0.25">
      <c r="A38" s="1"/>
      <c r="B38" s="1"/>
      <c r="C38" s="1"/>
      <c r="D38" s="1"/>
      <c r="E38" s="1"/>
      <c r="F38" s="1"/>
      <c r="G38" s="8"/>
      <c r="H38" s="1"/>
      <c r="I38" s="31">
        <v>16</v>
      </c>
      <c r="J38" s="438">
        <v>148</v>
      </c>
      <c r="K38" s="438">
        <v>394</v>
      </c>
      <c r="L38" s="438">
        <v>738</v>
      </c>
      <c r="M38" s="438">
        <v>1230</v>
      </c>
      <c r="N38" s="438">
        <v>1880</v>
      </c>
      <c r="O38" s="438">
        <v>2720</v>
      </c>
      <c r="P38" s="438">
        <v>5565</v>
      </c>
      <c r="Q38" s="438">
        <v>9689</v>
      </c>
      <c r="R38" s="438">
        <v>17591</v>
      </c>
      <c r="S38" s="450">
        <v>37700</v>
      </c>
      <c r="T38" s="411"/>
      <c r="U38" s="21"/>
      <c r="V38" s="14"/>
      <c r="W38" s="14"/>
      <c r="X38" s="14"/>
      <c r="Y38" s="14"/>
      <c r="Z38" s="14"/>
      <c r="AA38" s="14"/>
      <c r="AB38" s="14"/>
      <c r="AC38" s="14"/>
      <c r="AD38" s="14"/>
      <c r="AE38" s="14"/>
      <c r="AF38" s="14"/>
      <c r="AG38" s="39"/>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row>
    <row r="39" spans="1:63" x14ac:dyDescent="0.25">
      <c r="A39" s="1"/>
      <c r="B39" s="1"/>
      <c r="C39" s="1"/>
      <c r="D39" s="1"/>
      <c r="E39" s="1"/>
      <c r="F39" s="1"/>
      <c r="G39" s="8"/>
      <c r="H39" s="1"/>
      <c r="I39" s="31">
        <v>18</v>
      </c>
      <c r="J39" s="438">
        <v>188</v>
      </c>
      <c r="K39" s="438">
        <v>502</v>
      </c>
      <c r="L39" s="438">
        <v>942</v>
      </c>
      <c r="M39" s="438">
        <v>1570</v>
      </c>
      <c r="N39" s="438">
        <v>2400</v>
      </c>
      <c r="O39" s="438">
        <v>3470</v>
      </c>
      <c r="P39" s="438">
        <v>7085</v>
      </c>
      <c r="Q39" s="438">
        <v>12336</v>
      </c>
      <c r="R39" s="438">
        <v>22397</v>
      </c>
      <c r="S39" s="450">
        <v>48000</v>
      </c>
      <c r="T39" s="411"/>
      <c r="U39" s="21"/>
      <c r="V39" s="14"/>
      <c r="W39" s="14"/>
      <c r="X39" s="14"/>
      <c r="Y39" s="14"/>
      <c r="Z39" s="14"/>
      <c r="AA39" s="14"/>
      <c r="AB39" s="14"/>
      <c r="AC39" s="14"/>
      <c r="AD39" s="14"/>
      <c r="AE39" s="14"/>
      <c r="AF39" s="14"/>
      <c r="AG39" s="39"/>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1:63" x14ac:dyDescent="0.25">
      <c r="A40" s="1"/>
      <c r="B40" s="1"/>
      <c r="C40" s="1"/>
      <c r="D40" s="1"/>
      <c r="E40" s="1"/>
      <c r="F40" s="1"/>
      <c r="G40" s="8"/>
      <c r="H40" s="1"/>
      <c r="I40" s="31">
        <v>20</v>
      </c>
      <c r="J40" s="438">
        <v>233</v>
      </c>
      <c r="K40" s="443">
        <v>621</v>
      </c>
      <c r="L40" s="443">
        <v>1160</v>
      </c>
      <c r="M40" s="443">
        <v>1940</v>
      </c>
      <c r="N40" s="443">
        <v>2790</v>
      </c>
      <c r="O40" s="438">
        <v>4290</v>
      </c>
      <c r="P40" s="438">
        <v>8782</v>
      </c>
      <c r="Q40" s="438">
        <v>15292</v>
      </c>
      <c r="R40" s="438">
        <v>27763</v>
      </c>
      <c r="S40" s="450">
        <v>59500</v>
      </c>
      <c r="T40" s="411"/>
      <c r="U40" s="21"/>
      <c r="V40" s="14"/>
      <c r="W40" s="14"/>
      <c r="X40" s="14"/>
      <c r="Y40" s="14"/>
      <c r="Z40" s="14"/>
      <c r="AA40" s="14"/>
      <c r="AB40" s="14"/>
      <c r="AC40" s="14"/>
      <c r="AD40" s="14"/>
      <c r="AE40" s="14"/>
      <c r="AF40" s="14"/>
      <c r="AG40" s="39"/>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1:63" x14ac:dyDescent="0.25">
      <c r="A41" s="1"/>
      <c r="B41" s="1"/>
      <c r="C41" s="1"/>
      <c r="D41" s="1"/>
      <c r="E41" s="1"/>
      <c r="F41" s="1"/>
      <c r="G41" s="8"/>
      <c r="H41" s="1"/>
      <c r="I41" s="31">
        <v>24</v>
      </c>
      <c r="J41" s="438">
        <v>338</v>
      </c>
      <c r="K41" s="443">
        <v>902</v>
      </c>
      <c r="L41" s="438">
        <v>1690</v>
      </c>
      <c r="M41" s="438">
        <v>2820</v>
      </c>
      <c r="N41" s="438">
        <v>4310</v>
      </c>
      <c r="O41" s="438">
        <v>6230</v>
      </c>
      <c r="P41" s="438">
        <v>12738</v>
      </c>
      <c r="Q41" s="438">
        <v>22179</v>
      </c>
      <c r="R41" s="438">
        <v>40268</v>
      </c>
      <c r="S41" s="450">
        <v>86300</v>
      </c>
      <c r="T41" s="411"/>
      <c r="U41" s="21"/>
      <c r="V41" s="14"/>
      <c r="W41" s="14"/>
      <c r="X41" s="14"/>
      <c r="Y41" s="14"/>
      <c r="Z41" s="14"/>
      <c r="AA41" s="14"/>
      <c r="AB41" s="14"/>
      <c r="AC41" s="14"/>
      <c r="AD41" s="14"/>
      <c r="AE41" s="14"/>
      <c r="AF41" s="14"/>
      <c r="AG41" s="39"/>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1:63" x14ac:dyDescent="0.25">
      <c r="A42" s="1"/>
      <c r="B42" s="1"/>
      <c r="C42" s="1"/>
      <c r="D42" s="1"/>
      <c r="E42" s="1"/>
      <c r="F42" s="1"/>
      <c r="G42" s="1"/>
      <c r="H42" s="1"/>
      <c r="I42" s="31">
        <v>28</v>
      </c>
      <c r="J42" s="438">
        <v>463</v>
      </c>
      <c r="K42" s="443">
        <v>1240</v>
      </c>
      <c r="L42" s="438">
        <v>2320</v>
      </c>
      <c r="M42" s="438">
        <v>3860</v>
      </c>
      <c r="N42" s="438">
        <v>5910</v>
      </c>
      <c r="O42" s="438">
        <v>8530</v>
      </c>
      <c r="P42" s="438">
        <v>17417</v>
      </c>
      <c r="Q42" s="438">
        <v>30326</v>
      </c>
      <c r="R42" s="438">
        <v>55059</v>
      </c>
      <c r="S42" s="450">
        <v>118000</v>
      </c>
      <c r="T42" s="411"/>
      <c r="U42" s="21"/>
      <c r="V42" s="14"/>
      <c r="W42" s="14"/>
      <c r="X42" s="14"/>
      <c r="Y42" s="14"/>
      <c r="Z42" s="14"/>
      <c r="AA42" s="14"/>
      <c r="AB42" s="14"/>
      <c r="AC42" s="14"/>
      <c r="AD42" s="14"/>
      <c r="AE42" s="14"/>
      <c r="AF42" s="14"/>
      <c r="AG42" s="39"/>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1:63" x14ac:dyDescent="0.25">
      <c r="A43" s="1"/>
      <c r="B43" s="1"/>
      <c r="C43" s="1"/>
      <c r="D43" s="1"/>
      <c r="E43" s="1"/>
      <c r="F43" s="1"/>
      <c r="G43" s="1"/>
      <c r="H43" s="1"/>
      <c r="I43" s="31">
        <v>30</v>
      </c>
      <c r="J43" s="438">
        <v>533</v>
      </c>
      <c r="K43" s="438">
        <v>1420</v>
      </c>
      <c r="L43" s="438">
        <v>2660</v>
      </c>
      <c r="M43" s="438">
        <v>4440</v>
      </c>
      <c r="N43" s="438">
        <v>6790</v>
      </c>
      <c r="O43" s="438">
        <v>9810</v>
      </c>
      <c r="P43" s="438">
        <v>20074</v>
      </c>
      <c r="Q43" s="438">
        <v>34952</v>
      </c>
      <c r="R43" s="438">
        <v>63458</v>
      </c>
      <c r="S43" s="450">
        <v>136000</v>
      </c>
      <c r="T43" s="411"/>
      <c r="U43" s="21"/>
      <c r="V43" s="14"/>
      <c r="W43" s="14"/>
      <c r="X43" s="14"/>
      <c r="Y43" s="14"/>
      <c r="Z43" s="14"/>
      <c r="AA43" s="14"/>
      <c r="AB43" s="14"/>
      <c r="AC43" s="14"/>
      <c r="AD43" s="14"/>
      <c r="AE43" s="14"/>
      <c r="AF43" s="14"/>
      <c r="AG43" s="39"/>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1:63" x14ac:dyDescent="0.25">
      <c r="A44" s="1"/>
      <c r="B44" s="1"/>
      <c r="C44" s="1"/>
      <c r="D44" s="1"/>
      <c r="E44" s="1"/>
      <c r="F44" s="1"/>
      <c r="G44" s="1"/>
      <c r="H44" s="1"/>
      <c r="I44" s="31">
        <v>32</v>
      </c>
      <c r="J44" s="438">
        <v>592</v>
      </c>
      <c r="K44" s="438">
        <v>1580</v>
      </c>
      <c r="L44" s="438">
        <v>2960</v>
      </c>
      <c r="M44" s="438">
        <v>4942</v>
      </c>
      <c r="N44" s="438">
        <v>7558</v>
      </c>
      <c r="O44" s="438">
        <v>10915</v>
      </c>
      <c r="P44" s="438">
        <v>22288</v>
      </c>
      <c r="Q44" s="438">
        <v>38807</v>
      </c>
      <c r="R44" s="438">
        <v>70457</v>
      </c>
      <c r="S44" s="450">
        <v>151000</v>
      </c>
      <c r="T44" s="438"/>
      <c r="U44" s="21"/>
      <c r="V44" s="14"/>
      <c r="W44" s="14"/>
      <c r="X44" s="14"/>
      <c r="Y44" s="14"/>
      <c r="Z44" s="14"/>
      <c r="AA44" s="14"/>
      <c r="AB44" s="14"/>
      <c r="AC44" s="14"/>
      <c r="AD44" s="14"/>
      <c r="AE44" s="14"/>
      <c r="AF44" s="14"/>
      <c r="AG44" s="39"/>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1:63" ht="13.8" thickBot="1" x14ac:dyDescent="0.3">
      <c r="A45" s="1"/>
      <c r="B45" s="1"/>
      <c r="C45" s="1"/>
      <c r="D45" s="1"/>
      <c r="E45" s="1"/>
      <c r="F45" s="1"/>
      <c r="G45" s="1"/>
      <c r="H45" s="1"/>
      <c r="I45" s="445">
        <v>36</v>
      </c>
      <c r="J45" s="451">
        <v>752</v>
      </c>
      <c r="K45" s="451">
        <v>2010</v>
      </c>
      <c r="L45" s="451">
        <v>3760</v>
      </c>
      <c r="M45" s="451">
        <v>6270</v>
      </c>
      <c r="N45" s="451">
        <v>9590</v>
      </c>
      <c r="O45" s="451">
        <v>13900</v>
      </c>
      <c r="P45" s="451">
        <v>28339</v>
      </c>
      <c r="Q45" s="451">
        <v>49344</v>
      </c>
      <c r="R45" s="451">
        <v>89587</v>
      </c>
      <c r="S45" s="452">
        <v>192000</v>
      </c>
      <c r="T45" s="439"/>
      <c r="U45" s="21"/>
      <c r="V45" s="14"/>
      <c r="W45" s="14"/>
      <c r="X45" s="14"/>
      <c r="Y45" s="14"/>
      <c r="Z45" s="14"/>
      <c r="AA45" s="14"/>
      <c r="AB45" s="14"/>
      <c r="AC45" s="14"/>
      <c r="AD45" s="14"/>
      <c r="AE45" s="14"/>
      <c r="AF45" s="14"/>
      <c r="AG45" s="39"/>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1:63" ht="13.8" thickTop="1" x14ac:dyDescent="0.25">
      <c r="A46" s="1"/>
      <c r="B46" s="1"/>
      <c r="C46" s="1"/>
      <c r="D46" s="1"/>
      <c r="E46" s="1"/>
      <c r="F46" s="1"/>
      <c r="G46" s="1"/>
      <c r="H46" s="1"/>
      <c r="I46" s="411"/>
      <c r="J46" s="441"/>
      <c r="K46" s="441"/>
      <c r="L46" s="441"/>
      <c r="M46" s="441"/>
      <c r="N46" s="441"/>
      <c r="O46" s="441"/>
      <c r="P46" s="441"/>
      <c r="Q46" s="441"/>
      <c r="R46" s="441"/>
      <c r="S46" s="441"/>
      <c r="T46" s="41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1:63" x14ac:dyDescent="0.25">
      <c r="A47" s="1"/>
      <c r="B47" s="1"/>
      <c r="C47" s="1"/>
      <c r="D47" s="1"/>
      <c r="E47" s="1"/>
      <c r="F47" s="1"/>
      <c r="G47" s="1"/>
      <c r="H47" s="1"/>
      <c r="I47" s="14"/>
      <c r="J47" s="14"/>
      <c r="K47" s="14"/>
      <c r="L47" s="14"/>
      <c r="M47" s="14"/>
      <c r="N47" s="14"/>
      <c r="O47" s="14"/>
      <c r="P47" s="14"/>
      <c r="Q47" s="14"/>
      <c r="R47" s="14"/>
      <c r="S47" s="14"/>
      <c r="T47" s="14"/>
      <c r="U47" s="14"/>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1:63" x14ac:dyDescent="0.25">
      <c r="A48" s="1"/>
      <c r="B48" s="1"/>
      <c r="C48" s="1"/>
      <c r="D48" s="1"/>
      <c r="E48" s="1"/>
      <c r="F48" s="1"/>
      <c r="G48" s="1"/>
      <c r="H48" s="1"/>
      <c r="I48" s="21"/>
      <c r="J48" s="438"/>
      <c r="K48" s="438"/>
      <c r="L48" s="438"/>
      <c r="M48" s="438"/>
      <c r="N48" s="438"/>
      <c r="O48" s="438"/>
      <c r="P48" s="438"/>
      <c r="Q48" s="438"/>
      <c r="R48" s="438"/>
      <c r="S48" s="438"/>
      <c r="T48" s="14"/>
      <c r="U48" s="14"/>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1:63" x14ac:dyDescent="0.25">
      <c r="A49" s="1"/>
      <c r="B49" s="1"/>
      <c r="C49" s="1"/>
      <c r="D49" s="1"/>
      <c r="E49" s="13" t="s">
        <v>610</v>
      </c>
      <c r="F49" s="1"/>
      <c r="G49" s="1"/>
      <c r="H49" s="1"/>
      <c r="I49" s="13" t="s">
        <v>609</v>
      </c>
      <c r="J49" s="442" t="s">
        <v>611</v>
      </c>
      <c r="K49" s="414"/>
      <c r="L49" s="414"/>
      <c r="M49" s="442" t="s">
        <v>608</v>
      </c>
      <c r="N49" s="414"/>
      <c r="O49" s="414"/>
      <c r="P49" s="414"/>
      <c r="Q49" s="414"/>
      <c r="R49" s="414"/>
      <c r="S49" s="414"/>
      <c r="T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1:63" ht="14.4" thickBot="1" x14ac:dyDescent="0.3">
      <c r="A50" s="1"/>
      <c r="B50" s="1"/>
      <c r="C50" s="1"/>
      <c r="D50" s="1"/>
      <c r="E50" s="1"/>
      <c r="F50" s="1"/>
      <c r="G50" s="1"/>
      <c r="H50" s="21"/>
      <c r="I50" s="414"/>
      <c r="J50" s="416">
        <v>10</v>
      </c>
      <c r="K50" s="410">
        <v>20</v>
      </c>
      <c r="L50" s="410">
        <v>30</v>
      </c>
      <c r="M50" s="410">
        <v>40</v>
      </c>
      <c r="N50" s="410">
        <v>50</v>
      </c>
      <c r="O50" s="410">
        <v>60</v>
      </c>
      <c r="P50" s="410">
        <v>70</v>
      </c>
      <c r="Q50" s="410">
        <v>80</v>
      </c>
      <c r="R50" s="410">
        <v>90</v>
      </c>
      <c r="S50" s="410">
        <v>100</v>
      </c>
      <c r="T50" s="410"/>
      <c r="U50" s="14"/>
      <c r="V50" s="475"/>
      <c r="W50" s="415" t="s">
        <v>574</v>
      </c>
      <c r="X50" s="464">
        <f>$D$6</f>
        <v>39.440483902801446</v>
      </c>
      <c r="Y50" s="455"/>
      <c r="Z50" s="455"/>
      <c r="AA50" s="455"/>
      <c r="AB50" s="455"/>
      <c r="AC50" s="455"/>
      <c r="AD50" s="455"/>
      <c r="AE50" s="455"/>
      <c r="AF50" s="455"/>
      <c r="AG50" s="455"/>
      <c r="AH50" s="456"/>
      <c r="AI50" s="1"/>
      <c r="AJ50" s="454"/>
      <c r="AK50" s="415" t="s">
        <v>574</v>
      </c>
      <c r="AL50" s="464">
        <f>$E$6</f>
        <v>90.647576683611092</v>
      </c>
      <c r="AM50" s="455"/>
      <c r="AN50" s="455"/>
      <c r="AO50" s="455"/>
      <c r="AP50" s="455"/>
      <c r="AQ50" s="455"/>
      <c r="AR50" s="455"/>
      <c r="AS50" s="455"/>
      <c r="AT50" s="455"/>
      <c r="AU50" s="455"/>
      <c r="AV50" s="456"/>
      <c r="AW50" s="1"/>
      <c r="AX50" s="454"/>
      <c r="AY50" s="415" t="s">
        <v>574</v>
      </c>
      <c r="AZ50" s="464">
        <f>$F$6</f>
        <v>136.9873645357365</v>
      </c>
      <c r="BA50" s="455"/>
      <c r="BB50" s="455"/>
      <c r="BC50" s="455"/>
      <c r="BD50" s="455"/>
      <c r="BE50" s="455"/>
      <c r="BF50" s="455"/>
      <c r="BG50" s="455"/>
      <c r="BH50" s="455"/>
      <c r="BI50" s="455"/>
      <c r="BJ50" s="456"/>
      <c r="BK50" s="1"/>
    </row>
    <row r="51" spans="1:63" ht="13.8" thickBot="1" x14ac:dyDescent="0.3">
      <c r="A51" s="1"/>
      <c r="B51" s="1"/>
      <c r="C51" s="1"/>
      <c r="D51" s="1"/>
      <c r="E51" s="1"/>
      <c r="F51" s="1"/>
      <c r="G51" s="1"/>
      <c r="H51" s="21"/>
      <c r="I51" s="447" t="s">
        <v>607</v>
      </c>
      <c r="J51" s="1"/>
      <c r="K51" s="1"/>
      <c r="L51" s="1"/>
      <c r="M51" s="13" t="s">
        <v>602</v>
      </c>
      <c r="N51" s="1"/>
      <c r="O51" s="1"/>
      <c r="P51" s="1"/>
      <c r="Q51" s="1"/>
      <c r="R51" s="1"/>
      <c r="S51" s="1"/>
      <c r="T51" s="438"/>
      <c r="U51" s="14"/>
      <c r="V51" s="21" t="s">
        <v>601</v>
      </c>
      <c r="W51" s="413" t="s">
        <v>573</v>
      </c>
      <c r="X51" s="21">
        <v>0</v>
      </c>
      <c r="Y51" s="438">
        <f>VLOOKUP(VS_IN,BALL_RP,2)</f>
        <v>3</v>
      </c>
      <c r="Z51" s="438">
        <f>VLOOKUP(VS_IN,BALL_RP,3)</f>
        <v>7</v>
      </c>
      <c r="AA51" s="438">
        <f>VLOOKUP(VS_IN,BALL_RP,4)</f>
        <v>15</v>
      </c>
      <c r="AB51" s="438">
        <f>VLOOKUP(VS_IN,BALL_RP,5)</f>
        <v>26</v>
      </c>
      <c r="AC51" s="438">
        <f>VLOOKUP(VS_IN,BALL_RP,6)</f>
        <v>45</v>
      </c>
      <c r="AD51" s="438">
        <f>VLOOKUP(VS_IN,BALL_RP,7)</f>
        <v>74</v>
      </c>
      <c r="AE51" s="438">
        <f>VLOOKUP(VS_IN,BALL_RP,8)</f>
        <v>105</v>
      </c>
      <c r="AF51" s="438">
        <f>VLOOKUP(VS_IN,BALL_RP,9)</f>
        <v>165</v>
      </c>
      <c r="AG51" s="438">
        <f>VLOOKUP(VS_IN,BALL_RP,10)</f>
        <v>245</v>
      </c>
      <c r="AH51" s="457">
        <f>VLOOKUP(VS_IN,BALL_RP,11)</f>
        <v>350</v>
      </c>
      <c r="AI51" s="1"/>
      <c r="AJ51" s="116" t="s">
        <v>601</v>
      </c>
      <c r="AK51" s="413" t="s">
        <v>573</v>
      </c>
      <c r="AL51" s="21">
        <v>0</v>
      </c>
      <c r="AM51" s="438">
        <f>VLOOKUP(VS_IN,BALL_RP,2)</f>
        <v>3</v>
      </c>
      <c r="AN51" s="438">
        <f>VLOOKUP(VS_IN,BALL_RP,3)</f>
        <v>7</v>
      </c>
      <c r="AO51" s="438">
        <f>VLOOKUP(VS_IN,BALL_RP,4)</f>
        <v>15</v>
      </c>
      <c r="AP51" s="438">
        <f>VLOOKUP(VS_IN,BALL_RP,5)</f>
        <v>26</v>
      </c>
      <c r="AQ51" s="438">
        <f>VLOOKUP(VS_IN,BALL_RP,6)</f>
        <v>45</v>
      </c>
      <c r="AR51" s="438">
        <f>VLOOKUP(VS_IN,BALL_RP,7)</f>
        <v>74</v>
      </c>
      <c r="AS51" s="438">
        <f>VLOOKUP(VS_IN,BALL_RP,8)</f>
        <v>105</v>
      </c>
      <c r="AT51" s="438">
        <f>VLOOKUP(VS_IN,BALL_RP,9)</f>
        <v>165</v>
      </c>
      <c r="AU51" s="438">
        <f>VLOOKUP(VS_IN,BALL_RP,10)</f>
        <v>245</v>
      </c>
      <c r="AV51" s="457">
        <f>VLOOKUP(VS_IN,BALL_RP,11)</f>
        <v>350</v>
      </c>
      <c r="AW51" s="1"/>
      <c r="AX51" s="116" t="s">
        <v>601</v>
      </c>
      <c r="AY51" s="413" t="s">
        <v>573</v>
      </c>
      <c r="AZ51" s="21">
        <v>0</v>
      </c>
      <c r="BA51" s="438">
        <f>VLOOKUP(VS_IN,BALL_RP,2)</f>
        <v>3</v>
      </c>
      <c r="BB51" s="438">
        <f>VLOOKUP(VS_IN,BALL_RP,3)</f>
        <v>7</v>
      </c>
      <c r="BC51" s="438">
        <f>VLOOKUP(VS_IN,BALL_RP,4)</f>
        <v>15</v>
      </c>
      <c r="BD51" s="438">
        <f>VLOOKUP(VS_IN,BALL_RP,5)</f>
        <v>26</v>
      </c>
      <c r="BE51" s="438">
        <f>VLOOKUP(VS_IN,BALL_RP,6)</f>
        <v>45</v>
      </c>
      <c r="BF51" s="438">
        <f>VLOOKUP(VS_IN,BALL_RP,7)</f>
        <v>74</v>
      </c>
      <c r="BG51" s="438">
        <f>VLOOKUP(VS_IN,BALL_RP,8)</f>
        <v>105</v>
      </c>
      <c r="BH51" s="438">
        <f>VLOOKUP(VS_IN,BALL_RP,9)</f>
        <v>165</v>
      </c>
      <c r="BI51" s="438">
        <f>VLOOKUP(VS_IN,BALL_RP,10)</f>
        <v>245</v>
      </c>
      <c r="BJ51" s="457">
        <f>VLOOKUP(VS_IN,BALL_RP,11)</f>
        <v>350</v>
      </c>
      <c r="BK51" s="1"/>
    </row>
    <row r="52" spans="1:63" ht="14.4" thickTop="1" thickBot="1" x14ac:dyDescent="0.3">
      <c r="A52" s="1"/>
      <c r="B52" s="1"/>
      <c r="C52" s="1"/>
      <c r="D52" s="1"/>
      <c r="E52" s="1"/>
      <c r="F52" s="1"/>
      <c r="G52" s="1"/>
      <c r="H52" s="14"/>
      <c r="I52" s="444">
        <v>0.5</v>
      </c>
      <c r="J52" s="448">
        <v>0.1</v>
      </c>
      <c r="K52" s="480">
        <v>0.2</v>
      </c>
      <c r="L52" s="448">
        <v>0.4</v>
      </c>
      <c r="M52" s="448">
        <v>0.7</v>
      </c>
      <c r="N52" s="448">
        <v>1.2</v>
      </c>
      <c r="O52" s="448">
        <v>1.9</v>
      </c>
      <c r="P52" s="448">
        <v>2.7</v>
      </c>
      <c r="Q52" s="448">
        <v>4.2</v>
      </c>
      <c r="R52" s="448">
        <v>6.3</v>
      </c>
      <c r="S52" s="449">
        <v>9</v>
      </c>
      <c r="T52" s="439"/>
      <c r="U52" s="14"/>
      <c r="V52" s="14"/>
      <c r="W52" s="412" t="s">
        <v>571</v>
      </c>
      <c r="X52" s="412">
        <v>0</v>
      </c>
      <c r="Y52" s="412">
        <v>10</v>
      </c>
      <c r="Z52" s="412">
        <v>20</v>
      </c>
      <c r="AA52" s="412">
        <v>30</v>
      </c>
      <c r="AB52" s="412">
        <v>40</v>
      </c>
      <c r="AC52" s="412">
        <v>50</v>
      </c>
      <c r="AD52" s="412">
        <v>60</v>
      </c>
      <c r="AE52" s="412">
        <v>70</v>
      </c>
      <c r="AF52" s="412">
        <v>80</v>
      </c>
      <c r="AG52" s="412">
        <v>90</v>
      </c>
      <c r="AH52" s="458">
        <v>100</v>
      </c>
      <c r="AI52" s="1"/>
      <c r="AJ52" s="107"/>
      <c r="AK52" s="412" t="s">
        <v>571</v>
      </c>
      <c r="AL52" s="412">
        <v>0</v>
      </c>
      <c r="AM52" s="412">
        <v>10</v>
      </c>
      <c r="AN52" s="412">
        <v>20</v>
      </c>
      <c r="AO52" s="412">
        <v>30</v>
      </c>
      <c r="AP52" s="412">
        <v>40</v>
      </c>
      <c r="AQ52" s="412">
        <v>50</v>
      </c>
      <c r="AR52" s="412">
        <v>60</v>
      </c>
      <c r="AS52" s="412">
        <v>70</v>
      </c>
      <c r="AT52" s="412">
        <v>80</v>
      </c>
      <c r="AU52" s="412">
        <v>90</v>
      </c>
      <c r="AV52" s="458">
        <v>100</v>
      </c>
      <c r="AW52" s="1"/>
      <c r="AX52" s="107"/>
      <c r="AY52" s="412" t="s">
        <v>571</v>
      </c>
      <c r="AZ52" s="412">
        <v>0</v>
      </c>
      <c r="BA52" s="412">
        <v>10</v>
      </c>
      <c r="BB52" s="412">
        <v>20</v>
      </c>
      <c r="BC52" s="412">
        <v>30</v>
      </c>
      <c r="BD52" s="412">
        <v>40</v>
      </c>
      <c r="BE52" s="412">
        <v>50</v>
      </c>
      <c r="BF52" s="412">
        <v>60</v>
      </c>
      <c r="BG52" s="412">
        <v>70</v>
      </c>
      <c r="BH52" s="412">
        <v>80</v>
      </c>
      <c r="BI52" s="412">
        <v>90</v>
      </c>
      <c r="BJ52" s="458">
        <v>100</v>
      </c>
      <c r="BK52" s="1"/>
    </row>
    <row r="53" spans="1:63" ht="13.8" x14ac:dyDescent="0.25">
      <c r="A53" s="1"/>
      <c r="B53" s="1"/>
      <c r="C53" s="1"/>
      <c r="D53" s="1"/>
      <c r="E53" s="1"/>
      <c r="F53" s="1"/>
      <c r="G53" s="1"/>
      <c r="H53" s="21"/>
      <c r="I53" s="31">
        <v>0.75</v>
      </c>
      <c r="J53" s="438">
        <v>0.2</v>
      </c>
      <c r="K53" s="438">
        <v>0.4</v>
      </c>
      <c r="L53" s="438">
        <v>0.9</v>
      </c>
      <c r="M53" s="438">
        <v>1.4</v>
      </c>
      <c r="N53" s="438">
        <v>2.5</v>
      </c>
      <c r="O53" s="438">
        <v>4</v>
      </c>
      <c r="P53" s="438">
        <v>5.7</v>
      </c>
      <c r="Q53" s="438">
        <v>9</v>
      </c>
      <c r="R53" s="438">
        <v>13</v>
      </c>
      <c r="S53" s="450">
        <v>19</v>
      </c>
      <c r="T53" s="410"/>
      <c r="U53" s="14"/>
      <c r="V53" s="21"/>
      <c r="W53" s="411" t="s">
        <v>71</v>
      </c>
      <c r="X53" s="440">
        <f t="shared" ref="X53" si="32">(Y52-X52)/(Y51-X51)</f>
        <v>3.3333333333333335</v>
      </c>
      <c r="Y53" s="440">
        <f t="shared" ref="Y53" si="33">(Z52-Y52)/(Z51-Y51)</f>
        <v>2.5</v>
      </c>
      <c r="Z53" s="440">
        <f t="shared" ref="Z53" si="34">(AA52-Z52)/(AA51-Z51)</f>
        <v>1.25</v>
      </c>
      <c r="AA53" s="440">
        <f t="shared" ref="AA53" si="35">(AB52-AA52)/(AB51-AA51)</f>
        <v>0.90909090909090906</v>
      </c>
      <c r="AB53" s="440">
        <f t="shared" ref="AB53" si="36">(AC52-AB52)/(AC51-AB51)</f>
        <v>0.52631578947368418</v>
      </c>
      <c r="AC53" s="440">
        <f t="shared" ref="AC53" si="37">(AD52-AC52)/(AD51-AC51)</f>
        <v>0.34482758620689657</v>
      </c>
      <c r="AD53" s="440">
        <f t="shared" ref="AD53" si="38">(AE52-AD52)/(AE51-AD51)</f>
        <v>0.32258064516129031</v>
      </c>
      <c r="AE53" s="440">
        <f t="shared" ref="AE53" si="39">(AF52-AE52)/(AF51-AE51)</f>
        <v>0.16666666666666666</v>
      </c>
      <c r="AF53" s="440">
        <f t="shared" ref="AF53" si="40">(AG52-AF52)/(AG51-AF51)</f>
        <v>0.125</v>
      </c>
      <c r="AG53" s="440">
        <f t="shared" ref="AG53" si="41">(AH52-AG52)/(AH51-AG51)</f>
        <v>9.5238095238095233E-2</v>
      </c>
      <c r="AH53" s="459"/>
      <c r="AI53" s="1"/>
      <c r="AJ53" s="116"/>
      <c r="AK53" s="411" t="s">
        <v>71</v>
      </c>
      <c r="AL53" s="440">
        <f t="shared" ref="AL53" si="42">(AM52-AL52)/(AM51-AL51)</f>
        <v>3.3333333333333335</v>
      </c>
      <c r="AM53" s="440">
        <f t="shared" ref="AM53" si="43">(AN52-AM52)/(AN51-AM51)</f>
        <v>2.5</v>
      </c>
      <c r="AN53" s="440">
        <f t="shared" ref="AN53" si="44">(AO52-AN52)/(AO51-AN51)</f>
        <v>1.25</v>
      </c>
      <c r="AO53" s="440">
        <f t="shared" ref="AO53" si="45">(AP52-AO52)/(AP51-AO51)</f>
        <v>0.90909090909090906</v>
      </c>
      <c r="AP53" s="440">
        <f t="shared" ref="AP53" si="46">(AQ52-AP52)/(AQ51-AP51)</f>
        <v>0.52631578947368418</v>
      </c>
      <c r="AQ53" s="440">
        <f t="shared" ref="AQ53" si="47">(AR52-AQ52)/(AR51-AQ51)</f>
        <v>0.34482758620689657</v>
      </c>
      <c r="AR53" s="440">
        <f t="shared" ref="AR53" si="48">(AS52-AR52)/(AS51-AR51)</f>
        <v>0.32258064516129031</v>
      </c>
      <c r="AS53" s="440">
        <f t="shared" ref="AS53" si="49">(AT52-AS52)/(AT51-AS51)</f>
        <v>0.16666666666666666</v>
      </c>
      <c r="AT53" s="440">
        <f t="shared" ref="AT53" si="50">(AU52-AT52)/(AU51-AT51)</f>
        <v>0.125</v>
      </c>
      <c r="AU53" s="440">
        <f t="shared" ref="AU53" si="51">(AV52-AU52)/(AV51-AU51)</f>
        <v>9.5238095238095233E-2</v>
      </c>
      <c r="AV53" s="459"/>
      <c r="AW53" s="1"/>
      <c r="AX53" s="116"/>
      <c r="AY53" s="411" t="s">
        <v>71</v>
      </c>
      <c r="AZ53" s="440">
        <f t="shared" ref="AZ53" si="52">(BA52-AZ52)/(BA51-AZ51)</f>
        <v>3.3333333333333335</v>
      </c>
      <c r="BA53" s="440">
        <f t="shared" ref="BA53" si="53">(BB52-BA52)/(BB51-BA51)</f>
        <v>2.5</v>
      </c>
      <c r="BB53" s="440">
        <f t="shared" ref="BB53" si="54">(BC52-BB52)/(BC51-BB51)</f>
        <v>1.25</v>
      </c>
      <c r="BC53" s="440">
        <f t="shared" ref="BC53" si="55">(BD52-BC52)/(BD51-BC51)</f>
        <v>0.90909090909090906</v>
      </c>
      <c r="BD53" s="440">
        <f t="shared" ref="BD53" si="56">(BE52-BD52)/(BE51-BD51)</f>
        <v>0.52631578947368418</v>
      </c>
      <c r="BE53" s="440">
        <f t="shared" ref="BE53" si="57">(BF52-BE52)/(BF51-BE51)</f>
        <v>0.34482758620689657</v>
      </c>
      <c r="BF53" s="440">
        <f t="shared" ref="BF53" si="58">(BG52-BF52)/(BG51-BF51)</f>
        <v>0.32258064516129031</v>
      </c>
      <c r="BG53" s="440">
        <f t="shared" ref="BG53" si="59">(BH52-BG52)/(BH51-BG51)</f>
        <v>0.16666666666666666</v>
      </c>
      <c r="BH53" s="440">
        <f t="shared" ref="BH53" si="60">(BI52-BH52)/(BI51-BH51)</f>
        <v>0.125</v>
      </c>
      <c r="BI53" s="440">
        <f t="shared" ref="BI53" si="61">(BJ52-BI52)/(BJ51-BI51)</f>
        <v>9.5238095238095233E-2</v>
      </c>
      <c r="BJ53" s="459"/>
      <c r="BK53" s="1"/>
    </row>
    <row r="54" spans="1:63" ht="14.4" thickBot="1" x14ac:dyDescent="0.3">
      <c r="A54" s="1"/>
      <c r="B54" s="1"/>
      <c r="C54" s="1"/>
      <c r="D54" s="1"/>
      <c r="E54" s="1"/>
      <c r="F54" s="1"/>
      <c r="G54" s="1"/>
      <c r="H54" s="14"/>
      <c r="I54" s="31">
        <v>1</v>
      </c>
      <c r="J54" s="438">
        <v>0.4</v>
      </c>
      <c r="K54" s="438">
        <v>0.9</v>
      </c>
      <c r="L54" s="438">
        <v>2</v>
      </c>
      <c r="M54" s="438">
        <v>3.4</v>
      </c>
      <c r="N54" s="438">
        <v>5.8</v>
      </c>
      <c r="O54" s="438">
        <v>9.5</v>
      </c>
      <c r="P54" s="438">
        <v>13.5</v>
      </c>
      <c r="Q54" s="438">
        <v>21</v>
      </c>
      <c r="R54" s="438">
        <v>32</v>
      </c>
      <c r="S54" s="450">
        <v>45</v>
      </c>
      <c r="T54" s="410"/>
      <c r="U54" s="14"/>
      <c r="V54" s="14"/>
      <c r="W54" s="411"/>
      <c r="X54" s="440">
        <f>X52+(X50-X51)*X53</f>
        <v>131.46827967600484</v>
      </c>
      <c r="Y54" s="440">
        <f>Y52+(X50-Y51)*Y53</f>
        <v>101.10120975700362</v>
      </c>
      <c r="Z54" s="440">
        <f>Z52+(X50-Z51)*Z53</f>
        <v>60.550604878501808</v>
      </c>
      <c r="AA54" s="440">
        <f>AA52+(X50-AA51)*AA53</f>
        <v>52.218621729819496</v>
      </c>
      <c r="AB54" s="440">
        <f>AB52+(X50-AB51)*AB53</f>
        <v>47.073938896211288</v>
      </c>
      <c r="AC54" s="440">
        <f>AC52+(X50-AC51)*AC53</f>
        <v>48.082925483724637</v>
      </c>
      <c r="AD54" s="440">
        <f>AD52+(X50-AD51)*AD53</f>
        <v>48.851769000903694</v>
      </c>
      <c r="AE54" s="440">
        <f>AE52+(X50-AE51)*AE53</f>
        <v>59.073413983800243</v>
      </c>
      <c r="AF54" s="440">
        <f>AF52+(X50-AF51)*AF53</f>
        <v>64.305060487850184</v>
      </c>
      <c r="AG54" s="440">
        <f>AG52+(X50-AG51)*AG53</f>
        <v>70.422903228838237</v>
      </c>
      <c r="AH54" s="459"/>
      <c r="AI54" s="1"/>
      <c r="AJ54" s="107"/>
      <c r="AK54" s="411"/>
      <c r="AL54" s="440">
        <f>AL52+(AL50-AL51)*AL53</f>
        <v>302.1585889453703</v>
      </c>
      <c r="AM54" s="440">
        <f>AM52+(AL50-AM51)*AM53</f>
        <v>229.11894170902772</v>
      </c>
      <c r="AN54" s="440">
        <f>AN52+(AL50-AN51)*AN53</f>
        <v>124.55947085451386</v>
      </c>
      <c r="AO54" s="440">
        <f>AO52+(AL50-AO51)*AO53</f>
        <v>98.770524257828257</v>
      </c>
      <c r="AP54" s="440">
        <f>AP52+(AL50-AP51)*AP53</f>
        <v>74.025040359795312</v>
      </c>
      <c r="AQ54" s="440">
        <f>AQ52+(AL50-AQ51)*AQ53</f>
        <v>65.740543684003825</v>
      </c>
      <c r="AR54" s="440">
        <f>AR52+(AL50-AR51)*AR53</f>
        <v>65.370186026971325</v>
      </c>
      <c r="AS54" s="440">
        <f>AS52+(AL50-AS51)*AS53</f>
        <v>67.607929447268518</v>
      </c>
      <c r="AT54" s="440">
        <f>AT52+(AL50-AT51)*AT53</f>
        <v>70.705947085451385</v>
      </c>
      <c r="AU54" s="440">
        <f>AU52+(AL50-AU51)*AU53</f>
        <v>75.299769207962953</v>
      </c>
      <c r="AV54" s="459"/>
      <c r="AW54" s="1"/>
      <c r="AX54" s="107"/>
      <c r="AY54" s="411"/>
      <c r="AZ54" s="440">
        <f>AZ52+(AZ50-AZ51)*AZ53</f>
        <v>456.62454845245503</v>
      </c>
      <c r="BA54" s="440">
        <f>BA52+(AZ50-BA51)*BA53</f>
        <v>344.96841133934129</v>
      </c>
      <c r="BB54" s="440">
        <f>BB52+(AZ50-BB51)*BB53</f>
        <v>182.48420566967064</v>
      </c>
      <c r="BC54" s="440">
        <f>BC52+(AZ50-BC51)*BC53</f>
        <v>140.89760412339683</v>
      </c>
      <c r="BD54" s="440">
        <f>BD52+(AZ50-BD51)*BD53</f>
        <v>98.414402387229728</v>
      </c>
      <c r="BE54" s="440">
        <f>BE52+(AZ50-BE51)*BE53</f>
        <v>81.719780874391901</v>
      </c>
      <c r="BF54" s="440">
        <f>BF52+(AZ50-BF51)*BF53</f>
        <v>80.318504688947257</v>
      </c>
      <c r="BG54" s="440">
        <f>BG52+(AZ50-BG51)*BG53</f>
        <v>75.331227422622746</v>
      </c>
      <c r="BH54" s="440">
        <f>BH52+(AZ50-BH51)*BH53</f>
        <v>76.49842056696707</v>
      </c>
      <c r="BI54" s="440">
        <f>BI52+(AZ50-BI51)*BI53</f>
        <v>79.713082336736818</v>
      </c>
      <c r="BJ54" s="459"/>
      <c r="BK54" s="1"/>
    </row>
    <row r="55" spans="1:63" ht="16.2" thickTop="1" x14ac:dyDescent="0.3">
      <c r="A55" s="1"/>
      <c r="B55" s="1"/>
      <c r="C55" s="1"/>
      <c r="D55" s="1"/>
      <c r="E55" s="1"/>
      <c r="F55" s="1"/>
      <c r="G55" s="1"/>
      <c r="H55" s="14"/>
      <c r="I55" s="31">
        <v>1.5</v>
      </c>
      <c r="J55" s="438">
        <v>1.1000000000000001</v>
      </c>
      <c r="K55" s="438">
        <v>2.4</v>
      </c>
      <c r="L55" s="438">
        <v>5.6</v>
      </c>
      <c r="M55" s="438">
        <v>9.4</v>
      </c>
      <c r="N55" s="438">
        <v>16</v>
      </c>
      <c r="O55" s="438">
        <v>26</v>
      </c>
      <c r="P55" s="438">
        <v>38</v>
      </c>
      <c r="Q55" s="438">
        <v>58</v>
      </c>
      <c r="R55" s="438">
        <v>88</v>
      </c>
      <c r="S55" s="450">
        <v>125</v>
      </c>
      <c r="T55" s="410"/>
      <c r="U55" s="14"/>
      <c r="V55" s="476"/>
      <c r="W55" s="465" t="s">
        <v>572</v>
      </c>
      <c r="X55" s="466">
        <f>IF(X50&lt;Y51,X54,IF(X50&lt;Z51,Y54,IF(X50&lt;AA51,Z54,IF(X50&lt;AB51,AA54,IF(X50&lt;AC51,AB54,IF(X50&lt;AD51,AC54,IF(X50&lt;AE51,AD54,IF(X50&lt;AF51,AE54,IF(X50&lt;AG51,AF54,IF(X50&lt;=AH51,AG54,"&gt;100%!!"))))))))))</f>
        <v>47.073938896211288</v>
      </c>
      <c r="Y55" s="461"/>
      <c r="Z55" s="461"/>
      <c r="AA55" s="461"/>
      <c r="AB55" s="462"/>
      <c r="AC55" s="462"/>
      <c r="AD55" s="462"/>
      <c r="AE55" s="462"/>
      <c r="AF55" s="462"/>
      <c r="AG55" s="462"/>
      <c r="AH55" s="463"/>
      <c r="AI55" s="1"/>
      <c r="AJ55" s="460"/>
      <c r="AK55" s="465" t="s">
        <v>572</v>
      </c>
      <c r="AL55" s="466">
        <f>IF(AL50&lt;AM51,AL54,IF(AL50&lt;AN51,AM54,IF(AL50&lt;AO51,AN54,IF(AL50&lt;AP51,AO54,IF(AL50&lt;AQ51,AP54,IF(AL50&lt;AR51,AQ54,IF(AL50&lt;AS51,AR54,IF(AL50&lt;AT51,AS54,IF(AL50&lt;AU51,AT54,IF(AL50&lt;=AV51,AU54,"&gt;100%!!"))))))))))</f>
        <v>65.370186026971325</v>
      </c>
      <c r="AM55" s="461"/>
      <c r="AN55" s="461"/>
      <c r="AO55" s="461"/>
      <c r="AP55" s="462"/>
      <c r="AQ55" s="462"/>
      <c r="AR55" s="462"/>
      <c r="AS55" s="462"/>
      <c r="AT55" s="462"/>
      <c r="AU55" s="462"/>
      <c r="AV55" s="463"/>
      <c r="AW55" s="1"/>
      <c r="AX55" s="460"/>
      <c r="AY55" s="465" t="s">
        <v>572</v>
      </c>
      <c r="AZ55" s="466">
        <f>IF(AZ50&lt;BA51,AZ54,IF(AZ50&lt;BB51,BA54,IF(AZ50&lt;BC51,BB54,IF(AZ50&lt;BD51,BC54,IF(AZ50&lt;BE51,BD54,IF(AZ50&lt;BF51,BE54,IF(AZ50&lt;BG51,BF54,IF(AZ50&lt;BH51,BG54,IF(AZ50&lt;BI51,BH54,IF(AZ50&lt;=BJ51,BI54,"&gt;100%!!"))))))))))</f>
        <v>75.331227422622746</v>
      </c>
      <c r="BA55" s="461"/>
      <c r="BB55" s="461"/>
      <c r="BC55" s="461"/>
      <c r="BD55" s="462"/>
      <c r="BE55" s="462"/>
      <c r="BF55" s="462"/>
      <c r="BG55" s="462"/>
      <c r="BH55" s="462"/>
      <c r="BI55" s="462"/>
      <c r="BJ55" s="463"/>
      <c r="BK55" s="1"/>
    </row>
    <row r="56" spans="1:63" x14ac:dyDescent="0.25">
      <c r="A56" s="1"/>
      <c r="B56" s="1"/>
      <c r="C56" s="1"/>
      <c r="D56" s="1"/>
      <c r="E56" s="1"/>
      <c r="F56" s="1"/>
      <c r="G56" s="1"/>
      <c r="H56" s="1"/>
      <c r="I56" s="98">
        <v>2</v>
      </c>
      <c r="J56" s="14">
        <v>1.5</v>
      </c>
      <c r="K56" s="14">
        <v>3.1</v>
      </c>
      <c r="L56" s="14">
        <v>7.5</v>
      </c>
      <c r="M56" s="14">
        <v>12</v>
      </c>
      <c r="N56" s="14">
        <v>21</v>
      </c>
      <c r="O56" s="14">
        <v>35</v>
      </c>
      <c r="P56" s="14">
        <v>50</v>
      </c>
      <c r="Q56" s="14">
        <v>78</v>
      </c>
      <c r="R56" s="14">
        <v>115</v>
      </c>
      <c r="S56" s="481">
        <v>165</v>
      </c>
      <c r="T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row>
    <row r="57" spans="1:63" x14ac:dyDescent="0.25">
      <c r="A57" s="1"/>
      <c r="B57" s="1"/>
      <c r="C57" s="1"/>
      <c r="D57" s="1"/>
      <c r="E57" s="1"/>
      <c r="F57" s="1"/>
      <c r="G57" s="1"/>
      <c r="H57" s="1"/>
      <c r="I57" s="98">
        <v>3</v>
      </c>
      <c r="J57" s="14">
        <v>3</v>
      </c>
      <c r="K57" s="14">
        <v>7</v>
      </c>
      <c r="L57" s="14">
        <v>15</v>
      </c>
      <c r="M57" s="14">
        <v>26</v>
      </c>
      <c r="N57" s="14">
        <v>45</v>
      </c>
      <c r="O57" s="14">
        <v>74</v>
      </c>
      <c r="P57" s="14">
        <v>105</v>
      </c>
      <c r="Q57" s="14">
        <v>165</v>
      </c>
      <c r="R57" s="14">
        <v>245</v>
      </c>
      <c r="S57" s="481">
        <v>350</v>
      </c>
      <c r="T57" s="1"/>
    </row>
    <row r="58" spans="1:63" x14ac:dyDescent="0.25">
      <c r="A58" s="1"/>
      <c r="B58" s="1"/>
      <c r="C58" s="1"/>
      <c r="D58" s="1"/>
      <c r="E58" s="1"/>
      <c r="F58" s="1"/>
      <c r="G58" s="1"/>
      <c r="H58" s="1"/>
      <c r="I58" s="98">
        <v>4</v>
      </c>
      <c r="J58" s="14">
        <v>2</v>
      </c>
      <c r="K58" s="14">
        <v>5</v>
      </c>
      <c r="L58" s="14">
        <v>17</v>
      </c>
      <c r="M58" s="14">
        <v>32</v>
      </c>
      <c r="N58" s="14">
        <v>54</v>
      </c>
      <c r="O58" s="14">
        <v>90</v>
      </c>
      <c r="P58" s="14">
        <v>135</v>
      </c>
      <c r="Q58" s="14">
        <v>201</v>
      </c>
      <c r="R58" s="14">
        <v>301</v>
      </c>
      <c r="S58" s="481">
        <v>550</v>
      </c>
      <c r="T58" s="1"/>
    </row>
    <row r="59" spans="1:63" x14ac:dyDescent="0.25">
      <c r="A59" s="1"/>
      <c r="B59" s="1"/>
      <c r="C59" s="1"/>
      <c r="D59" s="1"/>
      <c r="E59" s="1"/>
      <c r="F59" s="1"/>
      <c r="G59" s="1"/>
      <c r="H59" s="1"/>
      <c r="I59" s="98">
        <v>6</v>
      </c>
      <c r="J59" s="14">
        <v>7</v>
      </c>
      <c r="K59" s="14">
        <v>15</v>
      </c>
      <c r="L59" s="14">
        <v>35</v>
      </c>
      <c r="M59" s="14">
        <v>57</v>
      </c>
      <c r="N59" s="14">
        <v>100</v>
      </c>
      <c r="O59" s="14">
        <v>160</v>
      </c>
      <c r="P59" s="14">
        <v>230</v>
      </c>
      <c r="Q59" s="14">
        <v>360</v>
      </c>
      <c r="R59" s="14">
        <v>535</v>
      </c>
      <c r="S59" s="481">
        <v>765</v>
      </c>
      <c r="T59" s="1"/>
    </row>
    <row r="60" spans="1:63" x14ac:dyDescent="0.25">
      <c r="A60" s="1"/>
      <c r="B60" s="1"/>
      <c r="C60" s="1"/>
      <c r="D60" s="1"/>
      <c r="E60" s="1"/>
      <c r="F60" s="1"/>
      <c r="G60" s="1"/>
      <c r="H60" s="1"/>
      <c r="I60" s="98">
        <v>8</v>
      </c>
      <c r="J60" s="14">
        <v>17</v>
      </c>
      <c r="K60" s="14">
        <v>36</v>
      </c>
      <c r="L60" s="14">
        <v>85</v>
      </c>
      <c r="M60" s="14">
        <v>140</v>
      </c>
      <c r="N60" s="14">
        <v>245</v>
      </c>
      <c r="O60" s="14">
        <v>395</v>
      </c>
      <c r="P60" s="14">
        <v>570</v>
      </c>
      <c r="Q60" s="14">
        <v>890</v>
      </c>
      <c r="R60" s="14">
        <v>1325</v>
      </c>
      <c r="S60" s="481">
        <v>1890</v>
      </c>
      <c r="T60" s="1"/>
    </row>
    <row r="61" spans="1:63" x14ac:dyDescent="0.25">
      <c r="A61" s="1"/>
      <c r="B61" s="1"/>
      <c r="C61" s="1"/>
      <c r="D61" s="1"/>
      <c r="E61" s="1"/>
      <c r="F61" s="1"/>
      <c r="G61" s="1"/>
      <c r="H61" s="1"/>
      <c r="I61" s="98">
        <v>10</v>
      </c>
      <c r="J61" s="14">
        <v>35</v>
      </c>
      <c r="K61" s="14">
        <v>74</v>
      </c>
      <c r="L61" s="14">
        <v>175</v>
      </c>
      <c r="M61" s="14">
        <v>290</v>
      </c>
      <c r="N61" s="14">
        <v>505</v>
      </c>
      <c r="O61" s="14">
        <v>815</v>
      </c>
      <c r="P61" s="14">
        <v>1180</v>
      </c>
      <c r="Q61" s="14">
        <v>1840</v>
      </c>
      <c r="R61" s="14">
        <v>2735</v>
      </c>
      <c r="S61" s="481">
        <v>3900</v>
      </c>
      <c r="T61" s="1"/>
    </row>
    <row r="62" spans="1:63" x14ac:dyDescent="0.25">
      <c r="A62" s="1"/>
      <c r="B62" s="1"/>
      <c r="C62" s="1"/>
      <c r="D62" s="1"/>
      <c r="E62" s="1"/>
      <c r="F62" s="1"/>
      <c r="G62" s="1"/>
      <c r="H62" s="1"/>
      <c r="I62" s="98">
        <v>12</v>
      </c>
      <c r="J62" s="14">
        <v>60</v>
      </c>
      <c r="K62" s="14">
        <v>127</v>
      </c>
      <c r="L62" s="14">
        <v>300</v>
      </c>
      <c r="M62" s="14">
        <v>505</v>
      </c>
      <c r="N62" s="14">
        <v>870</v>
      </c>
      <c r="O62" s="14">
        <v>1400</v>
      </c>
      <c r="P62" s="14">
        <v>2010</v>
      </c>
      <c r="Q62" s="14">
        <v>3150</v>
      </c>
      <c r="R62" s="14">
        <v>4690</v>
      </c>
      <c r="S62" s="481">
        <v>6700</v>
      </c>
      <c r="T62" s="1"/>
    </row>
    <row r="63" spans="1:63" x14ac:dyDescent="0.25">
      <c r="A63" s="1"/>
      <c r="B63" s="1"/>
      <c r="C63" s="1"/>
      <c r="D63" s="1"/>
      <c r="E63" s="1"/>
      <c r="F63" s="1"/>
      <c r="G63" s="1"/>
      <c r="H63" s="1"/>
      <c r="I63" s="98">
        <v>14</v>
      </c>
      <c r="J63" s="14">
        <v>42</v>
      </c>
      <c r="K63" s="14">
        <v>102</v>
      </c>
      <c r="L63" s="14">
        <v>240</v>
      </c>
      <c r="M63" s="14">
        <v>400</v>
      </c>
      <c r="N63" s="14">
        <v>700</v>
      </c>
      <c r="O63" s="14">
        <v>1130</v>
      </c>
      <c r="P63" s="14">
        <v>1620</v>
      </c>
      <c r="Q63" s="14">
        <v>2540</v>
      </c>
      <c r="R63" s="14">
        <v>3780</v>
      </c>
      <c r="S63" s="481">
        <v>5400</v>
      </c>
      <c r="T63" s="1"/>
    </row>
    <row r="64" spans="1:63" x14ac:dyDescent="0.25">
      <c r="A64" s="1"/>
      <c r="B64" s="1"/>
      <c r="C64" s="1"/>
      <c r="D64" s="1"/>
      <c r="E64" s="1"/>
      <c r="F64" s="1"/>
      <c r="G64" s="1"/>
      <c r="H64" s="1"/>
      <c r="I64" s="98">
        <v>16</v>
      </c>
      <c r="J64" s="14">
        <v>70</v>
      </c>
      <c r="K64" s="14">
        <v>155</v>
      </c>
      <c r="L64" s="14">
        <v>375</v>
      </c>
      <c r="M64" s="14">
        <v>630</v>
      </c>
      <c r="N64" s="14">
        <v>1100</v>
      </c>
      <c r="O64" s="14">
        <v>1785</v>
      </c>
      <c r="P64" s="14">
        <v>2550</v>
      </c>
      <c r="Q64" s="14">
        <v>3990</v>
      </c>
      <c r="R64" s="14">
        <v>5950</v>
      </c>
      <c r="S64" s="481">
        <v>8500</v>
      </c>
      <c r="T64" s="1"/>
    </row>
    <row r="65" spans="1:20" x14ac:dyDescent="0.25">
      <c r="A65" s="1"/>
      <c r="B65" s="1"/>
      <c r="C65" s="1"/>
      <c r="D65" s="1"/>
      <c r="E65" s="1"/>
      <c r="F65" s="1"/>
      <c r="G65" s="1"/>
      <c r="H65" s="1"/>
      <c r="I65" s="98">
        <v>18</v>
      </c>
      <c r="J65" s="14">
        <v>100</v>
      </c>
      <c r="K65" s="14">
        <v>200</v>
      </c>
      <c r="L65" s="14">
        <v>440</v>
      </c>
      <c r="M65" s="14">
        <v>760</v>
      </c>
      <c r="N65" s="14">
        <v>1275</v>
      </c>
      <c r="O65" s="14">
        <v>2050</v>
      </c>
      <c r="P65" s="14">
        <v>2940</v>
      </c>
      <c r="Q65" s="14">
        <v>4600</v>
      </c>
      <c r="R65" s="14">
        <v>6860</v>
      </c>
      <c r="S65" s="481">
        <v>9800</v>
      </c>
      <c r="T65" s="1"/>
    </row>
    <row r="66" spans="1:20" ht="13.8" thickBot="1" x14ac:dyDescent="0.3">
      <c r="A66" s="1"/>
      <c r="B66" s="1"/>
      <c r="C66" s="1"/>
      <c r="D66" s="1"/>
      <c r="E66" s="1"/>
      <c r="F66" s="1"/>
      <c r="G66" s="1"/>
      <c r="H66" s="1"/>
      <c r="I66" s="482">
        <v>20</v>
      </c>
      <c r="J66" s="477">
        <v>125</v>
      </c>
      <c r="K66" s="477">
        <v>260</v>
      </c>
      <c r="L66" s="477">
        <v>610</v>
      </c>
      <c r="M66" s="477">
        <v>990</v>
      </c>
      <c r="N66" s="477">
        <v>1700</v>
      </c>
      <c r="O66" s="477">
        <v>2750</v>
      </c>
      <c r="P66" s="477">
        <v>3900</v>
      </c>
      <c r="Q66" s="477">
        <v>6110</v>
      </c>
      <c r="R66" s="477">
        <v>9100</v>
      </c>
      <c r="S66" s="483">
        <v>13000</v>
      </c>
      <c r="T66" s="1"/>
    </row>
    <row r="67" spans="1:20" ht="13.8" thickTop="1" x14ac:dyDescent="0.25">
      <c r="A67" s="1"/>
      <c r="B67" s="1"/>
      <c r="C67" s="1"/>
      <c r="D67" s="1"/>
      <c r="E67" s="1"/>
      <c r="F67" s="1"/>
      <c r="G67" s="1"/>
      <c r="H67" s="1"/>
      <c r="I67" s="1"/>
      <c r="J67" s="1"/>
      <c r="K67" s="1"/>
      <c r="L67" s="1"/>
      <c r="M67" s="1"/>
      <c r="N67" s="1"/>
      <c r="O67" s="1"/>
      <c r="P67" s="1"/>
      <c r="Q67" s="1"/>
      <c r="R67" s="1"/>
      <c r="S67" s="1"/>
      <c r="T67" s="1"/>
    </row>
    <row r="68" spans="1:20" x14ac:dyDescent="0.25">
      <c r="A68" s="1"/>
      <c r="B68" s="1"/>
      <c r="C68" s="1"/>
      <c r="D68" s="1"/>
      <c r="E68" s="1"/>
      <c r="F68" s="1"/>
      <c r="G68" s="1"/>
      <c r="H68" s="1"/>
      <c r="I68" s="1"/>
      <c r="J68" s="1"/>
      <c r="K68" s="1"/>
      <c r="L68" s="1"/>
      <c r="M68" s="1"/>
      <c r="N68" s="1"/>
      <c r="O68" s="1"/>
      <c r="P68" s="1"/>
      <c r="Q68" s="1"/>
      <c r="R68" s="1"/>
      <c r="S68" s="1"/>
      <c r="T68" s="1"/>
    </row>
    <row r="69" spans="1:20" x14ac:dyDescent="0.25">
      <c r="A69" s="1"/>
      <c r="B69" s="1"/>
      <c r="C69" s="1"/>
      <c r="D69" s="1"/>
      <c r="E69" s="1"/>
      <c r="F69" s="1"/>
      <c r="G69" s="1"/>
      <c r="H69" s="1"/>
      <c r="I69" s="1"/>
      <c r="J69" s="1"/>
      <c r="K69" s="1"/>
      <c r="L69" s="1"/>
      <c r="M69" s="1"/>
      <c r="N69" s="1"/>
      <c r="O69" s="1"/>
      <c r="P69" s="1"/>
      <c r="Q69" s="1"/>
      <c r="R69" s="1"/>
      <c r="S69" s="1"/>
      <c r="T69" s="1"/>
    </row>
    <row r="70" spans="1:20" x14ac:dyDescent="0.25">
      <c r="A70" s="1"/>
      <c r="B70" s="1"/>
      <c r="C70" s="1"/>
      <c r="D70" s="1"/>
      <c r="E70" s="1"/>
      <c r="F70" s="1"/>
      <c r="G70" s="1"/>
      <c r="H70" s="1"/>
      <c r="I70" s="1"/>
      <c r="J70" s="1"/>
      <c r="K70" s="1"/>
      <c r="L70" s="1"/>
      <c r="M70" s="1"/>
      <c r="N70" s="1"/>
      <c r="O70" s="1"/>
      <c r="P70" s="1"/>
      <c r="Q70" s="1"/>
      <c r="R70" s="1"/>
      <c r="S70" s="1"/>
      <c r="T70" s="1"/>
    </row>
    <row r="71" spans="1:20" x14ac:dyDescent="0.25">
      <c r="A71" s="1"/>
      <c r="B71" s="1"/>
      <c r="C71" s="1"/>
      <c r="D71" s="1"/>
      <c r="E71" s="1"/>
      <c r="F71" s="1"/>
      <c r="G71" s="1"/>
      <c r="H71" s="1"/>
      <c r="I71" s="1"/>
      <c r="J71" s="1"/>
      <c r="K71" s="1"/>
      <c r="L71" s="1"/>
      <c r="M71" s="1"/>
      <c r="N71" s="1"/>
      <c r="O71" s="1"/>
      <c r="P71" s="1"/>
      <c r="Q71" s="1"/>
      <c r="R71" s="1"/>
      <c r="S71" s="1"/>
      <c r="T71" s="1"/>
    </row>
    <row r="72" spans="1:20" x14ac:dyDescent="0.25">
      <c r="A72" s="1"/>
      <c r="B72" s="1"/>
      <c r="C72" s="1"/>
      <c r="D72" s="1"/>
      <c r="E72" s="1"/>
      <c r="F72" s="1"/>
      <c r="G72" s="1"/>
      <c r="H72" s="1"/>
      <c r="I72" s="1"/>
      <c r="J72" s="1"/>
      <c r="K72" s="1"/>
      <c r="L72" s="1"/>
      <c r="M72" s="1"/>
      <c r="N72" s="1"/>
      <c r="O72" s="1"/>
      <c r="P72" s="1"/>
      <c r="Q72" s="1"/>
      <c r="R72" s="1"/>
      <c r="S72" s="1"/>
      <c r="T72" s="1"/>
    </row>
    <row r="73" spans="1:20" x14ac:dyDescent="0.25">
      <c r="A73" s="1"/>
      <c r="B73" s="1"/>
      <c r="C73" s="1"/>
      <c r="D73" s="1"/>
      <c r="E73" s="1"/>
      <c r="F73" s="1"/>
      <c r="G73" s="1"/>
      <c r="H73" s="1"/>
      <c r="I73" s="1"/>
      <c r="J73" s="1"/>
      <c r="K73" s="1"/>
      <c r="L73" s="1"/>
      <c r="M73" s="1"/>
      <c r="N73" s="1"/>
      <c r="O73" s="1"/>
      <c r="P73" s="1"/>
      <c r="Q73" s="1"/>
      <c r="R73" s="1"/>
      <c r="S73" s="1"/>
      <c r="T73" s="1"/>
    </row>
    <row r="74" spans="1:20" x14ac:dyDescent="0.25">
      <c r="A74" s="1"/>
      <c r="B74" s="1"/>
      <c r="C74" s="1"/>
      <c r="D74" s="1"/>
      <c r="E74" s="1"/>
      <c r="F74" s="1"/>
      <c r="G74" s="1"/>
      <c r="H74" s="1"/>
      <c r="I74" s="1"/>
      <c r="J74" s="1"/>
      <c r="K74" s="1"/>
      <c r="L74" s="1"/>
      <c r="M74" s="1"/>
      <c r="N74" s="1"/>
      <c r="O74" s="1"/>
      <c r="P74" s="1"/>
      <c r="Q74" s="1"/>
      <c r="R74" s="1"/>
      <c r="S74" s="1"/>
      <c r="T74" s="1"/>
    </row>
    <row r="75" spans="1:20" x14ac:dyDescent="0.25">
      <c r="A75" s="1"/>
      <c r="B75" s="1"/>
      <c r="C75" s="1"/>
      <c r="D75" s="1"/>
      <c r="E75" s="13" t="s">
        <v>678</v>
      </c>
      <c r="F75" s="1"/>
      <c r="G75" s="1"/>
      <c r="H75" s="1"/>
      <c r="I75" s="13" t="s">
        <v>609</v>
      </c>
      <c r="J75" s="442" t="s">
        <v>679</v>
      </c>
      <c r="K75" s="414"/>
      <c r="L75" s="414"/>
      <c r="M75" s="442" t="s">
        <v>608</v>
      </c>
      <c r="N75" s="414"/>
      <c r="O75" s="414"/>
      <c r="P75" s="414"/>
      <c r="Q75" s="414"/>
      <c r="R75" s="414"/>
      <c r="S75" s="414"/>
      <c r="T75" s="1"/>
    </row>
    <row r="76" spans="1:20" ht="13.8" x14ac:dyDescent="0.25">
      <c r="A76" s="1"/>
      <c r="B76" s="1"/>
      <c r="C76" s="1"/>
      <c r="D76" s="1"/>
      <c r="E76" s="1"/>
      <c r="F76" s="1"/>
      <c r="G76" s="1"/>
      <c r="H76" s="21"/>
      <c r="I76" s="414"/>
      <c r="J76" s="416">
        <v>10</v>
      </c>
      <c r="K76" s="410">
        <v>20</v>
      </c>
      <c r="L76" s="410">
        <v>30</v>
      </c>
      <c r="M76" s="410">
        <v>40</v>
      </c>
      <c r="N76" s="410">
        <v>50</v>
      </c>
      <c r="O76" s="410">
        <v>60</v>
      </c>
      <c r="P76" s="410">
        <v>70</v>
      </c>
      <c r="Q76" s="410">
        <v>80</v>
      </c>
      <c r="R76" s="410">
        <v>90</v>
      </c>
      <c r="S76" s="410">
        <v>100</v>
      </c>
      <c r="T76" s="1"/>
    </row>
    <row r="77" spans="1:20" ht="13.8" thickBot="1" x14ac:dyDescent="0.3">
      <c r="A77" s="1"/>
      <c r="B77" s="1"/>
      <c r="C77" s="1"/>
      <c r="D77" s="1"/>
      <c r="E77" s="1"/>
      <c r="F77" s="1"/>
      <c r="G77" s="1"/>
      <c r="H77" s="21"/>
      <c r="I77" s="447" t="s">
        <v>607</v>
      </c>
      <c r="J77" s="1"/>
      <c r="K77" s="1"/>
      <c r="L77" s="1"/>
      <c r="M77" s="13" t="s">
        <v>602</v>
      </c>
      <c r="N77" s="1"/>
      <c r="O77" s="1"/>
      <c r="P77" s="1"/>
      <c r="Q77" s="1"/>
      <c r="R77" s="1"/>
      <c r="S77" s="1"/>
      <c r="T77" s="1"/>
    </row>
    <row r="78" spans="1:20" ht="13.8" thickTop="1" x14ac:dyDescent="0.25">
      <c r="A78" s="1"/>
      <c r="B78" s="1"/>
      <c r="C78" s="1"/>
      <c r="D78" s="1"/>
      <c r="E78" s="1"/>
      <c r="F78" s="1"/>
      <c r="G78" s="1"/>
      <c r="H78" s="1"/>
      <c r="I78" s="556">
        <v>1</v>
      </c>
      <c r="J78" s="484">
        <v>0.52</v>
      </c>
      <c r="K78" s="484">
        <v>1.1299999999999999</v>
      </c>
      <c r="L78" s="484">
        <v>2.23</v>
      </c>
      <c r="M78" s="484">
        <v>3.83</v>
      </c>
      <c r="N78" s="484">
        <v>5.95</v>
      </c>
      <c r="O78" s="484">
        <v>8.58</v>
      </c>
      <c r="P78" s="484">
        <v>11.7</v>
      </c>
      <c r="Q78" s="484">
        <v>16.2</v>
      </c>
      <c r="R78" s="484">
        <v>24.1</v>
      </c>
      <c r="S78" s="485">
        <v>45</v>
      </c>
      <c r="T78" s="1"/>
    </row>
    <row r="79" spans="1:20" x14ac:dyDescent="0.25">
      <c r="A79" s="1"/>
      <c r="B79" s="1"/>
      <c r="C79" s="1"/>
      <c r="D79" s="1"/>
      <c r="E79" s="1"/>
      <c r="F79" s="1"/>
      <c r="G79" s="1"/>
      <c r="H79" s="1"/>
      <c r="I79" s="98">
        <v>1.5</v>
      </c>
      <c r="J79" s="14">
        <v>1.33</v>
      </c>
      <c r="K79" s="14">
        <v>3.27</v>
      </c>
      <c r="L79" s="14">
        <v>6.44</v>
      </c>
      <c r="M79" s="14">
        <v>11.1</v>
      </c>
      <c r="N79" s="14">
        <v>17.2</v>
      </c>
      <c r="O79" s="14">
        <v>24.8</v>
      </c>
      <c r="P79" s="14">
        <v>33.9</v>
      </c>
      <c r="Q79" s="14">
        <v>46.5</v>
      </c>
      <c r="R79" s="14">
        <v>69.3</v>
      </c>
      <c r="S79" s="481">
        <v>110</v>
      </c>
      <c r="T79" s="1"/>
    </row>
    <row r="80" spans="1:20" x14ac:dyDescent="0.25">
      <c r="A80" s="1"/>
      <c r="B80" s="1"/>
      <c r="C80" s="1"/>
      <c r="D80" s="1"/>
      <c r="E80" s="1"/>
      <c r="F80" s="1"/>
      <c r="G80" s="1"/>
      <c r="H80" s="1"/>
      <c r="I80" s="98">
        <v>2</v>
      </c>
      <c r="J80" s="14">
        <v>2.0499999999999998</v>
      </c>
      <c r="K80" s="14">
        <v>5.07</v>
      </c>
      <c r="L80" s="14">
        <v>10</v>
      </c>
      <c r="M80" s="14">
        <v>17.2</v>
      </c>
      <c r="N80" s="14">
        <v>26.6</v>
      </c>
      <c r="O80" s="14">
        <v>38.4</v>
      </c>
      <c r="P80" s="14">
        <v>52.5</v>
      </c>
      <c r="Q80" s="14">
        <v>72.400000000000006</v>
      </c>
      <c r="R80" s="14">
        <v>108</v>
      </c>
      <c r="S80" s="481">
        <v>180</v>
      </c>
      <c r="T80" s="1"/>
    </row>
    <row r="81" spans="1:20" x14ac:dyDescent="0.25">
      <c r="A81" s="1"/>
      <c r="B81" s="1"/>
      <c r="C81" s="1"/>
      <c r="D81" s="1"/>
      <c r="E81" s="1"/>
      <c r="F81" s="1"/>
      <c r="G81" s="1"/>
      <c r="H81" s="1"/>
      <c r="I81" s="98">
        <v>2.5</v>
      </c>
      <c r="J81" s="14">
        <v>3.26</v>
      </c>
      <c r="K81" s="14">
        <v>8.02</v>
      </c>
      <c r="L81" s="14">
        <v>15.9</v>
      </c>
      <c r="M81" s="14">
        <v>27.3</v>
      </c>
      <c r="N81" s="14">
        <v>42.3</v>
      </c>
      <c r="O81" s="14">
        <v>61</v>
      </c>
      <c r="P81" s="14">
        <v>83.4</v>
      </c>
      <c r="Q81" s="14">
        <v>114</v>
      </c>
      <c r="R81" s="14">
        <v>170</v>
      </c>
      <c r="S81" s="481">
        <v>280</v>
      </c>
      <c r="T81" s="1"/>
    </row>
    <row r="82" spans="1:20" x14ac:dyDescent="0.25">
      <c r="A82" s="1"/>
      <c r="B82" s="1"/>
      <c r="C82" s="1"/>
      <c r="D82" s="1"/>
      <c r="E82" s="1"/>
      <c r="F82" s="1"/>
      <c r="G82" s="1"/>
      <c r="H82" s="1"/>
      <c r="I82" s="98">
        <v>3</v>
      </c>
      <c r="J82" s="14">
        <v>4.7300000000000004</v>
      </c>
      <c r="K82" s="14">
        <v>11.6</v>
      </c>
      <c r="L82" s="14">
        <v>23</v>
      </c>
      <c r="M82" s="14">
        <v>39.4</v>
      </c>
      <c r="N82" s="14">
        <v>61</v>
      </c>
      <c r="O82" s="14">
        <v>88.2</v>
      </c>
      <c r="P82" s="14">
        <v>121</v>
      </c>
      <c r="Q82" s="14">
        <v>165</v>
      </c>
      <c r="R82" s="14">
        <v>246</v>
      </c>
      <c r="S82" s="481">
        <v>420</v>
      </c>
      <c r="T82" s="1"/>
    </row>
    <row r="83" spans="1:20" x14ac:dyDescent="0.25">
      <c r="A83" s="1"/>
      <c r="B83" s="1"/>
      <c r="C83" s="1"/>
      <c r="D83" s="1"/>
      <c r="E83" s="1"/>
      <c r="F83" s="1"/>
      <c r="G83" s="1"/>
      <c r="H83" s="1"/>
      <c r="I83" s="98">
        <v>4</v>
      </c>
      <c r="J83" s="14">
        <v>7.57</v>
      </c>
      <c r="K83" s="14">
        <v>18.600000000000001</v>
      </c>
      <c r="L83" s="14">
        <v>36.799999999999997</v>
      </c>
      <c r="M83" s="14">
        <v>63.1</v>
      </c>
      <c r="N83" s="14">
        <v>97.7</v>
      </c>
      <c r="O83" s="14">
        <v>141</v>
      </c>
      <c r="P83" s="14">
        <v>193</v>
      </c>
      <c r="Q83" s="14">
        <v>264</v>
      </c>
      <c r="R83" s="14">
        <v>393</v>
      </c>
      <c r="S83" s="481">
        <v>620</v>
      </c>
      <c r="T83" s="1"/>
    </row>
    <row r="84" spans="1:20" x14ac:dyDescent="0.25">
      <c r="A84" s="1"/>
      <c r="B84" s="1"/>
      <c r="C84" s="1"/>
      <c r="D84" s="1"/>
      <c r="E84" s="1"/>
      <c r="F84" s="1"/>
      <c r="G84" s="1"/>
      <c r="H84" s="1"/>
      <c r="I84" s="98">
        <v>6</v>
      </c>
      <c r="J84" s="14">
        <v>13.9</v>
      </c>
      <c r="K84" s="14">
        <v>34.1</v>
      </c>
      <c r="L84" s="14">
        <v>67.2</v>
      </c>
      <c r="M84" s="14">
        <v>115</v>
      </c>
      <c r="N84" s="14">
        <v>178</v>
      </c>
      <c r="O84" s="14">
        <v>258</v>
      </c>
      <c r="P84" s="14">
        <v>352</v>
      </c>
      <c r="Q84" s="14">
        <v>484</v>
      </c>
      <c r="R84" s="14">
        <v>719</v>
      </c>
      <c r="S84" s="481">
        <v>1260</v>
      </c>
      <c r="T84" s="1"/>
    </row>
    <row r="85" spans="1:20" x14ac:dyDescent="0.25">
      <c r="A85" s="1"/>
      <c r="B85" s="1"/>
      <c r="C85" s="1"/>
      <c r="D85" s="1"/>
      <c r="E85" s="1"/>
      <c r="F85" s="1"/>
      <c r="G85" s="1"/>
      <c r="H85" s="1"/>
      <c r="I85" s="98">
        <v>8</v>
      </c>
      <c r="J85" s="14">
        <v>22.5</v>
      </c>
      <c r="K85" s="14">
        <v>55.3</v>
      </c>
      <c r="L85" s="14">
        <v>109</v>
      </c>
      <c r="M85" s="14">
        <v>187</v>
      </c>
      <c r="N85" s="14">
        <v>290</v>
      </c>
      <c r="O85" s="14">
        <v>418</v>
      </c>
      <c r="P85" s="14">
        <v>571</v>
      </c>
      <c r="Q85" s="14">
        <v>784</v>
      </c>
      <c r="R85" s="14">
        <v>1164</v>
      </c>
      <c r="S85" s="481">
        <v>2030</v>
      </c>
      <c r="T85" s="1"/>
    </row>
    <row r="86" spans="1:20" x14ac:dyDescent="0.25">
      <c r="A86" s="1"/>
      <c r="B86" s="1"/>
      <c r="C86" s="1"/>
      <c r="D86" s="1"/>
      <c r="E86" s="1"/>
      <c r="F86" s="1"/>
      <c r="G86" s="1"/>
      <c r="H86" s="1"/>
      <c r="I86" s="98">
        <v>10</v>
      </c>
      <c r="J86" s="14">
        <v>35.299999999999997</v>
      </c>
      <c r="K86" s="14">
        <v>86.9</v>
      </c>
      <c r="L86" s="14">
        <v>171</v>
      </c>
      <c r="M86" s="14">
        <v>294</v>
      </c>
      <c r="N86" s="14">
        <v>455</v>
      </c>
      <c r="O86" s="14">
        <v>658</v>
      </c>
      <c r="P86" s="14">
        <v>900</v>
      </c>
      <c r="Q86" s="14">
        <v>1236</v>
      </c>
      <c r="R86" s="14">
        <v>1831</v>
      </c>
      <c r="S86" s="481">
        <v>3210</v>
      </c>
      <c r="T86" s="1"/>
    </row>
    <row r="87" spans="1:20" x14ac:dyDescent="0.25">
      <c r="A87" s="1"/>
      <c r="B87" s="1"/>
      <c r="C87" s="1"/>
      <c r="D87" s="1"/>
      <c r="E87" s="1"/>
      <c r="F87" s="1"/>
      <c r="G87" s="1"/>
      <c r="H87" s="1"/>
      <c r="I87" s="98">
        <v>12</v>
      </c>
      <c r="J87" s="14">
        <v>49.8</v>
      </c>
      <c r="K87" s="14">
        <v>123</v>
      </c>
      <c r="L87" s="14">
        <v>243</v>
      </c>
      <c r="M87" s="14">
        <v>418</v>
      </c>
      <c r="N87" s="14">
        <v>648</v>
      </c>
      <c r="O87" s="14">
        <v>937</v>
      </c>
      <c r="P87" s="14">
        <v>1278</v>
      </c>
      <c r="Q87" s="14">
        <v>1754</v>
      </c>
      <c r="R87" s="14">
        <v>2601</v>
      </c>
      <c r="S87" s="481">
        <v>4490</v>
      </c>
      <c r="T87" s="1"/>
    </row>
    <row r="88" spans="1:20" x14ac:dyDescent="0.25">
      <c r="A88" s="1"/>
      <c r="B88" s="1"/>
      <c r="C88" s="1"/>
      <c r="D88" s="1"/>
      <c r="E88" s="1"/>
      <c r="F88" s="1"/>
      <c r="G88" s="1"/>
      <c r="H88" s="1"/>
      <c r="I88" s="98">
        <v>14</v>
      </c>
      <c r="J88" s="14">
        <v>63.9</v>
      </c>
      <c r="K88" s="14">
        <v>158</v>
      </c>
      <c r="L88" s="14">
        <v>311</v>
      </c>
      <c r="M88" s="14">
        <v>534</v>
      </c>
      <c r="N88" s="14">
        <v>827</v>
      </c>
      <c r="O88" s="14">
        <v>1193</v>
      </c>
      <c r="P88" s="14">
        <v>1628</v>
      </c>
      <c r="Q88" s="14">
        <v>2237</v>
      </c>
      <c r="R88" s="14">
        <v>3320</v>
      </c>
      <c r="S88" s="481">
        <v>6440</v>
      </c>
      <c r="T88" s="1"/>
    </row>
    <row r="89" spans="1:20" x14ac:dyDescent="0.25">
      <c r="A89" s="1"/>
      <c r="B89" s="1"/>
      <c r="C89" s="1"/>
      <c r="D89" s="1"/>
      <c r="E89" s="1"/>
      <c r="F89" s="1"/>
      <c r="G89" s="1"/>
      <c r="H89" s="1"/>
      <c r="I89" s="98">
        <v>16</v>
      </c>
      <c r="J89" s="14">
        <v>85.4</v>
      </c>
      <c r="K89" s="14">
        <v>210</v>
      </c>
      <c r="L89" s="14">
        <v>414</v>
      </c>
      <c r="M89" s="14">
        <v>713</v>
      </c>
      <c r="N89" s="14">
        <v>1106</v>
      </c>
      <c r="O89" s="14">
        <v>1599</v>
      </c>
      <c r="P89" s="14">
        <v>2180</v>
      </c>
      <c r="Q89" s="14">
        <v>2989</v>
      </c>
      <c r="R89" s="14">
        <v>4432</v>
      </c>
      <c r="S89" s="481">
        <v>8510</v>
      </c>
      <c r="T89" s="1"/>
    </row>
    <row r="90" spans="1:20" x14ac:dyDescent="0.25">
      <c r="A90" s="1"/>
      <c r="B90" s="1"/>
      <c r="C90" s="1"/>
      <c r="D90" s="1"/>
      <c r="E90" s="1"/>
      <c r="F90" s="1"/>
      <c r="G90" s="1"/>
      <c r="H90" s="1"/>
      <c r="I90" s="98">
        <v>20</v>
      </c>
      <c r="J90" s="14">
        <v>130.6</v>
      </c>
      <c r="K90" s="14">
        <v>321</v>
      </c>
      <c r="L90" s="14">
        <v>633</v>
      </c>
      <c r="M90" s="14">
        <v>1090</v>
      </c>
      <c r="N90" s="14">
        <v>1692</v>
      </c>
      <c r="O90" s="14">
        <v>2446</v>
      </c>
      <c r="P90" s="14">
        <v>3334</v>
      </c>
      <c r="Q90" s="14">
        <v>4571</v>
      </c>
      <c r="R90" s="14">
        <v>6778</v>
      </c>
      <c r="S90" s="481">
        <v>13020</v>
      </c>
      <c r="T90" s="1"/>
    </row>
    <row r="91" spans="1:20" x14ac:dyDescent="0.25">
      <c r="A91" s="1"/>
      <c r="B91" s="1"/>
      <c r="C91" s="1"/>
      <c r="D91" s="1"/>
      <c r="E91" s="1"/>
      <c r="F91" s="1"/>
      <c r="G91" s="1"/>
      <c r="H91" s="1"/>
      <c r="I91" s="98">
        <v>24</v>
      </c>
      <c r="J91" s="14">
        <v>198</v>
      </c>
      <c r="K91" s="14">
        <v>486</v>
      </c>
      <c r="L91" s="14">
        <v>958</v>
      </c>
      <c r="M91" s="14">
        <v>1649</v>
      </c>
      <c r="N91" s="14">
        <v>2560</v>
      </c>
      <c r="O91" s="14">
        <v>3701</v>
      </c>
      <c r="P91" s="14">
        <v>5045</v>
      </c>
      <c r="Q91" s="14">
        <v>6916</v>
      </c>
      <c r="R91" s="14">
        <v>10255</v>
      </c>
      <c r="S91" s="481">
        <v>19700</v>
      </c>
      <c r="T91" s="1"/>
    </row>
    <row r="92" spans="1:20" x14ac:dyDescent="0.25">
      <c r="A92" s="1"/>
      <c r="B92" s="1"/>
      <c r="C92" s="1"/>
      <c r="D92" s="1"/>
      <c r="E92" s="1"/>
      <c r="F92" s="1"/>
      <c r="G92" s="1"/>
      <c r="H92" s="1"/>
      <c r="I92" s="98">
        <v>28</v>
      </c>
      <c r="J92" s="14">
        <v>254</v>
      </c>
      <c r="K92" s="14">
        <v>624</v>
      </c>
      <c r="L92" s="14">
        <v>1230</v>
      </c>
      <c r="M92" s="14">
        <v>2118</v>
      </c>
      <c r="N92" s="14">
        <v>3288</v>
      </c>
      <c r="O92" s="14">
        <v>4753</v>
      </c>
      <c r="P92" s="14">
        <v>6479</v>
      </c>
      <c r="Q92" s="14">
        <v>8882</v>
      </c>
      <c r="R92" s="14">
        <v>13171</v>
      </c>
      <c r="S92" s="481">
        <v>25300</v>
      </c>
      <c r="T92" s="1"/>
    </row>
    <row r="93" spans="1:20" ht="13.8" thickBot="1" x14ac:dyDescent="0.3">
      <c r="A93" s="1"/>
      <c r="B93" s="1"/>
      <c r="C93" s="1"/>
      <c r="D93" s="1"/>
      <c r="E93" s="1"/>
      <c r="F93" s="1"/>
      <c r="G93" s="1"/>
      <c r="H93" s="1"/>
      <c r="I93" s="482">
        <v>32</v>
      </c>
      <c r="J93" s="477">
        <v>321</v>
      </c>
      <c r="K93" s="477">
        <v>789</v>
      </c>
      <c r="L93" s="477">
        <v>1556</v>
      </c>
      <c r="M93" s="477">
        <v>2679</v>
      </c>
      <c r="N93" s="477">
        <v>4159</v>
      </c>
      <c r="O93" s="477">
        <v>6012</v>
      </c>
      <c r="P93" s="477">
        <v>8195</v>
      </c>
      <c r="Q93" s="477">
        <v>11234</v>
      </c>
      <c r="R93" s="477">
        <v>16659</v>
      </c>
      <c r="S93" s="483">
        <v>32000</v>
      </c>
      <c r="T93" s="1"/>
    </row>
    <row r="94" spans="1:20" ht="13.8" thickTop="1" x14ac:dyDescent="0.25">
      <c r="A94" s="1"/>
      <c r="B94" s="1"/>
      <c r="C94" s="1"/>
      <c r="D94" s="1"/>
      <c r="E94" s="1"/>
      <c r="F94" s="1"/>
      <c r="G94" s="1"/>
      <c r="H94" s="1"/>
      <c r="I94" s="1"/>
      <c r="J94" s="1"/>
      <c r="K94" s="1"/>
      <c r="L94" s="1"/>
      <c r="M94" s="1"/>
      <c r="N94" s="1"/>
      <c r="O94" s="1"/>
      <c r="P94" s="1"/>
      <c r="Q94" s="1"/>
      <c r="R94" s="1"/>
      <c r="S94" s="1"/>
      <c r="T94" s="1"/>
    </row>
    <row r="95" spans="1:20" x14ac:dyDescent="0.25">
      <c r="A95" s="1"/>
      <c r="B95" s="1"/>
      <c r="C95" s="1"/>
      <c r="D95" s="1"/>
      <c r="E95" s="1"/>
      <c r="F95" s="1"/>
      <c r="G95" s="1"/>
      <c r="H95" s="1"/>
      <c r="I95" s="1"/>
      <c r="J95" s="1"/>
      <c r="K95" s="1"/>
      <c r="L95" s="1"/>
      <c r="M95" s="1"/>
      <c r="N95" s="1"/>
      <c r="O95" s="1"/>
      <c r="P95" s="1"/>
      <c r="Q95" s="1"/>
      <c r="R95" s="1"/>
      <c r="S95" s="1"/>
      <c r="T95" s="1"/>
    </row>
    <row r="96" spans="1:20" x14ac:dyDescent="0.25">
      <c r="A96" s="1"/>
      <c r="B96" s="1"/>
      <c r="C96" s="1"/>
      <c r="D96" s="1"/>
      <c r="E96" s="1"/>
      <c r="F96" s="1"/>
      <c r="G96" s="1"/>
      <c r="H96" s="1"/>
      <c r="I96" s="1"/>
      <c r="J96" s="1"/>
      <c r="K96" s="1"/>
      <c r="L96" s="1"/>
      <c r="M96" s="1"/>
      <c r="N96" s="1"/>
      <c r="O96" s="1"/>
      <c r="P96" s="1"/>
      <c r="Q96" s="1"/>
      <c r="R96" s="1"/>
      <c r="S96" s="1"/>
      <c r="T96" s="1"/>
    </row>
    <row r="97" spans="1:20" x14ac:dyDescent="0.25">
      <c r="A97" s="1"/>
      <c r="B97" s="1"/>
      <c r="C97" s="1"/>
      <c r="D97" s="1"/>
      <c r="E97" s="1"/>
      <c r="F97" s="1"/>
      <c r="G97" s="1"/>
      <c r="H97" s="1"/>
      <c r="I97" s="1"/>
      <c r="J97" s="1"/>
      <c r="K97" s="1"/>
      <c r="L97" s="1"/>
      <c r="M97" s="1"/>
      <c r="N97" s="1"/>
      <c r="O97" s="1"/>
      <c r="P97" s="1"/>
      <c r="Q97" s="1"/>
      <c r="R97" s="1"/>
      <c r="S97" s="1"/>
      <c r="T97" s="1"/>
    </row>
    <row r="98" spans="1:20" x14ac:dyDescent="0.25">
      <c r="A98" s="1"/>
      <c r="B98" s="1"/>
      <c r="C98" s="1"/>
      <c r="D98" s="1"/>
      <c r="E98" s="1"/>
      <c r="F98" s="1"/>
      <c r="G98" s="1"/>
      <c r="H98" s="1"/>
      <c r="I98" s="1"/>
      <c r="J98" s="1"/>
      <c r="K98" s="1"/>
      <c r="L98" s="1"/>
      <c r="M98" s="1"/>
      <c r="N98" s="1"/>
      <c r="O98" s="1"/>
      <c r="P98" s="1"/>
      <c r="Q98" s="1"/>
      <c r="R98" s="1"/>
      <c r="S98" s="1"/>
      <c r="T98" s="1"/>
    </row>
    <row r="99" spans="1:20" x14ac:dyDescent="0.25">
      <c r="A99" s="1"/>
      <c r="B99" s="1"/>
      <c r="C99" s="1"/>
      <c r="D99" s="1"/>
      <c r="E99" s="13" t="s">
        <v>680</v>
      </c>
      <c r="F99" s="1"/>
      <c r="G99" s="1"/>
      <c r="H99" s="1"/>
      <c r="I99" s="13" t="s">
        <v>609</v>
      </c>
      <c r="J99" s="442" t="s">
        <v>681</v>
      </c>
      <c r="K99" s="414"/>
      <c r="L99" s="414"/>
      <c r="M99" s="442" t="s">
        <v>608</v>
      </c>
      <c r="N99" s="414"/>
      <c r="O99" s="414"/>
      <c r="P99" s="414"/>
      <c r="Q99" s="414"/>
      <c r="R99" s="414"/>
      <c r="S99" s="414"/>
      <c r="T99" s="1"/>
    </row>
    <row r="100" spans="1:20" ht="13.8" x14ac:dyDescent="0.25">
      <c r="A100" s="1"/>
      <c r="B100" s="1"/>
      <c r="C100" s="1"/>
      <c r="D100" s="1"/>
      <c r="E100" s="13" t="s">
        <v>682</v>
      </c>
      <c r="F100" s="1"/>
      <c r="G100" s="1"/>
      <c r="H100" s="21"/>
      <c r="I100" s="414"/>
      <c r="J100" s="416">
        <v>10</v>
      </c>
      <c r="K100" s="410">
        <v>20</v>
      </c>
      <c r="L100" s="410">
        <v>30</v>
      </c>
      <c r="M100" s="410">
        <v>40</v>
      </c>
      <c r="N100" s="410">
        <v>50</v>
      </c>
      <c r="O100" s="410">
        <v>60</v>
      </c>
      <c r="P100" s="410">
        <v>70</v>
      </c>
      <c r="Q100" s="410">
        <v>80</v>
      </c>
      <c r="R100" s="410">
        <v>90</v>
      </c>
      <c r="S100" s="410">
        <v>100</v>
      </c>
      <c r="T100" s="1"/>
    </row>
    <row r="101" spans="1:20" ht="13.8" thickBot="1" x14ac:dyDescent="0.3">
      <c r="A101" s="1"/>
      <c r="B101" s="1"/>
      <c r="C101" s="1"/>
      <c r="D101" s="1"/>
      <c r="E101" s="1"/>
      <c r="F101" s="1"/>
      <c r="G101" s="1"/>
      <c r="H101" s="21"/>
      <c r="I101" s="447" t="s">
        <v>607</v>
      </c>
      <c r="J101" s="1"/>
      <c r="K101" s="1"/>
      <c r="L101" s="1"/>
      <c r="M101" s="13" t="s">
        <v>602</v>
      </c>
      <c r="N101" s="1"/>
      <c r="O101" s="1"/>
      <c r="P101" s="1"/>
      <c r="Q101" s="1"/>
      <c r="R101" s="1"/>
      <c r="S101" s="1"/>
      <c r="T101" s="1"/>
    </row>
    <row r="102" spans="1:20" ht="13.8" thickTop="1" x14ac:dyDescent="0.25">
      <c r="A102" s="1"/>
      <c r="B102" s="1"/>
      <c r="C102" s="1"/>
      <c r="D102" s="1"/>
      <c r="E102" s="1"/>
      <c r="F102" s="1"/>
      <c r="G102" s="1"/>
      <c r="H102" s="1"/>
      <c r="I102" s="556">
        <v>2.5</v>
      </c>
      <c r="J102" s="484">
        <v>4</v>
      </c>
      <c r="K102" s="484">
        <v>7</v>
      </c>
      <c r="L102" s="484">
        <v>11</v>
      </c>
      <c r="M102" s="484">
        <v>16</v>
      </c>
      <c r="N102" s="484">
        <v>22</v>
      </c>
      <c r="O102" s="484">
        <v>30</v>
      </c>
      <c r="P102" s="484">
        <v>43</v>
      </c>
      <c r="Q102" s="484">
        <v>59</v>
      </c>
      <c r="R102" s="484">
        <v>71</v>
      </c>
      <c r="S102" s="485">
        <v>78</v>
      </c>
      <c r="T102" s="1"/>
    </row>
    <row r="103" spans="1:20" x14ac:dyDescent="0.25">
      <c r="A103" s="1"/>
      <c r="B103" s="1"/>
      <c r="C103" s="1"/>
      <c r="D103" s="1"/>
      <c r="E103" s="1"/>
      <c r="F103" s="1"/>
      <c r="G103" s="1"/>
      <c r="H103" s="1"/>
      <c r="I103" s="98">
        <v>3</v>
      </c>
      <c r="J103" s="14">
        <v>4</v>
      </c>
      <c r="K103" s="14">
        <v>12</v>
      </c>
      <c r="L103" s="14">
        <v>21</v>
      </c>
      <c r="M103" s="14">
        <v>35</v>
      </c>
      <c r="N103" s="14">
        <v>46</v>
      </c>
      <c r="O103" s="14">
        <v>66</v>
      </c>
      <c r="P103" s="14">
        <v>90</v>
      </c>
      <c r="Q103" s="14">
        <v>125</v>
      </c>
      <c r="R103" s="14">
        <v>153</v>
      </c>
      <c r="S103" s="481">
        <v>165</v>
      </c>
      <c r="T103" s="1"/>
    </row>
    <row r="104" spans="1:20" x14ac:dyDescent="0.25">
      <c r="A104" s="1"/>
      <c r="B104" s="1"/>
      <c r="C104" s="1"/>
      <c r="D104" s="1"/>
      <c r="E104" s="1"/>
      <c r="F104" s="1"/>
      <c r="G104" s="1"/>
      <c r="H104" s="1"/>
      <c r="I104" s="98">
        <v>4</v>
      </c>
      <c r="J104" s="14">
        <v>8</v>
      </c>
      <c r="K104" s="14">
        <v>12</v>
      </c>
      <c r="L104" s="14">
        <v>55</v>
      </c>
      <c r="M104" s="14">
        <v>87</v>
      </c>
      <c r="N104" s="14">
        <v>120</v>
      </c>
      <c r="O104" s="14">
        <v>165</v>
      </c>
      <c r="P104" s="14">
        <v>225</v>
      </c>
      <c r="Q104" s="14">
        <v>310</v>
      </c>
      <c r="R104" s="14">
        <v>380</v>
      </c>
      <c r="S104" s="481">
        <v>400</v>
      </c>
      <c r="T104" s="1"/>
    </row>
    <row r="105" spans="1:20" x14ac:dyDescent="0.25">
      <c r="A105" s="1"/>
      <c r="B105" s="1"/>
      <c r="C105" s="1"/>
      <c r="D105" s="1"/>
      <c r="E105" s="1"/>
      <c r="F105" s="1"/>
      <c r="G105" s="1"/>
      <c r="H105" s="1"/>
      <c r="I105" s="98">
        <v>5</v>
      </c>
      <c r="J105" s="14">
        <v>10</v>
      </c>
      <c r="K105" s="14">
        <v>38</v>
      </c>
      <c r="L105" s="14">
        <v>87</v>
      </c>
      <c r="M105" s="14">
        <v>143</v>
      </c>
      <c r="N105" s="14">
        <v>193</v>
      </c>
      <c r="O105" s="14">
        <v>263</v>
      </c>
      <c r="P105" s="14">
        <v>356</v>
      </c>
      <c r="Q105" s="14">
        <v>482</v>
      </c>
      <c r="R105" s="14">
        <v>606</v>
      </c>
      <c r="S105" s="481">
        <v>650</v>
      </c>
      <c r="T105" s="1"/>
    </row>
    <row r="106" spans="1:20" x14ac:dyDescent="0.25">
      <c r="A106" s="1"/>
      <c r="B106" s="1"/>
      <c r="C106" s="1"/>
      <c r="D106" s="1"/>
      <c r="E106" s="1"/>
      <c r="F106" s="1"/>
      <c r="G106" s="1"/>
      <c r="H106" s="1"/>
      <c r="I106" s="98">
        <v>6</v>
      </c>
      <c r="J106" s="14">
        <v>10</v>
      </c>
      <c r="K106" s="14">
        <v>58</v>
      </c>
      <c r="L106" s="14">
        <v>137</v>
      </c>
      <c r="M106" s="14">
        <v>235</v>
      </c>
      <c r="N106" s="14">
        <v>310</v>
      </c>
      <c r="O106" s="14">
        <v>415</v>
      </c>
      <c r="P106" s="14">
        <v>560</v>
      </c>
      <c r="Q106" s="14">
        <v>745</v>
      </c>
      <c r="R106" s="14">
        <v>960</v>
      </c>
      <c r="S106" s="481">
        <v>1050</v>
      </c>
      <c r="T106" s="1"/>
    </row>
    <row r="107" spans="1:20" x14ac:dyDescent="0.25">
      <c r="A107" s="1"/>
      <c r="B107" s="1"/>
      <c r="C107" s="1"/>
      <c r="D107" s="1"/>
      <c r="E107" s="1"/>
      <c r="F107" s="1"/>
      <c r="G107" s="1"/>
      <c r="H107" s="1"/>
      <c r="I107" s="98">
        <v>8</v>
      </c>
      <c r="J107" s="14">
        <v>15</v>
      </c>
      <c r="K107" s="14">
        <v>130</v>
      </c>
      <c r="L107" s="14">
        <v>315</v>
      </c>
      <c r="M107" s="14">
        <v>475</v>
      </c>
      <c r="N107" s="14">
        <v>695</v>
      </c>
      <c r="O107" s="14">
        <v>970</v>
      </c>
      <c r="P107" s="14">
        <v>1370</v>
      </c>
      <c r="Q107" s="14">
        <v>1865</v>
      </c>
      <c r="R107" s="14">
        <v>2015</v>
      </c>
      <c r="S107" s="481">
        <v>2200</v>
      </c>
      <c r="T107" s="1"/>
    </row>
    <row r="108" spans="1:20" x14ac:dyDescent="0.25">
      <c r="A108" s="1"/>
      <c r="B108" s="1"/>
      <c r="C108" s="1"/>
      <c r="D108" s="1"/>
      <c r="E108" s="1"/>
      <c r="F108" s="1"/>
      <c r="G108" s="1"/>
      <c r="H108" s="1"/>
      <c r="I108" s="98">
        <v>10</v>
      </c>
      <c r="J108" s="14">
        <v>25</v>
      </c>
      <c r="K108" s="14">
        <v>155</v>
      </c>
      <c r="L108" s="14">
        <v>340</v>
      </c>
      <c r="M108" s="14">
        <v>540</v>
      </c>
      <c r="N108" s="14">
        <v>835</v>
      </c>
      <c r="O108" s="14">
        <v>1210</v>
      </c>
      <c r="P108" s="14">
        <v>1665</v>
      </c>
      <c r="Q108" s="14">
        <v>2225</v>
      </c>
      <c r="R108" s="14">
        <v>3030</v>
      </c>
      <c r="S108" s="481">
        <v>3300</v>
      </c>
      <c r="T108" s="1"/>
    </row>
    <row r="109" spans="1:20" x14ac:dyDescent="0.25">
      <c r="A109" s="1"/>
      <c r="B109" s="1"/>
      <c r="C109" s="1"/>
      <c r="D109" s="1"/>
      <c r="E109" s="1"/>
      <c r="F109" s="237"/>
      <c r="G109" s="1"/>
      <c r="H109" s="1"/>
      <c r="I109" s="98">
        <v>12</v>
      </c>
      <c r="J109" s="14">
        <v>55</v>
      </c>
      <c r="K109" s="14">
        <v>310</v>
      </c>
      <c r="L109" s="14">
        <v>590</v>
      </c>
      <c r="M109" s="14">
        <v>895</v>
      </c>
      <c r="N109" s="14">
        <v>1410</v>
      </c>
      <c r="O109" s="14">
        <v>2020</v>
      </c>
      <c r="P109" s="14">
        <v>2790</v>
      </c>
      <c r="Q109" s="14">
        <v>3855</v>
      </c>
      <c r="R109" s="14">
        <v>4900</v>
      </c>
      <c r="S109" s="481">
        <v>5100</v>
      </c>
      <c r="T109" s="1"/>
    </row>
    <row r="110" spans="1:20" x14ac:dyDescent="0.25">
      <c r="A110" s="1"/>
      <c r="B110" s="1"/>
      <c r="C110" s="1"/>
      <c r="D110" s="1"/>
      <c r="E110" s="1"/>
      <c r="F110" s="1"/>
      <c r="G110" s="1"/>
      <c r="H110" s="1"/>
      <c r="I110" s="98">
        <v>14</v>
      </c>
      <c r="J110" s="14">
        <v>100</v>
      </c>
      <c r="K110" s="14">
        <v>435</v>
      </c>
      <c r="L110" s="14">
        <v>755</v>
      </c>
      <c r="M110" s="14">
        <v>1220</v>
      </c>
      <c r="N110" s="14">
        <v>1625</v>
      </c>
      <c r="O110" s="14">
        <v>2320</v>
      </c>
      <c r="P110" s="14">
        <v>3190</v>
      </c>
      <c r="Q110" s="14">
        <v>4410</v>
      </c>
      <c r="R110" s="14">
        <v>5395</v>
      </c>
      <c r="S110" s="481">
        <v>5800</v>
      </c>
      <c r="T110" s="1"/>
    </row>
    <row r="111" spans="1:20" x14ac:dyDescent="0.25">
      <c r="A111" s="1"/>
      <c r="B111" s="1"/>
      <c r="C111" s="1"/>
      <c r="D111" s="1"/>
      <c r="E111" s="1"/>
      <c r="F111" s="208"/>
      <c r="G111" s="1"/>
      <c r="H111" s="1"/>
      <c r="I111" s="98">
        <v>16</v>
      </c>
      <c r="J111" s="14">
        <v>165</v>
      </c>
      <c r="K111" s="14">
        <v>630</v>
      </c>
      <c r="L111" s="14">
        <v>1050</v>
      </c>
      <c r="M111" s="14">
        <v>1530</v>
      </c>
      <c r="N111" s="14">
        <v>2190</v>
      </c>
      <c r="O111" s="14">
        <v>3080</v>
      </c>
      <c r="P111" s="14">
        <v>4350</v>
      </c>
      <c r="Q111" s="14">
        <v>6100</v>
      </c>
      <c r="R111" s="14">
        <v>7600</v>
      </c>
      <c r="S111" s="481">
        <v>8000</v>
      </c>
      <c r="T111" s="1"/>
    </row>
    <row r="112" spans="1:20" x14ac:dyDescent="0.25">
      <c r="A112" s="1"/>
      <c r="B112" s="1"/>
      <c r="C112" s="1"/>
      <c r="D112" s="1"/>
      <c r="E112" s="1"/>
      <c r="F112" s="1"/>
      <c r="G112" s="1"/>
      <c r="H112" s="1"/>
      <c r="I112" s="98">
        <v>18</v>
      </c>
      <c r="J112" s="14">
        <v>285</v>
      </c>
      <c r="K112" s="14">
        <v>790</v>
      </c>
      <c r="L112" s="14">
        <v>1365</v>
      </c>
      <c r="M112" s="14">
        <v>2200</v>
      </c>
      <c r="N112" s="14">
        <v>2940</v>
      </c>
      <c r="O112" s="14">
        <v>4200</v>
      </c>
      <c r="P112" s="14">
        <v>5760</v>
      </c>
      <c r="Q112" s="14">
        <v>7970</v>
      </c>
      <c r="R112" s="14">
        <v>9750</v>
      </c>
      <c r="S112" s="481">
        <v>10500</v>
      </c>
      <c r="T112" s="1"/>
    </row>
    <row r="113" spans="1:20" x14ac:dyDescent="0.25">
      <c r="A113" s="1"/>
      <c r="B113" s="1"/>
      <c r="C113" s="1"/>
      <c r="D113" s="1"/>
      <c r="E113" s="1"/>
      <c r="F113" s="1"/>
      <c r="G113" s="1"/>
      <c r="H113" s="1"/>
      <c r="I113" s="98">
        <v>20</v>
      </c>
      <c r="J113" s="14">
        <v>350</v>
      </c>
      <c r="K113" s="14">
        <v>880</v>
      </c>
      <c r="L113" s="14">
        <v>1570</v>
      </c>
      <c r="M113" s="14">
        <v>2540</v>
      </c>
      <c r="N113" s="14">
        <v>3400</v>
      </c>
      <c r="O113" s="14">
        <v>5080</v>
      </c>
      <c r="P113" s="14">
        <v>7150</v>
      </c>
      <c r="Q113" s="14">
        <v>9450</v>
      </c>
      <c r="R113" s="14">
        <v>12650</v>
      </c>
      <c r="S113" s="481">
        <v>14000</v>
      </c>
      <c r="T113" s="1"/>
    </row>
    <row r="114" spans="1:20" x14ac:dyDescent="0.25">
      <c r="A114" s="1"/>
      <c r="B114" s="1"/>
      <c r="C114" s="1"/>
      <c r="D114" s="1"/>
      <c r="E114" s="1"/>
      <c r="F114" s="1"/>
      <c r="G114" s="1"/>
      <c r="H114" s="1"/>
      <c r="I114" s="98">
        <v>24</v>
      </c>
      <c r="J114" s="14">
        <v>405</v>
      </c>
      <c r="K114" s="14">
        <v>1070</v>
      </c>
      <c r="L114" s="14">
        <v>1980</v>
      </c>
      <c r="M114" s="14">
        <v>3050</v>
      </c>
      <c r="N114" s="14">
        <v>4430</v>
      </c>
      <c r="O114" s="14">
        <v>6500</v>
      </c>
      <c r="P114" s="14">
        <v>9550</v>
      </c>
      <c r="Q114" s="14">
        <v>13950</v>
      </c>
      <c r="R114" s="14">
        <v>19100</v>
      </c>
      <c r="S114" s="481">
        <v>21600</v>
      </c>
      <c r="T114" s="1"/>
    </row>
    <row r="115" spans="1:20" x14ac:dyDescent="0.25">
      <c r="A115" s="1"/>
      <c r="B115" s="1"/>
      <c r="C115" s="1"/>
      <c r="D115" s="1"/>
      <c r="E115" s="1"/>
      <c r="F115" s="1"/>
      <c r="G115" s="1"/>
      <c r="H115" s="1"/>
      <c r="I115" s="98">
        <v>28</v>
      </c>
      <c r="J115" s="14">
        <v>570</v>
      </c>
      <c r="K115" s="14">
        <v>1562</v>
      </c>
      <c r="L115" s="14">
        <v>2779</v>
      </c>
      <c r="M115" s="14">
        <v>4200</v>
      </c>
      <c r="N115" s="14">
        <v>6000</v>
      </c>
      <c r="O115" s="14">
        <v>8700</v>
      </c>
      <c r="P115" s="14">
        <v>12900</v>
      </c>
      <c r="Q115" s="14">
        <v>18882</v>
      </c>
      <c r="R115" s="14">
        <v>26400</v>
      </c>
      <c r="S115" s="481">
        <v>30000</v>
      </c>
      <c r="T115" s="1"/>
    </row>
    <row r="116" spans="1:20" x14ac:dyDescent="0.25">
      <c r="A116" s="1"/>
      <c r="B116" s="1"/>
      <c r="C116" s="1"/>
      <c r="D116" s="1"/>
      <c r="E116" s="1"/>
      <c r="F116" s="1"/>
      <c r="G116" s="1"/>
      <c r="H116" s="1"/>
      <c r="I116" s="98">
        <v>30</v>
      </c>
      <c r="J116" s="14">
        <v>650</v>
      </c>
      <c r="K116" s="14">
        <v>1770</v>
      </c>
      <c r="L116" s="14">
        <v>3150</v>
      </c>
      <c r="M116" s="14">
        <v>4760</v>
      </c>
      <c r="N116" s="14">
        <v>6800</v>
      </c>
      <c r="O116" s="14">
        <v>9860</v>
      </c>
      <c r="P116" s="14">
        <v>14620</v>
      </c>
      <c r="Q116" s="14">
        <v>21400</v>
      </c>
      <c r="R116" s="14">
        <v>29920</v>
      </c>
      <c r="S116" s="481">
        <v>34000</v>
      </c>
      <c r="T116" s="1"/>
    </row>
    <row r="117" spans="1:20" x14ac:dyDescent="0.25">
      <c r="A117" s="1"/>
      <c r="B117" s="1"/>
      <c r="C117" s="1"/>
      <c r="D117" s="1"/>
      <c r="E117" s="1"/>
      <c r="F117" s="1"/>
      <c r="G117" s="1"/>
      <c r="H117" s="1"/>
      <c r="I117" s="98">
        <v>32</v>
      </c>
      <c r="J117" s="14">
        <v>784</v>
      </c>
      <c r="K117" s="14">
        <v>2134</v>
      </c>
      <c r="L117" s="14">
        <v>3799</v>
      </c>
      <c r="M117" s="14">
        <v>5740</v>
      </c>
      <c r="N117" s="14">
        <v>8200</v>
      </c>
      <c r="O117" s="14">
        <v>11890</v>
      </c>
      <c r="P117" s="14">
        <v>17630</v>
      </c>
      <c r="Q117" s="14">
        <v>25806</v>
      </c>
      <c r="R117" s="14">
        <v>36080</v>
      </c>
      <c r="S117" s="481">
        <v>41000</v>
      </c>
      <c r="T117" s="1"/>
    </row>
    <row r="118" spans="1:20" x14ac:dyDescent="0.25">
      <c r="A118" s="1"/>
      <c r="B118" s="1"/>
      <c r="C118" s="1"/>
      <c r="D118" s="1"/>
      <c r="E118" s="1"/>
      <c r="F118" s="1"/>
      <c r="G118" s="1"/>
      <c r="H118" s="1"/>
      <c r="I118" s="98">
        <v>36</v>
      </c>
      <c r="J118" s="14">
        <v>1220</v>
      </c>
      <c r="K118" s="14">
        <v>2980</v>
      </c>
      <c r="L118" s="14">
        <v>5230</v>
      </c>
      <c r="M118" s="14">
        <v>7650</v>
      </c>
      <c r="N118" s="14">
        <v>11150</v>
      </c>
      <c r="O118" s="14">
        <v>16100</v>
      </c>
      <c r="P118" s="14">
        <v>23500</v>
      </c>
      <c r="Q118" s="14">
        <v>34100</v>
      </c>
      <c r="R118" s="14">
        <v>49200</v>
      </c>
      <c r="S118" s="481">
        <v>55500</v>
      </c>
      <c r="T118" s="1"/>
    </row>
    <row r="119" spans="1:20" x14ac:dyDescent="0.25">
      <c r="A119" s="1"/>
      <c r="B119" s="1"/>
      <c r="C119" s="1"/>
      <c r="D119" s="1"/>
      <c r="E119" s="1"/>
      <c r="F119" s="1"/>
      <c r="G119" s="1"/>
      <c r="H119" s="1"/>
      <c r="I119" s="98">
        <v>40</v>
      </c>
      <c r="J119" s="14">
        <v>1452</v>
      </c>
      <c r="K119" s="14">
        <v>3893</v>
      </c>
      <c r="L119" s="14">
        <v>6987</v>
      </c>
      <c r="M119" s="14">
        <v>10481</v>
      </c>
      <c r="N119" s="14">
        <v>15018</v>
      </c>
      <c r="O119" s="14">
        <v>21688</v>
      </c>
      <c r="P119" s="14">
        <v>32123</v>
      </c>
      <c r="Q119" s="14">
        <v>47278</v>
      </c>
      <c r="R119" s="14">
        <v>65880</v>
      </c>
      <c r="S119" s="481">
        <v>75000</v>
      </c>
      <c r="T119" s="1"/>
    </row>
    <row r="120" spans="1:20" x14ac:dyDescent="0.25">
      <c r="A120" s="1"/>
      <c r="B120" s="1"/>
      <c r="C120" s="1"/>
      <c r="D120" s="1"/>
      <c r="E120" s="1"/>
      <c r="F120" s="1"/>
      <c r="G120" s="1"/>
      <c r="H120" s="1"/>
      <c r="I120" s="98">
        <v>42</v>
      </c>
      <c r="J120" s="14">
        <v>1600</v>
      </c>
      <c r="K120" s="14">
        <v>4290</v>
      </c>
      <c r="L120" s="14">
        <v>7700</v>
      </c>
      <c r="M120" s="14">
        <v>11550</v>
      </c>
      <c r="N120" s="14">
        <v>16550</v>
      </c>
      <c r="O120" s="14">
        <v>23900</v>
      </c>
      <c r="P120" s="14">
        <v>35400</v>
      </c>
      <c r="Q120" s="14">
        <v>52100</v>
      </c>
      <c r="R120" s="14">
        <v>72600</v>
      </c>
      <c r="S120" s="481">
        <v>82650</v>
      </c>
      <c r="T120" s="1"/>
    </row>
    <row r="121" spans="1:20" x14ac:dyDescent="0.25">
      <c r="A121" s="1"/>
      <c r="B121" s="1"/>
      <c r="C121" s="1"/>
      <c r="D121" s="1"/>
      <c r="E121" s="1"/>
      <c r="F121" s="1"/>
      <c r="G121" s="1"/>
      <c r="H121" s="1"/>
      <c r="I121" s="98">
        <v>48</v>
      </c>
      <c r="J121" s="14">
        <v>2100</v>
      </c>
      <c r="K121" s="14">
        <v>5600</v>
      </c>
      <c r="L121" s="14">
        <v>10100</v>
      </c>
      <c r="M121" s="14">
        <v>15200</v>
      </c>
      <c r="N121" s="14">
        <v>21700</v>
      </c>
      <c r="O121" s="14">
        <v>31400</v>
      </c>
      <c r="P121" s="14">
        <v>46600</v>
      </c>
      <c r="Q121" s="14">
        <v>68200</v>
      </c>
      <c r="R121" s="14">
        <v>95300</v>
      </c>
      <c r="S121" s="481">
        <v>108300</v>
      </c>
      <c r="T121" s="1"/>
    </row>
    <row r="122" spans="1:20" x14ac:dyDescent="0.25">
      <c r="A122" s="1"/>
      <c r="B122" s="1"/>
      <c r="C122" s="1"/>
      <c r="D122" s="1"/>
      <c r="E122" s="1"/>
      <c r="F122" s="1"/>
      <c r="G122" s="1"/>
      <c r="H122" s="1"/>
      <c r="I122" s="98">
        <v>54</v>
      </c>
      <c r="J122" s="14">
        <v>2540</v>
      </c>
      <c r="K122" s="14">
        <v>6950</v>
      </c>
      <c r="L122" s="14">
        <v>12400</v>
      </c>
      <c r="M122" s="14">
        <v>18700</v>
      </c>
      <c r="N122" s="14">
        <v>26700</v>
      </c>
      <c r="O122" s="14">
        <v>38700</v>
      </c>
      <c r="P122" s="14">
        <v>57400</v>
      </c>
      <c r="Q122" s="14">
        <v>84100</v>
      </c>
      <c r="R122" s="14">
        <v>117500</v>
      </c>
      <c r="S122" s="481">
        <v>133500</v>
      </c>
      <c r="T122" s="1"/>
    </row>
    <row r="123" spans="1:20" x14ac:dyDescent="0.25">
      <c r="A123" s="1"/>
      <c r="B123" s="1"/>
      <c r="C123" s="1"/>
      <c r="D123" s="1"/>
      <c r="E123" s="1"/>
      <c r="F123" s="1"/>
      <c r="G123" s="1"/>
      <c r="H123" s="1"/>
      <c r="I123" s="98">
        <v>56</v>
      </c>
      <c r="J123" s="14">
        <v>2740</v>
      </c>
      <c r="K123" s="14">
        <v>7497</v>
      </c>
      <c r="L123" s="14">
        <v>13375</v>
      </c>
      <c r="M123" s="14">
        <v>20171</v>
      </c>
      <c r="N123" s="14">
        <v>28800</v>
      </c>
      <c r="O123" s="14">
        <v>41744</v>
      </c>
      <c r="P123" s="14">
        <v>61915</v>
      </c>
      <c r="Q123" s="14">
        <v>90715</v>
      </c>
      <c r="R123" s="14">
        <v>126742</v>
      </c>
      <c r="S123" s="481">
        <v>144000</v>
      </c>
      <c r="T123" s="1"/>
    </row>
    <row r="124" spans="1:20" ht="13.8" thickBot="1" x14ac:dyDescent="0.3">
      <c r="A124" s="1"/>
      <c r="B124" s="1"/>
      <c r="C124" s="1"/>
      <c r="D124" s="1"/>
      <c r="E124" s="1"/>
      <c r="F124" s="1"/>
      <c r="G124" s="1"/>
      <c r="H124" s="1"/>
      <c r="I124" s="482">
        <v>60</v>
      </c>
      <c r="J124" s="477">
        <v>3020</v>
      </c>
      <c r="K124" s="477">
        <v>8270</v>
      </c>
      <c r="L124" s="477">
        <v>14800</v>
      </c>
      <c r="M124" s="477">
        <v>22250</v>
      </c>
      <c r="N124" s="477">
        <v>31800</v>
      </c>
      <c r="O124" s="477">
        <v>46100</v>
      </c>
      <c r="P124" s="477">
        <v>68370</v>
      </c>
      <c r="Q124" s="477">
        <v>100200</v>
      </c>
      <c r="R124" s="477">
        <v>139900</v>
      </c>
      <c r="S124" s="483">
        <v>159000</v>
      </c>
      <c r="T124" s="1"/>
    </row>
    <row r="125" spans="1:20" ht="13.8" thickTop="1" x14ac:dyDescent="0.25">
      <c r="A125" s="1"/>
      <c r="B125" s="1"/>
      <c r="C125" s="1"/>
      <c r="D125" s="1"/>
      <c r="E125" s="1"/>
      <c r="F125" s="1"/>
      <c r="G125" s="1"/>
      <c r="H125" s="1"/>
      <c r="I125" s="1"/>
      <c r="J125" s="1"/>
      <c r="K125" s="1"/>
      <c r="L125" s="1"/>
      <c r="M125" s="1"/>
      <c r="N125" s="1"/>
      <c r="O125" s="1"/>
      <c r="P125" s="1"/>
      <c r="Q125" s="1"/>
      <c r="R125" s="1"/>
      <c r="S125" s="1"/>
      <c r="T125" s="1"/>
    </row>
    <row r="126" spans="1:20" x14ac:dyDescent="0.25">
      <c r="A126" s="1"/>
      <c r="B126" s="1"/>
      <c r="C126" s="1"/>
      <c r="D126" s="1"/>
      <c r="E126" s="1"/>
      <c r="F126" s="1"/>
      <c r="G126" s="1"/>
      <c r="H126" s="1"/>
      <c r="I126" s="1"/>
      <c r="J126" s="1"/>
      <c r="K126" s="1"/>
      <c r="L126" s="1"/>
      <c r="M126" s="1"/>
      <c r="N126" s="1"/>
      <c r="O126" s="1"/>
      <c r="P126" s="1"/>
      <c r="Q126" s="1"/>
      <c r="R126" s="1"/>
      <c r="S126" s="1"/>
      <c r="T126" s="1"/>
    </row>
    <row r="127" spans="1:20" x14ac:dyDescent="0.25">
      <c r="A127" s="1"/>
      <c r="B127" s="1"/>
      <c r="C127" s="1"/>
      <c r="D127" s="1"/>
      <c r="E127" s="1"/>
      <c r="F127" s="1"/>
      <c r="G127" s="1"/>
      <c r="H127" s="1"/>
      <c r="I127" s="1"/>
      <c r="J127" s="1"/>
      <c r="K127" s="1"/>
      <c r="L127" s="1"/>
      <c r="M127" s="1"/>
      <c r="N127" s="1"/>
      <c r="O127" s="1"/>
      <c r="P127" s="1"/>
      <c r="Q127" s="1"/>
      <c r="R127" s="1"/>
      <c r="S127" s="1"/>
      <c r="T127" s="1"/>
    </row>
    <row r="128" spans="1:20" x14ac:dyDescent="0.25">
      <c r="A128" s="1"/>
      <c r="B128" s="1"/>
      <c r="C128" s="1"/>
      <c r="D128" s="1"/>
      <c r="E128" s="13" t="s">
        <v>680</v>
      </c>
      <c r="F128" s="1"/>
      <c r="G128" s="1"/>
      <c r="H128" s="1"/>
      <c r="I128" s="13" t="s">
        <v>609</v>
      </c>
      <c r="J128" s="442" t="s">
        <v>684</v>
      </c>
      <c r="K128" s="414"/>
      <c r="L128" s="414"/>
      <c r="M128" s="442" t="s">
        <v>608</v>
      </c>
      <c r="N128" s="414"/>
      <c r="O128" s="414"/>
      <c r="P128" s="414"/>
      <c r="Q128" s="414"/>
      <c r="R128" s="414"/>
      <c r="S128" s="414"/>
      <c r="T128" s="1"/>
    </row>
    <row r="129" spans="1:20" ht="13.8" x14ac:dyDescent="0.25">
      <c r="A129" s="1"/>
      <c r="B129" s="1"/>
      <c r="C129" s="1"/>
      <c r="D129" s="1"/>
      <c r="E129" s="13" t="s">
        <v>683</v>
      </c>
      <c r="F129" s="1"/>
      <c r="G129" s="1"/>
      <c r="H129" s="21"/>
      <c r="I129" s="414"/>
      <c r="J129" s="416">
        <v>10</v>
      </c>
      <c r="K129" s="410">
        <v>20</v>
      </c>
      <c r="L129" s="410">
        <v>30</v>
      </c>
      <c r="M129" s="410">
        <v>40</v>
      </c>
      <c r="N129" s="410">
        <v>50</v>
      </c>
      <c r="O129" s="410">
        <v>60</v>
      </c>
      <c r="P129" s="410">
        <v>70</v>
      </c>
      <c r="Q129" s="410">
        <v>80</v>
      </c>
      <c r="R129" s="410">
        <v>90</v>
      </c>
      <c r="S129" s="410">
        <v>100</v>
      </c>
      <c r="T129" s="1"/>
    </row>
    <row r="130" spans="1:20" ht="13.8" thickBot="1" x14ac:dyDescent="0.3">
      <c r="A130" s="1"/>
      <c r="B130" s="1"/>
      <c r="C130" s="1"/>
      <c r="D130" s="1"/>
      <c r="E130" s="1"/>
      <c r="F130" s="1"/>
      <c r="G130" s="1"/>
      <c r="H130" s="21"/>
      <c r="I130" s="447" t="s">
        <v>607</v>
      </c>
      <c r="J130" s="1"/>
      <c r="K130" s="1"/>
      <c r="L130" s="1"/>
      <c r="M130" s="13" t="s">
        <v>602</v>
      </c>
      <c r="N130" s="1"/>
      <c r="O130" s="1"/>
      <c r="P130" s="1"/>
      <c r="Q130" s="1"/>
      <c r="R130" s="1"/>
      <c r="S130" s="1"/>
      <c r="T130" s="1"/>
    </row>
    <row r="131" spans="1:20" ht="13.8" thickTop="1" x14ac:dyDescent="0.25">
      <c r="A131" s="1"/>
      <c r="B131" s="1"/>
      <c r="C131" s="1"/>
      <c r="D131" s="1"/>
      <c r="E131" s="1"/>
      <c r="F131" s="1"/>
      <c r="G131" s="1"/>
      <c r="H131" s="1"/>
      <c r="I131" s="556">
        <v>2.5</v>
      </c>
      <c r="J131" s="484">
        <v>4</v>
      </c>
      <c r="K131" s="484">
        <v>7</v>
      </c>
      <c r="L131" s="484">
        <v>11</v>
      </c>
      <c r="M131" s="484">
        <v>16</v>
      </c>
      <c r="N131" s="484">
        <v>22</v>
      </c>
      <c r="O131" s="484">
        <v>30</v>
      </c>
      <c r="P131" s="484">
        <v>43</v>
      </c>
      <c r="Q131" s="484">
        <v>59</v>
      </c>
      <c r="R131" s="484">
        <v>71</v>
      </c>
      <c r="S131" s="485">
        <v>78</v>
      </c>
      <c r="T131" s="1"/>
    </row>
    <row r="132" spans="1:20" x14ac:dyDescent="0.25">
      <c r="A132" s="1"/>
      <c r="B132" s="1"/>
      <c r="C132" s="1"/>
      <c r="D132" s="1"/>
      <c r="E132" s="1"/>
      <c r="F132" s="1"/>
      <c r="G132" s="1"/>
      <c r="H132" s="1"/>
      <c r="I132" s="98">
        <v>3</v>
      </c>
      <c r="J132" s="14">
        <v>4</v>
      </c>
      <c r="K132" s="14">
        <v>12</v>
      </c>
      <c r="L132" s="14">
        <v>21</v>
      </c>
      <c r="M132" s="14">
        <v>35</v>
      </c>
      <c r="N132" s="14">
        <v>46</v>
      </c>
      <c r="O132" s="14">
        <v>66</v>
      </c>
      <c r="P132" s="14">
        <v>90</v>
      </c>
      <c r="Q132" s="14">
        <v>125</v>
      </c>
      <c r="R132" s="14">
        <v>153</v>
      </c>
      <c r="S132" s="481">
        <v>165</v>
      </c>
      <c r="T132" s="1"/>
    </row>
    <row r="133" spans="1:20" x14ac:dyDescent="0.25">
      <c r="A133" s="1"/>
      <c r="B133" s="1"/>
      <c r="C133" s="1"/>
      <c r="D133" s="1"/>
      <c r="E133" s="1"/>
      <c r="F133" s="1"/>
      <c r="G133" s="1"/>
      <c r="H133" s="1"/>
      <c r="I133" s="98">
        <v>4</v>
      </c>
      <c r="J133" s="14">
        <v>8</v>
      </c>
      <c r="K133" s="14">
        <v>12</v>
      </c>
      <c r="L133" s="14">
        <v>55</v>
      </c>
      <c r="M133" s="14">
        <v>87</v>
      </c>
      <c r="N133" s="14">
        <v>120</v>
      </c>
      <c r="O133" s="14">
        <v>165</v>
      </c>
      <c r="P133" s="14">
        <v>225</v>
      </c>
      <c r="Q133" s="14">
        <v>310</v>
      </c>
      <c r="R133" s="14">
        <v>380</v>
      </c>
      <c r="S133" s="481">
        <v>400</v>
      </c>
      <c r="T133" s="1"/>
    </row>
    <row r="134" spans="1:20" x14ac:dyDescent="0.25">
      <c r="A134" s="1"/>
      <c r="B134" s="1"/>
      <c r="C134" s="1"/>
      <c r="D134" s="1"/>
      <c r="E134" s="1"/>
      <c r="F134" s="1"/>
      <c r="G134" s="1"/>
      <c r="H134" s="1"/>
      <c r="I134" s="98">
        <v>6</v>
      </c>
      <c r="J134" s="14">
        <v>10</v>
      </c>
      <c r="K134" s="14">
        <v>58</v>
      </c>
      <c r="L134" s="14">
        <v>137</v>
      </c>
      <c r="M134" s="14">
        <v>235</v>
      </c>
      <c r="N134" s="14">
        <v>310</v>
      </c>
      <c r="O134" s="14">
        <v>415</v>
      </c>
      <c r="P134" s="14">
        <v>560</v>
      </c>
      <c r="Q134" s="14">
        <v>745</v>
      </c>
      <c r="R134" s="14">
        <v>960</v>
      </c>
      <c r="S134" s="481">
        <v>1050</v>
      </c>
      <c r="T134" s="1"/>
    </row>
    <row r="135" spans="1:20" x14ac:dyDescent="0.25">
      <c r="A135" s="1"/>
      <c r="B135" s="1"/>
      <c r="C135" s="1"/>
      <c r="D135" s="1"/>
      <c r="E135" s="1"/>
      <c r="F135" s="1"/>
      <c r="G135" s="1"/>
      <c r="H135" s="1"/>
      <c r="I135" s="98">
        <v>8</v>
      </c>
      <c r="J135" s="14">
        <v>12</v>
      </c>
      <c r="K135" s="14">
        <v>115</v>
      </c>
      <c r="L135" s="14">
        <v>260</v>
      </c>
      <c r="M135" s="14">
        <v>390</v>
      </c>
      <c r="N135" s="14">
        <v>570</v>
      </c>
      <c r="O135" s="14">
        <v>795</v>
      </c>
      <c r="P135" s="14">
        <v>1120</v>
      </c>
      <c r="Q135" s="14">
        <v>1525</v>
      </c>
      <c r="R135" s="14">
        <v>1650</v>
      </c>
      <c r="S135" s="481">
        <v>1800</v>
      </c>
      <c r="T135" s="1"/>
    </row>
    <row r="136" spans="1:20" x14ac:dyDescent="0.25">
      <c r="A136" s="1"/>
      <c r="B136" s="1"/>
      <c r="C136" s="1"/>
      <c r="D136" s="1"/>
      <c r="E136" s="1"/>
      <c r="F136" s="1"/>
      <c r="G136" s="1"/>
      <c r="H136" s="1"/>
      <c r="I136" s="98">
        <v>10</v>
      </c>
      <c r="J136" s="14">
        <v>20</v>
      </c>
      <c r="K136" s="14">
        <v>145</v>
      </c>
      <c r="L136" s="14">
        <v>325</v>
      </c>
      <c r="M136" s="14">
        <v>515</v>
      </c>
      <c r="N136" s="14">
        <v>795</v>
      </c>
      <c r="O136" s="14">
        <v>1155</v>
      </c>
      <c r="P136" s="14">
        <v>1590</v>
      </c>
      <c r="Q136" s="14">
        <v>2125</v>
      </c>
      <c r="R136" s="14">
        <v>2890</v>
      </c>
      <c r="S136" s="481">
        <v>3150</v>
      </c>
      <c r="T136" s="1"/>
    </row>
    <row r="137" spans="1:20" x14ac:dyDescent="0.25">
      <c r="A137" s="1"/>
      <c r="B137" s="1"/>
      <c r="C137" s="1"/>
      <c r="D137" s="1"/>
      <c r="E137" s="1"/>
      <c r="F137" s="1"/>
      <c r="G137" s="1"/>
      <c r="H137" s="1"/>
      <c r="I137" s="98">
        <v>12</v>
      </c>
      <c r="J137" s="14">
        <v>45</v>
      </c>
      <c r="K137" s="14">
        <v>280</v>
      </c>
      <c r="L137" s="14">
        <v>550</v>
      </c>
      <c r="M137" s="14">
        <v>835</v>
      </c>
      <c r="N137" s="14">
        <v>1315</v>
      </c>
      <c r="O137" s="14">
        <v>1880</v>
      </c>
      <c r="P137" s="14">
        <v>2600</v>
      </c>
      <c r="Q137" s="14">
        <v>3590</v>
      </c>
      <c r="R137" s="14">
        <v>4570</v>
      </c>
      <c r="S137" s="481">
        <v>4750</v>
      </c>
      <c r="T137" s="1"/>
    </row>
    <row r="138" spans="1:20" x14ac:dyDescent="0.25">
      <c r="A138" s="1"/>
      <c r="B138" s="1"/>
      <c r="C138" s="1"/>
      <c r="D138" s="1"/>
      <c r="E138" s="1"/>
      <c r="F138" s="1"/>
      <c r="G138" s="1"/>
      <c r="H138" s="1"/>
      <c r="I138" s="98">
        <v>14</v>
      </c>
      <c r="J138" s="14">
        <v>90</v>
      </c>
      <c r="K138" s="14">
        <v>430</v>
      </c>
      <c r="L138" s="14">
        <v>750</v>
      </c>
      <c r="M138" s="14">
        <v>1200</v>
      </c>
      <c r="N138" s="14">
        <v>1580</v>
      </c>
      <c r="O138" s="14">
        <v>2250</v>
      </c>
      <c r="P138" s="14">
        <v>3100</v>
      </c>
      <c r="Q138" s="14">
        <v>4300</v>
      </c>
      <c r="R138" s="14">
        <v>5100</v>
      </c>
      <c r="S138" s="481">
        <v>5200</v>
      </c>
      <c r="T138" s="1"/>
    </row>
    <row r="139" spans="1:20" x14ac:dyDescent="0.25">
      <c r="A139" s="1"/>
      <c r="B139" s="1"/>
      <c r="C139" s="1"/>
      <c r="D139" s="1"/>
      <c r="E139" s="1"/>
      <c r="F139" s="1"/>
      <c r="G139" s="1"/>
      <c r="H139" s="1"/>
      <c r="I139" s="98">
        <v>16</v>
      </c>
      <c r="J139" s="14">
        <v>150</v>
      </c>
      <c r="K139" s="14">
        <v>620</v>
      </c>
      <c r="L139" s="14">
        <v>1030</v>
      </c>
      <c r="M139" s="14">
        <v>1500</v>
      </c>
      <c r="N139" s="14">
        <v>2100</v>
      </c>
      <c r="O139" s="14">
        <v>2950</v>
      </c>
      <c r="P139" s="14">
        <v>4050</v>
      </c>
      <c r="Q139" s="14">
        <v>5450</v>
      </c>
      <c r="R139" s="14">
        <v>6750</v>
      </c>
      <c r="S139" s="481">
        <v>6900</v>
      </c>
      <c r="T139" s="1"/>
    </row>
    <row r="140" spans="1:20" x14ac:dyDescent="0.25">
      <c r="A140" s="1"/>
      <c r="B140" s="1"/>
      <c r="C140" s="1"/>
      <c r="D140" s="1"/>
      <c r="E140" s="1"/>
      <c r="F140" s="1"/>
      <c r="G140" s="1"/>
      <c r="H140" s="1"/>
      <c r="I140" s="98">
        <v>18</v>
      </c>
      <c r="J140" s="14">
        <v>280</v>
      </c>
      <c r="K140" s="14">
        <v>780</v>
      </c>
      <c r="L140" s="14">
        <v>1350</v>
      </c>
      <c r="M140" s="14">
        <v>2100</v>
      </c>
      <c r="N140" s="14">
        <v>2790</v>
      </c>
      <c r="O140" s="14">
        <v>4000</v>
      </c>
      <c r="P140" s="14">
        <v>5450</v>
      </c>
      <c r="Q140" s="14">
        <v>7350</v>
      </c>
      <c r="R140" s="14">
        <v>8900</v>
      </c>
      <c r="S140" s="481">
        <v>9300</v>
      </c>
      <c r="T140" s="1"/>
    </row>
    <row r="141" spans="1:20" x14ac:dyDescent="0.25">
      <c r="A141" s="1"/>
      <c r="B141" s="1"/>
      <c r="C141" s="1"/>
      <c r="D141" s="1"/>
      <c r="E141" s="1"/>
      <c r="F141" s="1"/>
      <c r="G141" s="1"/>
      <c r="H141" s="1"/>
      <c r="I141" s="98">
        <v>20</v>
      </c>
      <c r="J141" s="14">
        <v>340</v>
      </c>
      <c r="K141" s="14">
        <v>870</v>
      </c>
      <c r="L141" s="14">
        <v>1550</v>
      </c>
      <c r="M141" s="14">
        <v>2510</v>
      </c>
      <c r="N141" s="14">
        <v>3250</v>
      </c>
      <c r="O141" s="14">
        <v>4800</v>
      </c>
      <c r="P141" s="14">
        <v>6550</v>
      </c>
      <c r="Q141" s="14">
        <v>8250</v>
      </c>
      <c r="R141" s="14">
        <v>10600</v>
      </c>
      <c r="S141" s="481">
        <v>11300</v>
      </c>
      <c r="T141" s="1"/>
    </row>
    <row r="142" spans="1:20" ht="13.8" thickBot="1" x14ac:dyDescent="0.3">
      <c r="A142" s="1"/>
      <c r="B142" s="1"/>
      <c r="C142" s="1"/>
      <c r="D142" s="1"/>
      <c r="E142" s="1"/>
      <c r="F142" s="1"/>
      <c r="G142" s="1"/>
      <c r="H142" s="1"/>
      <c r="I142" s="482">
        <v>24</v>
      </c>
      <c r="J142" s="477">
        <v>400</v>
      </c>
      <c r="K142" s="477">
        <v>1020</v>
      </c>
      <c r="L142" s="477">
        <v>1920</v>
      </c>
      <c r="M142" s="477">
        <v>2960</v>
      </c>
      <c r="N142" s="477">
        <v>4300</v>
      </c>
      <c r="O142" s="477">
        <v>6200</v>
      </c>
      <c r="P142" s="477">
        <v>9000</v>
      </c>
      <c r="Q142" s="477">
        <v>12700</v>
      </c>
      <c r="R142" s="477">
        <v>17400</v>
      </c>
      <c r="S142" s="483">
        <v>18500</v>
      </c>
      <c r="T142" s="1"/>
    </row>
    <row r="143" spans="1:20" ht="13.8" thickTop="1" x14ac:dyDescent="0.25">
      <c r="A143" s="1"/>
      <c r="B143" s="1"/>
      <c r="C143" s="1"/>
      <c r="D143" s="1"/>
      <c r="E143" s="1"/>
      <c r="F143" s="1"/>
      <c r="G143" s="1"/>
      <c r="H143" s="1"/>
      <c r="I143" s="1"/>
      <c r="J143" s="1"/>
      <c r="K143" s="1"/>
      <c r="L143" s="1"/>
      <c r="M143" s="1"/>
      <c r="N143" s="1"/>
      <c r="O143" s="1"/>
      <c r="P143" s="1"/>
      <c r="Q143" s="1"/>
      <c r="R143" s="1"/>
      <c r="S143" s="1"/>
      <c r="T143" s="1"/>
    </row>
    <row r="144" spans="1:20" x14ac:dyDescent="0.25">
      <c r="A144" s="1"/>
      <c r="B144" s="1"/>
      <c r="C144" s="1"/>
      <c r="D144" s="1"/>
      <c r="E144" s="1"/>
      <c r="F144" s="1"/>
      <c r="G144" s="1"/>
      <c r="H144" s="1"/>
      <c r="I144" s="1"/>
      <c r="J144" s="1"/>
      <c r="K144" s="1"/>
      <c r="L144" s="1"/>
      <c r="M144" s="1"/>
      <c r="N144" s="1"/>
      <c r="O144" s="1"/>
      <c r="P144" s="1"/>
      <c r="Q144" s="1"/>
      <c r="R144" s="1"/>
      <c r="S144" s="1"/>
      <c r="T144" s="1"/>
    </row>
    <row r="145" spans="1:21" x14ac:dyDescent="0.25">
      <c r="A145" s="1"/>
      <c r="B145" s="1"/>
      <c r="C145" s="1"/>
      <c r="D145" s="1"/>
      <c r="E145" s="1"/>
      <c r="F145" s="1"/>
      <c r="G145" s="1"/>
      <c r="H145" s="1"/>
      <c r="I145" s="1"/>
      <c r="J145" s="1"/>
      <c r="K145" s="1"/>
      <c r="L145" s="1"/>
      <c r="M145" s="1"/>
      <c r="N145" s="1"/>
      <c r="O145" s="1"/>
      <c r="P145" s="1"/>
      <c r="Q145" s="1"/>
      <c r="R145" s="1"/>
      <c r="S145" s="1"/>
      <c r="T145" s="1"/>
    </row>
    <row r="146" spans="1:21" x14ac:dyDescent="0.25">
      <c r="A146" s="1"/>
      <c r="B146" s="1"/>
      <c r="C146" s="1"/>
      <c r="D146" s="1"/>
      <c r="E146" s="1"/>
      <c r="F146" s="1"/>
      <c r="G146" s="1"/>
      <c r="H146" s="1"/>
      <c r="I146" s="1"/>
      <c r="J146" s="1"/>
      <c r="K146" s="1"/>
      <c r="L146" s="1"/>
      <c r="M146" s="1"/>
      <c r="N146" s="1"/>
      <c r="O146" s="1"/>
      <c r="P146" s="1"/>
      <c r="Q146" s="1"/>
      <c r="R146" s="1"/>
      <c r="S146" s="1"/>
      <c r="T146" s="1"/>
    </row>
    <row r="147" spans="1:21" x14ac:dyDescent="0.25">
      <c r="A147" s="1"/>
      <c r="B147" s="1"/>
      <c r="C147" s="1"/>
      <c r="D147" s="1"/>
      <c r="E147" s="1"/>
      <c r="F147" s="1"/>
      <c r="G147" s="1"/>
      <c r="H147" s="1"/>
      <c r="I147" s="1"/>
      <c r="J147" s="1"/>
      <c r="K147" s="1"/>
      <c r="L147" s="1"/>
      <c r="M147" s="1"/>
      <c r="N147" s="1"/>
      <c r="O147" s="1"/>
      <c r="P147" s="1"/>
      <c r="Q147" s="1"/>
      <c r="R147" s="1"/>
      <c r="S147" s="1"/>
      <c r="T147" s="1"/>
    </row>
    <row r="148" spans="1:21" x14ac:dyDescent="0.25">
      <c r="A148" s="1"/>
      <c r="B148" s="1"/>
      <c r="C148" s="1"/>
      <c r="D148" s="1"/>
      <c r="E148" s="13" t="s">
        <v>680</v>
      </c>
      <c r="F148" s="1"/>
      <c r="G148" s="1"/>
      <c r="H148" s="1"/>
      <c r="I148" s="13" t="s">
        <v>609</v>
      </c>
      <c r="J148" s="442" t="s">
        <v>686</v>
      </c>
      <c r="K148" s="414"/>
      <c r="L148" s="414"/>
      <c r="M148" s="442" t="s">
        <v>608</v>
      </c>
      <c r="N148" s="414"/>
      <c r="O148" s="414"/>
      <c r="P148" s="414"/>
      <c r="Q148" s="414"/>
      <c r="R148" s="414"/>
      <c r="S148" s="414"/>
      <c r="T148" s="1"/>
      <c r="U148" s="1"/>
    </row>
    <row r="149" spans="1:21" ht="13.8" x14ac:dyDescent="0.25">
      <c r="A149" s="1"/>
      <c r="B149" s="1"/>
      <c r="C149" s="1"/>
      <c r="D149" s="1"/>
      <c r="E149" s="13" t="s">
        <v>685</v>
      </c>
      <c r="F149" s="1"/>
      <c r="G149" s="1"/>
      <c r="H149" s="21"/>
      <c r="I149" s="414"/>
      <c r="J149" s="416">
        <v>10</v>
      </c>
      <c r="K149" s="410">
        <v>20</v>
      </c>
      <c r="L149" s="410">
        <v>30</v>
      </c>
      <c r="M149" s="410">
        <v>40</v>
      </c>
      <c r="N149" s="410">
        <v>50</v>
      </c>
      <c r="O149" s="410">
        <v>60</v>
      </c>
      <c r="P149" s="410">
        <v>70</v>
      </c>
      <c r="Q149" s="410">
        <v>80</v>
      </c>
      <c r="R149" s="410">
        <v>90</v>
      </c>
      <c r="S149" s="410">
        <v>100</v>
      </c>
      <c r="T149" s="1"/>
      <c r="U149" s="1"/>
    </row>
    <row r="150" spans="1:21" ht="13.8" thickBot="1" x14ac:dyDescent="0.3">
      <c r="A150" s="1"/>
      <c r="B150" s="1"/>
      <c r="C150" s="1"/>
      <c r="D150" s="1"/>
      <c r="E150" s="1"/>
      <c r="F150" s="1"/>
      <c r="G150" s="1"/>
      <c r="H150" s="21"/>
      <c r="I150" s="447" t="s">
        <v>607</v>
      </c>
      <c r="J150" s="1"/>
      <c r="K150" s="1"/>
      <c r="L150" s="1"/>
      <c r="M150" s="13" t="s">
        <v>602</v>
      </c>
      <c r="N150" s="1"/>
      <c r="O150" s="1"/>
      <c r="P150" s="1"/>
      <c r="Q150" s="1"/>
      <c r="R150" s="1"/>
      <c r="S150" s="1"/>
      <c r="T150" s="1"/>
      <c r="U150" s="1"/>
    </row>
    <row r="151" spans="1:21" ht="13.8" thickTop="1" x14ac:dyDescent="0.25">
      <c r="A151" s="1"/>
      <c r="B151" s="1"/>
      <c r="C151" s="1"/>
      <c r="D151" s="1"/>
      <c r="E151" s="1"/>
      <c r="F151" s="1"/>
      <c r="G151" s="1"/>
      <c r="H151" s="1"/>
      <c r="I151" s="556">
        <v>3</v>
      </c>
      <c r="J151" s="484">
        <v>4</v>
      </c>
      <c r="K151" s="484">
        <v>11</v>
      </c>
      <c r="L151" s="484">
        <v>20</v>
      </c>
      <c r="M151" s="484">
        <v>33</v>
      </c>
      <c r="N151" s="484">
        <v>43</v>
      </c>
      <c r="O151" s="484">
        <v>62</v>
      </c>
      <c r="P151" s="484">
        <v>85</v>
      </c>
      <c r="Q151" s="484">
        <v>117</v>
      </c>
      <c r="R151" s="484">
        <v>144</v>
      </c>
      <c r="S151" s="485">
        <v>155</v>
      </c>
      <c r="T151" s="1"/>
    </row>
    <row r="152" spans="1:21" x14ac:dyDescent="0.25">
      <c r="A152" s="1"/>
      <c r="B152" s="1"/>
      <c r="C152" s="1"/>
      <c r="D152" s="1"/>
      <c r="E152" s="1"/>
      <c r="F152" s="1"/>
      <c r="G152" s="1"/>
      <c r="H152" s="1"/>
      <c r="I152" s="98">
        <v>4</v>
      </c>
      <c r="J152" s="14">
        <v>5</v>
      </c>
      <c r="K152" s="14">
        <v>16</v>
      </c>
      <c r="L152" s="14">
        <v>36</v>
      </c>
      <c r="M152" s="14">
        <v>57</v>
      </c>
      <c r="N152" s="14">
        <v>78</v>
      </c>
      <c r="O152" s="14">
        <v>107</v>
      </c>
      <c r="P152" s="14">
        <v>146</v>
      </c>
      <c r="Q152" s="14">
        <v>202</v>
      </c>
      <c r="R152" s="14">
        <v>247</v>
      </c>
      <c r="S152" s="481">
        <v>260</v>
      </c>
      <c r="T152" s="1"/>
    </row>
    <row r="153" spans="1:21" x14ac:dyDescent="0.25">
      <c r="A153" s="1"/>
      <c r="B153" s="1"/>
      <c r="C153" s="1"/>
      <c r="D153" s="1"/>
      <c r="E153" s="1"/>
      <c r="F153" s="1"/>
      <c r="G153" s="1"/>
      <c r="H153" s="1"/>
      <c r="I153" s="98">
        <v>6</v>
      </c>
      <c r="J153" s="14">
        <v>7</v>
      </c>
      <c r="K153" s="14">
        <v>41</v>
      </c>
      <c r="L153" s="14">
        <v>98</v>
      </c>
      <c r="M153" s="14">
        <v>168</v>
      </c>
      <c r="N153" s="14">
        <v>221</v>
      </c>
      <c r="O153" s="14">
        <v>296</v>
      </c>
      <c r="P153" s="14">
        <v>400</v>
      </c>
      <c r="Q153" s="14">
        <v>532</v>
      </c>
      <c r="R153" s="14">
        <v>686</v>
      </c>
      <c r="S153" s="481">
        <v>750</v>
      </c>
      <c r="T153" s="1"/>
    </row>
    <row r="154" spans="1:21" x14ac:dyDescent="0.25">
      <c r="A154" s="1"/>
      <c r="B154" s="1"/>
      <c r="C154" s="1"/>
      <c r="D154" s="1"/>
      <c r="E154" s="1"/>
      <c r="F154" s="1"/>
      <c r="G154" s="1"/>
      <c r="H154" s="1"/>
      <c r="I154" s="98">
        <v>8</v>
      </c>
      <c r="J154" s="14">
        <v>9</v>
      </c>
      <c r="K154" s="14">
        <v>86</v>
      </c>
      <c r="L154" s="14">
        <v>195</v>
      </c>
      <c r="M154" s="14">
        <v>293</v>
      </c>
      <c r="N154" s="14">
        <v>428</v>
      </c>
      <c r="O154" s="14">
        <v>596</v>
      </c>
      <c r="P154" s="14">
        <v>840</v>
      </c>
      <c r="Q154" s="14">
        <v>1144</v>
      </c>
      <c r="R154" s="14">
        <v>1238</v>
      </c>
      <c r="S154" s="481">
        <v>1350</v>
      </c>
      <c r="T154" s="1"/>
    </row>
    <row r="155" spans="1:21" x14ac:dyDescent="0.25">
      <c r="A155" s="1"/>
      <c r="B155" s="1"/>
      <c r="C155" s="1"/>
      <c r="D155" s="1"/>
      <c r="E155" s="1"/>
      <c r="F155" s="1"/>
      <c r="G155" s="1"/>
      <c r="H155" s="1"/>
      <c r="I155" s="98">
        <v>10</v>
      </c>
      <c r="J155" s="14">
        <v>13</v>
      </c>
      <c r="K155" s="14">
        <v>97</v>
      </c>
      <c r="L155" s="14">
        <v>217</v>
      </c>
      <c r="M155" s="14">
        <v>343</v>
      </c>
      <c r="N155" s="14">
        <v>530</v>
      </c>
      <c r="O155" s="14">
        <v>770</v>
      </c>
      <c r="P155" s="14">
        <v>1060</v>
      </c>
      <c r="Q155" s="14">
        <v>1417</v>
      </c>
      <c r="R155" s="14">
        <v>1927</v>
      </c>
      <c r="S155" s="481">
        <v>2100</v>
      </c>
      <c r="T155" s="1"/>
    </row>
    <row r="156" spans="1:21" x14ac:dyDescent="0.25">
      <c r="A156" s="1"/>
      <c r="B156" s="1"/>
      <c r="C156" s="1"/>
      <c r="D156" s="1"/>
      <c r="E156" s="1"/>
      <c r="F156" s="1"/>
      <c r="G156" s="1"/>
      <c r="H156" s="1"/>
      <c r="I156" s="98">
        <v>12</v>
      </c>
      <c r="J156" s="14">
        <v>27</v>
      </c>
      <c r="K156" s="14">
        <v>171</v>
      </c>
      <c r="L156" s="14">
        <v>336</v>
      </c>
      <c r="M156" s="14">
        <v>510</v>
      </c>
      <c r="N156" s="14">
        <v>803</v>
      </c>
      <c r="O156" s="14">
        <v>1148</v>
      </c>
      <c r="P156" s="14">
        <v>1587</v>
      </c>
      <c r="Q156" s="14">
        <v>2192</v>
      </c>
      <c r="R156" s="14">
        <v>2790</v>
      </c>
      <c r="S156" s="481">
        <v>2900</v>
      </c>
      <c r="T156" s="1"/>
    </row>
    <row r="157" spans="1:21" x14ac:dyDescent="0.25">
      <c r="A157" s="1"/>
      <c r="B157" s="1"/>
      <c r="C157" s="1"/>
      <c r="D157" s="1"/>
      <c r="E157" s="1"/>
      <c r="F157" s="1"/>
      <c r="G157" s="1"/>
      <c r="H157" s="1"/>
      <c r="I157" s="98">
        <v>14</v>
      </c>
      <c r="J157" s="14">
        <v>69</v>
      </c>
      <c r="K157" s="14">
        <v>331</v>
      </c>
      <c r="L157" s="14">
        <v>577</v>
      </c>
      <c r="M157" s="14">
        <v>923</v>
      </c>
      <c r="N157" s="14">
        <v>1215</v>
      </c>
      <c r="O157" s="14">
        <v>1731</v>
      </c>
      <c r="P157" s="14">
        <v>2385</v>
      </c>
      <c r="Q157" s="14">
        <v>3308</v>
      </c>
      <c r="R157" s="14">
        <v>3923</v>
      </c>
      <c r="S157" s="481">
        <v>4000</v>
      </c>
      <c r="T157" s="1"/>
    </row>
    <row r="158" spans="1:21" x14ac:dyDescent="0.25">
      <c r="A158" s="1"/>
      <c r="B158" s="1"/>
      <c r="C158" s="1"/>
      <c r="D158" s="1"/>
      <c r="E158" s="1"/>
      <c r="F158" s="1"/>
      <c r="G158" s="1"/>
      <c r="H158" s="1"/>
      <c r="I158" s="98">
        <v>16</v>
      </c>
      <c r="J158" s="14">
        <v>111</v>
      </c>
      <c r="K158" s="14">
        <v>458</v>
      </c>
      <c r="L158" s="14">
        <v>761</v>
      </c>
      <c r="M158" s="14">
        <v>1109</v>
      </c>
      <c r="N158" s="14">
        <v>1552</v>
      </c>
      <c r="O158" s="14">
        <v>2180</v>
      </c>
      <c r="P158" s="14">
        <v>2993</v>
      </c>
      <c r="Q158" s="14">
        <v>4028</v>
      </c>
      <c r="R158" s="14">
        <v>4989</v>
      </c>
      <c r="S158" s="481">
        <v>5100</v>
      </c>
      <c r="T158" s="1"/>
    </row>
    <row r="159" spans="1:21" x14ac:dyDescent="0.25">
      <c r="A159" s="1"/>
      <c r="B159" s="1"/>
      <c r="C159" s="1"/>
      <c r="D159" s="1"/>
      <c r="E159" s="1"/>
      <c r="F159" s="1"/>
      <c r="G159" s="1"/>
      <c r="H159" s="1"/>
      <c r="I159" s="98">
        <v>18</v>
      </c>
      <c r="J159" s="14">
        <v>166</v>
      </c>
      <c r="K159" s="14">
        <v>461</v>
      </c>
      <c r="L159" s="14">
        <v>798</v>
      </c>
      <c r="M159" s="14">
        <v>1242</v>
      </c>
      <c r="N159" s="14">
        <v>1650</v>
      </c>
      <c r="O159" s="14">
        <v>2366</v>
      </c>
      <c r="P159" s="14">
        <v>3223</v>
      </c>
      <c r="Q159" s="14">
        <v>4347</v>
      </c>
      <c r="R159" s="14">
        <v>5263</v>
      </c>
      <c r="S159" s="481">
        <v>5500</v>
      </c>
      <c r="T159" s="1"/>
    </row>
    <row r="160" spans="1:21" x14ac:dyDescent="0.25">
      <c r="A160" s="1"/>
      <c r="B160" s="1"/>
      <c r="C160" s="1"/>
      <c r="D160" s="1"/>
      <c r="E160" s="1"/>
      <c r="F160" s="1"/>
      <c r="G160" s="1"/>
      <c r="H160" s="1"/>
      <c r="I160" s="98">
        <v>20</v>
      </c>
      <c r="J160" s="14">
        <v>239</v>
      </c>
      <c r="K160" s="14">
        <v>612</v>
      </c>
      <c r="L160" s="14">
        <v>1090</v>
      </c>
      <c r="M160" s="14">
        <v>1766</v>
      </c>
      <c r="N160" s="14">
        <v>2287</v>
      </c>
      <c r="O160" s="14">
        <v>3377</v>
      </c>
      <c r="P160" s="14">
        <v>4608</v>
      </c>
      <c r="Q160" s="14">
        <v>5804</v>
      </c>
      <c r="R160" s="14">
        <v>7458</v>
      </c>
      <c r="S160" s="481">
        <v>7950</v>
      </c>
      <c r="T160" s="1"/>
    </row>
    <row r="161" spans="1:20" ht="13.8" thickBot="1" x14ac:dyDescent="0.3">
      <c r="A161" s="1"/>
      <c r="B161" s="1"/>
      <c r="C161" s="1"/>
      <c r="D161" s="1"/>
      <c r="E161" s="1"/>
      <c r="F161" s="1"/>
      <c r="G161" s="1"/>
      <c r="H161" s="1"/>
      <c r="I161" s="482">
        <v>24</v>
      </c>
      <c r="J161" s="477">
        <v>244</v>
      </c>
      <c r="K161" s="477">
        <v>623</v>
      </c>
      <c r="L161" s="477">
        <v>1173</v>
      </c>
      <c r="M161" s="477">
        <v>1808</v>
      </c>
      <c r="N161" s="477">
        <v>2626</v>
      </c>
      <c r="O161" s="477">
        <v>3787</v>
      </c>
      <c r="P161" s="477">
        <v>5497</v>
      </c>
      <c r="Q161" s="477">
        <v>7757</v>
      </c>
      <c r="R161" s="477">
        <v>10628</v>
      </c>
      <c r="S161" s="483">
        <v>11300</v>
      </c>
      <c r="T161" s="1"/>
    </row>
    <row r="162" spans="1:20" ht="13.8" thickTop="1" x14ac:dyDescent="0.25">
      <c r="A162" s="1"/>
      <c r="B162" s="1"/>
      <c r="C162" s="1"/>
      <c r="D162" s="1"/>
      <c r="E162" s="1"/>
      <c r="F162" s="1"/>
      <c r="G162" s="1"/>
      <c r="H162" s="1"/>
      <c r="I162" s="1"/>
      <c r="J162" s="1"/>
      <c r="K162" s="1"/>
      <c r="L162" s="1"/>
      <c r="M162" s="1"/>
      <c r="N162" s="1"/>
      <c r="O162" s="1"/>
      <c r="P162" s="1"/>
      <c r="Q162" s="1"/>
      <c r="R162" s="1"/>
      <c r="S162" s="1"/>
      <c r="T162" s="1"/>
    </row>
    <row r="163" spans="1:20" x14ac:dyDescent="0.25">
      <c r="A163" s="1"/>
      <c r="B163" s="1"/>
      <c r="C163" s="1"/>
      <c r="D163" s="1"/>
      <c r="E163" s="1"/>
      <c r="F163" s="1"/>
      <c r="G163" s="1"/>
      <c r="H163" s="1"/>
      <c r="I163" s="1"/>
      <c r="J163" s="1"/>
      <c r="K163" s="1"/>
      <c r="L163" s="1"/>
      <c r="M163" s="1"/>
      <c r="N163" s="1"/>
      <c r="O163" s="1"/>
      <c r="P163" s="1"/>
      <c r="Q163" s="1"/>
      <c r="R163" s="1"/>
      <c r="S163" s="1"/>
      <c r="T163" s="1"/>
    </row>
    <row r="164" spans="1:20" x14ac:dyDescent="0.25">
      <c r="A164" s="1"/>
      <c r="B164" s="1"/>
      <c r="C164" s="1"/>
      <c r="D164" s="1"/>
      <c r="E164" s="1"/>
      <c r="F164" s="1"/>
      <c r="G164" s="1"/>
      <c r="H164" s="1"/>
      <c r="I164" s="1"/>
      <c r="J164" s="1"/>
      <c r="K164" s="1"/>
      <c r="L164" s="1"/>
      <c r="M164" s="1"/>
      <c r="N164" s="1"/>
      <c r="O164" s="1"/>
      <c r="P164" s="1"/>
      <c r="Q164" s="1"/>
      <c r="R164" s="1"/>
      <c r="S164" s="1"/>
      <c r="T164" s="1"/>
    </row>
    <row r="165" spans="1:20" x14ac:dyDescent="0.25">
      <c r="A165" s="1"/>
      <c r="B165" s="1"/>
      <c r="C165" s="1"/>
      <c r="D165" s="1"/>
      <c r="E165" s="1"/>
      <c r="F165" s="1"/>
      <c r="G165" s="1"/>
      <c r="H165" s="1"/>
      <c r="I165" s="1"/>
      <c r="J165" s="1"/>
      <c r="K165" s="1"/>
      <c r="L165" s="1"/>
      <c r="M165" s="1"/>
      <c r="N165" s="1"/>
      <c r="O165" s="1"/>
      <c r="P165" s="1"/>
      <c r="Q165" s="1"/>
      <c r="R165" s="1"/>
      <c r="S165" s="1"/>
      <c r="T165" s="1"/>
    </row>
    <row r="166" spans="1:20" x14ac:dyDescent="0.25">
      <c r="A166" s="1"/>
      <c r="B166" s="1"/>
      <c r="C166" s="1"/>
      <c r="D166" s="1"/>
      <c r="E166" s="1"/>
      <c r="F166" s="1"/>
      <c r="G166" s="1"/>
      <c r="H166" s="1"/>
      <c r="I166" s="1"/>
      <c r="J166" s="1"/>
      <c r="K166" s="1"/>
      <c r="L166" s="1"/>
      <c r="M166" s="1"/>
      <c r="N166" s="1"/>
      <c r="O166" s="1"/>
      <c r="P166" s="1"/>
      <c r="Q166" s="1"/>
      <c r="R166" s="1"/>
      <c r="S166" s="1"/>
      <c r="T166" s="1"/>
    </row>
    <row r="167" spans="1:20" x14ac:dyDescent="0.25">
      <c r="A167" s="1"/>
      <c r="B167" s="1"/>
      <c r="C167" s="1"/>
      <c r="D167" s="1"/>
      <c r="E167" s="13" t="s">
        <v>687</v>
      </c>
      <c r="F167" s="1"/>
      <c r="G167" s="1"/>
      <c r="H167" s="1"/>
      <c r="I167" s="13" t="s">
        <v>609</v>
      </c>
      <c r="J167" s="442" t="s">
        <v>688</v>
      </c>
      <c r="K167" s="414"/>
      <c r="L167" s="414"/>
      <c r="M167" s="442" t="s">
        <v>608</v>
      </c>
      <c r="N167" s="414"/>
      <c r="O167" s="414"/>
      <c r="P167" s="414"/>
      <c r="Q167" s="414"/>
      <c r="R167" s="414"/>
      <c r="S167" s="1"/>
      <c r="T167" s="414"/>
    </row>
    <row r="168" spans="1:20" ht="13.8" x14ac:dyDescent="0.25">
      <c r="A168" s="1"/>
      <c r="B168" s="1"/>
      <c r="C168" s="1"/>
      <c r="D168" s="1"/>
      <c r="E168" s="13"/>
      <c r="F168" s="1"/>
      <c r="G168" s="1"/>
      <c r="H168" s="21"/>
      <c r="I168" s="414"/>
      <c r="J168" s="416">
        <v>10</v>
      </c>
      <c r="K168" s="410">
        <v>20</v>
      </c>
      <c r="L168" s="410">
        <v>30</v>
      </c>
      <c r="M168" s="410">
        <v>40</v>
      </c>
      <c r="N168" s="410">
        <v>50</v>
      </c>
      <c r="O168" s="410">
        <v>60</v>
      </c>
      <c r="P168" s="410">
        <v>70</v>
      </c>
      <c r="Q168" s="410">
        <v>80</v>
      </c>
      <c r="R168" s="410">
        <v>90</v>
      </c>
      <c r="S168" s="410">
        <v>100</v>
      </c>
      <c r="T168" s="1"/>
    </row>
    <row r="169" spans="1:20" ht="13.8" thickBot="1" x14ac:dyDescent="0.3">
      <c r="A169" s="1"/>
      <c r="B169" s="1"/>
      <c r="C169" s="1"/>
      <c r="D169" s="1"/>
      <c r="E169" s="8" t="s">
        <v>689</v>
      </c>
      <c r="F169" s="1"/>
      <c r="G169" s="1"/>
      <c r="H169" s="21"/>
      <c r="I169" s="447" t="s">
        <v>607</v>
      </c>
      <c r="J169" s="1"/>
      <c r="K169" s="1"/>
      <c r="L169" s="1"/>
      <c r="M169" s="13" t="s">
        <v>602</v>
      </c>
      <c r="N169" s="1"/>
      <c r="O169" s="1"/>
      <c r="P169" s="1"/>
      <c r="Q169" s="1"/>
      <c r="R169" s="1"/>
      <c r="S169" s="1"/>
      <c r="T169" s="1"/>
    </row>
    <row r="170" spans="1:20" ht="13.8" thickTop="1" x14ac:dyDescent="0.25">
      <c r="A170" s="1"/>
      <c r="B170" s="1"/>
      <c r="C170" s="1"/>
      <c r="D170" s="1"/>
      <c r="E170" s="8" t="s">
        <v>690</v>
      </c>
      <c r="F170" s="1"/>
      <c r="G170" s="1"/>
      <c r="H170" s="1"/>
      <c r="I170" s="569">
        <v>2</v>
      </c>
      <c r="J170" s="484">
        <v>2</v>
      </c>
      <c r="K170" s="484">
        <v>4</v>
      </c>
      <c r="L170" s="484">
        <v>6</v>
      </c>
      <c r="M170" s="484">
        <v>9</v>
      </c>
      <c r="N170" s="484">
        <v>14</v>
      </c>
      <c r="O170" s="484">
        <v>21</v>
      </c>
      <c r="P170" s="484">
        <v>33</v>
      </c>
      <c r="Q170" s="484">
        <v>50</v>
      </c>
      <c r="R170" s="484">
        <v>66</v>
      </c>
      <c r="S170" s="485">
        <v>71</v>
      </c>
      <c r="T170" s="1"/>
    </row>
    <row r="171" spans="1:20" x14ac:dyDescent="0.25">
      <c r="A171" s="1"/>
      <c r="B171" s="1"/>
      <c r="C171" s="1"/>
      <c r="D171" s="1"/>
      <c r="E171" s="8" t="s">
        <v>691</v>
      </c>
      <c r="F171" s="1"/>
      <c r="G171" s="1"/>
      <c r="H171" s="1"/>
      <c r="I171" s="570">
        <v>2.0099999999999998</v>
      </c>
      <c r="J171" s="14">
        <v>1.1000000000000001</v>
      </c>
      <c r="K171" s="14">
        <v>3.3</v>
      </c>
      <c r="L171" s="14">
        <v>5.5</v>
      </c>
      <c r="M171" s="14">
        <v>7.6</v>
      </c>
      <c r="N171" s="14">
        <v>9.8000000000000007</v>
      </c>
      <c r="O171" s="14">
        <v>12.8</v>
      </c>
      <c r="P171" s="14">
        <v>17.899999999999999</v>
      </c>
      <c r="Q171" s="14">
        <v>26.3</v>
      </c>
      <c r="R171" s="14">
        <v>39.700000000000003</v>
      </c>
      <c r="S171" s="481">
        <v>50</v>
      </c>
      <c r="T171" s="1"/>
    </row>
    <row r="172" spans="1:20" x14ac:dyDescent="0.25">
      <c r="A172" s="1"/>
      <c r="B172" s="1"/>
      <c r="C172" s="1"/>
      <c r="D172" s="1"/>
      <c r="E172" s="1"/>
      <c r="F172" s="1"/>
      <c r="G172" s="1"/>
      <c r="H172" s="1"/>
      <c r="I172" s="570">
        <v>2.02</v>
      </c>
      <c r="J172" s="14">
        <v>0.6</v>
      </c>
      <c r="K172" s="14">
        <v>1.2</v>
      </c>
      <c r="L172" s="14">
        <v>1.6</v>
      </c>
      <c r="M172" s="14">
        <v>2.5</v>
      </c>
      <c r="N172" s="14">
        <v>4.5999999999999996</v>
      </c>
      <c r="O172" s="14">
        <v>8.1999999999999993</v>
      </c>
      <c r="P172" s="14">
        <v>12.9</v>
      </c>
      <c r="Q172" s="14">
        <v>17.7</v>
      </c>
      <c r="R172" s="14">
        <v>21.6</v>
      </c>
      <c r="S172" s="481">
        <v>24</v>
      </c>
      <c r="T172" s="1"/>
    </row>
    <row r="173" spans="1:20" x14ac:dyDescent="0.25">
      <c r="A173" s="1"/>
      <c r="B173" s="1"/>
      <c r="C173" s="1"/>
      <c r="D173" s="1"/>
      <c r="E173" s="1"/>
      <c r="F173" s="1"/>
      <c r="G173" s="1"/>
      <c r="H173" s="1"/>
      <c r="I173" s="570">
        <v>2.0299999999999998</v>
      </c>
      <c r="J173" s="14">
        <v>0.3</v>
      </c>
      <c r="K173" s="14">
        <v>0.7</v>
      </c>
      <c r="L173" s="14">
        <v>0.9</v>
      </c>
      <c r="M173" s="14">
        <v>1.5</v>
      </c>
      <c r="N173" s="14">
        <v>2.7</v>
      </c>
      <c r="O173" s="14">
        <v>4.8</v>
      </c>
      <c r="P173" s="14">
        <v>7.5</v>
      </c>
      <c r="Q173" s="14">
        <v>10.4</v>
      </c>
      <c r="R173" s="14">
        <v>12.6</v>
      </c>
      <c r="S173" s="481">
        <v>14</v>
      </c>
      <c r="T173" s="1"/>
    </row>
    <row r="174" spans="1:20" x14ac:dyDescent="0.25">
      <c r="A174" s="1"/>
      <c r="B174" s="1"/>
      <c r="C174" s="1"/>
      <c r="D174" s="1"/>
      <c r="E174" s="1"/>
      <c r="F174" s="1"/>
      <c r="G174" s="1"/>
      <c r="H174" s="1"/>
      <c r="I174" s="571">
        <v>3</v>
      </c>
      <c r="J174" s="14">
        <v>4</v>
      </c>
      <c r="K174" s="14">
        <v>8.5</v>
      </c>
      <c r="L174" s="14">
        <v>14.5</v>
      </c>
      <c r="M174" s="14">
        <v>22</v>
      </c>
      <c r="N174" s="14">
        <v>33.5</v>
      </c>
      <c r="O174" s="14">
        <v>51</v>
      </c>
      <c r="P174" s="14">
        <v>75</v>
      </c>
      <c r="Q174" s="14">
        <v>108</v>
      </c>
      <c r="R174" s="14">
        <v>128</v>
      </c>
      <c r="S174" s="481">
        <v>138</v>
      </c>
      <c r="T174" s="1"/>
    </row>
    <row r="175" spans="1:20" x14ac:dyDescent="0.25">
      <c r="A175" s="1"/>
      <c r="B175" s="1"/>
      <c r="C175" s="1"/>
      <c r="D175" s="1"/>
      <c r="E175" s="1"/>
      <c r="F175" s="1"/>
      <c r="G175" s="1"/>
      <c r="H175" s="1"/>
      <c r="I175" s="570">
        <v>3.01</v>
      </c>
      <c r="J175" s="14">
        <v>2.5</v>
      </c>
      <c r="K175" s="14">
        <v>3.7</v>
      </c>
      <c r="L175" s="14">
        <v>6.6</v>
      </c>
      <c r="M175" s="14">
        <v>11.1</v>
      </c>
      <c r="N175" s="14">
        <v>18.399999999999999</v>
      </c>
      <c r="O175" s="14">
        <v>29.4</v>
      </c>
      <c r="P175" s="14">
        <v>45.6</v>
      </c>
      <c r="Q175" s="14">
        <v>67.7</v>
      </c>
      <c r="R175" s="14">
        <v>92</v>
      </c>
      <c r="S175" s="481">
        <v>110</v>
      </c>
      <c r="T175" s="1"/>
    </row>
    <row r="176" spans="1:20" x14ac:dyDescent="0.25">
      <c r="A176" s="1"/>
      <c r="B176" s="1"/>
      <c r="C176" s="1"/>
      <c r="D176" s="1"/>
      <c r="E176" s="1"/>
      <c r="F176" s="1"/>
      <c r="G176" s="1"/>
      <c r="H176" s="1"/>
      <c r="I176" s="570">
        <v>3.02</v>
      </c>
      <c r="J176" s="14">
        <v>1.2</v>
      </c>
      <c r="K176" s="14">
        <v>2.5</v>
      </c>
      <c r="L176" s="14">
        <v>3.3</v>
      </c>
      <c r="M176" s="14">
        <v>5.2</v>
      </c>
      <c r="N176" s="14">
        <v>9.5</v>
      </c>
      <c r="O176" s="14">
        <v>17</v>
      </c>
      <c r="P176" s="14">
        <v>26.8</v>
      </c>
      <c r="Q176" s="14">
        <v>37</v>
      </c>
      <c r="R176" s="14">
        <v>45</v>
      </c>
      <c r="S176" s="481">
        <v>50</v>
      </c>
      <c r="T176" s="1"/>
    </row>
    <row r="177" spans="1:20" x14ac:dyDescent="0.25">
      <c r="A177" s="1"/>
      <c r="B177" s="1"/>
      <c r="C177" s="1"/>
      <c r="D177" s="1"/>
      <c r="E177" s="1"/>
      <c r="F177" s="1"/>
      <c r="G177" s="1"/>
      <c r="H177" s="1"/>
      <c r="I177" s="570">
        <v>3.03</v>
      </c>
      <c r="J177" s="14">
        <v>0.8</v>
      </c>
      <c r="K177" s="14">
        <v>1.6</v>
      </c>
      <c r="L177" s="14">
        <v>2.1</v>
      </c>
      <c r="M177" s="14">
        <v>3.3</v>
      </c>
      <c r="N177" s="14">
        <v>6.1</v>
      </c>
      <c r="O177" s="14">
        <v>10.9</v>
      </c>
      <c r="P177" s="14">
        <v>17.2</v>
      </c>
      <c r="Q177" s="14">
        <v>23.7</v>
      </c>
      <c r="R177" s="14">
        <v>28.8</v>
      </c>
      <c r="S177" s="481">
        <v>32</v>
      </c>
      <c r="T177" s="1"/>
    </row>
    <row r="178" spans="1:20" x14ac:dyDescent="0.25">
      <c r="A178" s="1"/>
      <c r="B178" s="1"/>
      <c r="C178" s="1"/>
      <c r="D178" s="1"/>
      <c r="E178" s="1"/>
      <c r="F178" s="1"/>
      <c r="G178" s="1"/>
      <c r="H178" s="1"/>
      <c r="I178" s="571">
        <v>4</v>
      </c>
      <c r="J178" s="14">
        <v>5.6</v>
      </c>
      <c r="K178" s="14">
        <v>12.9</v>
      </c>
      <c r="L178" s="14">
        <v>23.4</v>
      </c>
      <c r="M178" s="14">
        <v>36.9</v>
      </c>
      <c r="N178" s="14">
        <v>59.6</v>
      </c>
      <c r="O178" s="14">
        <v>86.5</v>
      </c>
      <c r="P178" s="14">
        <v>128.19999999999999</v>
      </c>
      <c r="Q178" s="14">
        <v>163.9</v>
      </c>
      <c r="R178" s="14">
        <v>188.6</v>
      </c>
      <c r="S178" s="481">
        <v>210</v>
      </c>
      <c r="T178" s="1"/>
    </row>
    <row r="179" spans="1:20" x14ac:dyDescent="0.25">
      <c r="A179" s="1"/>
      <c r="B179" s="1"/>
      <c r="C179" s="1"/>
      <c r="D179" s="1"/>
      <c r="E179" s="1"/>
      <c r="F179" s="1"/>
      <c r="G179" s="1"/>
      <c r="H179" s="1"/>
      <c r="I179" s="570">
        <v>4.01</v>
      </c>
      <c r="J179" s="14">
        <v>2.8</v>
      </c>
      <c r="K179" s="14">
        <v>6.7</v>
      </c>
      <c r="L179" s="14">
        <v>11.7</v>
      </c>
      <c r="M179" s="14">
        <v>17.899999999999999</v>
      </c>
      <c r="N179" s="14">
        <v>28.6</v>
      </c>
      <c r="O179" s="14">
        <v>46.2</v>
      </c>
      <c r="P179" s="14">
        <v>71.900000000000006</v>
      </c>
      <c r="Q179" s="14">
        <v>105.8</v>
      </c>
      <c r="R179" s="14">
        <v>141.19999999999999</v>
      </c>
      <c r="S179" s="481">
        <v>160</v>
      </c>
      <c r="T179" s="1"/>
    </row>
    <row r="180" spans="1:20" x14ac:dyDescent="0.25">
      <c r="A180" s="1"/>
      <c r="B180" s="1"/>
      <c r="C180" s="1"/>
      <c r="D180" s="1"/>
      <c r="E180" s="1"/>
      <c r="F180" s="1"/>
      <c r="G180" s="1"/>
      <c r="H180" s="1"/>
      <c r="I180" s="570">
        <v>4.0199999999999996</v>
      </c>
      <c r="J180" s="14">
        <v>2</v>
      </c>
      <c r="K180" s="14">
        <v>4.0999999999999996</v>
      </c>
      <c r="L180" s="14">
        <v>5.5</v>
      </c>
      <c r="M180" s="14">
        <v>8.5</v>
      </c>
      <c r="N180" s="14">
        <v>15.6</v>
      </c>
      <c r="O180" s="14">
        <v>27.9</v>
      </c>
      <c r="P180" s="14">
        <v>44</v>
      </c>
      <c r="Q180" s="14">
        <v>60.6</v>
      </c>
      <c r="R180" s="14">
        <v>73.8</v>
      </c>
      <c r="S180" s="481">
        <v>82</v>
      </c>
      <c r="T180" s="1"/>
    </row>
    <row r="181" spans="1:20" x14ac:dyDescent="0.25">
      <c r="A181" s="1"/>
      <c r="B181" s="1"/>
      <c r="C181" s="1"/>
      <c r="D181" s="1"/>
      <c r="E181" s="1"/>
      <c r="F181" s="1"/>
      <c r="G181" s="1"/>
      <c r="H181" s="1"/>
      <c r="I181" s="570">
        <v>4.03</v>
      </c>
      <c r="J181" s="14">
        <v>1.2</v>
      </c>
      <c r="K181" s="14">
        <v>2.5</v>
      </c>
      <c r="L181" s="14">
        <v>3.3</v>
      </c>
      <c r="M181" s="14">
        <v>5.2</v>
      </c>
      <c r="N181" s="14">
        <v>9.5</v>
      </c>
      <c r="O181" s="14">
        <v>17</v>
      </c>
      <c r="P181" s="14">
        <v>26.8</v>
      </c>
      <c r="Q181" s="14">
        <v>37</v>
      </c>
      <c r="R181" s="14">
        <v>45</v>
      </c>
      <c r="S181" s="481">
        <v>50</v>
      </c>
      <c r="T181" s="1"/>
    </row>
    <row r="182" spans="1:20" x14ac:dyDescent="0.25">
      <c r="A182" s="1"/>
      <c r="B182" s="1"/>
      <c r="C182" s="1"/>
      <c r="D182" s="1"/>
      <c r="E182" s="1"/>
      <c r="F182" s="1"/>
      <c r="G182" s="1"/>
      <c r="H182" s="1"/>
      <c r="I182" s="571">
        <v>6</v>
      </c>
      <c r="J182" s="14">
        <v>6.5</v>
      </c>
      <c r="K182" s="14">
        <v>15</v>
      </c>
      <c r="L182" s="14">
        <v>27.7</v>
      </c>
      <c r="M182" s="14">
        <v>47.1</v>
      </c>
      <c r="N182" s="14">
        <v>77.099999999999994</v>
      </c>
      <c r="O182" s="14">
        <v>123.8</v>
      </c>
      <c r="P182" s="14">
        <v>198.5</v>
      </c>
      <c r="Q182" s="14">
        <v>265.2</v>
      </c>
      <c r="R182" s="14">
        <v>316</v>
      </c>
      <c r="S182" s="481">
        <v>340</v>
      </c>
      <c r="T182" s="1"/>
    </row>
    <row r="183" spans="1:20" x14ac:dyDescent="0.25">
      <c r="A183" s="1"/>
      <c r="B183" s="1"/>
      <c r="C183" s="1"/>
      <c r="D183" s="1"/>
      <c r="E183" s="1"/>
      <c r="F183" s="1"/>
      <c r="G183" s="1"/>
      <c r="H183" s="1"/>
      <c r="I183" s="570">
        <v>6.01</v>
      </c>
      <c r="J183" s="14">
        <v>3.4</v>
      </c>
      <c r="K183" s="14">
        <v>11.1</v>
      </c>
      <c r="L183" s="14">
        <v>22</v>
      </c>
      <c r="M183" s="14">
        <v>32.299999999999997</v>
      </c>
      <c r="N183" s="14">
        <v>50.4</v>
      </c>
      <c r="O183" s="14">
        <v>81.7</v>
      </c>
      <c r="P183" s="14">
        <v>126.8</v>
      </c>
      <c r="Q183" s="14">
        <v>187.4</v>
      </c>
      <c r="R183" s="14">
        <v>246.3</v>
      </c>
      <c r="S183" s="481">
        <v>270</v>
      </c>
      <c r="T183" s="1"/>
    </row>
    <row r="184" spans="1:20" x14ac:dyDescent="0.25">
      <c r="A184" s="1"/>
      <c r="B184" s="1"/>
      <c r="C184" s="1"/>
      <c r="D184" s="1"/>
      <c r="E184" s="1"/>
      <c r="F184" s="1"/>
      <c r="G184" s="1"/>
      <c r="H184" s="1"/>
      <c r="I184" s="570">
        <v>6.02</v>
      </c>
      <c r="J184" s="14">
        <v>3.3</v>
      </c>
      <c r="K184" s="14">
        <v>6.8</v>
      </c>
      <c r="L184" s="14">
        <v>9.1</v>
      </c>
      <c r="M184" s="14">
        <v>14.1</v>
      </c>
      <c r="N184" s="14">
        <v>25.9</v>
      </c>
      <c r="O184" s="14">
        <v>46.2</v>
      </c>
      <c r="P184" s="14">
        <v>73</v>
      </c>
      <c r="Q184" s="14">
        <v>100.5</v>
      </c>
      <c r="R184" s="14">
        <v>122.3</v>
      </c>
      <c r="S184" s="481">
        <v>136</v>
      </c>
      <c r="T184" s="1"/>
    </row>
    <row r="185" spans="1:20" x14ac:dyDescent="0.25">
      <c r="A185" s="1"/>
      <c r="B185" s="1"/>
      <c r="C185" s="1"/>
      <c r="D185" s="1"/>
      <c r="E185" s="1"/>
      <c r="F185" s="1"/>
      <c r="G185" s="1"/>
      <c r="H185" s="1"/>
      <c r="I185" s="570">
        <v>6.03</v>
      </c>
      <c r="J185" s="14">
        <v>2</v>
      </c>
      <c r="K185" s="14">
        <v>4.0999999999999996</v>
      </c>
      <c r="L185" s="14">
        <v>5.5</v>
      </c>
      <c r="M185" s="14">
        <v>8.5</v>
      </c>
      <c r="N185" s="14">
        <v>15.6</v>
      </c>
      <c r="O185" s="14">
        <v>27.9</v>
      </c>
      <c r="P185" s="14">
        <v>44</v>
      </c>
      <c r="Q185" s="14">
        <v>60.6</v>
      </c>
      <c r="R185" s="14">
        <v>73.8</v>
      </c>
      <c r="S185" s="481">
        <v>82</v>
      </c>
      <c r="T185" s="1"/>
    </row>
    <row r="186" spans="1:20" x14ac:dyDescent="0.25">
      <c r="A186" s="1"/>
      <c r="B186" s="1"/>
      <c r="C186" s="1"/>
      <c r="D186" s="1"/>
      <c r="E186" s="1"/>
      <c r="F186" s="1"/>
      <c r="G186" s="1"/>
      <c r="H186" s="1"/>
      <c r="I186" s="571">
        <v>8</v>
      </c>
      <c r="J186" s="14">
        <v>6.5</v>
      </c>
      <c r="K186" s="14">
        <v>23</v>
      </c>
      <c r="L186" s="14">
        <v>45</v>
      </c>
      <c r="M186" s="14">
        <v>83</v>
      </c>
      <c r="N186" s="14">
        <v>138</v>
      </c>
      <c r="O186" s="14">
        <v>220</v>
      </c>
      <c r="P186" s="14">
        <v>325</v>
      </c>
      <c r="Q186" s="14">
        <v>445</v>
      </c>
      <c r="R186" s="14">
        <v>510</v>
      </c>
      <c r="S186" s="481">
        <v>560</v>
      </c>
      <c r="T186" s="1"/>
    </row>
    <row r="187" spans="1:20" x14ac:dyDescent="0.25">
      <c r="A187" s="1"/>
      <c r="B187" s="1"/>
      <c r="C187" s="1"/>
      <c r="D187" s="1"/>
      <c r="E187" s="1"/>
      <c r="F187" s="1"/>
      <c r="G187" s="1"/>
      <c r="H187" s="1"/>
      <c r="I187" s="570">
        <v>8.01</v>
      </c>
      <c r="J187" s="14">
        <v>5.6</v>
      </c>
      <c r="K187" s="14">
        <v>19</v>
      </c>
      <c r="L187" s="14">
        <v>39</v>
      </c>
      <c r="M187" s="14">
        <v>58</v>
      </c>
      <c r="N187" s="14">
        <v>94</v>
      </c>
      <c r="O187" s="14">
        <v>148</v>
      </c>
      <c r="P187" s="14">
        <v>222</v>
      </c>
      <c r="Q187" s="14">
        <v>310</v>
      </c>
      <c r="R187" s="14">
        <v>405</v>
      </c>
      <c r="S187" s="481">
        <v>450</v>
      </c>
      <c r="T187" s="1"/>
    </row>
    <row r="188" spans="1:20" x14ac:dyDescent="0.25">
      <c r="A188" s="1"/>
      <c r="B188" s="1"/>
      <c r="C188" s="1"/>
      <c r="D188" s="1"/>
      <c r="E188" s="1"/>
      <c r="F188" s="1"/>
      <c r="G188" s="1"/>
      <c r="H188" s="1"/>
      <c r="I188" s="570">
        <v>8.02</v>
      </c>
      <c r="J188" s="14">
        <v>4</v>
      </c>
      <c r="K188" s="14">
        <v>11.7</v>
      </c>
      <c r="L188" s="14">
        <v>15.8</v>
      </c>
      <c r="M188" s="14">
        <v>24.4</v>
      </c>
      <c r="N188" s="14">
        <v>44.9</v>
      </c>
      <c r="O188" s="14">
        <v>80.2</v>
      </c>
      <c r="P188" s="14">
        <v>126.6</v>
      </c>
      <c r="Q188" s="14">
        <v>174.5</v>
      </c>
      <c r="R188" s="14">
        <v>212.3</v>
      </c>
      <c r="S188" s="481">
        <v>236</v>
      </c>
      <c r="T188" s="1"/>
    </row>
    <row r="189" spans="1:20" x14ac:dyDescent="0.25">
      <c r="A189" s="1"/>
      <c r="B189" s="1"/>
      <c r="C189" s="1"/>
      <c r="D189" s="1"/>
      <c r="E189" s="1"/>
      <c r="F189" s="1"/>
      <c r="G189" s="1"/>
      <c r="H189" s="1"/>
      <c r="I189" s="570">
        <v>8.0299999999999994</v>
      </c>
      <c r="J189" s="14">
        <v>3</v>
      </c>
      <c r="K189" s="14">
        <v>7.1</v>
      </c>
      <c r="L189" s="14">
        <v>9.5</v>
      </c>
      <c r="M189" s="14">
        <v>14.7</v>
      </c>
      <c r="N189" s="14">
        <v>27</v>
      </c>
      <c r="O189" s="14">
        <v>48.3</v>
      </c>
      <c r="P189" s="14">
        <v>76.2</v>
      </c>
      <c r="Q189" s="14">
        <v>105</v>
      </c>
      <c r="R189" s="14">
        <v>127.7</v>
      </c>
      <c r="S189" s="481">
        <v>142</v>
      </c>
      <c r="T189" s="1"/>
    </row>
    <row r="190" spans="1:20" x14ac:dyDescent="0.25">
      <c r="A190" s="1"/>
      <c r="B190" s="1"/>
      <c r="C190" s="1"/>
      <c r="D190" s="1"/>
      <c r="E190" s="1"/>
      <c r="F190" s="1"/>
      <c r="G190" s="1"/>
      <c r="H190" s="1"/>
      <c r="I190" s="571">
        <v>10</v>
      </c>
      <c r="J190" s="14">
        <v>8.1</v>
      </c>
      <c r="K190" s="14">
        <v>33.200000000000003</v>
      </c>
      <c r="L190" s="14">
        <v>65.7</v>
      </c>
      <c r="M190" s="14">
        <v>124.4</v>
      </c>
      <c r="N190" s="14">
        <v>216.8</v>
      </c>
      <c r="O190" s="14">
        <v>350.1</v>
      </c>
      <c r="P190" s="14">
        <v>493.2</v>
      </c>
      <c r="Q190" s="14">
        <v>619.9</v>
      </c>
      <c r="R190" s="14">
        <v>747.6</v>
      </c>
      <c r="S190" s="481">
        <v>830</v>
      </c>
      <c r="T190" s="1"/>
    </row>
    <row r="191" spans="1:20" x14ac:dyDescent="0.25">
      <c r="A191" s="1"/>
      <c r="B191" s="1"/>
      <c r="C191" s="1"/>
      <c r="D191" s="1"/>
      <c r="E191" s="1"/>
      <c r="F191" s="1"/>
      <c r="G191" s="1"/>
      <c r="H191" s="1"/>
      <c r="I191" s="570">
        <v>10.01</v>
      </c>
      <c r="J191" s="14">
        <v>6.5</v>
      </c>
      <c r="K191" s="14">
        <v>26.5</v>
      </c>
      <c r="L191" s="14">
        <v>47.1</v>
      </c>
      <c r="M191" s="14">
        <v>76.2</v>
      </c>
      <c r="N191" s="14">
        <v>126.3</v>
      </c>
      <c r="O191" s="14">
        <v>219.8</v>
      </c>
      <c r="P191" s="14">
        <v>343.2</v>
      </c>
      <c r="Q191" s="14">
        <v>460</v>
      </c>
      <c r="R191" s="14">
        <v>566.20000000000005</v>
      </c>
      <c r="S191" s="481">
        <v>655</v>
      </c>
      <c r="T191" s="1"/>
    </row>
    <row r="192" spans="1:20" x14ac:dyDescent="0.25">
      <c r="A192" s="1"/>
      <c r="B192" s="1"/>
      <c r="C192" s="1"/>
      <c r="D192" s="1"/>
      <c r="E192" s="1"/>
      <c r="F192" s="1"/>
      <c r="G192" s="1"/>
      <c r="H192" s="1"/>
      <c r="I192" s="570">
        <v>10.02</v>
      </c>
      <c r="J192" s="14">
        <v>6.1</v>
      </c>
      <c r="K192" s="14">
        <v>18.600000000000001</v>
      </c>
      <c r="L192" s="14">
        <v>25</v>
      </c>
      <c r="M192" s="14">
        <v>38.700000000000003</v>
      </c>
      <c r="N192" s="14">
        <v>71.2</v>
      </c>
      <c r="O192" s="14">
        <v>127.2</v>
      </c>
      <c r="P192" s="14">
        <v>200.6</v>
      </c>
      <c r="Q192" s="14">
        <v>276.5</v>
      </c>
      <c r="R192" s="14">
        <v>336.4</v>
      </c>
      <c r="S192" s="481">
        <v>374</v>
      </c>
      <c r="T192" s="1"/>
    </row>
    <row r="193" spans="1:20" x14ac:dyDescent="0.25">
      <c r="A193" s="1"/>
      <c r="B193" s="1"/>
      <c r="C193" s="1"/>
      <c r="D193" s="1"/>
      <c r="E193" s="1"/>
      <c r="F193" s="1"/>
      <c r="G193" s="1"/>
      <c r="H193" s="1"/>
      <c r="I193" s="570">
        <v>10.029999999999999</v>
      </c>
      <c r="J193" s="14">
        <v>5.5</v>
      </c>
      <c r="K193" s="14">
        <v>11.1</v>
      </c>
      <c r="L193" s="14">
        <v>15</v>
      </c>
      <c r="M193" s="14">
        <v>23.2</v>
      </c>
      <c r="N193" s="14">
        <v>42.6</v>
      </c>
      <c r="O193" s="14">
        <v>76.2</v>
      </c>
      <c r="P193" s="14">
        <v>120.2</v>
      </c>
      <c r="Q193" s="14">
        <v>165.6</v>
      </c>
      <c r="R193" s="14">
        <v>201.5</v>
      </c>
      <c r="S193" s="481">
        <v>224</v>
      </c>
      <c r="T193" s="1"/>
    </row>
    <row r="194" spans="1:20" x14ac:dyDescent="0.25">
      <c r="A194" s="1"/>
      <c r="B194" s="1"/>
      <c r="C194" s="1"/>
      <c r="D194" s="1"/>
      <c r="E194" s="1"/>
      <c r="F194" s="1"/>
      <c r="G194" s="1"/>
      <c r="H194" s="1"/>
      <c r="I194" s="571">
        <v>12</v>
      </c>
      <c r="J194" s="14">
        <v>22.4</v>
      </c>
      <c r="K194" s="14">
        <v>64.3</v>
      </c>
      <c r="L194" s="14">
        <v>111.1</v>
      </c>
      <c r="M194" s="14">
        <v>179.8</v>
      </c>
      <c r="N194" s="14">
        <v>303.10000000000002</v>
      </c>
      <c r="O194" s="14">
        <v>546.79999999999995</v>
      </c>
      <c r="P194" s="14">
        <v>795</v>
      </c>
      <c r="Q194" s="14">
        <v>996</v>
      </c>
      <c r="R194" s="14">
        <v>1155</v>
      </c>
      <c r="S194" s="481">
        <v>1240</v>
      </c>
      <c r="T194" s="1"/>
    </row>
    <row r="195" spans="1:20" x14ac:dyDescent="0.25">
      <c r="A195" s="1"/>
      <c r="B195" s="1"/>
      <c r="C195" s="1"/>
      <c r="D195" s="1"/>
      <c r="E195" s="1"/>
      <c r="F195" s="1"/>
      <c r="G195" s="1"/>
      <c r="H195" s="1"/>
      <c r="I195" s="570">
        <v>12.01</v>
      </c>
      <c r="J195" s="14">
        <v>15.5</v>
      </c>
      <c r="K195" s="14">
        <v>44.7</v>
      </c>
      <c r="L195" s="14">
        <v>73.7</v>
      </c>
      <c r="M195" s="14">
        <v>110.5</v>
      </c>
      <c r="N195" s="14">
        <v>174.2</v>
      </c>
      <c r="O195" s="14">
        <v>277.60000000000002</v>
      </c>
      <c r="P195" s="14">
        <v>441.3</v>
      </c>
      <c r="Q195" s="14">
        <v>650.5</v>
      </c>
      <c r="R195" s="14">
        <v>837.5</v>
      </c>
      <c r="S195" s="481">
        <v>960</v>
      </c>
      <c r="T195" s="1"/>
    </row>
    <row r="196" spans="1:20" x14ac:dyDescent="0.25">
      <c r="A196" s="1"/>
      <c r="B196" s="1"/>
      <c r="C196" s="1"/>
      <c r="D196" s="1"/>
      <c r="E196" s="1"/>
      <c r="F196" s="1"/>
      <c r="G196" s="1"/>
      <c r="H196" s="1"/>
      <c r="I196" s="570">
        <v>12.02</v>
      </c>
      <c r="J196" s="14">
        <v>12.8</v>
      </c>
      <c r="K196" s="14">
        <v>26</v>
      </c>
      <c r="L196" s="14">
        <v>35</v>
      </c>
      <c r="M196" s="14">
        <v>54.2</v>
      </c>
      <c r="N196" s="14">
        <v>99.7</v>
      </c>
      <c r="O196" s="14">
        <v>178.1</v>
      </c>
      <c r="P196" s="14">
        <v>281.10000000000002</v>
      </c>
      <c r="Q196" s="14">
        <v>387.4</v>
      </c>
      <c r="R196" s="14">
        <v>471.4</v>
      </c>
      <c r="S196" s="481">
        <v>524</v>
      </c>
      <c r="T196" s="1"/>
    </row>
    <row r="197" spans="1:20" x14ac:dyDescent="0.25">
      <c r="A197" s="1"/>
      <c r="B197" s="1"/>
      <c r="C197" s="1"/>
      <c r="D197" s="1"/>
      <c r="E197" s="1"/>
      <c r="F197" s="1"/>
      <c r="G197" s="1"/>
      <c r="H197" s="1"/>
      <c r="I197" s="570">
        <v>12.03</v>
      </c>
      <c r="J197" s="14">
        <v>7.7</v>
      </c>
      <c r="K197" s="14">
        <v>15.6</v>
      </c>
      <c r="L197" s="14">
        <v>21</v>
      </c>
      <c r="M197" s="14">
        <v>32.5</v>
      </c>
      <c r="N197" s="14">
        <v>59.8</v>
      </c>
      <c r="O197" s="14">
        <v>106.8</v>
      </c>
      <c r="P197" s="14">
        <v>168.4</v>
      </c>
      <c r="Q197" s="14">
        <v>232.1</v>
      </c>
      <c r="R197" s="14">
        <v>282.5</v>
      </c>
      <c r="S197" s="481">
        <v>314</v>
      </c>
      <c r="T197" s="1"/>
    </row>
    <row r="198" spans="1:20" x14ac:dyDescent="0.25">
      <c r="A198" s="1"/>
      <c r="B198" s="1"/>
      <c r="C198" s="1"/>
      <c r="D198" s="1"/>
      <c r="E198" s="1"/>
      <c r="F198" s="1"/>
      <c r="G198" s="1"/>
      <c r="H198" s="1"/>
      <c r="I198" s="571">
        <v>14</v>
      </c>
      <c r="J198" s="14">
        <v>24.7</v>
      </c>
      <c r="K198" s="14">
        <v>82.3</v>
      </c>
      <c r="L198" s="14">
        <v>158.30000000000001</v>
      </c>
      <c r="M198" s="14">
        <v>266.7</v>
      </c>
      <c r="N198" s="14">
        <v>427</v>
      </c>
      <c r="O198" s="14">
        <v>693.9</v>
      </c>
      <c r="P198" s="14">
        <v>1015.8</v>
      </c>
      <c r="Q198" s="14">
        <v>1277.2</v>
      </c>
      <c r="R198" s="14">
        <v>1514.7</v>
      </c>
      <c r="S198" s="481">
        <v>1650</v>
      </c>
      <c r="T198" s="1"/>
    </row>
    <row r="199" spans="1:20" x14ac:dyDescent="0.25">
      <c r="A199" s="1"/>
      <c r="B199" s="1"/>
      <c r="C199" s="1"/>
      <c r="D199" s="1"/>
      <c r="E199" s="1"/>
      <c r="F199" s="1"/>
      <c r="G199" s="1"/>
      <c r="H199" s="1"/>
      <c r="I199" s="570">
        <v>14.01</v>
      </c>
      <c r="J199" s="14">
        <v>18.899999999999999</v>
      </c>
      <c r="K199" s="14">
        <v>60.2</v>
      </c>
      <c r="L199" s="14">
        <v>103.2</v>
      </c>
      <c r="M199" s="14">
        <v>164.8</v>
      </c>
      <c r="N199" s="14">
        <v>260.60000000000002</v>
      </c>
      <c r="O199" s="14">
        <v>405.5</v>
      </c>
      <c r="P199" s="14">
        <v>630.9</v>
      </c>
      <c r="Q199" s="14">
        <v>903.9</v>
      </c>
      <c r="R199" s="14">
        <v>1141.5</v>
      </c>
      <c r="S199" s="481">
        <v>1275</v>
      </c>
      <c r="T199" s="1"/>
    </row>
    <row r="200" spans="1:20" x14ac:dyDescent="0.25">
      <c r="A200" s="1"/>
      <c r="B200" s="1"/>
      <c r="C200" s="1"/>
      <c r="D200" s="1"/>
      <c r="E200" s="1"/>
      <c r="F200" s="1"/>
      <c r="G200" s="1"/>
      <c r="H200" s="1"/>
      <c r="I200" s="570">
        <v>14.02</v>
      </c>
      <c r="J200" s="14">
        <v>16.2</v>
      </c>
      <c r="K200" s="14">
        <v>37.1</v>
      </c>
      <c r="L200" s="14">
        <v>49.8</v>
      </c>
      <c r="M200" s="14">
        <v>77.099999999999994</v>
      </c>
      <c r="N200" s="14">
        <v>142</v>
      </c>
      <c r="O200" s="14">
        <v>253.6</v>
      </c>
      <c r="P200" s="14">
        <v>400.2</v>
      </c>
      <c r="Q200" s="14">
        <v>551.5</v>
      </c>
      <c r="R200" s="14">
        <v>671.1</v>
      </c>
      <c r="S200" s="481">
        <v>746</v>
      </c>
      <c r="T200" s="1"/>
    </row>
    <row r="201" spans="1:20" x14ac:dyDescent="0.25">
      <c r="A201" s="1"/>
      <c r="B201" s="1"/>
      <c r="C201" s="1"/>
      <c r="D201" s="1"/>
      <c r="E201" s="1"/>
      <c r="F201" s="1"/>
      <c r="G201" s="1"/>
      <c r="H201" s="1"/>
      <c r="I201" s="570">
        <v>14.03</v>
      </c>
      <c r="J201" s="14">
        <v>10.9</v>
      </c>
      <c r="K201" s="14">
        <v>22.2</v>
      </c>
      <c r="L201" s="14">
        <v>29.8</v>
      </c>
      <c r="M201" s="14">
        <v>46.1</v>
      </c>
      <c r="N201" s="14">
        <v>84.9</v>
      </c>
      <c r="O201" s="14">
        <v>151.6</v>
      </c>
      <c r="P201" s="14">
        <v>239.2</v>
      </c>
      <c r="Q201" s="14">
        <v>329.7</v>
      </c>
      <c r="R201" s="14">
        <v>401.2</v>
      </c>
      <c r="S201" s="481">
        <v>446</v>
      </c>
      <c r="T201" s="1"/>
    </row>
    <row r="202" spans="1:20" x14ac:dyDescent="0.25">
      <c r="A202" s="1"/>
      <c r="B202" s="1"/>
      <c r="C202" s="1"/>
      <c r="D202" s="1"/>
      <c r="E202" s="1"/>
      <c r="F202" s="1"/>
      <c r="G202" s="1"/>
      <c r="H202" s="1"/>
      <c r="I202" s="571">
        <v>16</v>
      </c>
      <c r="J202" s="14">
        <v>35.1</v>
      </c>
      <c r="K202" s="14">
        <v>100.4</v>
      </c>
      <c r="L202" s="14">
        <v>167</v>
      </c>
      <c r="M202" s="14">
        <v>268.39999999999998</v>
      </c>
      <c r="N202" s="14">
        <v>471</v>
      </c>
      <c r="O202" s="14">
        <v>849.3</v>
      </c>
      <c r="P202" s="14">
        <v>1265.0999999999999</v>
      </c>
      <c r="Q202" s="14">
        <v>1603.9</v>
      </c>
      <c r="R202" s="14">
        <v>1911.6</v>
      </c>
      <c r="S202" s="481">
        <v>2090</v>
      </c>
      <c r="T202" s="1"/>
    </row>
    <row r="203" spans="1:20" x14ac:dyDescent="0.25">
      <c r="A203" s="1"/>
      <c r="B203" s="1"/>
      <c r="C203" s="1"/>
      <c r="D203" s="1"/>
      <c r="E203" s="1"/>
      <c r="F203" s="1"/>
      <c r="G203" s="1"/>
      <c r="H203" s="1"/>
      <c r="I203" s="570">
        <v>16.010000000000002</v>
      </c>
      <c r="J203" s="14">
        <v>26.3</v>
      </c>
      <c r="K203" s="14">
        <v>73</v>
      </c>
      <c r="L203" s="14">
        <v>119.6</v>
      </c>
      <c r="M203" s="14">
        <v>175.7</v>
      </c>
      <c r="N203" s="14">
        <v>287</v>
      </c>
      <c r="O203" s="14">
        <v>477.7</v>
      </c>
      <c r="P203" s="14">
        <v>773.1</v>
      </c>
      <c r="Q203" s="14">
        <v>1125.4000000000001</v>
      </c>
      <c r="R203" s="14">
        <v>1432.4</v>
      </c>
      <c r="S203" s="481">
        <v>1680</v>
      </c>
      <c r="T203" s="1"/>
    </row>
    <row r="204" spans="1:20" x14ac:dyDescent="0.25">
      <c r="A204" s="1"/>
      <c r="B204" s="1"/>
      <c r="C204" s="1"/>
      <c r="D204" s="1"/>
      <c r="E204" s="1"/>
      <c r="F204" s="1"/>
      <c r="G204" s="1"/>
      <c r="H204" s="1"/>
      <c r="I204" s="570">
        <v>16.02</v>
      </c>
      <c r="J204" s="14">
        <v>20.9</v>
      </c>
      <c r="K204" s="14">
        <v>42.4</v>
      </c>
      <c r="L204" s="14">
        <v>57</v>
      </c>
      <c r="M204" s="14">
        <v>88.3</v>
      </c>
      <c r="N204" s="14">
        <v>162.6</v>
      </c>
      <c r="O204" s="14">
        <v>290.3</v>
      </c>
      <c r="P204" s="14">
        <v>458.1</v>
      </c>
      <c r="Q204" s="14">
        <v>631.4</v>
      </c>
      <c r="R204" s="14">
        <v>768.2</v>
      </c>
      <c r="S204" s="481">
        <v>854</v>
      </c>
      <c r="T204" s="1"/>
    </row>
    <row r="205" spans="1:20" x14ac:dyDescent="0.25">
      <c r="A205" s="1"/>
      <c r="B205" s="1"/>
      <c r="C205" s="1"/>
      <c r="D205" s="1"/>
      <c r="E205" s="1"/>
      <c r="F205" s="1"/>
      <c r="G205" s="1"/>
      <c r="H205" s="1"/>
      <c r="I205" s="570">
        <v>16.03</v>
      </c>
      <c r="J205" s="14">
        <v>12.5</v>
      </c>
      <c r="K205" s="14">
        <v>25.4</v>
      </c>
      <c r="L205" s="14">
        <v>34.200000000000003</v>
      </c>
      <c r="M205" s="14">
        <v>52.9</v>
      </c>
      <c r="N205" s="14">
        <v>97.5</v>
      </c>
      <c r="O205" s="14">
        <v>174.1</v>
      </c>
      <c r="P205" s="14">
        <v>274.7</v>
      </c>
      <c r="Q205" s="14">
        <v>378.5</v>
      </c>
      <c r="R205" s="14">
        <v>460.6</v>
      </c>
      <c r="S205" s="481">
        <v>512</v>
      </c>
      <c r="T205" s="1"/>
    </row>
    <row r="206" spans="1:20" x14ac:dyDescent="0.25">
      <c r="A206" s="1"/>
      <c r="B206" s="1"/>
      <c r="C206" s="1"/>
      <c r="D206" s="1"/>
      <c r="E206" s="1"/>
      <c r="F206" s="1"/>
      <c r="G206" s="1"/>
      <c r="H206" s="1"/>
      <c r="I206" s="571">
        <v>18</v>
      </c>
      <c r="J206" s="14">
        <v>45.3</v>
      </c>
      <c r="K206" s="14">
        <v>129.69999999999999</v>
      </c>
      <c r="L206" s="14">
        <v>215.7</v>
      </c>
      <c r="M206" s="14">
        <v>346.7</v>
      </c>
      <c r="N206" s="14">
        <v>608.5</v>
      </c>
      <c r="O206" s="14">
        <v>1097.2</v>
      </c>
      <c r="P206" s="14">
        <v>1634.3</v>
      </c>
      <c r="Q206" s="14">
        <v>2072</v>
      </c>
      <c r="R206" s="14">
        <v>2469.5</v>
      </c>
      <c r="S206" s="481">
        <v>2700</v>
      </c>
      <c r="T206" s="1"/>
    </row>
    <row r="207" spans="1:20" x14ac:dyDescent="0.25">
      <c r="A207" s="1"/>
      <c r="B207" s="1"/>
      <c r="C207" s="1"/>
      <c r="D207" s="1"/>
      <c r="E207" s="1"/>
      <c r="F207" s="1"/>
      <c r="G207" s="1"/>
      <c r="H207" s="1"/>
      <c r="I207" s="570">
        <v>18.010000000000002</v>
      </c>
      <c r="J207" s="14">
        <v>29.8</v>
      </c>
      <c r="K207" s="14">
        <v>82.6</v>
      </c>
      <c r="L207" s="14">
        <v>135.19999999999999</v>
      </c>
      <c r="M207" s="14">
        <v>198.7</v>
      </c>
      <c r="N207" s="14">
        <v>324.60000000000002</v>
      </c>
      <c r="O207" s="14">
        <v>540.29999999999995</v>
      </c>
      <c r="P207" s="14">
        <v>874.3</v>
      </c>
      <c r="Q207" s="14">
        <v>1272.8</v>
      </c>
      <c r="R207" s="14">
        <v>1620</v>
      </c>
      <c r="S207" s="481">
        <v>1900</v>
      </c>
      <c r="T207" s="1"/>
    </row>
    <row r="208" spans="1:20" x14ac:dyDescent="0.25">
      <c r="A208" s="1"/>
      <c r="B208" s="1"/>
      <c r="C208" s="1"/>
      <c r="D208" s="1"/>
      <c r="E208" s="1"/>
      <c r="F208" s="1"/>
      <c r="G208" s="1"/>
      <c r="H208" s="1"/>
      <c r="I208" s="570">
        <v>18.02</v>
      </c>
      <c r="J208" s="14">
        <v>27.8</v>
      </c>
      <c r="K208" s="14">
        <v>56.6</v>
      </c>
      <c r="L208" s="14">
        <v>76.099999999999994</v>
      </c>
      <c r="M208" s="14">
        <v>117.8</v>
      </c>
      <c r="N208" s="14">
        <v>217</v>
      </c>
      <c r="O208" s="14">
        <v>387.6</v>
      </c>
      <c r="P208" s="14">
        <v>611.5</v>
      </c>
      <c r="Q208" s="14">
        <v>842.8</v>
      </c>
      <c r="R208" s="14">
        <v>1025.5</v>
      </c>
      <c r="S208" s="481">
        <v>1140</v>
      </c>
      <c r="T208" s="1"/>
    </row>
    <row r="209" spans="1:20" x14ac:dyDescent="0.25">
      <c r="A209" s="1"/>
      <c r="B209" s="1"/>
      <c r="C209" s="1"/>
      <c r="D209" s="1"/>
      <c r="E209" s="1"/>
      <c r="F209" s="1"/>
      <c r="G209" s="1"/>
      <c r="H209" s="1"/>
      <c r="I209" s="570">
        <v>18.03</v>
      </c>
      <c r="J209" s="14">
        <v>16.600000000000001</v>
      </c>
      <c r="K209" s="14">
        <v>33.799999999999997</v>
      </c>
      <c r="L209" s="14">
        <v>45.4</v>
      </c>
      <c r="M209" s="14">
        <v>70.3</v>
      </c>
      <c r="N209" s="14">
        <v>129.4</v>
      </c>
      <c r="O209" s="14">
        <v>231.2</v>
      </c>
      <c r="P209" s="14">
        <v>364.8</v>
      </c>
      <c r="Q209" s="14">
        <v>502.7</v>
      </c>
      <c r="R209" s="14">
        <v>611.70000000000005</v>
      </c>
      <c r="S209" s="481">
        <v>680</v>
      </c>
      <c r="T209" s="1"/>
    </row>
    <row r="210" spans="1:20" x14ac:dyDescent="0.25">
      <c r="A210" s="1"/>
      <c r="B210" s="1"/>
      <c r="C210" s="1"/>
      <c r="D210" s="1"/>
      <c r="E210" s="1"/>
      <c r="F210" s="1"/>
      <c r="G210" s="1"/>
      <c r="H210" s="1"/>
      <c r="I210" s="571">
        <v>20</v>
      </c>
      <c r="J210" s="14">
        <v>60.5</v>
      </c>
      <c r="K210" s="14">
        <v>172.9</v>
      </c>
      <c r="L210" s="14">
        <v>287.7</v>
      </c>
      <c r="M210" s="14">
        <v>462.3</v>
      </c>
      <c r="N210" s="14">
        <v>811.3</v>
      </c>
      <c r="O210" s="14">
        <v>1462.9</v>
      </c>
      <c r="P210" s="14">
        <v>2179.1</v>
      </c>
      <c r="Q210" s="14">
        <v>2762.7</v>
      </c>
      <c r="R210" s="14">
        <v>3292.7</v>
      </c>
      <c r="S210" s="481">
        <v>3600</v>
      </c>
      <c r="T210" s="1"/>
    </row>
    <row r="211" spans="1:20" x14ac:dyDescent="0.25">
      <c r="A211" s="1"/>
      <c r="B211" s="1"/>
      <c r="C211" s="1"/>
      <c r="D211" s="1"/>
      <c r="E211" s="1"/>
      <c r="F211" s="1"/>
      <c r="G211" s="1"/>
      <c r="H211" s="1"/>
      <c r="I211" s="570">
        <v>20.010000000000002</v>
      </c>
      <c r="J211" s="14">
        <v>39.200000000000003</v>
      </c>
      <c r="K211" s="14">
        <v>108.7</v>
      </c>
      <c r="L211" s="14">
        <v>177.9</v>
      </c>
      <c r="M211" s="14">
        <v>261.5</v>
      </c>
      <c r="N211" s="14">
        <v>427.1</v>
      </c>
      <c r="O211" s="14">
        <v>710.9</v>
      </c>
      <c r="P211" s="14">
        <v>1150.4000000000001</v>
      </c>
      <c r="Q211" s="14">
        <v>1674.7</v>
      </c>
      <c r="R211" s="14">
        <v>2131.6</v>
      </c>
      <c r="S211" s="481">
        <v>2500</v>
      </c>
      <c r="T211" s="1"/>
    </row>
    <row r="212" spans="1:20" x14ac:dyDescent="0.25">
      <c r="A212" s="1"/>
      <c r="B212" s="1"/>
      <c r="C212" s="1"/>
      <c r="D212" s="1"/>
      <c r="E212" s="1"/>
      <c r="F212" s="1"/>
      <c r="G212" s="1"/>
      <c r="H212" s="1"/>
      <c r="I212" s="570">
        <v>20.02</v>
      </c>
      <c r="J212" s="14">
        <v>36.6</v>
      </c>
      <c r="K212" s="14">
        <v>74.5</v>
      </c>
      <c r="L212" s="14">
        <v>100.2</v>
      </c>
      <c r="M212" s="14">
        <v>155</v>
      </c>
      <c r="N212" s="14">
        <v>285.5</v>
      </c>
      <c r="O212" s="14">
        <v>509.9</v>
      </c>
      <c r="P212" s="14">
        <v>804.6</v>
      </c>
      <c r="Q212" s="14">
        <v>1108.9000000000001</v>
      </c>
      <c r="R212" s="14">
        <v>1349.3</v>
      </c>
      <c r="S212" s="481">
        <v>1500</v>
      </c>
      <c r="T212" s="1"/>
    </row>
    <row r="213" spans="1:20" x14ac:dyDescent="0.25">
      <c r="A213" s="1"/>
      <c r="B213" s="1"/>
      <c r="C213" s="1"/>
      <c r="D213" s="1"/>
      <c r="E213" s="1"/>
      <c r="F213" s="1"/>
      <c r="G213" s="1"/>
      <c r="H213" s="1"/>
      <c r="I213" s="570">
        <v>20.03</v>
      </c>
      <c r="J213" s="14">
        <v>22</v>
      </c>
      <c r="K213" s="14">
        <v>44.7</v>
      </c>
      <c r="L213" s="14">
        <v>60.1</v>
      </c>
      <c r="M213" s="14">
        <v>93</v>
      </c>
      <c r="N213" s="14">
        <v>171.3</v>
      </c>
      <c r="O213" s="14">
        <v>306</v>
      </c>
      <c r="P213" s="14">
        <v>482.8</v>
      </c>
      <c r="Q213" s="14">
        <v>665.4</v>
      </c>
      <c r="R213" s="14">
        <v>809.6</v>
      </c>
      <c r="S213" s="481">
        <v>900</v>
      </c>
      <c r="T213" s="1"/>
    </row>
    <row r="214" spans="1:20" x14ac:dyDescent="0.25">
      <c r="A214" s="1"/>
      <c r="B214" s="1"/>
      <c r="C214" s="1"/>
      <c r="D214" s="1"/>
      <c r="E214" s="1"/>
      <c r="F214" s="1"/>
      <c r="G214" s="1"/>
      <c r="H214" s="1"/>
      <c r="I214" s="571">
        <v>24</v>
      </c>
      <c r="J214" s="14">
        <v>87.3</v>
      </c>
      <c r="K214" s="14">
        <v>249.8</v>
      </c>
      <c r="L214" s="14">
        <v>415.5</v>
      </c>
      <c r="M214" s="14">
        <v>667.8</v>
      </c>
      <c r="N214" s="14">
        <v>1171.9000000000001</v>
      </c>
      <c r="O214" s="14">
        <v>2113.1</v>
      </c>
      <c r="P214" s="14">
        <v>3147.6</v>
      </c>
      <c r="Q214" s="14">
        <v>3990.6</v>
      </c>
      <c r="R214" s="14">
        <v>4756.1000000000004</v>
      </c>
      <c r="S214" s="481">
        <v>5200</v>
      </c>
      <c r="T214" s="1"/>
    </row>
    <row r="215" spans="1:20" x14ac:dyDescent="0.25">
      <c r="A215" s="1"/>
      <c r="B215" s="1"/>
      <c r="C215" s="1"/>
      <c r="D215" s="1"/>
      <c r="E215" s="1"/>
      <c r="F215" s="1"/>
      <c r="G215" s="1"/>
      <c r="H215" s="1"/>
      <c r="I215" s="570">
        <v>24.01</v>
      </c>
      <c r="J215" s="14">
        <v>57.2</v>
      </c>
      <c r="K215" s="14">
        <v>158.69999999999999</v>
      </c>
      <c r="L215" s="14">
        <v>259.7</v>
      </c>
      <c r="M215" s="14">
        <v>381.7</v>
      </c>
      <c r="N215" s="14">
        <v>623.5</v>
      </c>
      <c r="O215" s="14">
        <v>1037.9000000000001</v>
      </c>
      <c r="P215" s="14">
        <v>1679.6</v>
      </c>
      <c r="Q215" s="14">
        <v>2445.1</v>
      </c>
      <c r="R215" s="14">
        <v>3112.1</v>
      </c>
      <c r="S215" s="481">
        <v>3650</v>
      </c>
      <c r="T215" s="1"/>
    </row>
    <row r="216" spans="1:20" x14ac:dyDescent="0.25">
      <c r="A216" s="1"/>
      <c r="B216" s="1"/>
      <c r="C216" s="1"/>
      <c r="D216" s="1"/>
      <c r="E216" s="1"/>
      <c r="F216" s="1"/>
      <c r="G216" s="1"/>
      <c r="H216" s="1"/>
      <c r="I216" s="570">
        <v>24.03</v>
      </c>
      <c r="J216" s="14">
        <v>53.7</v>
      </c>
      <c r="K216" s="14">
        <v>109.3</v>
      </c>
      <c r="L216" s="14">
        <v>146.9</v>
      </c>
      <c r="M216" s="14">
        <v>227.4</v>
      </c>
      <c r="N216" s="14">
        <v>418.7</v>
      </c>
      <c r="O216" s="14">
        <v>747.9</v>
      </c>
      <c r="P216" s="14">
        <v>1180.0999999999999</v>
      </c>
      <c r="Q216" s="14">
        <v>1626.4</v>
      </c>
      <c r="R216" s="14">
        <v>1979</v>
      </c>
      <c r="S216" s="481">
        <v>2200</v>
      </c>
      <c r="T216" s="1"/>
    </row>
    <row r="217" spans="1:20" ht="13.8" thickBot="1" x14ac:dyDescent="0.3">
      <c r="A217" s="1"/>
      <c r="B217" s="1"/>
      <c r="C217" s="1"/>
      <c r="D217" s="1"/>
      <c r="E217" s="1"/>
      <c r="F217" s="1"/>
      <c r="G217" s="1"/>
      <c r="H217" s="1"/>
      <c r="I217" s="572">
        <v>24.03</v>
      </c>
      <c r="J217" s="477">
        <v>31.7</v>
      </c>
      <c r="K217" s="477">
        <v>64.599999999999994</v>
      </c>
      <c r="L217" s="477">
        <v>86.8</v>
      </c>
      <c r="M217" s="477">
        <v>134.4</v>
      </c>
      <c r="N217" s="477">
        <v>247.5</v>
      </c>
      <c r="O217" s="477">
        <v>441.9</v>
      </c>
      <c r="P217" s="477">
        <v>697.4</v>
      </c>
      <c r="Q217" s="477">
        <v>961.1</v>
      </c>
      <c r="R217" s="477">
        <v>1169.4000000000001</v>
      </c>
      <c r="S217" s="483">
        <v>1300</v>
      </c>
      <c r="T217" s="1"/>
    </row>
    <row r="218" spans="1:20" ht="13.8" thickTop="1" x14ac:dyDescent="0.25">
      <c r="A218" s="1"/>
      <c r="B218" s="1"/>
      <c r="C218" s="1"/>
      <c r="D218" s="1"/>
      <c r="E218" s="1"/>
      <c r="F218" s="1"/>
      <c r="G218" s="1"/>
      <c r="H218" s="1"/>
      <c r="I218" s="1"/>
      <c r="J218" s="1"/>
      <c r="K218" s="1"/>
      <c r="L218" s="1"/>
      <c r="M218" s="1"/>
      <c r="N218" s="1"/>
      <c r="O218" s="1"/>
      <c r="P218" s="1"/>
      <c r="Q218" s="1"/>
      <c r="R218" s="1"/>
      <c r="S218" s="1"/>
      <c r="T218" s="1"/>
    </row>
    <row r="219" spans="1:20" x14ac:dyDescent="0.25">
      <c r="A219" s="1"/>
      <c r="B219" s="1"/>
      <c r="C219" s="1"/>
      <c r="D219" s="1"/>
      <c r="E219" s="1"/>
      <c r="F219" s="1"/>
      <c r="G219" s="1"/>
      <c r="H219" s="1"/>
      <c r="I219" s="1"/>
      <c r="J219" s="1"/>
      <c r="K219" s="1"/>
      <c r="L219" s="1"/>
      <c r="M219" s="1"/>
      <c r="N219" s="1"/>
      <c r="O219" s="1"/>
      <c r="P219" s="1"/>
      <c r="Q219" s="1"/>
      <c r="R219" s="1"/>
      <c r="S219" s="1"/>
      <c r="T219" s="1"/>
    </row>
    <row r="220" spans="1:20" x14ac:dyDescent="0.25">
      <c r="A220" s="1"/>
      <c r="B220" s="1"/>
      <c r="C220" s="1"/>
      <c r="D220" s="1"/>
      <c r="E220" s="1"/>
      <c r="F220" s="1"/>
      <c r="G220" s="1"/>
      <c r="H220" s="1"/>
      <c r="I220" s="1"/>
      <c r="J220" s="1"/>
      <c r="K220" s="1"/>
      <c r="L220" s="1"/>
      <c r="M220" s="1"/>
      <c r="N220" s="1"/>
      <c r="O220" s="1"/>
      <c r="P220" s="1"/>
      <c r="Q220" s="1"/>
      <c r="R220" s="1"/>
      <c r="S220" s="1"/>
      <c r="T220" s="1"/>
    </row>
    <row r="221" spans="1:20" x14ac:dyDescent="0.25">
      <c r="A221" s="1"/>
      <c r="B221" s="1"/>
      <c r="C221" s="1"/>
      <c r="D221" s="1"/>
      <c r="E221" s="1"/>
      <c r="F221" s="1"/>
      <c r="G221" s="1"/>
      <c r="H221" s="1"/>
      <c r="I221" s="1"/>
      <c r="J221" s="1"/>
      <c r="K221" s="1"/>
      <c r="L221" s="1"/>
      <c r="M221" s="1"/>
      <c r="N221" s="1"/>
      <c r="O221" s="1"/>
      <c r="P221" s="1"/>
      <c r="Q221" s="1"/>
      <c r="R221" s="1"/>
      <c r="S221" s="1"/>
      <c r="T221" s="1"/>
    </row>
    <row r="222" spans="1:20" x14ac:dyDescent="0.25">
      <c r="A222" s="1"/>
      <c r="B222" s="1"/>
      <c r="C222" s="1"/>
      <c r="D222" s="1"/>
      <c r="E222" s="1"/>
      <c r="F222" s="1"/>
      <c r="G222" s="1"/>
      <c r="H222" s="1"/>
      <c r="I222" s="1"/>
      <c r="J222" s="1"/>
      <c r="K222" s="1"/>
      <c r="L222" s="1"/>
      <c r="M222" s="1"/>
      <c r="N222" s="1"/>
      <c r="O222" s="1"/>
      <c r="P222" s="1"/>
      <c r="Q222" s="1"/>
      <c r="R222" s="1"/>
      <c r="S222" s="1"/>
      <c r="T222" s="1"/>
    </row>
    <row r="223" spans="1:20" x14ac:dyDescent="0.25">
      <c r="A223" s="1"/>
      <c r="B223" s="1"/>
      <c r="C223" s="1"/>
      <c r="D223" s="1"/>
      <c r="E223" s="13" t="s">
        <v>692</v>
      </c>
      <c r="F223" s="1"/>
      <c r="G223" s="1"/>
      <c r="H223" s="1"/>
      <c r="I223" s="13" t="s">
        <v>609</v>
      </c>
      <c r="J223" s="442" t="s">
        <v>693</v>
      </c>
      <c r="K223" s="414"/>
      <c r="L223" s="414"/>
      <c r="M223" s="442" t="s">
        <v>608</v>
      </c>
      <c r="N223" s="414"/>
      <c r="O223" s="414"/>
      <c r="P223" s="414"/>
      <c r="Q223" s="414"/>
      <c r="R223" s="414"/>
      <c r="S223" s="1"/>
      <c r="T223" s="414"/>
    </row>
    <row r="224" spans="1:20" ht="13.8" x14ac:dyDescent="0.25">
      <c r="A224" s="1"/>
      <c r="B224" s="1"/>
      <c r="C224" s="1"/>
      <c r="D224" s="1"/>
      <c r="E224" s="13"/>
      <c r="F224" s="1"/>
      <c r="G224" s="1"/>
      <c r="H224" s="21"/>
      <c r="I224" s="414"/>
      <c r="J224" s="416">
        <v>10</v>
      </c>
      <c r="K224" s="410">
        <v>20</v>
      </c>
      <c r="L224" s="410">
        <v>30</v>
      </c>
      <c r="M224" s="410">
        <v>40</v>
      </c>
      <c r="N224" s="410">
        <v>50</v>
      </c>
      <c r="O224" s="410">
        <v>60</v>
      </c>
      <c r="P224" s="410">
        <v>70</v>
      </c>
      <c r="Q224" s="410">
        <v>80</v>
      </c>
      <c r="R224" s="410">
        <v>90</v>
      </c>
      <c r="S224" s="410">
        <v>100</v>
      </c>
      <c r="T224" s="1"/>
    </row>
    <row r="225" spans="1:20" ht="13.8" thickBot="1" x14ac:dyDescent="0.3">
      <c r="A225" s="1"/>
      <c r="B225" s="1"/>
      <c r="C225" s="1"/>
      <c r="D225" s="1"/>
      <c r="E225" s="8" t="s">
        <v>689</v>
      </c>
      <c r="F225" s="1"/>
      <c r="G225" s="1"/>
      <c r="H225" s="21"/>
      <c r="I225" s="447" t="s">
        <v>607</v>
      </c>
      <c r="J225" s="1"/>
      <c r="K225" s="1"/>
      <c r="L225" s="1"/>
      <c r="M225" s="13" t="s">
        <v>602</v>
      </c>
      <c r="N225" s="1"/>
      <c r="O225" s="1"/>
      <c r="P225" s="1"/>
      <c r="Q225" s="1"/>
      <c r="R225" s="1"/>
      <c r="S225" s="1"/>
      <c r="T225" s="1"/>
    </row>
    <row r="226" spans="1:20" ht="13.8" thickTop="1" x14ac:dyDescent="0.25">
      <c r="A226" s="1"/>
      <c r="B226" s="1"/>
      <c r="C226" s="1"/>
      <c r="D226" s="1"/>
      <c r="E226" s="8" t="s">
        <v>690</v>
      </c>
      <c r="F226" s="1"/>
      <c r="G226" s="1"/>
      <c r="H226" s="1"/>
      <c r="I226" s="557">
        <v>2</v>
      </c>
      <c r="J226" s="558">
        <v>4.9000000000000004</v>
      </c>
      <c r="K226" s="558">
        <v>13.9</v>
      </c>
      <c r="L226" s="558">
        <v>22.2</v>
      </c>
      <c r="M226" s="558">
        <v>30.3</v>
      </c>
      <c r="N226" s="558">
        <v>39.5</v>
      </c>
      <c r="O226" s="558">
        <v>48.6</v>
      </c>
      <c r="P226" s="558">
        <v>57.3</v>
      </c>
      <c r="Q226" s="558">
        <v>64.7</v>
      </c>
      <c r="R226" s="558">
        <v>69.5</v>
      </c>
      <c r="S226" s="559">
        <v>74</v>
      </c>
      <c r="T226" s="1"/>
    </row>
    <row r="227" spans="1:20" x14ac:dyDescent="0.25">
      <c r="A227" s="1"/>
      <c r="B227" s="1"/>
      <c r="C227" s="1"/>
      <c r="D227" s="1"/>
      <c r="E227" s="8" t="s">
        <v>691</v>
      </c>
      <c r="F227" s="1"/>
      <c r="G227" s="1"/>
      <c r="H227" s="1"/>
      <c r="I227" s="560">
        <v>2.0099999999999998</v>
      </c>
      <c r="J227" s="561">
        <v>3.5</v>
      </c>
      <c r="K227" s="561">
        <v>7.6</v>
      </c>
      <c r="L227" s="561">
        <v>12.5</v>
      </c>
      <c r="M227" s="561">
        <v>17.3</v>
      </c>
      <c r="N227" s="561">
        <v>22.4</v>
      </c>
      <c r="O227" s="561">
        <v>27.6</v>
      </c>
      <c r="P227" s="561">
        <v>33.1</v>
      </c>
      <c r="Q227" s="561">
        <v>38.5</v>
      </c>
      <c r="R227" s="561">
        <v>43.6</v>
      </c>
      <c r="S227" s="562">
        <v>48</v>
      </c>
      <c r="T227" s="1"/>
    </row>
    <row r="228" spans="1:20" x14ac:dyDescent="0.25">
      <c r="A228" s="1"/>
      <c r="B228" s="1"/>
      <c r="C228" s="1"/>
      <c r="D228" s="1"/>
      <c r="E228" s="1"/>
      <c r="F228" s="1"/>
      <c r="G228" s="1"/>
      <c r="H228" s="1"/>
      <c r="I228" s="560">
        <v>2.02</v>
      </c>
      <c r="J228" s="561">
        <v>2.6</v>
      </c>
      <c r="K228" s="563">
        <v>5.2</v>
      </c>
      <c r="L228" s="561">
        <v>7.7</v>
      </c>
      <c r="M228" s="561">
        <v>10.3</v>
      </c>
      <c r="N228" s="561">
        <v>12.9</v>
      </c>
      <c r="O228" s="561">
        <v>15.4</v>
      </c>
      <c r="P228" s="561">
        <v>18</v>
      </c>
      <c r="Q228" s="561">
        <v>20.6</v>
      </c>
      <c r="R228" s="561">
        <v>23.2</v>
      </c>
      <c r="S228" s="562">
        <v>26</v>
      </c>
      <c r="T228" s="1"/>
    </row>
    <row r="229" spans="1:20" x14ac:dyDescent="0.25">
      <c r="A229" s="1"/>
      <c r="B229" s="1"/>
      <c r="C229" s="1"/>
      <c r="D229" s="1"/>
      <c r="E229" s="1"/>
      <c r="F229" s="1"/>
      <c r="G229" s="1"/>
      <c r="H229" s="1"/>
      <c r="I229" s="560">
        <v>2.0299999999999998</v>
      </c>
      <c r="J229" s="561">
        <v>1.6</v>
      </c>
      <c r="K229" s="563">
        <v>3.2</v>
      </c>
      <c r="L229" s="561">
        <v>4.8</v>
      </c>
      <c r="M229" s="561">
        <v>6.3</v>
      </c>
      <c r="N229" s="561">
        <v>7.9</v>
      </c>
      <c r="O229" s="561">
        <v>9.5</v>
      </c>
      <c r="P229" s="561">
        <v>11.1</v>
      </c>
      <c r="Q229" s="561">
        <v>12.7</v>
      </c>
      <c r="R229" s="561">
        <v>14.3</v>
      </c>
      <c r="S229" s="562">
        <v>16</v>
      </c>
      <c r="T229" s="1"/>
    </row>
    <row r="230" spans="1:20" x14ac:dyDescent="0.25">
      <c r="A230" s="1"/>
      <c r="B230" s="1"/>
      <c r="C230" s="1"/>
      <c r="D230" s="1"/>
      <c r="E230" s="1"/>
      <c r="F230" s="1"/>
      <c r="G230" s="1"/>
      <c r="H230" s="1"/>
      <c r="I230" s="564">
        <v>3</v>
      </c>
      <c r="J230" s="561">
        <v>8</v>
      </c>
      <c r="K230" s="563">
        <v>22</v>
      </c>
      <c r="L230" s="561">
        <v>39</v>
      </c>
      <c r="M230" s="561">
        <v>59</v>
      </c>
      <c r="N230" s="561">
        <v>75</v>
      </c>
      <c r="O230" s="561">
        <v>90</v>
      </c>
      <c r="P230" s="561">
        <v>105</v>
      </c>
      <c r="Q230" s="561">
        <v>119</v>
      </c>
      <c r="R230" s="561">
        <v>130</v>
      </c>
      <c r="S230" s="562">
        <v>142</v>
      </c>
      <c r="T230" s="1"/>
    </row>
    <row r="231" spans="1:20" x14ac:dyDescent="0.25">
      <c r="A231" s="1"/>
      <c r="B231" s="1"/>
      <c r="C231" s="1"/>
      <c r="D231" s="1"/>
      <c r="E231" s="1"/>
      <c r="F231" s="1"/>
      <c r="G231" s="1"/>
      <c r="H231" s="1"/>
      <c r="I231" s="560">
        <v>3.01</v>
      </c>
      <c r="J231" s="561">
        <v>6.2</v>
      </c>
      <c r="K231" s="563">
        <v>16.600000000000001</v>
      </c>
      <c r="L231" s="561">
        <v>26.9</v>
      </c>
      <c r="M231" s="561">
        <v>36.9</v>
      </c>
      <c r="N231" s="561">
        <v>46.6</v>
      </c>
      <c r="O231" s="561">
        <v>56.8</v>
      </c>
      <c r="P231" s="561">
        <v>67.400000000000006</v>
      </c>
      <c r="Q231" s="561">
        <v>78</v>
      </c>
      <c r="R231" s="561">
        <v>87.8</v>
      </c>
      <c r="S231" s="562">
        <v>98</v>
      </c>
      <c r="T231" s="1"/>
    </row>
    <row r="232" spans="1:20" x14ac:dyDescent="0.25">
      <c r="A232" s="1"/>
      <c r="B232" s="1"/>
      <c r="C232" s="1"/>
      <c r="D232" s="1"/>
      <c r="E232" s="1"/>
      <c r="F232" s="1"/>
      <c r="G232" s="1"/>
      <c r="H232" s="1"/>
      <c r="I232" s="560">
        <v>3.02</v>
      </c>
      <c r="J232" s="561">
        <v>4.5</v>
      </c>
      <c r="K232" s="563">
        <v>11.1</v>
      </c>
      <c r="L232" s="561">
        <v>16.600000000000001</v>
      </c>
      <c r="M232" s="561">
        <v>22.2</v>
      </c>
      <c r="N232" s="561">
        <v>27.7</v>
      </c>
      <c r="O232" s="561">
        <v>33.299999999999997</v>
      </c>
      <c r="P232" s="561">
        <v>38.799999999999997</v>
      </c>
      <c r="Q232" s="561">
        <v>44.4</v>
      </c>
      <c r="R232" s="561">
        <v>49.9</v>
      </c>
      <c r="S232" s="562">
        <v>56</v>
      </c>
      <c r="T232" s="1"/>
    </row>
    <row r="233" spans="1:20" x14ac:dyDescent="0.25">
      <c r="A233" s="1"/>
      <c r="B233" s="1"/>
      <c r="C233" s="1"/>
      <c r="D233" s="1"/>
      <c r="E233" s="1"/>
      <c r="F233" s="1"/>
      <c r="G233" s="1"/>
      <c r="H233" s="1"/>
      <c r="I233" s="560">
        <v>3.03</v>
      </c>
      <c r="J233" s="561">
        <v>3.4</v>
      </c>
      <c r="K233" s="563">
        <v>6.7</v>
      </c>
      <c r="L233" s="561">
        <v>10.1</v>
      </c>
      <c r="M233" s="561">
        <v>13.5</v>
      </c>
      <c r="N233" s="561">
        <v>16.8</v>
      </c>
      <c r="O233" s="561">
        <v>20.2</v>
      </c>
      <c r="P233" s="561">
        <v>23.6</v>
      </c>
      <c r="Q233" s="561">
        <v>26.9</v>
      </c>
      <c r="R233" s="561">
        <v>30.3</v>
      </c>
      <c r="S233" s="562">
        <v>34</v>
      </c>
      <c r="T233" s="1"/>
    </row>
    <row r="234" spans="1:20" x14ac:dyDescent="0.25">
      <c r="A234" s="1"/>
      <c r="B234" s="1"/>
      <c r="C234" s="1"/>
      <c r="D234" s="1"/>
      <c r="E234" s="1"/>
      <c r="F234" s="1"/>
      <c r="G234" s="1"/>
      <c r="H234" s="1"/>
      <c r="I234" s="564">
        <v>4</v>
      </c>
      <c r="J234" s="561">
        <v>19.3</v>
      </c>
      <c r="K234" s="563">
        <v>41.5</v>
      </c>
      <c r="L234" s="561">
        <v>74.400000000000006</v>
      </c>
      <c r="M234" s="561">
        <v>105.3</v>
      </c>
      <c r="N234" s="561">
        <v>133.4</v>
      </c>
      <c r="O234" s="561">
        <v>164.5</v>
      </c>
      <c r="P234" s="561">
        <v>187.6</v>
      </c>
      <c r="Q234" s="561">
        <v>206.4</v>
      </c>
      <c r="R234" s="561">
        <v>219.3</v>
      </c>
      <c r="S234" s="562">
        <v>230</v>
      </c>
      <c r="T234" s="1"/>
    </row>
    <row r="235" spans="1:20" x14ac:dyDescent="0.25">
      <c r="A235" s="1"/>
      <c r="B235" s="1"/>
      <c r="C235" s="1"/>
      <c r="D235" s="1"/>
      <c r="E235" s="1"/>
      <c r="F235" s="1"/>
      <c r="G235" s="1"/>
      <c r="H235" s="1"/>
      <c r="I235" s="560">
        <v>4.01</v>
      </c>
      <c r="J235" s="561">
        <v>8</v>
      </c>
      <c r="K235" s="563">
        <v>25.4</v>
      </c>
      <c r="L235" s="561">
        <v>43.1</v>
      </c>
      <c r="M235" s="561">
        <v>60.4</v>
      </c>
      <c r="N235" s="561">
        <v>77.2</v>
      </c>
      <c r="O235" s="561">
        <v>93.8</v>
      </c>
      <c r="P235" s="561">
        <v>110.7</v>
      </c>
      <c r="Q235" s="561">
        <v>127.6</v>
      </c>
      <c r="R235" s="561">
        <v>143.9</v>
      </c>
      <c r="S235" s="562">
        <v>160</v>
      </c>
      <c r="T235" s="1"/>
    </row>
    <row r="236" spans="1:20" x14ac:dyDescent="0.25">
      <c r="A236" s="1"/>
      <c r="B236" s="1"/>
      <c r="C236" s="1"/>
      <c r="D236" s="1"/>
      <c r="E236" s="1"/>
      <c r="F236" s="1"/>
      <c r="G236" s="1"/>
      <c r="H236" s="1"/>
      <c r="I236" s="560">
        <v>4.0199999999999996</v>
      </c>
      <c r="J236" s="561">
        <v>6</v>
      </c>
      <c r="K236" s="563">
        <v>17</v>
      </c>
      <c r="L236" s="561">
        <v>25.5</v>
      </c>
      <c r="M236" s="561">
        <v>34.1</v>
      </c>
      <c r="N236" s="561">
        <v>42.6</v>
      </c>
      <c r="O236" s="561">
        <v>51.1</v>
      </c>
      <c r="P236" s="561">
        <v>59.6</v>
      </c>
      <c r="Q236" s="561">
        <v>68.099999999999994</v>
      </c>
      <c r="R236" s="561">
        <v>76.599999999999994</v>
      </c>
      <c r="S236" s="562">
        <v>86</v>
      </c>
      <c r="T236" s="1"/>
    </row>
    <row r="237" spans="1:20" x14ac:dyDescent="0.25">
      <c r="A237" s="1"/>
      <c r="B237" s="1"/>
      <c r="C237" s="1"/>
      <c r="D237" s="1"/>
      <c r="E237" s="1"/>
      <c r="F237" s="1"/>
      <c r="G237" s="1"/>
      <c r="H237" s="1"/>
      <c r="I237" s="560">
        <v>4.03</v>
      </c>
      <c r="J237" s="561">
        <v>5.2</v>
      </c>
      <c r="K237" s="563">
        <v>10.3</v>
      </c>
      <c r="L237" s="561">
        <v>15.4</v>
      </c>
      <c r="M237" s="561">
        <v>20.6</v>
      </c>
      <c r="N237" s="561">
        <v>25.7</v>
      </c>
      <c r="O237" s="561">
        <v>30.9</v>
      </c>
      <c r="P237" s="561">
        <v>36</v>
      </c>
      <c r="Q237" s="561">
        <v>41.2</v>
      </c>
      <c r="R237" s="561">
        <v>46.3</v>
      </c>
      <c r="S237" s="562">
        <v>52</v>
      </c>
      <c r="T237" s="1"/>
    </row>
    <row r="238" spans="1:20" x14ac:dyDescent="0.25">
      <c r="A238" s="1"/>
      <c r="B238" s="1"/>
      <c r="C238" s="1"/>
      <c r="D238" s="1"/>
      <c r="E238" s="1"/>
      <c r="F238" s="1"/>
      <c r="G238" s="1"/>
      <c r="H238" s="1"/>
      <c r="I238" s="564">
        <v>6</v>
      </c>
      <c r="J238" s="561">
        <v>23</v>
      </c>
      <c r="K238" s="563">
        <v>62</v>
      </c>
      <c r="L238" s="561">
        <v>123.5</v>
      </c>
      <c r="M238" s="561">
        <v>181</v>
      </c>
      <c r="N238" s="561">
        <v>229.1</v>
      </c>
      <c r="O238" s="561">
        <v>269.3</v>
      </c>
      <c r="P238" s="561">
        <v>315.2</v>
      </c>
      <c r="Q238" s="561">
        <v>349.9</v>
      </c>
      <c r="R238" s="561">
        <v>370.1</v>
      </c>
      <c r="S238" s="562">
        <v>380</v>
      </c>
      <c r="T238" s="1"/>
    </row>
    <row r="239" spans="1:20" x14ac:dyDescent="0.25">
      <c r="A239" s="1"/>
      <c r="B239" s="1"/>
      <c r="C239" s="1"/>
      <c r="D239" s="1"/>
      <c r="E239" s="1"/>
      <c r="F239" s="1"/>
      <c r="G239" s="1"/>
      <c r="H239" s="1"/>
      <c r="I239" s="560">
        <v>6.01</v>
      </c>
      <c r="J239" s="561">
        <v>12</v>
      </c>
      <c r="K239" s="563">
        <v>40.9</v>
      </c>
      <c r="L239" s="561">
        <v>71.400000000000006</v>
      </c>
      <c r="M239" s="561">
        <v>101.4</v>
      </c>
      <c r="N239" s="561">
        <v>130.6</v>
      </c>
      <c r="O239" s="561">
        <v>158.9</v>
      </c>
      <c r="P239" s="561">
        <v>186.7</v>
      </c>
      <c r="Q239" s="561">
        <v>214.7</v>
      </c>
      <c r="R239" s="561">
        <v>242.2</v>
      </c>
      <c r="S239" s="562">
        <v>275</v>
      </c>
      <c r="T239" s="1"/>
    </row>
    <row r="240" spans="1:20" x14ac:dyDescent="0.25">
      <c r="A240" s="1"/>
      <c r="B240" s="1"/>
      <c r="C240" s="1"/>
      <c r="D240" s="1"/>
      <c r="E240" s="1"/>
      <c r="F240" s="1"/>
      <c r="G240" s="1"/>
      <c r="H240" s="1"/>
      <c r="I240" s="560">
        <v>6.02</v>
      </c>
      <c r="J240" s="561">
        <v>9.5</v>
      </c>
      <c r="K240" s="563">
        <v>29.7</v>
      </c>
      <c r="L240" s="561">
        <v>44.6</v>
      </c>
      <c r="M240" s="561">
        <v>59.4</v>
      </c>
      <c r="N240" s="561">
        <v>74.3</v>
      </c>
      <c r="O240" s="561">
        <v>89.1</v>
      </c>
      <c r="P240" s="561">
        <v>104</v>
      </c>
      <c r="Q240" s="561">
        <v>118.8</v>
      </c>
      <c r="R240" s="561">
        <v>133.69999999999999</v>
      </c>
      <c r="S240" s="562">
        <v>150</v>
      </c>
      <c r="T240" s="1"/>
    </row>
    <row r="241" spans="1:20" x14ac:dyDescent="0.25">
      <c r="A241" s="1"/>
      <c r="B241" s="1"/>
      <c r="C241" s="1"/>
      <c r="D241" s="1"/>
      <c r="E241" s="1"/>
      <c r="F241" s="1"/>
      <c r="G241" s="1"/>
      <c r="H241" s="1"/>
      <c r="I241" s="560">
        <v>6.03</v>
      </c>
      <c r="J241" s="561">
        <v>8</v>
      </c>
      <c r="K241" s="563">
        <v>17.8</v>
      </c>
      <c r="L241" s="561">
        <v>26.7</v>
      </c>
      <c r="M241" s="561">
        <v>35.6</v>
      </c>
      <c r="N241" s="561">
        <v>44.6</v>
      </c>
      <c r="O241" s="561">
        <v>53.5</v>
      </c>
      <c r="P241" s="561">
        <v>62.4</v>
      </c>
      <c r="Q241" s="561">
        <v>71.3</v>
      </c>
      <c r="R241" s="561">
        <v>80.2</v>
      </c>
      <c r="S241" s="562">
        <v>90</v>
      </c>
      <c r="T241" s="1"/>
    </row>
    <row r="242" spans="1:20" x14ac:dyDescent="0.25">
      <c r="A242" s="1"/>
      <c r="B242" s="1"/>
      <c r="C242" s="1"/>
      <c r="D242" s="1"/>
      <c r="E242" s="1"/>
      <c r="F242" s="1"/>
      <c r="G242" s="1"/>
      <c r="H242" s="1"/>
      <c r="I242" s="564">
        <v>8</v>
      </c>
      <c r="J242" s="561">
        <v>28.2</v>
      </c>
      <c r="K242" s="563">
        <v>94.2</v>
      </c>
      <c r="L242" s="561">
        <v>185.6</v>
      </c>
      <c r="M242" s="561">
        <v>288</v>
      </c>
      <c r="N242" s="561">
        <v>377.1</v>
      </c>
      <c r="O242" s="561">
        <v>449.1</v>
      </c>
      <c r="P242" s="561">
        <v>514.1</v>
      </c>
      <c r="Q242" s="561">
        <v>571.9</v>
      </c>
      <c r="R242" s="561">
        <v>590</v>
      </c>
      <c r="S242" s="562">
        <v>600</v>
      </c>
      <c r="T242" s="1"/>
    </row>
    <row r="243" spans="1:20" x14ac:dyDescent="0.25">
      <c r="A243" s="1"/>
      <c r="B243" s="1"/>
      <c r="C243" s="1"/>
      <c r="D243" s="1"/>
      <c r="E243" s="1"/>
      <c r="F243" s="1"/>
      <c r="G243" s="1"/>
      <c r="H243" s="1"/>
      <c r="I243" s="560">
        <v>8.01</v>
      </c>
      <c r="J243" s="561">
        <v>14.5</v>
      </c>
      <c r="K243" s="563">
        <v>52.5</v>
      </c>
      <c r="L243" s="561">
        <v>108</v>
      </c>
      <c r="M243" s="561">
        <v>172</v>
      </c>
      <c r="N243" s="561">
        <v>232</v>
      </c>
      <c r="O243" s="561">
        <v>299</v>
      </c>
      <c r="P243" s="561">
        <v>365</v>
      </c>
      <c r="Q243" s="561">
        <v>417</v>
      </c>
      <c r="R243" s="561">
        <v>430</v>
      </c>
      <c r="S243" s="562">
        <v>455</v>
      </c>
      <c r="T243" s="1"/>
    </row>
    <row r="244" spans="1:20" x14ac:dyDescent="0.25">
      <c r="A244" s="1"/>
      <c r="B244" s="1"/>
      <c r="C244" s="1"/>
      <c r="D244" s="1"/>
      <c r="E244" s="1"/>
      <c r="F244" s="1"/>
      <c r="G244" s="1"/>
      <c r="H244" s="1"/>
      <c r="I244" s="560">
        <v>8.02</v>
      </c>
      <c r="J244" s="561">
        <v>10</v>
      </c>
      <c r="K244" s="563">
        <v>45</v>
      </c>
      <c r="L244" s="561">
        <v>75.400000000000006</v>
      </c>
      <c r="M244" s="561">
        <v>100.6</v>
      </c>
      <c r="N244" s="561">
        <v>125.7</v>
      </c>
      <c r="O244" s="561">
        <v>150.9</v>
      </c>
      <c r="P244" s="561">
        <v>176</v>
      </c>
      <c r="Q244" s="561">
        <v>201.2</v>
      </c>
      <c r="R244" s="561">
        <v>226.3</v>
      </c>
      <c r="S244" s="562">
        <v>254</v>
      </c>
      <c r="T244" s="1"/>
    </row>
    <row r="245" spans="1:20" x14ac:dyDescent="0.25">
      <c r="A245" s="1"/>
      <c r="B245" s="1"/>
      <c r="C245" s="1"/>
      <c r="D245" s="1"/>
      <c r="E245" s="1"/>
      <c r="F245" s="1"/>
      <c r="G245" s="1"/>
      <c r="H245" s="1"/>
      <c r="I245" s="560">
        <v>8.0299999999999994</v>
      </c>
      <c r="J245" s="561">
        <v>9</v>
      </c>
      <c r="K245" s="563">
        <v>30.1</v>
      </c>
      <c r="L245" s="561">
        <v>45.1</v>
      </c>
      <c r="M245" s="561">
        <v>60.2</v>
      </c>
      <c r="N245" s="561">
        <v>75.2</v>
      </c>
      <c r="O245" s="561">
        <v>90.3</v>
      </c>
      <c r="P245" s="561">
        <v>105.3</v>
      </c>
      <c r="Q245" s="561">
        <v>120.4</v>
      </c>
      <c r="R245" s="561">
        <v>135.4</v>
      </c>
      <c r="S245" s="562">
        <v>152</v>
      </c>
      <c r="T245" s="1"/>
    </row>
    <row r="246" spans="1:20" x14ac:dyDescent="0.25">
      <c r="A246" s="1"/>
      <c r="B246" s="1"/>
      <c r="C246" s="1"/>
      <c r="D246" s="1"/>
      <c r="E246" s="1"/>
      <c r="F246" s="1"/>
      <c r="G246" s="1"/>
      <c r="H246" s="1"/>
      <c r="I246" s="564">
        <v>10</v>
      </c>
      <c r="J246" s="561">
        <v>45.9</v>
      </c>
      <c r="K246" s="563">
        <v>189.3</v>
      </c>
      <c r="L246" s="561">
        <v>329.3</v>
      </c>
      <c r="M246" s="561">
        <v>461.8</v>
      </c>
      <c r="N246" s="561">
        <v>583.29999999999995</v>
      </c>
      <c r="O246" s="561">
        <v>689.9</v>
      </c>
      <c r="P246" s="561">
        <v>778.5</v>
      </c>
      <c r="Q246" s="561">
        <v>847.7</v>
      </c>
      <c r="R246" s="561">
        <v>897.9</v>
      </c>
      <c r="S246" s="562">
        <v>950</v>
      </c>
      <c r="T246" s="1"/>
    </row>
    <row r="247" spans="1:20" x14ac:dyDescent="0.25">
      <c r="A247" s="1"/>
      <c r="B247" s="1"/>
      <c r="C247" s="1"/>
      <c r="D247" s="1"/>
      <c r="E247" s="1"/>
      <c r="F247" s="1"/>
      <c r="G247" s="1"/>
      <c r="H247" s="1"/>
      <c r="I247" s="560">
        <v>10.01</v>
      </c>
      <c r="J247" s="561">
        <v>25</v>
      </c>
      <c r="K247" s="563">
        <v>103.6</v>
      </c>
      <c r="L247" s="561">
        <v>183.3</v>
      </c>
      <c r="M247" s="561">
        <v>260.7</v>
      </c>
      <c r="N247" s="561">
        <v>337.5</v>
      </c>
      <c r="O247" s="561">
        <v>414.1</v>
      </c>
      <c r="P247" s="561">
        <v>489.4</v>
      </c>
      <c r="Q247" s="561">
        <v>562.29999999999995</v>
      </c>
      <c r="R247" s="561">
        <v>631.5</v>
      </c>
      <c r="S247" s="562">
        <v>700</v>
      </c>
      <c r="T247" s="1"/>
    </row>
    <row r="248" spans="1:20" x14ac:dyDescent="0.25">
      <c r="A248" s="1"/>
      <c r="B248" s="1"/>
      <c r="C248" s="1"/>
      <c r="D248" s="1"/>
      <c r="E248" s="1"/>
      <c r="F248" s="1"/>
      <c r="G248" s="1"/>
      <c r="H248" s="1"/>
      <c r="I248" s="560">
        <v>10.02</v>
      </c>
      <c r="J248" s="561">
        <v>17</v>
      </c>
      <c r="K248" s="563">
        <v>78.8</v>
      </c>
      <c r="L248" s="561">
        <v>118.2</v>
      </c>
      <c r="M248" s="561">
        <v>157.6</v>
      </c>
      <c r="N248" s="561">
        <v>197</v>
      </c>
      <c r="O248" s="561">
        <v>236.4</v>
      </c>
      <c r="P248" s="561">
        <v>275.8</v>
      </c>
      <c r="Q248" s="561">
        <v>315.2</v>
      </c>
      <c r="R248" s="561">
        <v>354.6</v>
      </c>
      <c r="S248" s="562">
        <v>398</v>
      </c>
      <c r="T248" s="1"/>
    </row>
    <row r="249" spans="1:20" x14ac:dyDescent="0.25">
      <c r="A249" s="1"/>
      <c r="B249" s="1"/>
      <c r="C249" s="1"/>
      <c r="D249" s="1"/>
      <c r="E249" s="1"/>
      <c r="F249" s="1"/>
      <c r="G249" s="1"/>
      <c r="H249" s="1"/>
      <c r="I249" s="560">
        <v>10.029999999999999</v>
      </c>
      <c r="J249" s="561">
        <v>12</v>
      </c>
      <c r="K249" s="563">
        <v>46.7</v>
      </c>
      <c r="L249" s="561">
        <v>70.099999999999994</v>
      </c>
      <c r="M249" s="561">
        <v>93.5</v>
      </c>
      <c r="N249" s="561">
        <v>116.8</v>
      </c>
      <c r="O249" s="561">
        <v>140.19999999999999</v>
      </c>
      <c r="P249" s="561">
        <v>163.6</v>
      </c>
      <c r="Q249" s="561">
        <v>186.9</v>
      </c>
      <c r="R249" s="561">
        <v>210.3</v>
      </c>
      <c r="S249" s="562">
        <v>238</v>
      </c>
      <c r="T249" s="1"/>
    </row>
    <row r="250" spans="1:20" x14ac:dyDescent="0.25">
      <c r="A250" s="1"/>
      <c r="B250" s="1"/>
      <c r="C250" s="1"/>
      <c r="D250" s="1"/>
      <c r="E250" s="1"/>
      <c r="F250" s="1"/>
      <c r="G250" s="1"/>
      <c r="H250" s="1"/>
      <c r="I250" s="564">
        <v>12</v>
      </c>
      <c r="J250" s="561">
        <v>93.2</v>
      </c>
      <c r="K250" s="563">
        <v>250</v>
      </c>
      <c r="L250" s="561">
        <v>463.3</v>
      </c>
      <c r="M250" s="561">
        <v>660</v>
      </c>
      <c r="N250" s="561">
        <v>840</v>
      </c>
      <c r="O250" s="561">
        <v>990</v>
      </c>
      <c r="P250" s="561">
        <v>1115</v>
      </c>
      <c r="Q250" s="561">
        <v>1205</v>
      </c>
      <c r="R250" s="561">
        <v>1250</v>
      </c>
      <c r="S250" s="562">
        <v>1270</v>
      </c>
      <c r="T250" s="1"/>
    </row>
    <row r="251" spans="1:20" x14ac:dyDescent="0.25">
      <c r="A251" s="1"/>
      <c r="B251" s="1"/>
      <c r="C251" s="1"/>
      <c r="D251" s="1"/>
      <c r="E251" s="1"/>
      <c r="F251" s="1"/>
      <c r="G251" s="1"/>
      <c r="H251" s="1"/>
      <c r="I251" s="560">
        <v>12.01</v>
      </c>
      <c r="J251" s="561">
        <v>66.7</v>
      </c>
      <c r="K251" s="563">
        <v>167.8</v>
      </c>
      <c r="L251" s="561">
        <v>276.8</v>
      </c>
      <c r="M251" s="561">
        <v>382.9</v>
      </c>
      <c r="N251" s="561">
        <v>485.5</v>
      </c>
      <c r="O251" s="561">
        <v>586.9</v>
      </c>
      <c r="P251" s="561">
        <v>692.1</v>
      </c>
      <c r="Q251" s="561">
        <v>796.9</v>
      </c>
      <c r="R251" s="561">
        <v>893</v>
      </c>
      <c r="S251" s="562">
        <v>970</v>
      </c>
      <c r="T251" s="1"/>
    </row>
    <row r="252" spans="1:20" x14ac:dyDescent="0.25">
      <c r="A252" s="1"/>
      <c r="B252" s="1"/>
      <c r="C252" s="1"/>
      <c r="D252" s="1"/>
      <c r="E252" s="1"/>
      <c r="F252" s="1"/>
      <c r="G252" s="1"/>
      <c r="H252" s="1"/>
      <c r="I252" s="560">
        <v>12.02</v>
      </c>
      <c r="J252" s="561">
        <v>25</v>
      </c>
      <c r="K252" s="563">
        <v>108.9</v>
      </c>
      <c r="L252" s="561">
        <v>163.4</v>
      </c>
      <c r="M252" s="561">
        <v>218</v>
      </c>
      <c r="N252" s="561">
        <v>272.3</v>
      </c>
      <c r="O252" s="561">
        <v>326.7</v>
      </c>
      <c r="P252" s="561">
        <v>381.2</v>
      </c>
      <c r="Q252" s="561">
        <v>435.6</v>
      </c>
      <c r="R252" s="561">
        <v>490.1</v>
      </c>
      <c r="S252" s="562">
        <v>550</v>
      </c>
      <c r="T252" s="1"/>
    </row>
    <row r="253" spans="1:20" x14ac:dyDescent="0.25">
      <c r="A253" s="1"/>
      <c r="B253" s="1"/>
      <c r="C253" s="1"/>
      <c r="D253" s="1"/>
      <c r="E253" s="1"/>
      <c r="F253" s="1"/>
      <c r="G253" s="1"/>
      <c r="H253" s="1"/>
      <c r="I253" s="560">
        <v>12.03</v>
      </c>
      <c r="J253" s="561">
        <v>17</v>
      </c>
      <c r="K253" s="563">
        <v>67.3</v>
      </c>
      <c r="L253" s="561">
        <v>101</v>
      </c>
      <c r="M253" s="561">
        <v>134.6</v>
      </c>
      <c r="N253" s="561">
        <v>168.3</v>
      </c>
      <c r="O253" s="561">
        <v>202</v>
      </c>
      <c r="P253" s="561">
        <v>235.6</v>
      </c>
      <c r="Q253" s="561">
        <v>269.3</v>
      </c>
      <c r="R253" s="561">
        <v>302.89999999999998</v>
      </c>
      <c r="S253" s="562">
        <v>340</v>
      </c>
      <c r="T253" s="1"/>
    </row>
    <row r="254" spans="1:20" x14ac:dyDescent="0.25">
      <c r="A254" s="1"/>
      <c r="B254" s="1"/>
      <c r="C254" s="1"/>
      <c r="D254" s="1"/>
      <c r="E254" s="1"/>
      <c r="F254" s="1"/>
      <c r="G254" s="1"/>
      <c r="H254" s="1"/>
      <c r="I254" s="564">
        <v>14.01</v>
      </c>
      <c r="J254" s="561">
        <v>127.4</v>
      </c>
      <c r="K254" s="563">
        <v>407.5</v>
      </c>
      <c r="L254" s="561">
        <v>673.4</v>
      </c>
      <c r="M254" s="561">
        <v>915.6</v>
      </c>
      <c r="N254" s="561">
        <v>1128.5</v>
      </c>
      <c r="O254" s="561">
        <v>1316.5</v>
      </c>
      <c r="P254" s="561">
        <v>1474.2</v>
      </c>
      <c r="Q254" s="561">
        <v>1593.1</v>
      </c>
      <c r="R254" s="561">
        <v>1671.4</v>
      </c>
      <c r="S254" s="562">
        <v>1740</v>
      </c>
      <c r="T254" s="1"/>
    </row>
    <row r="255" spans="1:20" x14ac:dyDescent="0.25">
      <c r="A255" s="1"/>
      <c r="B255" s="1"/>
      <c r="C255" s="1"/>
      <c r="D255" s="1"/>
      <c r="E255" s="1"/>
      <c r="F255" s="1"/>
      <c r="G255" s="1"/>
      <c r="H255" s="1"/>
      <c r="I255" s="560">
        <v>14.01</v>
      </c>
      <c r="J255" s="561">
        <v>91.3</v>
      </c>
      <c r="K255" s="563">
        <v>233.3</v>
      </c>
      <c r="L255" s="561">
        <v>393</v>
      </c>
      <c r="M255" s="561">
        <v>548.1</v>
      </c>
      <c r="N255" s="561">
        <v>696.8</v>
      </c>
      <c r="O255" s="561">
        <v>838</v>
      </c>
      <c r="P255" s="561">
        <v>976.4</v>
      </c>
      <c r="Q255" s="561">
        <v>1105.4000000000001</v>
      </c>
      <c r="R255" s="561">
        <v>1221.2</v>
      </c>
      <c r="S255" s="562">
        <v>1300</v>
      </c>
      <c r="T255" s="1"/>
    </row>
    <row r="256" spans="1:20" x14ac:dyDescent="0.25">
      <c r="A256" s="1"/>
      <c r="B256" s="1"/>
      <c r="C256" s="1"/>
      <c r="D256" s="1"/>
      <c r="E256" s="1"/>
      <c r="F256" s="1"/>
      <c r="G256" s="1"/>
      <c r="H256" s="1"/>
      <c r="I256" s="560">
        <v>14.02</v>
      </c>
      <c r="J256" s="561">
        <v>52</v>
      </c>
      <c r="K256" s="563">
        <v>153.69999999999999</v>
      </c>
      <c r="L256" s="561">
        <v>230.5</v>
      </c>
      <c r="M256" s="561">
        <v>307.3</v>
      </c>
      <c r="N256" s="561">
        <v>384.1</v>
      </c>
      <c r="O256" s="561">
        <v>460.9</v>
      </c>
      <c r="P256" s="561">
        <v>537.79999999999995</v>
      </c>
      <c r="Q256" s="561">
        <v>614.6</v>
      </c>
      <c r="R256" s="561">
        <v>691.4</v>
      </c>
      <c r="S256" s="562">
        <v>776</v>
      </c>
      <c r="T256" s="1"/>
    </row>
    <row r="257" spans="1:20" x14ac:dyDescent="0.25">
      <c r="A257" s="1"/>
      <c r="B257" s="1"/>
      <c r="C257" s="1"/>
      <c r="D257" s="1"/>
      <c r="E257" s="1"/>
      <c r="F257" s="1"/>
      <c r="G257" s="1"/>
      <c r="H257" s="1"/>
      <c r="I257" s="560">
        <v>14.03</v>
      </c>
      <c r="J257" s="561">
        <v>27</v>
      </c>
      <c r="K257" s="563">
        <v>91.9</v>
      </c>
      <c r="L257" s="561">
        <v>137.80000000000001</v>
      </c>
      <c r="M257" s="561">
        <v>183.7</v>
      </c>
      <c r="N257" s="561">
        <v>229.7</v>
      </c>
      <c r="O257" s="561">
        <v>275.60000000000002</v>
      </c>
      <c r="P257" s="561">
        <v>321.60000000000002</v>
      </c>
      <c r="Q257" s="561">
        <v>367.5</v>
      </c>
      <c r="R257" s="561">
        <v>413.4</v>
      </c>
      <c r="S257" s="562">
        <v>464</v>
      </c>
      <c r="T257" s="1"/>
    </row>
    <row r="258" spans="1:20" x14ac:dyDescent="0.25">
      <c r="A258" s="1"/>
      <c r="B258" s="1"/>
      <c r="C258" s="1"/>
      <c r="D258" s="1"/>
      <c r="E258" s="1"/>
      <c r="F258" s="1"/>
      <c r="G258" s="1"/>
      <c r="H258" s="1"/>
      <c r="I258" s="564">
        <v>16</v>
      </c>
      <c r="J258" s="561">
        <v>189</v>
      </c>
      <c r="K258" s="563">
        <v>497</v>
      </c>
      <c r="L258" s="561">
        <v>891.8</v>
      </c>
      <c r="M258" s="561">
        <v>1248</v>
      </c>
      <c r="N258" s="561">
        <v>1535.4</v>
      </c>
      <c r="O258" s="561">
        <v>1791.5</v>
      </c>
      <c r="P258" s="561">
        <v>1950</v>
      </c>
      <c r="Q258" s="561">
        <v>2063</v>
      </c>
      <c r="R258" s="561">
        <v>2161.6</v>
      </c>
      <c r="S258" s="562">
        <v>2215</v>
      </c>
      <c r="T258" s="1"/>
    </row>
    <row r="259" spans="1:20" x14ac:dyDescent="0.25">
      <c r="A259" s="1"/>
      <c r="B259" s="1"/>
      <c r="C259" s="1"/>
      <c r="D259" s="1"/>
      <c r="E259" s="1"/>
      <c r="F259" s="1"/>
      <c r="G259" s="1"/>
      <c r="H259" s="1"/>
      <c r="I259" s="560">
        <v>16.010000000000002</v>
      </c>
      <c r="J259" s="561">
        <v>101.3</v>
      </c>
      <c r="K259" s="563">
        <v>276.5</v>
      </c>
      <c r="L259" s="561">
        <v>448.1</v>
      </c>
      <c r="M259" s="561">
        <v>615</v>
      </c>
      <c r="N259" s="561">
        <v>779.1</v>
      </c>
      <c r="O259" s="561">
        <v>941.9</v>
      </c>
      <c r="P259" s="561">
        <v>1101.5999999999999</v>
      </c>
      <c r="Q259" s="561">
        <v>1255.7</v>
      </c>
      <c r="R259" s="561">
        <v>1398.9</v>
      </c>
      <c r="S259" s="562">
        <v>1530</v>
      </c>
      <c r="T259" s="1"/>
    </row>
    <row r="260" spans="1:20" x14ac:dyDescent="0.25">
      <c r="A260" s="1"/>
      <c r="B260" s="1"/>
      <c r="C260" s="1"/>
      <c r="D260" s="1"/>
      <c r="E260" s="1"/>
      <c r="F260" s="1"/>
      <c r="G260" s="1"/>
      <c r="H260" s="1"/>
      <c r="I260" s="560">
        <v>16.02</v>
      </c>
      <c r="J260" s="561">
        <v>71</v>
      </c>
      <c r="K260" s="563">
        <v>186.1</v>
      </c>
      <c r="L260" s="561">
        <v>279.2</v>
      </c>
      <c r="M260" s="561">
        <v>372.2</v>
      </c>
      <c r="N260" s="561">
        <v>465.3</v>
      </c>
      <c r="O260" s="561">
        <v>558.4</v>
      </c>
      <c r="P260" s="561">
        <v>651.4</v>
      </c>
      <c r="Q260" s="561">
        <v>744.5</v>
      </c>
      <c r="R260" s="561">
        <v>837.5</v>
      </c>
      <c r="S260" s="562">
        <v>940</v>
      </c>
      <c r="T260" s="1"/>
    </row>
    <row r="261" spans="1:20" x14ac:dyDescent="0.25">
      <c r="A261" s="1"/>
      <c r="B261" s="1"/>
      <c r="C261" s="1"/>
      <c r="D261" s="1"/>
      <c r="E261" s="1"/>
      <c r="F261" s="1"/>
      <c r="G261" s="1"/>
      <c r="H261" s="1"/>
      <c r="I261" s="560">
        <v>16.03</v>
      </c>
      <c r="J261" s="561">
        <v>47</v>
      </c>
      <c r="K261" s="563">
        <v>112.5</v>
      </c>
      <c r="L261" s="561">
        <v>168.7</v>
      </c>
      <c r="M261" s="561">
        <v>224.9</v>
      </c>
      <c r="N261" s="561">
        <v>281.2</v>
      </c>
      <c r="O261" s="561">
        <v>337.4</v>
      </c>
      <c r="P261" s="561">
        <v>393.6</v>
      </c>
      <c r="Q261" s="561">
        <v>449.9</v>
      </c>
      <c r="R261" s="561">
        <v>506.1</v>
      </c>
      <c r="S261" s="562">
        <v>568</v>
      </c>
      <c r="T261" s="1"/>
    </row>
    <row r="262" spans="1:20" x14ac:dyDescent="0.25">
      <c r="A262" s="1"/>
      <c r="B262" s="1"/>
      <c r="C262" s="1"/>
      <c r="D262" s="1"/>
      <c r="E262" s="1"/>
      <c r="F262" s="1"/>
      <c r="G262" s="1"/>
      <c r="H262" s="1"/>
      <c r="I262" s="564">
        <v>18</v>
      </c>
      <c r="J262" s="561">
        <v>230.4</v>
      </c>
      <c r="K262" s="563">
        <v>605.79999999999995</v>
      </c>
      <c r="L262" s="561">
        <v>1087.0999999999999</v>
      </c>
      <c r="M262" s="561">
        <v>1521.3</v>
      </c>
      <c r="N262" s="561">
        <v>1871.6</v>
      </c>
      <c r="O262" s="561">
        <v>2183.8000000000002</v>
      </c>
      <c r="P262" s="561">
        <v>2377</v>
      </c>
      <c r="Q262" s="561">
        <v>2514.6999999999998</v>
      </c>
      <c r="R262" s="561">
        <v>2634.9</v>
      </c>
      <c r="S262" s="562">
        <v>2700</v>
      </c>
      <c r="T262" s="1"/>
    </row>
    <row r="263" spans="1:20" x14ac:dyDescent="0.25">
      <c r="A263" s="1"/>
      <c r="B263" s="1"/>
      <c r="C263" s="1"/>
      <c r="D263" s="1"/>
      <c r="E263" s="1"/>
      <c r="F263" s="1"/>
      <c r="G263" s="1"/>
      <c r="H263" s="1"/>
      <c r="I263" s="560">
        <v>18.010000000000002</v>
      </c>
      <c r="J263" s="561">
        <v>125.8</v>
      </c>
      <c r="K263" s="563">
        <v>343.4</v>
      </c>
      <c r="L263" s="561">
        <v>556.4</v>
      </c>
      <c r="M263" s="561">
        <v>763.8</v>
      </c>
      <c r="N263" s="561">
        <v>967.6</v>
      </c>
      <c r="O263" s="561">
        <v>1169.7</v>
      </c>
      <c r="P263" s="561">
        <v>1368</v>
      </c>
      <c r="Q263" s="561">
        <v>1559.4</v>
      </c>
      <c r="R263" s="561">
        <v>1737.2</v>
      </c>
      <c r="S263" s="562">
        <v>1900</v>
      </c>
      <c r="T263" s="1"/>
    </row>
    <row r="264" spans="1:20" x14ac:dyDescent="0.25">
      <c r="A264" s="1"/>
      <c r="B264" s="1"/>
      <c r="C264" s="1"/>
      <c r="D264" s="1"/>
      <c r="E264" s="1"/>
      <c r="F264" s="1"/>
      <c r="G264" s="1"/>
      <c r="H264" s="1"/>
      <c r="I264" s="560">
        <v>18.02</v>
      </c>
      <c r="J264" s="561">
        <v>86.1</v>
      </c>
      <c r="K264" s="563">
        <v>225.7</v>
      </c>
      <c r="L264" s="561">
        <v>338.6</v>
      </c>
      <c r="M264" s="561">
        <v>451.4</v>
      </c>
      <c r="N264" s="561">
        <v>564.29999999999995</v>
      </c>
      <c r="O264" s="561">
        <v>677.2</v>
      </c>
      <c r="P264" s="561">
        <v>790</v>
      </c>
      <c r="Q264" s="561">
        <v>902.9</v>
      </c>
      <c r="R264" s="561">
        <v>1015.7</v>
      </c>
      <c r="S264" s="562">
        <v>1140</v>
      </c>
      <c r="T264" s="1"/>
    </row>
    <row r="265" spans="1:20" x14ac:dyDescent="0.25">
      <c r="A265" s="1"/>
      <c r="B265" s="1"/>
      <c r="C265" s="1"/>
      <c r="D265" s="1"/>
      <c r="E265" s="1"/>
      <c r="F265" s="1"/>
      <c r="G265" s="1"/>
      <c r="H265" s="1"/>
      <c r="I265" s="560">
        <v>18.03</v>
      </c>
      <c r="J265" s="561">
        <v>56.3</v>
      </c>
      <c r="K265" s="563">
        <v>134.6</v>
      </c>
      <c r="L265" s="561">
        <v>202</v>
      </c>
      <c r="M265" s="561">
        <v>269.3</v>
      </c>
      <c r="N265" s="561">
        <v>336.6</v>
      </c>
      <c r="O265" s="561">
        <v>403.9</v>
      </c>
      <c r="P265" s="561">
        <v>471.2</v>
      </c>
      <c r="Q265" s="561">
        <v>538.6</v>
      </c>
      <c r="R265" s="561">
        <v>605.9</v>
      </c>
      <c r="S265" s="562">
        <v>680</v>
      </c>
      <c r="T265" s="1"/>
    </row>
    <row r="266" spans="1:20" x14ac:dyDescent="0.25">
      <c r="A266" s="1"/>
      <c r="B266" s="1"/>
      <c r="C266" s="1"/>
      <c r="D266" s="1"/>
      <c r="E266" s="1"/>
      <c r="F266" s="1"/>
      <c r="G266" s="1"/>
      <c r="H266" s="1"/>
      <c r="I266" s="564">
        <v>20</v>
      </c>
      <c r="J266" s="561">
        <v>307.2</v>
      </c>
      <c r="K266" s="563">
        <v>807.8</v>
      </c>
      <c r="L266" s="561">
        <v>1449.4</v>
      </c>
      <c r="M266" s="561">
        <v>2028.4</v>
      </c>
      <c r="N266" s="561">
        <v>2495.5</v>
      </c>
      <c r="O266" s="561">
        <v>2911.7</v>
      </c>
      <c r="P266" s="561">
        <v>3169.3</v>
      </c>
      <c r="Q266" s="561">
        <v>3353</v>
      </c>
      <c r="R266" s="561">
        <v>3513.2</v>
      </c>
      <c r="S266" s="562">
        <v>3600</v>
      </c>
      <c r="T266" s="1"/>
    </row>
    <row r="267" spans="1:20" x14ac:dyDescent="0.25">
      <c r="A267" s="1"/>
      <c r="B267" s="1"/>
      <c r="C267" s="1"/>
      <c r="D267" s="1"/>
      <c r="E267" s="1"/>
      <c r="F267" s="1"/>
      <c r="G267" s="1"/>
      <c r="H267" s="1"/>
      <c r="I267" s="560">
        <v>20.010000000000002</v>
      </c>
      <c r="J267" s="561">
        <v>165.5</v>
      </c>
      <c r="K267" s="563">
        <v>451.8</v>
      </c>
      <c r="L267" s="561">
        <v>732.1</v>
      </c>
      <c r="M267" s="561">
        <v>1005</v>
      </c>
      <c r="N267" s="561">
        <v>1273.0999999999999</v>
      </c>
      <c r="O267" s="561">
        <v>1539</v>
      </c>
      <c r="P267" s="561">
        <v>1800</v>
      </c>
      <c r="Q267" s="561">
        <v>2051.8000000000002</v>
      </c>
      <c r="R267" s="561">
        <v>2285.8000000000002</v>
      </c>
      <c r="S267" s="562">
        <v>2500</v>
      </c>
      <c r="T267" s="1"/>
    </row>
    <row r="268" spans="1:20" x14ac:dyDescent="0.25">
      <c r="A268" s="1"/>
      <c r="B268" s="1"/>
      <c r="C268" s="1"/>
      <c r="D268" s="1"/>
      <c r="E268" s="1"/>
      <c r="F268" s="1"/>
      <c r="G268" s="1"/>
      <c r="H268" s="1"/>
      <c r="I268" s="560">
        <v>20.02</v>
      </c>
      <c r="J268" s="561">
        <v>113.3</v>
      </c>
      <c r="K268" s="563">
        <v>297</v>
      </c>
      <c r="L268" s="561">
        <v>445.5</v>
      </c>
      <c r="M268" s="561">
        <v>594</v>
      </c>
      <c r="N268" s="561">
        <v>742.5</v>
      </c>
      <c r="O268" s="561">
        <v>891</v>
      </c>
      <c r="P268" s="561">
        <v>1039.5</v>
      </c>
      <c r="Q268" s="561">
        <v>1188</v>
      </c>
      <c r="R268" s="561">
        <v>1336.5</v>
      </c>
      <c r="S268" s="562">
        <v>1500</v>
      </c>
      <c r="T268" s="1"/>
    </row>
    <row r="269" spans="1:20" x14ac:dyDescent="0.25">
      <c r="A269" s="1"/>
      <c r="B269" s="1"/>
      <c r="C269" s="1"/>
      <c r="D269" s="1"/>
      <c r="E269" s="1"/>
      <c r="F269" s="1"/>
      <c r="G269" s="1"/>
      <c r="H269" s="1"/>
      <c r="I269" s="560">
        <v>20.03</v>
      </c>
      <c r="J269" s="561">
        <v>74.5</v>
      </c>
      <c r="K269" s="563">
        <v>178.2</v>
      </c>
      <c r="L269" s="561">
        <v>267.3</v>
      </c>
      <c r="M269" s="561">
        <v>356.4</v>
      </c>
      <c r="N269" s="561">
        <v>445.5</v>
      </c>
      <c r="O269" s="561">
        <v>534.6</v>
      </c>
      <c r="P269" s="561">
        <v>623.70000000000005</v>
      </c>
      <c r="Q269" s="561">
        <v>712.8</v>
      </c>
      <c r="R269" s="561">
        <v>801.9</v>
      </c>
      <c r="S269" s="562">
        <v>900</v>
      </c>
      <c r="T269" s="1"/>
    </row>
    <row r="270" spans="1:20" x14ac:dyDescent="0.25">
      <c r="A270" s="1"/>
      <c r="B270" s="1"/>
      <c r="C270" s="1"/>
      <c r="D270" s="1"/>
      <c r="E270" s="1"/>
      <c r="F270" s="1"/>
      <c r="G270" s="1"/>
      <c r="H270" s="1"/>
      <c r="I270" s="564">
        <v>24</v>
      </c>
      <c r="J270" s="561">
        <v>443.7</v>
      </c>
      <c r="K270" s="563">
        <v>1166.8</v>
      </c>
      <c r="L270" s="561">
        <v>2093.6</v>
      </c>
      <c r="M270" s="561">
        <v>2929.8</v>
      </c>
      <c r="N270" s="561">
        <v>3604.6</v>
      </c>
      <c r="O270" s="561">
        <v>4205.8</v>
      </c>
      <c r="P270" s="561">
        <v>4577.8999999999996</v>
      </c>
      <c r="Q270" s="561">
        <v>4843.2</v>
      </c>
      <c r="R270" s="561">
        <v>5074.6000000000004</v>
      </c>
      <c r="S270" s="562">
        <v>5200</v>
      </c>
      <c r="T270" s="1"/>
    </row>
    <row r="271" spans="1:20" x14ac:dyDescent="0.25">
      <c r="A271" s="1"/>
      <c r="B271" s="1"/>
      <c r="C271" s="1"/>
      <c r="D271" s="1"/>
      <c r="E271" s="1"/>
      <c r="F271" s="1"/>
      <c r="G271" s="1"/>
      <c r="H271" s="1"/>
      <c r="I271" s="560">
        <v>24.01</v>
      </c>
      <c r="J271" s="561">
        <v>241.6</v>
      </c>
      <c r="K271" s="563">
        <v>659.6</v>
      </c>
      <c r="L271" s="561">
        <v>1068.9000000000001</v>
      </c>
      <c r="M271" s="561">
        <v>1467.3</v>
      </c>
      <c r="N271" s="561">
        <v>1858.7</v>
      </c>
      <c r="O271" s="561">
        <v>2247</v>
      </c>
      <c r="P271" s="561">
        <v>2628</v>
      </c>
      <c r="Q271" s="561">
        <v>2995.6</v>
      </c>
      <c r="R271" s="561">
        <v>3337.2</v>
      </c>
      <c r="S271" s="562">
        <v>3650</v>
      </c>
      <c r="T271" s="1"/>
    </row>
    <row r="272" spans="1:20" x14ac:dyDescent="0.25">
      <c r="A272" s="1"/>
      <c r="B272" s="1"/>
      <c r="C272" s="1"/>
      <c r="D272" s="1"/>
      <c r="E272" s="1"/>
      <c r="F272" s="1"/>
      <c r="G272" s="1"/>
      <c r="H272" s="1"/>
      <c r="I272" s="560">
        <v>24.02</v>
      </c>
      <c r="J272" s="561">
        <v>166.2</v>
      </c>
      <c r="K272" s="563">
        <v>435.6</v>
      </c>
      <c r="L272" s="561">
        <v>653.4</v>
      </c>
      <c r="M272" s="561">
        <v>871.2</v>
      </c>
      <c r="N272" s="561">
        <v>1089</v>
      </c>
      <c r="O272" s="561">
        <v>1306.8</v>
      </c>
      <c r="P272" s="561">
        <v>1524.6</v>
      </c>
      <c r="Q272" s="561">
        <v>1742.4</v>
      </c>
      <c r="R272" s="561">
        <v>1960.2</v>
      </c>
      <c r="S272" s="562">
        <v>2200</v>
      </c>
      <c r="T272" s="1"/>
    </row>
    <row r="273" spans="1:20" ht="13.8" thickBot="1" x14ac:dyDescent="0.3">
      <c r="A273" s="1"/>
      <c r="B273" s="1"/>
      <c r="C273" s="1"/>
      <c r="D273" s="1"/>
      <c r="E273" s="1"/>
      <c r="F273" s="1"/>
      <c r="G273" s="1"/>
      <c r="H273" s="1"/>
      <c r="I273" s="565">
        <v>24.03</v>
      </c>
      <c r="J273" s="566">
        <v>107.6</v>
      </c>
      <c r="K273" s="567">
        <v>257.39999999999998</v>
      </c>
      <c r="L273" s="566">
        <v>386.1</v>
      </c>
      <c r="M273" s="566">
        <v>514.79999999999995</v>
      </c>
      <c r="N273" s="566">
        <v>643.5</v>
      </c>
      <c r="O273" s="566">
        <v>772.2</v>
      </c>
      <c r="P273" s="566">
        <v>900.9</v>
      </c>
      <c r="Q273" s="566">
        <v>1029.5999999999999</v>
      </c>
      <c r="R273" s="566">
        <v>1158.3</v>
      </c>
      <c r="S273" s="568">
        <v>1300</v>
      </c>
      <c r="T273" s="1"/>
    </row>
    <row r="274" spans="1:20" ht="13.8" thickTop="1" x14ac:dyDescent="0.25">
      <c r="A274" s="1"/>
      <c r="B274" s="1"/>
      <c r="C274" s="1"/>
      <c r="D274" s="1"/>
      <c r="E274" s="1"/>
      <c r="F274" s="1"/>
      <c r="G274" s="1"/>
      <c r="H274" s="1"/>
      <c r="I274" s="1"/>
      <c r="J274" s="1"/>
      <c r="K274" s="1"/>
      <c r="L274" s="1"/>
      <c r="M274" s="1"/>
      <c r="N274" s="1"/>
      <c r="O274" s="1"/>
      <c r="P274" s="1"/>
      <c r="Q274" s="1"/>
      <c r="R274" s="1"/>
      <c r="S274" s="1"/>
      <c r="T274" s="1"/>
    </row>
    <row r="275" spans="1:20" x14ac:dyDescent="0.25">
      <c r="A275" s="1"/>
      <c r="B275" s="1"/>
      <c r="C275" s="1"/>
      <c r="D275" s="1"/>
      <c r="E275" s="1"/>
      <c r="F275" s="1"/>
      <c r="G275" s="1"/>
      <c r="H275" s="1"/>
      <c r="I275" s="1"/>
      <c r="J275" s="1"/>
      <c r="K275" s="1"/>
      <c r="L275" s="1"/>
      <c r="M275" s="1"/>
      <c r="N275" s="1"/>
      <c r="O275" s="1"/>
      <c r="P275" s="1"/>
      <c r="Q275" s="1"/>
      <c r="R275" s="1"/>
      <c r="S275" s="1"/>
      <c r="T275" s="1"/>
    </row>
    <row r="276" spans="1:20" x14ac:dyDescent="0.25">
      <c r="A276" s="1"/>
      <c r="B276" s="1"/>
      <c r="C276" s="1"/>
      <c r="D276" s="1"/>
      <c r="E276" s="1"/>
      <c r="F276" s="1"/>
      <c r="G276" s="1"/>
      <c r="H276" s="1"/>
      <c r="I276" s="1"/>
      <c r="J276" s="1"/>
      <c r="K276" s="1"/>
      <c r="L276" s="1"/>
      <c r="M276" s="1"/>
      <c r="N276" s="1"/>
      <c r="O276" s="1"/>
      <c r="P276" s="1"/>
      <c r="Q276" s="1"/>
      <c r="R276" s="1"/>
      <c r="S276" s="1"/>
      <c r="T276" s="1"/>
    </row>
    <row r="277" spans="1:20" x14ac:dyDescent="0.25">
      <c r="A277" s="1"/>
      <c r="B277" s="1"/>
      <c r="C277" s="1"/>
      <c r="D277" s="1"/>
      <c r="E277" s="1"/>
      <c r="F277" s="1"/>
      <c r="G277" s="1"/>
      <c r="H277" s="1"/>
      <c r="I277" s="1"/>
      <c r="J277" s="1"/>
      <c r="K277" s="1"/>
      <c r="L277" s="1"/>
      <c r="M277" s="1"/>
      <c r="N277" s="1"/>
      <c r="O277" s="1"/>
      <c r="P277" s="1"/>
      <c r="Q277" s="1"/>
      <c r="R277" s="1"/>
      <c r="S277" s="1"/>
      <c r="T277" s="1"/>
    </row>
    <row r="278" spans="1:20" x14ac:dyDescent="0.25">
      <c r="A278" s="1"/>
      <c r="B278" s="1"/>
      <c r="C278" s="1"/>
      <c r="D278" s="1"/>
      <c r="E278" s="13" t="s">
        <v>694</v>
      </c>
      <c r="F278" s="1"/>
      <c r="G278" s="1"/>
      <c r="H278" s="1"/>
      <c r="I278" s="13" t="s">
        <v>609</v>
      </c>
      <c r="J278" s="442" t="s">
        <v>695</v>
      </c>
      <c r="K278" s="414"/>
      <c r="L278" s="414"/>
      <c r="M278" s="442" t="s">
        <v>608</v>
      </c>
      <c r="N278" s="414"/>
      <c r="O278" s="414"/>
      <c r="P278" s="414"/>
      <c r="Q278" s="414"/>
      <c r="R278" s="414"/>
      <c r="S278" s="1"/>
      <c r="T278" s="414"/>
    </row>
    <row r="279" spans="1:20" ht="13.8" x14ac:dyDescent="0.25">
      <c r="A279" s="1"/>
      <c r="B279" s="1"/>
      <c r="C279" s="1"/>
      <c r="D279" s="1"/>
      <c r="E279" s="13"/>
      <c r="F279" s="1"/>
      <c r="G279" s="1"/>
      <c r="H279" s="21"/>
      <c r="I279" s="414"/>
      <c r="J279" s="416">
        <v>10</v>
      </c>
      <c r="K279" s="410">
        <v>20</v>
      </c>
      <c r="L279" s="410">
        <v>30</v>
      </c>
      <c r="M279" s="410">
        <v>40</v>
      </c>
      <c r="N279" s="410">
        <v>50</v>
      </c>
      <c r="O279" s="410">
        <v>60</v>
      </c>
      <c r="P279" s="410">
        <v>70</v>
      </c>
      <c r="Q279" s="410">
        <v>80</v>
      </c>
      <c r="R279" s="410">
        <v>90</v>
      </c>
      <c r="S279" s="410">
        <v>100</v>
      </c>
      <c r="T279" s="1"/>
    </row>
    <row r="280" spans="1:20" ht="13.8" thickBot="1" x14ac:dyDescent="0.3">
      <c r="A280" s="1"/>
      <c r="B280" s="1"/>
      <c r="C280" s="1"/>
      <c r="D280" s="1"/>
      <c r="E280" s="8" t="s">
        <v>689</v>
      </c>
      <c r="F280" s="1"/>
      <c r="G280" s="1"/>
      <c r="H280" s="21"/>
      <c r="I280" s="447" t="s">
        <v>607</v>
      </c>
      <c r="J280" s="1"/>
      <c r="K280" s="1"/>
      <c r="L280" s="1"/>
      <c r="M280" s="13" t="s">
        <v>602</v>
      </c>
      <c r="N280" s="1"/>
      <c r="O280" s="1"/>
      <c r="P280" s="1"/>
      <c r="Q280" s="1"/>
      <c r="R280" s="1"/>
      <c r="S280" s="1"/>
      <c r="T280" s="1"/>
    </row>
    <row r="281" spans="1:20" ht="13.8" thickTop="1" x14ac:dyDescent="0.25">
      <c r="A281" s="1"/>
      <c r="B281" s="1"/>
      <c r="C281" s="1"/>
      <c r="D281" s="1"/>
      <c r="E281" s="8" t="s">
        <v>696</v>
      </c>
      <c r="F281" s="1"/>
      <c r="G281" s="1"/>
      <c r="H281" s="1"/>
      <c r="I281" s="573">
        <v>0.5</v>
      </c>
      <c r="J281" s="484">
        <v>0.16400000000000001</v>
      </c>
      <c r="K281" s="484">
        <v>0.35499999999999998</v>
      </c>
      <c r="L281" s="484">
        <v>0.56200000000000006</v>
      </c>
      <c r="M281" s="484">
        <v>0.88800000000000001</v>
      </c>
      <c r="N281" s="484">
        <v>1.3779999999999999</v>
      </c>
      <c r="O281" s="484">
        <v>2.1629999999999998</v>
      </c>
      <c r="P281" s="484">
        <v>3.4169999999999998</v>
      </c>
      <c r="Q281" s="484">
        <v>4.8419999999999996</v>
      </c>
      <c r="R281" s="484">
        <v>6.4409999999999998</v>
      </c>
      <c r="S281" s="485">
        <v>7</v>
      </c>
      <c r="T281" s="1"/>
    </row>
    <row r="282" spans="1:20" x14ac:dyDescent="0.25">
      <c r="A282" s="1"/>
      <c r="B282" s="1"/>
      <c r="C282" s="1"/>
      <c r="D282" s="1"/>
      <c r="E282" s="8" t="s">
        <v>691</v>
      </c>
      <c r="F282" s="1"/>
      <c r="G282" s="1"/>
      <c r="H282" s="1"/>
      <c r="I282" s="574">
        <v>0.501</v>
      </c>
      <c r="J282" s="14">
        <v>5.7000000000000002E-2</v>
      </c>
      <c r="K282" s="14">
        <v>0.159</v>
      </c>
      <c r="L282" s="14">
        <v>0.307</v>
      </c>
      <c r="M282" s="14">
        <v>0.48799999999999999</v>
      </c>
      <c r="N282" s="14">
        <v>0.78</v>
      </c>
      <c r="O282" s="14">
        <v>1.456</v>
      </c>
      <c r="P282" s="14">
        <v>2.173</v>
      </c>
      <c r="Q282" s="14">
        <v>2.8839999999999999</v>
      </c>
      <c r="R282" s="14">
        <v>3.5329999999999999</v>
      </c>
      <c r="S282" s="481">
        <v>4</v>
      </c>
      <c r="T282" s="1"/>
    </row>
    <row r="283" spans="1:20" x14ac:dyDescent="0.25">
      <c r="A283" s="1"/>
      <c r="B283" s="1"/>
      <c r="C283" s="1"/>
      <c r="D283" s="1"/>
      <c r="E283" s="1"/>
      <c r="F283" s="1"/>
      <c r="G283" s="1"/>
      <c r="H283" s="1"/>
      <c r="I283" s="574">
        <v>0.502</v>
      </c>
      <c r="J283" s="14">
        <v>8.3000000000000004E-2</v>
      </c>
      <c r="K283" s="14">
        <v>0.155</v>
      </c>
      <c r="L283" s="14">
        <v>0.22800000000000001</v>
      </c>
      <c r="M283" s="14">
        <v>0.33600000000000002</v>
      </c>
      <c r="N283" s="14">
        <v>0.58499999999999996</v>
      </c>
      <c r="O283" s="14">
        <v>0.94099999999999995</v>
      </c>
      <c r="P283" s="14">
        <v>1.37</v>
      </c>
      <c r="Q283" s="14">
        <v>1.702</v>
      </c>
      <c r="R283" s="14">
        <v>2.0049999999999999</v>
      </c>
      <c r="S283" s="481">
        <v>2.2999999999999998</v>
      </c>
      <c r="T283" s="1"/>
    </row>
    <row r="284" spans="1:20" x14ac:dyDescent="0.25">
      <c r="A284" s="1"/>
      <c r="B284" s="1"/>
      <c r="C284" s="1"/>
      <c r="D284" s="1"/>
      <c r="E284" s="1"/>
      <c r="F284" s="1"/>
      <c r="G284" s="1"/>
      <c r="H284" s="1"/>
      <c r="I284" s="574">
        <v>0.503</v>
      </c>
      <c r="J284" s="14">
        <v>4.8000000000000001E-2</v>
      </c>
      <c r="K284" s="14">
        <v>9.1999999999999998E-2</v>
      </c>
      <c r="L284" s="14">
        <v>0.13700000000000001</v>
      </c>
      <c r="M284" s="14">
        <v>0.20200000000000001</v>
      </c>
      <c r="N284" s="14">
        <v>0.35</v>
      </c>
      <c r="O284" s="14">
        <v>0.56000000000000005</v>
      </c>
      <c r="P284" s="14">
        <v>0.81799999999999995</v>
      </c>
      <c r="Q284" s="14">
        <v>1.113</v>
      </c>
      <c r="R284" s="14">
        <v>1.329</v>
      </c>
      <c r="S284" s="481">
        <v>1.5</v>
      </c>
      <c r="T284" s="1"/>
    </row>
    <row r="285" spans="1:20" x14ac:dyDescent="0.25">
      <c r="A285" s="1"/>
      <c r="B285" s="1"/>
      <c r="C285" s="1"/>
      <c r="D285" s="1"/>
      <c r="E285" s="1"/>
      <c r="F285" s="1"/>
      <c r="G285" s="1"/>
      <c r="H285" s="1"/>
      <c r="I285" s="574">
        <v>0.504</v>
      </c>
      <c r="J285" s="14">
        <v>0.02</v>
      </c>
      <c r="K285" s="14">
        <v>3.6999999999999998E-2</v>
      </c>
      <c r="L285" s="14">
        <v>5.7000000000000002E-2</v>
      </c>
      <c r="M285" s="14">
        <v>8.3000000000000004E-2</v>
      </c>
      <c r="N285" s="14">
        <v>0.161</v>
      </c>
      <c r="O285" s="14">
        <v>0.28000000000000003</v>
      </c>
      <c r="P285" s="14">
        <v>0.41299999999999998</v>
      </c>
      <c r="Q285" s="14">
        <v>0.53800000000000003</v>
      </c>
      <c r="R285" s="14">
        <v>0.65600000000000003</v>
      </c>
      <c r="S285" s="481">
        <v>0.8</v>
      </c>
      <c r="T285" s="1"/>
    </row>
    <row r="286" spans="1:20" x14ac:dyDescent="0.25">
      <c r="A286" s="1"/>
      <c r="B286" s="1"/>
      <c r="C286" s="1"/>
      <c r="D286" s="1"/>
      <c r="E286" s="1"/>
      <c r="F286" s="1"/>
      <c r="G286" s="1"/>
      <c r="H286" s="1"/>
      <c r="I286" s="574">
        <v>0.505</v>
      </c>
      <c r="J286" s="14">
        <v>8.9999999999999993E-3</v>
      </c>
      <c r="K286" s="14">
        <v>2.1999999999999999E-2</v>
      </c>
      <c r="L286" s="14">
        <v>3.5000000000000003E-2</v>
      </c>
      <c r="M286" s="14">
        <v>5.3999999999999999E-2</v>
      </c>
      <c r="N286" s="14">
        <v>9.6000000000000002E-2</v>
      </c>
      <c r="O286" s="14">
        <v>0.16800000000000001</v>
      </c>
      <c r="P286" s="14">
        <v>0.253</v>
      </c>
      <c r="Q286" s="14">
        <v>0.33400000000000002</v>
      </c>
      <c r="R286" s="14">
        <v>0.41399999999999998</v>
      </c>
      <c r="S286" s="481">
        <v>0.5</v>
      </c>
      <c r="T286" s="1"/>
    </row>
    <row r="287" spans="1:20" x14ac:dyDescent="0.25">
      <c r="A287" s="1"/>
      <c r="B287" s="1"/>
      <c r="C287" s="1"/>
      <c r="D287" s="1"/>
      <c r="E287" s="1"/>
      <c r="F287" s="1"/>
      <c r="G287" s="1"/>
      <c r="H287" s="1"/>
      <c r="I287" s="574">
        <v>0.50600000000000001</v>
      </c>
      <c r="J287" s="14">
        <v>5.0000000000000001E-3</v>
      </c>
      <c r="K287" s="14">
        <v>1.0999999999999999E-2</v>
      </c>
      <c r="L287" s="14">
        <v>0.02</v>
      </c>
      <c r="M287" s="14">
        <v>3.3000000000000002E-2</v>
      </c>
      <c r="N287" s="14">
        <v>6.3E-2</v>
      </c>
      <c r="O287" s="14">
        <v>0.105</v>
      </c>
      <c r="P287" s="14">
        <v>0.15</v>
      </c>
      <c r="Q287" s="14">
        <v>0.19700000000000001</v>
      </c>
      <c r="R287" s="14">
        <v>0.245</v>
      </c>
      <c r="S287" s="481">
        <v>0.3</v>
      </c>
      <c r="T287" s="1"/>
    </row>
    <row r="288" spans="1:20" x14ac:dyDescent="0.25">
      <c r="A288" s="1"/>
      <c r="B288" s="1"/>
      <c r="C288" s="1"/>
      <c r="D288" s="1"/>
      <c r="E288" s="1"/>
      <c r="F288" s="1"/>
      <c r="G288" s="1"/>
      <c r="H288" s="1"/>
      <c r="I288" s="574">
        <v>0.75</v>
      </c>
      <c r="J288" s="14">
        <v>0.23899999999999999</v>
      </c>
      <c r="K288" s="14">
        <v>0.45200000000000001</v>
      </c>
      <c r="L288" s="14">
        <v>0.66800000000000004</v>
      </c>
      <c r="M288" s="14">
        <v>1.069</v>
      </c>
      <c r="N288" s="14">
        <v>1.849</v>
      </c>
      <c r="O288" s="14">
        <v>2.9279999999999999</v>
      </c>
      <c r="P288" s="14">
        <v>4.0220000000000002</v>
      </c>
      <c r="Q288" s="14">
        <v>5.2290000000000001</v>
      </c>
      <c r="R288" s="14">
        <v>7.1310000000000002</v>
      </c>
      <c r="S288" s="481">
        <v>9</v>
      </c>
      <c r="T288" s="1"/>
    </row>
    <row r="289" spans="1:20" x14ac:dyDescent="0.25">
      <c r="A289" s="1"/>
      <c r="B289" s="1"/>
      <c r="C289" s="1"/>
      <c r="D289" s="1"/>
      <c r="E289" s="1"/>
      <c r="F289" s="1"/>
      <c r="G289" s="1"/>
      <c r="H289" s="1"/>
      <c r="I289" s="574">
        <v>0.751</v>
      </c>
      <c r="J289" s="14">
        <v>5.7000000000000002E-2</v>
      </c>
      <c r="K289" s="14">
        <v>0.19800000000000001</v>
      </c>
      <c r="L289" s="14">
        <v>0.39900000000000002</v>
      </c>
      <c r="M289" s="14">
        <v>0.66900000000000004</v>
      </c>
      <c r="N289" s="14">
        <v>1.109</v>
      </c>
      <c r="O289" s="14">
        <v>1.7849999999999999</v>
      </c>
      <c r="P289" s="14">
        <v>2.7869999999999999</v>
      </c>
      <c r="Q289" s="14">
        <v>3.7120000000000002</v>
      </c>
      <c r="R289" s="14">
        <v>4.7389999999999999</v>
      </c>
      <c r="S289" s="481">
        <v>5.5</v>
      </c>
      <c r="T289" s="1"/>
    </row>
    <row r="290" spans="1:20" x14ac:dyDescent="0.25">
      <c r="A290" s="1"/>
      <c r="B290" s="1"/>
      <c r="C290" s="1"/>
      <c r="D290" s="1"/>
      <c r="E290" s="1"/>
      <c r="F290" s="1"/>
      <c r="G290" s="1"/>
      <c r="H290" s="1"/>
      <c r="I290" s="574">
        <v>0.752</v>
      </c>
      <c r="J290" s="14">
        <v>0.05</v>
      </c>
      <c r="K290" s="14">
        <v>0.16900000000000001</v>
      </c>
      <c r="L290" s="14">
        <v>0.27600000000000002</v>
      </c>
      <c r="M290" s="14">
        <v>0.45300000000000001</v>
      </c>
      <c r="N290" s="14">
        <v>0.77600000000000002</v>
      </c>
      <c r="O290" s="14">
        <v>1.204</v>
      </c>
      <c r="P290" s="14">
        <v>1.802</v>
      </c>
      <c r="Q290" s="14">
        <v>2.3519999999999999</v>
      </c>
      <c r="R290" s="14">
        <v>2.7229999999999999</v>
      </c>
      <c r="S290" s="481">
        <v>3</v>
      </c>
      <c r="T290" s="1"/>
    </row>
    <row r="291" spans="1:20" x14ac:dyDescent="0.25">
      <c r="A291" s="1"/>
      <c r="B291" s="1"/>
      <c r="C291" s="1"/>
      <c r="D291" s="1"/>
      <c r="E291" s="1"/>
      <c r="F291" s="1"/>
      <c r="G291" s="1"/>
      <c r="H291" s="1"/>
      <c r="I291" s="574">
        <v>0.753</v>
      </c>
      <c r="J291" s="14">
        <v>4.3999999999999997E-2</v>
      </c>
      <c r="K291" s="14">
        <v>9.2999999999999999E-2</v>
      </c>
      <c r="L291" s="14">
        <v>0.15</v>
      </c>
      <c r="M291" s="14">
        <v>0.214</v>
      </c>
      <c r="N291" s="14">
        <v>0.40500000000000003</v>
      </c>
      <c r="O291" s="14">
        <v>0.68400000000000005</v>
      </c>
      <c r="P291" s="14">
        <v>0.999</v>
      </c>
      <c r="Q291" s="14">
        <v>1.2989999999999999</v>
      </c>
      <c r="R291" s="14">
        <v>1.667</v>
      </c>
      <c r="S291" s="481">
        <v>2</v>
      </c>
      <c r="T291" s="1"/>
    </row>
    <row r="292" spans="1:20" x14ac:dyDescent="0.25">
      <c r="A292" s="1"/>
      <c r="B292" s="1"/>
      <c r="C292" s="1"/>
      <c r="D292" s="1"/>
      <c r="E292" s="1"/>
      <c r="F292" s="1"/>
      <c r="G292" s="1"/>
      <c r="H292" s="1"/>
      <c r="I292" s="574">
        <v>0.754</v>
      </c>
      <c r="J292" s="14">
        <v>3.4000000000000002E-2</v>
      </c>
      <c r="K292" s="14">
        <v>6.0999999999999999E-2</v>
      </c>
      <c r="L292" s="14">
        <v>8.5999999999999993E-2</v>
      </c>
      <c r="M292" s="14">
        <v>0.13100000000000001</v>
      </c>
      <c r="N292" s="14">
        <v>0.248</v>
      </c>
      <c r="O292" s="14">
        <v>0.41799999999999998</v>
      </c>
      <c r="P292" s="14">
        <v>0.62</v>
      </c>
      <c r="Q292" s="14">
        <v>0.81699999999999995</v>
      </c>
      <c r="R292" s="14">
        <v>1.0109999999999999</v>
      </c>
      <c r="S292" s="481">
        <v>1.2</v>
      </c>
      <c r="T292" s="1"/>
    </row>
    <row r="293" spans="1:20" x14ac:dyDescent="0.25">
      <c r="A293" s="1"/>
      <c r="B293" s="1"/>
      <c r="C293" s="1"/>
      <c r="D293" s="1"/>
      <c r="E293" s="1"/>
      <c r="F293" s="1"/>
      <c r="G293" s="1"/>
      <c r="H293" s="1"/>
      <c r="I293" s="574">
        <v>0.755</v>
      </c>
      <c r="J293" s="14">
        <v>1.2E-2</v>
      </c>
      <c r="K293" s="14">
        <v>2.9000000000000001E-2</v>
      </c>
      <c r="L293" s="14">
        <v>5.0999999999999997E-2</v>
      </c>
      <c r="M293" s="14">
        <v>8.2000000000000003E-2</v>
      </c>
      <c r="N293" s="14">
        <v>0.14199999999999999</v>
      </c>
      <c r="O293" s="14">
        <v>0.23400000000000001</v>
      </c>
      <c r="P293" s="14">
        <v>0.34</v>
      </c>
      <c r="Q293" s="14">
        <v>0.45100000000000001</v>
      </c>
      <c r="R293" s="14">
        <v>0.57999999999999996</v>
      </c>
      <c r="S293" s="481">
        <v>0.7</v>
      </c>
      <c r="T293" s="1"/>
    </row>
    <row r="294" spans="1:20" x14ac:dyDescent="0.25">
      <c r="A294" s="1"/>
      <c r="B294" s="1"/>
      <c r="C294" s="1"/>
      <c r="D294" s="1"/>
      <c r="E294" s="1"/>
      <c r="F294" s="1"/>
      <c r="G294" s="1"/>
      <c r="H294" s="1"/>
      <c r="I294" s="574">
        <v>0.75600000000000001</v>
      </c>
      <c r="J294" s="14">
        <v>8.9999999999999993E-3</v>
      </c>
      <c r="K294" s="14">
        <v>1.9E-2</v>
      </c>
      <c r="L294" s="14">
        <v>0.03</v>
      </c>
      <c r="M294" s="14">
        <v>4.3999999999999997E-2</v>
      </c>
      <c r="N294" s="14">
        <v>8.2000000000000003E-2</v>
      </c>
      <c r="O294" s="14">
        <v>0.14099999999999999</v>
      </c>
      <c r="P294" s="14">
        <v>0.20699999999999999</v>
      </c>
      <c r="Q294" s="14">
        <v>0.27100000000000002</v>
      </c>
      <c r="R294" s="14">
        <v>0.33300000000000002</v>
      </c>
      <c r="S294" s="481">
        <v>0.4</v>
      </c>
      <c r="T294" s="1"/>
    </row>
    <row r="295" spans="1:20" x14ac:dyDescent="0.25">
      <c r="A295" s="1"/>
      <c r="B295" s="1"/>
      <c r="C295" s="1"/>
      <c r="D295" s="1"/>
      <c r="E295" s="1"/>
      <c r="F295" s="1"/>
      <c r="G295" s="1"/>
      <c r="H295" s="1"/>
      <c r="I295" s="574">
        <v>1</v>
      </c>
      <c r="J295" s="14">
        <v>0.26800000000000002</v>
      </c>
      <c r="K295" s="14">
        <v>0.56799999999999995</v>
      </c>
      <c r="L295" s="14">
        <v>0.91300000000000003</v>
      </c>
      <c r="M295" s="14">
        <v>1.5489999999999999</v>
      </c>
      <c r="N295" s="14">
        <v>2.754</v>
      </c>
      <c r="O295" s="14">
        <v>4.657</v>
      </c>
      <c r="P295" s="14">
        <v>7.0750000000000002</v>
      </c>
      <c r="Q295" s="14">
        <v>9.4870000000000001</v>
      </c>
      <c r="R295" s="14">
        <v>11.625999999999999</v>
      </c>
      <c r="S295" s="481">
        <v>13.5</v>
      </c>
      <c r="T295" s="1"/>
    </row>
    <row r="296" spans="1:20" x14ac:dyDescent="0.25">
      <c r="A296" s="1"/>
      <c r="B296" s="1"/>
      <c r="C296" s="1"/>
      <c r="D296" s="1"/>
      <c r="E296" s="1"/>
      <c r="F296" s="1"/>
      <c r="G296" s="1"/>
      <c r="H296" s="1"/>
      <c r="I296" s="574">
        <v>1.0009999999999999</v>
      </c>
      <c r="J296" s="14">
        <v>0.11799999999999999</v>
      </c>
      <c r="K296" s="14">
        <v>0.28699999999999998</v>
      </c>
      <c r="L296" s="14">
        <v>0.50700000000000001</v>
      </c>
      <c r="M296" s="14">
        <v>0.82499999999999996</v>
      </c>
      <c r="N296" s="14">
        <v>1.5569999999999999</v>
      </c>
      <c r="O296" s="14">
        <v>2.6949999999999998</v>
      </c>
      <c r="P296" s="14">
        <v>4.1399999999999997</v>
      </c>
      <c r="Q296" s="14">
        <v>5.6050000000000004</v>
      </c>
      <c r="R296" s="14">
        <v>7.0279999999999996</v>
      </c>
      <c r="S296" s="481">
        <v>8.5</v>
      </c>
      <c r="T296" s="1"/>
    </row>
    <row r="297" spans="1:20" x14ac:dyDescent="0.25">
      <c r="A297" s="1"/>
      <c r="B297" s="1"/>
      <c r="C297" s="1"/>
      <c r="D297" s="1"/>
      <c r="E297" s="1"/>
      <c r="F297" s="1"/>
      <c r="G297" s="1"/>
      <c r="H297" s="1"/>
      <c r="I297" s="574">
        <v>1.002</v>
      </c>
      <c r="J297" s="14">
        <v>7.2999999999999995E-2</v>
      </c>
      <c r="K297" s="14">
        <v>0.185</v>
      </c>
      <c r="L297" s="14">
        <v>0.33100000000000002</v>
      </c>
      <c r="M297" s="14">
        <v>0.52500000000000002</v>
      </c>
      <c r="N297" s="14">
        <v>0.96599999999999997</v>
      </c>
      <c r="O297" s="14">
        <v>1.6719999999999999</v>
      </c>
      <c r="P297" s="14">
        <v>2.6469999999999998</v>
      </c>
      <c r="Q297" s="14">
        <v>3.5880000000000001</v>
      </c>
      <c r="R297" s="14">
        <v>4.3659999999999997</v>
      </c>
      <c r="S297" s="481">
        <v>5.4</v>
      </c>
      <c r="T297" s="1"/>
    </row>
    <row r="298" spans="1:20" x14ac:dyDescent="0.25">
      <c r="A298" s="1"/>
      <c r="B298" s="1"/>
      <c r="C298" s="1"/>
      <c r="D298" s="1"/>
      <c r="E298" s="1"/>
      <c r="F298" s="1"/>
      <c r="G298" s="1"/>
      <c r="H298" s="1"/>
      <c r="I298" s="574">
        <v>1.0029999999999999</v>
      </c>
      <c r="J298" s="14">
        <v>2.7E-2</v>
      </c>
      <c r="K298" s="14">
        <v>0.09</v>
      </c>
      <c r="L298" s="14">
        <v>0.186</v>
      </c>
      <c r="M298" s="14">
        <v>0.317</v>
      </c>
      <c r="N298" s="14">
        <v>0.58299999999999996</v>
      </c>
      <c r="O298" s="14">
        <v>0.997</v>
      </c>
      <c r="P298" s="14">
        <v>1.52</v>
      </c>
      <c r="Q298" s="14">
        <v>2.0499999999999998</v>
      </c>
      <c r="R298" s="14">
        <v>2.54</v>
      </c>
      <c r="S298" s="481">
        <v>3.1</v>
      </c>
      <c r="T298" s="1"/>
    </row>
    <row r="299" spans="1:20" x14ac:dyDescent="0.25">
      <c r="A299" s="1"/>
      <c r="B299" s="1"/>
      <c r="C299" s="1"/>
      <c r="D299" s="1"/>
      <c r="E299" s="1"/>
      <c r="F299" s="1"/>
      <c r="G299" s="1"/>
      <c r="H299" s="1"/>
      <c r="I299" s="574">
        <v>1.004</v>
      </c>
      <c r="J299" s="14">
        <v>0.03</v>
      </c>
      <c r="K299" s="14">
        <v>7.4999999999999997E-2</v>
      </c>
      <c r="L299" s="14">
        <v>0.13400000000000001</v>
      </c>
      <c r="M299" s="14">
        <v>0.215</v>
      </c>
      <c r="N299" s="14">
        <v>0.39700000000000002</v>
      </c>
      <c r="O299" s="14">
        <v>0.67</v>
      </c>
      <c r="P299" s="14">
        <v>1.002</v>
      </c>
      <c r="Q299" s="14">
        <v>1.3540000000000001</v>
      </c>
      <c r="R299" s="14">
        <v>1.7010000000000001</v>
      </c>
      <c r="S299" s="481">
        <v>2</v>
      </c>
      <c r="T299" s="1"/>
    </row>
    <row r="300" spans="1:20" x14ac:dyDescent="0.25">
      <c r="A300" s="1"/>
      <c r="B300" s="1"/>
      <c r="C300" s="1"/>
      <c r="D300" s="1"/>
      <c r="E300" s="1"/>
      <c r="F300" s="1"/>
      <c r="G300" s="1"/>
      <c r="H300" s="1"/>
      <c r="I300" s="574">
        <v>1.0049999999999999</v>
      </c>
      <c r="J300" s="14">
        <v>2.5000000000000001E-2</v>
      </c>
      <c r="K300" s="14">
        <v>5.2999999999999999E-2</v>
      </c>
      <c r="L300" s="14">
        <v>7.6999999999999999E-2</v>
      </c>
      <c r="M300" s="14">
        <v>0.13100000000000001</v>
      </c>
      <c r="N300" s="14">
        <v>0.248</v>
      </c>
      <c r="O300" s="14">
        <v>0.433</v>
      </c>
      <c r="P300" s="14">
        <v>0.64300000000000002</v>
      </c>
      <c r="Q300" s="14">
        <v>0.85299999999999998</v>
      </c>
      <c r="R300" s="14">
        <v>1.056</v>
      </c>
      <c r="S300" s="481">
        <v>1.2</v>
      </c>
      <c r="T300" s="1"/>
    </row>
    <row r="301" spans="1:20" x14ac:dyDescent="0.25">
      <c r="A301" s="1"/>
      <c r="B301" s="1"/>
      <c r="C301" s="1"/>
      <c r="D301" s="1"/>
      <c r="E301" s="1"/>
      <c r="F301" s="1"/>
      <c r="G301" s="1"/>
      <c r="H301" s="1"/>
      <c r="I301" s="574">
        <v>1.006</v>
      </c>
      <c r="J301" s="14">
        <v>1.0999999999999999E-2</v>
      </c>
      <c r="K301" s="14">
        <v>2.5000000000000001E-2</v>
      </c>
      <c r="L301" s="14">
        <v>4.1000000000000002E-2</v>
      </c>
      <c r="M301" s="14">
        <v>7.2999999999999995E-2</v>
      </c>
      <c r="N301" s="14">
        <v>0.14299999999999999</v>
      </c>
      <c r="O301" s="14">
        <v>0.23899999999999999</v>
      </c>
      <c r="P301" s="14">
        <v>0.34499999999999997</v>
      </c>
      <c r="Q301" s="14">
        <v>0.46200000000000002</v>
      </c>
      <c r="R301" s="14">
        <v>0.58899999999999997</v>
      </c>
      <c r="S301" s="481">
        <v>0.8</v>
      </c>
      <c r="T301" s="1"/>
    </row>
    <row r="302" spans="1:20" x14ac:dyDescent="0.25">
      <c r="A302" s="1"/>
      <c r="B302" s="1"/>
      <c r="C302" s="1"/>
      <c r="D302" s="1"/>
      <c r="E302" s="1"/>
      <c r="F302" s="1"/>
      <c r="G302" s="1"/>
      <c r="H302" s="1"/>
      <c r="I302" s="574">
        <v>1.5</v>
      </c>
      <c r="J302" s="14">
        <v>0.45300000000000001</v>
      </c>
      <c r="K302" s="14">
        <v>1.1240000000000001</v>
      </c>
      <c r="L302" s="14">
        <v>2</v>
      </c>
      <c r="M302" s="14">
        <v>3.0710000000000002</v>
      </c>
      <c r="N302" s="14">
        <v>5.9089999999999998</v>
      </c>
      <c r="O302" s="14">
        <v>10.566000000000001</v>
      </c>
      <c r="P302" s="14">
        <v>16.175000000000001</v>
      </c>
      <c r="Q302" s="14">
        <v>21.567</v>
      </c>
      <c r="R302" s="14">
        <v>25.661000000000001</v>
      </c>
      <c r="S302" s="481">
        <v>28</v>
      </c>
      <c r="T302" s="1"/>
    </row>
    <row r="303" spans="1:20" x14ac:dyDescent="0.25">
      <c r="A303" s="1"/>
      <c r="B303" s="1"/>
      <c r="C303" s="1"/>
      <c r="D303" s="1"/>
      <c r="E303" s="1"/>
      <c r="F303" s="1"/>
      <c r="G303" s="1"/>
      <c r="H303" s="1"/>
      <c r="I303" s="574">
        <v>1.5009999999999999</v>
      </c>
      <c r="J303" s="14">
        <v>0.22600000000000001</v>
      </c>
      <c r="K303" s="14">
        <v>0.58199999999999996</v>
      </c>
      <c r="L303" s="14">
        <v>1.056</v>
      </c>
      <c r="M303" s="14">
        <v>1.694</v>
      </c>
      <c r="N303" s="14">
        <v>3.1549999999999998</v>
      </c>
      <c r="O303" s="14">
        <v>5.3639999999999999</v>
      </c>
      <c r="P303" s="14">
        <v>7.9740000000000002</v>
      </c>
      <c r="Q303" s="14">
        <v>10.692</v>
      </c>
      <c r="R303" s="14">
        <v>13.438000000000001</v>
      </c>
      <c r="S303" s="481">
        <v>16</v>
      </c>
      <c r="T303" s="1"/>
    </row>
    <row r="304" spans="1:20" x14ac:dyDescent="0.25">
      <c r="A304" s="1"/>
      <c r="B304" s="1"/>
      <c r="C304" s="1"/>
      <c r="D304" s="1"/>
      <c r="E304" s="1"/>
      <c r="F304" s="1"/>
      <c r="G304" s="1"/>
      <c r="H304" s="1"/>
      <c r="I304" s="574">
        <v>1.502</v>
      </c>
      <c r="J304" s="14">
        <v>0.20300000000000001</v>
      </c>
      <c r="K304" s="14">
        <v>0.437</v>
      </c>
      <c r="L304" s="14">
        <v>0.70499999999999996</v>
      </c>
      <c r="M304" s="14">
        <v>1.0209999999999999</v>
      </c>
      <c r="N304" s="14">
        <v>1.877</v>
      </c>
      <c r="O304" s="14">
        <v>3.2450000000000001</v>
      </c>
      <c r="P304" s="14">
        <v>4.93</v>
      </c>
      <c r="Q304" s="14">
        <v>6.7119999999999997</v>
      </c>
      <c r="R304" s="14">
        <v>8.593</v>
      </c>
      <c r="S304" s="481">
        <v>10.5</v>
      </c>
      <c r="T304" s="1"/>
    </row>
    <row r="305" spans="1:20" x14ac:dyDescent="0.25">
      <c r="A305" s="1"/>
      <c r="B305" s="1"/>
      <c r="C305" s="1"/>
      <c r="D305" s="1"/>
      <c r="E305" s="1"/>
      <c r="F305" s="1"/>
      <c r="G305" s="1"/>
      <c r="H305" s="1"/>
      <c r="I305" s="574">
        <v>1.5029999999999999</v>
      </c>
      <c r="J305" s="14">
        <v>8.5999999999999993E-2</v>
      </c>
      <c r="K305" s="14">
        <v>0.219</v>
      </c>
      <c r="L305" s="14">
        <v>0.39800000000000002</v>
      </c>
      <c r="M305" s="14">
        <v>0.61699999999999999</v>
      </c>
      <c r="N305" s="14">
        <v>1.131</v>
      </c>
      <c r="O305" s="14">
        <v>2.0219999999999998</v>
      </c>
      <c r="P305" s="14">
        <v>3.169</v>
      </c>
      <c r="Q305" s="14">
        <v>4.2560000000000002</v>
      </c>
      <c r="R305" s="14">
        <v>5.2110000000000003</v>
      </c>
      <c r="S305" s="481">
        <v>6</v>
      </c>
      <c r="T305" s="1"/>
    </row>
    <row r="306" spans="1:20" x14ac:dyDescent="0.25">
      <c r="A306" s="1"/>
      <c r="B306" s="1"/>
      <c r="C306" s="1"/>
      <c r="D306" s="1"/>
      <c r="E306" s="1"/>
      <c r="F306" s="1"/>
      <c r="G306" s="1"/>
      <c r="H306" s="1"/>
      <c r="I306" s="574">
        <v>1.504</v>
      </c>
      <c r="J306" s="14">
        <v>5.2999999999999999E-2</v>
      </c>
      <c r="K306" s="14">
        <v>0.14099999999999999</v>
      </c>
      <c r="L306" s="14">
        <v>0.26200000000000001</v>
      </c>
      <c r="M306" s="14">
        <v>0.41199999999999998</v>
      </c>
      <c r="N306" s="14">
        <v>0.78900000000000003</v>
      </c>
      <c r="O306" s="14">
        <v>1.363</v>
      </c>
      <c r="P306" s="14">
        <v>2.0779999999999998</v>
      </c>
      <c r="Q306" s="14">
        <v>2.8279999999999998</v>
      </c>
      <c r="R306" s="14">
        <v>3.4529999999999998</v>
      </c>
      <c r="S306" s="481">
        <v>4</v>
      </c>
      <c r="T306" s="1"/>
    </row>
    <row r="307" spans="1:20" x14ac:dyDescent="0.25">
      <c r="A307" s="1"/>
      <c r="B307" s="1"/>
      <c r="C307" s="1"/>
      <c r="D307" s="1"/>
      <c r="E307" s="1"/>
      <c r="F307" s="1"/>
      <c r="G307" s="1"/>
      <c r="H307" s="1"/>
      <c r="I307" s="574">
        <v>1.5049999999999999</v>
      </c>
      <c r="J307" s="14">
        <v>3.1E-2</v>
      </c>
      <c r="K307" s="14">
        <v>7.5999999999999998E-2</v>
      </c>
      <c r="L307" s="14">
        <v>0.13400000000000001</v>
      </c>
      <c r="M307" s="14">
        <v>0.21</v>
      </c>
      <c r="N307" s="14">
        <v>0.39100000000000001</v>
      </c>
      <c r="O307" s="14">
        <v>0.69099999999999995</v>
      </c>
      <c r="P307" s="14">
        <v>1.071</v>
      </c>
      <c r="Q307" s="14">
        <v>1.431</v>
      </c>
      <c r="R307" s="14">
        <v>1.736</v>
      </c>
      <c r="S307" s="481">
        <v>2.2000000000000002</v>
      </c>
      <c r="T307" s="1"/>
    </row>
    <row r="308" spans="1:20" x14ac:dyDescent="0.25">
      <c r="A308" s="1"/>
      <c r="B308" s="1"/>
      <c r="C308" s="1"/>
      <c r="D308" s="1"/>
      <c r="E308" s="1"/>
      <c r="F308" s="1"/>
      <c r="G308" s="1"/>
      <c r="H308" s="1"/>
      <c r="I308" s="574">
        <v>1.506</v>
      </c>
      <c r="J308" s="14">
        <v>2.7E-2</v>
      </c>
      <c r="K308" s="14">
        <v>5.6000000000000001E-2</v>
      </c>
      <c r="L308" s="14">
        <v>8.5000000000000006E-2</v>
      </c>
      <c r="M308" s="14">
        <v>0.128</v>
      </c>
      <c r="N308" s="14">
        <v>0.23400000000000001</v>
      </c>
      <c r="O308" s="14">
        <v>0.39600000000000002</v>
      </c>
      <c r="P308" s="14">
        <v>0.58799999999999997</v>
      </c>
      <c r="Q308" s="14">
        <v>0.78400000000000003</v>
      </c>
      <c r="R308" s="14">
        <v>0.98099999999999998</v>
      </c>
      <c r="S308" s="481">
        <v>1.2</v>
      </c>
      <c r="T308" s="1"/>
    </row>
    <row r="309" spans="1:20" x14ac:dyDescent="0.25">
      <c r="A309" s="1"/>
      <c r="B309" s="1"/>
      <c r="C309" s="1"/>
      <c r="D309" s="1"/>
      <c r="E309" s="1"/>
      <c r="F309" s="1"/>
      <c r="G309" s="1"/>
      <c r="H309" s="1"/>
      <c r="I309" s="574">
        <v>2</v>
      </c>
      <c r="J309" s="14">
        <v>1.2090000000000001</v>
      </c>
      <c r="K309" s="14">
        <v>2.4590000000000001</v>
      </c>
      <c r="L309" s="14">
        <v>3.3050000000000002</v>
      </c>
      <c r="M309" s="14">
        <v>5.1159999999999997</v>
      </c>
      <c r="N309" s="14">
        <v>9.4209999999999994</v>
      </c>
      <c r="O309" s="14">
        <v>16.827999999999999</v>
      </c>
      <c r="P309" s="14">
        <v>26.55</v>
      </c>
      <c r="Q309" s="14">
        <v>36.591000000000001</v>
      </c>
      <c r="R309" s="14">
        <v>44.523000000000003</v>
      </c>
      <c r="S309" s="481">
        <v>49</v>
      </c>
      <c r="T309" s="1"/>
    </row>
    <row r="310" spans="1:20" x14ac:dyDescent="0.25">
      <c r="A310" s="1"/>
      <c r="B310" s="1"/>
      <c r="C310" s="1"/>
      <c r="D310" s="1"/>
      <c r="E310" s="1"/>
      <c r="F310" s="1"/>
      <c r="G310" s="1"/>
      <c r="H310" s="1"/>
      <c r="I310" s="574">
        <v>2.0099999999999998</v>
      </c>
      <c r="J310" s="14">
        <v>0.315</v>
      </c>
      <c r="K310" s="14">
        <v>0.81699999999999995</v>
      </c>
      <c r="L310" s="14">
        <v>1.5049999999999999</v>
      </c>
      <c r="M310" s="14">
        <v>2.87</v>
      </c>
      <c r="N310" s="14">
        <v>5.4820000000000002</v>
      </c>
      <c r="O310" s="14">
        <v>9.3049999999999997</v>
      </c>
      <c r="P310" s="14">
        <v>13.773999999999999</v>
      </c>
      <c r="Q310" s="14">
        <v>18.306000000000001</v>
      </c>
      <c r="R310" s="14">
        <v>23.17</v>
      </c>
      <c r="S310" s="481">
        <v>28</v>
      </c>
      <c r="T310" s="1"/>
    </row>
    <row r="311" spans="1:20" x14ac:dyDescent="0.25">
      <c r="A311" s="1"/>
      <c r="B311" s="1"/>
      <c r="C311" s="1"/>
      <c r="D311" s="1"/>
      <c r="E311" s="1"/>
      <c r="F311" s="1"/>
      <c r="G311" s="1"/>
      <c r="H311" s="1"/>
      <c r="I311" s="574">
        <v>2.02</v>
      </c>
      <c r="J311" s="14">
        <v>0.17100000000000001</v>
      </c>
      <c r="K311" s="14">
        <v>0.46700000000000003</v>
      </c>
      <c r="L311" s="14">
        <v>0.88200000000000001</v>
      </c>
      <c r="M311" s="14">
        <v>1.633</v>
      </c>
      <c r="N311" s="14">
        <v>3.1789999999999998</v>
      </c>
      <c r="O311" s="14">
        <v>5.4729999999999999</v>
      </c>
      <c r="P311" s="14">
        <v>8.2070000000000007</v>
      </c>
      <c r="Q311" s="14">
        <v>11.089</v>
      </c>
      <c r="R311" s="14">
        <v>13.683</v>
      </c>
      <c r="S311" s="481">
        <v>17</v>
      </c>
      <c r="T311" s="1"/>
    </row>
    <row r="312" spans="1:20" x14ac:dyDescent="0.25">
      <c r="A312" s="1"/>
      <c r="B312" s="1"/>
      <c r="C312" s="1"/>
      <c r="D312" s="1"/>
      <c r="E312" s="1"/>
      <c r="F312" s="1"/>
      <c r="G312" s="1"/>
      <c r="H312" s="1"/>
      <c r="I312" s="574">
        <v>2.0299999999999998</v>
      </c>
      <c r="J312" s="14">
        <v>0.14599999999999999</v>
      </c>
      <c r="K312" s="14">
        <v>0.36899999999999999</v>
      </c>
      <c r="L312" s="14">
        <v>0.66200000000000003</v>
      </c>
      <c r="M312" s="14">
        <v>1.0229999999999999</v>
      </c>
      <c r="N312" s="14">
        <v>1.8939999999999999</v>
      </c>
      <c r="O312" s="14">
        <v>3.286</v>
      </c>
      <c r="P312" s="14">
        <v>5.0069999999999997</v>
      </c>
      <c r="Q312" s="14">
        <v>6.7110000000000003</v>
      </c>
      <c r="R312" s="14">
        <v>8.407</v>
      </c>
      <c r="S312" s="481">
        <v>10</v>
      </c>
      <c r="T312" s="1"/>
    </row>
    <row r="313" spans="1:20" x14ac:dyDescent="0.25">
      <c r="A313" s="1"/>
      <c r="B313" s="1"/>
      <c r="C313" s="1"/>
      <c r="D313" s="1"/>
      <c r="E313" s="1"/>
      <c r="F313" s="1"/>
      <c r="G313" s="1"/>
      <c r="H313" s="1"/>
      <c r="I313" s="574">
        <v>3</v>
      </c>
      <c r="J313" s="14">
        <v>2.0070000000000001</v>
      </c>
      <c r="K313" s="14">
        <v>4.4669999999999996</v>
      </c>
      <c r="L313" s="14">
        <v>7.3659999999999997</v>
      </c>
      <c r="M313" s="14">
        <v>12.276</v>
      </c>
      <c r="N313" s="14">
        <v>22.521999999999998</v>
      </c>
      <c r="O313" s="14">
        <v>38.624000000000002</v>
      </c>
      <c r="P313" s="14">
        <v>62.018000000000001</v>
      </c>
      <c r="Q313" s="14">
        <v>79.572999999999993</v>
      </c>
      <c r="R313" s="14">
        <v>90.093999999999994</v>
      </c>
      <c r="S313" s="481">
        <v>100</v>
      </c>
      <c r="T313" s="1"/>
    </row>
    <row r="314" spans="1:20" x14ac:dyDescent="0.25">
      <c r="A314" s="1"/>
      <c r="B314" s="1"/>
      <c r="C314" s="1"/>
      <c r="D314" s="1"/>
      <c r="E314" s="1"/>
      <c r="F314" s="1"/>
      <c r="G314" s="1"/>
      <c r="H314" s="1"/>
      <c r="I314" s="574">
        <v>3.01</v>
      </c>
      <c r="J314" s="14">
        <v>1.004</v>
      </c>
      <c r="K314" s="14">
        <v>2.5049999999999999</v>
      </c>
      <c r="L314" s="14">
        <v>4.4989999999999997</v>
      </c>
      <c r="M314" s="14">
        <v>6.9630000000000001</v>
      </c>
      <c r="N314" s="14">
        <v>12.945</v>
      </c>
      <c r="O314" s="14">
        <v>23.649000000000001</v>
      </c>
      <c r="P314" s="14">
        <v>36.145000000000003</v>
      </c>
      <c r="Q314" s="14">
        <v>47.819000000000003</v>
      </c>
      <c r="R314" s="14">
        <v>58.698</v>
      </c>
      <c r="S314" s="481">
        <v>70</v>
      </c>
      <c r="T314" s="1"/>
    </row>
    <row r="315" spans="1:20" x14ac:dyDescent="0.25">
      <c r="A315" s="1"/>
      <c r="B315" s="1"/>
      <c r="C315" s="1"/>
      <c r="D315" s="1"/>
      <c r="E315" s="1"/>
      <c r="F315" s="1"/>
      <c r="G315" s="1"/>
      <c r="H315" s="1"/>
      <c r="I315" s="574">
        <v>3.02</v>
      </c>
      <c r="J315" s="14">
        <v>0.72699999999999998</v>
      </c>
      <c r="K315" s="14">
        <v>1.6060000000000001</v>
      </c>
      <c r="L315" s="14">
        <v>2.6360000000000001</v>
      </c>
      <c r="M315" s="14">
        <v>3.9460000000000002</v>
      </c>
      <c r="N315" s="14">
        <v>7.53</v>
      </c>
      <c r="O315" s="14">
        <v>13.569000000000001</v>
      </c>
      <c r="P315" s="14">
        <v>21.257000000000001</v>
      </c>
      <c r="Q315" s="14">
        <v>28.974</v>
      </c>
      <c r="R315" s="14">
        <v>34.99</v>
      </c>
      <c r="S315" s="481">
        <v>42</v>
      </c>
      <c r="T315" s="1"/>
    </row>
    <row r="316" spans="1:20" x14ac:dyDescent="0.25">
      <c r="A316" s="1"/>
      <c r="B316" s="1"/>
      <c r="C316" s="1"/>
      <c r="D316" s="1"/>
      <c r="E316" s="1"/>
      <c r="F316" s="1"/>
      <c r="G316" s="1"/>
      <c r="H316" s="1"/>
      <c r="I316" s="574">
        <v>3.03</v>
      </c>
      <c r="J316" s="14">
        <v>0.35499999999999998</v>
      </c>
      <c r="K316" s="14">
        <v>0.88700000000000001</v>
      </c>
      <c r="L316" s="14">
        <v>1.5880000000000001</v>
      </c>
      <c r="M316" s="14">
        <v>2.4550000000000001</v>
      </c>
      <c r="N316" s="14">
        <v>4.5049999999999999</v>
      </c>
      <c r="O316" s="14">
        <v>8.0749999999999993</v>
      </c>
      <c r="P316" s="14">
        <v>12.547000000000001</v>
      </c>
      <c r="Q316" s="14">
        <v>16.821999999999999</v>
      </c>
      <c r="R316" s="14">
        <v>20.779</v>
      </c>
      <c r="S316" s="481">
        <v>25</v>
      </c>
      <c r="T316" s="1"/>
    </row>
    <row r="317" spans="1:20" x14ac:dyDescent="0.25">
      <c r="A317" s="1"/>
      <c r="B317" s="1"/>
      <c r="C317" s="1"/>
      <c r="D317" s="1"/>
      <c r="E317" s="1"/>
      <c r="F317" s="1"/>
      <c r="G317" s="1"/>
      <c r="H317" s="1"/>
      <c r="I317" s="574">
        <v>4</v>
      </c>
      <c r="J317" s="14">
        <v>2.8959999999999999</v>
      </c>
      <c r="K317" s="14">
        <v>6.7190000000000003</v>
      </c>
      <c r="L317" s="14">
        <v>11.478999999999999</v>
      </c>
      <c r="M317" s="14">
        <v>17.158999999999999</v>
      </c>
      <c r="N317" s="14">
        <v>29.352</v>
      </c>
      <c r="O317" s="14">
        <v>56.255000000000003</v>
      </c>
      <c r="P317" s="14">
        <v>86.653000000000006</v>
      </c>
      <c r="Q317" s="14">
        <v>120.896</v>
      </c>
      <c r="R317" s="14">
        <v>153.84399999999999</v>
      </c>
      <c r="S317" s="481">
        <v>190</v>
      </c>
      <c r="T317" s="1"/>
    </row>
    <row r="318" spans="1:20" x14ac:dyDescent="0.25">
      <c r="A318" s="1"/>
      <c r="B318" s="1"/>
      <c r="C318" s="1"/>
      <c r="D318" s="1"/>
      <c r="E318" s="1"/>
      <c r="F318" s="1"/>
      <c r="G318" s="1"/>
      <c r="H318" s="1"/>
      <c r="I318" s="574">
        <v>4.01</v>
      </c>
      <c r="J318" s="14">
        <v>1.5580000000000001</v>
      </c>
      <c r="K318" s="14">
        <v>3.7650000000000001</v>
      </c>
      <c r="L318" s="14">
        <v>6.6260000000000003</v>
      </c>
      <c r="M318" s="14">
        <v>10.108000000000001</v>
      </c>
      <c r="N318" s="14">
        <v>18.417999999999999</v>
      </c>
      <c r="O318" s="14">
        <v>32.826999999999998</v>
      </c>
      <c r="P318" s="14">
        <v>55.268999999999998</v>
      </c>
      <c r="Q318" s="14">
        <v>77.525999999999996</v>
      </c>
      <c r="R318" s="14">
        <v>98.631</v>
      </c>
      <c r="S318" s="481">
        <v>120</v>
      </c>
      <c r="T318" s="1"/>
    </row>
    <row r="319" spans="1:20" x14ac:dyDescent="0.25">
      <c r="A319" s="1"/>
      <c r="B319" s="1"/>
      <c r="C319" s="1"/>
      <c r="D319" s="1"/>
      <c r="E319" s="1"/>
      <c r="F319" s="1"/>
      <c r="G319" s="1"/>
      <c r="H319" s="1"/>
      <c r="I319" s="574">
        <v>4.0199999999999996</v>
      </c>
      <c r="J319" s="14">
        <v>1.45</v>
      </c>
      <c r="K319" s="14">
        <v>3.05</v>
      </c>
      <c r="L319" s="14">
        <v>4.8220000000000001</v>
      </c>
      <c r="M319" s="14">
        <v>8.0990000000000002</v>
      </c>
      <c r="N319" s="14">
        <v>14.856999999999999</v>
      </c>
      <c r="O319" s="14">
        <v>24.2</v>
      </c>
      <c r="P319" s="14">
        <v>35.222000000000001</v>
      </c>
      <c r="Q319" s="14">
        <v>49.808</v>
      </c>
      <c r="R319" s="14">
        <v>61.142000000000003</v>
      </c>
      <c r="S319" s="481">
        <v>72</v>
      </c>
      <c r="T319" s="1"/>
    </row>
    <row r="320" spans="1:20" x14ac:dyDescent="0.25">
      <c r="A320" s="1"/>
      <c r="B320" s="1"/>
      <c r="C320" s="1"/>
      <c r="D320" s="1"/>
      <c r="E320" s="1"/>
      <c r="F320" s="1"/>
      <c r="G320" s="1"/>
      <c r="H320" s="1"/>
      <c r="I320" s="574">
        <v>4.03</v>
      </c>
      <c r="J320" s="14">
        <v>0.88200000000000001</v>
      </c>
      <c r="K320" s="14">
        <v>1.8180000000000001</v>
      </c>
      <c r="L320" s="14">
        <v>2.839</v>
      </c>
      <c r="M320" s="14">
        <v>4.4429999999999996</v>
      </c>
      <c r="N320" s="14">
        <v>8.4239999999999995</v>
      </c>
      <c r="O320" s="14">
        <v>14.384</v>
      </c>
      <c r="P320" s="14">
        <v>21.123999999999999</v>
      </c>
      <c r="Q320" s="14">
        <v>27.792999999999999</v>
      </c>
      <c r="R320" s="14">
        <v>34.167000000000002</v>
      </c>
      <c r="S320" s="481">
        <v>42</v>
      </c>
      <c r="T320" s="1"/>
    </row>
    <row r="321" spans="1:20" x14ac:dyDescent="0.25">
      <c r="A321" s="1"/>
      <c r="B321" s="1"/>
      <c r="C321" s="1"/>
      <c r="D321" s="1"/>
      <c r="E321" s="1"/>
      <c r="F321" s="1"/>
      <c r="G321" s="1"/>
      <c r="H321" s="1"/>
      <c r="I321" s="574">
        <v>6</v>
      </c>
      <c r="J321" s="14">
        <v>4.2249999999999996</v>
      </c>
      <c r="K321" s="14">
        <v>9.7149999999999999</v>
      </c>
      <c r="L321" s="14">
        <v>16.431999999999999</v>
      </c>
      <c r="M321" s="14">
        <v>25.731999999999999</v>
      </c>
      <c r="N321" s="14">
        <v>49.582999999999998</v>
      </c>
      <c r="O321" s="14">
        <v>89.691000000000003</v>
      </c>
      <c r="P321" s="14">
        <v>140.00800000000001</v>
      </c>
      <c r="Q321" s="14">
        <v>195.76599999999999</v>
      </c>
      <c r="R321" s="14">
        <v>256.77800000000002</v>
      </c>
      <c r="S321" s="481">
        <v>295</v>
      </c>
      <c r="T321" s="1"/>
    </row>
    <row r="322" spans="1:20" x14ac:dyDescent="0.25">
      <c r="A322" s="1"/>
      <c r="B322" s="1"/>
      <c r="C322" s="1"/>
      <c r="D322" s="1"/>
      <c r="E322" s="1"/>
      <c r="F322" s="1"/>
      <c r="G322" s="1"/>
      <c r="H322" s="1"/>
      <c r="I322" s="574">
        <v>6.01</v>
      </c>
      <c r="J322" s="14">
        <v>2.8290000000000002</v>
      </c>
      <c r="K322" s="14">
        <v>6.7329999999999997</v>
      </c>
      <c r="L322" s="14">
        <v>11.683</v>
      </c>
      <c r="M322" s="14">
        <v>17.722999999999999</v>
      </c>
      <c r="N322" s="14">
        <v>31.527999999999999</v>
      </c>
      <c r="O322" s="14">
        <v>53.902999999999999</v>
      </c>
      <c r="P322" s="14">
        <v>88.375</v>
      </c>
      <c r="Q322" s="14">
        <v>113.113</v>
      </c>
      <c r="R322" s="14">
        <v>140.553</v>
      </c>
      <c r="S322" s="481">
        <v>165</v>
      </c>
      <c r="T322" s="1"/>
    </row>
    <row r="323" spans="1:20" x14ac:dyDescent="0.25">
      <c r="A323" s="1"/>
      <c r="B323" s="1"/>
      <c r="C323" s="1"/>
      <c r="D323" s="1"/>
      <c r="E323" s="1"/>
      <c r="F323" s="1"/>
      <c r="G323" s="1"/>
      <c r="H323" s="1"/>
      <c r="I323" s="574">
        <v>6.02</v>
      </c>
      <c r="J323" s="14">
        <v>1.3640000000000001</v>
      </c>
      <c r="K323" s="14">
        <v>3.6059999999999999</v>
      </c>
      <c r="L323" s="14">
        <v>6.6779999999999999</v>
      </c>
      <c r="M323" s="14">
        <v>10.62</v>
      </c>
      <c r="N323" s="14">
        <v>17.821000000000002</v>
      </c>
      <c r="O323" s="14">
        <v>28.655999999999999</v>
      </c>
      <c r="P323" s="14">
        <v>42.883000000000003</v>
      </c>
      <c r="Q323" s="14">
        <v>57.38</v>
      </c>
      <c r="R323" s="14">
        <v>71.534000000000006</v>
      </c>
      <c r="S323" s="481">
        <v>85</v>
      </c>
      <c r="T323" s="1"/>
    </row>
    <row r="324" spans="1:20" ht="13.8" thickBot="1" x14ac:dyDescent="0.3">
      <c r="A324" s="1"/>
      <c r="B324" s="1"/>
      <c r="C324" s="1"/>
      <c r="D324" s="1"/>
      <c r="E324" s="1"/>
      <c r="F324" s="1"/>
      <c r="G324" s="1"/>
      <c r="H324" s="1"/>
      <c r="I324" s="575">
        <v>6.03</v>
      </c>
      <c r="J324" s="477">
        <v>0.91100000000000003</v>
      </c>
      <c r="K324" s="477">
        <v>1.895</v>
      </c>
      <c r="L324" s="477">
        <v>2.9489999999999998</v>
      </c>
      <c r="M324" s="477">
        <v>4.2610000000000001</v>
      </c>
      <c r="N324" s="477">
        <v>7.7679999999999998</v>
      </c>
      <c r="O324" s="477">
        <v>13.68</v>
      </c>
      <c r="P324" s="477">
        <v>21.417999999999999</v>
      </c>
      <c r="Q324" s="477">
        <v>29.715</v>
      </c>
      <c r="R324" s="477">
        <v>37.963000000000001</v>
      </c>
      <c r="S324" s="483">
        <v>50</v>
      </c>
      <c r="T324" s="1"/>
    </row>
    <row r="325" spans="1:20" ht="13.8" thickTop="1" x14ac:dyDescent="0.25">
      <c r="A325" s="1"/>
      <c r="B325" s="1"/>
      <c r="C325" s="1"/>
      <c r="D325" s="1"/>
      <c r="E325" s="1"/>
      <c r="F325" s="1"/>
      <c r="G325" s="1"/>
      <c r="H325" s="1"/>
      <c r="I325" s="1"/>
      <c r="J325" s="1"/>
      <c r="K325" s="1"/>
      <c r="L325" s="1"/>
      <c r="M325" s="1"/>
      <c r="N325" s="1"/>
      <c r="O325" s="1"/>
      <c r="P325" s="1"/>
      <c r="Q325" s="1"/>
      <c r="R325" s="1"/>
      <c r="S325" s="1"/>
      <c r="T325" s="1"/>
    </row>
    <row r="326" spans="1:20" x14ac:dyDescent="0.25">
      <c r="A326" s="1"/>
      <c r="B326" s="1"/>
      <c r="C326" s="1"/>
      <c r="D326" s="1"/>
      <c r="E326" s="1"/>
      <c r="F326" s="1"/>
      <c r="G326" s="1"/>
      <c r="H326" s="1"/>
      <c r="I326" s="1"/>
      <c r="J326" s="1"/>
      <c r="K326" s="1"/>
      <c r="L326" s="1"/>
      <c r="M326" s="1"/>
      <c r="N326" s="1"/>
      <c r="O326" s="1"/>
      <c r="P326" s="1"/>
      <c r="Q326" s="1"/>
      <c r="R326" s="1"/>
      <c r="S326" s="1"/>
      <c r="T326" s="1"/>
    </row>
    <row r="327" spans="1:20" x14ac:dyDescent="0.25">
      <c r="A327" s="1"/>
      <c r="B327" s="1"/>
      <c r="C327" s="1"/>
      <c r="D327" s="1"/>
      <c r="E327" s="1"/>
      <c r="F327" s="1"/>
      <c r="G327" s="1"/>
      <c r="H327" s="1"/>
      <c r="I327" s="1"/>
      <c r="J327" s="1"/>
      <c r="K327" s="1"/>
      <c r="L327" s="1"/>
      <c r="M327" s="1"/>
      <c r="N327" s="1"/>
      <c r="O327" s="1"/>
      <c r="P327" s="1"/>
      <c r="Q327" s="1"/>
      <c r="R327" s="1"/>
      <c r="S327" s="1"/>
      <c r="T327" s="1"/>
    </row>
    <row r="328" spans="1:20" x14ac:dyDescent="0.25">
      <c r="A328" s="1"/>
      <c r="B328" s="1"/>
      <c r="C328" s="1"/>
      <c r="D328" s="1"/>
      <c r="E328" s="1"/>
      <c r="F328" s="1"/>
      <c r="G328" s="1"/>
      <c r="H328" s="1"/>
      <c r="I328" s="1"/>
      <c r="J328" s="1"/>
      <c r="K328" s="1"/>
      <c r="L328" s="1"/>
      <c r="M328" s="1"/>
      <c r="N328" s="1"/>
      <c r="O328" s="1"/>
      <c r="P328" s="1"/>
      <c r="Q328" s="1"/>
      <c r="R328" s="1"/>
      <c r="S328" s="1"/>
      <c r="T328" s="1"/>
    </row>
    <row r="329" spans="1:20" x14ac:dyDescent="0.25">
      <c r="A329" s="1"/>
      <c r="B329" s="1"/>
      <c r="C329" s="1"/>
      <c r="D329" s="1"/>
      <c r="E329" s="13" t="s">
        <v>697</v>
      </c>
      <c r="F329" s="1"/>
      <c r="G329" s="1"/>
      <c r="H329" s="1"/>
      <c r="I329" s="13" t="s">
        <v>609</v>
      </c>
      <c r="J329" s="442" t="s">
        <v>698</v>
      </c>
      <c r="K329" s="414"/>
      <c r="L329" s="414"/>
      <c r="M329" s="442" t="s">
        <v>608</v>
      </c>
      <c r="N329" s="414"/>
      <c r="O329" s="414"/>
      <c r="P329" s="414"/>
      <c r="Q329" s="414"/>
      <c r="R329" s="414"/>
      <c r="S329" s="1"/>
      <c r="T329" s="1"/>
    </row>
    <row r="330" spans="1:20" ht="13.8" x14ac:dyDescent="0.25">
      <c r="A330" s="1"/>
      <c r="B330" s="1"/>
      <c r="C330" s="1"/>
      <c r="D330" s="1"/>
      <c r="E330" s="13"/>
      <c r="F330" s="1"/>
      <c r="G330" s="1"/>
      <c r="H330" s="21"/>
      <c r="I330" s="414"/>
      <c r="J330" s="416">
        <v>10</v>
      </c>
      <c r="K330" s="410">
        <v>20</v>
      </c>
      <c r="L330" s="410">
        <v>30</v>
      </c>
      <c r="M330" s="410">
        <v>40</v>
      </c>
      <c r="N330" s="410">
        <v>50</v>
      </c>
      <c r="O330" s="410">
        <v>60</v>
      </c>
      <c r="P330" s="410">
        <v>70</v>
      </c>
      <c r="Q330" s="410">
        <v>80</v>
      </c>
      <c r="R330" s="410">
        <v>90</v>
      </c>
      <c r="S330" s="410">
        <v>100</v>
      </c>
      <c r="T330" s="1"/>
    </row>
    <row r="331" spans="1:20" ht="13.8" thickBot="1" x14ac:dyDescent="0.3">
      <c r="A331" s="1"/>
      <c r="B331" s="1"/>
      <c r="C331" s="1"/>
      <c r="D331" s="1"/>
      <c r="E331" s="8" t="s">
        <v>689</v>
      </c>
      <c r="F331" s="1"/>
      <c r="G331" s="1"/>
      <c r="H331" s="21"/>
      <c r="I331" s="447" t="s">
        <v>607</v>
      </c>
      <c r="J331" s="1"/>
      <c r="K331" s="1"/>
      <c r="L331" s="1"/>
      <c r="M331" s="13" t="s">
        <v>602</v>
      </c>
      <c r="N331" s="1"/>
      <c r="O331" s="1"/>
      <c r="P331" s="1"/>
      <c r="Q331" s="1"/>
      <c r="R331" s="1"/>
      <c r="S331" s="1"/>
      <c r="T331" s="1"/>
    </row>
    <row r="332" spans="1:20" ht="13.8" thickTop="1" x14ac:dyDescent="0.25">
      <c r="A332" s="1"/>
      <c r="B332" s="1"/>
      <c r="C332" s="1"/>
      <c r="D332" s="1"/>
      <c r="E332" s="8" t="s">
        <v>696</v>
      </c>
      <c r="F332" s="1"/>
      <c r="G332" s="1"/>
      <c r="H332" s="577"/>
      <c r="I332" s="573">
        <v>0.5</v>
      </c>
      <c r="J332" s="484">
        <v>0.53100000000000003</v>
      </c>
      <c r="K332" s="484">
        <v>1.268</v>
      </c>
      <c r="L332" s="484">
        <v>1.9490000000000001</v>
      </c>
      <c r="M332" s="484">
        <v>2.6589999999999998</v>
      </c>
      <c r="N332" s="484">
        <v>3.3769999999999998</v>
      </c>
      <c r="O332" s="484">
        <v>4.085</v>
      </c>
      <c r="P332" s="484">
        <v>4.7640000000000002</v>
      </c>
      <c r="Q332" s="484">
        <v>5.51</v>
      </c>
      <c r="R332" s="484">
        <v>6.6719999999999997</v>
      </c>
      <c r="S332" s="485">
        <v>7</v>
      </c>
      <c r="T332" s="1"/>
    </row>
    <row r="333" spans="1:20" x14ac:dyDescent="0.25">
      <c r="A333" s="1"/>
      <c r="B333" s="1"/>
      <c r="C333" s="1"/>
      <c r="D333" s="1"/>
      <c r="E333" s="8" t="s">
        <v>691</v>
      </c>
      <c r="F333" s="1"/>
      <c r="G333" s="1"/>
      <c r="H333" s="577"/>
      <c r="I333" s="574">
        <v>0.501</v>
      </c>
      <c r="J333" s="14">
        <v>0.35799999999999998</v>
      </c>
      <c r="K333" s="14">
        <v>0.74399999999999999</v>
      </c>
      <c r="L333" s="14">
        <v>1.2250000000000001</v>
      </c>
      <c r="M333" s="14">
        <v>1.61</v>
      </c>
      <c r="N333" s="14">
        <v>1.992</v>
      </c>
      <c r="O333" s="14">
        <v>2.3650000000000002</v>
      </c>
      <c r="P333" s="14">
        <v>2.7189999999999999</v>
      </c>
      <c r="Q333" s="14">
        <v>3.0489999999999999</v>
      </c>
      <c r="R333" s="14">
        <v>3.411</v>
      </c>
      <c r="S333" s="481">
        <v>4</v>
      </c>
      <c r="T333" s="1"/>
    </row>
    <row r="334" spans="1:20" x14ac:dyDescent="0.25">
      <c r="A334" s="1"/>
      <c r="B334" s="1"/>
      <c r="C334" s="1"/>
      <c r="D334" s="1"/>
      <c r="E334" s="1"/>
      <c r="F334" s="1"/>
      <c r="G334" s="1"/>
      <c r="H334" s="577"/>
      <c r="I334" s="574">
        <v>0.502</v>
      </c>
      <c r="J334" s="14">
        <v>0.27800000000000002</v>
      </c>
      <c r="K334" s="14">
        <v>0.53200000000000003</v>
      </c>
      <c r="L334" s="14">
        <v>0.78500000000000003</v>
      </c>
      <c r="M334" s="14">
        <v>1.069</v>
      </c>
      <c r="N334" s="14">
        <v>1.319</v>
      </c>
      <c r="O334" s="14">
        <v>1.52</v>
      </c>
      <c r="P334" s="14">
        <v>1.7070000000000001</v>
      </c>
      <c r="Q334" s="14">
        <v>1.879</v>
      </c>
      <c r="R334" s="14">
        <v>2.0329999999999999</v>
      </c>
      <c r="S334" s="481">
        <v>2.2999999999999998</v>
      </c>
      <c r="T334" s="1"/>
    </row>
    <row r="335" spans="1:20" x14ac:dyDescent="0.25">
      <c r="A335" s="1"/>
      <c r="B335" s="1"/>
      <c r="C335" s="1"/>
      <c r="D335" s="1"/>
      <c r="E335" s="1"/>
      <c r="F335" s="1"/>
      <c r="G335" s="1"/>
      <c r="H335" s="577"/>
      <c r="I335" s="574">
        <v>0.503</v>
      </c>
      <c r="J335" s="14">
        <v>0.19</v>
      </c>
      <c r="K335" s="14">
        <v>0.35599999999999998</v>
      </c>
      <c r="L335" s="14">
        <v>0.51500000000000001</v>
      </c>
      <c r="M335" s="14">
        <v>0.66900000000000004</v>
      </c>
      <c r="N335" s="14">
        <v>0.81899999999999995</v>
      </c>
      <c r="O335" s="14">
        <v>0.97099999999999997</v>
      </c>
      <c r="P335" s="14">
        <v>1.1499999999999999</v>
      </c>
      <c r="Q335" s="14">
        <v>1.2749999999999999</v>
      </c>
      <c r="R335" s="14">
        <v>1.377</v>
      </c>
      <c r="S335" s="481">
        <v>1.5</v>
      </c>
      <c r="T335" s="1"/>
    </row>
    <row r="336" spans="1:20" x14ac:dyDescent="0.25">
      <c r="A336" s="1"/>
      <c r="B336" s="1"/>
      <c r="C336" s="1"/>
      <c r="D336" s="1"/>
      <c r="E336" s="1"/>
      <c r="F336" s="1"/>
      <c r="G336" s="1"/>
      <c r="H336" s="577"/>
      <c r="I336" s="574">
        <v>0.504</v>
      </c>
      <c r="J336" s="14">
        <v>9.1999999999999998E-2</v>
      </c>
      <c r="K336" s="14">
        <v>0.17199999999999999</v>
      </c>
      <c r="L336" s="14">
        <v>0.249</v>
      </c>
      <c r="M336" s="14">
        <v>0.32400000000000001</v>
      </c>
      <c r="N336" s="14">
        <v>0.39700000000000002</v>
      </c>
      <c r="O336" s="14">
        <v>0.47</v>
      </c>
      <c r="P336" s="14">
        <v>0.54200000000000004</v>
      </c>
      <c r="Q336" s="14">
        <v>0.61199999999999999</v>
      </c>
      <c r="R336" s="14">
        <v>0.68300000000000005</v>
      </c>
      <c r="S336" s="481">
        <v>0.8</v>
      </c>
      <c r="T336" s="1"/>
    </row>
    <row r="337" spans="1:20" x14ac:dyDescent="0.25">
      <c r="A337" s="1"/>
      <c r="B337" s="1"/>
      <c r="C337" s="1"/>
      <c r="D337" s="1"/>
      <c r="E337" s="1"/>
      <c r="F337" s="1"/>
      <c r="G337" s="1"/>
      <c r="H337" s="577"/>
      <c r="I337" s="574">
        <v>0.505</v>
      </c>
      <c r="J337" s="14">
        <v>5.5E-2</v>
      </c>
      <c r="K337" s="14">
        <v>0.105</v>
      </c>
      <c r="L337" s="14">
        <v>0.154</v>
      </c>
      <c r="M337" s="14">
        <v>0.20200000000000001</v>
      </c>
      <c r="N337" s="14">
        <v>0.251</v>
      </c>
      <c r="O337" s="14">
        <v>0.3</v>
      </c>
      <c r="P337" s="14">
        <v>0.35099999999999998</v>
      </c>
      <c r="Q337" s="14">
        <v>0.40100000000000002</v>
      </c>
      <c r="R337" s="14">
        <v>0.45200000000000001</v>
      </c>
      <c r="S337" s="481">
        <v>0.5</v>
      </c>
      <c r="T337" s="1"/>
    </row>
    <row r="338" spans="1:20" x14ac:dyDescent="0.25">
      <c r="A338" s="1"/>
      <c r="B338" s="1"/>
      <c r="C338" s="1"/>
      <c r="D338" s="1"/>
      <c r="E338" s="1"/>
      <c r="F338" s="1"/>
      <c r="G338" s="1"/>
      <c r="H338" s="577"/>
      <c r="I338" s="574">
        <v>0.50600000000000001</v>
      </c>
      <c r="J338" s="14">
        <v>3.5000000000000003E-2</v>
      </c>
      <c r="K338" s="14">
        <v>6.5000000000000002E-2</v>
      </c>
      <c r="L338" s="14">
        <v>9.5000000000000001E-2</v>
      </c>
      <c r="M338" s="14">
        <v>0.124</v>
      </c>
      <c r="N338" s="14">
        <v>0.153</v>
      </c>
      <c r="O338" s="14">
        <v>0.182</v>
      </c>
      <c r="P338" s="14">
        <v>0.21099999999999999</v>
      </c>
      <c r="Q338" s="14">
        <v>0.24</v>
      </c>
      <c r="R338" s="14">
        <v>0.27</v>
      </c>
      <c r="S338" s="481">
        <v>0.3</v>
      </c>
      <c r="T338" s="1"/>
    </row>
    <row r="339" spans="1:20" x14ac:dyDescent="0.25">
      <c r="A339" s="1"/>
      <c r="B339" s="1"/>
      <c r="C339" s="1"/>
      <c r="D339" s="1"/>
      <c r="E339" s="1"/>
      <c r="F339" s="1"/>
      <c r="G339" s="1"/>
      <c r="H339" s="577"/>
      <c r="I339" s="574">
        <v>0.75</v>
      </c>
      <c r="J339" s="14">
        <v>0.84499999999999997</v>
      </c>
      <c r="K339" s="14">
        <v>1.6779999999999999</v>
      </c>
      <c r="L339" s="14">
        <v>2.573</v>
      </c>
      <c r="M339" s="14">
        <v>3.3109999999999999</v>
      </c>
      <c r="N339" s="14">
        <v>4.0359999999999996</v>
      </c>
      <c r="O339" s="14">
        <v>4.7430000000000003</v>
      </c>
      <c r="P339" s="14">
        <v>5.4249999999999998</v>
      </c>
      <c r="Q339" s="14">
        <v>6.1790000000000003</v>
      </c>
      <c r="R339" s="14">
        <v>7.609</v>
      </c>
      <c r="S339" s="481">
        <v>9</v>
      </c>
      <c r="T339" s="1"/>
    </row>
    <row r="340" spans="1:20" x14ac:dyDescent="0.25">
      <c r="A340" s="1"/>
      <c r="B340" s="1"/>
      <c r="C340" s="1"/>
      <c r="D340" s="1"/>
      <c r="E340" s="1"/>
      <c r="F340" s="1"/>
      <c r="G340" s="1"/>
      <c r="H340" s="577"/>
      <c r="I340" s="574">
        <v>0.751</v>
      </c>
      <c r="J340" s="14">
        <v>0.34699999999999998</v>
      </c>
      <c r="K340" s="14">
        <v>0.81899999999999995</v>
      </c>
      <c r="L340" s="14">
        <v>1.4019999999999999</v>
      </c>
      <c r="M340" s="14">
        <v>2.1669999999999998</v>
      </c>
      <c r="N340" s="14">
        <v>2.7789999999999999</v>
      </c>
      <c r="O340" s="14">
        <v>3.3879999999999999</v>
      </c>
      <c r="P340" s="14">
        <v>3.9769999999999999</v>
      </c>
      <c r="Q340" s="14">
        <v>4.53</v>
      </c>
      <c r="R340" s="14">
        <v>5.0309999999999997</v>
      </c>
      <c r="S340" s="481">
        <v>5.5</v>
      </c>
      <c r="T340" s="1"/>
    </row>
    <row r="341" spans="1:20" x14ac:dyDescent="0.25">
      <c r="A341" s="1"/>
      <c r="B341" s="1"/>
      <c r="C341" s="1"/>
      <c r="D341" s="1"/>
      <c r="E341" s="1"/>
      <c r="F341" s="1"/>
      <c r="G341" s="1"/>
      <c r="H341" s="577"/>
      <c r="I341" s="574">
        <v>0.752</v>
      </c>
      <c r="J341" s="14">
        <v>0.29399999999999998</v>
      </c>
      <c r="K341" s="14">
        <v>0.74199999999999999</v>
      </c>
      <c r="L341" s="14">
        <v>1.0780000000000001</v>
      </c>
      <c r="M341" s="14">
        <v>1.403</v>
      </c>
      <c r="N341" s="14">
        <v>1.7310000000000001</v>
      </c>
      <c r="O341" s="14">
        <v>2.125</v>
      </c>
      <c r="P341" s="14">
        <v>2.3719999999999999</v>
      </c>
      <c r="Q341" s="14">
        <v>2.597</v>
      </c>
      <c r="R341" s="14">
        <v>2.7989999999999999</v>
      </c>
      <c r="S341" s="481">
        <v>3</v>
      </c>
      <c r="T341" s="1"/>
    </row>
    <row r="342" spans="1:20" x14ac:dyDescent="0.25">
      <c r="A342" s="1"/>
      <c r="B342" s="1"/>
      <c r="C342" s="1"/>
      <c r="D342" s="1"/>
      <c r="E342" s="1"/>
      <c r="F342" s="1"/>
      <c r="G342" s="1"/>
      <c r="H342" s="577"/>
      <c r="I342" s="574">
        <v>0.753</v>
      </c>
      <c r="J342" s="14">
        <v>0.23699999999999999</v>
      </c>
      <c r="K342" s="14">
        <v>0.438</v>
      </c>
      <c r="L342" s="14">
        <v>0.628</v>
      </c>
      <c r="M342" s="14">
        <v>0.81100000000000005</v>
      </c>
      <c r="N342" s="14">
        <v>0.98699999999999999</v>
      </c>
      <c r="O342" s="14">
        <v>1.155</v>
      </c>
      <c r="P342" s="14">
        <v>1.3169999999999999</v>
      </c>
      <c r="Q342" s="14">
        <v>1.47</v>
      </c>
      <c r="R342" s="14">
        <v>1.615</v>
      </c>
      <c r="S342" s="481">
        <v>2</v>
      </c>
      <c r="T342" s="1"/>
    </row>
    <row r="343" spans="1:20" x14ac:dyDescent="0.25">
      <c r="A343" s="1"/>
      <c r="B343" s="1"/>
      <c r="C343" s="1"/>
      <c r="D343" s="1"/>
      <c r="E343" s="1"/>
      <c r="F343" s="1"/>
      <c r="G343" s="1"/>
      <c r="H343" s="577"/>
      <c r="I343" s="574">
        <v>0.754</v>
      </c>
      <c r="J343" s="14">
        <v>0.125</v>
      </c>
      <c r="K343" s="14">
        <v>0.24099999999999999</v>
      </c>
      <c r="L343" s="14">
        <v>0.35799999999999998</v>
      </c>
      <c r="M343" s="14">
        <v>0.47799999999999998</v>
      </c>
      <c r="N343" s="14">
        <v>0.59899999999999998</v>
      </c>
      <c r="O343" s="14">
        <v>0.72099999999999997</v>
      </c>
      <c r="P343" s="14">
        <v>0.84199999999999997</v>
      </c>
      <c r="Q343" s="14">
        <v>0.96399999999999997</v>
      </c>
      <c r="R343" s="14">
        <v>1.0840000000000001</v>
      </c>
      <c r="S343" s="481">
        <v>1.2</v>
      </c>
      <c r="T343" s="1"/>
    </row>
    <row r="344" spans="1:20" x14ac:dyDescent="0.25">
      <c r="A344" s="1"/>
      <c r="B344" s="1"/>
      <c r="C344" s="1"/>
      <c r="D344" s="1"/>
      <c r="E344" s="1"/>
      <c r="F344" s="1"/>
      <c r="G344" s="1"/>
      <c r="H344" s="577"/>
      <c r="I344" s="574">
        <v>0.755</v>
      </c>
      <c r="J344" s="14">
        <v>7.8E-2</v>
      </c>
      <c r="K344" s="14">
        <v>0.14799999999999999</v>
      </c>
      <c r="L344" s="14">
        <v>0.215</v>
      </c>
      <c r="M344" s="14">
        <v>0.28399999999999997</v>
      </c>
      <c r="N344" s="14">
        <v>0.35199999999999998</v>
      </c>
      <c r="O344" s="14">
        <v>0.42</v>
      </c>
      <c r="P344" s="14">
        <v>0.49</v>
      </c>
      <c r="Q344" s="14">
        <v>0.55900000000000005</v>
      </c>
      <c r="R344" s="14">
        <v>0.63</v>
      </c>
      <c r="S344" s="481">
        <v>0.7</v>
      </c>
      <c r="T344" s="1"/>
    </row>
    <row r="345" spans="1:20" x14ac:dyDescent="0.25">
      <c r="A345" s="1"/>
      <c r="B345" s="1"/>
      <c r="C345" s="1"/>
      <c r="D345" s="1"/>
      <c r="E345" s="1"/>
      <c r="F345" s="1"/>
      <c r="G345" s="1"/>
      <c r="H345" s="577"/>
      <c r="I345" s="574">
        <v>0.75600000000000001</v>
      </c>
      <c r="J345" s="14">
        <v>4.8000000000000001E-2</v>
      </c>
      <c r="K345" s="14">
        <v>8.8999999999999996E-2</v>
      </c>
      <c r="L345" s="14">
        <v>0.129</v>
      </c>
      <c r="M345" s="14">
        <v>0.16900000000000001</v>
      </c>
      <c r="N345" s="14">
        <v>0.20699999999999999</v>
      </c>
      <c r="O345" s="14">
        <v>0.245</v>
      </c>
      <c r="P345" s="14">
        <v>0.28399999999999997</v>
      </c>
      <c r="Q345" s="14">
        <v>0.32200000000000001</v>
      </c>
      <c r="R345" s="14">
        <v>0.36</v>
      </c>
      <c r="S345" s="481">
        <v>0.4</v>
      </c>
      <c r="T345" s="1"/>
    </row>
    <row r="346" spans="1:20" x14ac:dyDescent="0.25">
      <c r="A346" s="1"/>
      <c r="B346" s="1"/>
      <c r="C346" s="1"/>
      <c r="D346" s="1"/>
      <c r="E346" s="1"/>
      <c r="F346" s="1"/>
      <c r="G346" s="1"/>
      <c r="H346" s="577"/>
      <c r="I346" s="574">
        <v>1</v>
      </c>
      <c r="J346" s="14">
        <v>1.288</v>
      </c>
      <c r="K346" s="14">
        <v>2.6190000000000002</v>
      </c>
      <c r="L346" s="14">
        <v>4.0229999999999997</v>
      </c>
      <c r="M346" s="14">
        <v>5.415</v>
      </c>
      <c r="N346" s="14">
        <v>6.8259999999999996</v>
      </c>
      <c r="O346" s="14">
        <v>8.125</v>
      </c>
      <c r="P346" s="14">
        <v>8.8989999999999991</v>
      </c>
      <c r="Q346" s="14">
        <v>10.246</v>
      </c>
      <c r="R346" s="14">
        <v>11.930999999999999</v>
      </c>
      <c r="S346" s="481">
        <v>13.5</v>
      </c>
      <c r="T346" s="1"/>
    </row>
    <row r="347" spans="1:20" x14ac:dyDescent="0.25">
      <c r="A347" s="1"/>
      <c r="B347" s="1"/>
      <c r="C347" s="1"/>
      <c r="D347" s="1"/>
      <c r="E347" s="1"/>
      <c r="F347" s="1"/>
      <c r="G347" s="1"/>
      <c r="H347" s="577"/>
      <c r="I347" s="574">
        <v>1.0009999999999999</v>
      </c>
      <c r="J347" s="14">
        <v>0.77300000000000002</v>
      </c>
      <c r="K347" s="14">
        <v>1.538</v>
      </c>
      <c r="L347" s="14">
        <v>2.3069999999999999</v>
      </c>
      <c r="M347" s="14">
        <v>3.1469999999999998</v>
      </c>
      <c r="N347" s="14">
        <v>3.919</v>
      </c>
      <c r="O347" s="14">
        <v>4.6790000000000003</v>
      </c>
      <c r="P347" s="14">
        <v>5.415</v>
      </c>
      <c r="Q347" s="14">
        <v>6.1219999999999999</v>
      </c>
      <c r="R347" s="14">
        <v>7.0030000000000001</v>
      </c>
      <c r="S347" s="481">
        <v>8.5</v>
      </c>
      <c r="T347" s="1"/>
    </row>
    <row r="348" spans="1:20" x14ac:dyDescent="0.25">
      <c r="A348" s="1"/>
      <c r="B348" s="1"/>
      <c r="C348" s="1"/>
      <c r="D348" s="1"/>
      <c r="E348" s="1"/>
      <c r="F348" s="1"/>
      <c r="G348" s="1"/>
      <c r="H348" s="577"/>
      <c r="I348" s="574">
        <v>1.002</v>
      </c>
      <c r="J348" s="14">
        <v>0.46300000000000002</v>
      </c>
      <c r="K348" s="14">
        <v>0.93899999999999995</v>
      </c>
      <c r="L348" s="14">
        <v>1.4330000000000001</v>
      </c>
      <c r="M348" s="14">
        <v>1.9370000000000001</v>
      </c>
      <c r="N348" s="14">
        <v>2.4580000000000002</v>
      </c>
      <c r="O348" s="14">
        <v>3.02</v>
      </c>
      <c r="P348" s="14">
        <v>3.5190000000000001</v>
      </c>
      <c r="Q348" s="14">
        <v>3.9969999999999999</v>
      </c>
      <c r="R348" s="14">
        <v>4.4409999999999998</v>
      </c>
      <c r="S348" s="481">
        <v>5.4</v>
      </c>
      <c r="T348" s="1"/>
    </row>
    <row r="349" spans="1:20" x14ac:dyDescent="0.25">
      <c r="A349" s="1"/>
      <c r="B349" s="1"/>
      <c r="C349" s="1"/>
      <c r="D349" s="1"/>
      <c r="E349" s="1"/>
      <c r="F349" s="1"/>
      <c r="G349" s="1"/>
      <c r="H349" s="577"/>
      <c r="I349" s="574">
        <v>1.0029999999999999</v>
      </c>
      <c r="J349" s="14">
        <v>0.27700000000000002</v>
      </c>
      <c r="K349" s="14">
        <v>0.56200000000000006</v>
      </c>
      <c r="L349" s="14">
        <v>0.85699999999999998</v>
      </c>
      <c r="M349" s="14">
        <v>1.1599999999999999</v>
      </c>
      <c r="N349" s="14">
        <v>1.468</v>
      </c>
      <c r="O349" s="14">
        <v>1.772</v>
      </c>
      <c r="P349" s="14">
        <v>2.0710000000000002</v>
      </c>
      <c r="Q349" s="14">
        <v>2.3580000000000001</v>
      </c>
      <c r="R349" s="14">
        <v>2.6579999999999999</v>
      </c>
      <c r="S349" s="481">
        <v>3.1</v>
      </c>
      <c r="T349" s="1"/>
    </row>
    <row r="350" spans="1:20" x14ac:dyDescent="0.25">
      <c r="A350" s="1"/>
      <c r="B350" s="1"/>
      <c r="C350" s="1"/>
      <c r="D350" s="1"/>
      <c r="E350" s="1"/>
      <c r="F350" s="1"/>
      <c r="G350" s="1"/>
      <c r="H350" s="577"/>
      <c r="I350" s="574">
        <v>1.004</v>
      </c>
      <c r="J350" s="14">
        <v>0.17799999999999999</v>
      </c>
      <c r="K350" s="14">
        <v>0.36699999999999999</v>
      </c>
      <c r="L350" s="14">
        <v>0.56599999999999995</v>
      </c>
      <c r="M350" s="14">
        <v>0.77500000000000002</v>
      </c>
      <c r="N350" s="14">
        <v>0.98799999999999999</v>
      </c>
      <c r="O350" s="14">
        <v>1.2010000000000001</v>
      </c>
      <c r="P350" s="14">
        <v>1.4079999999999999</v>
      </c>
      <c r="Q350" s="14">
        <v>1.6060000000000001</v>
      </c>
      <c r="R350" s="14">
        <v>1.7889999999999999</v>
      </c>
      <c r="S350" s="481">
        <v>2</v>
      </c>
      <c r="T350" s="1"/>
    </row>
    <row r="351" spans="1:20" x14ac:dyDescent="0.25">
      <c r="A351" s="1"/>
      <c r="B351" s="1"/>
      <c r="C351" s="1"/>
      <c r="D351" s="1"/>
      <c r="E351" s="1"/>
      <c r="F351" s="1"/>
      <c r="G351" s="1"/>
      <c r="H351" s="577"/>
      <c r="I351" s="574">
        <v>1.0049999999999999</v>
      </c>
      <c r="J351" s="14">
        <v>0.114</v>
      </c>
      <c r="K351" s="14">
        <v>0.23</v>
      </c>
      <c r="L351" s="14">
        <v>0.34799999999999998</v>
      </c>
      <c r="M351" s="14">
        <v>0.46800000000000003</v>
      </c>
      <c r="N351" s="14">
        <v>0.58899999999999997</v>
      </c>
      <c r="O351" s="14">
        <v>0.71099999999999997</v>
      </c>
      <c r="P351" s="14">
        <v>0.83099999999999996</v>
      </c>
      <c r="Q351" s="14">
        <v>0.94899999999999995</v>
      </c>
      <c r="R351" s="14">
        <v>1.0649999999999999</v>
      </c>
      <c r="S351" s="481">
        <v>1.2</v>
      </c>
      <c r="T351" s="1"/>
    </row>
    <row r="352" spans="1:20" x14ac:dyDescent="0.25">
      <c r="A352" s="1"/>
      <c r="B352" s="1"/>
      <c r="C352" s="1"/>
      <c r="D352" s="1"/>
      <c r="E352" s="1"/>
      <c r="F352" s="1"/>
      <c r="G352" s="1"/>
      <c r="H352" s="577"/>
      <c r="I352" s="574">
        <v>1.006</v>
      </c>
      <c r="J352" s="14">
        <v>7.0000000000000007E-2</v>
      </c>
      <c r="K352" s="14">
        <v>0.13800000000000001</v>
      </c>
      <c r="L352" s="14">
        <v>0.20699999999999999</v>
      </c>
      <c r="M352" s="14">
        <v>0.27600000000000002</v>
      </c>
      <c r="N352" s="14">
        <v>0.34399999999999997</v>
      </c>
      <c r="O352" s="14">
        <v>0.41299999999999998</v>
      </c>
      <c r="P352" s="14">
        <v>0.48199999999999998</v>
      </c>
      <c r="Q352" s="14">
        <v>0.55000000000000004</v>
      </c>
      <c r="R352" s="14">
        <v>0.61899999999999999</v>
      </c>
      <c r="S352" s="481">
        <v>0.8</v>
      </c>
      <c r="T352" s="1"/>
    </row>
    <row r="353" spans="1:20" x14ac:dyDescent="0.25">
      <c r="A353" s="1"/>
      <c r="B353" s="1"/>
      <c r="C353" s="1"/>
      <c r="D353" s="1"/>
      <c r="E353" s="1"/>
      <c r="F353" s="1"/>
      <c r="G353" s="1"/>
      <c r="H353" s="577"/>
      <c r="I353" s="574">
        <v>1.5</v>
      </c>
      <c r="J353" s="14">
        <v>2.6360000000000001</v>
      </c>
      <c r="K353" s="14">
        <v>5.3819999999999997</v>
      </c>
      <c r="L353" s="14">
        <v>8.4570000000000007</v>
      </c>
      <c r="M353" s="14">
        <v>11.766</v>
      </c>
      <c r="N353" s="14">
        <v>15.22</v>
      </c>
      <c r="O353" s="14">
        <v>18.766999999999999</v>
      </c>
      <c r="P353" s="14">
        <v>21.562000000000001</v>
      </c>
      <c r="Q353" s="14">
        <v>24.09</v>
      </c>
      <c r="R353" s="14">
        <v>26.5</v>
      </c>
      <c r="S353" s="481">
        <v>28</v>
      </c>
      <c r="T353" s="1"/>
    </row>
    <row r="354" spans="1:20" x14ac:dyDescent="0.25">
      <c r="A354" s="1"/>
      <c r="B354" s="1"/>
      <c r="C354" s="1"/>
      <c r="D354" s="1"/>
      <c r="E354" s="1"/>
      <c r="F354" s="1"/>
      <c r="G354" s="1"/>
      <c r="H354" s="577"/>
      <c r="I354" s="574">
        <v>1.5009999999999999</v>
      </c>
      <c r="J354" s="14">
        <v>1.625</v>
      </c>
      <c r="K354" s="14">
        <v>3.16</v>
      </c>
      <c r="L354" s="14">
        <v>4.6989999999999998</v>
      </c>
      <c r="M354" s="14">
        <v>6.25</v>
      </c>
      <c r="N354" s="14">
        <v>7.8959999999999999</v>
      </c>
      <c r="O354" s="14">
        <v>9.5190000000000001</v>
      </c>
      <c r="P354" s="14">
        <v>11.12</v>
      </c>
      <c r="Q354" s="14">
        <v>12.680999999999999</v>
      </c>
      <c r="R354" s="14">
        <v>14.180999999999999</v>
      </c>
      <c r="S354" s="481">
        <v>16</v>
      </c>
      <c r="T354" s="1"/>
    </row>
    <row r="355" spans="1:20" x14ac:dyDescent="0.25">
      <c r="A355" s="1"/>
      <c r="B355" s="1"/>
      <c r="C355" s="1"/>
      <c r="D355" s="1"/>
      <c r="E355" s="1"/>
      <c r="F355" s="1"/>
      <c r="G355" s="1"/>
      <c r="H355" s="577"/>
      <c r="I355" s="574">
        <v>1.502</v>
      </c>
      <c r="J355" s="14">
        <v>0.94599999999999995</v>
      </c>
      <c r="K355" s="14">
        <v>1.885</v>
      </c>
      <c r="L355" s="14">
        <v>2.86</v>
      </c>
      <c r="M355" s="14">
        <v>3.86</v>
      </c>
      <c r="N355" s="14">
        <v>4.875</v>
      </c>
      <c r="O355" s="14">
        <v>5.8840000000000003</v>
      </c>
      <c r="P355" s="14">
        <v>6.9009999999999998</v>
      </c>
      <c r="Q355" s="14">
        <v>7.9180000000000001</v>
      </c>
      <c r="R355" s="14">
        <v>8.8550000000000004</v>
      </c>
      <c r="S355" s="481">
        <v>10.5</v>
      </c>
      <c r="T355" s="1"/>
    </row>
    <row r="356" spans="1:20" x14ac:dyDescent="0.25">
      <c r="A356" s="1"/>
      <c r="B356" s="1"/>
      <c r="C356" s="1"/>
      <c r="D356" s="1"/>
      <c r="E356" s="1"/>
      <c r="F356" s="1"/>
      <c r="G356" s="1"/>
      <c r="H356" s="577"/>
      <c r="I356" s="574">
        <v>1.5029999999999999</v>
      </c>
      <c r="J356" s="14">
        <v>0.56499999999999995</v>
      </c>
      <c r="K356" s="14">
        <v>1.1279999999999999</v>
      </c>
      <c r="L356" s="14">
        <v>1.72</v>
      </c>
      <c r="M356" s="14">
        <v>2.3330000000000002</v>
      </c>
      <c r="N356" s="14">
        <v>2.9550000000000001</v>
      </c>
      <c r="O356" s="14">
        <v>3.5790000000000002</v>
      </c>
      <c r="P356" s="14">
        <v>4.1900000000000004</v>
      </c>
      <c r="Q356" s="14">
        <v>4.7789999999999999</v>
      </c>
      <c r="R356" s="14">
        <v>5.3319999999999999</v>
      </c>
      <c r="S356" s="481">
        <v>6</v>
      </c>
      <c r="T356" s="1"/>
    </row>
    <row r="357" spans="1:20" x14ac:dyDescent="0.25">
      <c r="A357" s="1"/>
      <c r="B357" s="1"/>
      <c r="C357" s="1"/>
      <c r="D357" s="1"/>
      <c r="E357" s="1"/>
      <c r="F357" s="1"/>
      <c r="G357" s="1"/>
      <c r="H357" s="577"/>
      <c r="I357" s="574">
        <v>1.504</v>
      </c>
      <c r="J357" s="14">
        <v>0.36899999999999999</v>
      </c>
      <c r="K357" s="14">
        <v>0.74299999999999999</v>
      </c>
      <c r="L357" s="14">
        <v>1.135</v>
      </c>
      <c r="M357" s="14">
        <v>1.5429999999999999</v>
      </c>
      <c r="N357" s="14">
        <v>1.9610000000000001</v>
      </c>
      <c r="O357" s="14">
        <v>2.379</v>
      </c>
      <c r="P357" s="14">
        <v>2.7879999999999998</v>
      </c>
      <c r="Q357" s="14">
        <v>3.1819999999999999</v>
      </c>
      <c r="R357" s="14">
        <v>3.5489999999999999</v>
      </c>
      <c r="S357" s="481">
        <v>4</v>
      </c>
      <c r="T357" s="1"/>
    </row>
    <row r="358" spans="1:20" x14ac:dyDescent="0.25">
      <c r="A358" s="1"/>
      <c r="B358" s="1"/>
      <c r="C358" s="1"/>
      <c r="D358" s="1"/>
      <c r="E358" s="1"/>
      <c r="F358" s="1"/>
      <c r="G358" s="1"/>
      <c r="H358" s="577"/>
      <c r="I358" s="574">
        <v>1.5049999999999999</v>
      </c>
      <c r="J358" s="14">
        <v>0.188</v>
      </c>
      <c r="K358" s="14">
        <v>0.377</v>
      </c>
      <c r="L358" s="14">
        <v>0.57299999999999995</v>
      </c>
      <c r="M358" s="14">
        <v>0.77700000000000002</v>
      </c>
      <c r="N358" s="14">
        <v>0.98499999999999999</v>
      </c>
      <c r="O358" s="14">
        <v>1.194</v>
      </c>
      <c r="P358" s="14">
        <v>1.4</v>
      </c>
      <c r="Q358" s="14">
        <v>1.5980000000000001</v>
      </c>
      <c r="R358" s="14">
        <v>1.784</v>
      </c>
      <c r="S358" s="481">
        <v>2.2000000000000002</v>
      </c>
      <c r="T358" s="1"/>
    </row>
    <row r="359" spans="1:20" x14ac:dyDescent="0.25">
      <c r="A359" s="1"/>
      <c r="B359" s="1"/>
      <c r="C359" s="1"/>
      <c r="D359" s="1"/>
      <c r="E359" s="1"/>
      <c r="F359" s="1"/>
      <c r="G359" s="1"/>
      <c r="H359" s="577"/>
      <c r="I359" s="574">
        <v>1.506</v>
      </c>
      <c r="J359" s="14">
        <v>0.123</v>
      </c>
      <c r="K359" s="14">
        <v>0.23899999999999999</v>
      </c>
      <c r="L359" s="14">
        <v>0.35499999999999998</v>
      </c>
      <c r="M359" s="14">
        <v>0.47199999999999998</v>
      </c>
      <c r="N359" s="14">
        <v>0.59</v>
      </c>
      <c r="O359" s="14">
        <v>0.71</v>
      </c>
      <c r="P359" s="14">
        <v>0.82799999999999996</v>
      </c>
      <c r="Q359" s="14">
        <v>0.94599999999999995</v>
      </c>
      <c r="R359" s="14">
        <v>1.0629999999999999</v>
      </c>
      <c r="S359" s="481">
        <v>1.2</v>
      </c>
      <c r="T359" s="1"/>
    </row>
    <row r="360" spans="1:20" x14ac:dyDescent="0.25">
      <c r="A360" s="1"/>
      <c r="B360" s="1"/>
      <c r="C360" s="1"/>
      <c r="D360" s="1"/>
      <c r="E360" s="1"/>
      <c r="F360" s="1"/>
      <c r="G360" s="1"/>
      <c r="H360" s="577"/>
      <c r="I360" s="574">
        <v>2</v>
      </c>
      <c r="J360" s="14">
        <v>4.13</v>
      </c>
      <c r="K360" s="14">
        <v>9.2420000000000009</v>
      </c>
      <c r="L360" s="14">
        <v>14.478</v>
      </c>
      <c r="M360" s="14">
        <v>19.707999999999998</v>
      </c>
      <c r="N360" s="14">
        <v>25.087</v>
      </c>
      <c r="O360" s="14">
        <v>30.564</v>
      </c>
      <c r="P360" s="14">
        <v>35.973999999999997</v>
      </c>
      <c r="Q360" s="14">
        <v>40.012</v>
      </c>
      <c r="R360" s="14">
        <v>44.642000000000003</v>
      </c>
      <c r="S360" s="481">
        <v>49</v>
      </c>
      <c r="T360" s="1"/>
    </row>
    <row r="361" spans="1:20" x14ac:dyDescent="0.25">
      <c r="A361" s="1"/>
      <c r="B361" s="1"/>
      <c r="C361" s="1"/>
      <c r="D361" s="1"/>
      <c r="E361" s="1"/>
      <c r="F361" s="1"/>
      <c r="G361" s="1"/>
      <c r="H361" s="577"/>
      <c r="I361" s="574">
        <v>2.0099999999999998</v>
      </c>
      <c r="J361" s="14">
        <v>2.274</v>
      </c>
      <c r="K361" s="14">
        <v>4.9690000000000003</v>
      </c>
      <c r="L361" s="14">
        <v>7.8769999999999998</v>
      </c>
      <c r="M361" s="14">
        <v>10.938000000000001</v>
      </c>
      <c r="N361" s="14">
        <v>13.724</v>
      </c>
      <c r="O361" s="14">
        <v>16.509</v>
      </c>
      <c r="P361" s="14">
        <v>19.277000000000001</v>
      </c>
      <c r="Q361" s="14">
        <v>22.026</v>
      </c>
      <c r="R361" s="14">
        <v>24.965</v>
      </c>
      <c r="S361" s="481">
        <v>28</v>
      </c>
      <c r="T361" s="1"/>
    </row>
    <row r="362" spans="1:20" x14ac:dyDescent="0.25">
      <c r="A362" s="1"/>
      <c r="B362" s="1"/>
      <c r="C362" s="1"/>
      <c r="D362" s="1"/>
      <c r="E362" s="1"/>
      <c r="F362" s="1"/>
      <c r="G362" s="1"/>
      <c r="H362" s="577"/>
      <c r="I362" s="574">
        <v>2.02</v>
      </c>
      <c r="J362" s="14">
        <v>1.264</v>
      </c>
      <c r="K362" s="14">
        <v>2.7639999999999998</v>
      </c>
      <c r="L362" s="14">
        <v>4.3719999999999999</v>
      </c>
      <c r="M362" s="14">
        <v>6.0540000000000003</v>
      </c>
      <c r="N362" s="14">
        <v>7.7729999999999997</v>
      </c>
      <c r="O362" s="14">
        <v>9.5269999999999992</v>
      </c>
      <c r="P362" s="14">
        <v>11.227</v>
      </c>
      <c r="Q362" s="14">
        <v>12.727</v>
      </c>
      <c r="R362" s="14">
        <v>14.317</v>
      </c>
      <c r="S362" s="481">
        <v>17</v>
      </c>
      <c r="T362" s="1"/>
    </row>
    <row r="363" spans="1:20" x14ac:dyDescent="0.25">
      <c r="A363" s="1"/>
      <c r="B363" s="1"/>
      <c r="C363" s="1"/>
      <c r="D363" s="1"/>
      <c r="E363" s="1"/>
      <c r="F363" s="1"/>
      <c r="G363" s="1"/>
      <c r="H363" s="577"/>
      <c r="I363" s="574">
        <v>2.0299999999999998</v>
      </c>
      <c r="J363" s="14">
        <v>0.81599999999999995</v>
      </c>
      <c r="K363" s="14">
        <v>1.7789999999999999</v>
      </c>
      <c r="L363" s="14">
        <v>2.8039999999999998</v>
      </c>
      <c r="M363" s="14">
        <v>3.86</v>
      </c>
      <c r="N363" s="14">
        <v>4.9269999999999996</v>
      </c>
      <c r="O363" s="14">
        <v>5.9809999999999999</v>
      </c>
      <c r="P363" s="14">
        <v>7.0060000000000002</v>
      </c>
      <c r="Q363" s="14">
        <v>7.98</v>
      </c>
      <c r="R363" s="14">
        <v>8.8889999999999993</v>
      </c>
      <c r="S363" s="481">
        <v>10</v>
      </c>
      <c r="T363" s="1"/>
    </row>
    <row r="364" spans="1:20" x14ac:dyDescent="0.25">
      <c r="A364" s="1"/>
      <c r="B364" s="1"/>
      <c r="C364" s="1"/>
      <c r="D364" s="1"/>
      <c r="E364" s="1"/>
      <c r="F364" s="1"/>
      <c r="G364" s="1"/>
      <c r="H364" s="577"/>
      <c r="I364" s="574">
        <v>3</v>
      </c>
      <c r="J364" s="14">
        <v>9.9580000000000002</v>
      </c>
      <c r="K364" s="14">
        <v>21.061</v>
      </c>
      <c r="L364" s="14">
        <v>32.395000000000003</v>
      </c>
      <c r="M364" s="14">
        <v>42.652000000000001</v>
      </c>
      <c r="N364" s="14">
        <v>52.98</v>
      </c>
      <c r="O364" s="14">
        <v>63.698</v>
      </c>
      <c r="P364" s="14">
        <v>76.665999999999997</v>
      </c>
      <c r="Q364" s="14">
        <v>86.070999999999998</v>
      </c>
      <c r="R364" s="14">
        <v>91.149000000000001</v>
      </c>
      <c r="S364" s="481">
        <v>100</v>
      </c>
      <c r="T364" s="1"/>
    </row>
    <row r="365" spans="1:20" x14ac:dyDescent="0.25">
      <c r="A365" s="1"/>
      <c r="B365" s="1"/>
      <c r="C365" s="1"/>
      <c r="D365" s="1"/>
      <c r="E365" s="1"/>
      <c r="F365" s="1"/>
      <c r="G365" s="1"/>
      <c r="H365" s="577"/>
      <c r="I365" s="574">
        <v>3.01</v>
      </c>
      <c r="J365" s="14">
        <v>5.3529999999999998</v>
      </c>
      <c r="K365" s="14">
        <v>11.637</v>
      </c>
      <c r="L365" s="14">
        <v>18.738</v>
      </c>
      <c r="M365" s="14">
        <v>26.582999999999998</v>
      </c>
      <c r="N365" s="14">
        <v>33.661000000000001</v>
      </c>
      <c r="O365" s="14">
        <v>40.457000000000001</v>
      </c>
      <c r="P365" s="14">
        <v>47.179000000000002</v>
      </c>
      <c r="Q365" s="14">
        <v>53.741</v>
      </c>
      <c r="R365" s="14">
        <v>60.338000000000001</v>
      </c>
      <c r="S365" s="481">
        <v>70</v>
      </c>
      <c r="T365" s="1"/>
    </row>
    <row r="366" spans="1:20" x14ac:dyDescent="0.25">
      <c r="A366" s="1"/>
      <c r="B366" s="1"/>
      <c r="C366" s="1"/>
      <c r="D366" s="1"/>
      <c r="E366" s="1"/>
      <c r="F366" s="1"/>
      <c r="G366" s="1"/>
      <c r="H366" s="577"/>
      <c r="I366" s="574">
        <v>3.02</v>
      </c>
      <c r="J366" s="14">
        <v>3.4649999999999999</v>
      </c>
      <c r="K366" s="14">
        <v>7.2119999999999997</v>
      </c>
      <c r="L366" s="14">
        <v>11.2</v>
      </c>
      <c r="M366" s="14">
        <v>15.378</v>
      </c>
      <c r="N366" s="14">
        <v>19.686</v>
      </c>
      <c r="O366" s="14">
        <v>24.058</v>
      </c>
      <c r="P366" s="14">
        <v>28.448</v>
      </c>
      <c r="Q366" s="14">
        <v>31.986000000000001</v>
      </c>
      <c r="R366" s="14">
        <v>35.658999999999999</v>
      </c>
      <c r="S366" s="481">
        <v>42</v>
      </c>
      <c r="T366" s="1"/>
    </row>
    <row r="367" spans="1:20" x14ac:dyDescent="0.25">
      <c r="A367" s="1"/>
      <c r="B367" s="1"/>
      <c r="C367" s="1"/>
      <c r="D367" s="1"/>
      <c r="E367" s="1"/>
      <c r="F367" s="1"/>
      <c r="G367" s="1"/>
      <c r="H367" s="577"/>
      <c r="I367" s="574">
        <v>3.03</v>
      </c>
      <c r="J367" s="14">
        <v>2.1709999999999998</v>
      </c>
      <c r="K367" s="14">
        <v>4.4669999999999996</v>
      </c>
      <c r="L367" s="14">
        <v>6.8579999999999997</v>
      </c>
      <c r="M367" s="14">
        <v>9.3179999999999996</v>
      </c>
      <c r="N367" s="14">
        <v>11.805999999999999</v>
      </c>
      <c r="O367" s="14">
        <v>14.291</v>
      </c>
      <c r="P367" s="14">
        <v>16.725999999999999</v>
      </c>
      <c r="Q367" s="14">
        <v>19.074999999999999</v>
      </c>
      <c r="R367" s="14">
        <v>21.29</v>
      </c>
      <c r="S367" s="481">
        <v>25</v>
      </c>
      <c r="T367" s="1"/>
    </row>
    <row r="368" spans="1:20" x14ac:dyDescent="0.25">
      <c r="A368" s="1"/>
      <c r="B368" s="1"/>
      <c r="C368" s="1"/>
      <c r="D368" s="1"/>
      <c r="E368" s="1"/>
      <c r="F368" s="1"/>
      <c r="G368" s="1"/>
      <c r="H368" s="577"/>
      <c r="I368" s="574">
        <v>4</v>
      </c>
      <c r="J368" s="14">
        <v>12.667</v>
      </c>
      <c r="K368" s="14">
        <v>27.122</v>
      </c>
      <c r="L368" s="14">
        <v>47.273000000000003</v>
      </c>
      <c r="M368" s="14">
        <v>66.037999999999997</v>
      </c>
      <c r="N368" s="14">
        <v>85.992999999999995</v>
      </c>
      <c r="O368" s="14">
        <v>106.88200000000001</v>
      </c>
      <c r="P368" s="14">
        <v>127.85299999999999</v>
      </c>
      <c r="Q368" s="14">
        <v>147.47</v>
      </c>
      <c r="R368" s="14">
        <v>167.929</v>
      </c>
      <c r="S368" s="481">
        <v>190</v>
      </c>
      <c r="T368" s="1"/>
    </row>
    <row r="369" spans="1:20" x14ac:dyDescent="0.25">
      <c r="A369" s="1"/>
      <c r="B369" s="1"/>
      <c r="C369" s="1"/>
      <c r="D369" s="1"/>
      <c r="E369" s="1"/>
      <c r="F369" s="1"/>
      <c r="G369" s="1"/>
      <c r="H369" s="577"/>
      <c r="I369" s="574">
        <v>4.01</v>
      </c>
      <c r="J369" s="14">
        <v>7.319</v>
      </c>
      <c r="K369" s="14">
        <v>15.766</v>
      </c>
      <c r="L369" s="14">
        <v>25.332000000000001</v>
      </c>
      <c r="M369" s="14">
        <v>36.426000000000002</v>
      </c>
      <c r="N369" s="14">
        <v>51.054000000000002</v>
      </c>
      <c r="O369" s="14">
        <v>63.295999999999999</v>
      </c>
      <c r="P369" s="14">
        <v>75.775999999999996</v>
      </c>
      <c r="Q369" s="14">
        <v>88.316999999999993</v>
      </c>
      <c r="R369" s="14">
        <v>103.943</v>
      </c>
      <c r="S369" s="481">
        <v>120</v>
      </c>
      <c r="T369" s="1"/>
    </row>
    <row r="370" spans="1:20" x14ac:dyDescent="0.25">
      <c r="A370" s="1"/>
      <c r="B370" s="1"/>
      <c r="C370" s="1"/>
      <c r="D370" s="1"/>
      <c r="E370" s="1"/>
      <c r="F370" s="1"/>
      <c r="G370" s="1"/>
      <c r="H370" s="577"/>
      <c r="I370" s="574">
        <v>4.0199999999999996</v>
      </c>
      <c r="J370" s="14">
        <v>7.0179999999999998</v>
      </c>
      <c r="K370" s="14">
        <v>13.837999999999999</v>
      </c>
      <c r="L370" s="14">
        <v>20.643000000000001</v>
      </c>
      <c r="M370" s="14">
        <v>27.411000000000001</v>
      </c>
      <c r="N370" s="14">
        <v>34.070999999999998</v>
      </c>
      <c r="O370" s="14">
        <v>43.442</v>
      </c>
      <c r="P370" s="14">
        <v>50.853999999999999</v>
      </c>
      <c r="Q370" s="14">
        <v>57.09</v>
      </c>
      <c r="R370" s="14">
        <v>63.09</v>
      </c>
      <c r="S370" s="481">
        <v>72</v>
      </c>
      <c r="T370" s="1"/>
    </row>
    <row r="371" spans="1:20" x14ac:dyDescent="0.25">
      <c r="A371" s="1"/>
      <c r="B371" s="1"/>
      <c r="C371" s="1"/>
      <c r="D371" s="1"/>
      <c r="E371" s="1"/>
      <c r="F371" s="1"/>
      <c r="G371" s="1"/>
      <c r="H371" s="577"/>
      <c r="I371" s="574">
        <v>4.03</v>
      </c>
      <c r="J371" s="14">
        <v>4.032</v>
      </c>
      <c r="K371" s="14">
        <v>8.1639999999999997</v>
      </c>
      <c r="L371" s="14">
        <v>12.452</v>
      </c>
      <c r="M371" s="14">
        <v>16.817</v>
      </c>
      <c r="N371" s="14">
        <v>21.178999999999998</v>
      </c>
      <c r="O371" s="14">
        <v>25.44</v>
      </c>
      <c r="P371" s="14">
        <v>29.513000000000002</v>
      </c>
      <c r="Q371" s="14">
        <v>33.305999999999997</v>
      </c>
      <c r="R371" s="14">
        <v>37.670999999999999</v>
      </c>
      <c r="S371" s="481">
        <v>42</v>
      </c>
      <c r="T371" s="1"/>
    </row>
    <row r="372" spans="1:20" x14ac:dyDescent="0.25">
      <c r="A372" s="1"/>
      <c r="B372" s="1"/>
      <c r="C372" s="1"/>
      <c r="D372" s="1"/>
      <c r="E372" s="1"/>
      <c r="F372" s="1"/>
      <c r="G372" s="1"/>
      <c r="H372" s="577"/>
      <c r="I372" s="574">
        <v>6</v>
      </c>
      <c r="J372" s="14">
        <v>28.431000000000001</v>
      </c>
      <c r="K372" s="14">
        <v>57.146000000000001</v>
      </c>
      <c r="L372" s="14">
        <v>86.052000000000007</v>
      </c>
      <c r="M372" s="14">
        <v>112.25700000000001</v>
      </c>
      <c r="N372" s="14">
        <v>136.072</v>
      </c>
      <c r="O372" s="14">
        <v>159.161</v>
      </c>
      <c r="P372" s="14">
        <v>181.58699999999999</v>
      </c>
      <c r="Q372" s="14">
        <v>212.57400000000001</v>
      </c>
      <c r="R372" s="14">
        <v>263.11799999999999</v>
      </c>
      <c r="S372" s="481">
        <v>295</v>
      </c>
      <c r="T372" s="1"/>
    </row>
    <row r="373" spans="1:20" x14ac:dyDescent="0.25">
      <c r="A373" s="1"/>
      <c r="B373" s="1"/>
      <c r="C373" s="1"/>
      <c r="D373" s="1"/>
      <c r="E373" s="1"/>
      <c r="F373" s="1"/>
      <c r="G373" s="1"/>
      <c r="H373" s="577"/>
      <c r="I373" s="574">
        <v>6.01</v>
      </c>
      <c r="J373" s="14">
        <v>16.09</v>
      </c>
      <c r="K373" s="14">
        <v>32.01</v>
      </c>
      <c r="L373" s="14">
        <v>47.67</v>
      </c>
      <c r="M373" s="14">
        <v>63.09</v>
      </c>
      <c r="N373" s="14">
        <v>78.180000000000007</v>
      </c>
      <c r="O373" s="14">
        <v>93.11</v>
      </c>
      <c r="P373" s="14">
        <v>105.76</v>
      </c>
      <c r="Q373" s="14">
        <v>117.42</v>
      </c>
      <c r="R373" s="14">
        <v>137.91</v>
      </c>
      <c r="S373" s="481">
        <v>165</v>
      </c>
      <c r="T373" s="1"/>
    </row>
    <row r="374" spans="1:20" x14ac:dyDescent="0.25">
      <c r="A374" s="1"/>
      <c r="B374" s="1"/>
      <c r="C374" s="1"/>
      <c r="D374" s="1"/>
      <c r="E374" s="1"/>
      <c r="F374" s="1"/>
      <c r="G374" s="1"/>
      <c r="H374" s="577"/>
      <c r="I374" s="574">
        <v>6.02</v>
      </c>
      <c r="J374" s="14">
        <v>8.7750000000000004</v>
      </c>
      <c r="K374" s="14">
        <v>17.428999999999998</v>
      </c>
      <c r="L374" s="14">
        <v>25.904</v>
      </c>
      <c r="M374" s="14">
        <v>34.146999999999998</v>
      </c>
      <c r="N374" s="14">
        <v>42.125999999999998</v>
      </c>
      <c r="O374" s="14">
        <v>49.780999999999999</v>
      </c>
      <c r="P374" s="14">
        <v>57.066000000000003</v>
      </c>
      <c r="Q374" s="14">
        <v>63.938000000000002</v>
      </c>
      <c r="R374" s="14">
        <v>71.484999999999999</v>
      </c>
      <c r="S374" s="481">
        <v>85</v>
      </c>
      <c r="T374" s="1"/>
    </row>
    <row r="375" spans="1:20" ht="13.8" thickBot="1" x14ac:dyDescent="0.3">
      <c r="A375" s="1"/>
      <c r="B375" s="1"/>
      <c r="C375" s="1"/>
      <c r="D375" s="1"/>
      <c r="E375" s="1"/>
      <c r="F375" s="1"/>
      <c r="G375" s="1"/>
      <c r="H375" s="577"/>
      <c r="I375" s="575">
        <v>6.03</v>
      </c>
      <c r="J375" s="477">
        <v>4.3209999999999997</v>
      </c>
      <c r="K375" s="477">
        <v>9.0649999999999995</v>
      </c>
      <c r="L375" s="477">
        <v>14.143000000000001</v>
      </c>
      <c r="M375" s="477">
        <v>19.449000000000002</v>
      </c>
      <c r="N375" s="477">
        <v>24.875</v>
      </c>
      <c r="O375" s="477">
        <v>30.315000000000001</v>
      </c>
      <c r="P375" s="477">
        <v>35.637999999999998</v>
      </c>
      <c r="Q375" s="477">
        <v>40.718000000000004</v>
      </c>
      <c r="R375" s="477">
        <v>45.423999999999999</v>
      </c>
      <c r="S375" s="483">
        <v>50</v>
      </c>
      <c r="T375" s="1"/>
    </row>
    <row r="376" spans="1:20" ht="13.8" thickTop="1" x14ac:dyDescent="0.25">
      <c r="A376" s="1"/>
      <c r="B376" s="1"/>
      <c r="C376" s="1"/>
      <c r="D376" s="1"/>
      <c r="E376" s="1"/>
      <c r="F376" s="1"/>
      <c r="G376" s="1"/>
      <c r="H376" s="1"/>
      <c r="I376" s="576"/>
      <c r="J376" s="1"/>
      <c r="K376" s="1"/>
      <c r="L376" s="1"/>
      <c r="M376" s="1"/>
      <c r="N376" s="1"/>
      <c r="O376" s="1"/>
      <c r="P376" s="1"/>
      <c r="Q376" s="1"/>
      <c r="R376" s="1"/>
      <c r="S376" s="1"/>
      <c r="T376" s="1"/>
    </row>
    <row r="377" spans="1:20" x14ac:dyDescent="0.25">
      <c r="A377" s="1"/>
      <c r="B377" s="1"/>
      <c r="C377" s="1"/>
      <c r="D377" s="1"/>
      <c r="E377" s="1"/>
      <c r="F377" s="1"/>
      <c r="G377" s="1"/>
      <c r="H377" s="1"/>
      <c r="I377" s="159"/>
      <c r="J377" s="1"/>
      <c r="K377" s="1"/>
      <c r="L377" s="1"/>
      <c r="M377" s="1"/>
      <c r="N377" s="1"/>
      <c r="O377" s="1"/>
      <c r="P377" s="1"/>
      <c r="Q377" s="1"/>
      <c r="R377" s="1"/>
      <c r="S377" s="1"/>
      <c r="T377" s="1"/>
    </row>
    <row r="378" spans="1:20" x14ac:dyDescent="0.25">
      <c r="A378" s="1"/>
      <c r="B378" s="1"/>
      <c r="C378" s="1"/>
      <c r="D378" s="1"/>
      <c r="E378" s="1"/>
      <c r="F378" s="1"/>
      <c r="G378" s="1"/>
      <c r="H378" s="1"/>
      <c r="I378" s="159"/>
      <c r="J378" s="1"/>
      <c r="K378" s="1"/>
      <c r="L378" s="1"/>
      <c r="M378" s="1"/>
      <c r="N378" s="1"/>
      <c r="O378" s="1"/>
      <c r="P378" s="1"/>
      <c r="Q378" s="1"/>
      <c r="R378" s="1"/>
      <c r="S378" s="1"/>
      <c r="T378" s="1"/>
    </row>
    <row r="379" spans="1:20" x14ac:dyDescent="0.25">
      <c r="A379" s="1"/>
      <c r="B379" s="1"/>
      <c r="C379" s="1"/>
      <c r="D379" s="1"/>
      <c r="E379" s="1"/>
      <c r="F379" s="1"/>
      <c r="G379" s="1"/>
      <c r="H379" s="1"/>
      <c r="I379" s="159"/>
      <c r="J379" s="1"/>
      <c r="K379" s="1"/>
      <c r="L379" s="1"/>
      <c r="M379" s="1"/>
      <c r="N379" s="1"/>
      <c r="O379" s="1"/>
      <c r="P379" s="1"/>
      <c r="Q379" s="1"/>
      <c r="R379" s="1"/>
      <c r="S379" s="1"/>
      <c r="T379" s="1"/>
    </row>
    <row r="380" spans="1:20" x14ac:dyDescent="0.25">
      <c r="A380" s="1"/>
      <c r="B380" s="1"/>
      <c r="C380" s="1"/>
      <c r="D380" s="1"/>
      <c r="E380" s="1"/>
      <c r="F380" s="13" t="s">
        <v>703</v>
      </c>
      <c r="G380" s="1"/>
      <c r="H380" s="1"/>
      <c r="I380" s="1"/>
      <c r="J380" s="13" t="s">
        <v>609</v>
      </c>
      <c r="K380" s="442" t="s">
        <v>699</v>
      </c>
      <c r="L380" s="414"/>
      <c r="M380" s="414"/>
      <c r="N380" s="442" t="s">
        <v>608</v>
      </c>
      <c r="O380" s="414"/>
      <c r="P380" s="414"/>
      <c r="Q380" s="414"/>
      <c r="R380" s="414"/>
      <c r="S380" s="414"/>
      <c r="T380" s="1"/>
    </row>
    <row r="381" spans="1:20" ht="13.8" x14ac:dyDescent="0.25">
      <c r="A381" s="1"/>
      <c r="B381" s="1"/>
      <c r="C381" s="1"/>
      <c r="D381" s="1"/>
      <c r="E381" s="1"/>
      <c r="F381" s="13"/>
      <c r="G381" s="1"/>
      <c r="H381" s="1"/>
      <c r="I381" s="21"/>
      <c r="J381" s="414"/>
      <c r="K381" s="416">
        <v>10</v>
      </c>
      <c r="L381" s="410">
        <v>20</v>
      </c>
      <c r="M381" s="410">
        <v>30</v>
      </c>
      <c r="N381" s="410">
        <v>40</v>
      </c>
      <c r="O381" s="410">
        <v>50</v>
      </c>
      <c r="P381" s="410">
        <v>60</v>
      </c>
      <c r="Q381" s="410">
        <v>70</v>
      </c>
      <c r="R381" s="410">
        <v>80</v>
      </c>
      <c r="S381" s="410">
        <v>90</v>
      </c>
      <c r="T381" s="410">
        <v>100</v>
      </c>
    </row>
    <row r="382" spans="1:20" ht="13.8" thickBot="1" x14ac:dyDescent="0.3">
      <c r="A382" s="1"/>
      <c r="B382" s="1"/>
      <c r="C382" s="1"/>
      <c r="D382" s="1"/>
      <c r="E382" s="1"/>
      <c r="F382" s="8" t="s">
        <v>700</v>
      </c>
      <c r="G382" s="1"/>
      <c r="H382" s="1"/>
      <c r="I382" s="21"/>
      <c r="J382" s="578" t="s">
        <v>607</v>
      </c>
      <c r="K382" s="1"/>
      <c r="L382" s="1"/>
      <c r="M382" s="1"/>
      <c r="N382" s="13" t="s">
        <v>602</v>
      </c>
      <c r="O382" s="1"/>
      <c r="P382" s="1"/>
      <c r="Q382" s="1"/>
      <c r="R382" s="1"/>
      <c r="S382" s="1"/>
      <c r="T382" s="1"/>
    </row>
    <row r="383" spans="1:20" ht="13.8" thickTop="1" x14ac:dyDescent="0.25">
      <c r="A383" s="1"/>
      <c r="B383" s="1"/>
      <c r="C383" s="1"/>
      <c r="D383" s="1"/>
      <c r="E383" s="1"/>
      <c r="F383" s="8" t="s">
        <v>701</v>
      </c>
      <c r="G383" s="1"/>
      <c r="H383" s="1"/>
      <c r="I383" s="159"/>
      <c r="J383" s="579">
        <v>1</v>
      </c>
      <c r="K383" s="733">
        <v>1.0900000000000001</v>
      </c>
      <c r="L383" s="733">
        <v>2.0099999999999998</v>
      </c>
      <c r="M383" s="733">
        <v>2.97</v>
      </c>
      <c r="N383" s="733">
        <v>3.86</v>
      </c>
      <c r="O383" s="733">
        <v>4.97</v>
      </c>
      <c r="P383" s="733">
        <v>6.19</v>
      </c>
      <c r="Q383" s="733">
        <v>8.0399999999999991</v>
      </c>
      <c r="R383" s="733">
        <v>10.1</v>
      </c>
      <c r="S383" s="733">
        <v>12.4</v>
      </c>
      <c r="T383" s="734">
        <v>14.5</v>
      </c>
    </row>
    <row r="384" spans="1:20" x14ac:dyDescent="0.25">
      <c r="A384" s="1"/>
      <c r="B384" s="1"/>
      <c r="C384" s="1"/>
      <c r="D384" s="1"/>
      <c r="E384" s="1"/>
      <c r="F384" s="8" t="s">
        <v>702</v>
      </c>
      <c r="G384" s="1"/>
      <c r="H384" s="1"/>
      <c r="I384" s="159"/>
      <c r="J384" s="570">
        <v>1.01</v>
      </c>
      <c r="K384" s="735">
        <v>0.74</v>
      </c>
      <c r="L384" s="735">
        <v>1.65</v>
      </c>
      <c r="M384" s="735">
        <v>2.13</v>
      </c>
      <c r="N384" s="735">
        <v>2.66</v>
      </c>
      <c r="O384" s="735">
        <v>3.18</v>
      </c>
      <c r="P384" s="735">
        <v>3.72</v>
      </c>
      <c r="Q384" s="735">
        <v>4.58</v>
      </c>
      <c r="R384" s="735">
        <v>5.72</v>
      </c>
      <c r="S384" s="735">
        <v>7.01</v>
      </c>
      <c r="T384" s="736">
        <v>7.9</v>
      </c>
    </row>
    <row r="385" spans="1:20" x14ac:dyDescent="0.25">
      <c r="A385" s="1"/>
      <c r="B385" s="1"/>
      <c r="C385" s="1"/>
      <c r="D385" s="1"/>
      <c r="E385" s="1"/>
      <c r="F385" s="1"/>
      <c r="G385" s="1"/>
      <c r="H385" s="1"/>
      <c r="I385" s="159"/>
      <c r="J385" s="570">
        <v>1.5</v>
      </c>
      <c r="K385" s="735">
        <v>2.1</v>
      </c>
      <c r="L385" s="735">
        <v>4.5999999999999996</v>
      </c>
      <c r="M385" s="735">
        <v>7.5</v>
      </c>
      <c r="N385" s="735">
        <v>10.199999999999999</v>
      </c>
      <c r="O385" s="735">
        <v>13.7</v>
      </c>
      <c r="P385" s="735">
        <v>17.600000000000001</v>
      </c>
      <c r="Q385" s="735">
        <v>21.7</v>
      </c>
      <c r="R385" s="735">
        <v>26</v>
      </c>
      <c r="S385" s="735">
        <v>29.4</v>
      </c>
      <c r="T385" s="736">
        <v>31</v>
      </c>
    </row>
    <row r="386" spans="1:20" x14ac:dyDescent="0.25">
      <c r="A386" s="1"/>
      <c r="B386" s="1"/>
      <c r="C386" s="1"/>
      <c r="D386" s="1"/>
      <c r="E386" s="1"/>
      <c r="F386" s="1"/>
      <c r="G386" s="1"/>
      <c r="H386" s="1"/>
      <c r="I386" s="159"/>
      <c r="J386" s="570">
        <v>1.51</v>
      </c>
      <c r="K386" s="735">
        <v>2.1</v>
      </c>
      <c r="L386" s="735">
        <v>4.5999999999999996</v>
      </c>
      <c r="M386" s="735">
        <v>6.2</v>
      </c>
      <c r="N386" s="735">
        <v>7.4</v>
      </c>
      <c r="O386" s="735">
        <v>9.4</v>
      </c>
      <c r="P386" s="735">
        <v>11.4</v>
      </c>
      <c r="Q386" s="735">
        <v>13.5</v>
      </c>
      <c r="R386" s="735">
        <v>14.8</v>
      </c>
      <c r="S386" s="735">
        <v>15.2</v>
      </c>
      <c r="T386" s="736">
        <v>15.5</v>
      </c>
    </row>
    <row r="387" spans="1:20" x14ac:dyDescent="0.25">
      <c r="A387" s="1"/>
      <c r="B387" s="1"/>
      <c r="C387" s="1"/>
      <c r="D387" s="1"/>
      <c r="E387" s="1"/>
      <c r="F387" s="1"/>
      <c r="G387" s="1"/>
      <c r="H387" s="1"/>
      <c r="I387" s="159"/>
      <c r="J387" s="570">
        <v>2</v>
      </c>
      <c r="K387" s="735">
        <v>4.3</v>
      </c>
      <c r="L387" s="735">
        <v>9</v>
      </c>
      <c r="M387" s="735">
        <v>14</v>
      </c>
      <c r="N387" s="735">
        <v>19</v>
      </c>
      <c r="O387" s="735">
        <v>25</v>
      </c>
      <c r="P387" s="735">
        <v>31</v>
      </c>
      <c r="Q387" s="735">
        <v>39</v>
      </c>
      <c r="R387" s="735">
        <v>45</v>
      </c>
      <c r="S387" s="735">
        <v>50</v>
      </c>
      <c r="T387" s="736">
        <v>52</v>
      </c>
    </row>
    <row r="388" spans="1:20" x14ac:dyDescent="0.25">
      <c r="A388" s="1"/>
      <c r="B388" s="1"/>
      <c r="C388" s="1"/>
      <c r="D388" s="1"/>
      <c r="E388" s="1"/>
      <c r="F388" s="1"/>
      <c r="G388" s="1"/>
      <c r="H388" s="1"/>
      <c r="I388" s="159"/>
      <c r="J388" s="570">
        <v>2.0099999999999998</v>
      </c>
      <c r="K388" s="735">
        <v>3.8</v>
      </c>
      <c r="L388" s="735">
        <v>8</v>
      </c>
      <c r="M388" s="735">
        <v>10</v>
      </c>
      <c r="N388" s="735">
        <v>13</v>
      </c>
      <c r="O388" s="735">
        <v>16</v>
      </c>
      <c r="P388" s="735">
        <v>19</v>
      </c>
      <c r="Q388" s="735">
        <v>23</v>
      </c>
      <c r="R388" s="735">
        <v>25</v>
      </c>
      <c r="S388" s="735">
        <v>25.5</v>
      </c>
      <c r="T388" s="736">
        <v>26</v>
      </c>
    </row>
    <row r="389" spans="1:20" x14ac:dyDescent="0.25">
      <c r="A389" s="1"/>
      <c r="B389" s="1"/>
      <c r="C389" s="1"/>
      <c r="D389" s="1"/>
      <c r="E389" s="1"/>
      <c r="F389" s="1"/>
      <c r="G389" s="1"/>
      <c r="H389" s="1"/>
      <c r="I389" s="159"/>
      <c r="J389" s="570">
        <v>3</v>
      </c>
      <c r="K389" s="735">
        <v>10</v>
      </c>
      <c r="L389" s="735">
        <v>20</v>
      </c>
      <c r="M389" s="735">
        <v>30</v>
      </c>
      <c r="N389" s="735">
        <v>41</v>
      </c>
      <c r="O389" s="735">
        <v>52</v>
      </c>
      <c r="P389" s="735">
        <v>66</v>
      </c>
      <c r="Q389" s="735">
        <v>85</v>
      </c>
      <c r="R389" s="735">
        <v>103</v>
      </c>
      <c r="S389" s="735">
        <v>121</v>
      </c>
      <c r="T389" s="736">
        <v>137</v>
      </c>
    </row>
    <row r="390" spans="1:20" x14ac:dyDescent="0.25">
      <c r="A390" s="1"/>
      <c r="B390" s="1"/>
      <c r="C390" s="1"/>
      <c r="D390" s="1"/>
      <c r="E390" s="1"/>
      <c r="F390" s="1"/>
      <c r="G390" s="1"/>
      <c r="H390" s="1"/>
      <c r="I390" s="159"/>
      <c r="J390" s="570">
        <v>3.01</v>
      </c>
      <c r="K390" s="735">
        <v>10</v>
      </c>
      <c r="L390" s="735">
        <v>20</v>
      </c>
      <c r="M390" s="735">
        <v>26</v>
      </c>
      <c r="N390" s="735">
        <v>32</v>
      </c>
      <c r="O390" s="735">
        <v>40</v>
      </c>
      <c r="P390" s="735">
        <v>48</v>
      </c>
      <c r="Q390" s="735">
        <v>57</v>
      </c>
      <c r="R390" s="735">
        <v>63</v>
      </c>
      <c r="S390" s="735">
        <v>65</v>
      </c>
      <c r="T390" s="736">
        <v>66</v>
      </c>
    </row>
    <row r="391" spans="1:20" x14ac:dyDescent="0.25">
      <c r="A391" s="1"/>
      <c r="B391" s="1"/>
      <c r="C391" s="1"/>
      <c r="D391" s="1"/>
      <c r="E391" s="1"/>
      <c r="F391" s="1"/>
      <c r="G391" s="1"/>
      <c r="H391" s="1"/>
      <c r="I391" s="159"/>
      <c r="J391" s="570">
        <v>4</v>
      </c>
      <c r="K391" s="735">
        <v>17</v>
      </c>
      <c r="L391" s="735">
        <v>35</v>
      </c>
      <c r="M391" s="735">
        <v>50</v>
      </c>
      <c r="N391" s="735">
        <v>70</v>
      </c>
      <c r="O391" s="735">
        <v>89</v>
      </c>
      <c r="P391" s="735">
        <v>113</v>
      </c>
      <c r="Q391" s="735">
        <v>145</v>
      </c>
      <c r="R391" s="735">
        <v>176</v>
      </c>
      <c r="S391" s="735">
        <v>206</v>
      </c>
      <c r="T391" s="736">
        <v>239</v>
      </c>
    </row>
    <row r="392" spans="1:20" x14ac:dyDescent="0.25">
      <c r="A392" s="1"/>
      <c r="B392" s="1"/>
      <c r="C392" s="1"/>
      <c r="D392" s="1"/>
      <c r="E392" s="1"/>
      <c r="F392" s="1"/>
      <c r="G392" s="1"/>
      <c r="H392" s="1"/>
      <c r="I392" s="159"/>
      <c r="J392" s="570">
        <v>4.01</v>
      </c>
      <c r="K392" s="735">
        <v>17</v>
      </c>
      <c r="L392" s="735">
        <v>35</v>
      </c>
      <c r="M392" s="735">
        <v>48</v>
      </c>
      <c r="N392" s="735">
        <v>58</v>
      </c>
      <c r="O392" s="735">
        <v>73</v>
      </c>
      <c r="P392" s="735">
        <v>88</v>
      </c>
      <c r="Q392" s="735">
        <v>104</v>
      </c>
      <c r="R392" s="735">
        <v>114</v>
      </c>
      <c r="S392" s="735">
        <v>117</v>
      </c>
      <c r="T392" s="736">
        <v>120</v>
      </c>
    </row>
    <row r="393" spans="1:20" x14ac:dyDescent="0.25">
      <c r="A393" s="1"/>
      <c r="B393" s="1"/>
      <c r="C393" s="1"/>
      <c r="D393" s="1"/>
      <c r="E393" s="1"/>
      <c r="F393" s="1"/>
      <c r="G393" s="1"/>
      <c r="H393" s="1"/>
      <c r="I393" s="159"/>
      <c r="J393" s="570">
        <v>6</v>
      </c>
      <c r="K393" s="735">
        <v>49</v>
      </c>
      <c r="L393" s="735">
        <v>103</v>
      </c>
      <c r="M393" s="735">
        <v>160</v>
      </c>
      <c r="N393" s="735">
        <v>216</v>
      </c>
      <c r="O393" s="735">
        <v>272</v>
      </c>
      <c r="P393" s="735">
        <v>328</v>
      </c>
      <c r="Q393" s="735">
        <v>380</v>
      </c>
      <c r="R393" s="735">
        <v>434</v>
      </c>
      <c r="S393" s="735">
        <v>485</v>
      </c>
      <c r="T393" s="736">
        <v>520</v>
      </c>
    </row>
    <row r="394" spans="1:20" x14ac:dyDescent="0.25">
      <c r="A394" s="1"/>
      <c r="B394" s="1"/>
      <c r="C394" s="1"/>
      <c r="D394" s="1"/>
      <c r="E394" s="1"/>
      <c r="F394" s="1"/>
      <c r="G394" s="1"/>
      <c r="H394" s="1"/>
      <c r="I394" s="159"/>
      <c r="J394" s="570">
        <v>6.01</v>
      </c>
      <c r="K394" s="735">
        <v>37</v>
      </c>
      <c r="L394" s="735">
        <v>75</v>
      </c>
      <c r="M394" s="735">
        <v>104</v>
      </c>
      <c r="N394" s="735">
        <v>125</v>
      </c>
      <c r="O394" s="735">
        <v>158</v>
      </c>
      <c r="P394" s="735">
        <v>191</v>
      </c>
      <c r="Q394" s="735">
        <v>226</v>
      </c>
      <c r="R394" s="735">
        <v>247</v>
      </c>
      <c r="S394" s="735">
        <v>254</v>
      </c>
      <c r="T394" s="736">
        <v>260</v>
      </c>
    </row>
    <row r="395" spans="1:20" x14ac:dyDescent="0.25">
      <c r="A395" s="1"/>
      <c r="B395" s="1"/>
      <c r="C395" s="1"/>
      <c r="D395" s="1"/>
      <c r="E395" s="1"/>
      <c r="F395" s="1"/>
      <c r="G395" s="1"/>
      <c r="H395" s="1"/>
      <c r="I395" s="159"/>
      <c r="J395" s="570">
        <v>8</v>
      </c>
      <c r="K395" s="735">
        <v>75</v>
      </c>
      <c r="L395" s="735">
        <v>151</v>
      </c>
      <c r="M395" s="735">
        <v>220</v>
      </c>
      <c r="N395" s="735">
        <v>301</v>
      </c>
      <c r="O395" s="735">
        <v>388</v>
      </c>
      <c r="P395" s="735">
        <v>499</v>
      </c>
      <c r="Q395" s="735">
        <v>603</v>
      </c>
      <c r="R395" s="735">
        <v>719</v>
      </c>
      <c r="S395" s="735">
        <v>823</v>
      </c>
      <c r="T395" s="736">
        <v>870</v>
      </c>
    </row>
    <row r="396" spans="1:20" x14ac:dyDescent="0.25">
      <c r="A396" s="1"/>
      <c r="B396" s="1"/>
      <c r="C396" s="1"/>
      <c r="D396" s="1"/>
      <c r="E396" s="1"/>
      <c r="F396" s="1"/>
      <c r="G396" s="1"/>
      <c r="H396" s="1"/>
      <c r="I396" s="159"/>
      <c r="J396" s="570">
        <v>8.01</v>
      </c>
      <c r="K396" s="735">
        <v>58</v>
      </c>
      <c r="L396" s="735">
        <v>128</v>
      </c>
      <c r="M396" s="735">
        <v>175</v>
      </c>
      <c r="N396" s="735">
        <v>211</v>
      </c>
      <c r="O396" s="735">
        <v>267</v>
      </c>
      <c r="P396" s="735">
        <v>323</v>
      </c>
      <c r="Q396" s="735">
        <v>383</v>
      </c>
      <c r="R396" s="735">
        <v>419</v>
      </c>
      <c r="S396" s="735">
        <v>431</v>
      </c>
      <c r="T396" s="736">
        <v>440</v>
      </c>
    </row>
    <row r="397" spans="1:20" x14ac:dyDescent="0.25">
      <c r="A397" s="1"/>
      <c r="B397" s="1"/>
      <c r="C397" s="1"/>
      <c r="D397" s="1"/>
      <c r="E397" s="1"/>
      <c r="F397" s="1"/>
      <c r="G397" s="1"/>
      <c r="H397" s="1"/>
      <c r="I397" s="159"/>
      <c r="J397" s="570">
        <v>10</v>
      </c>
      <c r="K397" s="735">
        <v>115</v>
      </c>
      <c r="L397" s="735">
        <v>231</v>
      </c>
      <c r="M397" s="735">
        <v>336</v>
      </c>
      <c r="N397" s="735">
        <v>460</v>
      </c>
      <c r="O397" s="735">
        <v>593</v>
      </c>
      <c r="P397" s="735">
        <v>763</v>
      </c>
      <c r="Q397" s="735">
        <v>922</v>
      </c>
      <c r="R397" s="735">
        <v>1099</v>
      </c>
      <c r="S397" s="735">
        <v>1258</v>
      </c>
      <c r="T397" s="736">
        <v>1330</v>
      </c>
    </row>
    <row r="398" spans="1:20" ht="13.8" thickBot="1" x14ac:dyDescent="0.3">
      <c r="A398" s="1"/>
      <c r="B398" s="1"/>
      <c r="C398" s="1"/>
      <c r="D398" s="1"/>
      <c r="E398" s="1"/>
      <c r="F398" s="1"/>
      <c r="G398" s="1"/>
      <c r="H398" s="1"/>
      <c r="I398" s="159"/>
      <c r="J398" s="572">
        <v>10.01</v>
      </c>
      <c r="K398" s="737">
        <v>85</v>
      </c>
      <c r="L398" s="737">
        <v>188</v>
      </c>
      <c r="M398" s="737">
        <v>271</v>
      </c>
      <c r="N398" s="737">
        <v>326</v>
      </c>
      <c r="O398" s="737">
        <v>412</v>
      </c>
      <c r="P398" s="737">
        <v>500</v>
      </c>
      <c r="Q398" s="737">
        <v>592</v>
      </c>
      <c r="R398" s="737">
        <v>647</v>
      </c>
      <c r="S398" s="737">
        <v>666</v>
      </c>
      <c r="T398" s="738">
        <v>680</v>
      </c>
    </row>
    <row r="399" spans="1:20" ht="13.8" thickTop="1" x14ac:dyDescent="0.25">
      <c r="A399" s="1"/>
      <c r="B399" s="1"/>
      <c r="C399" s="1"/>
      <c r="D399" s="1"/>
      <c r="E399" s="1"/>
      <c r="F399" s="1"/>
      <c r="G399" s="1"/>
      <c r="H399" s="1"/>
      <c r="I399" s="159"/>
      <c r="J399" s="1"/>
      <c r="K399" s="1"/>
      <c r="L399" s="1"/>
      <c r="M399" s="1"/>
      <c r="N399" s="1"/>
      <c r="O399" s="1"/>
      <c r="P399" s="1"/>
      <c r="Q399" s="1"/>
      <c r="R399" s="1"/>
      <c r="S399" s="1"/>
      <c r="T399" s="1"/>
    </row>
    <row r="400" spans="1:20" x14ac:dyDescent="0.25">
      <c r="I400" s="159"/>
    </row>
    <row r="401" spans="9:9" x14ac:dyDescent="0.25">
      <c r="I401" s="159"/>
    </row>
  </sheetData>
  <sheetProtection sheet="1" selectLockedCells="1" selectUnlockedCells="1"/>
  <mergeCells count="1">
    <mergeCell ref="I25:S2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296</vt:i4>
      </vt:variant>
    </vt:vector>
  </HeadingPairs>
  <TitlesOfParts>
    <vt:vector size="306" baseType="lpstr">
      <vt:lpstr>Instructions</vt:lpstr>
      <vt:lpstr>Valve Sizing</vt:lpstr>
      <vt:lpstr>Installed Flow</vt:lpstr>
      <vt:lpstr>Installed Gain</vt:lpstr>
      <vt:lpstr>xT Fd AEta Stp</vt:lpstr>
      <vt:lpstr>Mol Mass</vt:lpstr>
      <vt:lpstr>SPL Conv</vt:lpstr>
      <vt:lpstr>SPL Calcs</vt:lpstr>
      <vt:lpstr>Valve Travel</vt:lpstr>
      <vt:lpstr>Wall Thck.</vt:lpstr>
      <vt:lpstr>A</vt:lpstr>
      <vt:lpstr>A_ETA</vt:lpstr>
      <vt:lpstr>A_ETA..1</vt:lpstr>
      <vt:lpstr>A_ETA..D</vt:lpstr>
      <vt:lpstr>A_ETA..S</vt:lpstr>
      <vt:lpstr>ALPHA..K</vt:lpstr>
      <vt:lpstr>BALL_FP</vt:lpstr>
      <vt:lpstr>BALL_RP</vt:lpstr>
      <vt:lpstr>BALL_SEG</vt:lpstr>
      <vt:lpstr>BETA</vt:lpstr>
      <vt:lpstr>BETA..1</vt:lpstr>
      <vt:lpstr>BETA..D</vt:lpstr>
      <vt:lpstr>BETA..S</vt:lpstr>
      <vt:lpstr>C_</vt:lpstr>
      <vt:lpstr>C_..1</vt:lpstr>
      <vt:lpstr>'SPL Conv'!C_..2</vt:lpstr>
      <vt:lpstr>C_..3</vt:lpstr>
      <vt:lpstr>C_..4</vt:lpstr>
      <vt:lpstr>C_..D</vt:lpstr>
      <vt:lpstr>C_..S</vt:lpstr>
      <vt:lpstr>c_2..K</vt:lpstr>
      <vt:lpstr>c_a..D</vt:lpstr>
      <vt:lpstr>c_a..S</vt:lpstr>
      <vt:lpstr>'Installed Flow'!C_Ch</vt:lpstr>
      <vt:lpstr>C_Ch</vt:lpstr>
      <vt:lpstr>C_Ch_W_Reducers</vt:lpstr>
      <vt:lpstr>C_h</vt:lpstr>
      <vt:lpstr>'Installed Flow'!C_i</vt:lpstr>
      <vt:lpstr>C_i</vt:lpstr>
      <vt:lpstr>C_N_Ch</vt:lpstr>
      <vt:lpstr>C_NonCh</vt:lpstr>
      <vt:lpstr>C_NonCh_W_Reducers</vt:lpstr>
      <vt:lpstr>C_S..D</vt:lpstr>
      <vt:lpstr>C_S..S</vt:lpstr>
      <vt:lpstr>'xT Fd AEta Stp'!C_v</vt:lpstr>
      <vt:lpstr>c_vc..K</vt:lpstr>
      <vt:lpstr>c_vcc</vt:lpstr>
      <vt:lpstr>Calc_Flow_From_Final__Calc_C</vt:lpstr>
      <vt:lpstr>CH_x</vt:lpstr>
      <vt:lpstr>CH_x_W_Reducers</vt:lpstr>
      <vt:lpstr>'xT Fd AEta Stp'!Cv_over_d_Sq</vt:lpstr>
      <vt:lpstr>Cv_Table</vt:lpstr>
      <vt:lpstr>d</vt:lpstr>
      <vt:lpstr>D_1</vt:lpstr>
      <vt:lpstr>D_1..1</vt:lpstr>
      <vt:lpstr>D_1..S</vt:lpstr>
      <vt:lpstr>D_2</vt:lpstr>
      <vt:lpstr>D_2..1</vt:lpstr>
      <vt:lpstr>D_2..D</vt:lpstr>
      <vt:lpstr>D_2..S</vt:lpstr>
      <vt:lpstr>'xT Fd AEta Stp'!d_in</vt:lpstr>
      <vt:lpstr>D_j..K</vt:lpstr>
      <vt:lpstr>D_Vi..1</vt:lpstr>
      <vt:lpstr>D_Vi..s</vt:lpstr>
      <vt:lpstr>D_ViS..D</vt:lpstr>
      <vt:lpstr>D_Vo..1</vt:lpstr>
      <vt:lpstr>D_Vo..D</vt:lpstr>
      <vt:lpstr>D_Vo..S</vt:lpstr>
      <vt:lpstr>DATA1</vt:lpstr>
      <vt:lpstr>DATA2</vt:lpstr>
      <vt:lpstr>DATA3</vt:lpstr>
      <vt:lpstr>DATA4</vt:lpstr>
      <vt:lpstr>DELTA_P</vt:lpstr>
      <vt:lpstr>DELTA_P..1</vt:lpstr>
      <vt:lpstr>DELTA_P..2</vt:lpstr>
      <vt:lpstr>DELTA_P..3</vt:lpstr>
      <vt:lpstr>DELTA_P..4</vt:lpstr>
      <vt:lpstr>DELTA_P..S</vt:lpstr>
      <vt:lpstr>DELTA_P_minQ</vt:lpstr>
      <vt:lpstr>DELTA_P_Qi</vt:lpstr>
      <vt:lpstr>DeltaLp</vt:lpstr>
      <vt:lpstr>DeltaTL..K</vt:lpstr>
      <vt:lpstr>DENS</vt:lpstr>
      <vt:lpstr>dp_dn</vt:lpstr>
      <vt:lpstr>dp_up</vt:lpstr>
      <vt:lpstr>dpdn_minQ</vt:lpstr>
      <vt:lpstr>dpup_minQ</vt:lpstr>
      <vt:lpstr>etta_r..K</vt:lpstr>
      <vt:lpstr>F_D</vt:lpstr>
      <vt:lpstr>F_D..1</vt:lpstr>
      <vt:lpstr>'SPL Conv'!F_D..2</vt:lpstr>
      <vt:lpstr>F_D..3</vt:lpstr>
      <vt:lpstr>F_D..4</vt:lpstr>
      <vt:lpstr>F_D..D</vt:lpstr>
      <vt:lpstr>F_d..K</vt:lpstr>
      <vt:lpstr>F_D..S</vt:lpstr>
      <vt:lpstr>f_g..K</vt:lpstr>
      <vt:lpstr>F_GAMMA</vt:lpstr>
      <vt:lpstr>F_L</vt:lpstr>
      <vt:lpstr>F_L..1</vt:lpstr>
      <vt:lpstr>F_L..2</vt:lpstr>
      <vt:lpstr>F_L..3</vt:lpstr>
      <vt:lpstr>F_L..4</vt:lpstr>
      <vt:lpstr>F_L..S</vt:lpstr>
      <vt:lpstr>F_L..T</vt:lpstr>
      <vt:lpstr>F_L..U</vt:lpstr>
      <vt:lpstr>F_L..V</vt:lpstr>
      <vt:lpstr>F_LP..AA</vt:lpstr>
      <vt:lpstr>F_LP..D</vt:lpstr>
      <vt:lpstr>f_o..K</vt:lpstr>
      <vt:lpstr>F_P</vt:lpstr>
      <vt:lpstr>F_P..AA</vt:lpstr>
      <vt:lpstr>F_P..D</vt:lpstr>
      <vt:lpstr>f_p..K</vt:lpstr>
      <vt:lpstr>F_P_h</vt:lpstr>
      <vt:lpstr>f_pR..K</vt:lpstr>
      <vt:lpstr>f_r..K</vt:lpstr>
      <vt:lpstr>f_s..D</vt:lpstr>
      <vt:lpstr>Final_Calculated_C</vt:lpstr>
      <vt:lpstr>Final_CH_x_W_Reducers</vt:lpstr>
      <vt:lpstr>Final_F_P</vt:lpstr>
      <vt:lpstr>Final_Flow_Ch_W_Reducers</vt:lpstr>
      <vt:lpstr>Final_Flow_NonCh_W_Reducers</vt:lpstr>
      <vt:lpstr>Final_x_TP</vt:lpstr>
      <vt:lpstr>Final_Y_W_Reducers</vt:lpstr>
      <vt:lpstr>FLAG_A</vt:lpstr>
      <vt:lpstr>G_</vt:lpstr>
      <vt:lpstr>G_x_f_i</vt:lpstr>
      <vt:lpstr>G_y_f_i</vt:lpstr>
      <vt:lpstr>GAMMA</vt:lpstr>
      <vt:lpstr>GAMMA..1</vt:lpstr>
      <vt:lpstr>GAMMA..D</vt:lpstr>
      <vt:lpstr>GAMMA..S</vt:lpstr>
      <vt:lpstr>GC_EQ</vt:lpstr>
      <vt:lpstr>GC_LIN</vt:lpstr>
      <vt:lpstr>GP_EQ</vt:lpstr>
      <vt:lpstr>GP_LIN</vt:lpstr>
      <vt:lpstr>HPBF_150</vt:lpstr>
      <vt:lpstr>HPBF_300</vt:lpstr>
      <vt:lpstr>HPBF_600</vt:lpstr>
      <vt:lpstr>IEC_1</vt:lpstr>
      <vt:lpstr>IEC_2</vt:lpstr>
      <vt:lpstr>IEC_3</vt:lpstr>
      <vt:lpstr>IEC_4</vt:lpstr>
      <vt:lpstr>IEC_5</vt:lpstr>
      <vt:lpstr>IEC_6</vt:lpstr>
      <vt:lpstr>Input_Test</vt:lpstr>
      <vt:lpstr>L_g..K</vt:lpstr>
      <vt:lpstr>L_pAe_1m..K</vt:lpstr>
      <vt:lpstr>L_pe_1m_f_i</vt:lpstr>
      <vt:lpstr>L_pe_fi_plus_delta_LA_fi</vt:lpstr>
      <vt:lpstr>L_pi</vt:lpstr>
      <vt:lpstr>L_pi..K</vt:lpstr>
      <vt:lpstr>L_pi_f_i</vt:lpstr>
      <vt:lpstr>L_piR..K</vt:lpstr>
      <vt:lpstr>L_piR_f_i</vt:lpstr>
      <vt:lpstr>L_piS_f_i</vt:lpstr>
      <vt:lpstr>lbm_h_to_scfh</vt:lpstr>
      <vt:lpstr>M</vt:lpstr>
      <vt:lpstr>M_..1</vt:lpstr>
      <vt:lpstr>M_..D</vt:lpstr>
      <vt:lpstr>M_..S</vt:lpstr>
      <vt:lpstr>M_2..K</vt:lpstr>
      <vt:lpstr>m_dot..D</vt:lpstr>
      <vt:lpstr>m_dot..S</vt:lpstr>
      <vt:lpstr>m_dot_m3h</vt:lpstr>
      <vt:lpstr>m_dot_scfh</vt:lpstr>
      <vt:lpstr>M_j..K</vt:lpstr>
      <vt:lpstr>M_j5..K</vt:lpstr>
      <vt:lpstr>M_o..K</vt:lpstr>
      <vt:lpstr>M_R..K</vt:lpstr>
      <vt:lpstr>M_vc..K</vt:lpstr>
      <vt:lpstr>MW</vt:lpstr>
      <vt:lpstr>N_14</vt:lpstr>
      <vt:lpstr>N_16</vt:lpstr>
      <vt:lpstr>N_2</vt:lpstr>
      <vt:lpstr>N_5</vt:lpstr>
      <vt:lpstr>N_9</vt:lpstr>
      <vt:lpstr>N_DAT1</vt:lpstr>
      <vt:lpstr>N_DAT2</vt:lpstr>
      <vt:lpstr>N_DAT3</vt:lpstr>
      <vt:lpstr>N_DAT4</vt:lpstr>
      <vt:lpstr>N14..D</vt:lpstr>
      <vt:lpstr>P_1</vt:lpstr>
      <vt:lpstr>P_1..1</vt:lpstr>
      <vt:lpstr>P_1..2</vt:lpstr>
      <vt:lpstr>P_1..3</vt:lpstr>
      <vt:lpstr>P_1..4</vt:lpstr>
      <vt:lpstr>P_1..D</vt:lpstr>
      <vt:lpstr>P_1..L</vt:lpstr>
      <vt:lpstr>P_1..S</vt:lpstr>
      <vt:lpstr>P_1_maxQ</vt:lpstr>
      <vt:lpstr>P_1_minQ</vt:lpstr>
      <vt:lpstr>P_2..D</vt:lpstr>
      <vt:lpstr>P_2_maxQ</vt:lpstr>
      <vt:lpstr>P_2_minQ</vt:lpstr>
      <vt:lpstr>p_a</vt:lpstr>
      <vt:lpstr>p_a..1</vt:lpstr>
      <vt:lpstr>p_a..D</vt:lpstr>
      <vt:lpstr>p_a..S</vt:lpstr>
      <vt:lpstr>p_s..D</vt:lpstr>
      <vt:lpstr>p_vc..K</vt:lpstr>
      <vt:lpstr>P1_Qi</vt:lpstr>
      <vt:lpstr>P2_Qi</vt:lpstr>
      <vt:lpstr>'Installed Flow'!Print_Area</vt:lpstr>
      <vt:lpstr>'Installed Gain'!Print_Area</vt:lpstr>
      <vt:lpstr>'SPL Conv'!Print_Area</vt:lpstr>
      <vt:lpstr>'Valve Sizing'!Print_Area</vt:lpstr>
      <vt:lpstr>'xT Fd AEta Stp'!Print_Area</vt:lpstr>
      <vt:lpstr>Q</vt:lpstr>
      <vt:lpstr>Q_i</vt:lpstr>
      <vt:lpstr>Q_max</vt:lpstr>
      <vt:lpstr>Q_min</vt:lpstr>
      <vt:lpstr>Q_S..1</vt:lpstr>
      <vt:lpstr>Q_S..2</vt:lpstr>
      <vt:lpstr>Q_S..3</vt:lpstr>
      <vt:lpstr>Q_S..4</vt:lpstr>
      <vt:lpstr>Qf</vt:lpstr>
      <vt:lpstr>R_..D</vt:lpstr>
      <vt:lpstr>R_dn</vt:lpstr>
      <vt:lpstr>R_REN</vt:lpstr>
      <vt:lpstr>R_up</vt:lpstr>
      <vt:lpstr>REF_T</vt:lpstr>
      <vt:lpstr>Regime..K</vt:lpstr>
      <vt:lpstr>RHO_1..D</vt:lpstr>
      <vt:lpstr>RHO_1..S</vt:lpstr>
      <vt:lpstr>RHO_2..K</vt:lpstr>
      <vt:lpstr>RHO_air_kg_m3_0</vt:lpstr>
      <vt:lpstr>RHO_air_kg_m3_15</vt:lpstr>
      <vt:lpstr>RHO_air_lb_ft3_0</vt:lpstr>
      <vt:lpstr>RHO_air_lb_ft3_15</vt:lpstr>
      <vt:lpstr>RHO_lb_ft3</vt:lpstr>
      <vt:lpstr>RHO_S..D</vt:lpstr>
      <vt:lpstr>RHO_S..S</vt:lpstr>
      <vt:lpstr>ROT_PLUG</vt:lpstr>
      <vt:lpstr>Select_C_Non_or_C_Ch</vt:lpstr>
      <vt:lpstr>Selected_scfh</vt:lpstr>
      <vt:lpstr>SIGMA_ZETA</vt:lpstr>
      <vt:lpstr>SIGMA_ZETA_1</vt:lpstr>
      <vt:lpstr>SIGMA_ZETA_1_REN</vt:lpstr>
      <vt:lpstr>SIGMA_ZETA_REN</vt:lpstr>
      <vt:lpstr>St_P</vt:lpstr>
      <vt:lpstr>St_P..1</vt:lpstr>
      <vt:lpstr>St_P..D</vt:lpstr>
      <vt:lpstr>St_P..S</vt:lpstr>
      <vt:lpstr>T_1</vt:lpstr>
      <vt:lpstr>T_1..1</vt:lpstr>
      <vt:lpstr>'SPL Conv'!T_1..2</vt:lpstr>
      <vt:lpstr>T_1..2</vt:lpstr>
      <vt:lpstr>T_1..3</vt:lpstr>
      <vt:lpstr>T_1..4</vt:lpstr>
      <vt:lpstr>T_1..D</vt:lpstr>
      <vt:lpstr>T_1..L</vt:lpstr>
      <vt:lpstr>T_1..S</vt:lpstr>
      <vt:lpstr>T_2..D</vt:lpstr>
      <vt:lpstr>T_abs</vt:lpstr>
      <vt:lpstr>T_S</vt:lpstr>
      <vt:lpstr>T_S..1</vt:lpstr>
      <vt:lpstr>T_S..D</vt:lpstr>
      <vt:lpstr>T_S..S</vt:lpstr>
      <vt:lpstr>T_vc..K</vt:lpstr>
      <vt:lpstr>T_vcc..K</vt:lpstr>
      <vt:lpstr>Table_5</vt:lpstr>
      <vt:lpstr>Table_7</vt:lpstr>
      <vt:lpstr>Tabs_RorK</vt:lpstr>
      <vt:lpstr>tabtest</vt:lpstr>
      <vt:lpstr>TAG</vt:lpstr>
      <vt:lpstr>TL_f_i</vt:lpstr>
      <vt:lpstr>TRAVEL_1</vt:lpstr>
      <vt:lpstr>TRAVEL_2</vt:lpstr>
      <vt:lpstr>TRAVEL_3</vt:lpstr>
      <vt:lpstr>TRAVEL_4</vt:lpstr>
      <vt:lpstr>U_p..K</vt:lpstr>
      <vt:lpstr>U_R</vt:lpstr>
      <vt:lpstr>VCAP_CV</vt:lpstr>
      <vt:lpstr>VS_IN</vt:lpstr>
      <vt:lpstr>VSC</vt:lpstr>
      <vt:lpstr>W</vt:lpstr>
      <vt:lpstr>W_a..K</vt:lpstr>
      <vt:lpstr>W_Ar..K</vt:lpstr>
      <vt:lpstr>W_m..K</vt:lpstr>
      <vt:lpstr>W_mR..K</vt:lpstr>
      <vt:lpstr>W_to_lbm_h</vt:lpstr>
      <vt:lpstr>x</vt:lpstr>
      <vt:lpstr>x_B..K</vt:lpstr>
      <vt:lpstr>x_c..K</vt:lpstr>
      <vt:lpstr>x_CE..K</vt:lpstr>
      <vt:lpstr>x_Qi</vt:lpstr>
      <vt:lpstr>x_REN</vt:lpstr>
      <vt:lpstr>x_T</vt:lpstr>
      <vt:lpstr>x_TP</vt:lpstr>
      <vt:lpstr>x_TP_h</vt:lpstr>
      <vt:lpstr>x_vcc..K</vt:lpstr>
      <vt:lpstr>Y</vt:lpstr>
      <vt:lpstr>Y_C_h</vt:lpstr>
      <vt:lpstr>Y_W_Reducers</vt:lpstr>
      <vt:lpstr>Z</vt:lpstr>
      <vt:lpstr>ZETA_1</vt:lpstr>
      <vt:lpstr>ZETA_1_REN</vt:lpstr>
      <vt:lpstr>ZETA_2</vt:lpstr>
      <vt:lpstr>ZETA_2_REN</vt:lpstr>
      <vt:lpstr>ZETA_B1</vt:lpstr>
      <vt:lpstr>ZETA_B1_REN</vt:lpstr>
      <vt:lpstr>ZETA_B2</vt:lpstr>
      <vt:lpstr>ZETA_B2_REN</vt:lpstr>
      <vt:lpstr>η_s_f_i</vt:lpstr>
    </vt:vector>
  </TitlesOfParts>
  <Company>Jamesbury Neles Controls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 Monsen</dc:creator>
  <cp:lastModifiedBy>Jon Monsen</cp:lastModifiedBy>
  <cp:lastPrinted>2018-12-20T17:26:07Z</cp:lastPrinted>
  <dcterms:created xsi:type="dcterms:W3CDTF">2003-01-19T12:50:04Z</dcterms:created>
  <dcterms:modified xsi:type="dcterms:W3CDTF">2021-10-11T20:19:24Z</dcterms:modified>
</cp:coreProperties>
</file>